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EstaPastaDeTrabalho" defaultThemeVersion="166925"/>
  <mc:AlternateContent xmlns:mc="http://schemas.openxmlformats.org/markup-compatibility/2006">
    <mc:Choice Requires="x15">
      <x15ac:absPath xmlns:x15ac="http://schemas.microsoft.com/office/spreadsheetml/2010/11/ac" url="G:\Meu Drive\VILAR CONSULTORIA_G\WINDROSE\R_WINDROSE_atual\"/>
    </mc:Choice>
  </mc:AlternateContent>
  <xr:revisionPtr revIDLastSave="0" documentId="13_ncr:1_{A5124BCF-1A18-4322-AE32-660E070A7B7C}" xr6:coauthVersionLast="47" xr6:coauthVersionMax="47" xr10:uidLastSave="{00000000-0000-0000-0000-000000000000}"/>
  <bookViews>
    <workbookView xWindow="-120" yWindow="-120" windowWidth="20730" windowHeight="11160" firstSheet="20" activeTab="26" xr2:uid="{CE368224-3AE1-48BC-B79C-0C1194E662A1}"/>
  </bookViews>
  <sheets>
    <sheet name="Invest" sheetId="18" r:id="rId1"/>
    <sheet name="Cron.FF &amp; Deprec" sheetId="25" r:id="rId2"/>
    <sheet name="SH4" sheetId="1" r:id="rId3"/>
    <sheet name="país_siscomex" sheetId="2" r:id="rId4"/>
    <sheet name="frios_cong" sheetId="3" r:id="rId5"/>
    <sheet name="expor_petrolina" sheetId="4" r:id="rId6"/>
    <sheet name="expor_petrolina1" sheetId="8" r:id="rId7"/>
    <sheet name="pib_países" sheetId="7" r:id="rId8"/>
    <sheet name="dados_painel" sheetId="6" r:id="rId9"/>
    <sheet name="import_frios_cong_RNA" sheetId="9" r:id="rId10"/>
    <sheet name="base_RNA" sheetId="10" r:id="rId11"/>
    <sheet name="Import_CG" sheetId="14" r:id="rId12"/>
    <sheet name="Import_Frios" sheetId="11" r:id="rId13"/>
    <sheet name="Export_Frutas" sheetId="12" r:id="rId14"/>
    <sheet name="MOB" sheetId="21" r:id="rId15"/>
    <sheet name="Tarifas" sheetId="16" r:id="rId16"/>
    <sheet name="VarCG" sheetId="23" r:id="rId17"/>
    <sheet name="Faturam_Sim" sheetId="28" r:id="rId18"/>
    <sheet name="Custos_Desp" sheetId="20" r:id="rId19"/>
    <sheet name="Custos Ambientais" sheetId="31" r:id="rId20"/>
    <sheet name="Receitas" sheetId="29" r:id="rId21"/>
    <sheet name="TMA" sheetId="26" r:id="rId22"/>
    <sheet name="Receitas_Cen" sheetId="33" r:id="rId23"/>
    <sheet name="SAC" sheetId="39" r:id="rId24"/>
    <sheet name="DRE_FC" sheetId="24" r:id="rId25"/>
    <sheet name="DRE_FC_VPL" sheetId="36" r:id="rId26"/>
    <sheet name="RESULT" sheetId="40" r:id="rId27"/>
  </sheets>
  <externalReferences>
    <externalReference r:id="rId28"/>
    <externalReference r:id="rId29"/>
  </externalReferences>
  <definedNames>
    <definedName name="solver_eng" localSheetId="24" hidden="1">1</definedName>
    <definedName name="solver_neg" localSheetId="24" hidden="1">1</definedName>
    <definedName name="solver_num" localSheetId="24" hidden="1">0</definedName>
    <definedName name="solver_opt" localSheetId="24" hidden="1">DRE_FC!$D$46</definedName>
    <definedName name="solver_typ" localSheetId="24" hidden="1">1</definedName>
    <definedName name="solver_val" localSheetId="24" hidden="1">0</definedName>
    <definedName name="solver_ver" localSheetId="24" hidden="1">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P6" i="36" l="1"/>
  <c r="BQ6" i="36"/>
  <c r="BR6" i="36"/>
  <c r="BS6" i="36"/>
  <c r="BT6" i="36"/>
  <c r="BU6" i="36"/>
  <c r="BV6" i="36"/>
  <c r="BW6" i="36"/>
  <c r="BO6" i="36"/>
  <c r="BP5" i="36"/>
  <c r="BQ5" i="36"/>
  <c r="BR5" i="36"/>
  <c r="BS5" i="36"/>
  <c r="BT5" i="36"/>
  <c r="BU5" i="36"/>
  <c r="BV5" i="36"/>
  <c r="BW5" i="36"/>
  <c r="BO5" i="36"/>
  <c r="BP4" i="36"/>
  <c r="BQ4" i="36"/>
  <c r="BR4" i="36"/>
  <c r="BS4" i="36"/>
  <c r="BT4" i="36"/>
  <c r="BU4" i="36"/>
  <c r="BV4" i="36"/>
  <c r="BW4" i="36"/>
  <c r="BO4" i="36"/>
  <c r="BP3" i="36"/>
  <c r="BQ3" i="36"/>
  <c r="BR3" i="36"/>
  <c r="BS3" i="36"/>
  <c r="BT3" i="36"/>
  <c r="BU3" i="36"/>
  <c r="BV3" i="36"/>
  <c r="BW3" i="36"/>
  <c r="BO3" i="36"/>
  <c r="BD6" i="36"/>
  <c r="D46" i="24"/>
  <c r="D42" i="24"/>
  <c r="AN32" i="36"/>
  <c r="AN31" i="36"/>
  <c r="AO2" i="36"/>
  <c r="AO12" i="36" l="1"/>
  <c r="BM3" i="36" s="1"/>
  <c r="I45" i="24" l="1"/>
  <c r="D45" i="24"/>
  <c r="D45" i="36"/>
  <c r="D44" i="36"/>
  <c r="M39" i="36"/>
  <c r="N39" i="36"/>
  <c r="O39" i="36"/>
  <c r="P39" i="36"/>
  <c r="Q39" i="36"/>
  <c r="R39" i="36"/>
  <c r="S39" i="36"/>
  <c r="T39" i="36"/>
  <c r="U39" i="36"/>
  <c r="V39" i="36"/>
  <c r="W39" i="36"/>
  <c r="X39" i="36"/>
  <c r="Y39" i="36"/>
  <c r="Z39" i="36"/>
  <c r="AA39" i="36"/>
  <c r="AB39" i="36"/>
  <c r="AC39" i="36"/>
  <c r="AD39" i="36"/>
  <c r="AE39" i="36"/>
  <c r="AF39" i="36"/>
  <c r="AG39" i="36"/>
  <c r="AH39" i="36"/>
  <c r="AI39" i="36"/>
  <c r="AJ39" i="36"/>
  <c r="AK39" i="36"/>
  <c r="AL39" i="36"/>
  <c r="E39" i="36"/>
  <c r="F39" i="36"/>
  <c r="G39" i="36"/>
  <c r="H39" i="36"/>
  <c r="I39" i="36"/>
  <c r="J39" i="36"/>
  <c r="K39" i="36"/>
  <c r="L39" i="36"/>
  <c r="D39" i="36"/>
  <c r="D37" i="24"/>
  <c r="D36" i="24"/>
  <c r="E41" i="36"/>
  <c r="F41" i="36"/>
  <c r="G41" i="36"/>
  <c r="H41" i="36"/>
  <c r="D41" i="36"/>
  <c r="H40" i="36"/>
  <c r="I40" i="36"/>
  <c r="J40" i="36"/>
  <c r="K40" i="36"/>
  <c r="L40" i="36"/>
  <c r="M40" i="36"/>
  <c r="N40" i="36"/>
  <c r="O40" i="36"/>
  <c r="P40" i="36"/>
  <c r="Q40" i="36"/>
  <c r="R40" i="36"/>
  <c r="S40" i="36"/>
  <c r="T40" i="36"/>
  <c r="U40" i="36"/>
  <c r="V40" i="36"/>
  <c r="W40" i="36"/>
  <c r="X40" i="36"/>
  <c r="Y40" i="36"/>
  <c r="Z40" i="36"/>
  <c r="AA40" i="36"/>
  <c r="AB40" i="36"/>
  <c r="AC40" i="36"/>
  <c r="AD40" i="36"/>
  <c r="AE40" i="36"/>
  <c r="AF40" i="36"/>
  <c r="AG40" i="36"/>
  <c r="AH40" i="36"/>
  <c r="AI40" i="36"/>
  <c r="AJ40" i="36"/>
  <c r="AK40" i="36"/>
  <c r="AL40" i="36"/>
  <c r="E40" i="36"/>
  <c r="F40" i="36"/>
  <c r="G40" i="36"/>
  <c r="D40" i="36"/>
  <c r="AL20" i="36"/>
  <c r="AK20" i="36"/>
  <c r="AJ20" i="36"/>
  <c r="AI20" i="36"/>
  <c r="AH20" i="36"/>
  <c r="AG20" i="36"/>
  <c r="AF20" i="36"/>
  <c r="AE20" i="36"/>
  <c r="AD20" i="36"/>
  <c r="AC20" i="36"/>
  <c r="AB20" i="36"/>
  <c r="AA20" i="36"/>
  <c r="Z20" i="36"/>
  <c r="Y20" i="36"/>
  <c r="X20" i="36"/>
  <c r="W20" i="36"/>
  <c r="V20" i="36"/>
  <c r="U20" i="36"/>
  <c r="T20" i="36"/>
  <c r="S20" i="36"/>
  <c r="R20" i="36"/>
  <c r="Q20" i="36"/>
  <c r="P20" i="36"/>
  <c r="O20" i="36"/>
  <c r="N20" i="36"/>
  <c r="M20" i="36"/>
  <c r="L20" i="36"/>
  <c r="K20" i="36"/>
  <c r="J20" i="36"/>
  <c r="I20" i="36"/>
  <c r="H20" i="36"/>
  <c r="G20" i="36"/>
  <c r="F20" i="36"/>
  <c r="E20" i="36"/>
  <c r="D20" i="36"/>
  <c r="D6" i="24"/>
  <c r="AN17" i="24"/>
  <c r="BJ19" i="24"/>
  <c r="BK19" i="24"/>
  <c r="BL19" i="24"/>
  <c r="BM19" i="24"/>
  <c r="BN19" i="24"/>
  <c r="BO19" i="24"/>
  <c r="BP19" i="24"/>
  <c r="BQ19" i="24"/>
  <c r="BR19" i="24"/>
  <c r="BS19" i="24"/>
  <c r="BT19" i="24"/>
  <c r="BU19" i="24"/>
  <c r="BV19" i="24"/>
  <c r="AS19" i="24"/>
  <c r="AT19" i="24"/>
  <c r="AU19" i="24"/>
  <c r="AV19" i="24"/>
  <c r="AW19" i="24"/>
  <c r="AX19" i="24"/>
  <c r="AY19" i="24"/>
  <c r="AZ19" i="24"/>
  <c r="BA19" i="24"/>
  <c r="BB19" i="24"/>
  <c r="BC19" i="24"/>
  <c r="BD19" i="24"/>
  <c r="BE19" i="24"/>
  <c r="BF19" i="24"/>
  <c r="BG19" i="24"/>
  <c r="BH19" i="24"/>
  <c r="BI19" i="24"/>
  <c r="AO19" i="24"/>
  <c r="AP19" i="24"/>
  <c r="AQ19" i="24"/>
  <c r="AR19" i="24"/>
  <c r="AN19" i="24"/>
  <c r="BV18" i="24"/>
  <c r="BR17" i="24"/>
  <c r="BS17" i="24"/>
  <c r="BT17" i="24"/>
  <c r="BU17" i="24"/>
  <c r="BV17" i="24"/>
  <c r="BF17" i="24"/>
  <c r="BG17" i="24"/>
  <c r="BH17" i="24"/>
  <c r="BI17" i="24"/>
  <c r="BJ17" i="24"/>
  <c r="BK17" i="24"/>
  <c r="BL17" i="24"/>
  <c r="BM17" i="24"/>
  <c r="BN17" i="24"/>
  <c r="BO17" i="24"/>
  <c r="BP17" i="24"/>
  <c r="BQ17" i="24"/>
  <c r="AT17" i="24"/>
  <c r="AU17" i="24"/>
  <c r="AV17" i="24"/>
  <c r="AW17" i="24"/>
  <c r="AX17" i="24"/>
  <c r="AY17" i="24"/>
  <c r="AZ17" i="24"/>
  <c r="BA17" i="24"/>
  <c r="BB17" i="24"/>
  <c r="BC17" i="24"/>
  <c r="BD17" i="24"/>
  <c r="BE17" i="24"/>
  <c r="AO17" i="24"/>
  <c r="AP17" i="24"/>
  <c r="AQ17" i="24"/>
  <c r="AR17" i="24"/>
  <c r="AS17" i="24"/>
  <c r="C3" i="39"/>
  <c r="C41" i="24"/>
  <c r="D41" i="24" s="1"/>
  <c r="K64" i="18"/>
  <c r="S20" i="24"/>
  <c r="T20" i="24"/>
  <c r="U20" i="24"/>
  <c r="V20" i="24"/>
  <c r="W20" i="24"/>
  <c r="X20" i="24"/>
  <c r="Y20" i="24"/>
  <c r="Z20" i="24"/>
  <c r="AA20" i="24"/>
  <c r="AB20" i="24"/>
  <c r="AC20" i="24"/>
  <c r="AD20" i="24"/>
  <c r="AE20" i="24"/>
  <c r="AF20" i="24"/>
  <c r="AG20" i="24"/>
  <c r="AH20" i="24"/>
  <c r="AI20" i="24"/>
  <c r="AJ20" i="24"/>
  <c r="AK20" i="24"/>
  <c r="AL20" i="24"/>
  <c r="S40" i="24" l="1"/>
  <c r="T40" i="24"/>
  <c r="U40" i="24"/>
  <c r="V40" i="24"/>
  <c r="W40" i="24"/>
  <c r="X40" i="24"/>
  <c r="Y40" i="24"/>
  <c r="Z40" i="24"/>
  <c r="AA40" i="24"/>
  <c r="AB40" i="24"/>
  <c r="AC40" i="24"/>
  <c r="AD40" i="24"/>
  <c r="AE40" i="24"/>
  <c r="AF40" i="24"/>
  <c r="AG40" i="24"/>
  <c r="AH40" i="24"/>
  <c r="AI40" i="24"/>
  <c r="AJ40" i="24"/>
  <c r="AK40" i="24"/>
  <c r="AL40" i="24"/>
  <c r="E41" i="24"/>
  <c r="F41" i="24"/>
  <c r="G41" i="24"/>
  <c r="H41" i="24"/>
  <c r="AA5" i="20"/>
  <c r="AB5" i="20"/>
  <c r="AC5" i="20"/>
  <c r="AD5" i="20"/>
  <c r="AE5" i="20"/>
  <c r="AF5" i="20"/>
  <c r="AG5" i="20"/>
  <c r="AH5" i="20"/>
  <c r="AI5" i="20"/>
  <c r="AJ5" i="20"/>
  <c r="AK5" i="20"/>
  <c r="AL5" i="20"/>
  <c r="AM5" i="20"/>
  <c r="AN5" i="20"/>
  <c r="AO5" i="20"/>
  <c r="AP5" i="20"/>
  <c r="AQ5" i="20"/>
  <c r="AR5" i="20"/>
  <c r="AS5" i="20"/>
  <c r="AT5" i="20"/>
  <c r="AU5" i="20"/>
  <c r="AV5" i="20"/>
  <c r="AW5" i="20"/>
  <c r="AX5" i="20"/>
  <c r="AY5" i="20"/>
  <c r="AZ5" i="20"/>
  <c r="BA5" i="20"/>
  <c r="Z5" i="20"/>
  <c r="X5" i="20"/>
  <c r="Y5" i="20"/>
  <c r="W5" i="20"/>
  <c r="U9" i="20"/>
  <c r="L29" i="12"/>
  <c r="M29" i="12"/>
  <c r="N29" i="12"/>
  <c r="O29" i="12"/>
  <c r="P29" i="12"/>
  <c r="Q29" i="12"/>
  <c r="R29" i="12"/>
  <c r="S29" i="12"/>
  <c r="T29" i="12"/>
  <c r="U29" i="12"/>
  <c r="V29" i="12"/>
  <c r="W29" i="12"/>
  <c r="X29" i="12"/>
  <c r="Y29" i="12"/>
  <c r="Z29" i="12"/>
  <c r="AA29" i="12"/>
  <c r="AB29" i="12"/>
  <c r="AC29" i="12"/>
  <c r="AD29" i="12"/>
  <c r="AE29" i="12"/>
  <c r="AF29" i="12"/>
  <c r="AG29" i="12"/>
  <c r="AH29" i="12"/>
  <c r="AI29" i="12"/>
  <c r="AJ29" i="12"/>
  <c r="K29" i="12"/>
  <c r="J29" i="12"/>
  <c r="C29" i="12"/>
  <c r="D29" i="12"/>
  <c r="E29" i="12"/>
  <c r="F29" i="12"/>
  <c r="J3" i="29" s="1"/>
  <c r="G29" i="12"/>
  <c r="H29" i="12"/>
  <c r="I29" i="12"/>
  <c r="B29" i="12"/>
  <c r="T22" i="20"/>
  <c r="S22" i="20"/>
  <c r="D23" i="24"/>
  <c r="C21" i="39"/>
  <c r="E4" i="39"/>
  <c r="F3" i="39"/>
  <c r="E16" i="11"/>
  <c r="C16" i="11"/>
  <c r="D17" i="29"/>
  <c r="J24" i="12"/>
  <c r="K24" i="12"/>
  <c r="L24" i="12"/>
  <c r="M24" i="12"/>
  <c r="N24" i="12"/>
  <c r="O24" i="12"/>
  <c r="P24" i="12"/>
  <c r="Q24" i="12"/>
  <c r="R24" i="12"/>
  <c r="S24" i="12"/>
  <c r="T24" i="12"/>
  <c r="U24" i="12"/>
  <c r="V24" i="12"/>
  <c r="W24" i="12"/>
  <c r="X24" i="12"/>
  <c r="Y24" i="12"/>
  <c r="Z24" i="12"/>
  <c r="AA24" i="12"/>
  <c r="AB24" i="12"/>
  <c r="AC24" i="12"/>
  <c r="AD24" i="12"/>
  <c r="AE24" i="12"/>
  <c r="AF24" i="12"/>
  <c r="AG24" i="12"/>
  <c r="AH24" i="12"/>
  <c r="AI24" i="12"/>
  <c r="AJ24" i="12"/>
  <c r="J25" i="12"/>
  <c r="K25" i="12"/>
  <c r="L25" i="12"/>
  <c r="M25" i="12"/>
  <c r="N25" i="12"/>
  <c r="O25" i="12"/>
  <c r="P25" i="12"/>
  <c r="Q25" i="12"/>
  <c r="R25" i="12"/>
  <c r="S25" i="12"/>
  <c r="T25" i="12"/>
  <c r="U25" i="12"/>
  <c r="V25" i="12"/>
  <c r="W25" i="12"/>
  <c r="X25" i="12"/>
  <c r="Y25" i="12"/>
  <c r="Z25" i="12"/>
  <c r="AA25" i="12"/>
  <c r="AB25" i="12"/>
  <c r="AC25" i="12"/>
  <c r="AD25" i="12"/>
  <c r="AE25" i="12"/>
  <c r="AF25" i="12"/>
  <c r="AG25" i="12"/>
  <c r="AH25" i="12"/>
  <c r="AI25" i="12"/>
  <c r="AJ25" i="12"/>
  <c r="J26" i="12"/>
  <c r="K26" i="12"/>
  <c r="L26" i="12"/>
  <c r="M26" i="12"/>
  <c r="N26" i="12"/>
  <c r="O26" i="12"/>
  <c r="P26" i="12"/>
  <c r="Q26" i="12"/>
  <c r="R26" i="12"/>
  <c r="S26" i="12"/>
  <c r="T26" i="12"/>
  <c r="U26" i="12"/>
  <c r="V26" i="12"/>
  <c r="W26" i="12"/>
  <c r="X26" i="12"/>
  <c r="Y26" i="12"/>
  <c r="Z26" i="12"/>
  <c r="AA26" i="12"/>
  <c r="AB26" i="12"/>
  <c r="AC26" i="12"/>
  <c r="AD26" i="12"/>
  <c r="AE26" i="12"/>
  <c r="AF26" i="12"/>
  <c r="AG26" i="12"/>
  <c r="AH26" i="12"/>
  <c r="AI26" i="12"/>
  <c r="AJ26"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J28" i="12"/>
  <c r="K28" i="12"/>
  <c r="L28" i="12"/>
  <c r="M28" i="12"/>
  <c r="N28" i="12"/>
  <c r="O28" i="12"/>
  <c r="P28" i="12"/>
  <c r="Q28" i="12"/>
  <c r="R28" i="12"/>
  <c r="S28" i="12"/>
  <c r="T28" i="12"/>
  <c r="U28" i="12"/>
  <c r="V28" i="12"/>
  <c r="W28" i="12"/>
  <c r="X28" i="12"/>
  <c r="Y28" i="12"/>
  <c r="Z28" i="12"/>
  <c r="AA28" i="12"/>
  <c r="AB28" i="12"/>
  <c r="AC28" i="12"/>
  <c r="AD28" i="12"/>
  <c r="AE28" i="12"/>
  <c r="AF28" i="12"/>
  <c r="AG28" i="12"/>
  <c r="AH28" i="12"/>
  <c r="AI28" i="12"/>
  <c r="AJ28" i="12"/>
  <c r="C24" i="12"/>
  <c r="D24" i="12"/>
  <c r="E24" i="12"/>
  <c r="F24" i="12"/>
  <c r="G24" i="12"/>
  <c r="H24" i="12"/>
  <c r="I24" i="12"/>
  <c r="C25" i="12"/>
  <c r="D25" i="12"/>
  <c r="E25" i="12"/>
  <c r="F25" i="12"/>
  <c r="G25" i="12"/>
  <c r="H25" i="12"/>
  <c r="I25" i="12"/>
  <c r="C26" i="12"/>
  <c r="D26" i="12"/>
  <c r="E26" i="12"/>
  <c r="F26" i="12"/>
  <c r="G26" i="12"/>
  <c r="H26" i="12"/>
  <c r="I26" i="12"/>
  <c r="C27" i="12"/>
  <c r="D27" i="12"/>
  <c r="E27" i="12"/>
  <c r="F27" i="12"/>
  <c r="G27" i="12"/>
  <c r="H27" i="12"/>
  <c r="I27" i="12"/>
  <c r="C28" i="12"/>
  <c r="D28" i="12"/>
  <c r="E28" i="12"/>
  <c r="F28" i="12"/>
  <c r="G28" i="12"/>
  <c r="H28" i="12"/>
  <c r="I28" i="12"/>
  <c r="B25" i="12"/>
  <c r="B26" i="12"/>
  <c r="B27" i="12"/>
  <c r="B28" i="12"/>
  <c r="B24" i="12"/>
  <c r="G18" i="6"/>
  <c r="G14" i="6"/>
  <c r="G14" i="29"/>
  <c r="F14" i="29"/>
  <c r="F58" i="29" s="1"/>
  <c r="F85" i="29" s="1"/>
  <c r="F11" i="29"/>
  <c r="F8" i="29"/>
  <c r="F7" i="29"/>
  <c r="F6" i="29"/>
  <c r="F30" i="29"/>
  <c r="F28" i="29"/>
  <c r="F27" i="29"/>
  <c r="F24" i="29"/>
  <c r="F44" i="29"/>
  <c r="F36" i="29"/>
  <c r="F37" i="29"/>
  <c r="F38" i="29"/>
  <c r="F41" i="29"/>
  <c r="F42" i="29"/>
  <c r="F56" i="29"/>
  <c r="F52" i="29"/>
  <c r="F53" i="29"/>
  <c r="F69" i="29"/>
  <c r="F81" i="29"/>
  <c r="F79" i="29"/>
  <c r="F78" i="29"/>
  <c r="F75" i="29"/>
  <c r="U83" i="29"/>
  <c r="H13" i="6"/>
  <c r="I13" i="6"/>
  <c r="G13" i="6"/>
  <c r="AA16" i="10"/>
  <c r="W16" i="10"/>
  <c r="E19" i="11"/>
  <c r="I16" i="11"/>
  <c r="L6" i="14"/>
  <c r="L5" i="14"/>
  <c r="F18" i="14"/>
  <c r="F17" i="14"/>
  <c r="C11" i="14"/>
  <c r="D17" i="14"/>
  <c r="H6" i="14"/>
  <c r="H5" i="14"/>
  <c r="H4" i="14"/>
  <c r="H3" i="14"/>
  <c r="G6" i="14"/>
  <c r="F6" i="14"/>
  <c r="F3" i="14"/>
  <c r="E6" i="14"/>
  <c r="D6" i="14"/>
  <c r="D3" i="14"/>
  <c r="AK16" i="10"/>
  <c r="K18" i="6"/>
  <c r="H20" i="7"/>
  <c r="G11" i="6"/>
  <c r="M122" i="7"/>
  <c r="H121" i="7"/>
  <c r="H120" i="7"/>
  <c r="D120" i="7"/>
  <c r="B120" i="7"/>
  <c r="B125" i="7" s="1"/>
  <c r="M5" i="7"/>
  <c r="F4" i="39" l="1"/>
  <c r="D21" i="39"/>
  <c r="D20" i="24" s="1"/>
  <c r="J4" i="29"/>
  <c r="J5" i="29" s="1"/>
  <c r="J7" i="29" s="1"/>
  <c r="J21" i="29"/>
  <c r="J22" i="29" s="1"/>
  <c r="J23" i="29" s="1"/>
  <c r="D18" i="39"/>
  <c r="R22" i="39" s="1"/>
  <c r="R40" i="24" s="1"/>
  <c r="D14" i="39"/>
  <c r="N22" i="39" s="1"/>
  <c r="N40" i="24" s="1"/>
  <c r="D10" i="39"/>
  <c r="J22" i="39" s="1"/>
  <c r="J40" i="24" s="1"/>
  <c r="D6" i="39"/>
  <c r="F22" i="39" s="1"/>
  <c r="F40" i="24" s="1"/>
  <c r="D13" i="39"/>
  <c r="M22" i="39" s="1"/>
  <c r="M40" i="24" s="1"/>
  <c r="D5" i="39"/>
  <c r="E22" i="39" s="1"/>
  <c r="E40" i="24" s="1"/>
  <c r="D16" i="39"/>
  <c r="P22" i="39" s="1"/>
  <c r="P40" i="24" s="1"/>
  <c r="D12" i="39"/>
  <c r="L22" i="39" s="1"/>
  <c r="L40" i="24" s="1"/>
  <c r="D8" i="39"/>
  <c r="H22" i="39" s="1"/>
  <c r="H40" i="24" s="1"/>
  <c r="D17" i="39"/>
  <c r="Q22" i="39" s="1"/>
  <c r="Q40" i="24" s="1"/>
  <c r="D9" i="39"/>
  <c r="I22" i="39" s="1"/>
  <c r="I40" i="24" s="1"/>
  <c r="D4" i="39"/>
  <c r="D22" i="39" s="1"/>
  <c r="D40" i="24" s="1"/>
  <c r="D15" i="39"/>
  <c r="O22" i="39" s="1"/>
  <c r="O40" i="24" s="1"/>
  <c r="D11" i="39"/>
  <c r="K22" i="39" s="1"/>
  <c r="K40" i="24" s="1"/>
  <c r="D7" i="39"/>
  <c r="G22" i="39" s="1"/>
  <c r="G40" i="24" s="1"/>
  <c r="F83" i="29"/>
  <c r="D158" i="25"/>
  <c r="E30" i="25"/>
  <c r="J64" i="18"/>
  <c r="J26" i="18"/>
  <c r="J33" i="18"/>
  <c r="J47" i="18"/>
  <c r="C4" i="39" l="1"/>
  <c r="E5" i="39" s="1"/>
  <c r="F5" i="39" s="1"/>
  <c r="J6" i="29"/>
  <c r="C5" i="39"/>
  <c r="E21" i="39" l="1"/>
  <c r="E20" i="24" s="1"/>
  <c r="E6" i="39"/>
  <c r="C6" i="39"/>
  <c r="F6" i="39" l="1"/>
  <c r="F21" i="39"/>
  <c r="F20" i="24" s="1"/>
  <c r="E7" i="39"/>
  <c r="C7" i="39"/>
  <c r="D15" i="24"/>
  <c r="D143" i="25"/>
  <c r="D132" i="25"/>
  <c r="D102" i="25"/>
  <c r="D108" i="25"/>
  <c r="D114" i="25"/>
  <c r="E126" i="25"/>
  <c r="F126" i="25"/>
  <c r="M126" i="25"/>
  <c r="N126" i="25"/>
  <c r="O126" i="25"/>
  <c r="P126" i="25"/>
  <c r="Q126" i="25"/>
  <c r="R126" i="25"/>
  <c r="S126" i="25"/>
  <c r="T126" i="25"/>
  <c r="U126" i="25"/>
  <c r="V126" i="25"/>
  <c r="W126" i="25"/>
  <c r="X126" i="25"/>
  <c r="Y126" i="25"/>
  <c r="Z126" i="25"/>
  <c r="AA126" i="25"/>
  <c r="AB126" i="25"/>
  <c r="AC126" i="25"/>
  <c r="AD126" i="25"/>
  <c r="AE126" i="25"/>
  <c r="AF126" i="25"/>
  <c r="AG126" i="25"/>
  <c r="AH126" i="25"/>
  <c r="AI126" i="25"/>
  <c r="AJ126" i="25"/>
  <c r="AK126" i="25"/>
  <c r="AL126" i="25"/>
  <c r="D126" i="25"/>
  <c r="D138" i="25"/>
  <c r="F137" i="25"/>
  <c r="G137" i="25"/>
  <c r="H137" i="25"/>
  <c r="I137" i="25"/>
  <c r="J137" i="25"/>
  <c r="K137" i="25"/>
  <c r="L137" i="25"/>
  <c r="M137" i="25"/>
  <c r="N137" i="25"/>
  <c r="O137" i="25"/>
  <c r="F136" i="25"/>
  <c r="G136" i="25"/>
  <c r="G138" i="25" s="1"/>
  <c r="H136" i="25"/>
  <c r="H138" i="25" s="1"/>
  <c r="I136" i="25"/>
  <c r="I138" i="25" s="1"/>
  <c r="J136" i="25"/>
  <c r="K136" i="25"/>
  <c r="L136" i="25"/>
  <c r="M136" i="25"/>
  <c r="N136" i="25"/>
  <c r="E136" i="25"/>
  <c r="E138" i="25" s="1"/>
  <c r="F131" i="25"/>
  <c r="G131" i="25"/>
  <c r="E130" i="25"/>
  <c r="F130" i="25"/>
  <c r="F132" i="25" s="1"/>
  <c r="I125" i="25"/>
  <c r="J125" i="25"/>
  <c r="K125" i="25"/>
  <c r="L125" i="25"/>
  <c r="L126" i="25" s="1"/>
  <c r="H125" i="25"/>
  <c r="G124" i="25"/>
  <c r="G126" i="25" s="1"/>
  <c r="J119" i="25"/>
  <c r="K119" i="25"/>
  <c r="L119" i="25"/>
  <c r="M119" i="25"/>
  <c r="N119" i="25"/>
  <c r="O119" i="25"/>
  <c r="P119" i="25"/>
  <c r="Q119" i="25"/>
  <c r="R119" i="25"/>
  <c r="I119" i="25"/>
  <c r="F114" i="25"/>
  <c r="D84" i="25"/>
  <c r="D78" i="25"/>
  <c r="AL73" i="25"/>
  <c r="E73" i="25"/>
  <c r="K73" i="25"/>
  <c r="L73" i="25"/>
  <c r="M73" i="25"/>
  <c r="N73" i="25"/>
  <c r="O73" i="25"/>
  <c r="P73" i="25"/>
  <c r="Q73" i="25"/>
  <c r="R73" i="25"/>
  <c r="S73" i="25"/>
  <c r="T73" i="25"/>
  <c r="U73" i="25"/>
  <c r="V73" i="25"/>
  <c r="W73" i="25"/>
  <c r="X73" i="25"/>
  <c r="Y73" i="25"/>
  <c r="Z73" i="25"/>
  <c r="AA73" i="25"/>
  <c r="AB73" i="25"/>
  <c r="AC73" i="25"/>
  <c r="AD73" i="25"/>
  <c r="AE73" i="25"/>
  <c r="AF73" i="25"/>
  <c r="AG73" i="25"/>
  <c r="AH73" i="25"/>
  <c r="AI73" i="25"/>
  <c r="AJ73" i="25"/>
  <c r="AK73" i="25"/>
  <c r="D73" i="25"/>
  <c r="AL68" i="25"/>
  <c r="E68" i="25"/>
  <c r="F68" i="25"/>
  <c r="Q68" i="25"/>
  <c r="R68" i="25"/>
  <c r="S68" i="25"/>
  <c r="T68" i="25"/>
  <c r="U68" i="25"/>
  <c r="V68" i="25"/>
  <c r="W68" i="25"/>
  <c r="X68" i="25"/>
  <c r="Y68" i="25"/>
  <c r="Z68" i="25"/>
  <c r="AA68" i="25"/>
  <c r="AB68" i="25"/>
  <c r="AC68" i="25"/>
  <c r="AD68" i="25"/>
  <c r="AE68" i="25"/>
  <c r="AF68" i="25"/>
  <c r="AG68" i="25"/>
  <c r="AH68" i="25"/>
  <c r="AI68" i="25"/>
  <c r="AJ68" i="25"/>
  <c r="AK68" i="25"/>
  <c r="D68" i="25"/>
  <c r="AL63" i="25"/>
  <c r="E63" i="25"/>
  <c r="F63" i="25"/>
  <c r="G63" i="25"/>
  <c r="S63" i="25"/>
  <c r="T63" i="25"/>
  <c r="U63" i="25"/>
  <c r="V63" i="25"/>
  <c r="W63" i="25"/>
  <c r="X63" i="25"/>
  <c r="Y63" i="25"/>
  <c r="Z63" i="25"/>
  <c r="AA63" i="25"/>
  <c r="AB63" i="25"/>
  <c r="AC63" i="25"/>
  <c r="AD63" i="25"/>
  <c r="AE63" i="25"/>
  <c r="AF63" i="25"/>
  <c r="AG63" i="25"/>
  <c r="AH63" i="25"/>
  <c r="AI63" i="25"/>
  <c r="AJ63" i="25"/>
  <c r="AK63" i="25"/>
  <c r="D63" i="25"/>
  <c r="AL57" i="25"/>
  <c r="AH57" i="25"/>
  <c r="AI57" i="25"/>
  <c r="AJ57" i="25"/>
  <c r="AK57" i="25"/>
  <c r="D57" i="25"/>
  <c r="E48" i="25"/>
  <c r="F48" i="25"/>
  <c r="AA48" i="25"/>
  <c r="AB48" i="25"/>
  <c r="AC48" i="25"/>
  <c r="AD48" i="25"/>
  <c r="AE48" i="25"/>
  <c r="AF48" i="25"/>
  <c r="AG48" i="25"/>
  <c r="AH48" i="25"/>
  <c r="AI48" i="25"/>
  <c r="AJ48" i="25"/>
  <c r="AK48" i="25"/>
  <c r="AL48" i="25"/>
  <c r="D48" i="25"/>
  <c r="AL43" i="25"/>
  <c r="AD43" i="25"/>
  <c r="AE43" i="25"/>
  <c r="AF43" i="25"/>
  <c r="AG43" i="25"/>
  <c r="AH43" i="25"/>
  <c r="AI43" i="25"/>
  <c r="AJ43" i="25"/>
  <c r="AK43" i="25"/>
  <c r="D43" i="25"/>
  <c r="E38" i="25"/>
  <c r="F38" i="25"/>
  <c r="AH38" i="25"/>
  <c r="AI38" i="25"/>
  <c r="AJ38" i="25"/>
  <c r="AK38" i="25"/>
  <c r="AL38" i="25"/>
  <c r="D38" i="25"/>
  <c r="AD31" i="25"/>
  <c r="AE31" i="25"/>
  <c r="AF31" i="25"/>
  <c r="AG31" i="25"/>
  <c r="AH31" i="25"/>
  <c r="AI31" i="25"/>
  <c r="AJ31" i="25"/>
  <c r="AK31" i="25"/>
  <c r="AL31" i="25"/>
  <c r="D31" i="25"/>
  <c r="N114" i="25"/>
  <c r="O114" i="25"/>
  <c r="P114" i="25"/>
  <c r="Q114" i="25"/>
  <c r="R114" i="25"/>
  <c r="S114" i="25"/>
  <c r="T114" i="25"/>
  <c r="U114" i="25"/>
  <c r="V114" i="25"/>
  <c r="W114" i="25"/>
  <c r="X114" i="25"/>
  <c r="Y114" i="25"/>
  <c r="Z114" i="25"/>
  <c r="AA114" i="25"/>
  <c r="AB114" i="25"/>
  <c r="AC114" i="25"/>
  <c r="AD114" i="25"/>
  <c r="AE114" i="25"/>
  <c r="AF114" i="25"/>
  <c r="AG114" i="25"/>
  <c r="AH114" i="25"/>
  <c r="AI114" i="25"/>
  <c r="AJ114" i="25"/>
  <c r="AK114" i="25"/>
  <c r="AL114" i="25"/>
  <c r="E114" i="25"/>
  <c r="G114" i="25"/>
  <c r="J113" i="25"/>
  <c r="K113" i="25"/>
  <c r="L113" i="25"/>
  <c r="M113" i="25"/>
  <c r="M114" i="25" s="1"/>
  <c r="I113" i="25"/>
  <c r="H112" i="25"/>
  <c r="H114" i="25" s="1"/>
  <c r="G107" i="25"/>
  <c r="F106" i="25"/>
  <c r="G101" i="25"/>
  <c r="E100" i="25"/>
  <c r="E102" i="25" s="1"/>
  <c r="F100" i="25"/>
  <c r="R95" i="25"/>
  <c r="I94" i="25"/>
  <c r="J94" i="25"/>
  <c r="K94" i="25"/>
  <c r="L94" i="25"/>
  <c r="M94" i="25"/>
  <c r="N94" i="25"/>
  <c r="O94" i="25"/>
  <c r="P94" i="25"/>
  <c r="Q94" i="25"/>
  <c r="H94" i="25"/>
  <c r="F93" i="25"/>
  <c r="Q88" i="25"/>
  <c r="AG83" i="25"/>
  <c r="AF82" i="25"/>
  <c r="F72" i="25"/>
  <c r="F73" i="25" s="1"/>
  <c r="O62" i="25"/>
  <c r="P62" i="25"/>
  <c r="Q62" i="25"/>
  <c r="R62" i="25"/>
  <c r="R63" i="25" s="1"/>
  <c r="J62" i="25"/>
  <c r="K62" i="25"/>
  <c r="L62" i="25"/>
  <c r="M62" i="25"/>
  <c r="N62" i="25"/>
  <c r="N63" i="25" s="1"/>
  <c r="I62" i="25"/>
  <c r="K61" i="25"/>
  <c r="K63" i="25" s="1"/>
  <c r="L61" i="25"/>
  <c r="M61" i="25"/>
  <c r="M63" i="25" s="1"/>
  <c r="N61" i="25"/>
  <c r="O61" i="25"/>
  <c r="P61" i="25"/>
  <c r="P63" i="25" s="1"/>
  <c r="Q61" i="25"/>
  <c r="Q63" i="25" s="1"/>
  <c r="I61" i="25"/>
  <c r="I63" i="25" s="1"/>
  <c r="J61" i="25"/>
  <c r="H61" i="25"/>
  <c r="H63" i="25" s="1"/>
  <c r="J56" i="25"/>
  <c r="K56" i="25"/>
  <c r="L56" i="25"/>
  <c r="M56" i="25"/>
  <c r="N56" i="25"/>
  <c r="O56" i="25"/>
  <c r="P56" i="25"/>
  <c r="Q56" i="25"/>
  <c r="R56" i="25"/>
  <c r="S56" i="25"/>
  <c r="T56" i="25"/>
  <c r="U56" i="25"/>
  <c r="V56" i="25"/>
  <c r="W56" i="25"/>
  <c r="X56" i="25"/>
  <c r="Y56" i="25"/>
  <c r="Z56" i="25"/>
  <c r="AA56" i="25"/>
  <c r="AB56" i="25"/>
  <c r="AC56" i="25"/>
  <c r="AD56" i="25"/>
  <c r="AE56" i="25"/>
  <c r="AF56" i="25"/>
  <c r="AG56" i="25"/>
  <c r="AG57" i="25" s="1"/>
  <c r="I56" i="25"/>
  <c r="I55" i="25"/>
  <c r="J55" i="25"/>
  <c r="K55" i="25"/>
  <c r="L55" i="25"/>
  <c r="M55" i="25"/>
  <c r="N55" i="25"/>
  <c r="O55" i="25"/>
  <c r="P55" i="25"/>
  <c r="Q55" i="25"/>
  <c r="R55" i="25"/>
  <c r="S55" i="25"/>
  <c r="T55" i="25"/>
  <c r="U55" i="25"/>
  <c r="V55" i="25"/>
  <c r="W55" i="25"/>
  <c r="X55" i="25"/>
  <c r="Y55" i="25"/>
  <c r="Z55" i="25"/>
  <c r="AA55" i="25"/>
  <c r="AB55" i="25"/>
  <c r="AC55" i="25"/>
  <c r="AD55" i="25"/>
  <c r="AE55" i="25"/>
  <c r="AF55" i="25"/>
  <c r="AF57" i="25" s="1"/>
  <c r="H55" i="25"/>
  <c r="H54" i="25"/>
  <c r="I54" i="25"/>
  <c r="J54" i="25"/>
  <c r="K54" i="25"/>
  <c r="L54" i="25"/>
  <c r="M54" i="25"/>
  <c r="N54" i="25"/>
  <c r="O54" i="25"/>
  <c r="P54" i="25"/>
  <c r="Q54" i="25"/>
  <c r="R54" i="25"/>
  <c r="S54" i="25"/>
  <c r="T54" i="25"/>
  <c r="U54" i="25"/>
  <c r="V54" i="25"/>
  <c r="W54" i="25"/>
  <c r="X54" i="25"/>
  <c r="Y54" i="25"/>
  <c r="Z54" i="25"/>
  <c r="AA54" i="25"/>
  <c r="AB54" i="25"/>
  <c r="AC54" i="25"/>
  <c r="AD54" i="25"/>
  <c r="AE54" i="25"/>
  <c r="G54" i="25"/>
  <c r="G53" i="25"/>
  <c r="H53" i="25"/>
  <c r="I53" i="25"/>
  <c r="J53" i="25"/>
  <c r="K53" i="25"/>
  <c r="L53" i="25"/>
  <c r="M53" i="25"/>
  <c r="N53" i="25"/>
  <c r="O53" i="25"/>
  <c r="P53" i="25"/>
  <c r="P57" i="25" s="1"/>
  <c r="Q53" i="25"/>
  <c r="R53" i="25"/>
  <c r="S53" i="25"/>
  <c r="T53" i="25"/>
  <c r="T57" i="25" s="1"/>
  <c r="U53" i="25"/>
  <c r="V53" i="25"/>
  <c r="W53" i="25"/>
  <c r="X53" i="25"/>
  <c r="X57" i="25" s="1"/>
  <c r="Y53" i="25"/>
  <c r="Z53" i="25"/>
  <c r="AA53" i="25"/>
  <c r="AB53" i="25"/>
  <c r="AB57" i="25" s="1"/>
  <c r="AC53" i="25"/>
  <c r="AD53" i="25"/>
  <c r="F53" i="25"/>
  <c r="F52" i="25"/>
  <c r="F57" i="25" s="1"/>
  <c r="G52" i="25"/>
  <c r="H52" i="25"/>
  <c r="I52" i="25"/>
  <c r="J52" i="25"/>
  <c r="J57" i="25" s="1"/>
  <c r="K52" i="25"/>
  <c r="L52" i="25"/>
  <c r="M52" i="25"/>
  <c r="M57" i="25" s="1"/>
  <c r="N52" i="25"/>
  <c r="N57" i="25" s="1"/>
  <c r="O52" i="25"/>
  <c r="P52" i="25"/>
  <c r="Q52" i="25"/>
  <c r="Q57" i="25" s="1"/>
  <c r="R52" i="25"/>
  <c r="R57" i="25" s="1"/>
  <c r="S52" i="25"/>
  <c r="T52" i="25"/>
  <c r="U52" i="25"/>
  <c r="U57" i="25" s="1"/>
  <c r="V52" i="25"/>
  <c r="V57" i="25" s="1"/>
  <c r="W52" i="25"/>
  <c r="X52" i="25"/>
  <c r="Y52" i="25"/>
  <c r="Y57" i="25" s="1"/>
  <c r="Z52" i="25"/>
  <c r="Z57" i="25" s="1"/>
  <c r="AA52" i="25"/>
  <c r="AB52" i="25"/>
  <c r="AC52" i="25"/>
  <c r="AC57" i="25" s="1"/>
  <c r="E52" i="25"/>
  <c r="E57" i="25" s="1"/>
  <c r="G47" i="25"/>
  <c r="G48" i="25" s="1"/>
  <c r="F42" i="25"/>
  <c r="F43" i="25" s="1"/>
  <c r="G42" i="25"/>
  <c r="G43" i="25" s="1"/>
  <c r="H42" i="25"/>
  <c r="H43" i="25" s="1"/>
  <c r="I42" i="25"/>
  <c r="I43" i="25" s="1"/>
  <c r="J42" i="25"/>
  <c r="J43" i="25" s="1"/>
  <c r="K42" i="25"/>
  <c r="K43" i="25" s="1"/>
  <c r="L42" i="25"/>
  <c r="L43" i="25" s="1"/>
  <c r="M42" i="25"/>
  <c r="M43" i="25" s="1"/>
  <c r="N42" i="25"/>
  <c r="N43" i="25" s="1"/>
  <c r="O42" i="25"/>
  <c r="O43" i="25" s="1"/>
  <c r="P42" i="25"/>
  <c r="P43" i="25" s="1"/>
  <c r="Q42" i="25"/>
  <c r="Q43" i="25" s="1"/>
  <c r="R42" i="25"/>
  <c r="R43" i="25" s="1"/>
  <c r="S42" i="25"/>
  <c r="S43" i="25" s="1"/>
  <c r="T42" i="25"/>
  <c r="T43" i="25" s="1"/>
  <c r="U42" i="25"/>
  <c r="U43" i="25" s="1"/>
  <c r="V42" i="25"/>
  <c r="V43" i="25" s="1"/>
  <c r="W42" i="25"/>
  <c r="W43" i="25" s="1"/>
  <c r="X42" i="25"/>
  <c r="X43" i="25" s="1"/>
  <c r="Y42" i="25"/>
  <c r="Y43" i="25" s="1"/>
  <c r="Z42" i="25"/>
  <c r="Z43" i="25" s="1"/>
  <c r="AA42" i="25"/>
  <c r="AA43" i="25" s="1"/>
  <c r="AB42" i="25"/>
  <c r="AB43" i="25" s="1"/>
  <c r="AC42" i="25"/>
  <c r="AC43" i="25" s="1"/>
  <c r="E42" i="25"/>
  <c r="E43" i="25" s="1"/>
  <c r="M37" i="25"/>
  <c r="N37" i="25"/>
  <c r="O37" i="25"/>
  <c r="P37" i="25"/>
  <c r="Q37" i="25"/>
  <c r="R37" i="25"/>
  <c r="S37" i="25"/>
  <c r="T37" i="25"/>
  <c r="U37" i="25"/>
  <c r="V37" i="25"/>
  <c r="W37" i="25"/>
  <c r="X37" i="25"/>
  <c r="Y37" i="25"/>
  <c r="Z37" i="25"/>
  <c r="AA37" i="25"/>
  <c r="AB37" i="25"/>
  <c r="AC37" i="25"/>
  <c r="AD37" i="25"/>
  <c r="AE37" i="25"/>
  <c r="AF37" i="25"/>
  <c r="AG37" i="25"/>
  <c r="AG38" i="25" s="1"/>
  <c r="J37" i="25"/>
  <c r="K37" i="25"/>
  <c r="L37" i="25"/>
  <c r="I37" i="25"/>
  <c r="I36" i="25"/>
  <c r="J36" i="25"/>
  <c r="K36" i="25"/>
  <c r="L36" i="25"/>
  <c r="M36" i="25"/>
  <c r="N36" i="25"/>
  <c r="O36" i="25"/>
  <c r="P36" i="25"/>
  <c r="Q36" i="25"/>
  <c r="R36" i="25"/>
  <c r="S36" i="25"/>
  <c r="T36" i="25"/>
  <c r="U36" i="25"/>
  <c r="V36" i="25"/>
  <c r="W36" i="25"/>
  <c r="X36" i="25"/>
  <c r="Y36" i="25"/>
  <c r="Z36" i="25"/>
  <c r="AA36" i="25"/>
  <c r="AB36" i="25"/>
  <c r="AC36" i="25"/>
  <c r="AD36" i="25"/>
  <c r="AE36" i="25"/>
  <c r="AF36" i="25"/>
  <c r="H36" i="25"/>
  <c r="H35" i="25"/>
  <c r="I35" i="25"/>
  <c r="J35" i="25"/>
  <c r="K35" i="25"/>
  <c r="K38" i="25" s="1"/>
  <c r="L35" i="25"/>
  <c r="M35" i="25"/>
  <c r="N35" i="25"/>
  <c r="O35" i="25"/>
  <c r="O38" i="25" s="1"/>
  <c r="P35" i="25"/>
  <c r="Q35" i="25"/>
  <c r="R35" i="25"/>
  <c r="S35" i="25"/>
  <c r="S38" i="25" s="1"/>
  <c r="T35" i="25"/>
  <c r="U35" i="25"/>
  <c r="V35" i="25"/>
  <c r="W35" i="25"/>
  <c r="W38" i="25" s="1"/>
  <c r="X35" i="25"/>
  <c r="Y35" i="25"/>
  <c r="Z35" i="25"/>
  <c r="AA35" i="25"/>
  <c r="AA38" i="25" s="1"/>
  <c r="AB35" i="25"/>
  <c r="AC35" i="25"/>
  <c r="AD35" i="25"/>
  <c r="AE35" i="25"/>
  <c r="AE38" i="25" s="1"/>
  <c r="G35" i="25"/>
  <c r="G38" i="25" s="1"/>
  <c r="G25" i="18"/>
  <c r="F25" i="25" s="1"/>
  <c r="F25" i="18"/>
  <c r="E25" i="25" s="1"/>
  <c r="H25" i="18"/>
  <c r="G25" i="25" s="1"/>
  <c r="I25" i="18"/>
  <c r="H25" i="25" s="1"/>
  <c r="E25" i="18"/>
  <c r="D25" i="25" s="1"/>
  <c r="F24" i="18"/>
  <c r="E24" i="25" s="1"/>
  <c r="G24" i="18"/>
  <c r="F24" i="25" s="1"/>
  <c r="H24" i="18"/>
  <c r="G24" i="25" s="1"/>
  <c r="I24" i="18"/>
  <c r="H24" i="25" s="1"/>
  <c r="E24" i="18"/>
  <c r="D24" i="25" s="1"/>
  <c r="F23" i="18"/>
  <c r="E23" i="25" s="1"/>
  <c r="G23" i="18"/>
  <c r="F23" i="25" s="1"/>
  <c r="H23" i="18"/>
  <c r="G23" i="25" s="1"/>
  <c r="I23" i="18"/>
  <c r="H23" i="25" s="1"/>
  <c r="E23" i="18"/>
  <c r="D23" i="25" s="1"/>
  <c r="F22" i="18"/>
  <c r="E22" i="25" s="1"/>
  <c r="H22" i="18"/>
  <c r="G22" i="25" s="1"/>
  <c r="I22" i="18"/>
  <c r="H22" i="25" s="1"/>
  <c r="E22" i="18"/>
  <c r="D22" i="25" s="1"/>
  <c r="F21" i="18"/>
  <c r="E21" i="25" s="1"/>
  <c r="G21" i="18"/>
  <c r="F21" i="25" s="1"/>
  <c r="H21" i="18"/>
  <c r="G21" i="25" s="1"/>
  <c r="I21" i="18"/>
  <c r="J21" i="18" s="1"/>
  <c r="E21" i="18"/>
  <c r="D21" i="25" s="1"/>
  <c r="F20" i="18"/>
  <c r="E20" i="25" s="1"/>
  <c r="G20" i="18"/>
  <c r="F20" i="25" s="1"/>
  <c r="H20" i="18"/>
  <c r="G20" i="25" s="1"/>
  <c r="I20" i="18"/>
  <c r="H20" i="25" s="1"/>
  <c r="E20" i="18"/>
  <c r="D20" i="25" s="1"/>
  <c r="F19" i="18"/>
  <c r="E19" i="25" s="1"/>
  <c r="G19" i="18"/>
  <c r="F19" i="25" s="1"/>
  <c r="H19" i="18"/>
  <c r="G19" i="25" s="1"/>
  <c r="I19" i="18"/>
  <c r="H19" i="25" s="1"/>
  <c r="E19" i="18"/>
  <c r="D19" i="25" s="1"/>
  <c r="F18" i="18"/>
  <c r="E18" i="25" s="1"/>
  <c r="G18" i="18"/>
  <c r="F18" i="25" s="1"/>
  <c r="E18" i="18"/>
  <c r="D18" i="25" s="1"/>
  <c r="F17" i="18"/>
  <c r="E17" i="25" s="1"/>
  <c r="G17" i="18"/>
  <c r="F17" i="25" s="1"/>
  <c r="H17" i="18"/>
  <c r="G17" i="25" s="1"/>
  <c r="I17" i="18"/>
  <c r="H17" i="25" s="1"/>
  <c r="E17" i="18"/>
  <c r="D17" i="25" s="1"/>
  <c r="F16" i="18"/>
  <c r="E16" i="25" s="1"/>
  <c r="G16" i="18"/>
  <c r="F16" i="25" s="1"/>
  <c r="H16" i="18"/>
  <c r="G16" i="25" s="1"/>
  <c r="I16" i="18"/>
  <c r="H16" i="25" s="1"/>
  <c r="E16" i="18"/>
  <c r="D16" i="25" s="1"/>
  <c r="F15" i="18"/>
  <c r="E15" i="25" s="1"/>
  <c r="G15" i="18"/>
  <c r="F15" i="25" s="1"/>
  <c r="H15" i="18"/>
  <c r="G15" i="25" s="1"/>
  <c r="I15" i="18"/>
  <c r="H15" i="25" s="1"/>
  <c r="E15" i="18"/>
  <c r="D15" i="25" s="1"/>
  <c r="F14" i="18"/>
  <c r="E14" i="25" s="1"/>
  <c r="H14" i="18"/>
  <c r="G14" i="25" s="1"/>
  <c r="I14" i="18"/>
  <c r="H14" i="25" s="1"/>
  <c r="E14" i="18"/>
  <c r="D14" i="25" s="1"/>
  <c r="F13" i="18"/>
  <c r="E13" i="25" s="1"/>
  <c r="G13" i="18"/>
  <c r="F13" i="25" s="1"/>
  <c r="I13" i="18"/>
  <c r="H13" i="25" s="1"/>
  <c r="E13" i="18"/>
  <c r="D13" i="25" s="1"/>
  <c r="F12" i="18"/>
  <c r="E12" i="25" s="1"/>
  <c r="G12" i="18"/>
  <c r="F12" i="25" s="1"/>
  <c r="H12" i="18"/>
  <c r="J12" i="18" s="1"/>
  <c r="I12" i="18"/>
  <c r="H12" i="25" s="1"/>
  <c r="E12" i="18"/>
  <c r="D12" i="25" s="1"/>
  <c r="G11" i="18"/>
  <c r="H11" i="18"/>
  <c r="G11" i="25" s="1"/>
  <c r="I11" i="18"/>
  <c r="H11" i="25" s="1"/>
  <c r="E11" i="18"/>
  <c r="D11" i="25" s="1"/>
  <c r="G10" i="18"/>
  <c r="F10" i="25" s="1"/>
  <c r="H10" i="18"/>
  <c r="G10" i="25" s="1"/>
  <c r="I10" i="18"/>
  <c r="H10" i="25" s="1"/>
  <c r="E10" i="18"/>
  <c r="D10" i="25" s="1"/>
  <c r="F9" i="18"/>
  <c r="E9" i="25" s="1"/>
  <c r="G9" i="18"/>
  <c r="F9" i="25" s="1"/>
  <c r="H9" i="18"/>
  <c r="G9" i="25" s="1"/>
  <c r="I9" i="18"/>
  <c r="H9" i="25" s="1"/>
  <c r="J16" i="18"/>
  <c r="J20" i="18"/>
  <c r="F8" i="18"/>
  <c r="E8" i="25" s="1"/>
  <c r="G8" i="18"/>
  <c r="F8" i="25" s="1"/>
  <c r="H8" i="18"/>
  <c r="G8" i="25" s="1"/>
  <c r="I8" i="18"/>
  <c r="H8" i="25" s="1"/>
  <c r="E8" i="18"/>
  <c r="D8" i="25" s="1"/>
  <c r="F7" i="18"/>
  <c r="E7" i="25" s="1"/>
  <c r="G7" i="18"/>
  <c r="F7" i="25" s="1"/>
  <c r="H7" i="18"/>
  <c r="G7" i="25" s="1"/>
  <c r="I7" i="18"/>
  <c r="H7" i="25" s="1"/>
  <c r="E7" i="18"/>
  <c r="D7" i="25" s="1"/>
  <c r="F6" i="18"/>
  <c r="E6" i="25" s="1"/>
  <c r="G6" i="18"/>
  <c r="F6" i="25" s="1"/>
  <c r="H6" i="18"/>
  <c r="G6" i="25" s="1"/>
  <c r="I6" i="18"/>
  <c r="H6" i="25" s="1"/>
  <c r="F5" i="18"/>
  <c r="E5" i="25" s="1"/>
  <c r="G5" i="18"/>
  <c r="F5" i="25" s="1"/>
  <c r="H5" i="18"/>
  <c r="G5" i="25" s="1"/>
  <c r="I5" i="18"/>
  <c r="H5" i="25" s="1"/>
  <c r="E5" i="18"/>
  <c r="D5" i="25" s="1"/>
  <c r="F4" i="18"/>
  <c r="E4" i="25" s="1"/>
  <c r="G4" i="18"/>
  <c r="F4" i="25" s="1"/>
  <c r="H4" i="18"/>
  <c r="G4" i="25" s="1"/>
  <c r="I4" i="18"/>
  <c r="H4" i="25" s="1"/>
  <c r="E4" i="18"/>
  <c r="D4" i="25" s="1"/>
  <c r="F3" i="18"/>
  <c r="E3" i="25" s="1"/>
  <c r="G3" i="18"/>
  <c r="F3" i="25" s="1"/>
  <c r="H3" i="18"/>
  <c r="J3" i="18" s="1"/>
  <c r="I3" i="18"/>
  <c r="E3" i="18"/>
  <c r="D3" i="25" s="1"/>
  <c r="I33" i="18"/>
  <c r="I52" i="18"/>
  <c r="H52" i="18"/>
  <c r="J52" i="18" s="1"/>
  <c r="J55" i="18"/>
  <c r="J60" i="18"/>
  <c r="J54" i="18"/>
  <c r="J56" i="18"/>
  <c r="J57" i="18"/>
  <c r="J59" i="18"/>
  <c r="J61" i="18"/>
  <c r="J50" i="18"/>
  <c r="I46" i="18"/>
  <c r="J44" i="18"/>
  <c r="J43" i="18"/>
  <c r="J42" i="18"/>
  <c r="J37" i="18"/>
  <c r="J41" i="18"/>
  <c r="J45" i="18"/>
  <c r="J40" i="18"/>
  <c r="F39" i="18"/>
  <c r="J39" i="18" s="1"/>
  <c r="E38" i="18"/>
  <c r="E9" i="18" s="1"/>
  <c r="D9" i="25" s="1"/>
  <c r="E36" i="18"/>
  <c r="J36" i="18" s="1"/>
  <c r="F7" i="39" l="1"/>
  <c r="G21" i="39"/>
  <c r="G20" i="24" s="1"/>
  <c r="C8" i="39"/>
  <c r="E8" i="39"/>
  <c r="E6" i="18"/>
  <c r="J5" i="18"/>
  <c r="F11" i="18"/>
  <c r="E11" i="25" s="1"/>
  <c r="H13" i="18"/>
  <c r="G13" i="25" s="1"/>
  <c r="I18" i="18"/>
  <c r="H3" i="25"/>
  <c r="AF38" i="25"/>
  <c r="J8" i="18"/>
  <c r="J4" i="18"/>
  <c r="J17" i="18"/>
  <c r="G3" i="25"/>
  <c r="J38" i="18"/>
  <c r="J19" i="18"/>
  <c r="J7" i="18"/>
  <c r="J13" i="18"/>
  <c r="J15" i="18"/>
  <c r="J23" i="18"/>
  <c r="J24" i="18"/>
  <c r="F11" i="25"/>
  <c r="G12" i="25"/>
  <c r="H21" i="25"/>
  <c r="L57" i="25"/>
  <c r="H57" i="25"/>
  <c r="J63" i="25"/>
  <c r="AD38" i="25"/>
  <c r="V38" i="25"/>
  <c r="R38" i="25"/>
  <c r="J38" i="25"/>
  <c r="I57" i="25"/>
  <c r="AC38" i="25"/>
  <c r="Y38" i="25"/>
  <c r="U38" i="25"/>
  <c r="Q38" i="25"/>
  <c r="M38" i="25"/>
  <c r="I38" i="25"/>
  <c r="AD57" i="25"/>
  <c r="O63" i="25"/>
  <c r="L63" i="25"/>
  <c r="Z38" i="25"/>
  <c r="N38" i="25"/>
  <c r="AB38" i="25"/>
  <c r="X38" i="25"/>
  <c r="T38" i="25"/>
  <c r="P38" i="25"/>
  <c r="L38" i="25"/>
  <c r="H38" i="25"/>
  <c r="AA57" i="25"/>
  <c r="W57" i="25"/>
  <c r="S57" i="25"/>
  <c r="O57" i="25"/>
  <c r="K57" i="25"/>
  <c r="G57" i="25"/>
  <c r="AE57" i="25"/>
  <c r="I7" i="25"/>
  <c r="I11" i="25"/>
  <c r="I5" i="25"/>
  <c r="I12" i="25"/>
  <c r="I20" i="25"/>
  <c r="I23" i="25"/>
  <c r="I25" i="25"/>
  <c r="I4" i="25"/>
  <c r="I15" i="25"/>
  <c r="I21" i="25"/>
  <c r="I3" i="25"/>
  <c r="I24" i="25"/>
  <c r="I19" i="25"/>
  <c r="I17" i="25"/>
  <c r="I16" i="25"/>
  <c r="I13" i="25"/>
  <c r="I9" i="25"/>
  <c r="I8" i="25"/>
  <c r="J25" i="18"/>
  <c r="J9" i="18"/>
  <c r="F8" i="39" l="1"/>
  <c r="H21" i="39"/>
  <c r="H20" i="24" s="1"/>
  <c r="C9" i="39"/>
  <c r="E9" i="39"/>
  <c r="H18" i="25"/>
  <c r="H26" i="25" s="1"/>
  <c r="J11" i="18"/>
  <c r="I26" i="18"/>
  <c r="J6" i="18"/>
  <c r="D6" i="25"/>
  <c r="I6" i="25" s="1"/>
  <c r="R46" i="36"/>
  <c r="D23" i="36"/>
  <c r="F73" i="33"/>
  <c r="F9" i="39" l="1"/>
  <c r="I21" i="39"/>
  <c r="I20" i="24" s="1"/>
  <c r="C10" i="39"/>
  <c r="E10" i="39"/>
  <c r="F10" i="39" l="1"/>
  <c r="J21" i="39"/>
  <c r="J20" i="24" s="1"/>
  <c r="C11" i="39"/>
  <c r="E11" i="39"/>
  <c r="F11" i="39" l="1"/>
  <c r="K21" i="39"/>
  <c r="K20" i="24" s="1"/>
  <c r="C12" i="39"/>
  <c r="E12" i="39"/>
  <c r="F12" i="39" l="1"/>
  <c r="L21" i="39"/>
  <c r="L20" i="24" s="1"/>
  <c r="C13" i="39"/>
  <c r="E13" i="39"/>
  <c r="F13" i="39" l="1"/>
  <c r="M21" i="39"/>
  <c r="M20" i="24" s="1"/>
  <c r="C14" i="39"/>
  <c r="E14" i="39"/>
  <c r="F14" i="39" l="1"/>
  <c r="N21" i="39"/>
  <c r="N20" i="24" s="1"/>
  <c r="C15" i="39"/>
  <c r="E15" i="39"/>
  <c r="F15" i="39" l="1"/>
  <c r="O21" i="39"/>
  <c r="O20" i="24" s="1"/>
  <c r="C16" i="39"/>
  <c r="E16" i="39"/>
  <c r="F16" i="39" l="1"/>
  <c r="P21" i="39"/>
  <c r="P20" i="24" s="1"/>
  <c r="C17" i="39"/>
  <c r="E17" i="39"/>
  <c r="F17" i="39" l="1"/>
  <c r="Q21" i="39"/>
  <c r="Q20" i="24" s="1"/>
  <c r="C18" i="39"/>
  <c r="E18" i="39"/>
  <c r="J9" i="39" s="1"/>
  <c r="F18" i="39" l="1"/>
  <c r="R21" i="39"/>
  <c r="R20" i="24" s="1"/>
  <c r="D37" i="12" l="1"/>
  <c r="D38" i="12"/>
  <c r="D39" i="12"/>
  <c r="D36" i="12"/>
  <c r="D40" i="12" s="1"/>
  <c r="K13" i="20" l="1"/>
  <c r="H32" i="18" l="1"/>
  <c r="J32" i="18" s="1"/>
  <c r="H31" i="18"/>
  <c r="G31" i="18"/>
  <c r="J31" i="18" s="1"/>
  <c r="H30" i="18"/>
  <c r="G30" i="18"/>
  <c r="J30" i="18" s="1"/>
  <c r="H29" i="18"/>
  <c r="G29" i="18"/>
  <c r="J29" i="18" s="1"/>
  <c r="G152" i="25"/>
  <c r="G153" i="25" s="1"/>
  <c r="AL153" i="25"/>
  <c r="AK153" i="25"/>
  <c r="AJ153" i="25"/>
  <c r="AI153" i="25"/>
  <c r="AH153" i="25"/>
  <c r="AG153" i="25"/>
  <c r="AF153" i="25"/>
  <c r="AE153" i="25"/>
  <c r="AD153" i="25"/>
  <c r="AC153" i="25"/>
  <c r="AB153" i="25"/>
  <c r="AA153" i="25"/>
  <c r="Z153" i="25"/>
  <c r="Y153" i="25"/>
  <c r="X153" i="25"/>
  <c r="W153" i="25"/>
  <c r="V153" i="25"/>
  <c r="U153" i="25"/>
  <c r="T153" i="25"/>
  <c r="S153" i="25"/>
  <c r="R153" i="25"/>
  <c r="E153" i="25"/>
  <c r="D153" i="25"/>
  <c r="Q153" i="25"/>
  <c r="C147" i="25"/>
  <c r="C142" i="25"/>
  <c r="K142" i="25" s="1"/>
  <c r="M131" i="25"/>
  <c r="J130" i="25"/>
  <c r="AL148" i="25"/>
  <c r="AK148" i="25"/>
  <c r="AJ148" i="25"/>
  <c r="AI148" i="25"/>
  <c r="AH148" i="25"/>
  <c r="AG148" i="25"/>
  <c r="AF148" i="25"/>
  <c r="AE148" i="25"/>
  <c r="AD148" i="25"/>
  <c r="AC148" i="25"/>
  <c r="AB148" i="25"/>
  <c r="AA148" i="25"/>
  <c r="Z148" i="25"/>
  <c r="Y148" i="25"/>
  <c r="X148" i="25"/>
  <c r="W148" i="25"/>
  <c r="V148" i="25"/>
  <c r="U148" i="25"/>
  <c r="T148" i="25"/>
  <c r="S148" i="25"/>
  <c r="R148" i="25"/>
  <c r="F148" i="25"/>
  <c r="E148" i="25"/>
  <c r="D148" i="25"/>
  <c r="AL143" i="25"/>
  <c r="AK143" i="25"/>
  <c r="AJ143" i="25"/>
  <c r="AI143" i="25"/>
  <c r="AH143" i="25"/>
  <c r="AG143" i="25"/>
  <c r="AF143" i="25"/>
  <c r="AE143" i="25"/>
  <c r="AD143" i="25"/>
  <c r="AC143" i="25"/>
  <c r="AB143" i="25"/>
  <c r="AA143" i="25"/>
  <c r="Z143" i="25"/>
  <c r="Y143" i="25"/>
  <c r="X143" i="25"/>
  <c r="W143" i="25"/>
  <c r="V143" i="25"/>
  <c r="U143" i="25"/>
  <c r="T143" i="25"/>
  <c r="S143" i="25"/>
  <c r="R143" i="25"/>
  <c r="F143" i="25"/>
  <c r="E143" i="25"/>
  <c r="AL138" i="25"/>
  <c r="AK138" i="25"/>
  <c r="AJ138" i="25"/>
  <c r="AI138" i="25"/>
  <c r="AH138" i="25"/>
  <c r="AG138" i="25"/>
  <c r="AF138" i="25"/>
  <c r="AE138" i="25"/>
  <c r="AD138" i="25"/>
  <c r="AC138" i="25"/>
  <c r="AB138" i="25"/>
  <c r="AA138" i="25"/>
  <c r="Z138" i="25"/>
  <c r="Y138" i="25"/>
  <c r="X138" i="25"/>
  <c r="W138" i="25"/>
  <c r="V138" i="25"/>
  <c r="U138" i="25"/>
  <c r="T138" i="25"/>
  <c r="S138" i="25"/>
  <c r="R138" i="25"/>
  <c r="F138" i="25"/>
  <c r="AL132" i="25"/>
  <c r="AK132" i="25"/>
  <c r="AJ132" i="25"/>
  <c r="AI132" i="25"/>
  <c r="AH132" i="25"/>
  <c r="AG132" i="25"/>
  <c r="AF132" i="25"/>
  <c r="AE132" i="25"/>
  <c r="AD132" i="25"/>
  <c r="AC132" i="25"/>
  <c r="AB132" i="25"/>
  <c r="AA132" i="25"/>
  <c r="Z132" i="25"/>
  <c r="Y132" i="25"/>
  <c r="X132" i="25"/>
  <c r="W132" i="25"/>
  <c r="V132" i="25"/>
  <c r="U132" i="25"/>
  <c r="T132" i="25"/>
  <c r="S132" i="25"/>
  <c r="R132" i="25"/>
  <c r="E132" i="25"/>
  <c r="K147" i="25" l="1"/>
  <c r="H147" i="25"/>
  <c r="G147" i="25"/>
  <c r="G148" i="25" s="1"/>
  <c r="I147" i="25"/>
  <c r="J147" i="25"/>
  <c r="N148" i="25"/>
  <c r="M130" i="25"/>
  <c r="G130" i="25"/>
  <c r="N152" i="25"/>
  <c r="N153" i="25" s="1"/>
  <c r="J152" i="25"/>
  <c r="J153" i="25" s="1"/>
  <c r="Q148" i="25"/>
  <c r="M148" i="25"/>
  <c r="M152" i="25"/>
  <c r="M153" i="25" s="1"/>
  <c r="I152" i="25"/>
  <c r="I153" i="25" s="1"/>
  <c r="I130" i="25"/>
  <c r="P148" i="25"/>
  <c r="F152" i="25"/>
  <c r="F153" i="25" s="1"/>
  <c r="L152" i="25"/>
  <c r="L153" i="25" s="1"/>
  <c r="H152" i="25"/>
  <c r="H153" i="25" s="1"/>
  <c r="K131" i="25"/>
  <c r="O148" i="25"/>
  <c r="O152" i="25"/>
  <c r="K152" i="25"/>
  <c r="K153" i="25" s="1"/>
  <c r="N142" i="25"/>
  <c r="J142" i="25"/>
  <c r="M142" i="25"/>
  <c r="I142" i="25"/>
  <c r="P142" i="25"/>
  <c r="L142" i="25"/>
  <c r="H142" i="25"/>
  <c r="H143" i="25" s="1"/>
  <c r="G142" i="25"/>
  <c r="G143" i="25" s="1"/>
  <c r="O142" i="25"/>
  <c r="L130" i="25"/>
  <c r="H130" i="25"/>
  <c r="J131" i="25"/>
  <c r="O131" i="25"/>
  <c r="K130" i="25"/>
  <c r="H131" i="25"/>
  <c r="I131" i="25"/>
  <c r="N131" i="25"/>
  <c r="N130" i="25"/>
  <c r="L131" i="25"/>
  <c r="O153" i="25"/>
  <c r="P153" i="25"/>
  <c r="W1" i="20"/>
  <c r="W6" i="20" s="1"/>
  <c r="S27" i="20"/>
  <c r="T26" i="20"/>
  <c r="AD27" i="20" s="1"/>
  <c r="AH1" i="20" s="1"/>
  <c r="U26" i="20"/>
  <c r="V26" i="20"/>
  <c r="W26" i="20"/>
  <c r="X26" i="20"/>
  <c r="Y26" i="20"/>
  <c r="Z26" i="20"/>
  <c r="AA26" i="20"/>
  <c r="AB26" i="20"/>
  <c r="AC26" i="20"/>
  <c r="AD26" i="20"/>
  <c r="AE26" i="20"/>
  <c r="AF26" i="20"/>
  <c r="AG26" i="20"/>
  <c r="AH26" i="20"/>
  <c r="AI26" i="20"/>
  <c r="AJ26" i="20"/>
  <c r="AK26" i="20"/>
  <c r="AL26" i="20"/>
  <c r="AM26" i="20"/>
  <c r="AN26" i="20"/>
  <c r="AO26" i="20"/>
  <c r="AP26" i="20"/>
  <c r="AQ26" i="20"/>
  <c r="AR26" i="20"/>
  <c r="AS26" i="20"/>
  <c r="AT26" i="20"/>
  <c r="AU26" i="20"/>
  <c r="AV26" i="20"/>
  <c r="AW26" i="20"/>
  <c r="AX26" i="20"/>
  <c r="AY26" i="20"/>
  <c r="AZ26" i="20"/>
  <c r="BA26" i="20"/>
  <c r="S26" i="20"/>
  <c r="AA27" i="20" s="1"/>
  <c r="AE1" i="20" s="1"/>
  <c r="G73" i="33"/>
  <c r="H73" i="33"/>
  <c r="I73" i="33"/>
  <c r="J73" i="33"/>
  <c r="K73" i="33"/>
  <c r="L73" i="33"/>
  <c r="M73" i="33"/>
  <c r="N73" i="33"/>
  <c r="O73" i="33"/>
  <c r="P73" i="33"/>
  <c r="Q73" i="33"/>
  <c r="R73" i="33"/>
  <c r="S73" i="33"/>
  <c r="T73" i="33"/>
  <c r="U73" i="33"/>
  <c r="V73" i="33"/>
  <c r="W73" i="33"/>
  <c r="X73" i="33"/>
  <c r="Y73" i="33"/>
  <c r="Z73" i="33"/>
  <c r="AA73" i="33"/>
  <c r="AB73" i="33"/>
  <c r="AC73" i="33"/>
  <c r="AD73" i="33"/>
  <c r="AE73" i="33"/>
  <c r="AF73" i="33"/>
  <c r="AG73" i="33"/>
  <c r="AH73" i="33"/>
  <c r="AI73" i="33"/>
  <c r="AJ73" i="33"/>
  <c r="AK73" i="33"/>
  <c r="AL73" i="33"/>
  <c r="AM73" i="33"/>
  <c r="AN73" i="33"/>
  <c r="H61" i="33"/>
  <c r="I61" i="33"/>
  <c r="J61" i="33"/>
  <c r="K61" i="33"/>
  <c r="L61" i="33"/>
  <c r="M61" i="33"/>
  <c r="N61" i="33"/>
  <c r="O61" i="33"/>
  <c r="P61" i="33"/>
  <c r="Q61" i="33"/>
  <c r="R61" i="33"/>
  <c r="S61" i="33"/>
  <c r="T61" i="33"/>
  <c r="U61" i="33"/>
  <c r="V61" i="33"/>
  <c r="W61" i="33"/>
  <c r="X61" i="33"/>
  <c r="Y61" i="33"/>
  <c r="Z61" i="33"/>
  <c r="AA61" i="33"/>
  <c r="AB61" i="33"/>
  <c r="AC61" i="33"/>
  <c r="AD61" i="33"/>
  <c r="AE61" i="33"/>
  <c r="AF61" i="33"/>
  <c r="AG61" i="33"/>
  <c r="AH61" i="33"/>
  <c r="AI61" i="33"/>
  <c r="AJ61" i="33"/>
  <c r="AK61" i="33"/>
  <c r="AL61" i="33"/>
  <c r="AM61" i="33"/>
  <c r="AN61" i="33"/>
  <c r="G61" i="33"/>
  <c r="F61" i="33"/>
  <c r="V27" i="20" l="1"/>
  <c r="Z1" i="20" s="1"/>
  <c r="X27" i="20"/>
  <c r="AB1" i="20" s="1"/>
  <c r="AX27" i="20"/>
  <c r="AT27" i="20"/>
  <c r="AP27" i="20"/>
  <c r="AL27" i="20"/>
  <c r="AH27" i="20"/>
  <c r="U27" i="20"/>
  <c r="Y1" i="20" s="1"/>
  <c r="BA27" i="20"/>
  <c r="AW27" i="20"/>
  <c r="AS27" i="20"/>
  <c r="AO27" i="20"/>
  <c r="AK27" i="20"/>
  <c r="AG27" i="20"/>
  <c r="AC27" i="20"/>
  <c r="AG1" i="20" s="1"/>
  <c r="T27" i="20"/>
  <c r="X1" i="20" s="1"/>
  <c r="Z27" i="20"/>
  <c r="AD1" i="20" s="1"/>
  <c r="AZ27" i="20"/>
  <c r="AV27" i="20"/>
  <c r="AR27" i="20"/>
  <c r="AN27" i="20"/>
  <c r="AJ27" i="20"/>
  <c r="AF27" i="20"/>
  <c r="AJ1" i="20" s="1"/>
  <c r="AB27" i="20"/>
  <c r="AF1" i="20" s="1"/>
  <c r="W27" i="20"/>
  <c r="AA1" i="20" s="1"/>
  <c r="Y27" i="20"/>
  <c r="AC1" i="20" s="1"/>
  <c r="AY27" i="20"/>
  <c r="AU27" i="20"/>
  <c r="AQ27" i="20"/>
  <c r="AM27" i="20"/>
  <c r="AI27" i="20"/>
  <c r="AE27" i="20"/>
  <c r="AI1" i="20" s="1"/>
  <c r="AN153" i="25"/>
  <c r="G73" i="29" l="1"/>
  <c r="H73" i="29" s="1"/>
  <c r="I73" i="29" s="1"/>
  <c r="J73" i="29" s="1"/>
  <c r="K73" i="29" s="1"/>
  <c r="L73" i="29" s="1"/>
  <c r="M73" i="29" s="1"/>
  <c r="N73" i="29" s="1"/>
  <c r="O73" i="29" s="1"/>
  <c r="P73" i="29" s="1"/>
  <c r="Q73" i="29" s="1"/>
  <c r="R73" i="29" s="1"/>
  <c r="S73" i="29" s="1"/>
  <c r="T73" i="29" s="1"/>
  <c r="U73" i="29" s="1"/>
  <c r="V73" i="29" s="1"/>
  <c r="W73" i="29" s="1"/>
  <c r="X73" i="29" s="1"/>
  <c r="Y73" i="29" s="1"/>
  <c r="Z73" i="29" s="1"/>
  <c r="AA73" i="29" s="1"/>
  <c r="AB73" i="29" s="1"/>
  <c r="AC73" i="29" s="1"/>
  <c r="AD73" i="29" s="1"/>
  <c r="AE73" i="29" s="1"/>
  <c r="AF73" i="29" s="1"/>
  <c r="AG73" i="29" s="1"/>
  <c r="AH73" i="29" s="1"/>
  <c r="AI73" i="29" s="1"/>
  <c r="AJ73" i="29" s="1"/>
  <c r="AK73" i="29" s="1"/>
  <c r="AL73" i="29" s="1"/>
  <c r="AM73" i="29" s="1"/>
  <c r="AN73" i="29" s="1"/>
  <c r="G61" i="29"/>
  <c r="H61" i="29" s="1"/>
  <c r="I61" i="29" s="1"/>
  <c r="J61" i="29" s="1"/>
  <c r="K61" i="29" s="1"/>
  <c r="L61" i="29" s="1"/>
  <c r="M61" i="29" s="1"/>
  <c r="F73" i="29"/>
  <c r="D54" i="33"/>
  <c r="D53" i="33"/>
  <c r="D50" i="33"/>
  <c r="F49" i="33" s="1"/>
  <c r="G49" i="33"/>
  <c r="D42" i="33"/>
  <c r="D41" i="33"/>
  <c r="D38" i="33"/>
  <c r="G37" i="33"/>
  <c r="D37" i="33"/>
  <c r="H37" i="33" s="1"/>
  <c r="D36" i="33"/>
  <c r="H36" i="33" s="1"/>
  <c r="I34" i="33"/>
  <c r="D28" i="33"/>
  <c r="D27" i="33"/>
  <c r="I27" i="33" s="1"/>
  <c r="I24" i="33"/>
  <c r="D24" i="33"/>
  <c r="H24" i="33" s="1"/>
  <c r="AN17" i="33"/>
  <c r="AM17" i="33"/>
  <c r="AL17" i="33"/>
  <c r="AK17" i="33"/>
  <c r="AJ17" i="33"/>
  <c r="AI17" i="33"/>
  <c r="AH17" i="33"/>
  <c r="AG17" i="33"/>
  <c r="AF17" i="33"/>
  <c r="AE17" i="33"/>
  <c r="AD17" i="33"/>
  <c r="AC17" i="33"/>
  <c r="AB17" i="33"/>
  <c r="AA17" i="33"/>
  <c r="Z17" i="33"/>
  <c r="Y17" i="33"/>
  <c r="X17" i="33"/>
  <c r="W17" i="33"/>
  <c r="V17" i="33"/>
  <c r="U17" i="33"/>
  <c r="T17" i="33"/>
  <c r="S17" i="33"/>
  <c r="R17" i="33"/>
  <c r="Q17" i="33"/>
  <c r="P17" i="33"/>
  <c r="O17" i="33"/>
  <c r="N17" i="33"/>
  <c r="M17" i="33"/>
  <c r="L17" i="33"/>
  <c r="K17" i="33"/>
  <c r="J17" i="33"/>
  <c r="I17" i="33"/>
  <c r="H17" i="33"/>
  <c r="G17" i="33"/>
  <c r="F17" i="33"/>
  <c r="D17" i="33"/>
  <c r="H12" i="33"/>
  <c r="D12" i="33"/>
  <c r="G12" i="33" s="1"/>
  <c r="D11" i="33"/>
  <c r="I8" i="33"/>
  <c r="H8" i="33"/>
  <c r="G8" i="33"/>
  <c r="D8" i="33"/>
  <c r="F8" i="33" s="1"/>
  <c r="D7" i="33"/>
  <c r="I6" i="33"/>
  <c r="D6" i="33"/>
  <c r="G6" i="33" s="1"/>
  <c r="J1" i="33"/>
  <c r="N61" i="29" l="1"/>
  <c r="O61" i="29" s="1"/>
  <c r="P61" i="29" s="1"/>
  <c r="Q61" i="29" s="1"/>
  <c r="R61" i="29" s="1"/>
  <c r="S61" i="29" s="1"/>
  <c r="T61" i="29" s="1"/>
  <c r="U61" i="29" s="1"/>
  <c r="V61" i="29" s="1"/>
  <c r="W61" i="29" s="1"/>
  <c r="X61" i="29" s="1"/>
  <c r="Y61" i="29" s="1"/>
  <c r="Z61" i="29" s="1"/>
  <c r="AA61" i="29" s="1"/>
  <c r="AB61" i="29" s="1"/>
  <c r="AC61" i="29" s="1"/>
  <c r="AD61" i="29" s="1"/>
  <c r="AE61" i="29" s="1"/>
  <c r="AF61" i="29" s="1"/>
  <c r="AG61" i="29" s="1"/>
  <c r="AH61" i="29" s="1"/>
  <c r="AI61" i="29" s="1"/>
  <c r="AJ61" i="29" s="1"/>
  <c r="AK61" i="29" s="1"/>
  <c r="AL61" i="29" s="1"/>
  <c r="AM61" i="29" s="1"/>
  <c r="AN61" i="29" s="1"/>
  <c r="I12" i="33"/>
  <c r="F37" i="33"/>
  <c r="I35" i="33"/>
  <c r="I42" i="33" s="1"/>
  <c r="D63" i="33"/>
  <c r="F63" i="33" s="1"/>
  <c r="F7" i="33"/>
  <c r="I7" i="33"/>
  <c r="I14" i="33" s="1"/>
  <c r="H7" i="33"/>
  <c r="G7" i="33"/>
  <c r="T1" i="33"/>
  <c r="O1" i="33"/>
  <c r="D66" i="33"/>
  <c r="F66" i="33" s="1"/>
  <c r="F11" i="33"/>
  <c r="I11" i="33"/>
  <c r="H11" i="33"/>
  <c r="G11" i="33"/>
  <c r="N1" i="33"/>
  <c r="S1" i="33"/>
  <c r="D79" i="33"/>
  <c r="F28" i="33"/>
  <c r="F52" i="33"/>
  <c r="G52" i="33"/>
  <c r="F53" i="33"/>
  <c r="F56" i="33" s="1"/>
  <c r="H53" i="33"/>
  <c r="G63" i="33"/>
  <c r="D62" i="33"/>
  <c r="F6" i="33"/>
  <c r="U1" i="33"/>
  <c r="Q1" i="33"/>
  <c r="M1" i="33"/>
  <c r="D78" i="33"/>
  <c r="F27" i="33"/>
  <c r="G28" i="33"/>
  <c r="F36" i="33"/>
  <c r="F38" i="33"/>
  <c r="G38" i="33"/>
  <c r="F41" i="33"/>
  <c r="H41" i="33"/>
  <c r="F42" i="33"/>
  <c r="H49" i="33"/>
  <c r="H52" i="33"/>
  <c r="G53" i="33"/>
  <c r="G56" i="33" s="1"/>
  <c r="K1" i="33"/>
  <c r="P1" i="33"/>
  <c r="V1" i="33"/>
  <c r="D75" i="33"/>
  <c r="F24" i="33"/>
  <c r="G27" i="33"/>
  <c r="H28" i="33"/>
  <c r="G36" i="33"/>
  <c r="H38" i="33"/>
  <c r="G41" i="33"/>
  <c r="G42" i="33"/>
  <c r="I49" i="33"/>
  <c r="I52" i="33"/>
  <c r="I53" i="33"/>
  <c r="L1" i="33"/>
  <c r="R1" i="33"/>
  <c r="H6" i="33"/>
  <c r="D67" i="33"/>
  <c r="F67" i="33" s="1"/>
  <c r="F12" i="33"/>
  <c r="G24" i="33"/>
  <c r="G30" i="33" s="1"/>
  <c r="H27" i="33"/>
  <c r="I28" i="33"/>
  <c r="I30" i="33" s="1"/>
  <c r="I41" i="33"/>
  <c r="H42" i="33"/>
  <c r="AE14" i="24"/>
  <c r="AI14" i="24"/>
  <c r="E14" i="24"/>
  <c r="I14" i="24"/>
  <c r="J14" i="24"/>
  <c r="V7" i="31"/>
  <c r="D14" i="24" s="1"/>
  <c r="S11" i="31"/>
  <c r="T11" i="31" s="1"/>
  <c r="AA7" i="31" s="1"/>
  <c r="R41" i="31"/>
  <c r="Q41" i="31"/>
  <c r="P41" i="31"/>
  <c r="O41" i="31"/>
  <c r="N41" i="31"/>
  <c r="M41" i="31"/>
  <c r="L41" i="31"/>
  <c r="K41" i="31"/>
  <c r="J41" i="31"/>
  <c r="I41" i="31"/>
  <c r="H41" i="31"/>
  <c r="G41" i="31"/>
  <c r="F41" i="31"/>
  <c r="E41" i="31"/>
  <c r="D41" i="31"/>
  <c r="C41" i="31"/>
  <c r="S40" i="31"/>
  <c r="T40" i="31" s="1"/>
  <c r="BD7" i="31" s="1"/>
  <c r="S39" i="31"/>
  <c r="T39" i="31" s="1"/>
  <c r="BC7" i="31" s="1"/>
  <c r="S38" i="31"/>
  <c r="T38" i="31" s="1"/>
  <c r="BB7" i="31" s="1"/>
  <c r="S37" i="31"/>
  <c r="T37" i="31" s="1"/>
  <c r="BA7" i="31" s="1"/>
  <c r="S36" i="31"/>
  <c r="T36" i="31" s="1"/>
  <c r="AZ7" i="31" s="1"/>
  <c r="S35" i="31"/>
  <c r="T35" i="31" s="1"/>
  <c r="AY7" i="31" s="1"/>
  <c r="S34" i="31"/>
  <c r="T34" i="31" s="1"/>
  <c r="AX7" i="31" s="1"/>
  <c r="AF14" i="24" s="1"/>
  <c r="S33" i="31"/>
  <c r="T33" i="31" s="1"/>
  <c r="AW7" i="31" s="1"/>
  <c r="S32" i="31"/>
  <c r="T32" i="31" s="1"/>
  <c r="AV7" i="31" s="1"/>
  <c r="S31" i="31"/>
  <c r="T31" i="31" s="1"/>
  <c r="AU7" i="31" s="1"/>
  <c r="S30" i="31"/>
  <c r="T30" i="31" s="1"/>
  <c r="AT7" i="31" s="1"/>
  <c r="S29" i="31"/>
  <c r="T29" i="31" s="1"/>
  <c r="AS7" i="31" s="1"/>
  <c r="AA14" i="24" s="1"/>
  <c r="S28" i="31"/>
  <c r="T28" i="31" s="1"/>
  <c r="AR7" i="31" s="1"/>
  <c r="S27" i="31"/>
  <c r="T27" i="31" s="1"/>
  <c r="AQ7" i="31" s="1"/>
  <c r="S26" i="31"/>
  <c r="T26" i="31" s="1"/>
  <c r="AP7" i="31" s="1"/>
  <c r="S25" i="31"/>
  <c r="T25" i="31" s="1"/>
  <c r="AO7" i="31" s="1"/>
  <c r="W14" i="24" s="1"/>
  <c r="S24" i="31"/>
  <c r="T24" i="31" s="1"/>
  <c r="AN7" i="31" s="1"/>
  <c r="S23" i="31"/>
  <c r="T23" i="31" s="1"/>
  <c r="AM7" i="31" s="1"/>
  <c r="S22" i="31"/>
  <c r="T22" i="31" s="1"/>
  <c r="AL7" i="31" s="1"/>
  <c r="T14" i="24" s="1"/>
  <c r="S21" i="31"/>
  <c r="T21" i="31" s="1"/>
  <c r="AK7" i="31" s="1"/>
  <c r="S14" i="24" s="1"/>
  <c r="S20" i="31"/>
  <c r="T20" i="31" s="1"/>
  <c r="AJ7" i="31" s="1"/>
  <c r="S19" i="31"/>
  <c r="T19" i="31" s="1"/>
  <c r="AI7" i="31" s="1"/>
  <c r="S18" i="31"/>
  <c r="T18" i="31" s="1"/>
  <c r="AH7" i="31" s="1"/>
  <c r="S17" i="31"/>
  <c r="T17" i="31" s="1"/>
  <c r="AG7" i="31" s="1"/>
  <c r="O14" i="24" s="1"/>
  <c r="S16" i="31"/>
  <c r="T16" i="31" s="1"/>
  <c r="AF7" i="31" s="1"/>
  <c r="S15" i="31"/>
  <c r="T15" i="31" s="1"/>
  <c r="AE7" i="31" s="1"/>
  <c r="S14" i="31"/>
  <c r="T14" i="31" s="1"/>
  <c r="AD7" i="31" s="1"/>
  <c r="S13" i="31"/>
  <c r="T13" i="31" s="1"/>
  <c r="AC7" i="31" s="1"/>
  <c r="S12" i="31"/>
  <c r="T12" i="31" s="1"/>
  <c r="AB7" i="31" s="1"/>
  <c r="S10" i="31"/>
  <c r="T10" i="31" s="1"/>
  <c r="Z7" i="31" s="1"/>
  <c r="S9" i="31"/>
  <c r="T9" i="31" s="1"/>
  <c r="Y7" i="31" s="1"/>
  <c r="S8" i="31"/>
  <c r="T7" i="31"/>
  <c r="W7" i="31" s="1"/>
  <c r="T6" i="31"/>
  <c r="G14" i="36" l="1"/>
  <c r="P14" i="36"/>
  <c r="AB14" i="36"/>
  <c r="L14" i="36"/>
  <c r="X14" i="36"/>
  <c r="AJ14" i="36"/>
  <c r="AJ14" i="24"/>
  <c r="AB14" i="24"/>
  <c r="P14" i="24"/>
  <c r="H14" i="36"/>
  <c r="Q14" i="36"/>
  <c r="Y14" i="36"/>
  <c r="AG14" i="36"/>
  <c r="E14" i="36"/>
  <c r="J14" i="36"/>
  <c r="N14" i="36"/>
  <c r="R14" i="36"/>
  <c r="V14" i="36"/>
  <c r="Z14" i="36"/>
  <c r="AD14" i="36"/>
  <c r="AH14" i="36"/>
  <c r="AL14" i="36"/>
  <c r="L14" i="24"/>
  <c r="H14" i="24"/>
  <c r="AL14" i="24"/>
  <c r="AH14" i="24"/>
  <c r="AD14" i="24"/>
  <c r="Z14" i="24"/>
  <c r="V14" i="24"/>
  <c r="R14" i="24"/>
  <c r="N14" i="24"/>
  <c r="G66" i="33"/>
  <c r="T14" i="36"/>
  <c r="AF14" i="36"/>
  <c r="D14" i="36"/>
  <c r="X14" i="24"/>
  <c r="M14" i="36"/>
  <c r="U14" i="36"/>
  <c r="AC14" i="36"/>
  <c r="AK14" i="36"/>
  <c r="K14" i="36"/>
  <c r="O14" i="36"/>
  <c r="S14" i="36"/>
  <c r="W14" i="36"/>
  <c r="AA14" i="36"/>
  <c r="AE14" i="36"/>
  <c r="AI14" i="36"/>
  <c r="I14" i="36"/>
  <c r="K14" i="24"/>
  <c r="G14" i="24"/>
  <c r="AK14" i="24"/>
  <c r="AG14" i="24"/>
  <c r="AC14" i="24"/>
  <c r="Y14" i="24"/>
  <c r="U14" i="24"/>
  <c r="Q14" i="24"/>
  <c r="M14" i="24"/>
  <c r="H30" i="33"/>
  <c r="H14" i="33"/>
  <c r="H44" i="33"/>
  <c r="F30" i="33"/>
  <c r="G14" i="33"/>
  <c r="AK78" i="33"/>
  <c r="AG78" i="33"/>
  <c r="AC78" i="33"/>
  <c r="Y78" i="33"/>
  <c r="U78" i="33"/>
  <c r="Q78" i="33"/>
  <c r="M78" i="33"/>
  <c r="I78" i="33"/>
  <c r="AL78" i="33"/>
  <c r="AF78" i="33"/>
  <c r="AA78" i="33"/>
  <c r="V78" i="33"/>
  <c r="P78" i="33"/>
  <c r="K78" i="33"/>
  <c r="F78" i="33"/>
  <c r="AN78" i="33"/>
  <c r="AH78" i="33"/>
  <c r="Z78" i="33"/>
  <c r="S78" i="33"/>
  <c r="L78" i="33"/>
  <c r="AM78" i="33"/>
  <c r="AE78" i="33"/>
  <c r="X78" i="33"/>
  <c r="R78" i="33"/>
  <c r="J78" i="33"/>
  <c r="AJ78" i="33"/>
  <c r="W78" i="33"/>
  <c r="H78" i="33"/>
  <c r="AI78" i="33"/>
  <c r="T78" i="33"/>
  <c r="G78" i="33"/>
  <c r="AD78" i="33"/>
  <c r="O78" i="33"/>
  <c r="AB78" i="33"/>
  <c r="N78" i="33"/>
  <c r="F62" i="33"/>
  <c r="F69" i="33" s="1"/>
  <c r="H62" i="33"/>
  <c r="G62" i="33"/>
  <c r="G44" i="33"/>
  <c r="G58" i="33" s="1"/>
  <c r="AK75" i="33"/>
  <c r="AG75" i="33"/>
  <c r="AC75" i="33"/>
  <c r="Y75" i="33"/>
  <c r="U75" i="33"/>
  <c r="Q75" i="33"/>
  <c r="M75" i="33"/>
  <c r="I75" i="33"/>
  <c r="AJ75" i="33"/>
  <c r="AE75" i="33"/>
  <c r="Z75" i="33"/>
  <c r="T75" i="33"/>
  <c r="O75" i="33"/>
  <c r="J75" i="33"/>
  <c r="AN75" i="33"/>
  <c r="AH75" i="33"/>
  <c r="AA75" i="33"/>
  <c r="S75" i="33"/>
  <c r="L75" i="33"/>
  <c r="F75" i="33"/>
  <c r="AM75" i="33"/>
  <c r="AF75" i="33"/>
  <c r="X75" i="33"/>
  <c r="R75" i="33"/>
  <c r="K75" i="33"/>
  <c r="AD75" i="33"/>
  <c r="P75" i="33"/>
  <c r="AB75" i="33"/>
  <c r="N75" i="33"/>
  <c r="AL75" i="33"/>
  <c r="W75" i="33"/>
  <c r="H75" i="33"/>
  <c r="AI75" i="33"/>
  <c r="V75" i="33"/>
  <c r="G75" i="33"/>
  <c r="I62" i="33"/>
  <c r="H67" i="33"/>
  <c r="H66" i="33"/>
  <c r="H63" i="33"/>
  <c r="F44" i="33"/>
  <c r="F58" i="33" s="1"/>
  <c r="G67" i="33"/>
  <c r="AK79" i="33"/>
  <c r="AG79" i="33"/>
  <c r="AC79" i="33"/>
  <c r="Y79" i="33"/>
  <c r="U79" i="33"/>
  <c r="Q79" i="33"/>
  <c r="M79" i="33"/>
  <c r="I79" i="33"/>
  <c r="AM79" i="33"/>
  <c r="AH79" i="33"/>
  <c r="AB79" i="33"/>
  <c r="W79" i="33"/>
  <c r="R79" i="33"/>
  <c r="L79" i="33"/>
  <c r="G79" i="33"/>
  <c r="AN79" i="33"/>
  <c r="AF79" i="33"/>
  <c r="Z79" i="33"/>
  <c r="S79" i="33"/>
  <c r="K79" i="33"/>
  <c r="AL79" i="33"/>
  <c r="AE79" i="33"/>
  <c r="X79" i="33"/>
  <c r="P79" i="33"/>
  <c r="J79" i="33"/>
  <c r="AD79" i="33"/>
  <c r="O79" i="33"/>
  <c r="AA79" i="33"/>
  <c r="N79" i="33"/>
  <c r="AJ79" i="33"/>
  <c r="V79" i="33"/>
  <c r="H79" i="33"/>
  <c r="AI79" i="33"/>
  <c r="T79" i="33"/>
  <c r="F79" i="33"/>
  <c r="I38" i="33"/>
  <c r="I36" i="33"/>
  <c r="I37" i="33"/>
  <c r="H56" i="33"/>
  <c r="H58" i="33" s="1"/>
  <c r="I56" i="33"/>
  <c r="F14" i="33"/>
  <c r="S41" i="31"/>
  <c r="T8" i="31"/>
  <c r="X7" i="31" s="1"/>
  <c r="F14" i="36" l="1"/>
  <c r="F14" i="24"/>
  <c r="F81" i="33"/>
  <c r="F83" i="33" s="1"/>
  <c r="F85" i="33" s="1"/>
  <c r="D4" i="36" s="1"/>
  <c r="AL81" i="33"/>
  <c r="AD81" i="33"/>
  <c r="AF81" i="33"/>
  <c r="J81" i="33"/>
  <c r="AE81" i="33"/>
  <c r="Q81" i="33"/>
  <c r="AG81" i="33"/>
  <c r="AI81" i="33"/>
  <c r="N81" i="33"/>
  <c r="K81" i="33"/>
  <c r="AM81" i="33"/>
  <c r="AA81" i="33"/>
  <c r="O81" i="33"/>
  <c r="AJ81" i="33"/>
  <c r="U81" i="33"/>
  <c r="AK81" i="33"/>
  <c r="V81" i="33"/>
  <c r="S81" i="33"/>
  <c r="I44" i="33"/>
  <c r="I58" i="33" s="1"/>
  <c r="I67" i="33"/>
  <c r="I66" i="33"/>
  <c r="I63" i="33"/>
  <c r="H81" i="33"/>
  <c r="AB81" i="33"/>
  <c r="R81" i="33"/>
  <c r="AH81" i="33"/>
  <c r="T81" i="33"/>
  <c r="I81" i="33"/>
  <c r="Y81" i="33"/>
  <c r="G69" i="33"/>
  <c r="G81" i="33"/>
  <c r="W81" i="33"/>
  <c r="P81" i="33"/>
  <c r="X81" i="33"/>
  <c r="L81" i="33"/>
  <c r="AN81" i="33"/>
  <c r="Z81" i="33"/>
  <c r="M81" i="33"/>
  <c r="AC81" i="33"/>
  <c r="H69" i="33"/>
  <c r="T41" i="31"/>
  <c r="H83" i="33" l="1"/>
  <c r="H85" i="33" s="1"/>
  <c r="I69" i="33"/>
  <c r="I83" i="33" s="1"/>
  <c r="I85" i="33" s="1"/>
  <c r="J67" i="33"/>
  <c r="J63" i="33"/>
  <c r="J66" i="33"/>
  <c r="J62" i="33"/>
  <c r="G83" i="33"/>
  <c r="G85" i="33" s="1"/>
  <c r="W16" i="20"/>
  <c r="X16" i="20"/>
  <c r="Y16" i="20"/>
  <c r="Z16" i="20"/>
  <c r="AA16" i="20"/>
  <c r="AB16" i="20"/>
  <c r="AC16" i="20"/>
  <c r="AD16" i="20"/>
  <c r="AE16" i="20"/>
  <c r="AF16" i="20"/>
  <c r="AG16" i="20"/>
  <c r="AH16" i="20"/>
  <c r="AI16" i="20"/>
  <c r="AJ16" i="20"/>
  <c r="AK16" i="20"/>
  <c r="AL16" i="20"/>
  <c r="AM16" i="20"/>
  <c r="AN16" i="20"/>
  <c r="AO16" i="20"/>
  <c r="AP16" i="20"/>
  <c r="AQ16" i="20"/>
  <c r="AR16" i="20"/>
  <c r="AS16" i="20"/>
  <c r="AT16" i="20"/>
  <c r="AU16" i="20"/>
  <c r="AV16" i="20"/>
  <c r="AW16" i="20"/>
  <c r="AX16" i="20"/>
  <c r="AY16" i="20"/>
  <c r="AZ16" i="20"/>
  <c r="BA16" i="20"/>
  <c r="T16" i="20"/>
  <c r="U16" i="20"/>
  <c r="V16" i="20"/>
  <c r="S16" i="20"/>
  <c r="E4" i="36" l="1"/>
  <c r="G4" i="36"/>
  <c r="F4" i="36"/>
  <c r="J69" i="33"/>
  <c r="J83" i="33" s="1"/>
  <c r="K66" i="33"/>
  <c r="K63" i="33"/>
  <c r="K67" i="33"/>
  <c r="K62" i="33"/>
  <c r="X6" i="20"/>
  <c r="W35" i="20"/>
  <c r="U35" i="20"/>
  <c r="K26" i="20"/>
  <c r="Z6" i="20"/>
  <c r="AA6" i="20"/>
  <c r="AB6" i="20"/>
  <c r="AC6" i="20"/>
  <c r="AD6" i="20"/>
  <c r="AE6" i="20"/>
  <c r="AF6" i="20"/>
  <c r="AG6" i="20"/>
  <c r="AH6" i="20"/>
  <c r="AI6" i="20"/>
  <c r="AJ6" i="20"/>
  <c r="AK6" i="20"/>
  <c r="AL6" i="20"/>
  <c r="AM6" i="20"/>
  <c r="AN6" i="20"/>
  <c r="AO6" i="20"/>
  <c r="AP6" i="20"/>
  <c r="AQ6" i="20"/>
  <c r="AR6" i="20"/>
  <c r="AS6" i="20"/>
  <c r="AT6" i="20"/>
  <c r="AU6" i="20"/>
  <c r="AV6" i="20"/>
  <c r="AW6" i="20"/>
  <c r="AX6" i="20"/>
  <c r="AY6" i="20"/>
  <c r="AZ6" i="20"/>
  <c r="BA6" i="20"/>
  <c r="Y6" i="20"/>
  <c r="G1" i="36" l="1"/>
  <c r="G8" i="36"/>
  <c r="F1" i="36"/>
  <c r="F8" i="36"/>
  <c r="E8" i="36"/>
  <c r="K69" i="33"/>
  <c r="K83" i="33" s="1"/>
  <c r="L67" i="33"/>
  <c r="L63" i="33"/>
  <c r="L66" i="33"/>
  <c r="L62" i="33"/>
  <c r="E1" i="36" l="1"/>
  <c r="D8" i="36"/>
  <c r="M67" i="33"/>
  <c r="M66" i="33"/>
  <c r="M63" i="33"/>
  <c r="M62" i="33"/>
  <c r="L69" i="33"/>
  <c r="L83" i="33" s="1"/>
  <c r="N67" i="33" l="1"/>
  <c r="N66" i="33"/>
  <c r="N63" i="33"/>
  <c r="N62" i="33"/>
  <c r="M69" i="33"/>
  <c r="M83" i="33" s="1"/>
  <c r="N69" i="33" l="1"/>
  <c r="N83" i="33" s="1"/>
  <c r="O67" i="33"/>
  <c r="O66" i="33"/>
  <c r="O63" i="33"/>
  <c r="O62" i="33"/>
  <c r="O69" i="33" l="1"/>
  <c r="O83" i="33" s="1"/>
  <c r="P66" i="33"/>
  <c r="P63" i="33"/>
  <c r="P67" i="33"/>
  <c r="P62" i="33"/>
  <c r="Q67" i="33" l="1"/>
  <c r="Q66" i="33"/>
  <c r="Q63" i="33"/>
  <c r="Q62" i="33"/>
  <c r="P69" i="33"/>
  <c r="P83" i="33" s="1"/>
  <c r="J5" i="20"/>
  <c r="J6" i="20" s="1"/>
  <c r="J18" i="20"/>
  <c r="J20" i="20" s="1"/>
  <c r="N5" i="20" s="1"/>
  <c r="D28" i="29"/>
  <c r="D79" i="29" s="1"/>
  <c r="D27" i="29"/>
  <c r="D24" i="29"/>
  <c r="D11" i="29"/>
  <c r="D66" i="29" s="1"/>
  <c r="M66" i="29" s="1"/>
  <c r="D8" i="29"/>
  <c r="D7" i="29"/>
  <c r="D54" i="29"/>
  <c r="D53" i="29"/>
  <c r="D50" i="29"/>
  <c r="D42" i="29"/>
  <c r="D41" i="29"/>
  <c r="D38" i="29"/>
  <c r="D37" i="29"/>
  <c r="D36" i="29"/>
  <c r="M70" i="29"/>
  <c r="AN17" i="29"/>
  <c r="AM17" i="29"/>
  <c r="AL17" i="29"/>
  <c r="AK17" i="29"/>
  <c r="AJ17" i="29"/>
  <c r="AI17" i="29"/>
  <c r="AH17" i="29"/>
  <c r="AG17" i="29"/>
  <c r="AF17" i="29"/>
  <c r="AE17" i="29"/>
  <c r="AD17" i="29"/>
  <c r="AC17" i="29"/>
  <c r="AB17" i="29"/>
  <c r="AA17" i="29"/>
  <c r="Z17" i="29"/>
  <c r="Y17" i="29"/>
  <c r="X17" i="29"/>
  <c r="W17" i="29"/>
  <c r="V17" i="29"/>
  <c r="U17" i="29"/>
  <c r="T17" i="29"/>
  <c r="S17" i="29"/>
  <c r="R17" i="29"/>
  <c r="Q17" i="29"/>
  <c r="P17" i="29"/>
  <c r="O17" i="29"/>
  <c r="N17" i="29"/>
  <c r="M17" i="29"/>
  <c r="L17" i="29"/>
  <c r="K17" i="29"/>
  <c r="J17" i="29"/>
  <c r="I17" i="29"/>
  <c r="H17" i="29"/>
  <c r="G17" i="29"/>
  <c r="F17" i="29"/>
  <c r="D12" i="29"/>
  <c r="D67" i="29" s="1"/>
  <c r="M67" i="29" s="1"/>
  <c r="D6" i="29"/>
  <c r="R67" i="33" l="1"/>
  <c r="R63" i="33"/>
  <c r="R66" i="33"/>
  <c r="R62" i="33"/>
  <c r="Q69" i="33"/>
  <c r="Q83" i="33" s="1"/>
  <c r="M79" i="29"/>
  <c r="AJ79" i="29"/>
  <c r="T79" i="29"/>
  <c r="AE79" i="29"/>
  <c r="O79" i="29"/>
  <c r="AH79" i="29"/>
  <c r="R79" i="29"/>
  <c r="AK79" i="29"/>
  <c r="U79" i="29"/>
  <c r="AI79" i="29"/>
  <c r="AL79" i="29"/>
  <c r="G79" i="29"/>
  <c r="AF79" i="29"/>
  <c r="P79" i="29"/>
  <c r="I79" i="29"/>
  <c r="AA79" i="29"/>
  <c r="AD79" i="29"/>
  <c r="N79" i="29"/>
  <c r="AG79" i="29"/>
  <c r="Q79" i="29"/>
  <c r="X79" i="29"/>
  <c r="J79" i="29"/>
  <c r="AB79" i="29"/>
  <c r="L79" i="29"/>
  <c r="AM79" i="29"/>
  <c r="W79" i="29"/>
  <c r="H79" i="29"/>
  <c r="Z79" i="29"/>
  <c r="K79" i="29"/>
  <c r="AC79" i="29"/>
  <c r="AN79" i="29"/>
  <c r="S79" i="29"/>
  <c r="V79" i="29"/>
  <c r="Y79" i="29"/>
  <c r="D75" i="29"/>
  <c r="D78" i="29"/>
  <c r="F66" i="29"/>
  <c r="G66" i="29"/>
  <c r="H66" i="29"/>
  <c r="I66" i="29"/>
  <c r="J66" i="29"/>
  <c r="K66" i="29"/>
  <c r="L66" i="29"/>
  <c r="F67" i="29"/>
  <c r="G67" i="29"/>
  <c r="H67" i="29"/>
  <c r="I67" i="29"/>
  <c r="J67" i="29"/>
  <c r="K67" i="29"/>
  <c r="L67" i="29"/>
  <c r="N67" i="29"/>
  <c r="N66" i="29"/>
  <c r="D62" i="29"/>
  <c r="K62" i="29" s="1"/>
  <c r="D63" i="29"/>
  <c r="J8" i="20"/>
  <c r="N4" i="20" s="1"/>
  <c r="H36" i="29"/>
  <c r="H49" i="29"/>
  <c r="H37" i="29"/>
  <c r="H38" i="29"/>
  <c r="H42" i="29"/>
  <c r="F49" i="29"/>
  <c r="G49" i="29"/>
  <c r="I52" i="29"/>
  <c r="I53" i="29"/>
  <c r="H52" i="29"/>
  <c r="H53" i="29"/>
  <c r="I49" i="29"/>
  <c r="G52" i="29"/>
  <c r="G53" i="29"/>
  <c r="G36" i="29"/>
  <c r="G37" i="29"/>
  <c r="G38" i="29"/>
  <c r="G41" i="29"/>
  <c r="G42" i="29"/>
  <c r="H41" i="29"/>
  <c r="I35" i="29"/>
  <c r="G24" i="29"/>
  <c r="I27" i="29"/>
  <c r="G27" i="29"/>
  <c r="G28" i="29"/>
  <c r="H28" i="29"/>
  <c r="I28" i="29"/>
  <c r="I24" i="29"/>
  <c r="H24" i="29"/>
  <c r="H27" i="29"/>
  <c r="G12" i="29"/>
  <c r="G8" i="29"/>
  <c r="H11" i="29"/>
  <c r="G6" i="29"/>
  <c r="H12" i="29"/>
  <c r="H6" i="29"/>
  <c r="I6" i="29"/>
  <c r="G7" i="29"/>
  <c r="H8" i="29"/>
  <c r="I11" i="29"/>
  <c r="H7" i="29"/>
  <c r="I8" i="29"/>
  <c r="I7" i="29"/>
  <c r="G11" i="29"/>
  <c r="I12" i="29"/>
  <c r="F12" i="29"/>
  <c r="S67" i="33" l="1"/>
  <c r="S63" i="33"/>
  <c r="S66" i="33"/>
  <c r="S62" i="33"/>
  <c r="R69" i="33"/>
  <c r="R83" i="33" s="1"/>
  <c r="Q78" i="29"/>
  <c r="AJ78" i="29"/>
  <c r="T78" i="29"/>
  <c r="M78" i="29"/>
  <c r="AE78" i="29"/>
  <c r="O78" i="29"/>
  <c r="AH78" i="29"/>
  <c r="R78" i="29"/>
  <c r="G78" i="29"/>
  <c r="Y78" i="29"/>
  <c r="X78" i="29"/>
  <c r="AI78" i="29"/>
  <c r="K78" i="29"/>
  <c r="N78" i="29"/>
  <c r="AF78" i="29"/>
  <c r="P78" i="29"/>
  <c r="I78" i="29"/>
  <c r="AA78" i="29"/>
  <c r="L78" i="29"/>
  <c r="AD78" i="29"/>
  <c r="AK78" i="29"/>
  <c r="U78" i="29"/>
  <c r="AL78" i="29"/>
  <c r="J78" i="29"/>
  <c r="AB78" i="29"/>
  <c r="AM78" i="29"/>
  <c r="W78" i="29"/>
  <c r="H78" i="29"/>
  <c r="Z78" i="29"/>
  <c r="AG78" i="29"/>
  <c r="AN78" i="29"/>
  <c r="S78" i="29"/>
  <c r="V78" i="29"/>
  <c r="AC78" i="29"/>
  <c r="M75" i="29"/>
  <c r="J75" i="29"/>
  <c r="AB75" i="29"/>
  <c r="AB81" i="29" s="1"/>
  <c r="L75" i="29"/>
  <c r="L81" i="29" s="1"/>
  <c r="AM75" i="29"/>
  <c r="W75" i="29"/>
  <c r="AD75" i="29"/>
  <c r="N75" i="29"/>
  <c r="AK75" i="29"/>
  <c r="U75" i="29"/>
  <c r="AA75" i="29"/>
  <c r="AA81" i="29" s="1"/>
  <c r="AH75" i="29"/>
  <c r="AH81" i="29" s="1"/>
  <c r="G75" i="29"/>
  <c r="AN75" i="29"/>
  <c r="X75" i="29"/>
  <c r="AI75" i="29"/>
  <c r="S75" i="29"/>
  <c r="H75" i="29"/>
  <c r="Z75" i="29"/>
  <c r="Z81" i="29" s="1"/>
  <c r="AG75" i="29"/>
  <c r="AG81" i="29" s="1"/>
  <c r="Q75" i="29"/>
  <c r="Y75" i="29"/>
  <c r="AJ75" i="29"/>
  <c r="AJ81" i="29" s="1"/>
  <c r="T75" i="29"/>
  <c r="T81" i="29" s="1"/>
  <c r="AE75" i="29"/>
  <c r="O75" i="29"/>
  <c r="AL75" i="29"/>
  <c r="V75" i="29"/>
  <c r="AC75" i="29"/>
  <c r="AF75" i="29"/>
  <c r="P75" i="29"/>
  <c r="I75" i="29"/>
  <c r="K75" i="29"/>
  <c r="K81" i="29" s="1"/>
  <c r="R75" i="29"/>
  <c r="O66" i="29"/>
  <c r="O67" i="29"/>
  <c r="O63" i="29"/>
  <c r="I34" i="29"/>
  <c r="F63" i="29"/>
  <c r="G63" i="29"/>
  <c r="H63" i="29"/>
  <c r="I63" i="29"/>
  <c r="J63" i="29"/>
  <c r="K63" i="29"/>
  <c r="K69" i="29" s="1"/>
  <c r="L63" i="29"/>
  <c r="M63" i="29"/>
  <c r="J62" i="29"/>
  <c r="J69" i="29" s="1"/>
  <c r="N62" i="29"/>
  <c r="O62" i="29"/>
  <c r="L62" i="29"/>
  <c r="G62" i="29"/>
  <c r="H62" i="29"/>
  <c r="P62" i="29"/>
  <c r="I62" i="29"/>
  <c r="F62" i="29"/>
  <c r="M62" i="29"/>
  <c r="N63" i="29"/>
  <c r="I36" i="29"/>
  <c r="I42" i="29"/>
  <c r="I38" i="29"/>
  <c r="I37" i="29"/>
  <c r="I41" i="29"/>
  <c r="H44" i="29"/>
  <c r="H56" i="29"/>
  <c r="G56" i="29"/>
  <c r="I56" i="29"/>
  <c r="G44" i="29"/>
  <c r="G30" i="29"/>
  <c r="I30" i="29"/>
  <c r="I14" i="29"/>
  <c r="H14" i="29"/>
  <c r="H30" i="29"/>
  <c r="H69" i="29" l="1"/>
  <c r="M69" i="29"/>
  <c r="N69" i="29"/>
  <c r="I69" i="29"/>
  <c r="AE81" i="29"/>
  <c r="Q81" i="29"/>
  <c r="S81" i="29"/>
  <c r="AK81" i="29"/>
  <c r="O81" i="29"/>
  <c r="Y81" i="29"/>
  <c r="AM81" i="29"/>
  <c r="V81" i="29"/>
  <c r="AF81" i="29"/>
  <c r="AL81" i="29"/>
  <c r="X81" i="29"/>
  <c r="AC81" i="29"/>
  <c r="W81" i="29"/>
  <c r="I81" i="29"/>
  <c r="G81" i="29"/>
  <c r="S69" i="33"/>
  <c r="S83" i="33" s="1"/>
  <c r="T67" i="33"/>
  <c r="T66" i="33"/>
  <c r="T63" i="33"/>
  <c r="T62" i="33"/>
  <c r="R81" i="29"/>
  <c r="S17" i="20"/>
  <c r="M81" i="29"/>
  <c r="P81" i="29"/>
  <c r="AI81" i="29"/>
  <c r="N81" i="29"/>
  <c r="N83" i="29" s="1"/>
  <c r="AA17" i="20" s="1"/>
  <c r="AD81" i="29"/>
  <c r="H81" i="29"/>
  <c r="H83" i="29" s="1"/>
  <c r="U17" i="20" s="1"/>
  <c r="AN81" i="29"/>
  <c r="U81" i="29"/>
  <c r="J81" i="29"/>
  <c r="J83" i="29" s="1"/>
  <c r="W17" i="20" s="1"/>
  <c r="L69" i="29"/>
  <c r="L83" i="29" s="1"/>
  <c r="Y17" i="20" s="1"/>
  <c r="O69" i="29"/>
  <c r="O83" i="29" s="1"/>
  <c r="AB17" i="20" s="1"/>
  <c r="K83" i="29"/>
  <c r="X17" i="20" s="1"/>
  <c r="G69" i="29"/>
  <c r="P67" i="29"/>
  <c r="P63" i="29"/>
  <c r="P66" i="29"/>
  <c r="I44" i="29"/>
  <c r="I58" i="29" s="1"/>
  <c r="G58" i="29"/>
  <c r="H58" i="29"/>
  <c r="M83" i="29" l="1"/>
  <c r="Z17" i="20" s="1"/>
  <c r="I83" i="29"/>
  <c r="V17" i="20" s="1"/>
  <c r="G83" i="29"/>
  <c r="T17" i="20" s="1"/>
  <c r="T69" i="33"/>
  <c r="T83" i="33" s="1"/>
  <c r="U67" i="33"/>
  <c r="U66" i="33"/>
  <c r="U63" i="33"/>
  <c r="U62" i="33"/>
  <c r="H85" i="29"/>
  <c r="P69" i="29"/>
  <c r="P83" i="29" s="1"/>
  <c r="AC17" i="20" s="1"/>
  <c r="Q67" i="29"/>
  <c r="Q63" i="29"/>
  <c r="Q66" i="29"/>
  <c r="Q62" i="29"/>
  <c r="AI27" i="28"/>
  <c r="AJ27" i="28" s="1"/>
  <c r="BC26" i="28"/>
  <c r="BB26" i="28"/>
  <c r="BA26" i="28"/>
  <c r="AZ26" i="28"/>
  <c r="AY26" i="28"/>
  <c r="AX26" i="28"/>
  <c r="AW26" i="28"/>
  <c r="AV26" i="28"/>
  <c r="AU26" i="28"/>
  <c r="AT26" i="28"/>
  <c r="AS26" i="28"/>
  <c r="AR26" i="28"/>
  <c r="AQ26" i="28"/>
  <c r="AP26" i="28"/>
  <c r="AO26" i="28"/>
  <c r="AN26" i="28"/>
  <c r="AM26" i="28"/>
  <c r="AL26" i="28"/>
  <c r="AK26" i="28"/>
  <c r="AJ26" i="28"/>
  <c r="AI26" i="28"/>
  <c r="AH26" i="28"/>
  <c r="AG26" i="28"/>
  <c r="AF26" i="28"/>
  <c r="AE26" i="28"/>
  <c r="AD26" i="28"/>
  <c r="AC26" i="28"/>
  <c r="AB26" i="28"/>
  <c r="AA26" i="28"/>
  <c r="Z26" i="28"/>
  <c r="Y26" i="28"/>
  <c r="X26" i="28"/>
  <c r="W26" i="28"/>
  <c r="V26" i="28"/>
  <c r="U26" i="28"/>
  <c r="P17" i="28"/>
  <c r="P16" i="28"/>
  <c r="D15" i="28"/>
  <c r="V11" i="28" s="1"/>
  <c r="Q13" i="28"/>
  <c r="X12" i="28"/>
  <c r="W12" i="28"/>
  <c r="V12" i="28"/>
  <c r="U12" i="28"/>
  <c r="Q7" i="28"/>
  <c r="K7" i="28"/>
  <c r="K6" i="28"/>
  <c r="K5" i="28"/>
  <c r="K4" i="28"/>
  <c r="Q3" i="28"/>
  <c r="K3" i="28"/>
  <c r="AI1" i="28"/>
  <c r="AH1" i="28"/>
  <c r="AG1" i="28"/>
  <c r="AF1" i="28"/>
  <c r="AE1" i="28"/>
  <c r="AD1" i="28"/>
  <c r="AC1" i="28"/>
  <c r="AB1" i="28"/>
  <c r="AA1" i="28"/>
  <c r="Z1" i="28"/>
  <c r="Y1" i="28"/>
  <c r="X1" i="28"/>
  <c r="W1" i="28"/>
  <c r="V1" i="28"/>
  <c r="U1" i="28"/>
  <c r="K8" i="28" l="1"/>
  <c r="I11" i="28" s="1"/>
  <c r="I85" i="29"/>
  <c r="G4" i="24" s="1"/>
  <c r="G85" i="29"/>
  <c r="E4" i="24" s="1"/>
  <c r="D4" i="24"/>
  <c r="F4" i="24"/>
  <c r="U69" i="33"/>
  <c r="U83" i="33" s="1"/>
  <c r="V66" i="33"/>
  <c r="V67" i="33"/>
  <c r="V63" i="33"/>
  <c r="V62" i="33"/>
  <c r="Q69" i="29"/>
  <c r="Q83" i="29" s="1"/>
  <c r="AD17" i="20" s="1"/>
  <c r="R66" i="29"/>
  <c r="R67" i="29"/>
  <c r="R63" i="29"/>
  <c r="R62" i="29"/>
  <c r="AK27" i="28"/>
  <c r="AL27" i="28" s="1"/>
  <c r="AM27" i="28" s="1"/>
  <c r="AN27" i="28" s="1"/>
  <c r="AJ1" i="28"/>
  <c r="U15" i="28"/>
  <c r="W5" i="28"/>
  <c r="X11" i="28"/>
  <c r="Q11" i="28"/>
  <c r="I12" i="28" s="1"/>
  <c r="I13" i="28"/>
  <c r="I14" i="28" s="1"/>
  <c r="J16" i="28" s="1"/>
  <c r="AK1" i="28"/>
  <c r="V15" i="28"/>
  <c r="W11" i="28"/>
  <c r="X15" i="28"/>
  <c r="U11" i="28"/>
  <c r="U5" i="28"/>
  <c r="AL1" i="28"/>
  <c r="AM1" i="28"/>
  <c r="V5" i="28"/>
  <c r="W15" i="28"/>
  <c r="D25" i="11"/>
  <c r="D26" i="11"/>
  <c r="D27" i="11"/>
  <c r="D24" i="11"/>
  <c r="E1" i="24" l="1"/>
  <c r="W6" i="28"/>
  <c r="W13" i="28"/>
  <c r="F1" i="24"/>
  <c r="G1" i="24"/>
  <c r="D29" i="11"/>
  <c r="B19" i="11" s="1"/>
  <c r="V69" i="33"/>
  <c r="V83" i="33" s="1"/>
  <c r="W67" i="33"/>
  <c r="W66" i="33"/>
  <c r="W63" i="33"/>
  <c r="W62" i="33"/>
  <c r="R69" i="29"/>
  <c r="R83" i="29" s="1"/>
  <c r="AE17" i="20" s="1"/>
  <c r="S66" i="29"/>
  <c r="S63" i="29"/>
  <c r="S67" i="29"/>
  <c r="S62" i="29"/>
  <c r="V13" i="28"/>
  <c r="AO27" i="28"/>
  <c r="AN1" i="28"/>
  <c r="U6" i="28"/>
  <c r="V6" i="28"/>
  <c r="U13" i="28"/>
  <c r="X13" i="28"/>
  <c r="D28" i="11"/>
  <c r="C24" i="14"/>
  <c r="C25" i="14"/>
  <c r="C23" i="14"/>
  <c r="K12" i="14"/>
  <c r="T36" i="20"/>
  <c r="U36" i="20"/>
  <c r="V36" i="20"/>
  <c r="S36" i="20"/>
  <c r="T32" i="20"/>
  <c r="U32" i="20"/>
  <c r="V32" i="20"/>
  <c r="S32" i="20"/>
  <c r="N33" i="20"/>
  <c r="N36" i="20"/>
  <c r="J48" i="24"/>
  <c r="J50" i="24" s="1"/>
  <c r="C27" i="14" l="1"/>
  <c r="C26" i="14"/>
  <c r="E15" i="24"/>
  <c r="F15" i="24" s="1"/>
  <c r="W69" i="33"/>
  <c r="W83" i="33" s="1"/>
  <c r="X67" i="33"/>
  <c r="X63" i="33"/>
  <c r="X66" i="33"/>
  <c r="X62" i="33"/>
  <c r="S69" i="29"/>
  <c r="S83" i="29" s="1"/>
  <c r="AF17" i="20" s="1"/>
  <c r="T67" i="29"/>
  <c r="T66" i="29"/>
  <c r="T63" i="29"/>
  <c r="T62" i="29"/>
  <c r="AP27" i="28"/>
  <c r="AO1" i="28"/>
  <c r="G15" i="24" l="1"/>
  <c r="X69" i="33"/>
  <c r="X83" i="33" s="1"/>
  <c r="Y67" i="33"/>
  <c r="Y66" i="33"/>
  <c r="Y63" i="33"/>
  <c r="Y62" i="33"/>
  <c r="T69" i="29"/>
  <c r="T83" i="29" s="1"/>
  <c r="AG17" i="20" s="1"/>
  <c r="U67" i="29"/>
  <c r="U63" i="29"/>
  <c r="U66" i="29"/>
  <c r="U62" i="29"/>
  <c r="AQ27" i="28"/>
  <c r="AP1" i="28"/>
  <c r="H15" i="24" l="1"/>
  <c r="Y69" i="33"/>
  <c r="Y83" i="33" s="1"/>
  <c r="Z63" i="33"/>
  <c r="Z66" i="33"/>
  <c r="Z67" i="33"/>
  <c r="Z62" i="33"/>
  <c r="U69" i="29"/>
  <c r="AH17" i="20" s="1"/>
  <c r="V67" i="29"/>
  <c r="V63" i="29"/>
  <c r="V66" i="29"/>
  <c r="V62" i="29"/>
  <c r="AR27" i="28"/>
  <c r="AQ1" i="28"/>
  <c r="I15" i="24" l="1"/>
  <c r="AA66" i="33"/>
  <c r="AA67" i="33"/>
  <c r="AA63" i="33"/>
  <c r="AA62" i="33"/>
  <c r="Z69" i="33"/>
  <c r="Z83" i="33" s="1"/>
  <c r="V69" i="29"/>
  <c r="V83" i="29" s="1"/>
  <c r="AI17" i="20" s="1"/>
  <c r="W66" i="29"/>
  <c r="W67" i="29"/>
  <c r="W63" i="29"/>
  <c r="W62" i="29"/>
  <c r="AR1" i="28"/>
  <c r="AS27" i="28"/>
  <c r="J15" i="24" l="1"/>
  <c r="K15" i="24" s="1"/>
  <c r="AB67" i="33"/>
  <c r="AB66" i="33"/>
  <c r="AB63" i="33"/>
  <c r="AB62" i="33"/>
  <c r="AA69" i="33"/>
  <c r="AA83" i="33" s="1"/>
  <c r="W69" i="29"/>
  <c r="W83" i="29" s="1"/>
  <c r="AJ17" i="20" s="1"/>
  <c r="X63" i="29"/>
  <c r="X66" i="29"/>
  <c r="X67" i="29"/>
  <c r="X62" i="29"/>
  <c r="AS1" i="28"/>
  <c r="AT27" i="28"/>
  <c r="AC67" i="33" l="1"/>
  <c r="AC66" i="33"/>
  <c r="AC63" i="33"/>
  <c r="AC62" i="33"/>
  <c r="AB69" i="33"/>
  <c r="AB83" i="33" s="1"/>
  <c r="X69" i="29"/>
  <c r="X83" i="29" s="1"/>
  <c r="AK17" i="20" s="1"/>
  <c r="Y67" i="29"/>
  <c r="Y63" i="29"/>
  <c r="Y66" i="29"/>
  <c r="Y62" i="29"/>
  <c r="AU27" i="28"/>
  <c r="AT1" i="28"/>
  <c r="L15" i="24"/>
  <c r="AD67" i="33" l="1"/>
  <c r="AD66" i="33"/>
  <c r="AD63" i="33"/>
  <c r="AD62" i="33"/>
  <c r="AC69" i="33"/>
  <c r="AC83" i="33" s="1"/>
  <c r="Y69" i="29"/>
  <c r="Y83" i="29" s="1"/>
  <c r="AL17" i="20" s="1"/>
  <c r="Z66" i="29"/>
  <c r="Z67" i="29"/>
  <c r="Z63" i="29"/>
  <c r="Z62" i="29"/>
  <c r="AU1" i="28"/>
  <c r="AV27" i="28"/>
  <c r="M15" i="24"/>
  <c r="AE63" i="33" l="1"/>
  <c r="AE66" i="33"/>
  <c r="AE67" i="33"/>
  <c r="AE62" i="33"/>
  <c r="AD69" i="33"/>
  <c r="AD83" i="33" s="1"/>
  <c r="Z69" i="29"/>
  <c r="Z83" i="29" s="1"/>
  <c r="AM17" i="20" s="1"/>
  <c r="AA66" i="29"/>
  <c r="AA67" i="29"/>
  <c r="AA63" i="29"/>
  <c r="AA62" i="29"/>
  <c r="AV1" i="28"/>
  <c r="AW27" i="28"/>
  <c r="N15" i="24"/>
  <c r="AF66" i="33" l="1"/>
  <c r="AF67" i="33"/>
  <c r="AF63" i="33"/>
  <c r="AF62" i="33"/>
  <c r="AE69" i="33"/>
  <c r="AE83" i="33" s="1"/>
  <c r="AA69" i="29"/>
  <c r="AA83" i="29" s="1"/>
  <c r="AN17" i="20" s="1"/>
  <c r="AB67" i="29"/>
  <c r="AB66" i="29"/>
  <c r="AB63" i="29"/>
  <c r="AB62" i="29"/>
  <c r="AW1" i="28"/>
  <c r="AX27" i="28"/>
  <c r="O15" i="24"/>
  <c r="AG67" i="33" l="1"/>
  <c r="AG66" i="33"/>
  <c r="AG63" i="33"/>
  <c r="AG62" i="33"/>
  <c r="AF69" i="33"/>
  <c r="AF83" i="33" s="1"/>
  <c r="AB69" i="29"/>
  <c r="AB83" i="29" s="1"/>
  <c r="AO17" i="20" s="1"/>
  <c r="AC67" i="29"/>
  <c r="AC63" i="29"/>
  <c r="AC66" i="29"/>
  <c r="AC62" i="29"/>
  <c r="AY27" i="28"/>
  <c r="AX1" i="28"/>
  <c r="P15" i="24"/>
  <c r="AH67" i="33" l="1"/>
  <c r="AH63" i="33"/>
  <c r="AH66" i="33"/>
  <c r="AH62" i="33"/>
  <c r="AG69" i="33"/>
  <c r="AG83" i="33" s="1"/>
  <c r="AC69" i="29"/>
  <c r="AC83" i="29" s="1"/>
  <c r="AP17" i="20" s="1"/>
  <c r="AD67" i="29"/>
  <c r="AD63" i="29"/>
  <c r="AD66" i="29"/>
  <c r="AD62" i="29"/>
  <c r="AY1" i="28"/>
  <c r="AZ27" i="28"/>
  <c r="Q15" i="24"/>
  <c r="AI67" i="33" l="1"/>
  <c r="AI66" i="33"/>
  <c r="AI63" i="33"/>
  <c r="AI62" i="33"/>
  <c r="AH69" i="33"/>
  <c r="AH83" i="33" s="1"/>
  <c r="AD69" i="29"/>
  <c r="AD83" i="29" s="1"/>
  <c r="AQ17" i="20" s="1"/>
  <c r="AE66" i="29"/>
  <c r="AE67" i="29"/>
  <c r="AE63" i="29"/>
  <c r="AE62" i="29"/>
  <c r="AZ1" i="28"/>
  <c r="BA27" i="28"/>
  <c r="R15" i="24"/>
  <c r="AI69" i="33" l="1"/>
  <c r="AI83" i="33" s="1"/>
  <c r="AJ63" i="33"/>
  <c r="AJ67" i="33"/>
  <c r="AJ66" i="33"/>
  <c r="AJ62" i="33"/>
  <c r="AE69" i="29"/>
  <c r="AE83" i="29" s="1"/>
  <c r="AR17" i="20" s="1"/>
  <c r="AF66" i="29"/>
  <c r="AF67" i="29"/>
  <c r="AF63" i="29"/>
  <c r="AF62" i="29"/>
  <c r="BA1" i="28"/>
  <c r="BB27" i="28"/>
  <c r="S15" i="24"/>
  <c r="AK67" i="33" l="1"/>
  <c r="AK66" i="33"/>
  <c r="AK63" i="33"/>
  <c r="AK62" i="33"/>
  <c r="AJ69" i="33"/>
  <c r="AJ83" i="33" s="1"/>
  <c r="AF69" i="29"/>
  <c r="AF83" i="29" s="1"/>
  <c r="AS17" i="20" s="1"/>
  <c r="AG67" i="29"/>
  <c r="AG63" i="29"/>
  <c r="AG66" i="29"/>
  <c r="AG62" i="29"/>
  <c r="BC27" i="28"/>
  <c r="BC1" i="28" s="1"/>
  <c r="BB1" i="28"/>
  <c r="T15" i="24"/>
  <c r="AL66" i="33" l="1"/>
  <c r="AL63" i="33"/>
  <c r="AL67" i="33"/>
  <c r="AL62" i="33"/>
  <c r="AK69" i="33"/>
  <c r="AK83" i="33" s="1"/>
  <c r="AG69" i="29"/>
  <c r="AG83" i="29" s="1"/>
  <c r="AT17" i="20" s="1"/>
  <c r="AH66" i="29"/>
  <c r="AH67" i="29"/>
  <c r="AH63" i="29"/>
  <c r="AH62" i="29"/>
  <c r="U15" i="24"/>
  <c r="AM67" i="33" l="1"/>
  <c r="AM63" i="33"/>
  <c r="AM66" i="33"/>
  <c r="AM62" i="33"/>
  <c r="AL69" i="33"/>
  <c r="AL83" i="33" s="1"/>
  <c r="AH69" i="29"/>
  <c r="AH83" i="29" s="1"/>
  <c r="AU17" i="20" s="1"/>
  <c r="AI66" i="29"/>
  <c r="AI67" i="29"/>
  <c r="AI63" i="29"/>
  <c r="AI62" i="29"/>
  <c r="V15" i="24"/>
  <c r="AN66" i="33" l="1"/>
  <c r="AN67" i="33"/>
  <c r="AN63" i="33"/>
  <c r="AN62" i="33"/>
  <c r="AM69" i="33"/>
  <c r="AM83" i="33" s="1"/>
  <c r="AI69" i="29"/>
  <c r="AI83" i="29" s="1"/>
  <c r="AV17" i="20" s="1"/>
  <c r="AJ67" i="29"/>
  <c r="AJ66" i="29"/>
  <c r="AJ63" i="29"/>
  <c r="AJ62" i="29"/>
  <c r="W15" i="24"/>
  <c r="AN69" i="33" l="1"/>
  <c r="AN83" i="33" s="1"/>
  <c r="AJ69" i="29"/>
  <c r="AJ83" i="29" s="1"/>
  <c r="AW17" i="20" s="1"/>
  <c r="AK67" i="29"/>
  <c r="AK63" i="29"/>
  <c r="AK66" i="29"/>
  <c r="AK62" i="29"/>
  <c r="X15" i="24"/>
  <c r="AK69" i="29" l="1"/>
  <c r="AK83" i="29" s="1"/>
  <c r="AX17" i="20" s="1"/>
  <c r="AL67" i="29"/>
  <c r="AL63" i="29"/>
  <c r="AL66" i="29"/>
  <c r="AL62" i="29"/>
  <c r="Y15" i="24"/>
  <c r="AL69" i="29" l="1"/>
  <c r="AL83" i="29" s="1"/>
  <c r="AY17" i="20" s="1"/>
  <c r="AM66" i="29"/>
  <c r="AM67" i="29"/>
  <c r="AM63" i="29"/>
  <c r="AM62" i="29"/>
  <c r="Z15" i="24"/>
  <c r="AM69" i="29" l="1"/>
  <c r="AM83" i="29" s="1"/>
  <c r="AZ17" i="20" s="1"/>
  <c r="AN66" i="29"/>
  <c r="AN67" i="29"/>
  <c r="AN63" i="29"/>
  <c r="AN62" i="29"/>
  <c r="AA15" i="24"/>
  <c r="AN69" i="29" l="1"/>
  <c r="AN83" i="29" s="1"/>
  <c r="BA17" i="20" s="1"/>
  <c r="AB15" i="24"/>
  <c r="AC15" i="24" l="1"/>
  <c r="AD15" i="24" l="1"/>
  <c r="AE15" i="24" l="1"/>
  <c r="AF15" i="24" l="1"/>
  <c r="AG15" i="24" l="1"/>
  <c r="AH15" i="24" l="1"/>
  <c r="AI15" i="24" l="1"/>
  <c r="AJ15" i="24" l="1"/>
  <c r="AK15" i="24" l="1"/>
  <c r="AL15" i="24" l="1"/>
  <c r="AL120" i="25" l="1"/>
  <c r="AK120" i="25"/>
  <c r="AJ120" i="25"/>
  <c r="AI120" i="25"/>
  <c r="AH120" i="25"/>
  <c r="AG120" i="25"/>
  <c r="AF120" i="25"/>
  <c r="AE120" i="25"/>
  <c r="AD120" i="25"/>
  <c r="AC120" i="25"/>
  <c r="AB120" i="25"/>
  <c r="AA120" i="25"/>
  <c r="Z120" i="25"/>
  <c r="Y120" i="25"/>
  <c r="X120" i="25"/>
  <c r="W120" i="25"/>
  <c r="V120" i="25"/>
  <c r="U120" i="25"/>
  <c r="T120" i="25"/>
  <c r="S120" i="25"/>
  <c r="R120" i="25"/>
  <c r="G120" i="25"/>
  <c r="F120" i="25"/>
  <c r="E120" i="25"/>
  <c r="D120" i="25"/>
  <c r="AL108" i="25"/>
  <c r="AK108" i="25"/>
  <c r="AJ108" i="25"/>
  <c r="AI108" i="25"/>
  <c r="AH108" i="25"/>
  <c r="AG108" i="25"/>
  <c r="AF108" i="25"/>
  <c r="AE108" i="25"/>
  <c r="AD108" i="25"/>
  <c r="AC108" i="25"/>
  <c r="AB108" i="25"/>
  <c r="AA108" i="25"/>
  <c r="Z108" i="25"/>
  <c r="Y108" i="25"/>
  <c r="X108" i="25"/>
  <c r="W108" i="25"/>
  <c r="V108" i="25"/>
  <c r="U108" i="25"/>
  <c r="T108" i="25"/>
  <c r="S108" i="25"/>
  <c r="R108" i="25"/>
  <c r="F108" i="25"/>
  <c r="E108" i="25"/>
  <c r="AL102" i="25"/>
  <c r="AK102" i="25"/>
  <c r="AJ102" i="25"/>
  <c r="AI102" i="25"/>
  <c r="AH102" i="25"/>
  <c r="AG102" i="25"/>
  <c r="AF102" i="25"/>
  <c r="AE102" i="25"/>
  <c r="AD102" i="25"/>
  <c r="AC102" i="25"/>
  <c r="AB102" i="25"/>
  <c r="AA102" i="25"/>
  <c r="Z102" i="25"/>
  <c r="Y102" i="25"/>
  <c r="X102" i="25"/>
  <c r="W102" i="25"/>
  <c r="V102" i="25"/>
  <c r="U102" i="25"/>
  <c r="T102" i="25"/>
  <c r="S102" i="25"/>
  <c r="R102" i="25"/>
  <c r="F102" i="25"/>
  <c r="AL96" i="25"/>
  <c r="AK96" i="25"/>
  <c r="AJ96" i="25"/>
  <c r="AI96" i="25"/>
  <c r="AH96" i="25"/>
  <c r="AG96" i="25"/>
  <c r="AF96" i="25"/>
  <c r="AE96" i="25"/>
  <c r="AD96" i="25"/>
  <c r="AC96" i="25"/>
  <c r="AB96" i="25"/>
  <c r="AA96" i="25"/>
  <c r="Z96" i="25"/>
  <c r="Y96" i="25"/>
  <c r="X96" i="25"/>
  <c r="W96" i="25"/>
  <c r="V96" i="25"/>
  <c r="U96" i="25"/>
  <c r="T96" i="25"/>
  <c r="S96" i="25"/>
  <c r="R96" i="25"/>
  <c r="F96" i="25"/>
  <c r="E96" i="25"/>
  <c r="D96" i="25"/>
  <c r="AL89" i="25"/>
  <c r="AK89" i="25"/>
  <c r="AJ89" i="25"/>
  <c r="AI89" i="25"/>
  <c r="AH89" i="25"/>
  <c r="AG89" i="25"/>
  <c r="F89" i="25"/>
  <c r="E89" i="25"/>
  <c r="D89" i="25"/>
  <c r="D156" i="25" s="1"/>
  <c r="AL84" i="25"/>
  <c r="AK84" i="25"/>
  <c r="AJ84" i="25"/>
  <c r="AI84" i="25"/>
  <c r="AH84" i="25"/>
  <c r="AG84" i="25"/>
  <c r="F84" i="25"/>
  <c r="E84" i="25"/>
  <c r="AL78" i="25"/>
  <c r="AK78" i="25"/>
  <c r="AJ78" i="25"/>
  <c r="AI78" i="25"/>
  <c r="AH78" i="25"/>
  <c r="AG78" i="25"/>
  <c r="E78" i="25"/>
  <c r="F78" i="25"/>
  <c r="AE89" i="25" l="1"/>
  <c r="T89" i="25"/>
  <c r="X89" i="25"/>
  <c r="AB89" i="25"/>
  <c r="AF89" i="25"/>
  <c r="R89" i="25"/>
  <c r="V89" i="25"/>
  <c r="AD89" i="25"/>
  <c r="S89" i="25"/>
  <c r="W89" i="25"/>
  <c r="AA89" i="25"/>
  <c r="AI156" i="25"/>
  <c r="AL156" i="25"/>
  <c r="C28" i="20"/>
  <c r="D62" i="18"/>
  <c r="G58" i="18"/>
  <c r="G53" i="18"/>
  <c r="F51" i="18"/>
  <c r="E62" i="18"/>
  <c r="D47" i="18"/>
  <c r="H46" i="18"/>
  <c r="F33" i="18"/>
  <c r="D33" i="18"/>
  <c r="C26" i="25"/>
  <c r="J106" i="25"/>
  <c r="K101" i="25"/>
  <c r="M100" i="25"/>
  <c r="M93" i="25"/>
  <c r="I88" i="25"/>
  <c r="W83" i="25"/>
  <c r="Q82" i="25"/>
  <c r="I77" i="25"/>
  <c r="C30" i="25"/>
  <c r="D26" i="18"/>
  <c r="F10" i="18" l="1"/>
  <c r="J51" i="18"/>
  <c r="H18" i="18"/>
  <c r="J46" i="18"/>
  <c r="G14" i="18"/>
  <c r="J53" i="18"/>
  <c r="G62" i="18"/>
  <c r="G22" i="18"/>
  <c r="J58" i="18"/>
  <c r="AJ156" i="25"/>
  <c r="AJ18" i="36" s="1"/>
  <c r="AJ38" i="36" s="1"/>
  <c r="AH156" i="25"/>
  <c r="AH18" i="36" s="1"/>
  <c r="AH38" i="36" s="1"/>
  <c r="D18" i="24"/>
  <c r="AI18" i="36"/>
  <c r="AI38" i="36" s="1"/>
  <c r="AL18" i="36"/>
  <c r="AL38" i="36" s="1"/>
  <c r="F30" i="25"/>
  <c r="F31" i="25" s="1"/>
  <c r="E31" i="25"/>
  <c r="AC30" i="25"/>
  <c r="AC31" i="25" s="1"/>
  <c r="AK156" i="25"/>
  <c r="AG156" i="25"/>
  <c r="AI18" i="24"/>
  <c r="AI38" i="24" s="1"/>
  <c r="AL18" i="24"/>
  <c r="AL38" i="24" s="1"/>
  <c r="K82" i="25"/>
  <c r="Y30" i="25"/>
  <c r="Y31" i="25" s="1"/>
  <c r="G84" i="25"/>
  <c r="M30" i="25"/>
  <c r="M31" i="25" s="1"/>
  <c r="I82" i="25"/>
  <c r="I30" i="25"/>
  <c r="I31" i="25" s="1"/>
  <c r="Q77" i="25"/>
  <c r="X82" i="25"/>
  <c r="U82" i="25"/>
  <c r="M77" i="25"/>
  <c r="AF78" i="25"/>
  <c r="U30" i="25"/>
  <c r="U31" i="25" s="1"/>
  <c r="I78" i="25"/>
  <c r="H82" i="25"/>
  <c r="R82" i="25"/>
  <c r="I93" i="25"/>
  <c r="L47" i="25"/>
  <c r="L48" i="25" s="1"/>
  <c r="P47" i="25"/>
  <c r="P48" i="25" s="1"/>
  <c r="T47" i="25"/>
  <c r="T48" i="25" s="1"/>
  <c r="X47" i="25"/>
  <c r="X48" i="25" s="1"/>
  <c r="I47" i="25"/>
  <c r="I48" i="25" s="1"/>
  <c r="M47" i="25"/>
  <c r="M48" i="25" s="1"/>
  <c r="Q47" i="25"/>
  <c r="Q48" i="25" s="1"/>
  <c r="U47" i="25"/>
  <c r="U48" i="25" s="1"/>
  <c r="K47" i="25"/>
  <c r="K48" i="25" s="1"/>
  <c r="S47" i="25"/>
  <c r="S48" i="25" s="1"/>
  <c r="Z47" i="25"/>
  <c r="Z48" i="25" s="1"/>
  <c r="N47" i="25"/>
  <c r="N48" i="25" s="1"/>
  <c r="V47" i="25"/>
  <c r="V48" i="25" s="1"/>
  <c r="H47" i="25"/>
  <c r="H48" i="25" s="1"/>
  <c r="O47" i="25"/>
  <c r="O48" i="25" s="1"/>
  <c r="W47" i="25"/>
  <c r="W48" i="25" s="1"/>
  <c r="J47" i="25"/>
  <c r="J48" i="25" s="1"/>
  <c r="R47" i="25"/>
  <c r="R48" i="25" s="1"/>
  <c r="Y47" i="25"/>
  <c r="Y48" i="25" s="1"/>
  <c r="AA77" i="25"/>
  <c r="AE77" i="25"/>
  <c r="W77" i="25"/>
  <c r="R77" i="25"/>
  <c r="L77" i="25"/>
  <c r="G77" i="25"/>
  <c r="G78" i="25" s="1"/>
  <c r="AB77" i="25"/>
  <c r="V77" i="25"/>
  <c r="P77" i="25"/>
  <c r="K77" i="25"/>
  <c r="Z77" i="25"/>
  <c r="Z78" i="25" s="1"/>
  <c r="T77" i="25"/>
  <c r="J77" i="25"/>
  <c r="AC77" i="25"/>
  <c r="S77" i="25"/>
  <c r="H77" i="25"/>
  <c r="H78" i="25" s="1"/>
  <c r="AD77" i="25"/>
  <c r="O77" i="25"/>
  <c r="X77" i="25"/>
  <c r="N77" i="25"/>
  <c r="Y77" i="25"/>
  <c r="Q30" i="25"/>
  <c r="Q31" i="25" s="1"/>
  <c r="U77" i="25"/>
  <c r="AA82" i="25"/>
  <c r="N82" i="25"/>
  <c r="M107" i="25"/>
  <c r="P107" i="25"/>
  <c r="J107" i="25"/>
  <c r="J108" i="25" s="1"/>
  <c r="Q108" i="25"/>
  <c r="I107" i="25"/>
  <c r="N107" i="25"/>
  <c r="L107" i="25"/>
  <c r="P82" i="25"/>
  <c r="W82" i="25"/>
  <c r="W84" i="25" s="1"/>
  <c r="AD82" i="25"/>
  <c r="AC82" i="25"/>
  <c r="AB82" i="25"/>
  <c r="J93" i="25"/>
  <c r="L100" i="25"/>
  <c r="K107" i="25"/>
  <c r="H107" i="25"/>
  <c r="K106" i="25"/>
  <c r="N106" i="25"/>
  <c r="H106" i="25"/>
  <c r="G106" i="25"/>
  <c r="G108" i="25" s="1"/>
  <c r="O106" i="25"/>
  <c r="I106" i="25"/>
  <c r="M106" i="25"/>
  <c r="L106" i="25"/>
  <c r="L82" i="25"/>
  <c r="S82" i="25"/>
  <c r="V82" i="25"/>
  <c r="M82" i="25"/>
  <c r="Q89" i="25"/>
  <c r="G100" i="25"/>
  <c r="G102" i="25" s="1"/>
  <c r="O107" i="25"/>
  <c r="M95" i="25"/>
  <c r="M96" i="25" s="1"/>
  <c r="L95" i="25"/>
  <c r="O95" i="25"/>
  <c r="Q95" i="25"/>
  <c r="Q96" i="25" s="1"/>
  <c r="J95" i="25"/>
  <c r="P95" i="25"/>
  <c r="I95" i="25"/>
  <c r="N95" i="25"/>
  <c r="O83" i="25"/>
  <c r="P88" i="25"/>
  <c r="P89" i="25" s="1"/>
  <c r="H88" i="25"/>
  <c r="H89" i="25" s="1"/>
  <c r="O88" i="25"/>
  <c r="G89" i="25"/>
  <c r="L88" i="25"/>
  <c r="K88" i="25"/>
  <c r="H100" i="25"/>
  <c r="N101" i="25"/>
  <c r="I101" i="25"/>
  <c r="M101" i="25"/>
  <c r="M102" i="25" s="1"/>
  <c r="H101" i="25"/>
  <c r="Q102" i="25"/>
  <c r="L101" i="25"/>
  <c r="O101" i="25"/>
  <c r="P101" i="25"/>
  <c r="J101" i="25"/>
  <c r="N88" i="25"/>
  <c r="I100" i="25"/>
  <c r="Y83" i="25"/>
  <c r="AC83" i="25"/>
  <c r="X83" i="25"/>
  <c r="R83" i="25"/>
  <c r="M83" i="25"/>
  <c r="AB83" i="25"/>
  <c r="AB84" i="25" s="1"/>
  <c r="V83" i="25"/>
  <c r="Q83" i="25"/>
  <c r="Q84" i="25" s="1"/>
  <c r="L83" i="25"/>
  <c r="AE83" i="25"/>
  <c r="AF83" i="25"/>
  <c r="AF84" i="25" s="1"/>
  <c r="Z83" i="25"/>
  <c r="U83" i="25"/>
  <c r="P83" i="25"/>
  <c r="P84" i="25" s="1"/>
  <c r="J83" i="25"/>
  <c r="AD83" i="25"/>
  <c r="T83" i="25"/>
  <c r="I83" i="25"/>
  <c r="N83" i="25"/>
  <c r="AA83" i="25"/>
  <c r="K83" i="25"/>
  <c r="N100" i="25"/>
  <c r="J100" i="25"/>
  <c r="K93" i="25"/>
  <c r="H93" i="25"/>
  <c r="G93" i="25"/>
  <c r="G96" i="25" s="1"/>
  <c r="O93" i="25"/>
  <c r="N93" i="25"/>
  <c r="L93" i="25"/>
  <c r="S83" i="25"/>
  <c r="T82" i="25"/>
  <c r="AE82" i="25"/>
  <c r="O82" i="25"/>
  <c r="Z82" i="25"/>
  <c r="J82" i="25"/>
  <c r="Y82" i="25"/>
  <c r="I89" i="25"/>
  <c r="J88" i="25"/>
  <c r="M88" i="25"/>
  <c r="K95" i="25"/>
  <c r="K100" i="25"/>
  <c r="K102" i="25" s="1"/>
  <c r="U89" i="25"/>
  <c r="Z89" i="25"/>
  <c r="AC89" i="25"/>
  <c r="Y89" i="25"/>
  <c r="AB30" i="25"/>
  <c r="AB31" i="25" s="1"/>
  <c r="X30" i="25"/>
  <c r="X31" i="25" s="1"/>
  <c r="T30" i="25"/>
  <c r="T31" i="25" s="1"/>
  <c r="P30" i="25"/>
  <c r="P31" i="25" s="1"/>
  <c r="L30" i="25"/>
  <c r="L31" i="25" s="1"/>
  <c r="H30" i="25"/>
  <c r="H31" i="25" s="1"/>
  <c r="AA30" i="25"/>
  <c r="AA31" i="25" s="1"/>
  <c r="W30" i="25"/>
  <c r="W31" i="25" s="1"/>
  <c r="S30" i="25"/>
  <c r="S31" i="25" s="1"/>
  <c r="O30" i="25"/>
  <c r="O31" i="25" s="1"/>
  <c r="K30" i="25"/>
  <c r="K31" i="25" s="1"/>
  <c r="G30" i="25"/>
  <c r="G31" i="25" s="1"/>
  <c r="Z30" i="25"/>
  <c r="Z31" i="25" s="1"/>
  <c r="V30" i="25"/>
  <c r="V31" i="25" s="1"/>
  <c r="R30" i="25"/>
  <c r="R31" i="25" s="1"/>
  <c r="N30" i="25"/>
  <c r="N31" i="25" s="1"/>
  <c r="J30" i="25"/>
  <c r="J31" i="25" s="1"/>
  <c r="H62" i="18"/>
  <c r="E47" i="18"/>
  <c r="F62" i="18"/>
  <c r="G33" i="18"/>
  <c r="G47" i="18"/>
  <c r="H47" i="18"/>
  <c r="E33" i="18"/>
  <c r="H33" i="18"/>
  <c r="F47" i="18"/>
  <c r="H26" i="18"/>
  <c r="F26" i="18"/>
  <c r="E26" i="18"/>
  <c r="D26" i="25"/>
  <c r="D38" i="24" l="1"/>
  <c r="F22" i="25"/>
  <c r="I22" i="25" s="1"/>
  <c r="J22" i="18"/>
  <c r="G18" i="25"/>
  <c r="J18" i="18"/>
  <c r="G26" i="18"/>
  <c r="F14" i="25"/>
  <c r="J14" i="18"/>
  <c r="E10" i="25"/>
  <c r="J10" i="18"/>
  <c r="I84" i="25"/>
  <c r="R84" i="25"/>
  <c r="V84" i="25"/>
  <c r="P108" i="25"/>
  <c r="M108" i="25"/>
  <c r="AH18" i="24"/>
  <c r="AH38" i="24" s="1"/>
  <c r="S84" i="25"/>
  <c r="K84" i="25"/>
  <c r="AJ18" i="24"/>
  <c r="AJ38" i="24" s="1"/>
  <c r="D18" i="36"/>
  <c r="D38" i="36" s="1"/>
  <c r="X84" i="25"/>
  <c r="AG18" i="36"/>
  <c r="AG38" i="36" s="1"/>
  <c r="AK18" i="36"/>
  <c r="AK38" i="36" s="1"/>
  <c r="AF156" i="25"/>
  <c r="AF18" i="36" s="1"/>
  <c r="AF38" i="36" s="1"/>
  <c r="L78" i="25"/>
  <c r="E156" i="25"/>
  <c r="L148" i="25"/>
  <c r="I148" i="25"/>
  <c r="J148" i="25"/>
  <c r="H148" i="25"/>
  <c r="K148" i="25"/>
  <c r="P143" i="25"/>
  <c r="J143" i="25"/>
  <c r="N143" i="25"/>
  <c r="Q143" i="25"/>
  <c r="I143" i="25"/>
  <c r="M143" i="25"/>
  <c r="K143" i="25"/>
  <c r="L143" i="25"/>
  <c r="O143" i="25"/>
  <c r="Q138" i="25"/>
  <c r="N138" i="25"/>
  <c r="J138" i="25"/>
  <c r="K138" i="25"/>
  <c r="M138" i="25"/>
  <c r="O138" i="25"/>
  <c r="L138" i="25"/>
  <c r="P138" i="25"/>
  <c r="I102" i="25"/>
  <c r="K78" i="25"/>
  <c r="M78" i="25"/>
  <c r="AB78" i="25"/>
  <c r="J102" i="25"/>
  <c r="U84" i="25"/>
  <c r="P78" i="25"/>
  <c r="AK18" i="24"/>
  <c r="AK38" i="24" s="1"/>
  <c r="J62" i="18"/>
  <c r="L108" i="25"/>
  <c r="Q78" i="25"/>
  <c r="U78" i="25"/>
  <c r="AG18" i="24"/>
  <c r="AG38" i="24" s="1"/>
  <c r="O84" i="25"/>
  <c r="L96" i="25"/>
  <c r="P96" i="25"/>
  <c r="X78" i="25"/>
  <c r="AE78" i="25"/>
  <c r="W78" i="25"/>
  <c r="M89" i="25"/>
  <c r="H84" i="25"/>
  <c r="AD78" i="25"/>
  <c r="N102" i="25"/>
  <c r="N84" i="25"/>
  <c r="O102" i="25"/>
  <c r="L89" i="25"/>
  <c r="I96" i="25"/>
  <c r="J78" i="25"/>
  <c r="N78" i="25"/>
  <c r="T78" i="25"/>
  <c r="AC78" i="25"/>
  <c r="O78" i="25"/>
  <c r="H124" i="25"/>
  <c r="H126" i="25" s="1"/>
  <c r="K124" i="25"/>
  <c r="K126" i="25" s="1"/>
  <c r="I124" i="25"/>
  <c r="I126" i="25" s="1"/>
  <c r="J124" i="25"/>
  <c r="J126" i="25" s="1"/>
  <c r="Z84" i="25"/>
  <c r="O89" i="25"/>
  <c r="AD84" i="25"/>
  <c r="V78" i="25"/>
  <c r="J112" i="25"/>
  <c r="J114" i="25" s="1"/>
  <c r="L112" i="25"/>
  <c r="L114" i="25" s="1"/>
  <c r="K112" i="25"/>
  <c r="K114" i="25" s="1"/>
  <c r="I112" i="25"/>
  <c r="I114" i="25" s="1"/>
  <c r="M118" i="25"/>
  <c r="M120" i="25" s="1"/>
  <c r="H118" i="25"/>
  <c r="H120" i="25" s="1"/>
  <c r="N118" i="25"/>
  <c r="N120" i="25" s="1"/>
  <c r="K118" i="25"/>
  <c r="K120" i="25" s="1"/>
  <c r="O118" i="25"/>
  <c r="O120" i="25" s="1"/>
  <c r="J118" i="25"/>
  <c r="J120" i="25" s="1"/>
  <c r="P118" i="25"/>
  <c r="P120" i="25" s="1"/>
  <c r="Q118" i="25"/>
  <c r="Q120" i="25" s="1"/>
  <c r="L118" i="25"/>
  <c r="L120" i="25" s="1"/>
  <c r="I118" i="25"/>
  <c r="I120" i="25" s="1"/>
  <c r="K96" i="25"/>
  <c r="L102" i="25"/>
  <c r="Y84" i="25"/>
  <c r="H96" i="25"/>
  <c r="AA84" i="25"/>
  <c r="S78" i="25"/>
  <c r="Y78" i="25"/>
  <c r="AA78" i="25"/>
  <c r="R78" i="25"/>
  <c r="K89" i="25"/>
  <c r="L84" i="25"/>
  <c r="AE84" i="25"/>
  <c r="N96" i="25"/>
  <c r="M84" i="25"/>
  <c r="H108" i="25"/>
  <c r="AC84" i="25"/>
  <c r="O108" i="25"/>
  <c r="T84" i="25"/>
  <c r="O96" i="25"/>
  <c r="J96" i="25"/>
  <c r="I108" i="25"/>
  <c r="N108" i="25"/>
  <c r="K108" i="25"/>
  <c r="J89" i="25"/>
  <c r="J84" i="25"/>
  <c r="H102" i="25"/>
  <c r="P102" i="25"/>
  <c r="N89" i="25"/>
  <c r="I72" i="25"/>
  <c r="I73" i="25" s="1"/>
  <c r="H72" i="25"/>
  <c r="H73" i="25" s="1"/>
  <c r="G72" i="25"/>
  <c r="G73" i="25" s="1"/>
  <c r="J72" i="25"/>
  <c r="J73" i="25" s="1"/>
  <c r="I10" i="25" l="1"/>
  <c r="E26" i="25"/>
  <c r="I18" i="25"/>
  <c r="G26" i="25"/>
  <c r="I14" i="25"/>
  <c r="C67" i="25"/>
  <c r="F26" i="25"/>
  <c r="L33" i="18"/>
  <c r="E18" i="36"/>
  <c r="E38" i="36" s="1"/>
  <c r="AN31" i="25"/>
  <c r="AF18" i="24"/>
  <c r="AF38" i="24" s="1"/>
  <c r="AN143" i="25"/>
  <c r="AE156" i="25"/>
  <c r="AA156" i="25"/>
  <c r="V156" i="25"/>
  <c r="AC156" i="25"/>
  <c r="AD156" i="25"/>
  <c r="AD18" i="36" s="1"/>
  <c r="AD38" i="36" s="1"/>
  <c r="R156" i="25"/>
  <c r="R18" i="36" s="1"/>
  <c r="R38" i="36" s="1"/>
  <c r="U156" i="25"/>
  <c r="U18" i="36" s="1"/>
  <c r="U38" i="36" s="1"/>
  <c r="W156" i="25"/>
  <c r="T156" i="25"/>
  <c r="T18" i="36" s="1"/>
  <c r="T38" i="36" s="1"/>
  <c r="X156" i="25"/>
  <c r="X18" i="36" s="1"/>
  <c r="X38" i="36" s="1"/>
  <c r="S156" i="25"/>
  <c r="S18" i="36" s="1"/>
  <c r="S38" i="36" s="1"/>
  <c r="Y156" i="25"/>
  <c r="Y18" i="36" s="1"/>
  <c r="Y38" i="36" s="1"/>
  <c r="Z156" i="25"/>
  <c r="AB156" i="25"/>
  <c r="K62" i="18"/>
  <c r="F156" i="25"/>
  <c r="AN138" i="25"/>
  <c r="AN148" i="25"/>
  <c r="AN114" i="25"/>
  <c r="AN57" i="25"/>
  <c r="E18" i="24"/>
  <c r="E38" i="24" s="1"/>
  <c r="AN78" i="25"/>
  <c r="AN38" i="25"/>
  <c r="AN108" i="25"/>
  <c r="AN96" i="25"/>
  <c r="AN48" i="25"/>
  <c r="AN102" i="25"/>
  <c r="AN120" i="25"/>
  <c r="AN63" i="25"/>
  <c r="AN89" i="25"/>
  <c r="AN126" i="25"/>
  <c r="AN84" i="25"/>
  <c r="AN73" i="25"/>
  <c r="I67" i="25" l="1"/>
  <c r="I68" i="25" s="1"/>
  <c r="H67" i="25"/>
  <c r="H68" i="25" s="1"/>
  <c r="P67" i="25"/>
  <c r="P68" i="25" s="1"/>
  <c r="K67" i="25"/>
  <c r="K68" i="25" s="1"/>
  <c r="G67" i="25"/>
  <c r="G68" i="25" s="1"/>
  <c r="N67" i="25"/>
  <c r="N68" i="25" s="1"/>
  <c r="L67" i="25"/>
  <c r="L68" i="25" s="1"/>
  <c r="O67" i="25"/>
  <c r="O68" i="25" s="1"/>
  <c r="M67" i="25"/>
  <c r="M68" i="25" s="1"/>
  <c r="J67" i="25"/>
  <c r="J68" i="25" s="1"/>
  <c r="I26" i="25"/>
  <c r="AC18" i="36"/>
  <c r="AC38" i="36" s="1"/>
  <c r="AB18" i="36"/>
  <c r="AB38" i="36" s="1"/>
  <c r="AE18" i="36"/>
  <c r="AE38" i="36" s="1"/>
  <c r="S18" i="24"/>
  <c r="S38" i="24" s="1"/>
  <c r="AA18" i="36"/>
  <c r="AA38" i="36" s="1"/>
  <c r="W18" i="36"/>
  <c r="W38" i="36" s="1"/>
  <c r="F18" i="36"/>
  <c r="F38" i="36" s="1"/>
  <c r="V18" i="36"/>
  <c r="V38" i="36" s="1"/>
  <c r="AN43" i="25"/>
  <c r="Z18" i="36"/>
  <c r="Z38" i="36" s="1"/>
  <c r="Z18" i="24"/>
  <c r="Z38" i="24" s="1"/>
  <c r="K47" i="18"/>
  <c r="X18" i="24"/>
  <c r="X38" i="24" s="1"/>
  <c r="Q132" i="25"/>
  <c r="Q156" i="25" s="1"/>
  <c r="AD18" i="24"/>
  <c r="AD38" i="24" s="1"/>
  <c r="F18" i="24"/>
  <c r="F38" i="24" s="1"/>
  <c r="AA18" i="24"/>
  <c r="AA38" i="24" s="1"/>
  <c r="H132" i="25"/>
  <c r="H156" i="25" s="1"/>
  <c r="G132" i="25"/>
  <c r="G156" i="25" s="1"/>
  <c r="AE18" i="24"/>
  <c r="AE38" i="24" s="1"/>
  <c r="AC18" i="24"/>
  <c r="AC38" i="24" s="1"/>
  <c r="W18" i="24"/>
  <c r="W38" i="24" s="1"/>
  <c r="U18" i="24"/>
  <c r="U38" i="24" s="1"/>
  <c r="AB18" i="24"/>
  <c r="AB38" i="24" s="1"/>
  <c r="Y18" i="24"/>
  <c r="Y38" i="24" s="1"/>
  <c r="T18" i="24"/>
  <c r="T38" i="24" s="1"/>
  <c r="R18" i="24"/>
  <c r="R38" i="24" s="1"/>
  <c r="V18" i="24"/>
  <c r="V38" i="24" s="1"/>
  <c r="AN68" i="25" l="1"/>
  <c r="Q18" i="36"/>
  <c r="Q38" i="36" s="1"/>
  <c r="H18" i="36"/>
  <c r="H38" i="36" s="1"/>
  <c r="G18" i="36"/>
  <c r="G38" i="36" s="1"/>
  <c r="G18" i="24"/>
  <c r="G38" i="24" s="1"/>
  <c r="Q18" i="24"/>
  <c r="Q38" i="24" s="1"/>
  <c r="H18" i="24"/>
  <c r="H38" i="24" s="1"/>
  <c r="N132" i="25"/>
  <c r="N156" i="25" s="1"/>
  <c r="J132" i="25"/>
  <c r="J156" i="25" s="1"/>
  <c r="P132" i="25"/>
  <c r="P156" i="25" s="1"/>
  <c r="M132" i="25"/>
  <c r="M156" i="25" s="1"/>
  <c r="K132" i="25"/>
  <c r="K156" i="25" s="1"/>
  <c r="I132" i="25"/>
  <c r="I156" i="25" s="1"/>
  <c r="O132" i="25"/>
  <c r="O156" i="25" s="1"/>
  <c r="L132" i="25"/>
  <c r="L156" i="25" s="1"/>
  <c r="L18" i="36" l="1"/>
  <c r="L38" i="36" s="1"/>
  <c r="L18" i="24"/>
  <c r="L38" i="24" s="1"/>
  <c r="M18" i="36"/>
  <c r="M38" i="36" s="1"/>
  <c r="M18" i="24"/>
  <c r="M38" i="24" s="1"/>
  <c r="K18" i="36"/>
  <c r="K38" i="36" s="1"/>
  <c r="K18" i="24"/>
  <c r="K38" i="24" s="1"/>
  <c r="O18" i="36"/>
  <c r="O38" i="36" s="1"/>
  <c r="O18" i="24"/>
  <c r="O38" i="24" s="1"/>
  <c r="P18" i="36"/>
  <c r="P38" i="36" s="1"/>
  <c r="P18" i="24"/>
  <c r="P38" i="24" s="1"/>
  <c r="N18" i="36"/>
  <c r="N38" i="36" s="1"/>
  <c r="N18" i="24"/>
  <c r="N38" i="24" s="1"/>
  <c r="I18" i="36"/>
  <c r="I38" i="36" s="1"/>
  <c r="I18" i="24"/>
  <c r="I38" i="24" s="1"/>
  <c r="J18" i="36"/>
  <c r="J38" i="36" s="1"/>
  <c r="J18" i="24"/>
  <c r="J38" i="24" s="1"/>
  <c r="AN132" i="25"/>
  <c r="AN155" i="25" s="1"/>
  <c r="O6" i="20" l="1"/>
  <c r="N6" i="20"/>
  <c r="K18" i="20"/>
  <c r="K20" i="20" s="1"/>
  <c r="O5" i="20" s="1"/>
  <c r="O33" i="20" l="1"/>
  <c r="P6" i="20"/>
  <c r="R6" i="20" s="1"/>
  <c r="N34" i="20"/>
  <c r="Q6" i="20"/>
  <c r="Q34" i="20" s="1"/>
  <c r="O34" i="20"/>
  <c r="P5" i="20"/>
  <c r="Q5" i="20"/>
  <c r="Q33" i="20" s="1"/>
  <c r="K5" i="20"/>
  <c r="K6" i="20" s="1"/>
  <c r="D20" i="20"/>
  <c r="D21" i="20"/>
  <c r="D22" i="20"/>
  <c r="D23" i="20"/>
  <c r="D25" i="20"/>
  <c r="D26" i="20"/>
  <c r="C20" i="20"/>
  <c r="C21" i="20"/>
  <c r="C22" i="20"/>
  <c r="C23" i="20"/>
  <c r="C25" i="20"/>
  <c r="C26" i="20"/>
  <c r="D19" i="20"/>
  <c r="C19" i="20"/>
  <c r="P48" i="21"/>
  <c r="F47" i="21"/>
  <c r="F46" i="21"/>
  <c r="F45" i="21"/>
  <c r="F44" i="21"/>
  <c r="F43" i="21"/>
  <c r="F42" i="21"/>
  <c r="K41" i="21"/>
  <c r="J41" i="21"/>
  <c r="N41" i="21" s="1"/>
  <c r="F40" i="21"/>
  <c r="K40" i="21" s="1"/>
  <c r="K39" i="21"/>
  <c r="J39" i="21"/>
  <c r="K38" i="21"/>
  <c r="J38" i="21"/>
  <c r="N38" i="21" s="1"/>
  <c r="J37" i="21"/>
  <c r="F37" i="21"/>
  <c r="K37" i="21" s="1"/>
  <c r="F36" i="21"/>
  <c r="J36" i="21" s="1"/>
  <c r="K35" i="21"/>
  <c r="J35" i="21"/>
  <c r="L35" i="21" s="1"/>
  <c r="K34" i="21"/>
  <c r="L34" i="21" s="1"/>
  <c r="J34" i="21"/>
  <c r="K33" i="21"/>
  <c r="L33" i="21" s="1"/>
  <c r="J33" i="21"/>
  <c r="K32" i="21"/>
  <c r="J32" i="21"/>
  <c r="F31" i="21"/>
  <c r="F30" i="21"/>
  <c r="K30" i="21" s="1"/>
  <c r="F29" i="21"/>
  <c r="K29" i="21" s="1"/>
  <c r="F28" i="21"/>
  <c r="K28" i="21" s="1"/>
  <c r="F27" i="21"/>
  <c r="F26" i="21"/>
  <c r="K26" i="21" s="1"/>
  <c r="F25" i="21"/>
  <c r="K25" i="21" s="1"/>
  <c r="F24" i="21"/>
  <c r="K24" i="21" s="1"/>
  <c r="F23" i="21"/>
  <c r="F22" i="21"/>
  <c r="K22" i="21" s="1"/>
  <c r="F21" i="21"/>
  <c r="K21" i="21" s="1"/>
  <c r="F20" i="21"/>
  <c r="K20" i="21" s="1"/>
  <c r="F19" i="21"/>
  <c r="F18" i="21"/>
  <c r="K18" i="21" s="1"/>
  <c r="F17" i="21"/>
  <c r="K16" i="21"/>
  <c r="F16" i="21"/>
  <c r="F15" i="21"/>
  <c r="F14" i="21"/>
  <c r="K14" i="21" s="1"/>
  <c r="F13" i="21"/>
  <c r="F12" i="21"/>
  <c r="K12" i="21" s="1"/>
  <c r="F11" i="21"/>
  <c r="F10" i="21"/>
  <c r="K10" i="21" s="1"/>
  <c r="F9" i="21"/>
  <c r="F8" i="21"/>
  <c r="K8" i="21" s="1"/>
  <c r="F7" i="21"/>
  <c r="K6" i="21"/>
  <c r="J6" i="21"/>
  <c r="F5" i="21"/>
  <c r="J5" i="21" s="1"/>
  <c r="L32" i="21" l="1"/>
  <c r="M33" i="21"/>
  <c r="K36" i="21"/>
  <c r="M36" i="21" s="1"/>
  <c r="M6" i="21"/>
  <c r="N33" i="21"/>
  <c r="M34" i="21"/>
  <c r="R5" i="20"/>
  <c r="R33" i="20" s="1"/>
  <c r="O33" i="21"/>
  <c r="Q33" i="21" s="1"/>
  <c r="L38" i="21"/>
  <c r="M41" i="21"/>
  <c r="N6" i="21"/>
  <c r="M32" i="21"/>
  <c r="P34" i="20"/>
  <c r="P33" i="20"/>
  <c r="Z34" i="20"/>
  <c r="AD34" i="20"/>
  <c r="AH34" i="20"/>
  <c r="AL34" i="20"/>
  <c r="AP34" i="20"/>
  <c r="AT34" i="20"/>
  <c r="AX34" i="20"/>
  <c r="AA34" i="20"/>
  <c r="AE34" i="20"/>
  <c r="AI34" i="20"/>
  <c r="AM34" i="20"/>
  <c r="AQ34" i="20"/>
  <c r="AU34" i="20"/>
  <c r="AY34" i="20"/>
  <c r="AB34" i="20"/>
  <c r="AF34" i="20"/>
  <c r="AJ34" i="20"/>
  <c r="AN34" i="20"/>
  <c r="AR34" i="20"/>
  <c r="AV34" i="20"/>
  <c r="AZ34" i="20"/>
  <c r="AC34" i="20"/>
  <c r="AG34" i="20"/>
  <c r="AK34" i="20"/>
  <c r="AO34" i="20"/>
  <c r="AS34" i="20"/>
  <c r="AW34" i="20"/>
  <c r="BA34" i="20"/>
  <c r="X34" i="20"/>
  <c r="Y34" i="20"/>
  <c r="R34" i="20"/>
  <c r="W34" i="20"/>
  <c r="F19" i="20"/>
  <c r="E21" i="20"/>
  <c r="G21" i="20" s="1"/>
  <c r="F23" i="20"/>
  <c r="K8" i="20"/>
  <c r="E23" i="20"/>
  <c r="G23" i="20" s="1"/>
  <c r="F25" i="20"/>
  <c r="E20" i="20"/>
  <c r="G20" i="20" s="1"/>
  <c r="F22" i="20"/>
  <c r="E19" i="20"/>
  <c r="G19" i="20" s="1"/>
  <c r="F26" i="20"/>
  <c r="N32" i="20"/>
  <c r="F21" i="20"/>
  <c r="E25" i="20"/>
  <c r="G25" i="20" s="1"/>
  <c r="E26" i="20"/>
  <c r="G26" i="20" s="1"/>
  <c r="E22" i="20"/>
  <c r="G22" i="20" s="1"/>
  <c r="F20" i="20"/>
  <c r="M37" i="21"/>
  <c r="K5" i="21"/>
  <c r="M5" i="21" s="1"/>
  <c r="J7" i="21"/>
  <c r="L7" i="21" s="1"/>
  <c r="J9" i="21"/>
  <c r="J11" i="21"/>
  <c r="J13" i="21"/>
  <c r="J15" i="21"/>
  <c r="M15" i="21" s="1"/>
  <c r="J17" i="21"/>
  <c r="M17" i="21" s="1"/>
  <c r="J19" i="21"/>
  <c r="J21" i="21"/>
  <c r="L21" i="21" s="1"/>
  <c r="J23" i="21"/>
  <c r="M23" i="21" s="1"/>
  <c r="J25" i="21"/>
  <c r="L25" i="21" s="1"/>
  <c r="J27" i="21"/>
  <c r="J29" i="21"/>
  <c r="N29" i="21" s="1"/>
  <c r="J31" i="21"/>
  <c r="N32" i="21"/>
  <c r="O32" i="21" s="1"/>
  <c r="Q32" i="21" s="1"/>
  <c r="M38" i="21"/>
  <c r="O38" i="21" s="1"/>
  <c r="Q38" i="21" s="1"/>
  <c r="L39" i="21"/>
  <c r="J40" i="21"/>
  <c r="N40" i="21" s="1"/>
  <c r="K47" i="21"/>
  <c r="J47" i="21"/>
  <c r="M47" i="21" s="1"/>
  <c r="L47" i="21"/>
  <c r="K9" i="21"/>
  <c r="K15" i="21"/>
  <c r="K17" i="21"/>
  <c r="K19" i="21"/>
  <c r="L19" i="21" s="1"/>
  <c r="K23" i="21"/>
  <c r="L23" i="21" s="1"/>
  <c r="K27" i="21"/>
  <c r="K31" i="21"/>
  <c r="N34" i="21"/>
  <c r="O34" i="21" s="1"/>
  <c r="Q34" i="21" s="1"/>
  <c r="M35" i="21"/>
  <c r="M39" i="21"/>
  <c r="L41" i="21"/>
  <c r="O41" i="21" s="1"/>
  <c r="Q41" i="21" s="1"/>
  <c r="K42" i="21"/>
  <c r="K43" i="21"/>
  <c r="K44" i="21"/>
  <c r="K45" i="21"/>
  <c r="K46" i="21"/>
  <c r="L29" i="21"/>
  <c r="K7" i="21"/>
  <c r="K11" i="21"/>
  <c r="M11" i="21" s="1"/>
  <c r="K13" i="21"/>
  <c r="L6" i="21"/>
  <c r="M7" i="21"/>
  <c r="J8" i="21"/>
  <c r="M8" i="21" s="1"/>
  <c r="J10" i="21"/>
  <c r="N10" i="21" s="1"/>
  <c r="J12" i="21"/>
  <c r="M12" i="21" s="1"/>
  <c r="J14" i="21"/>
  <c r="M14" i="21" s="1"/>
  <c r="J16" i="21"/>
  <c r="L16" i="21" s="1"/>
  <c r="J18" i="21"/>
  <c r="J20" i="21"/>
  <c r="M20" i="21" s="1"/>
  <c r="J22" i="21"/>
  <c r="M22" i="21" s="1"/>
  <c r="J24" i="21"/>
  <c r="M24" i="21" s="1"/>
  <c r="M25" i="21"/>
  <c r="J26" i="21"/>
  <c r="L26" i="21" s="1"/>
  <c r="J28" i="21"/>
  <c r="N28" i="21" s="1"/>
  <c r="M29" i="21"/>
  <c r="J30" i="21"/>
  <c r="M30" i="21" s="1"/>
  <c r="N35" i="21"/>
  <c r="L37" i="21"/>
  <c r="N37" i="21"/>
  <c r="N39" i="21"/>
  <c r="J42" i="21"/>
  <c r="J43" i="21"/>
  <c r="J44" i="21"/>
  <c r="M44" i="21" s="1"/>
  <c r="J45" i="21"/>
  <c r="J46" i="21"/>
  <c r="N46" i="21" s="1"/>
  <c r="L28" i="21" l="1"/>
  <c r="L8" i="21"/>
  <c r="O8" i="21" s="1"/>
  <c r="Q8" i="21" s="1"/>
  <c r="N36" i="21"/>
  <c r="L13" i="21"/>
  <c r="N14" i="21"/>
  <c r="N8" i="21"/>
  <c r="N25" i="21"/>
  <c r="O25" i="21" s="1"/>
  <c r="Q25" i="21" s="1"/>
  <c r="N9" i="21"/>
  <c r="L31" i="21"/>
  <c r="M42" i="21"/>
  <c r="L36" i="21"/>
  <c r="O36" i="21" s="1"/>
  <c r="Q36" i="21" s="1"/>
  <c r="L27" i="21"/>
  <c r="O37" i="21"/>
  <c r="Q37" i="21" s="1"/>
  <c r="O6" i="21"/>
  <c r="Q6" i="21" s="1"/>
  <c r="N27" i="21"/>
  <c r="N19" i="21"/>
  <c r="M13" i="21"/>
  <c r="L42" i="21"/>
  <c r="N24" i="21"/>
  <c r="L22" i="21"/>
  <c r="N7" i="21"/>
  <c r="O7" i="21" s="1"/>
  <c r="Q7" i="21" s="1"/>
  <c r="N15" i="21"/>
  <c r="M46" i="21"/>
  <c r="M19" i="21"/>
  <c r="L15" i="21"/>
  <c r="O15" i="21" s="1"/>
  <c r="Q15" i="21" s="1"/>
  <c r="N47" i="21"/>
  <c r="O47" i="21" s="1"/>
  <c r="Q47" i="21" s="1"/>
  <c r="L17" i="21"/>
  <c r="M45" i="21"/>
  <c r="O39" i="21"/>
  <c r="Q39" i="21" s="1"/>
  <c r="M31" i="21"/>
  <c r="M27" i="21"/>
  <c r="L11" i="21"/>
  <c r="L44" i="21"/>
  <c r="O35" i="21"/>
  <c r="Q35" i="21" s="1"/>
  <c r="O29" i="21"/>
  <c r="Q29" i="21" s="1"/>
  <c r="M16" i="21"/>
  <c r="L9" i="21"/>
  <c r="O9" i="21" s="1"/>
  <c r="Q9" i="21" s="1"/>
  <c r="O4" i="20"/>
  <c r="J9" i="20"/>
  <c r="L10" i="21"/>
  <c r="N18" i="21"/>
  <c r="N13" i="21"/>
  <c r="O13" i="21" s="1"/>
  <c r="Q13" i="21" s="1"/>
  <c r="N45" i="21"/>
  <c r="M9" i="21"/>
  <c r="N12" i="21"/>
  <c r="N17" i="21"/>
  <c r="L46" i="21"/>
  <c r="O46" i="21" s="1"/>
  <c r="Q46" i="21" s="1"/>
  <c r="L45" i="21"/>
  <c r="N30" i="21"/>
  <c r="L24" i="21"/>
  <c r="N20" i="21"/>
  <c r="L18" i="21"/>
  <c r="L14" i="21"/>
  <c r="O14" i="21" s="1"/>
  <c r="Q14" i="21" s="1"/>
  <c r="N31" i="21"/>
  <c r="N23" i="21"/>
  <c r="O23" i="21" s="1"/>
  <c r="Q23" i="21" s="1"/>
  <c r="N11" i="21"/>
  <c r="O11" i="21" s="1"/>
  <c r="Q11" i="21" s="1"/>
  <c r="M28" i="21"/>
  <c r="O28" i="21" s="1"/>
  <c r="Q28" i="21" s="1"/>
  <c r="L5" i="21"/>
  <c r="M26" i="21"/>
  <c r="M43" i="21"/>
  <c r="L30" i="21"/>
  <c r="N26" i="21"/>
  <c r="L20" i="21"/>
  <c r="O20" i="21" s="1"/>
  <c r="Q20" i="21" s="1"/>
  <c r="L12" i="21"/>
  <c r="M10" i="21"/>
  <c r="O10" i="21" s="1"/>
  <c r="Q10" i="21" s="1"/>
  <c r="N16" i="21"/>
  <c r="M18" i="21"/>
  <c r="L40" i="21"/>
  <c r="M40" i="21"/>
  <c r="O40" i="21" s="1"/>
  <c r="Q40" i="21" s="1"/>
  <c r="M21" i="21"/>
  <c r="N21" i="21"/>
  <c r="O45" i="21"/>
  <c r="Q45" i="21" s="1"/>
  <c r="L43" i="21"/>
  <c r="N22" i="21"/>
  <c r="N5" i="21"/>
  <c r="N44" i="21"/>
  <c r="N43" i="21"/>
  <c r="N42" i="21"/>
  <c r="O12" i="21" l="1"/>
  <c r="Q12" i="21" s="1"/>
  <c r="O19" i="21"/>
  <c r="Q19" i="21" s="1"/>
  <c r="O42" i="21"/>
  <c r="Q42" i="21" s="1"/>
  <c r="O22" i="21"/>
  <c r="Q22" i="21" s="1"/>
  <c r="O18" i="21"/>
  <c r="Q18" i="21" s="1"/>
  <c r="O27" i="21"/>
  <c r="Q27" i="21" s="1"/>
  <c r="O21" i="21"/>
  <c r="Q21" i="21" s="1"/>
  <c r="O16" i="21"/>
  <c r="Q16" i="21" s="1"/>
  <c r="Q48" i="21" s="1"/>
  <c r="Q49" i="21" s="1"/>
  <c r="O5" i="21"/>
  <c r="Q5" i="21" s="1"/>
  <c r="O31" i="21"/>
  <c r="Q31" i="21" s="1"/>
  <c r="O24" i="21"/>
  <c r="Q24" i="21" s="1"/>
  <c r="O17" i="21"/>
  <c r="Q17" i="21" s="1"/>
  <c r="O32" i="20"/>
  <c r="Q4" i="20"/>
  <c r="O43" i="21"/>
  <c r="Q43" i="21" s="1"/>
  <c r="O44" i="21"/>
  <c r="Q44" i="21" s="1"/>
  <c r="R51" i="21"/>
  <c r="C14" i="20" s="1"/>
  <c r="C29" i="20" s="1"/>
  <c r="O26" i="21"/>
  <c r="Q26" i="21" s="1"/>
  <c r="O30" i="21"/>
  <c r="Q30" i="21" s="1"/>
  <c r="R52" i="21" s="1"/>
  <c r="N8" i="20" s="1"/>
  <c r="P4" i="20"/>
  <c r="P32" i="20" s="1"/>
  <c r="W8" i="20" l="1"/>
  <c r="AU18" i="20"/>
  <c r="AU20" i="20" s="1"/>
  <c r="U18" i="20"/>
  <c r="U20" i="20" s="1"/>
  <c r="Y18" i="20"/>
  <c r="Y20" i="20" s="1"/>
  <c r="AC18" i="20"/>
  <c r="AC20" i="20" s="1"/>
  <c r="AG18" i="20"/>
  <c r="AG20" i="20" s="1"/>
  <c r="AK18" i="20"/>
  <c r="AK20" i="20" s="1"/>
  <c r="AO18" i="20"/>
  <c r="AO20" i="20" s="1"/>
  <c r="AS18" i="20"/>
  <c r="AS20" i="20" s="1"/>
  <c r="AX18" i="20"/>
  <c r="AX20" i="20" s="1"/>
  <c r="T18" i="20"/>
  <c r="T20" i="20" s="1"/>
  <c r="V18" i="20"/>
  <c r="V20" i="20" s="1"/>
  <c r="Z18" i="20"/>
  <c r="Z20" i="20" s="1"/>
  <c r="AD18" i="20"/>
  <c r="AD20" i="20" s="1"/>
  <c r="AH18" i="20"/>
  <c r="AH20" i="20" s="1"/>
  <c r="AL18" i="20"/>
  <c r="AL20" i="20" s="1"/>
  <c r="AP18" i="20"/>
  <c r="AP20" i="20" s="1"/>
  <c r="AT18" i="20"/>
  <c r="AT20" i="20" s="1"/>
  <c r="AY18" i="20"/>
  <c r="AY20" i="20" s="1"/>
  <c r="S18" i="20"/>
  <c r="S20" i="20" s="1"/>
  <c r="W18" i="20"/>
  <c r="W20" i="20" s="1"/>
  <c r="AA18" i="20"/>
  <c r="AA20" i="20" s="1"/>
  <c r="AE18" i="20"/>
  <c r="AE20" i="20" s="1"/>
  <c r="AI18" i="20"/>
  <c r="AI20" i="20" s="1"/>
  <c r="AM18" i="20"/>
  <c r="AM20" i="20" s="1"/>
  <c r="AQ18" i="20"/>
  <c r="AQ20" i="20" s="1"/>
  <c r="AV18" i="20"/>
  <c r="AV20" i="20" s="1"/>
  <c r="AZ18" i="20"/>
  <c r="AZ20" i="20" s="1"/>
  <c r="X18" i="20"/>
  <c r="X20" i="20" s="1"/>
  <c r="AB18" i="20"/>
  <c r="AB20" i="20" s="1"/>
  <c r="AF18" i="20"/>
  <c r="AF20" i="20" s="1"/>
  <c r="AJ18" i="20"/>
  <c r="AJ20" i="20" s="1"/>
  <c r="AN18" i="20"/>
  <c r="AN20" i="20" s="1"/>
  <c r="AR18" i="20"/>
  <c r="AR20" i="20" s="1"/>
  <c r="AW18" i="20"/>
  <c r="AW20" i="20" s="1"/>
  <c r="BA18" i="20"/>
  <c r="BA20" i="20" s="1"/>
  <c r="Z8" i="20"/>
  <c r="AD8" i="20"/>
  <c r="AH8" i="20"/>
  <c r="AL8" i="20"/>
  <c r="AP8" i="20"/>
  <c r="AT8" i="20"/>
  <c r="AX8" i="20"/>
  <c r="X8" i="20"/>
  <c r="AA8" i="20"/>
  <c r="AE8" i="20"/>
  <c r="AI8" i="20"/>
  <c r="AM8" i="20"/>
  <c r="AQ8" i="20"/>
  <c r="AU8" i="20"/>
  <c r="AY8" i="20"/>
  <c r="Y8" i="20"/>
  <c r="Y36" i="20" s="1"/>
  <c r="AG8" i="20"/>
  <c r="AS8" i="20"/>
  <c r="BA8" i="20"/>
  <c r="AK8" i="20"/>
  <c r="AB8" i="20"/>
  <c r="AB36" i="20" s="1"/>
  <c r="AF8" i="20"/>
  <c r="AJ8" i="20"/>
  <c r="AN8" i="20"/>
  <c r="AR8" i="20"/>
  <c r="AV8" i="20"/>
  <c r="AZ8" i="20"/>
  <c r="AC8" i="20"/>
  <c r="AO8" i="20"/>
  <c r="AW8" i="20"/>
  <c r="Q32" i="20"/>
  <c r="Z36" i="20"/>
  <c r="W36" i="20"/>
  <c r="AA36" i="20"/>
  <c r="X36" i="20"/>
  <c r="R53" i="21"/>
  <c r="R4" i="20"/>
  <c r="R32" i="20" s="1"/>
  <c r="D12" i="20"/>
  <c r="D27" i="20" s="1"/>
  <c r="C12" i="20"/>
  <c r="C27" i="20" s="1"/>
  <c r="E11" i="20"/>
  <c r="G11" i="20" s="1"/>
  <c r="F11" i="20"/>
  <c r="F10" i="20"/>
  <c r="E10" i="20"/>
  <c r="G10" i="20" s="1"/>
  <c r="D9" i="20"/>
  <c r="C9" i="20"/>
  <c r="C24" i="20" s="1"/>
  <c r="E8" i="20"/>
  <c r="G8" i="20" s="1"/>
  <c r="F8" i="20"/>
  <c r="F7" i="20"/>
  <c r="E7" i="20"/>
  <c r="G7" i="20" s="1"/>
  <c r="F6" i="20"/>
  <c r="E6" i="20"/>
  <c r="G6" i="20" s="1"/>
  <c r="F5" i="20"/>
  <c r="E5" i="20"/>
  <c r="G5" i="20" s="1"/>
  <c r="E4" i="20"/>
  <c r="G4" i="20" s="1"/>
  <c r="F4" i="20"/>
  <c r="E27" i="20" l="1"/>
  <c r="AC36" i="20"/>
  <c r="F27" i="20"/>
  <c r="F9" i="20"/>
  <c r="D24" i="20"/>
  <c r="F24" i="20" s="1"/>
  <c r="F12" i="20"/>
  <c r="E9" i="20"/>
  <c r="G9" i="20" s="1"/>
  <c r="E12" i="20"/>
  <c r="G12" i="20" s="1"/>
  <c r="E24" i="20" l="1"/>
  <c r="G24" i="20" s="1"/>
  <c r="G27" i="20"/>
  <c r="E30" i="20"/>
  <c r="AD36" i="20"/>
  <c r="F30" i="20"/>
  <c r="C35" i="11"/>
  <c r="B36" i="11" s="1"/>
  <c r="H13" i="36" l="1"/>
  <c r="H13" i="24"/>
  <c r="G30" i="20"/>
  <c r="AE36" i="20"/>
  <c r="I13" i="36" l="1"/>
  <c r="G13" i="36"/>
  <c r="I13" i="24"/>
  <c r="J13" i="24" s="1"/>
  <c r="G13" i="24"/>
  <c r="AF36" i="20"/>
  <c r="F16" i="14"/>
  <c r="C16" i="14"/>
  <c r="D16" i="14" s="1"/>
  <c r="F15" i="14"/>
  <c r="C15" i="14"/>
  <c r="D15" i="14" s="1"/>
  <c r="F14" i="14"/>
  <c r="C14" i="14"/>
  <c r="D14" i="14" s="1"/>
  <c r="F13" i="14"/>
  <c r="C13" i="14"/>
  <c r="D13" i="14" s="1"/>
  <c r="F12" i="14"/>
  <c r="C12" i="14"/>
  <c r="D12" i="14" s="1"/>
  <c r="D11" i="14"/>
  <c r="C6" i="14"/>
  <c r="B6" i="14"/>
  <c r="AP5" i="14"/>
  <c r="AK5" i="14"/>
  <c r="AF5" i="14"/>
  <c r="AA5" i="14"/>
  <c r="V5" i="14"/>
  <c r="Q5" i="14"/>
  <c r="AA4" i="14" s="1"/>
  <c r="D5" i="14"/>
  <c r="F5" i="14" s="1"/>
  <c r="AK4" i="14"/>
  <c r="Q4" i="14"/>
  <c r="D4" i="14"/>
  <c r="F4" i="14" s="1"/>
  <c r="K7" i="14" l="1"/>
  <c r="L4" i="14"/>
  <c r="F13" i="36"/>
  <c r="J13" i="36"/>
  <c r="F13" i="24"/>
  <c r="AB4" i="14"/>
  <c r="AC4" i="14" s="1"/>
  <c r="AD4" i="14" s="1"/>
  <c r="V4" i="14"/>
  <c r="W4" i="14" s="1"/>
  <c r="X4" i="14" s="1"/>
  <c r="Y4" i="14" s="1"/>
  <c r="AF4" i="14"/>
  <c r="AG4" i="14" s="1"/>
  <c r="AH4" i="14" s="1"/>
  <c r="AI4" i="14" s="1"/>
  <c r="AP4" i="14"/>
  <c r="AQ4" i="14" s="1"/>
  <c r="AR4" i="14" s="1"/>
  <c r="AS4" i="14" s="1"/>
  <c r="R4" i="14"/>
  <c r="S4" i="14" s="1"/>
  <c r="T4" i="14" s="1"/>
  <c r="AL4" i="14"/>
  <c r="AM4" i="14" s="1"/>
  <c r="AN4" i="14" s="1"/>
  <c r="M4" i="14"/>
  <c r="N4" i="14" s="1"/>
  <c r="O4" i="14" s="1"/>
  <c r="K13" i="24"/>
  <c r="AG36" i="20"/>
  <c r="E13" i="36" l="1"/>
  <c r="K13" i="36"/>
  <c r="O6" i="14"/>
  <c r="P15" i="14"/>
  <c r="T15" i="14"/>
  <c r="O15" i="14"/>
  <c r="Y20" i="28" s="1"/>
  <c r="Y21" i="28" s="1"/>
  <c r="N15" i="14"/>
  <c r="L15" i="14"/>
  <c r="E13" i="24"/>
  <c r="N6" i="14"/>
  <c r="V21" i="28"/>
  <c r="U21" i="28"/>
  <c r="X14" i="28"/>
  <c r="X16" i="28" s="1"/>
  <c r="U14" i="28"/>
  <c r="U16" i="28" s="1"/>
  <c r="V14" i="28"/>
  <c r="V16" i="28" s="1"/>
  <c r="V23" i="28" s="1"/>
  <c r="W14" i="28"/>
  <c r="W16" i="28" s="1"/>
  <c r="X15" i="14"/>
  <c r="AB15" i="14"/>
  <c r="AF15" i="14"/>
  <c r="AJ15" i="14"/>
  <c r="AN15" i="14"/>
  <c r="AR15" i="14"/>
  <c r="U6" i="14"/>
  <c r="T6" i="14"/>
  <c r="Y6" i="14"/>
  <c r="AC6" i="14"/>
  <c r="AG6" i="14"/>
  <c r="AK6" i="14"/>
  <c r="AO6" i="14"/>
  <c r="AS6" i="14"/>
  <c r="R6" i="14"/>
  <c r="R15" i="14"/>
  <c r="V15" i="14"/>
  <c r="Z15" i="14"/>
  <c r="AH15" i="14"/>
  <c r="AL15" i="14"/>
  <c r="W6" i="14"/>
  <c r="AA6" i="14"/>
  <c r="AI6" i="14"/>
  <c r="AM6" i="14"/>
  <c r="P6" i="14"/>
  <c r="S15" i="14"/>
  <c r="AA15" i="14"/>
  <c r="AI15" i="14"/>
  <c r="AQ15" i="14"/>
  <c r="X6" i="14"/>
  <c r="AF6" i="14"/>
  <c r="AN6" i="14"/>
  <c r="Q6" i="14"/>
  <c r="M15" i="14"/>
  <c r="Q15" i="14"/>
  <c r="U15" i="14"/>
  <c r="Y15" i="14"/>
  <c r="AC15" i="14"/>
  <c r="AG15" i="14"/>
  <c r="AK15" i="14"/>
  <c r="AO15" i="14"/>
  <c r="AS15" i="14"/>
  <c r="K6" i="14"/>
  <c r="V6" i="14"/>
  <c r="Z6" i="14"/>
  <c r="AD6" i="14"/>
  <c r="AH6" i="14"/>
  <c r="AL6" i="14"/>
  <c r="AP6" i="14"/>
  <c r="M6" i="14"/>
  <c r="AD15" i="14"/>
  <c r="AP15" i="14"/>
  <c r="AE6" i="14"/>
  <c r="AQ6" i="14"/>
  <c r="W15" i="14"/>
  <c r="AE15" i="14"/>
  <c r="AM15" i="14"/>
  <c r="K15" i="14"/>
  <c r="S6" i="14"/>
  <c r="AB6" i="14"/>
  <c r="AJ6" i="14"/>
  <c r="AR6" i="14"/>
  <c r="L13" i="24"/>
  <c r="AH36" i="20"/>
  <c r="L13" i="36" l="1"/>
  <c r="X20" i="28"/>
  <c r="X21" i="28" s="1"/>
  <c r="J47" i="33"/>
  <c r="J48" i="33" s="1"/>
  <c r="D13" i="36"/>
  <c r="W20" i="28"/>
  <c r="W21" i="28" s="1"/>
  <c r="W23" i="28" s="1"/>
  <c r="D13" i="24"/>
  <c r="BC20" i="28"/>
  <c r="BC21" i="28" s="1"/>
  <c r="AN47" i="33"/>
  <c r="AN48" i="33" s="1"/>
  <c r="AM20" i="28"/>
  <c r="AM21" i="28" s="1"/>
  <c r="X47" i="33"/>
  <c r="X48" i="33" s="1"/>
  <c r="AJ20" i="28"/>
  <c r="AJ21" i="28" s="1"/>
  <c r="U47" i="33"/>
  <c r="U48" i="33" s="1"/>
  <c r="AL20" i="28"/>
  <c r="AL21" i="28" s="1"/>
  <c r="W47" i="33"/>
  <c r="W48" i="33" s="1"/>
  <c r="AO20" i="28"/>
  <c r="AO21" i="28" s="1"/>
  <c r="Z47" i="33"/>
  <c r="Z48" i="33" s="1"/>
  <c r="AZ20" i="28"/>
  <c r="AZ21" i="28" s="1"/>
  <c r="AK47" i="33"/>
  <c r="AK48" i="33" s="1"/>
  <c r="AY20" i="28"/>
  <c r="AY21" i="28" s="1"/>
  <c r="AJ47" i="33"/>
  <c r="AJ48" i="33" s="1"/>
  <c r="AI20" i="28"/>
  <c r="AI21" i="28" s="1"/>
  <c r="T47" i="33"/>
  <c r="T48" i="33" s="1"/>
  <c r="BA20" i="28"/>
  <c r="BA21" i="28" s="1"/>
  <c r="AL47" i="33"/>
  <c r="AL48" i="33" s="1"/>
  <c r="AX20" i="28"/>
  <c r="AX21" i="28" s="1"/>
  <c r="AI47" i="33"/>
  <c r="AI48" i="33" s="1"/>
  <c r="AH20" i="28"/>
  <c r="AH21" i="28" s="1"/>
  <c r="S47" i="33"/>
  <c r="S48" i="33" s="1"/>
  <c r="AG20" i="28"/>
  <c r="AG21" i="28" s="1"/>
  <c r="R47" i="33"/>
  <c r="R48" i="33" s="1"/>
  <c r="AN20" i="28"/>
  <c r="AN21" i="28" s="1"/>
  <c r="Y47" i="33"/>
  <c r="Y48" i="33" s="1"/>
  <c r="AU20" i="28"/>
  <c r="AU21" i="28" s="1"/>
  <c r="AF47" i="33"/>
  <c r="AF48" i="33" s="1"/>
  <c r="AS20" i="28"/>
  <c r="AS21" i="28" s="1"/>
  <c r="AD47" i="33"/>
  <c r="AD48" i="33" s="1"/>
  <c r="AV20" i="28"/>
  <c r="AV21" i="28" s="1"/>
  <c r="AG47" i="33"/>
  <c r="AG48" i="33" s="1"/>
  <c r="AT20" i="28"/>
  <c r="AT21" i="28" s="1"/>
  <c r="AE47" i="33"/>
  <c r="AE48" i="33" s="1"/>
  <c r="AW20" i="28"/>
  <c r="AW21" i="28" s="1"/>
  <c r="AH47" i="33"/>
  <c r="AH48" i="33" s="1"/>
  <c r="BB20" i="28"/>
  <c r="BB21" i="28" s="1"/>
  <c r="AM47" i="33"/>
  <c r="AM48" i="33" s="1"/>
  <c r="AQ20" i="28"/>
  <c r="AQ21" i="28" s="1"/>
  <c r="AB47" i="33"/>
  <c r="AB48" i="33" s="1"/>
  <c r="AK20" i="28"/>
  <c r="AK21" i="28" s="1"/>
  <c r="V47" i="33"/>
  <c r="V48" i="33" s="1"/>
  <c r="AR20" i="28"/>
  <c r="AR21" i="28" s="1"/>
  <c r="AC47" i="33"/>
  <c r="AC48" i="33" s="1"/>
  <c r="AP20" i="28"/>
  <c r="AP21" i="28" s="1"/>
  <c r="AA47" i="33"/>
  <c r="AA48" i="33" s="1"/>
  <c r="AF20" i="28"/>
  <c r="AF21" i="28" s="1"/>
  <c r="Q47" i="33"/>
  <c r="Q48" i="33" s="1"/>
  <c r="AE20" i="28"/>
  <c r="AE21" i="28" s="1"/>
  <c r="P47" i="33"/>
  <c r="P48" i="33" s="1"/>
  <c r="AD20" i="28"/>
  <c r="AD21" i="28" s="1"/>
  <c r="O47" i="33"/>
  <c r="O48" i="33" s="1"/>
  <c r="AC20" i="28"/>
  <c r="AC21" i="28" s="1"/>
  <c r="N47" i="33"/>
  <c r="N48" i="33" s="1"/>
  <c r="AB20" i="28"/>
  <c r="AB21" i="28" s="1"/>
  <c r="M47" i="33"/>
  <c r="M48" i="33" s="1"/>
  <c r="AA20" i="28"/>
  <c r="AA21" i="28" s="1"/>
  <c r="L47" i="33"/>
  <c r="L48" i="33" s="1"/>
  <c r="Z20" i="28"/>
  <c r="Z21" i="28" s="1"/>
  <c r="K47" i="33"/>
  <c r="K48" i="33" s="1"/>
  <c r="AL47" i="29"/>
  <c r="AL48" i="29" s="1"/>
  <c r="AD47" i="29"/>
  <c r="AD48" i="29" s="1"/>
  <c r="AB47" i="29"/>
  <c r="AB48" i="29" s="1"/>
  <c r="S47" i="29"/>
  <c r="X47" i="29"/>
  <c r="X48" i="29" s="1"/>
  <c r="AE47" i="29"/>
  <c r="AE48" i="29" s="1"/>
  <c r="L47" i="29"/>
  <c r="L48" i="29" s="1"/>
  <c r="K47" i="29"/>
  <c r="K48" i="29" s="1"/>
  <c r="R47" i="29"/>
  <c r="AJ47" i="29"/>
  <c r="AJ48" i="29" s="1"/>
  <c r="T47" i="29"/>
  <c r="N47" i="29"/>
  <c r="AC47" i="29"/>
  <c r="AC48" i="29" s="1"/>
  <c r="AA47" i="29"/>
  <c r="AA48" i="29" s="1"/>
  <c r="M47" i="29"/>
  <c r="M48" i="29" s="1"/>
  <c r="P47" i="29"/>
  <c r="AM47" i="29"/>
  <c r="AM48" i="29" s="1"/>
  <c r="Z47" i="29"/>
  <c r="Z48" i="29" s="1"/>
  <c r="Y47" i="29"/>
  <c r="Y48" i="29" s="1"/>
  <c r="V47" i="29"/>
  <c r="AN47" i="29"/>
  <c r="AK47" i="29"/>
  <c r="AK48" i="29" s="1"/>
  <c r="U47" i="29"/>
  <c r="W47" i="29"/>
  <c r="J47" i="29"/>
  <c r="J48" i="29" s="1"/>
  <c r="AG47" i="29"/>
  <c r="AG48" i="29" s="1"/>
  <c r="Q47" i="29"/>
  <c r="AI47" i="29"/>
  <c r="AI48" i="29" s="1"/>
  <c r="AH47" i="29"/>
  <c r="AH48" i="29" s="1"/>
  <c r="AF47" i="29"/>
  <c r="AF48" i="29" s="1"/>
  <c r="O47" i="29"/>
  <c r="U23" i="28"/>
  <c r="S35" i="20"/>
  <c r="S38" i="20" s="1"/>
  <c r="E7" i="23"/>
  <c r="S10" i="20"/>
  <c r="D8" i="24"/>
  <c r="T35" i="20"/>
  <c r="T38" i="20" s="1"/>
  <c r="M13" i="24"/>
  <c r="T10" i="20"/>
  <c r="J49" i="33" l="1"/>
  <c r="J53" i="33"/>
  <c r="J52" i="33"/>
  <c r="D12" i="36"/>
  <c r="D11" i="36" s="1"/>
  <c r="D12" i="24"/>
  <c r="D11" i="24" s="1"/>
  <c r="D7" i="24" s="1"/>
  <c r="M13" i="36"/>
  <c r="E12" i="24"/>
  <c r="E11" i="24" s="1"/>
  <c r="E12" i="36"/>
  <c r="E11" i="36" s="1"/>
  <c r="AN48" i="29"/>
  <c r="AN52" i="29" s="1"/>
  <c r="AP4" i="29"/>
  <c r="J53" i="29"/>
  <c r="J52" i="29"/>
  <c r="AB52" i="33"/>
  <c r="AB49" i="33"/>
  <c r="AB53" i="33"/>
  <c r="AF49" i="33"/>
  <c r="AF53" i="33"/>
  <c r="AF52" i="33"/>
  <c r="AI52" i="33"/>
  <c r="AI49" i="33"/>
  <c r="AI53" i="33"/>
  <c r="AK49" i="33"/>
  <c r="AK52" i="33"/>
  <c r="AK53" i="33"/>
  <c r="W52" i="33"/>
  <c r="W49" i="33"/>
  <c r="W53" i="33"/>
  <c r="X49" i="33"/>
  <c r="X53" i="33"/>
  <c r="X52" i="33"/>
  <c r="AH49" i="33"/>
  <c r="AH53" i="33"/>
  <c r="AH52" i="33"/>
  <c r="R52" i="33"/>
  <c r="R49" i="33"/>
  <c r="R53" i="33"/>
  <c r="V49" i="33"/>
  <c r="V53" i="33"/>
  <c r="V52" i="33"/>
  <c r="AM53" i="33"/>
  <c r="AM49" i="33"/>
  <c r="AM52" i="33"/>
  <c r="AE53" i="33"/>
  <c r="AE49" i="33"/>
  <c r="AE52" i="33"/>
  <c r="AD52" i="33"/>
  <c r="AD49" i="33"/>
  <c r="AD53" i="33"/>
  <c r="Y53" i="33"/>
  <c r="Y49" i="33"/>
  <c r="Y52" i="33"/>
  <c r="S53" i="33"/>
  <c r="S52" i="33"/>
  <c r="S49" i="33"/>
  <c r="AL53" i="33"/>
  <c r="AL52" i="33"/>
  <c r="AL49" i="33"/>
  <c r="AJ53" i="33"/>
  <c r="AJ52" i="33"/>
  <c r="AJ49" i="33"/>
  <c r="Z49" i="33"/>
  <c r="Z53" i="33"/>
  <c r="Z52" i="33"/>
  <c r="U49" i="33"/>
  <c r="U53" i="33"/>
  <c r="U52" i="33"/>
  <c r="AN52" i="33"/>
  <c r="AN49" i="33"/>
  <c r="AN53" i="33"/>
  <c r="AC53" i="33"/>
  <c r="AC52" i="33"/>
  <c r="AC49" i="33"/>
  <c r="AG52" i="33"/>
  <c r="AG49" i="33"/>
  <c r="AG53" i="33"/>
  <c r="T49" i="33"/>
  <c r="T52" i="33"/>
  <c r="T53" i="33"/>
  <c r="AA49" i="33"/>
  <c r="AA53" i="33"/>
  <c r="AA52" i="33"/>
  <c r="Q49" i="33"/>
  <c r="Q52" i="33"/>
  <c r="Q53" i="33"/>
  <c r="P49" i="33"/>
  <c r="P53" i="33"/>
  <c r="P52" i="33"/>
  <c r="O52" i="33"/>
  <c r="O53" i="33"/>
  <c r="O49" i="33"/>
  <c r="N49" i="33"/>
  <c r="N53" i="33"/>
  <c r="N52" i="33"/>
  <c r="M53" i="33"/>
  <c r="M52" i="33"/>
  <c r="M49" i="33"/>
  <c r="L52" i="33"/>
  <c r="L49" i="33"/>
  <c r="L53" i="33"/>
  <c r="K53" i="33"/>
  <c r="K52" i="33"/>
  <c r="K49" i="33"/>
  <c r="L53" i="29"/>
  <c r="L49" i="29"/>
  <c r="L52" i="29"/>
  <c r="AD52" i="29"/>
  <c r="AD49" i="29"/>
  <c r="AD53" i="29"/>
  <c r="AF53" i="29"/>
  <c r="AF49" i="29"/>
  <c r="AF52" i="29"/>
  <c r="AG49" i="29"/>
  <c r="AG52" i="29"/>
  <c r="AG53" i="29"/>
  <c r="AK49" i="29"/>
  <c r="AK52" i="29"/>
  <c r="AK53" i="29"/>
  <c r="Z53" i="29"/>
  <c r="Z52" i="29"/>
  <c r="Z49" i="29"/>
  <c r="AA49" i="29"/>
  <c r="AA53" i="29"/>
  <c r="AA52" i="29"/>
  <c r="AJ52" i="29"/>
  <c r="AJ49" i="29"/>
  <c r="AJ53" i="29"/>
  <c r="K52" i="29"/>
  <c r="K49" i="29"/>
  <c r="K53" i="29"/>
  <c r="AE49" i="29"/>
  <c r="AE53" i="29"/>
  <c r="AE52" i="29"/>
  <c r="X49" i="29"/>
  <c r="X53" i="29"/>
  <c r="X52" i="29"/>
  <c r="AB49" i="29"/>
  <c r="AB53" i="29"/>
  <c r="AB52" i="29"/>
  <c r="AL49" i="29"/>
  <c r="AL53" i="29"/>
  <c r="AL52" i="29"/>
  <c r="AI53" i="29"/>
  <c r="AI52" i="29"/>
  <c r="AI49" i="29"/>
  <c r="AH53" i="29"/>
  <c r="AH49" i="29"/>
  <c r="AH52" i="29"/>
  <c r="J49" i="29"/>
  <c r="Y49" i="29"/>
  <c r="Y52" i="29"/>
  <c r="Y53" i="29"/>
  <c r="AM52" i="29"/>
  <c r="AM49" i="29"/>
  <c r="AM53" i="29"/>
  <c r="M52" i="29"/>
  <c r="M49" i="29"/>
  <c r="M53" i="29"/>
  <c r="AC52" i="29"/>
  <c r="AC49" i="29"/>
  <c r="AC53" i="29"/>
  <c r="E19" i="23"/>
  <c r="F22" i="23"/>
  <c r="AI36" i="20"/>
  <c r="N13" i="24"/>
  <c r="E8" i="24"/>
  <c r="F7" i="23"/>
  <c r="M11" i="11"/>
  <c r="N11" i="11" s="1"/>
  <c r="M10" i="11"/>
  <c r="N10" i="11" s="1"/>
  <c r="M9" i="11"/>
  <c r="N9" i="11" s="1"/>
  <c r="M8" i="11"/>
  <c r="N8" i="11" s="1"/>
  <c r="M7" i="11"/>
  <c r="N7" i="11" s="1"/>
  <c r="M6" i="11"/>
  <c r="N6" i="11" s="1"/>
  <c r="M5" i="11"/>
  <c r="N5" i="11" s="1"/>
  <c r="M4" i="11"/>
  <c r="N4" i="11" s="1"/>
  <c r="D7" i="36" l="1"/>
  <c r="D6" i="36"/>
  <c r="AN53" i="29"/>
  <c r="K56" i="29"/>
  <c r="E6" i="24"/>
  <c r="E7" i="24"/>
  <c r="E5" i="24" s="1"/>
  <c r="F32" i="12"/>
  <c r="AN49" i="29"/>
  <c r="J56" i="33"/>
  <c r="N13" i="36"/>
  <c r="AL56" i="29"/>
  <c r="AK56" i="29"/>
  <c r="AD56" i="29"/>
  <c r="T56" i="33"/>
  <c r="AC56" i="33"/>
  <c r="AN56" i="33"/>
  <c r="U56" i="33"/>
  <c r="AJ56" i="33"/>
  <c r="AE56" i="33"/>
  <c r="X56" i="33"/>
  <c r="AF56" i="33"/>
  <c r="AG56" i="33"/>
  <c r="Y56" i="33"/>
  <c r="W56" i="33"/>
  <c r="AB56" i="33"/>
  <c r="AA56" i="33"/>
  <c r="AD56" i="33"/>
  <c r="R56" i="33"/>
  <c r="AH56" i="33"/>
  <c r="AK56" i="33"/>
  <c r="Q56" i="33"/>
  <c r="S56" i="33"/>
  <c r="Z56" i="33"/>
  <c r="AL56" i="33"/>
  <c r="AM56" i="33"/>
  <c r="V56" i="33"/>
  <c r="AI56" i="33"/>
  <c r="O56" i="33"/>
  <c r="N56" i="33"/>
  <c r="P56" i="33"/>
  <c r="M56" i="33"/>
  <c r="K56" i="33"/>
  <c r="L56" i="33"/>
  <c r="B32" i="12"/>
  <c r="C32" i="12"/>
  <c r="AN56" i="29"/>
  <c r="M56" i="29"/>
  <c r="AH56" i="29"/>
  <c r="J56" i="29"/>
  <c r="X56" i="29"/>
  <c r="AJ56" i="29"/>
  <c r="AA56" i="29"/>
  <c r="AC56" i="29"/>
  <c r="AE56" i="29"/>
  <c r="AF56" i="29"/>
  <c r="AM56" i="29"/>
  <c r="Y56" i="29"/>
  <c r="AI56" i="29"/>
  <c r="AB56" i="29"/>
  <c r="Z56" i="29"/>
  <c r="AG56" i="29"/>
  <c r="L56" i="29"/>
  <c r="D32" i="12"/>
  <c r="E22" i="23"/>
  <c r="E24" i="23"/>
  <c r="N12" i="11"/>
  <c r="AJ36" i="20"/>
  <c r="F19" i="23"/>
  <c r="O13" i="24"/>
  <c r="D5" i="36" l="1"/>
  <c r="E6" i="36"/>
  <c r="E7" i="36"/>
  <c r="D5" i="24"/>
  <c r="AT12" i="20"/>
  <c r="AC32" i="12"/>
  <c r="X12" i="20"/>
  <c r="G32" i="12"/>
  <c r="K3" i="33" s="1"/>
  <c r="K21" i="33" s="1"/>
  <c r="K22" i="33" s="1"/>
  <c r="K23" i="33" s="1"/>
  <c r="O13" i="36"/>
  <c r="AU12" i="20"/>
  <c r="AD32" i="12"/>
  <c r="AE12" i="20"/>
  <c r="N32" i="12"/>
  <c r="AG12" i="20"/>
  <c r="P32" i="12"/>
  <c r="AP12" i="20"/>
  <c r="Y32" i="12"/>
  <c r="Z12" i="20"/>
  <c r="I32" i="12"/>
  <c r="AK12" i="20"/>
  <c r="T32" i="12"/>
  <c r="AZ12" i="20"/>
  <c r="AI32" i="12"/>
  <c r="AJ12" i="20"/>
  <c r="S32" i="12"/>
  <c r="W12" i="20"/>
  <c r="AI12" i="20"/>
  <c r="R32" i="12"/>
  <c r="AD12" i="20"/>
  <c r="M32" i="12"/>
  <c r="AQ12" i="20"/>
  <c r="Z32" i="12"/>
  <c r="AA12" i="20"/>
  <c r="J32" i="12"/>
  <c r="Y12" i="20"/>
  <c r="H32" i="12"/>
  <c r="AL12" i="20"/>
  <c r="U32" i="12"/>
  <c r="W33" i="20"/>
  <c r="E32" i="12"/>
  <c r="AC12" i="20"/>
  <c r="L32" i="12"/>
  <c r="AV12" i="20"/>
  <c r="AE32" i="12"/>
  <c r="AF12" i="20"/>
  <c r="O32" i="12"/>
  <c r="AY12" i="20"/>
  <c r="AH32" i="12"/>
  <c r="AO12" i="20"/>
  <c r="X32" i="12"/>
  <c r="AS12" i="20"/>
  <c r="AB32" i="12"/>
  <c r="AN12" i="20"/>
  <c r="W32" i="12"/>
  <c r="AP10" i="28" s="1"/>
  <c r="AP15" i="28" s="1"/>
  <c r="C19" i="11"/>
  <c r="C71" i="33"/>
  <c r="C71" i="29"/>
  <c r="AM12" i="20"/>
  <c r="V32" i="12"/>
  <c r="BA12" i="20"/>
  <c r="AJ32" i="12"/>
  <c r="AX12" i="20"/>
  <c r="AG32" i="12"/>
  <c r="AH12" i="20"/>
  <c r="Q32" i="12"/>
  <c r="AW12" i="20"/>
  <c r="AF32" i="12"/>
  <c r="AR12" i="20"/>
  <c r="AA32" i="12"/>
  <c r="AE3" i="33" s="1"/>
  <c r="AB12" i="20"/>
  <c r="K32" i="12"/>
  <c r="AD3" i="29"/>
  <c r="AR33" i="20"/>
  <c r="L3" i="29"/>
  <c r="Z33" i="20"/>
  <c r="M3" i="29"/>
  <c r="AA33" i="20"/>
  <c r="W3" i="29"/>
  <c r="AK33" i="20"/>
  <c r="P3" i="29"/>
  <c r="AD33" i="20"/>
  <c r="S3" i="29"/>
  <c r="AG33" i="20"/>
  <c r="AL3" i="29"/>
  <c r="AZ33" i="20"/>
  <c r="AE3" i="29"/>
  <c r="AS33" i="20"/>
  <c r="O3" i="29"/>
  <c r="AC33" i="20"/>
  <c r="N3" i="29"/>
  <c r="AB33" i="20"/>
  <c r="AC3" i="29"/>
  <c r="AQ33" i="20"/>
  <c r="X3" i="29"/>
  <c r="AL33" i="20"/>
  <c r="AM3" i="29"/>
  <c r="BA33" i="20"/>
  <c r="X33" i="20"/>
  <c r="Z3" i="29"/>
  <c r="AN33" i="20"/>
  <c r="AN3" i="29"/>
  <c r="Y3" i="29"/>
  <c r="AM33" i="20"/>
  <c r="AI3" i="29"/>
  <c r="AI4" i="29" s="1"/>
  <c r="AW33" i="20"/>
  <c r="V3" i="29"/>
  <c r="AJ33" i="20"/>
  <c r="AB3" i="29"/>
  <c r="AP33" i="20"/>
  <c r="AK3" i="29"/>
  <c r="AY33" i="20"/>
  <c r="U3" i="29"/>
  <c r="AI33" i="20"/>
  <c r="AJ3" i="29"/>
  <c r="AX33" i="20"/>
  <c r="AH3" i="29"/>
  <c r="AV33" i="20"/>
  <c r="R3" i="29"/>
  <c r="AF33" i="20"/>
  <c r="T3" i="29"/>
  <c r="AH33" i="20"/>
  <c r="AG3" i="29"/>
  <c r="AU33" i="20"/>
  <c r="Q3" i="29"/>
  <c r="AE33" i="20"/>
  <c r="AF3" i="29"/>
  <c r="AT33" i="20"/>
  <c r="AA3" i="29"/>
  <c r="AO33" i="20"/>
  <c r="K3" i="29"/>
  <c r="Y33" i="20"/>
  <c r="U38" i="20"/>
  <c r="F10" i="23"/>
  <c r="E10" i="23"/>
  <c r="E23" i="23"/>
  <c r="E26" i="23" s="1"/>
  <c r="E27" i="23" s="1"/>
  <c r="F8" i="24"/>
  <c r="U10" i="20"/>
  <c r="U22" i="20" s="1"/>
  <c r="G7" i="23"/>
  <c r="C36" i="11"/>
  <c r="F11" i="23"/>
  <c r="AK36" i="20"/>
  <c r="P13" i="24"/>
  <c r="F24" i="23"/>
  <c r="I120" i="7"/>
  <c r="H11" i="6" s="1"/>
  <c r="J120" i="7"/>
  <c r="I11" i="6" s="1"/>
  <c r="K120" i="7"/>
  <c r="J11" i="6" s="1"/>
  <c r="L120" i="7"/>
  <c r="K11" i="6" s="1"/>
  <c r="G120" i="7"/>
  <c r="O18" i="7"/>
  <c r="AA3" i="33" l="1"/>
  <c r="J24" i="29"/>
  <c r="Z10" i="28"/>
  <c r="Z11" i="28" s="1"/>
  <c r="Z13" i="28" s="1"/>
  <c r="AT10" i="28"/>
  <c r="AT11" i="28" s="1"/>
  <c r="AT13" i="28" s="1"/>
  <c r="P13" i="36"/>
  <c r="F12" i="36"/>
  <c r="F11" i="36" s="1"/>
  <c r="F12" i="24"/>
  <c r="F11" i="24" s="1"/>
  <c r="D16" i="11"/>
  <c r="D19" i="11" s="1"/>
  <c r="E5" i="36"/>
  <c r="E10" i="36" s="1"/>
  <c r="K4" i="33"/>
  <c r="K5" i="33" s="1"/>
  <c r="K8" i="33" s="1"/>
  <c r="AC3" i="33"/>
  <c r="Y3" i="33"/>
  <c r="AH3" i="33"/>
  <c r="AB3" i="33"/>
  <c r="AI3" i="33"/>
  <c r="AI21" i="33" s="1"/>
  <c r="AI22" i="33" s="1"/>
  <c r="AI23" i="33" s="1"/>
  <c r="AJ3" i="33"/>
  <c r="AD3" i="33"/>
  <c r="Z3" i="33"/>
  <c r="AF3" i="33"/>
  <c r="AG3" i="33"/>
  <c r="X3" i="33"/>
  <c r="U3" i="33"/>
  <c r="T3" i="33"/>
  <c r="M3" i="33"/>
  <c r="M4" i="33" s="1"/>
  <c r="M5" i="33" s="1"/>
  <c r="S3" i="33"/>
  <c r="O3" i="33"/>
  <c r="O4" i="33" s="1"/>
  <c r="O5" i="33" s="1"/>
  <c r="N3" i="33"/>
  <c r="R3" i="33"/>
  <c r="L3" i="33"/>
  <c r="L21" i="33" s="1"/>
  <c r="L22" i="33" s="1"/>
  <c r="L23" i="33" s="1"/>
  <c r="L27" i="33" s="1"/>
  <c r="V3" i="33"/>
  <c r="P3" i="33"/>
  <c r="Q3" i="33"/>
  <c r="J3" i="33"/>
  <c r="J21" i="33" s="1"/>
  <c r="J22" i="33" s="1"/>
  <c r="J23" i="33" s="1"/>
  <c r="W3" i="33"/>
  <c r="BB10" i="28"/>
  <c r="BB12" i="28" s="1"/>
  <c r="BB14" i="28" s="1"/>
  <c r="AM3" i="33"/>
  <c r="BA10" i="28"/>
  <c r="BA12" i="28" s="1"/>
  <c r="BA14" i="28" s="1"/>
  <c r="AL3" i="33"/>
  <c r="AZ10" i="28"/>
  <c r="AZ12" i="28" s="1"/>
  <c r="AZ14" i="28" s="1"/>
  <c r="AK3" i="33"/>
  <c r="BC10" i="28"/>
  <c r="BC11" i="28" s="1"/>
  <c r="BC13" i="28" s="1"/>
  <c r="AN3" i="33"/>
  <c r="AP11" i="28"/>
  <c r="AP13" i="28" s="1"/>
  <c r="AP12" i="28"/>
  <c r="AP14" i="28" s="1"/>
  <c r="AI10" i="28"/>
  <c r="AI12" i="28" s="1"/>
  <c r="AI14" i="28" s="1"/>
  <c r="AW10" i="28"/>
  <c r="AW15" i="28" s="1"/>
  <c r="AE4" i="33"/>
  <c r="AE5" i="33" s="1"/>
  <c r="AE21" i="33"/>
  <c r="AE22" i="33" s="1"/>
  <c r="AE23" i="33" s="1"/>
  <c r="AQ10" i="28"/>
  <c r="AQ11" i="28" s="1"/>
  <c r="AQ13" i="28" s="1"/>
  <c r="AC10" i="28"/>
  <c r="AC15" i="28" s="1"/>
  <c r="AG10" i="28"/>
  <c r="AG15" i="28" s="1"/>
  <c r="AA10" i="28"/>
  <c r="AA15" i="28" s="1"/>
  <c r="AH10" i="28"/>
  <c r="AH15" i="28" s="1"/>
  <c r="AD10" i="28"/>
  <c r="AD11" i="28" s="1"/>
  <c r="AD13" i="28" s="1"/>
  <c r="AN10" i="28"/>
  <c r="AN12" i="28" s="1"/>
  <c r="AN14" i="28" s="1"/>
  <c r="AK10" i="28"/>
  <c r="AK12" i="28" s="1"/>
  <c r="AK14" i="28" s="1"/>
  <c r="AS10" i="28"/>
  <c r="AS11" i="28" s="1"/>
  <c r="AS13" i="28" s="1"/>
  <c r="AE10" i="28"/>
  <c r="AE15" i="28" s="1"/>
  <c r="AO10" i="28"/>
  <c r="AO15" i="28" s="1"/>
  <c r="AU10" i="28"/>
  <c r="AU15" i="28" s="1"/>
  <c r="AX10" i="28"/>
  <c r="AX15" i="28" s="1"/>
  <c r="AR10" i="28"/>
  <c r="AR11" i="28" s="1"/>
  <c r="AR13" i="28" s="1"/>
  <c r="AB10" i="28"/>
  <c r="AB11" i="28" s="1"/>
  <c r="AB13" i="28" s="1"/>
  <c r="AL10" i="28"/>
  <c r="AL15" i="28" s="1"/>
  <c r="AY10" i="28"/>
  <c r="AY12" i="28" s="1"/>
  <c r="AY14" i="28" s="1"/>
  <c r="AJ10" i="28"/>
  <c r="AJ11" i="28" s="1"/>
  <c r="AJ13" i="28" s="1"/>
  <c r="AV10" i="28"/>
  <c r="AV15" i="28" s="1"/>
  <c r="AM10" i="28"/>
  <c r="AM12" i="28" s="1"/>
  <c r="AM14" i="28" s="1"/>
  <c r="AF10" i="28"/>
  <c r="AF11" i="28" s="1"/>
  <c r="AF13" i="28" s="1"/>
  <c r="Y10" i="28"/>
  <c r="Y11" i="28" s="1"/>
  <c r="Y13" i="28" s="1"/>
  <c r="K27" i="33"/>
  <c r="K28" i="33"/>
  <c r="K24" i="33"/>
  <c r="K21" i="29"/>
  <c r="K4" i="29"/>
  <c r="K5" i="29" s="1"/>
  <c r="AH4" i="29"/>
  <c r="AH5" i="29" s="1"/>
  <c r="AH21" i="29"/>
  <c r="AH22" i="29" s="1"/>
  <c r="AH23" i="29" s="1"/>
  <c r="V21" i="29"/>
  <c r="V22" i="29" s="1"/>
  <c r="V4" i="29"/>
  <c r="L21" i="29"/>
  <c r="L22" i="29" s="1"/>
  <c r="L23" i="29" s="1"/>
  <c r="L4" i="29"/>
  <c r="L5" i="29" s="1"/>
  <c r="AK21" i="29"/>
  <c r="AK22" i="29" s="1"/>
  <c r="AK23" i="29" s="1"/>
  <c r="AK4" i="29"/>
  <c r="AK5" i="29" s="1"/>
  <c r="AB21" i="29"/>
  <c r="AB22" i="29" s="1"/>
  <c r="AB23" i="29" s="1"/>
  <c r="AB4" i="29"/>
  <c r="AB5" i="29" s="1"/>
  <c r="N21" i="29"/>
  <c r="N22" i="29" s="1"/>
  <c r="N4" i="29"/>
  <c r="AL21" i="29"/>
  <c r="AL22" i="29" s="1"/>
  <c r="AL23" i="29" s="1"/>
  <c r="AL4" i="29"/>
  <c r="AL5" i="29" s="1"/>
  <c r="W21" i="29"/>
  <c r="W22" i="29" s="1"/>
  <c r="W4" i="29"/>
  <c r="Q21" i="29"/>
  <c r="Q22" i="29" s="1"/>
  <c r="Q4" i="29"/>
  <c r="T21" i="29"/>
  <c r="T22" i="29" s="1"/>
  <c r="T4" i="29"/>
  <c r="U21" i="29"/>
  <c r="U22" i="29" s="1"/>
  <c r="U4" i="29"/>
  <c r="AI21" i="29"/>
  <c r="AI22" i="29" s="1"/>
  <c r="AI23" i="29" s="1"/>
  <c r="AI5" i="29"/>
  <c r="AI6" i="29" s="1"/>
  <c r="AN21" i="29"/>
  <c r="AN22" i="29" s="1"/>
  <c r="AN23" i="29" s="1"/>
  <c r="AN4" i="29"/>
  <c r="AN5" i="29" s="1"/>
  <c r="AM21" i="29"/>
  <c r="AM22" i="29" s="1"/>
  <c r="AM23" i="29" s="1"/>
  <c r="AM4" i="29"/>
  <c r="AM5" i="29" s="1"/>
  <c r="AC21" i="29"/>
  <c r="AC22" i="29" s="1"/>
  <c r="AC23" i="29" s="1"/>
  <c r="AC4" i="29"/>
  <c r="AC5" i="29" s="1"/>
  <c r="AE21" i="29"/>
  <c r="AE22" i="29" s="1"/>
  <c r="AE23" i="29" s="1"/>
  <c r="AE4" i="29"/>
  <c r="AE5" i="29" s="1"/>
  <c r="S21" i="29"/>
  <c r="S22" i="29" s="1"/>
  <c r="S4" i="29"/>
  <c r="AG21" i="29"/>
  <c r="AG22" i="29" s="1"/>
  <c r="AG23" i="29" s="1"/>
  <c r="AG4" i="29"/>
  <c r="AG5" i="29" s="1"/>
  <c r="R4" i="29"/>
  <c r="R21" i="29"/>
  <c r="R22" i="29" s="1"/>
  <c r="Z4" i="29"/>
  <c r="Z5" i="29" s="1"/>
  <c r="Z21" i="29"/>
  <c r="Z22" i="29" s="1"/>
  <c r="Z23" i="29" s="1"/>
  <c r="O21" i="29"/>
  <c r="O22" i="29" s="1"/>
  <c r="O4" i="29"/>
  <c r="M21" i="29"/>
  <c r="M22" i="29" s="1"/>
  <c r="M23" i="29" s="1"/>
  <c r="M4" i="29"/>
  <c r="M5" i="29" s="1"/>
  <c r="M6" i="29" s="1"/>
  <c r="AA21" i="29"/>
  <c r="AA22" i="29" s="1"/>
  <c r="AA23" i="29" s="1"/>
  <c r="AA4" i="29"/>
  <c r="AA5" i="29" s="1"/>
  <c r="AF21" i="29"/>
  <c r="AF22" i="29" s="1"/>
  <c r="AF23" i="29" s="1"/>
  <c r="AF4" i="29"/>
  <c r="AF5" i="29" s="1"/>
  <c r="AJ21" i="29"/>
  <c r="AJ22" i="29" s="1"/>
  <c r="AJ23" i="29" s="1"/>
  <c r="AJ4" i="29"/>
  <c r="AJ5" i="29" s="1"/>
  <c r="Y21" i="29"/>
  <c r="Y22" i="29" s="1"/>
  <c r="Y23" i="29" s="1"/>
  <c r="Y4" i="29"/>
  <c r="Y5" i="29" s="1"/>
  <c r="X21" i="29"/>
  <c r="X22" i="29" s="1"/>
  <c r="X23" i="29" s="1"/>
  <c r="X4" i="29"/>
  <c r="X5" i="29" s="1"/>
  <c r="P21" i="29"/>
  <c r="P22" i="29" s="1"/>
  <c r="P4" i="29"/>
  <c r="AD4" i="29"/>
  <c r="AD5" i="29" s="1"/>
  <c r="AD21" i="29"/>
  <c r="AD22" i="29" s="1"/>
  <c r="AD23" i="29" s="1"/>
  <c r="G19" i="23"/>
  <c r="W11" i="20"/>
  <c r="AL36" i="20"/>
  <c r="F23" i="23"/>
  <c r="F26" i="23" s="1"/>
  <c r="F27" i="23" s="1"/>
  <c r="E10" i="24"/>
  <c r="Q13" i="24"/>
  <c r="J17" i="6"/>
  <c r="J14" i="6"/>
  <c r="J15" i="6"/>
  <c r="J16" i="6"/>
  <c r="J13" i="6"/>
  <c r="I16" i="6"/>
  <c r="I14" i="6"/>
  <c r="I15" i="6"/>
  <c r="I17" i="6"/>
  <c r="G15" i="6"/>
  <c r="G17" i="6"/>
  <c r="G16" i="6"/>
  <c r="H14" i="6"/>
  <c r="H17" i="6"/>
  <c r="H16" i="6"/>
  <c r="H15" i="6"/>
  <c r="K16" i="6"/>
  <c r="K17" i="6"/>
  <c r="K13" i="6"/>
  <c r="K15" i="6"/>
  <c r="K14" i="6"/>
  <c r="X12" i="10"/>
  <c r="W10" i="10"/>
  <c r="X10" i="10" s="1"/>
  <c r="AB9" i="10"/>
  <c r="AC9" i="10" s="1"/>
  <c r="W9" i="10"/>
  <c r="X9" i="10" s="1"/>
  <c r="AB8" i="10"/>
  <c r="AC8" i="10" s="1"/>
  <c r="W8" i="10"/>
  <c r="X8" i="10" s="1"/>
  <c r="AB7" i="10"/>
  <c r="AC7" i="10" s="1"/>
  <c r="W7" i="10"/>
  <c r="X7" i="10" s="1"/>
  <c r="AB6" i="10"/>
  <c r="AC6" i="10" s="1"/>
  <c r="W6" i="10"/>
  <c r="X6" i="10" s="1"/>
  <c r="AH5" i="10"/>
  <c r="AB5" i="10"/>
  <c r="AC5" i="10" s="1"/>
  <c r="W5" i="10"/>
  <c r="X5" i="10" s="1"/>
  <c r="AH4" i="10"/>
  <c r="AB4" i="10"/>
  <c r="AC4" i="10" s="1"/>
  <c r="W4" i="10"/>
  <c r="X4" i="10" s="1"/>
  <c r="AH3" i="10"/>
  <c r="AB3" i="10"/>
  <c r="AC3" i="10" s="1"/>
  <c r="W3" i="10"/>
  <c r="X3" i="10" s="1"/>
  <c r="T164" i="9"/>
  <c r="U164" i="9" s="1"/>
  <c r="J164" i="9"/>
  <c r="T163" i="9"/>
  <c r="U163" i="9" s="1"/>
  <c r="J163" i="9"/>
  <c r="T162" i="9"/>
  <c r="U162" i="9" s="1"/>
  <c r="J162" i="9"/>
  <c r="T161" i="9"/>
  <c r="U161" i="9" s="1"/>
  <c r="J161" i="9"/>
  <c r="T160" i="9"/>
  <c r="U160" i="9" s="1"/>
  <c r="J160" i="9"/>
  <c r="T159" i="9"/>
  <c r="U159" i="9" s="1"/>
  <c r="J159" i="9"/>
  <c r="T158" i="9"/>
  <c r="U158" i="9" s="1"/>
  <c r="J158" i="9"/>
  <c r="T157" i="9"/>
  <c r="U157" i="9" s="1"/>
  <c r="J157" i="9"/>
  <c r="T156" i="9"/>
  <c r="U156" i="9" s="1"/>
  <c r="J156" i="9"/>
  <c r="T155" i="9"/>
  <c r="U155" i="9" s="1"/>
  <c r="J155" i="9"/>
  <c r="T154" i="9"/>
  <c r="U154" i="9" s="1"/>
  <c r="J154" i="9"/>
  <c r="T153" i="9"/>
  <c r="U153" i="9" s="1"/>
  <c r="J153" i="9"/>
  <c r="T152" i="9"/>
  <c r="U152" i="9" s="1"/>
  <c r="J152" i="9"/>
  <c r="T151" i="9"/>
  <c r="U151" i="9" s="1"/>
  <c r="J151" i="9"/>
  <c r="T150" i="9"/>
  <c r="U150" i="9" s="1"/>
  <c r="J150" i="9"/>
  <c r="T149" i="9"/>
  <c r="U149" i="9" s="1"/>
  <c r="J149" i="9"/>
  <c r="T148" i="9"/>
  <c r="U148" i="9" s="1"/>
  <c r="J148" i="9"/>
  <c r="T147" i="9"/>
  <c r="U147" i="9" s="1"/>
  <c r="J147" i="9"/>
  <c r="T146" i="9"/>
  <c r="U146" i="9" s="1"/>
  <c r="J146" i="9"/>
  <c r="T145" i="9"/>
  <c r="U145" i="9" s="1"/>
  <c r="J145" i="9"/>
  <c r="T144" i="9"/>
  <c r="U144" i="9" s="1"/>
  <c r="J144" i="9"/>
  <c r="T143" i="9"/>
  <c r="U143" i="9" s="1"/>
  <c r="J143" i="9"/>
  <c r="T142" i="9"/>
  <c r="U142" i="9" s="1"/>
  <c r="J142" i="9"/>
  <c r="T141" i="9"/>
  <c r="U141" i="9" s="1"/>
  <c r="J141" i="9"/>
  <c r="T140" i="9"/>
  <c r="U140" i="9" s="1"/>
  <c r="J140" i="9"/>
  <c r="U139" i="9"/>
  <c r="T139" i="9"/>
  <c r="J139" i="9"/>
  <c r="T138" i="9"/>
  <c r="U138" i="9" s="1"/>
  <c r="J138" i="9"/>
  <c r="T137" i="9"/>
  <c r="U137" i="9" s="1"/>
  <c r="J137" i="9"/>
  <c r="T136" i="9"/>
  <c r="U136" i="9" s="1"/>
  <c r="J136" i="9"/>
  <c r="T135" i="9"/>
  <c r="U135" i="9" s="1"/>
  <c r="J135" i="9"/>
  <c r="T134" i="9"/>
  <c r="U134" i="9" s="1"/>
  <c r="J134" i="9"/>
  <c r="T133" i="9"/>
  <c r="U133" i="9" s="1"/>
  <c r="J133" i="9"/>
  <c r="T132" i="9"/>
  <c r="U132" i="9" s="1"/>
  <c r="J132" i="9"/>
  <c r="U131" i="9"/>
  <c r="T131" i="9"/>
  <c r="J131" i="9"/>
  <c r="T130" i="9"/>
  <c r="U130" i="9" s="1"/>
  <c r="J130" i="9"/>
  <c r="T129" i="9"/>
  <c r="U129" i="9" s="1"/>
  <c r="J129" i="9"/>
  <c r="T128" i="9"/>
  <c r="U128" i="9" s="1"/>
  <c r="J128" i="9"/>
  <c r="T127" i="9"/>
  <c r="U127" i="9" s="1"/>
  <c r="J127" i="9"/>
  <c r="T126" i="9"/>
  <c r="U126" i="9" s="1"/>
  <c r="J126" i="9"/>
  <c r="T125" i="9"/>
  <c r="U125" i="9" s="1"/>
  <c r="J125" i="9"/>
  <c r="T124" i="9"/>
  <c r="U124" i="9" s="1"/>
  <c r="J124" i="9"/>
  <c r="T123" i="9"/>
  <c r="U123" i="9" s="1"/>
  <c r="J123" i="9"/>
  <c r="T122" i="9"/>
  <c r="U122" i="9" s="1"/>
  <c r="J122" i="9"/>
  <c r="T121" i="9"/>
  <c r="U121" i="9" s="1"/>
  <c r="J121" i="9"/>
  <c r="T120" i="9"/>
  <c r="U120" i="9" s="1"/>
  <c r="J120" i="9"/>
  <c r="T119" i="9"/>
  <c r="U119" i="9" s="1"/>
  <c r="J119" i="9"/>
  <c r="T118" i="9"/>
  <c r="U118" i="9" s="1"/>
  <c r="J118" i="9"/>
  <c r="T117" i="9"/>
  <c r="U117" i="9" s="1"/>
  <c r="J117" i="9"/>
  <c r="T116" i="9"/>
  <c r="U116" i="9" s="1"/>
  <c r="J116" i="9"/>
  <c r="T115" i="9"/>
  <c r="U115" i="9" s="1"/>
  <c r="J115" i="9"/>
  <c r="T114" i="9"/>
  <c r="U114" i="9" s="1"/>
  <c r="J114" i="9"/>
  <c r="T113" i="9"/>
  <c r="U113" i="9" s="1"/>
  <c r="J113" i="9"/>
  <c r="T112" i="9"/>
  <c r="U112" i="9" s="1"/>
  <c r="J112" i="9"/>
  <c r="T111" i="9"/>
  <c r="U111" i="9" s="1"/>
  <c r="J111" i="9"/>
  <c r="T110" i="9"/>
  <c r="U110" i="9" s="1"/>
  <c r="J110" i="9"/>
  <c r="T109" i="9"/>
  <c r="U109" i="9" s="1"/>
  <c r="J109" i="9"/>
  <c r="T108" i="9"/>
  <c r="U108" i="9" s="1"/>
  <c r="J108" i="9"/>
  <c r="U107" i="9"/>
  <c r="T107" i="9"/>
  <c r="J107" i="9"/>
  <c r="T106" i="9"/>
  <c r="U106" i="9" s="1"/>
  <c r="J106" i="9"/>
  <c r="T105" i="9"/>
  <c r="U105" i="9" s="1"/>
  <c r="J105" i="9"/>
  <c r="T104" i="9"/>
  <c r="U104" i="9" s="1"/>
  <c r="J104" i="9"/>
  <c r="T103" i="9"/>
  <c r="U103" i="9" s="1"/>
  <c r="J103" i="9"/>
  <c r="T102" i="9"/>
  <c r="U102" i="9" s="1"/>
  <c r="J102" i="9"/>
  <c r="T101" i="9"/>
  <c r="U101" i="9" s="1"/>
  <c r="J101" i="9"/>
  <c r="T100" i="9"/>
  <c r="U100" i="9" s="1"/>
  <c r="J100" i="9"/>
  <c r="U99" i="9"/>
  <c r="T99" i="9"/>
  <c r="J99" i="9"/>
  <c r="T98" i="9"/>
  <c r="U98" i="9" s="1"/>
  <c r="J98" i="9"/>
  <c r="T97" i="9"/>
  <c r="U97" i="9" s="1"/>
  <c r="J97" i="9"/>
  <c r="T96" i="9"/>
  <c r="U96" i="9" s="1"/>
  <c r="J96" i="9"/>
  <c r="T95" i="9"/>
  <c r="U95" i="9" s="1"/>
  <c r="J95" i="9"/>
  <c r="T94" i="9"/>
  <c r="U94" i="9" s="1"/>
  <c r="J94" i="9"/>
  <c r="T93" i="9"/>
  <c r="U93" i="9" s="1"/>
  <c r="J93" i="9"/>
  <c r="T92" i="9"/>
  <c r="U92" i="9" s="1"/>
  <c r="J92" i="9"/>
  <c r="T91" i="9"/>
  <c r="U91" i="9" s="1"/>
  <c r="J91" i="9"/>
  <c r="T90" i="9"/>
  <c r="U90" i="9" s="1"/>
  <c r="J90" i="9"/>
  <c r="T89" i="9"/>
  <c r="U89" i="9" s="1"/>
  <c r="J89" i="9"/>
  <c r="T88" i="9"/>
  <c r="U88" i="9" s="1"/>
  <c r="J88" i="9"/>
  <c r="T87" i="9"/>
  <c r="U87" i="9" s="1"/>
  <c r="J87" i="9"/>
  <c r="T86" i="9"/>
  <c r="U86" i="9" s="1"/>
  <c r="J86" i="9"/>
  <c r="T85" i="9"/>
  <c r="U85" i="9" s="1"/>
  <c r="J85" i="9"/>
  <c r="T84" i="9"/>
  <c r="U84" i="9" s="1"/>
  <c r="J84" i="9"/>
  <c r="T83" i="9"/>
  <c r="U83" i="9" s="1"/>
  <c r="J83" i="9"/>
  <c r="T82" i="9"/>
  <c r="U82" i="9" s="1"/>
  <c r="J82" i="9"/>
  <c r="T81" i="9"/>
  <c r="U81" i="9" s="1"/>
  <c r="J81" i="9"/>
  <c r="T80" i="9"/>
  <c r="U80" i="9" s="1"/>
  <c r="J80" i="9"/>
  <c r="T79" i="9"/>
  <c r="U79" i="9" s="1"/>
  <c r="J79" i="9"/>
  <c r="T78" i="9"/>
  <c r="U78" i="9" s="1"/>
  <c r="J78" i="9"/>
  <c r="T77" i="9"/>
  <c r="U77" i="9" s="1"/>
  <c r="J77" i="9"/>
  <c r="T76" i="9"/>
  <c r="U76" i="9" s="1"/>
  <c r="J76" i="9"/>
  <c r="U75" i="9"/>
  <c r="T75" i="9"/>
  <c r="J75" i="9"/>
  <c r="T74" i="9"/>
  <c r="U74" i="9" s="1"/>
  <c r="J74" i="9"/>
  <c r="T73" i="9"/>
  <c r="U73" i="9" s="1"/>
  <c r="J73" i="9"/>
  <c r="T72" i="9"/>
  <c r="U72" i="9" s="1"/>
  <c r="J72" i="9"/>
  <c r="T71" i="9"/>
  <c r="U71" i="9" s="1"/>
  <c r="J71" i="9"/>
  <c r="T70" i="9"/>
  <c r="U70" i="9" s="1"/>
  <c r="J70" i="9"/>
  <c r="T69" i="9"/>
  <c r="U69" i="9" s="1"/>
  <c r="J69" i="9"/>
  <c r="T68" i="9"/>
  <c r="U68" i="9" s="1"/>
  <c r="J68" i="9"/>
  <c r="U67" i="9"/>
  <c r="T67" i="9"/>
  <c r="J67" i="9"/>
  <c r="T66" i="9"/>
  <c r="U66" i="9" s="1"/>
  <c r="J66" i="9"/>
  <c r="T65" i="9"/>
  <c r="U65" i="9" s="1"/>
  <c r="J65" i="9"/>
  <c r="T64" i="9"/>
  <c r="U64" i="9" s="1"/>
  <c r="J64" i="9"/>
  <c r="T63" i="9"/>
  <c r="U63" i="9" s="1"/>
  <c r="J63" i="9"/>
  <c r="T62" i="9"/>
  <c r="U62" i="9" s="1"/>
  <c r="J62" i="9"/>
  <c r="T61" i="9"/>
  <c r="U61" i="9" s="1"/>
  <c r="J61" i="9"/>
  <c r="T60" i="9"/>
  <c r="U60" i="9" s="1"/>
  <c r="J60" i="9"/>
  <c r="U59" i="9"/>
  <c r="T59" i="9"/>
  <c r="J59" i="9"/>
  <c r="T58" i="9"/>
  <c r="U58" i="9" s="1"/>
  <c r="J58" i="9"/>
  <c r="T57" i="9"/>
  <c r="U57" i="9" s="1"/>
  <c r="J57" i="9"/>
  <c r="T56" i="9"/>
  <c r="U56" i="9" s="1"/>
  <c r="J56" i="9"/>
  <c r="T55" i="9"/>
  <c r="U55" i="9" s="1"/>
  <c r="J55" i="9"/>
  <c r="T54" i="9"/>
  <c r="U54" i="9" s="1"/>
  <c r="J54" i="9"/>
  <c r="T53" i="9"/>
  <c r="U53" i="9" s="1"/>
  <c r="J53" i="9"/>
  <c r="T52" i="9"/>
  <c r="U52" i="9" s="1"/>
  <c r="J52" i="9"/>
  <c r="T51" i="9"/>
  <c r="U51" i="9" s="1"/>
  <c r="J51" i="9"/>
  <c r="T50" i="9"/>
  <c r="U50" i="9" s="1"/>
  <c r="J50" i="9"/>
  <c r="T49" i="9"/>
  <c r="U49" i="9" s="1"/>
  <c r="J49" i="9"/>
  <c r="T48" i="9"/>
  <c r="U48" i="9" s="1"/>
  <c r="J48" i="9"/>
  <c r="T47" i="9"/>
  <c r="U47" i="9" s="1"/>
  <c r="J47" i="9"/>
  <c r="T46" i="9"/>
  <c r="U46" i="9" s="1"/>
  <c r="J46" i="9"/>
  <c r="T45" i="9"/>
  <c r="U45" i="9" s="1"/>
  <c r="J45" i="9"/>
  <c r="T44" i="9"/>
  <c r="U44" i="9" s="1"/>
  <c r="J44" i="9"/>
  <c r="U43" i="9"/>
  <c r="T43" i="9"/>
  <c r="J43" i="9"/>
  <c r="T42" i="9"/>
  <c r="U42" i="9" s="1"/>
  <c r="J42" i="9"/>
  <c r="T41" i="9"/>
  <c r="U41" i="9" s="1"/>
  <c r="J41" i="9"/>
  <c r="T40" i="9"/>
  <c r="U40" i="9" s="1"/>
  <c r="J40" i="9"/>
  <c r="T39" i="9"/>
  <c r="U39" i="9" s="1"/>
  <c r="J39" i="9"/>
  <c r="T38" i="9"/>
  <c r="U38" i="9" s="1"/>
  <c r="J38" i="9"/>
  <c r="T37" i="9"/>
  <c r="U37" i="9" s="1"/>
  <c r="J37" i="9"/>
  <c r="T36" i="9"/>
  <c r="U36" i="9" s="1"/>
  <c r="J36" i="9"/>
  <c r="U35" i="9"/>
  <c r="T35" i="9"/>
  <c r="J35" i="9"/>
  <c r="T34" i="9"/>
  <c r="U34" i="9" s="1"/>
  <c r="J34" i="9"/>
  <c r="T33" i="9"/>
  <c r="U33" i="9" s="1"/>
  <c r="J33" i="9"/>
  <c r="T32" i="9"/>
  <c r="U32" i="9" s="1"/>
  <c r="J32" i="9"/>
  <c r="T31" i="9"/>
  <c r="U31" i="9" s="1"/>
  <c r="J31" i="9"/>
  <c r="T30" i="9"/>
  <c r="U30" i="9" s="1"/>
  <c r="J30" i="9"/>
  <c r="T29" i="9"/>
  <c r="U29" i="9" s="1"/>
  <c r="J29" i="9"/>
  <c r="T28" i="9"/>
  <c r="U28" i="9" s="1"/>
  <c r="J28" i="9"/>
  <c r="U27" i="9"/>
  <c r="T27" i="9"/>
  <c r="J27" i="9"/>
  <c r="T26" i="9"/>
  <c r="U26" i="9" s="1"/>
  <c r="J26" i="9"/>
  <c r="T25" i="9"/>
  <c r="U25" i="9" s="1"/>
  <c r="J25" i="9"/>
  <c r="T24" i="9"/>
  <c r="U24" i="9" s="1"/>
  <c r="J24" i="9"/>
  <c r="T23" i="9"/>
  <c r="U23" i="9" s="1"/>
  <c r="J23" i="9"/>
  <c r="T22" i="9"/>
  <c r="U22" i="9" s="1"/>
  <c r="J22" i="9"/>
  <c r="T21" i="9"/>
  <c r="U21" i="9" s="1"/>
  <c r="J21" i="9"/>
  <c r="T20" i="9"/>
  <c r="U20" i="9" s="1"/>
  <c r="J20" i="9"/>
  <c r="T19" i="9"/>
  <c r="U19" i="9" s="1"/>
  <c r="J19" i="9"/>
  <c r="T18" i="9"/>
  <c r="U18" i="9" s="1"/>
  <c r="J18" i="9"/>
  <c r="T17" i="9"/>
  <c r="U17" i="9" s="1"/>
  <c r="J17" i="9"/>
  <c r="T16" i="9"/>
  <c r="U16" i="9" s="1"/>
  <c r="J16" i="9"/>
  <c r="T15" i="9"/>
  <c r="U15" i="9" s="1"/>
  <c r="J15" i="9"/>
  <c r="T14" i="9"/>
  <c r="U14" i="9" s="1"/>
  <c r="J14" i="9"/>
  <c r="T13" i="9"/>
  <c r="U13" i="9" s="1"/>
  <c r="J13" i="9"/>
  <c r="T12" i="9"/>
  <c r="U12" i="9" s="1"/>
  <c r="J12" i="9"/>
  <c r="U11" i="9"/>
  <c r="T11" i="9"/>
  <c r="J11" i="9"/>
  <c r="T10" i="9"/>
  <c r="U10" i="9" s="1"/>
  <c r="J10" i="9"/>
  <c r="T9" i="9"/>
  <c r="U9" i="9" s="1"/>
  <c r="J9" i="9"/>
  <c r="T8" i="9"/>
  <c r="U8" i="9" s="1"/>
  <c r="J8" i="9"/>
  <c r="T7" i="9"/>
  <c r="U7" i="9" s="1"/>
  <c r="J7" i="9"/>
  <c r="T6" i="9"/>
  <c r="U6" i="9" s="1"/>
  <c r="J6" i="9"/>
  <c r="T5" i="9"/>
  <c r="U5" i="9" s="1"/>
  <c r="J5" i="9"/>
  <c r="T4" i="9"/>
  <c r="U4" i="9" s="1"/>
  <c r="J4" i="9"/>
  <c r="U3" i="9"/>
  <c r="T3" i="9"/>
  <c r="J3" i="9"/>
  <c r="T2" i="9"/>
  <c r="U2" i="9" s="1"/>
  <c r="J2" i="9"/>
  <c r="D10" i="36" l="1"/>
  <c r="D17" i="36" s="1"/>
  <c r="D19" i="36" s="1"/>
  <c r="Q23" i="29"/>
  <c r="Q24" i="29" s="1"/>
  <c r="F6" i="24"/>
  <c r="F7" i="24"/>
  <c r="K22" i="29"/>
  <c r="K23" i="29" s="1"/>
  <c r="AT15" i="28"/>
  <c r="Z12" i="28"/>
  <c r="Z14" i="28" s="1"/>
  <c r="Z15" i="28"/>
  <c r="J11" i="29"/>
  <c r="J12" i="29"/>
  <c r="AT12" i="28"/>
  <c r="AT14" i="28" s="1"/>
  <c r="E17" i="36"/>
  <c r="Q13" i="36"/>
  <c r="E17" i="24"/>
  <c r="AI4" i="33"/>
  <c r="AI5" i="33" s="1"/>
  <c r="AI8" i="33" s="1"/>
  <c r="K12" i="33"/>
  <c r="K6" i="33"/>
  <c r="K11" i="33"/>
  <c r="K7" i="33"/>
  <c r="M21" i="33"/>
  <c r="M22" i="33" s="1"/>
  <c r="M23" i="33" s="1"/>
  <c r="M27" i="33" s="1"/>
  <c r="AZ15" i="28"/>
  <c r="L24" i="33"/>
  <c r="L4" i="33"/>
  <c r="L5" i="33" s="1"/>
  <c r="L6" i="33" s="1"/>
  <c r="O21" i="33"/>
  <c r="O22" i="33" s="1"/>
  <c r="O23" i="33" s="1"/>
  <c r="O24" i="33" s="1"/>
  <c r="L28" i="33"/>
  <c r="J4" i="33"/>
  <c r="J5" i="33" s="1"/>
  <c r="J11" i="33" s="1"/>
  <c r="AZ11" i="28"/>
  <c r="AZ13" i="28" s="1"/>
  <c r="BB11" i="28"/>
  <c r="BB13" i="28" s="1"/>
  <c r="BB15" i="28"/>
  <c r="AI15" i="28"/>
  <c r="AA11" i="28"/>
  <c r="AA13" i="28" s="1"/>
  <c r="AD12" i="28"/>
  <c r="AD14" i="28" s="1"/>
  <c r="BC12" i="28"/>
  <c r="BC14" i="28" s="1"/>
  <c r="BA11" i="28"/>
  <c r="BA13" i="28" s="1"/>
  <c r="BC15" i="28"/>
  <c r="BA15" i="28"/>
  <c r="AC11" i="28"/>
  <c r="AC13" i="28" s="1"/>
  <c r="AB12" i="28"/>
  <c r="AB14" i="28" s="1"/>
  <c r="AY15" i="28"/>
  <c r="AP16" i="28"/>
  <c r="J28" i="33"/>
  <c r="J27" i="33"/>
  <c r="J24" i="33"/>
  <c r="AF12" i="28"/>
  <c r="AF14" i="28" s="1"/>
  <c r="AW11" i="28"/>
  <c r="AW13" i="28" s="1"/>
  <c r="AA12" i="28"/>
  <c r="AA14" i="28" s="1"/>
  <c r="AV12" i="28"/>
  <c r="AV14" i="28" s="1"/>
  <c r="AF15" i="28"/>
  <c r="AE12" i="28"/>
  <c r="AE14" i="28" s="1"/>
  <c r="AU11" i="28"/>
  <c r="AU13" i="28" s="1"/>
  <c r="AK11" i="28"/>
  <c r="AK13" i="28" s="1"/>
  <c r="AU12" i="28"/>
  <c r="AU14" i="28" s="1"/>
  <c r="AB15" i="28"/>
  <c r="AI11" i="28"/>
  <c r="AI13" i="28" s="1"/>
  <c r="AY11" i="28"/>
  <c r="AY13" i="28" s="1"/>
  <c r="AE11" i="28"/>
  <c r="AE13" i="28" s="1"/>
  <c r="AC12" i="28"/>
  <c r="AC14" i="28" s="1"/>
  <c r="AK15" i="28"/>
  <c r="AV11" i="28"/>
  <c r="AV13" i="28" s="1"/>
  <c r="AD15" i="28"/>
  <c r="AM15" i="28"/>
  <c r="AO11" i="28"/>
  <c r="AO13" i="28" s="1"/>
  <c r="AG11" i="28"/>
  <c r="AG13" i="28" s="1"/>
  <c r="AH12" i="28"/>
  <c r="AH14" i="28" s="1"/>
  <c r="AO12" i="28"/>
  <c r="AO14" i="28" s="1"/>
  <c r="AN11" i="28"/>
  <c r="AN13" i="28" s="1"/>
  <c r="AQ12" i="28"/>
  <c r="AQ14" i="28" s="1"/>
  <c r="AX11" i="28"/>
  <c r="AX13" i="28" s="1"/>
  <c r="AM11" i="28"/>
  <c r="AM13" i="28" s="1"/>
  <c r="AR12" i="28"/>
  <c r="AR14" i="28" s="1"/>
  <c r="AJ15" i="28"/>
  <c r="AN15" i="28"/>
  <c r="AW12" i="28"/>
  <c r="AW14" i="28" s="1"/>
  <c r="AG12" i="28"/>
  <c r="AG14" i="28" s="1"/>
  <c r="AS15" i="28"/>
  <c r="AR15" i="28"/>
  <c r="AQ15" i="28"/>
  <c r="AJ12" i="28"/>
  <c r="AJ14" i="28" s="1"/>
  <c r="AH11" i="28"/>
  <c r="AH13" i="28" s="1"/>
  <c r="AX12" i="28"/>
  <c r="AX14" i="28" s="1"/>
  <c r="AS12" i="28"/>
  <c r="AS14" i="28" s="1"/>
  <c r="Y12" i="28"/>
  <c r="Y14" i="28" s="1"/>
  <c r="AL11" i="28"/>
  <c r="AL13" i="28" s="1"/>
  <c r="AL12" i="28"/>
  <c r="AL14" i="28" s="1"/>
  <c r="Y15" i="28"/>
  <c r="Y4" i="33"/>
  <c r="Y5" i="33" s="1"/>
  <c r="Y21" i="33"/>
  <c r="Y22" i="33" s="1"/>
  <c r="Y23" i="33" s="1"/>
  <c r="AA4" i="33"/>
  <c r="AA5" i="33" s="1"/>
  <c r="AA21" i="33"/>
  <c r="AA22" i="33" s="1"/>
  <c r="AA23" i="33" s="1"/>
  <c r="AG21" i="33"/>
  <c r="AG22" i="33" s="1"/>
  <c r="AG23" i="33" s="1"/>
  <c r="AG4" i="33"/>
  <c r="AG5" i="33" s="1"/>
  <c r="AM21" i="33"/>
  <c r="AM22" i="33" s="1"/>
  <c r="AM23" i="33" s="1"/>
  <c r="AM4" i="33"/>
  <c r="AM5" i="33" s="1"/>
  <c r="AD21" i="33"/>
  <c r="AD22" i="33" s="1"/>
  <c r="AD23" i="33" s="1"/>
  <c r="AD4" i="33"/>
  <c r="AD5" i="33" s="1"/>
  <c r="AH21" i="33"/>
  <c r="AH22" i="33" s="1"/>
  <c r="AH23" i="33" s="1"/>
  <c r="AH4" i="33"/>
  <c r="AH5" i="33" s="1"/>
  <c r="W21" i="33"/>
  <c r="W22" i="33" s="1"/>
  <c r="W23" i="33" s="1"/>
  <c r="W4" i="33"/>
  <c r="W5" i="33" s="1"/>
  <c r="AF21" i="33"/>
  <c r="AF22" i="33" s="1"/>
  <c r="AF23" i="33" s="1"/>
  <c r="AF4" i="33"/>
  <c r="AF5" i="33" s="1"/>
  <c r="AL4" i="33"/>
  <c r="AL5" i="33" s="1"/>
  <c r="AL21" i="33"/>
  <c r="AL22" i="33" s="1"/>
  <c r="AL23" i="33" s="1"/>
  <c r="AC4" i="33"/>
  <c r="AC5" i="33" s="1"/>
  <c r="AC21" i="33"/>
  <c r="AC22" i="33" s="1"/>
  <c r="AC23" i="33" s="1"/>
  <c r="U21" i="33"/>
  <c r="U22" i="33" s="1"/>
  <c r="U23" i="33" s="1"/>
  <c r="U4" i="33"/>
  <c r="U5" i="33" s="1"/>
  <c r="AK21" i="33"/>
  <c r="AK22" i="33" s="1"/>
  <c r="AK23" i="33" s="1"/>
  <c r="AK4" i="33"/>
  <c r="AK5" i="33" s="1"/>
  <c r="AN21" i="33"/>
  <c r="AN22" i="33" s="1"/>
  <c r="AN23" i="33" s="1"/>
  <c r="AN4" i="33"/>
  <c r="AN5" i="33" s="1"/>
  <c r="Q21" i="33"/>
  <c r="Q22" i="33" s="1"/>
  <c r="Q23" i="33" s="1"/>
  <c r="Q4" i="33"/>
  <c r="Q5" i="33" s="1"/>
  <c r="AI27" i="33"/>
  <c r="AI28" i="33"/>
  <c r="AI24" i="33"/>
  <c r="AJ21" i="33"/>
  <c r="AJ22" i="33" s="1"/>
  <c r="AJ23" i="33" s="1"/>
  <c r="AJ4" i="33"/>
  <c r="AJ5" i="33" s="1"/>
  <c r="T21" i="33"/>
  <c r="T22" i="33" s="1"/>
  <c r="T23" i="33" s="1"/>
  <c r="T4" i="33"/>
  <c r="T5" i="33" s="1"/>
  <c r="Z21" i="33"/>
  <c r="Z22" i="33" s="1"/>
  <c r="Z23" i="33" s="1"/>
  <c r="Z4" i="33"/>
  <c r="Z5" i="33" s="1"/>
  <c r="S21" i="33"/>
  <c r="S22" i="33" s="1"/>
  <c r="S23" i="33" s="1"/>
  <c r="S4" i="33"/>
  <c r="S5" i="33" s="1"/>
  <c r="P21" i="33"/>
  <c r="P22" i="33" s="1"/>
  <c r="P23" i="33" s="1"/>
  <c r="P4" i="33"/>
  <c r="P5" i="33" s="1"/>
  <c r="R21" i="33"/>
  <c r="R22" i="33" s="1"/>
  <c r="R23" i="33" s="1"/>
  <c r="R4" i="33"/>
  <c r="R5" i="33" s="1"/>
  <c r="AE28" i="33"/>
  <c r="AE27" i="33"/>
  <c r="AE24" i="33"/>
  <c r="X21" i="33"/>
  <c r="X22" i="33" s="1"/>
  <c r="X23" i="33" s="1"/>
  <c r="X4" i="33"/>
  <c r="X5" i="33" s="1"/>
  <c r="AB21" i="33"/>
  <c r="AB22" i="33" s="1"/>
  <c r="AB23" i="33" s="1"/>
  <c r="AB4" i="33"/>
  <c r="AB5" i="33" s="1"/>
  <c r="V21" i="33"/>
  <c r="V22" i="33" s="1"/>
  <c r="V23" i="33" s="1"/>
  <c r="V4" i="33"/>
  <c r="V5" i="33" s="1"/>
  <c r="K30" i="33"/>
  <c r="AE8" i="33"/>
  <c r="AE11" i="33"/>
  <c r="AE12" i="33"/>
  <c r="AE6" i="33"/>
  <c r="AE7" i="33"/>
  <c r="O7" i="33"/>
  <c r="O11" i="33"/>
  <c r="O12" i="33"/>
  <c r="O8" i="33"/>
  <c r="O6" i="33"/>
  <c r="N21" i="33"/>
  <c r="N22" i="33" s="1"/>
  <c r="N23" i="33" s="1"/>
  <c r="N4" i="33"/>
  <c r="N5" i="33" s="1"/>
  <c r="M6" i="33"/>
  <c r="M11" i="33"/>
  <c r="M8" i="33"/>
  <c r="M7" i="33"/>
  <c r="M12" i="33"/>
  <c r="W32" i="20"/>
  <c r="J28" i="29"/>
  <c r="J27" i="29"/>
  <c r="N48" i="29" s="1"/>
  <c r="AJ24" i="29"/>
  <c r="AJ27" i="29"/>
  <c r="AJ28" i="29"/>
  <c r="AA28" i="29"/>
  <c r="AA24" i="29"/>
  <c r="AA27" i="29"/>
  <c r="AL11" i="29"/>
  <c r="AB6" i="29"/>
  <c r="AB8" i="29"/>
  <c r="AB11" i="29"/>
  <c r="AB12" i="29"/>
  <c r="AB7" i="29"/>
  <c r="AH28" i="29"/>
  <c r="AH24" i="29"/>
  <c r="AH27" i="29"/>
  <c r="M12" i="29"/>
  <c r="M7" i="29"/>
  <c r="M8" i="29"/>
  <c r="M11" i="29"/>
  <c r="AL27" i="29"/>
  <c r="AL28" i="29"/>
  <c r="AL24" i="29"/>
  <c r="L27" i="29"/>
  <c r="P48" i="29" s="1"/>
  <c r="L28" i="29"/>
  <c r="L24" i="29"/>
  <c r="H18" i="6"/>
  <c r="X24" i="29"/>
  <c r="X27" i="29"/>
  <c r="X28" i="29"/>
  <c r="Y27" i="29"/>
  <c r="Y24" i="29"/>
  <c r="Y28" i="29"/>
  <c r="AF27" i="29"/>
  <c r="AF28" i="29"/>
  <c r="AF24" i="29"/>
  <c r="M28" i="29"/>
  <c r="M27" i="29"/>
  <c r="Q48" i="29" s="1"/>
  <c r="M24" i="29"/>
  <c r="Z7" i="29"/>
  <c r="Z6" i="29"/>
  <c r="Z11" i="29"/>
  <c r="Z8" i="29"/>
  <c r="Z12" i="29"/>
  <c r="AG28" i="29"/>
  <c r="AG27" i="29"/>
  <c r="AG24" i="29"/>
  <c r="AE11" i="29"/>
  <c r="K6" i="29"/>
  <c r="K7" i="29"/>
  <c r="K8" i="29"/>
  <c r="K11" i="29"/>
  <c r="K12" i="29"/>
  <c r="L12" i="29"/>
  <c r="L7" i="29"/>
  <c r="L11" i="29"/>
  <c r="L8" i="29"/>
  <c r="L6" i="29"/>
  <c r="X6" i="29"/>
  <c r="X8" i="29"/>
  <c r="X12" i="29"/>
  <c r="X11" i="29"/>
  <c r="X7" i="29"/>
  <c r="Y8" i="29"/>
  <c r="Z28" i="29"/>
  <c r="Z27" i="29"/>
  <c r="Z24" i="29"/>
  <c r="AG11" i="29"/>
  <c r="AC27" i="29"/>
  <c r="AC28" i="29"/>
  <c r="AC24" i="29"/>
  <c r="AI24" i="29"/>
  <c r="AI27" i="29"/>
  <c r="AI28" i="29"/>
  <c r="AB28" i="29"/>
  <c r="AB24" i="29"/>
  <c r="AB27" i="29"/>
  <c r="AH11" i="29"/>
  <c r="D36" i="11"/>
  <c r="AD27" i="29"/>
  <c r="AD28" i="29"/>
  <c r="AD24" i="29"/>
  <c r="J8" i="29"/>
  <c r="AA8" i="29"/>
  <c r="AE24" i="29"/>
  <c r="AE28" i="29"/>
  <c r="AE27" i="29"/>
  <c r="AM28" i="29"/>
  <c r="AM24" i="29"/>
  <c r="AM27" i="29"/>
  <c r="AN24" i="29"/>
  <c r="AN28" i="29"/>
  <c r="AN27" i="29"/>
  <c r="Q28" i="29"/>
  <c r="Q27" i="29"/>
  <c r="U48" i="29" s="1"/>
  <c r="AK28" i="29"/>
  <c r="AK27" i="29"/>
  <c r="AK24" i="29"/>
  <c r="G24" i="23"/>
  <c r="D10" i="24"/>
  <c r="D17" i="24" s="1"/>
  <c r="D19" i="24" s="1"/>
  <c r="E11" i="23"/>
  <c r="G22" i="23"/>
  <c r="F16" i="11"/>
  <c r="E33" i="11"/>
  <c r="AM36" i="20"/>
  <c r="R13" i="24"/>
  <c r="I18" i="6"/>
  <c r="J18" i="6"/>
  <c r="AC10" i="10"/>
  <c r="X11" i="10"/>
  <c r="D21" i="36" l="1"/>
  <c r="D28" i="36"/>
  <c r="F6" i="36"/>
  <c r="F7" i="36"/>
  <c r="D24" i="36"/>
  <c r="E23" i="36" s="1"/>
  <c r="E9" i="36"/>
  <c r="U5" i="29"/>
  <c r="Q53" i="29"/>
  <c r="Q49" i="29"/>
  <c r="Q52" i="29"/>
  <c r="U23" i="29"/>
  <c r="P23" i="29"/>
  <c r="P52" i="29"/>
  <c r="P49" i="29"/>
  <c r="P53" i="29"/>
  <c r="N5" i="29"/>
  <c r="N23" i="29"/>
  <c r="U53" i="29"/>
  <c r="U52" i="29"/>
  <c r="U49" i="29"/>
  <c r="N52" i="29"/>
  <c r="N49" i="29"/>
  <c r="N56" i="29" s="1"/>
  <c r="N53" i="29"/>
  <c r="Q5" i="29"/>
  <c r="P5" i="29"/>
  <c r="D21" i="24"/>
  <c r="D24" i="24" s="1"/>
  <c r="D25" i="24" s="1"/>
  <c r="E23" i="24" s="1"/>
  <c r="AT16" i="28"/>
  <c r="Z16" i="28"/>
  <c r="K24" i="29"/>
  <c r="K28" i="29"/>
  <c r="K27" i="29"/>
  <c r="J14" i="29"/>
  <c r="R13" i="36"/>
  <c r="E16" i="36"/>
  <c r="E19" i="36"/>
  <c r="E21" i="36" s="1"/>
  <c r="F19" i="11"/>
  <c r="W4" i="20"/>
  <c r="J33" i="29"/>
  <c r="J34" i="29" s="1"/>
  <c r="X11" i="20"/>
  <c r="E9" i="24"/>
  <c r="E19" i="24"/>
  <c r="E21" i="24" s="1"/>
  <c r="E16" i="24"/>
  <c r="AI12" i="33"/>
  <c r="AI6" i="33"/>
  <c r="AI7" i="33"/>
  <c r="AI11" i="33"/>
  <c r="K14" i="33"/>
  <c r="M28" i="33"/>
  <c r="M24" i="33"/>
  <c r="AM16" i="28"/>
  <c r="L8" i="33"/>
  <c r="AZ16" i="28"/>
  <c r="J12" i="33"/>
  <c r="O28" i="33"/>
  <c r="L11" i="33"/>
  <c r="L12" i="33"/>
  <c r="L30" i="33"/>
  <c r="O27" i="33"/>
  <c r="L7" i="33"/>
  <c r="X4" i="28"/>
  <c r="X5" i="28" s="1"/>
  <c r="X6" i="28" s="1"/>
  <c r="X23" i="28" s="1"/>
  <c r="J8" i="33"/>
  <c r="J6" i="33"/>
  <c r="J7" i="33"/>
  <c r="BB16" i="28"/>
  <c r="J30" i="29"/>
  <c r="AE16" i="28"/>
  <c r="BC16" i="28"/>
  <c r="AI16" i="28"/>
  <c r="AA16" i="28"/>
  <c r="BA16" i="28"/>
  <c r="AW16" i="28"/>
  <c r="AD16" i="28"/>
  <c r="AX16" i="28"/>
  <c r="AY16" i="28"/>
  <c r="AF16" i="28"/>
  <c r="AQ16" i="28"/>
  <c r="AC16" i="28"/>
  <c r="AB16" i="28"/>
  <c r="AU16" i="28"/>
  <c r="AG16" i="28"/>
  <c r="AV16" i="28"/>
  <c r="AR16" i="28"/>
  <c r="AN16" i="28"/>
  <c r="J30" i="33"/>
  <c r="AK16" i="28"/>
  <c r="AO16" i="28"/>
  <c r="Y16" i="28"/>
  <c r="AL16" i="28"/>
  <c r="AH16" i="28"/>
  <c r="AS16" i="28"/>
  <c r="AJ16" i="28"/>
  <c r="AE14" i="33"/>
  <c r="AI30" i="33"/>
  <c r="X8" i="33"/>
  <c r="X11" i="33"/>
  <c r="X6" i="33"/>
  <c r="X12" i="33"/>
  <c r="X7" i="33"/>
  <c r="Z27" i="33"/>
  <c r="Z24" i="33"/>
  <c r="Z28" i="33"/>
  <c r="Q12" i="33"/>
  <c r="Q8" i="33"/>
  <c r="Q7" i="33"/>
  <c r="Q11" i="33"/>
  <c r="Q6" i="33"/>
  <c r="AK11" i="33"/>
  <c r="AK12" i="33"/>
  <c r="AK7" i="33"/>
  <c r="AK8" i="33"/>
  <c r="AK6" i="33"/>
  <c r="AF12" i="33"/>
  <c r="AF11" i="33"/>
  <c r="AF6" i="33"/>
  <c r="AF8" i="33"/>
  <c r="AF7" i="33"/>
  <c r="AA24" i="33"/>
  <c r="AA28" i="33"/>
  <c r="AA27" i="33"/>
  <c r="V28" i="33"/>
  <c r="V27" i="33"/>
  <c r="V24" i="33"/>
  <c r="X27" i="33"/>
  <c r="X28" i="33"/>
  <c r="X24" i="33"/>
  <c r="R6" i="33"/>
  <c r="R11" i="33"/>
  <c r="R8" i="33"/>
  <c r="R12" i="33"/>
  <c r="R7" i="33"/>
  <c r="S7" i="33"/>
  <c r="S12" i="33"/>
  <c r="S8" i="33"/>
  <c r="S6" i="33"/>
  <c r="S11" i="33"/>
  <c r="T6" i="33"/>
  <c r="T7" i="33"/>
  <c r="T11" i="33"/>
  <c r="T12" i="33"/>
  <c r="T8" i="33"/>
  <c r="Q28" i="33"/>
  <c r="Q27" i="33"/>
  <c r="Q24" i="33"/>
  <c r="AK28" i="33"/>
  <c r="AK24" i="33"/>
  <c r="AK27" i="33"/>
  <c r="AC11" i="33"/>
  <c r="AC6" i="33"/>
  <c r="AC7" i="33"/>
  <c r="AC12" i="33"/>
  <c r="AC8" i="33"/>
  <c r="AF27" i="33"/>
  <c r="AF28" i="33"/>
  <c r="AF24" i="33"/>
  <c r="AH28" i="33"/>
  <c r="AH27" i="33"/>
  <c r="AH24" i="33"/>
  <c r="AM28" i="33"/>
  <c r="AM24" i="33"/>
  <c r="AM27" i="33"/>
  <c r="AA12" i="33"/>
  <c r="AA11" i="33"/>
  <c r="AA6" i="33"/>
  <c r="AA7" i="33"/>
  <c r="AA8" i="33"/>
  <c r="P27" i="33"/>
  <c r="P28" i="33"/>
  <c r="P24" i="33"/>
  <c r="AH12" i="33"/>
  <c r="AH11" i="33"/>
  <c r="AH7" i="33"/>
  <c r="AH6" i="33"/>
  <c r="AH8" i="33"/>
  <c r="AB11" i="33"/>
  <c r="AB6" i="33"/>
  <c r="AB7" i="33"/>
  <c r="AB12" i="33"/>
  <c r="AB8" i="33"/>
  <c r="AE30" i="33"/>
  <c r="R28" i="33"/>
  <c r="R27" i="33"/>
  <c r="R24" i="33"/>
  <c r="S28" i="33"/>
  <c r="S24" i="33"/>
  <c r="S27" i="33"/>
  <c r="T27" i="33"/>
  <c r="T28" i="33"/>
  <c r="T24" i="33"/>
  <c r="AN12" i="33"/>
  <c r="AN11" i="33"/>
  <c r="AN7" i="33"/>
  <c r="AN8" i="33"/>
  <c r="AN6" i="33"/>
  <c r="U6" i="33"/>
  <c r="U11" i="33"/>
  <c r="U7" i="33"/>
  <c r="U8" i="33"/>
  <c r="U12" i="33"/>
  <c r="AL28" i="33"/>
  <c r="AL27" i="33"/>
  <c r="AL24" i="33"/>
  <c r="W11" i="33"/>
  <c r="W7" i="33"/>
  <c r="W12" i="33"/>
  <c r="W6" i="33"/>
  <c r="W8" i="33"/>
  <c r="AD12" i="33"/>
  <c r="AD11" i="33"/>
  <c r="AD7" i="33"/>
  <c r="AD6" i="33"/>
  <c r="AD8" i="33"/>
  <c r="AG6" i="33"/>
  <c r="AG11" i="33"/>
  <c r="AG8" i="33"/>
  <c r="AG12" i="33"/>
  <c r="AG7" i="33"/>
  <c r="Y24" i="33"/>
  <c r="Y27" i="33"/>
  <c r="Y28" i="33"/>
  <c r="V6" i="33"/>
  <c r="V11" i="33"/>
  <c r="V8" i="33"/>
  <c r="V12" i="33"/>
  <c r="V7" i="33"/>
  <c r="AJ28" i="33"/>
  <c r="AJ24" i="33"/>
  <c r="AJ27" i="33"/>
  <c r="AC27" i="33"/>
  <c r="AC28" i="33"/>
  <c r="AC24" i="33"/>
  <c r="AM7" i="33"/>
  <c r="AM8" i="33"/>
  <c r="AM6" i="33"/>
  <c r="AM11" i="33"/>
  <c r="AM12" i="33"/>
  <c r="AB24" i="33"/>
  <c r="AB28" i="33"/>
  <c r="AB27" i="33"/>
  <c r="P6" i="33"/>
  <c r="P7" i="33"/>
  <c r="P12" i="33"/>
  <c r="P8" i="33"/>
  <c r="P11" i="33"/>
  <c r="Z12" i="33"/>
  <c r="Z11" i="33"/>
  <c r="Z8" i="33"/>
  <c r="Z6" i="33"/>
  <c r="Z7" i="33"/>
  <c r="AJ11" i="33"/>
  <c r="AJ6" i="33"/>
  <c r="AJ7" i="33"/>
  <c r="AJ12" i="33"/>
  <c r="AJ8" i="33"/>
  <c r="AN27" i="33"/>
  <c r="AN28" i="33"/>
  <c r="AN24" i="33"/>
  <c r="U28" i="33"/>
  <c r="U24" i="33"/>
  <c r="U27" i="33"/>
  <c r="AL8" i="33"/>
  <c r="AL11" i="33"/>
  <c r="AL6" i="33"/>
  <c r="AL12" i="33"/>
  <c r="AL7" i="33"/>
  <c r="W27" i="33"/>
  <c r="W24" i="33"/>
  <c r="W28" i="33"/>
  <c r="AD27" i="33"/>
  <c r="AD28" i="33"/>
  <c r="AD24" i="33"/>
  <c r="AG27" i="33"/>
  <c r="AG28" i="33"/>
  <c r="AG24" i="33"/>
  <c r="Y7" i="33"/>
  <c r="Y8" i="33"/>
  <c r="Y6" i="33"/>
  <c r="Y12" i="33"/>
  <c r="Y11" i="33"/>
  <c r="M14" i="33"/>
  <c r="N7" i="33"/>
  <c r="N8" i="33"/>
  <c r="N6" i="33"/>
  <c r="N11" i="33"/>
  <c r="N12" i="33"/>
  <c r="N28" i="33"/>
  <c r="N24" i="33"/>
  <c r="N27" i="33"/>
  <c r="O14" i="33"/>
  <c r="G23" i="23"/>
  <c r="G26" i="23" s="1"/>
  <c r="G27" i="23" s="1"/>
  <c r="Y30" i="29"/>
  <c r="AA30" i="29"/>
  <c r="Q30" i="29"/>
  <c r="AB30" i="29"/>
  <c r="AH30" i="29"/>
  <c r="AK30" i="29"/>
  <c r="Z14" i="29"/>
  <c r="K14" i="29"/>
  <c r="AN12" i="29"/>
  <c r="AN7" i="29"/>
  <c r="AN8" i="29"/>
  <c r="AN6" i="29"/>
  <c r="AI7" i="29"/>
  <c r="AI12" i="29"/>
  <c r="AI8" i="29"/>
  <c r="AI11" i="29"/>
  <c r="AN30" i="29"/>
  <c r="AI30" i="29"/>
  <c r="AG8" i="29"/>
  <c r="AG12" i="29"/>
  <c r="AG7" i="29"/>
  <c r="AG6" i="29"/>
  <c r="AN11" i="29"/>
  <c r="AF30" i="29"/>
  <c r="AL30" i="29"/>
  <c r="AB14" i="29"/>
  <c r="AL7" i="29"/>
  <c r="AL6" i="29"/>
  <c r="AL12" i="29"/>
  <c r="AL8" i="29"/>
  <c r="AA11" i="29"/>
  <c r="AA7" i="29"/>
  <c r="AA6" i="29"/>
  <c r="AA12" i="29"/>
  <c r="Y12" i="29"/>
  <c r="Y7" i="29"/>
  <c r="Y6" i="29"/>
  <c r="Y11" i="29"/>
  <c r="AJ8" i="29"/>
  <c r="AJ11" i="29"/>
  <c r="AJ6" i="29"/>
  <c r="AJ7" i="29"/>
  <c r="AC30" i="29"/>
  <c r="AF7" i="29"/>
  <c r="AF12" i="29"/>
  <c r="AF6" i="29"/>
  <c r="AF8" i="29"/>
  <c r="X14" i="29"/>
  <c r="AK6" i="29"/>
  <c r="AK8" i="29"/>
  <c r="AK7" i="29"/>
  <c r="AK12" i="29"/>
  <c r="AM6" i="29"/>
  <c r="AM8" i="29"/>
  <c r="AM7" i="29"/>
  <c r="AM11" i="29"/>
  <c r="AG30" i="29"/>
  <c r="M30" i="29"/>
  <c r="L30" i="29"/>
  <c r="AC8" i="29"/>
  <c r="AC6" i="29"/>
  <c r="AC12" i="29"/>
  <c r="AC11" i="29"/>
  <c r="AJ30" i="29"/>
  <c r="AD6" i="29"/>
  <c r="AD7" i="29"/>
  <c r="AD11" i="29"/>
  <c r="AD12" i="29"/>
  <c r="X32" i="20"/>
  <c r="AE6" i="29"/>
  <c r="AE8" i="29"/>
  <c r="AE12" i="29"/>
  <c r="AE7" i="29"/>
  <c r="AM30" i="29"/>
  <c r="AE30" i="29"/>
  <c r="AJ12" i="29"/>
  <c r="AD30" i="29"/>
  <c r="AH7" i="29"/>
  <c r="AH6" i="29"/>
  <c r="AH12" i="29"/>
  <c r="AH8" i="29"/>
  <c r="Z30" i="29"/>
  <c r="AF11" i="29"/>
  <c r="L14" i="29"/>
  <c r="AK11" i="29"/>
  <c r="AM12" i="29"/>
  <c r="X30" i="29"/>
  <c r="M14" i="29"/>
  <c r="AC7" i="29"/>
  <c r="AD8" i="29"/>
  <c r="G16" i="11"/>
  <c r="D28" i="24"/>
  <c r="F5" i="24"/>
  <c r="G10" i="23"/>
  <c r="F33" i="11"/>
  <c r="AN36" i="20"/>
  <c r="S13" i="24"/>
  <c r="X16" i="10"/>
  <c r="Y16" i="10" s="1"/>
  <c r="Z16" i="10" s="1"/>
  <c r="O11" i="7"/>
  <c r="O12" i="7" s="1"/>
  <c r="Q12" i="7" s="1"/>
  <c r="O13" i="7"/>
  <c r="O14" i="7"/>
  <c r="O16" i="7"/>
  <c r="O17" i="7"/>
  <c r="G125" i="7"/>
  <c r="F121" i="7"/>
  <c r="E121" i="7"/>
  <c r="D121" i="7"/>
  <c r="C121" i="7"/>
  <c r="B121" i="7"/>
  <c r="F120" i="7"/>
  <c r="F125" i="7" s="1"/>
  <c r="E120" i="7"/>
  <c r="E125" i="7" s="1"/>
  <c r="D125" i="7"/>
  <c r="C120" i="7"/>
  <c r="C125" i="7" s="1"/>
  <c r="L118" i="7"/>
  <c r="L119" i="7" s="1"/>
  <c r="K118" i="7"/>
  <c r="K119" i="7" s="1"/>
  <c r="J118" i="7"/>
  <c r="J119" i="7" s="1"/>
  <c r="I118" i="7"/>
  <c r="I119" i="7" s="1"/>
  <c r="H118" i="7"/>
  <c r="H119" i="7" s="1"/>
  <c r="L115" i="7"/>
  <c r="L116" i="7" s="1"/>
  <c r="K115" i="7"/>
  <c r="K116" i="7" s="1"/>
  <c r="J115" i="7"/>
  <c r="J116" i="7" s="1"/>
  <c r="I115" i="7"/>
  <c r="I116" i="7" s="1"/>
  <c r="H115" i="7"/>
  <c r="H116" i="7" s="1"/>
  <c r="L112" i="7"/>
  <c r="L113" i="7" s="1"/>
  <c r="K112" i="7"/>
  <c r="K113" i="7" s="1"/>
  <c r="J112" i="7"/>
  <c r="J113" i="7" s="1"/>
  <c r="I112" i="7"/>
  <c r="I113" i="7" s="1"/>
  <c r="H112" i="7"/>
  <c r="H113" i="7" s="1"/>
  <c r="L109" i="7"/>
  <c r="L110" i="7" s="1"/>
  <c r="K109" i="7"/>
  <c r="K110" i="7" s="1"/>
  <c r="J109" i="7"/>
  <c r="J110" i="7" s="1"/>
  <c r="I109" i="7"/>
  <c r="I110" i="7" s="1"/>
  <c r="H109" i="7"/>
  <c r="H110" i="7" s="1"/>
  <c r="L106" i="7"/>
  <c r="L107" i="7" s="1"/>
  <c r="K106" i="7"/>
  <c r="K107" i="7" s="1"/>
  <c r="J106" i="7"/>
  <c r="J107" i="7" s="1"/>
  <c r="I106" i="7"/>
  <c r="I107" i="7" s="1"/>
  <c r="H106" i="7"/>
  <c r="H107" i="7" s="1"/>
  <c r="L103" i="7"/>
  <c r="L104" i="7" s="1"/>
  <c r="K103" i="7"/>
  <c r="K104" i="7" s="1"/>
  <c r="J103" i="7"/>
  <c r="J104" i="7" s="1"/>
  <c r="I103" i="7"/>
  <c r="I104" i="7" s="1"/>
  <c r="H103" i="7"/>
  <c r="H104" i="7" s="1"/>
  <c r="L100" i="7"/>
  <c r="L101" i="7" s="1"/>
  <c r="K100" i="7"/>
  <c r="K101" i="7" s="1"/>
  <c r="J100" i="7"/>
  <c r="J101" i="7" s="1"/>
  <c r="I100" i="7"/>
  <c r="I101" i="7" s="1"/>
  <c r="H100" i="7"/>
  <c r="H101" i="7" s="1"/>
  <c r="L97" i="7"/>
  <c r="L98" i="7" s="1"/>
  <c r="K97" i="7"/>
  <c r="K98" i="7" s="1"/>
  <c r="J97" i="7"/>
  <c r="J98" i="7" s="1"/>
  <c r="I97" i="7"/>
  <c r="I98" i="7" s="1"/>
  <c r="H97" i="7"/>
  <c r="H98" i="7" s="1"/>
  <c r="L94" i="7"/>
  <c r="L95" i="7" s="1"/>
  <c r="K94" i="7"/>
  <c r="K95" i="7" s="1"/>
  <c r="J94" i="7"/>
  <c r="J95" i="7" s="1"/>
  <c r="I94" i="7"/>
  <c r="I95" i="7" s="1"/>
  <c r="H94" i="7"/>
  <c r="H95" i="7" s="1"/>
  <c r="L91" i="7"/>
  <c r="L92" i="7" s="1"/>
  <c r="K91" i="7"/>
  <c r="K92" i="7" s="1"/>
  <c r="J91" i="7"/>
  <c r="J92" i="7" s="1"/>
  <c r="I91" i="7"/>
  <c r="I92" i="7" s="1"/>
  <c r="H91" i="7"/>
  <c r="H92" i="7" s="1"/>
  <c r="L88" i="7"/>
  <c r="L89" i="7" s="1"/>
  <c r="K88" i="7"/>
  <c r="K89" i="7" s="1"/>
  <c r="J88" i="7"/>
  <c r="J89" i="7" s="1"/>
  <c r="I88" i="7"/>
  <c r="I89" i="7" s="1"/>
  <c r="H88" i="7"/>
  <c r="H89" i="7" s="1"/>
  <c r="L85" i="7"/>
  <c r="L86" i="7" s="1"/>
  <c r="K85" i="7"/>
  <c r="K86" i="7" s="1"/>
  <c r="J85" i="7"/>
  <c r="J86" i="7" s="1"/>
  <c r="I85" i="7"/>
  <c r="I86" i="7" s="1"/>
  <c r="H85" i="7"/>
  <c r="H86" i="7" s="1"/>
  <c r="L82" i="7"/>
  <c r="L83" i="7" s="1"/>
  <c r="K82" i="7"/>
  <c r="K83" i="7" s="1"/>
  <c r="J82" i="7"/>
  <c r="J83" i="7" s="1"/>
  <c r="I82" i="7"/>
  <c r="I83" i="7" s="1"/>
  <c r="H82" i="7"/>
  <c r="H83" i="7" s="1"/>
  <c r="L79" i="7"/>
  <c r="L80" i="7" s="1"/>
  <c r="K79" i="7"/>
  <c r="K80" i="7" s="1"/>
  <c r="J79" i="7"/>
  <c r="J80" i="7" s="1"/>
  <c r="I79" i="7"/>
  <c r="I80" i="7" s="1"/>
  <c r="H79" i="7"/>
  <c r="H80" i="7" s="1"/>
  <c r="L76" i="7"/>
  <c r="L77" i="7" s="1"/>
  <c r="K76" i="7"/>
  <c r="K77" i="7" s="1"/>
  <c r="J76" i="7"/>
  <c r="J77" i="7" s="1"/>
  <c r="I76" i="7"/>
  <c r="I77" i="7" s="1"/>
  <c r="H76" i="7"/>
  <c r="H77" i="7" s="1"/>
  <c r="L73" i="7"/>
  <c r="L74" i="7" s="1"/>
  <c r="K73" i="7"/>
  <c r="K74" i="7" s="1"/>
  <c r="J73" i="7"/>
  <c r="J74" i="7" s="1"/>
  <c r="I73" i="7"/>
  <c r="I74" i="7" s="1"/>
  <c r="H73" i="7"/>
  <c r="H74" i="7" s="1"/>
  <c r="L70" i="7"/>
  <c r="L71" i="7" s="1"/>
  <c r="K70" i="7"/>
  <c r="K71" i="7" s="1"/>
  <c r="J70" i="7"/>
  <c r="J71" i="7" s="1"/>
  <c r="I70" i="7"/>
  <c r="I71" i="7" s="1"/>
  <c r="H70" i="7"/>
  <c r="H71" i="7" s="1"/>
  <c r="L67" i="7"/>
  <c r="L68" i="7" s="1"/>
  <c r="K67" i="7"/>
  <c r="K68" i="7" s="1"/>
  <c r="J67" i="7"/>
  <c r="J68" i="7" s="1"/>
  <c r="I67" i="7"/>
  <c r="I68" i="7" s="1"/>
  <c r="H67" i="7"/>
  <c r="H68" i="7" s="1"/>
  <c r="L64" i="7"/>
  <c r="L65" i="7" s="1"/>
  <c r="K64" i="7"/>
  <c r="K65" i="7" s="1"/>
  <c r="J64" i="7"/>
  <c r="J65" i="7" s="1"/>
  <c r="I64" i="7"/>
  <c r="I65" i="7" s="1"/>
  <c r="H64" i="7"/>
  <c r="H65" i="7" s="1"/>
  <c r="L61" i="7"/>
  <c r="L62" i="7" s="1"/>
  <c r="K61" i="7"/>
  <c r="K62" i="7" s="1"/>
  <c r="J61" i="7"/>
  <c r="J62" i="7" s="1"/>
  <c r="I61" i="7"/>
  <c r="I62" i="7" s="1"/>
  <c r="H61" i="7"/>
  <c r="H62" i="7" s="1"/>
  <c r="L58" i="7"/>
  <c r="L59" i="7" s="1"/>
  <c r="K58" i="7"/>
  <c r="K59" i="7" s="1"/>
  <c r="J58" i="7"/>
  <c r="J59" i="7" s="1"/>
  <c r="I58" i="7"/>
  <c r="I59" i="7" s="1"/>
  <c r="H58" i="7"/>
  <c r="H59" i="7" s="1"/>
  <c r="L55" i="7"/>
  <c r="L56" i="7" s="1"/>
  <c r="K55" i="7"/>
  <c r="K56" i="7" s="1"/>
  <c r="J55" i="7"/>
  <c r="J56" i="7" s="1"/>
  <c r="I55" i="7"/>
  <c r="I56" i="7" s="1"/>
  <c r="H55" i="7"/>
  <c r="H56" i="7" s="1"/>
  <c r="L52" i="7"/>
  <c r="L53" i="7" s="1"/>
  <c r="K52" i="7"/>
  <c r="K53" i="7" s="1"/>
  <c r="J52" i="7"/>
  <c r="J53" i="7" s="1"/>
  <c r="I52" i="7"/>
  <c r="I53" i="7" s="1"/>
  <c r="H52" i="7"/>
  <c r="H53" i="7" s="1"/>
  <c r="L49" i="7"/>
  <c r="L50" i="7" s="1"/>
  <c r="K49" i="7"/>
  <c r="K50" i="7" s="1"/>
  <c r="J49" i="7"/>
  <c r="J50" i="7" s="1"/>
  <c r="I49" i="7"/>
  <c r="I50" i="7" s="1"/>
  <c r="H49" i="7"/>
  <c r="H50" i="7" s="1"/>
  <c r="L46" i="7"/>
  <c r="L47" i="7" s="1"/>
  <c r="K46" i="7"/>
  <c r="K47" i="7" s="1"/>
  <c r="J46" i="7"/>
  <c r="J47" i="7" s="1"/>
  <c r="I46" i="7"/>
  <c r="I47" i="7" s="1"/>
  <c r="H46" i="7"/>
  <c r="H47" i="7" s="1"/>
  <c r="L43" i="7"/>
  <c r="L44" i="7" s="1"/>
  <c r="K43" i="7"/>
  <c r="K44" i="7" s="1"/>
  <c r="J43" i="7"/>
  <c r="J44" i="7" s="1"/>
  <c r="I43" i="7"/>
  <c r="I44" i="7" s="1"/>
  <c r="H43" i="7"/>
  <c r="H44" i="7" s="1"/>
  <c r="L40" i="7"/>
  <c r="L41" i="7" s="1"/>
  <c r="K40" i="7"/>
  <c r="K41" i="7" s="1"/>
  <c r="J40" i="7"/>
  <c r="J41" i="7" s="1"/>
  <c r="I40" i="7"/>
  <c r="I41" i="7" s="1"/>
  <c r="H40" i="7"/>
  <c r="H41" i="7" s="1"/>
  <c r="L37" i="7"/>
  <c r="L38" i="7" s="1"/>
  <c r="K37" i="7"/>
  <c r="K38" i="7" s="1"/>
  <c r="J37" i="7"/>
  <c r="J38" i="7" s="1"/>
  <c r="I37" i="7"/>
  <c r="I38" i="7" s="1"/>
  <c r="H37" i="7"/>
  <c r="H38" i="7" s="1"/>
  <c r="L34" i="7"/>
  <c r="L35" i="7" s="1"/>
  <c r="K34" i="7"/>
  <c r="K35" i="7" s="1"/>
  <c r="J34" i="7"/>
  <c r="J35" i="7" s="1"/>
  <c r="I34" i="7"/>
  <c r="I35" i="7" s="1"/>
  <c r="H34" i="7"/>
  <c r="H35" i="7" s="1"/>
  <c r="L31" i="7"/>
  <c r="L32" i="7" s="1"/>
  <c r="K31" i="7"/>
  <c r="K32" i="7" s="1"/>
  <c r="J31" i="7"/>
  <c r="J32" i="7" s="1"/>
  <c r="I31" i="7"/>
  <c r="I32" i="7" s="1"/>
  <c r="H31" i="7"/>
  <c r="H32" i="7" s="1"/>
  <c r="L28" i="7"/>
  <c r="L29" i="7" s="1"/>
  <c r="K28" i="7"/>
  <c r="K29" i="7" s="1"/>
  <c r="J28" i="7"/>
  <c r="J29" i="7" s="1"/>
  <c r="I28" i="7"/>
  <c r="I29" i="7" s="1"/>
  <c r="H28" i="7"/>
  <c r="H29" i="7" s="1"/>
  <c r="L25" i="7"/>
  <c r="L26" i="7" s="1"/>
  <c r="K25" i="7"/>
  <c r="K26" i="7" s="1"/>
  <c r="J25" i="7"/>
  <c r="J26" i="7" s="1"/>
  <c r="I25" i="7"/>
  <c r="I26" i="7" s="1"/>
  <c r="H25" i="7"/>
  <c r="H26" i="7" s="1"/>
  <c r="L22" i="7"/>
  <c r="L23" i="7" s="1"/>
  <c r="K22" i="7"/>
  <c r="K23" i="7" s="1"/>
  <c r="J22" i="7"/>
  <c r="J23" i="7" s="1"/>
  <c r="I22" i="7"/>
  <c r="I23" i="7" s="1"/>
  <c r="H22" i="7"/>
  <c r="H23" i="7" s="1"/>
  <c r="L19" i="7"/>
  <c r="L20" i="7" s="1"/>
  <c r="K19" i="7"/>
  <c r="K20" i="7" s="1"/>
  <c r="J19" i="7"/>
  <c r="J20" i="7" s="1"/>
  <c r="I19" i="7"/>
  <c r="I20" i="7" s="1"/>
  <c r="H19" i="7"/>
  <c r="L16" i="7"/>
  <c r="L17" i="7" s="1"/>
  <c r="K16" i="7"/>
  <c r="K17" i="7" s="1"/>
  <c r="J16" i="7"/>
  <c r="J17" i="7" s="1"/>
  <c r="I16" i="7"/>
  <c r="I17" i="7" s="1"/>
  <c r="H16" i="7"/>
  <c r="H17" i="7" s="1"/>
  <c r="L13" i="7"/>
  <c r="L14" i="7" s="1"/>
  <c r="K13" i="7"/>
  <c r="K14" i="7" s="1"/>
  <c r="J13" i="7"/>
  <c r="J14" i="7" s="1"/>
  <c r="I13" i="7"/>
  <c r="I14" i="7" s="1"/>
  <c r="H13" i="7"/>
  <c r="H14" i="7" s="1"/>
  <c r="L10" i="7"/>
  <c r="L11" i="7" s="1"/>
  <c r="K10" i="7"/>
  <c r="K11" i="7" s="1"/>
  <c r="J10" i="7"/>
  <c r="J11" i="7" s="1"/>
  <c r="I10" i="7"/>
  <c r="I11" i="7" s="1"/>
  <c r="H10" i="7"/>
  <c r="H11" i="7" s="1"/>
  <c r="L7" i="7"/>
  <c r="L8" i="7" s="1"/>
  <c r="K7" i="7"/>
  <c r="K8" i="7" s="1"/>
  <c r="J7" i="7"/>
  <c r="J8" i="7" s="1"/>
  <c r="I7" i="7"/>
  <c r="I8" i="7" s="1"/>
  <c r="H7" i="7"/>
  <c r="H8" i="7" s="1"/>
  <c r="L4" i="7"/>
  <c r="L5" i="7" s="1"/>
  <c r="K4" i="7"/>
  <c r="K5" i="7" s="1"/>
  <c r="J4" i="7"/>
  <c r="J5" i="7" s="1"/>
  <c r="I4" i="7"/>
  <c r="H4" i="7"/>
  <c r="H5" i="7" s="1"/>
  <c r="K70" i="4"/>
  <c r="J70" i="4"/>
  <c r="AY64" i="4"/>
  <c r="AX64" i="4"/>
  <c r="AE63" i="4"/>
  <c r="AD63" i="4"/>
  <c r="AO62" i="4"/>
  <c r="AN62" i="4"/>
  <c r="U62" i="4"/>
  <c r="T62" i="4"/>
  <c r="BA6" i="4"/>
  <c r="AQ6" i="4"/>
  <c r="AG6" i="4"/>
  <c r="W6" i="4"/>
  <c r="M6" i="4"/>
  <c r="BA5" i="4"/>
  <c r="AQ5" i="4"/>
  <c r="AG5" i="4"/>
  <c r="W5" i="4"/>
  <c r="M5" i="4"/>
  <c r="BA4" i="4"/>
  <c r="AQ4" i="4"/>
  <c r="AG4" i="4"/>
  <c r="W4" i="4"/>
  <c r="M4" i="4"/>
  <c r="BA3" i="4"/>
  <c r="AQ3" i="4"/>
  <c r="AG3" i="4"/>
  <c r="W3" i="4"/>
  <c r="M3" i="4"/>
  <c r="BA2" i="4"/>
  <c r="AQ2" i="4"/>
  <c r="AG2" i="4"/>
  <c r="W2" i="4"/>
  <c r="M2" i="4"/>
  <c r="D29" i="36" l="1"/>
  <c r="D27" i="36"/>
  <c r="P56" i="29"/>
  <c r="P6" i="29"/>
  <c r="P7" i="29"/>
  <c r="P11" i="29"/>
  <c r="P12" i="29"/>
  <c r="P8" i="29"/>
  <c r="N27" i="29"/>
  <c r="N24" i="29"/>
  <c r="N28" i="29"/>
  <c r="Q56" i="29"/>
  <c r="O48" i="29"/>
  <c r="O5" i="29"/>
  <c r="O23" i="29"/>
  <c r="Q12" i="29"/>
  <c r="Q6" i="29"/>
  <c r="Q7" i="29"/>
  <c r="Q8" i="29"/>
  <c r="Q11" i="29"/>
  <c r="U56" i="29"/>
  <c r="N7" i="29"/>
  <c r="N11" i="29"/>
  <c r="N12" i="29"/>
  <c r="N8" i="29"/>
  <c r="N6" i="29"/>
  <c r="P27" i="29"/>
  <c r="P24" i="29"/>
  <c r="P28" i="29"/>
  <c r="U24" i="29"/>
  <c r="U28" i="29"/>
  <c r="U27" i="29"/>
  <c r="U7" i="29"/>
  <c r="U12" i="29"/>
  <c r="U6" i="29"/>
  <c r="U11" i="29"/>
  <c r="U8" i="29"/>
  <c r="E28" i="24"/>
  <c r="E24" i="24"/>
  <c r="E25" i="24" s="1"/>
  <c r="K30" i="29"/>
  <c r="K33" i="29"/>
  <c r="K34" i="29" s="1"/>
  <c r="X4" i="20"/>
  <c r="Y11" i="20"/>
  <c r="F5" i="36"/>
  <c r="F10" i="36" s="1"/>
  <c r="E28" i="36"/>
  <c r="E24" i="36"/>
  <c r="E25" i="36" s="1"/>
  <c r="F23" i="36" s="1"/>
  <c r="S13" i="36"/>
  <c r="AI14" i="33"/>
  <c r="M30" i="33"/>
  <c r="O30" i="33"/>
  <c r="L14" i="33"/>
  <c r="J14" i="33"/>
  <c r="Y4" i="28"/>
  <c r="Y5" i="28" s="1"/>
  <c r="Y6" i="28" s="1"/>
  <c r="Y23" i="28" s="1"/>
  <c r="J33" i="33"/>
  <c r="J34" i="33" s="1"/>
  <c r="J35" i="33" s="1"/>
  <c r="AA30" i="33"/>
  <c r="AD30" i="33"/>
  <c r="Q30" i="33"/>
  <c r="W30" i="33"/>
  <c r="AL14" i="33"/>
  <c r="U30" i="33"/>
  <c r="AJ14" i="33"/>
  <c r="AB14" i="33"/>
  <c r="AA14" i="33"/>
  <c r="AM30" i="33"/>
  <c r="AK30" i="33"/>
  <c r="T14" i="33"/>
  <c r="AG30" i="33"/>
  <c r="AC30" i="33"/>
  <c r="AJ30" i="33"/>
  <c r="AD14" i="33"/>
  <c r="U14" i="33"/>
  <c r="R30" i="33"/>
  <c r="AF30" i="33"/>
  <c r="Z30" i="33"/>
  <c r="X14" i="33"/>
  <c r="Y14" i="33"/>
  <c r="AN30" i="33"/>
  <c r="AB30" i="33"/>
  <c r="AM14" i="33"/>
  <c r="Y30" i="33"/>
  <c r="W14" i="33"/>
  <c r="AL30" i="33"/>
  <c r="AN14" i="33"/>
  <c r="AH30" i="33"/>
  <c r="S14" i="33"/>
  <c r="R14" i="33"/>
  <c r="V30" i="33"/>
  <c r="AK14" i="33"/>
  <c r="Z14" i="33"/>
  <c r="P14" i="33"/>
  <c r="V14" i="33"/>
  <c r="AG14" i="33"/>
  <c r="T30" i="33"/>
  <c r="S30" i="33"/>
  <c r="AH14" i="33"/>
  <c r="P30" i="33"/>
  <c r="AC14" i="33"/>
  <c r="X30" i="33"/>
  <c r="AF14" i="33"/>
  <c r="Q14" i="33"/>
  <c r="N30" i="33"/>
  <c r="N14" i="33"/>
  <c r="AH14" i="29"/>
  <c r="AD14" i="29"/>
  <c r="AJ14" i="29"/>
  <c r="AL14" i="29"/>
  <c r="AC14" i="29"/>
  <c r="Y14" i="29"/>
  <c r="AA14" i="29"/>
  <c r="AI14" i="29"/>
  <c r="AG14" i="29"/>
  <c r="G19" i="11"/>
  <c r="K35" i="29"/>
  <c r="Y32" i="20"/>
  <c r="J35" i="29"/>
  <c r="AM14" i="29"/>
  <c r="AF14" i="29"/>
  <c r="AE14" i="29"/>
  <c r="AB16" i="10"/>
  <c r="AC16" i="10" s="1"/>
  <c r="AK14" i="29"/>
  <c r="AN14" i="29"/>
  <c r="D29" i="24"/>
  <c r="F10" i="24"/>
  <c r="F9" i="24" s="1"/>
  <c r="D27" i="24"/>
  <c r="G33" i="11"/>
  <c r="H16" i="11"/>
  <c r="AO36" i="20"/>
  <c r="T13" i="24"/>
  <c r="M101" i="7"/>
  <c r="C126" i="7"/>
  <c r="D126" i="7"/>
  <c r="M38" i="7"/>
  <c r="M47" i="7"/>
  <c r="M26" i="7"/>
  <c r="M29" i="7"/>
  <c r="M56" i="7"/>
  <c r="M74" i="7"/>
  <c r="M77" i="7"/>
  <c r="M98" i="7"/>
  <c r="M62" i="7"/>
  <c r="M86" i="7"/>
  <c r="M110" i="7"/>
  <c r="E126" i="7"/>
  <c r="M20" i="7"/>
  <c r="M50" i="7"/>
  <c r="O15" i="7"/>
  <c r="F126" i="7"/>
  <c r="G126" i="7"/>
  <c r="J125" i="7"/>
  <c r="M23" i="7"/>
  <c r="M44" i="7"/>
  <c r="M71" i="7"/>
  <c r="M80" i="7"/>
  <c r="M95" i="7"/>
  <c r="M104" i="7"/>
  <c r="M119" i="7"/>
  <c r="M14" i="7"/>
  <c r="M17" i="7"/>
  <c r="M32" i="7"/>
  <c r="M53" i="7"/>
  <c r="M65" i="7"/>
  <c r="M89" i="7"/>
  <c r="M113" i="7"/>
  <c r="L125" i="7"/>
  <c r="M8" i="7"/>
  <c r="M11" i="7"/>
  <c r="M35" i="7"/>
  <c r="M41" i="7"/>
  <c r="M59" i="7"/>
  <c r="M68" i="7"/>
  <c r="M83" i="7"/>
  <c r="M92" i="7"/>
  <c r="M107" i="7"/>
  <c r="M116" i="7"/>
  <c r="I5" i="7"/>
  <c r="K125" i="7"/>
  <c r="D31" i="36" l="1"/>
  <c r="U14" i="29"/>
  <c r="U30" i="29"/>
  <c r="N14" i="29"/>
  <c r="O6" i="29"/>
  <c r="O11" i="29"/>
  <c r="O7" i="29"/>
  <c r="O12" i="29"/>
  <c r="O8" i="29"/>
  <c r="N30" i="29"/>
  <c r="O27" i="29"/>
  <c r="O24" i="29"/>
  <c r="O28" i="29"/>
  <c r="Q14" i="29"/>
  <c r="O52" i="29"/>
  <c r="O53" i="29"/>
  <c r="O49" i="29"/>
  <c r="R48" i="29"/>
  <c r="R5" i="29"/>
  <c r="R23" i="29"/>
  <c r="T48" i="29"/>
  <c r="T23" i="29"/>
  <c r="T5" i="29"/>
  <c r="P30" i="29"/>
  <c r="P14" i="29"/>
  <c r="D31" i="24"/>
  <c r="D33" i="24" s="1"/>
  <c r="D127" i="7"/>
  <c r="G127" i="7"/>
  <c r="F127" i="7"/>
  <c r="E127" i="7"/>
  <c r="E29" i="36"/>
  <c r="L33" i="29"/>
  <c r="L34" i="29" s="1"/>
  <c r="Y4" i="20"/>
  <c r="Z11" i="20"/>
  <c r="T13" i="36"/>
  <c r="E27" i="36"/>
  <c r="F9" i="36"/>
  <c r="F17" i="36"/>
  <c r="F17" i="24"/>
  <c r="Z4" i="28"/>
  <c r="Z5" i="28" s="1"/>
  <c r="Z6" i="28" s="1"/>
  <c r="Z23" i="28" s="1"/>
  <c r="K33" i="33"/>
  <c r="K34" i="33" s="1"/>
  <c r="K35" i="33" s="1"/>
  <c r="J41" i="33"/>
  <c r="J42" i="33"/>
  <c r="J36" i="33"/>
  <c r="J38" i="33"/>
  <c r="J37" i="33"/>
  <c r="E29" i="24"/>
  <c r="E27" i="24"/>
  <c r="F23" i="24"/>
  <c r="AE16" i="10"/>
  <c r="AF16" i="10" s="1"/>
  <c r="AG16" i="10" s="1"/>
  <c r="AH16" i="10" s="1"/>
  <c r="AI16" i="10" s="1"/>
  <c r="AJ16" i="10" s="1"/>
  <c r="AL16" i="10" s="1"/>
  <c r="AM16" i="10" s="1"/>
  <c r="AN16" i="10" s="1"/>
  <c r="AO16" i="10" s="1"/>
  <c r="AP16" i="10" s="1"/>
  <c r="AQ16" i="10" s="1"/>
  <c r="AR16" i="10" s="1"/>
  <c r="AS16" i="10" s="1"/>
  <c r="AT16" i="10" s="1"/>
  <c r="AU16" i="10" s="1"/>
  <c r="AV16" i="10" s="1"/>
  <c r="AW16" i="10" s="1"/>
  <c r="AX16" i="10" s="1"/>
  <c r="AY16" i="10" s="1"/>
  <c r="AZ16" i="10" s="1"/>
  <c r="BA16" i="10" s="1"/>
  <c r="BB16" i="10" s="1"/>
  <c r="BC16" i="10" s="1"/>
  <c r="BD16" i="10" s="1"/>
  <c r="BE16" i="10" s="1"/>
  <c r="AD16" i="10"/>
  <c r="J42" i="29"/>
  <c r="J41" i="29"/>
  <c r="J38" i="29"/>
  <c r="J36" i="29"/>
  <c r="J37" i="29"/>
  <c r="H19" i="11"/>
  <c r="L35" i="29"/>
  <c r="Z32" i="20"/>
  <c r="K38" i="29"/>
  <c r="K36" i="29"/>
  <c r="K41" i="29"/>
  <c r="K37" i="29"/>
  <c r="K42" i="29"/>
  <c r="G11" i="23"/>
  <c r="W38" i="20"/>
  <c r="H7" i="23"/>
  <c r="V10" i="20"/>
  <c r="V22" i="20" s="1"/>
  <c r="G8" i="24"/>
  <c r="V35" i="20"/>
  <c r="V38" i="20" s="1"/>
  <c r="H33" i="11"/>
  <c r="AP36" i="20"/>
  <c r="U13" i="24"/>
  <c r="K126" i="7"/>
  <c r="L126" i="7"/>
  <c r="H122" i="7"/>
  <c r="H125" i="7"/>
  <c r="H126" i="7" s="1"/>
  <c r="H127" i="7" s="1"/>
  <c r="I121" i="7"/>
  <c r="I122" i="7" s="1"/>
  <c r="I125" i="7"/>
  <c r="J121" i="7"/>
  <c r="J122" i="7" s="1"/>
  <c r="K121" i="7"/>
  <c r="K122" i="7" s="1"/>
  <c r="L121" i="7"/>
  <c r="L122" i="7" s="1"/>
  <c r="D33" i="36" l="1"/>
  <c r="E31" i="36"/>
  <c r="E33" i="36" s="1"/>
  <c r="E37" i="36" s="1"/>
  <c r="O30" i="29"/>
  <c r="R28" i="29"/>
  <c r="R27" i="29"/>
  <c r="R24" i="29"/>
  <c r="O56" i="29"/>
  <c r="O14" i="29"/>
  <c r="T52" i="29"/>
  <c r="T53" i="29"/>
  <c r="T49" i="29"/>
  <c r="T8" i="29"/>
  <c r="T6" i="29"/>
  <c r="T11" i="29"/>
  <c r="T7" i="29"/>
  <c r="T12" i="29"/>
  <c r="R6" i="29"/>
  <c r="R12" i="29"/>
  <c r="R8" i="29"/>
  <c r="R7" i="29"/>
  <c r="R11" i="29"/>
  <c r="T24" i="29"/>
  <c r="T28" i="29"/>
  <c r="T27" i="29"/>
  <c r="R49" i="29"/>
  <c r="R52" i="29"/>
  <c r="R53" i="29"/>
  <c r="S48" i="29"/>
  <c r="S23" i="29"/>
  <c r="S5" i="29"/>
  <c r="G12" i="24"/>
  <c r="G12" i="36"/>
  <c r="G11" i="36" s="1"/>
  <c r="M33" i="29"/>
  <c r="M34" i="29" s="1"/>
  <c r="M35" i="29" s="1"/>
  <c r="Z4" i="20"/>
  <c r="AA11" i="20"/>
  <c r="F16" i="36"/>
  <c r="F19" i="36"/>
  <c r="F21" i="36" s="1"/>
  <c r="U13" i="36"/>
  <c r="F19" i="24"/>
  <c r="F16" i="24"/>
  <c r="AA4" i="28"/>
  <c r="AA5" i="28" s="1"/>
  <c r="AA6" i="28" s="1"/>
  <c r="AA23" i="28" s="1"/>
  <c r="L33" i="33"/>
  <c r="L34" i="33" s="1"/>
  <c r="L35" i="33" s="1"/>
  <c r="K38" i="33"/>
  <c r="K37" i="33"/>
  <c r="K42" i="33"/>
  <c r="K36" i="33"/>
  <c r="K41" i="33"/>
  <c r="J44" i="33"/>
  <c r="J58" i="33" s="1"/>
  <c r="J85" i="33" s="1"/>
  <c r="E31" i="24"/>
  <c r="I19" i="11"/>
  <c r="AA32" i="20"/>
  <c r="K44" i="29"/>
  <c r="K58" i="29" s="1"/>
  <c r="K85" i="29" s="1"/>
  <c r="L36" i="29"/>
  <c r="L38" i="29"/>
  <c r="L37" i="29"/>
  <c r="L41" i="29"/>
  <c r="L42" i="29"/>
  <c r="J44" i="29"/>
  <c r="J58" i="29" s="1"/>
  <c r="J85" i="29" s="1"/>
  <c r="E12" i="23"/>
  <c r="E14" i="23" s="1"/>
  <c r="E15" i="23" s="1"/>
  <c r="X35" i="20"/>
  <c r="X38" i="20" s="1"/>
  <c r="H19" i="23"/>
  <c r="J16" i="11"/>
  <c r="I33" i="11"/>
  <c r="AQ36" i="20"/>
  <c r="V13" i="24"/>
  <c r="J126" i="7"/>
  <c r="I126" i="7"/>
  <c r="L127" i="7" s="1"/>
  <c r="E36" i="36" l="1"/>
  <c r="AR4" i="36" s="1"/>
  <c r="AW4" i="36" s="1"/>
  <c r="AX4" i="36" s="1"/>
  <c r="D37" i="36"/>
  <c r="T56" i="29"/>
  <c r="R30" i="29"/>
  <c r="S12" i="29"/>
  <c r="S8" i="29"/>
  <c r="S6" i="29"/>
  <c r="S7" i="29"/>
  <c r="S11" i="29"/>
  <c r="T30" i="29"/>
  <c r="S24" i="29"/>
  <c r="S27" i="29"/>
  <c r="S28" i="29"/>
  <c r="R56" i="29"/>
  <c r="R14" i="29"/>
  <c r="T14" i="29"/>
  <c r="V48" i="29"/>
  <c r="V23" i="29"/>
  <c r="V5" i="29"/>
  <c r="S53" i="29"/>
  <c r="S52" i="29"/>
  <c r="S49" i="29"/>
  <c r="F28" i="24"/>
  <c r="F21" i="24"/>
  <c r="F24" i="24" s="1"/>
  <c r="F25" i="24" s="1"/>
  <c r="J127" i="7"/>
  <c r="I127" i="7"/>
  <c r="L11" i="6"/>
  <c r="M11" i="6" s="1"/>
  <c r="N11" i="6" s="1"/>
  <c r="O11" i="6" s="1"/>
  <c r="V13" i="36"/>
  <c r="K127" i="7"/>
  <c r="N33" i="29"/>
  <c r="N34" i="29" s="1"/>
  <c r="N35" i="29" s="1"/>
  <c r="AA4" i="20"/>
  <c r="AB11" i="20"/>
  <c r="F28" i="36"/>
  <c r="F24" i="36"/>
  <c r="H4" i="36"/>
  <c r="H4" i="24"/>
  <c r="D39" i="24"/>
  <c r="K44" i="33"/>
  <c r="K58" i="33" s="1"/>
  <c r="K85" i="33" s="1"/>
  <c r="L37" i="33"/>
  <c r="L36" i="33"/>
  <c r="L42" i="33"/>
  <c r="L38" i="33"/>
  <c r="L41" i="33"/>
  <c r="AB4" i="28"/>
  <c r="AB5" i="28" s="1"/>
  <c r="AB6" i="28" s="1"/>
  <c r="AB23" i="28" s="1"/>
  <c r="M33" i="33"/>
  <c r="M34" i="33" s="1"/>
  <c r="M35" i="33" s="1"/>
  <c r="F12" i="23"/>
  <c r="F14" i="23" s="1"/>
  <c r="F15" i="23" s="1"/>
  <c r="E33" i="24"/>
  <c r="E37" i="24" s="1"/>
  <c r="J19" i="11"/>
  <c r="AB32" i="20"/>
  <c r="L44" i="29"/>
  <c r="L58" i="29" s="1"/>
  <c r="M42" i="29"/>
  <c r="M37" i="29"/>
  <c r="M36" i="29"/>
  <c r="M41" i="29"/>
  <c r="M38" i="29"/>
  <c r="H23" i="23"/>
  <c r="H24" i="23"/>
  <c r="Y35" i="20"/>
  <c r="Y38" i="20" s="1"/>
  <c r="G11" i="24"/>
  <c r="H22" i="23"/>
  <c r="K16" i="11"/>
  <c r="J33" i="11"/>
  <c r="AR36" i="20"/>
  <c r="W13" i="24"/>
  <c r="G46" i="36" l="1"/>
  <c r="L46" i="36" s="1"/>
  <c r="M46" i="36" s="1"/>
  <c r="D36" i="36"/>
  <c r="G7" i="36"/>
  <c r="G6" i="36"/>
  <c r="G45" i="24"/>
  <c r="V12" i="29"/>
  <c r="V11" i="29"/>
  <c r="V8" i="29"/>
  <c r="V6" i="29"/>
  <c r="V7" i="29"/>
  <c r="S30" i="29"/>
  <c r="S14" i="29"/>
  <c r="S56" i="29"/>
  <c r="V28" i="29"/>
  <c r="V27" i="29"/>
  <c r="V24" i="29"/>
  <c r="V30" i="29" s="1"/>
  <c r="W48" i="29"/>
  <c r="W23" i="29"/>
  <c r="W5" i="29"/>
  <c r="V52" i="29"/>
  <c r="V49" i="29"/>
  <c r="V53" i="29"/>
  <c r="G6" i="24"/>
  <c r="G7" i="24"/>
  <c r="L45" i="24"/>
  <c r="M45" i="24" s="1"/>
  <c r="F27" i="36"/>
  <c r="F25" i="36"/>
  <c r="G23" i="36" s="1"/>
  <c r="O33" i="29"/>
  <c r="O34" i="29" s="1"/>
  <c r="O35" i="29" s="1"/>
  <c r="AC11" i="20"/>
  <c r="AB4" i="20"/>
  <c r="W13" i="36"/>
  <c r="F29" i="36"/>
  <c r="H1" i="36"/>
  <c r="H8" i="36"/>
  <c r="I4" i="36"/>
  <c r="W7" i="20"/>
  <c r="W10" i="20" s="1"/>
  <c r="W22" i="20" s="1"/>
  <c r="H1" i="24"/>
  <c r="F29" i="24"/>
  <c r="F27" i="24"/>
  <c r="G23" i="24"/>
  <c r="I4" i="24"/>
  <c r="E39" i="24"/>
  <c r="E36" i="24" s="1"/>
  <c r="M37" i="33"/>
  <c r="M41" i="33"/>
  <c r="M36" i="33"/>
  <c r="M42" i="33"/>
  <c r="M38" i="33"/>
  <c r="L44" i="33"/>
  <c r="L58" i="33" s="1"/>
  <c r="L85" i="33" s="1"/>
  <c r="AC4" i="28"/>
  <c r="AC5" i="28" s="1"/>
  <c r="AC6" i="28" s="1"/>
  <c r="AC23" i="28" s="1"/>
  <c r="N33" i="33"/>
  <c r="N34" i="33" s="1"/>
  <c r="N35" i="33" s="1"/>
  <c r="L85" i="29"/>
  <c r="N37" i="29"/>
  <c r="N38" i="29"/>
  <c r="N41" i="29"/>
  <c r="N36" i="29"/>
  <c r="N42" i="29"/>
  <c r="M44" i="29"/>
  <c r="M58" i="29" s="1"/>
  <c r="K19" i="11"/>
  <c r="AC32" i="20"/>
  <c r="I7" i="23"/>
  <c r="H8" i="24"/>
  <c r="H26" i="23"/>
  <c r="H27" i="23" s="1"/>
  <c r="L16" i="11"/>
  <c r="K33" i="11"/>
  <c r="H10" i="23"/>
  <c r="Z35" i="20"/>
  <c r="Z38" i="20" s="1"/>
  <c r="AS36" i="20"/>
  <c r="X13" i="24"/>
  <c r="O15" i="6"/>
  <c r="O16" i="6"/>
  <c r="O17" i="6"/>
  <c r="O14" i="6"/>
  <c r="O13" i="6"/>
  <c r="N17" i="6"/>
  <c r="N15" i="6"/>
  <c r="N16" i="6"/>
  <c r="N13" i="6"/>
  <c r="N14" i="6"/>
  <c r="M14" i="6"/>
  <c r="M17" i="6"/>
  <c r="M13" i="6"/>
  <c r="M15" i="6"/>
  <c r="M16" i="6"/>
  <c r="P11" i="6"/>
  <c r="Q11" i="6" s="1"/>
  <c r="L15" i="6"/>
  <c r="L13" i="6"/>
  <c r="L16" i="6"/>
  <c r="L14" i="6"/>
  <c r="L17" i="6"/>
  <c r="G45" i="36" l="1"/>
  <c r="L45" i="36" s="1"/>
  <c r="M45" i="36" s="1"/>
  <c r="AR3" i="36"/>
  <c r="G5" i="36"/>
  <c r="G10" i="36" s="1"/>
  <c r="G46" i="24"/>
  <c r="V56" i="29"/>
  <c r="V14" i="29"/>
  <c r="W52" i="29"/>
  <c r="W49" i="29"/>
  <c r="W53" i="29"/>
  <c r="B3" i="26"/>
  <c r="W7" i="29"/>
  <c r="W8" i="29"/>
  <c r="W6" i="29"/>
  <c r="W11" i="29"/>
  <c r="W12" i="29"/>
  <c r="W24" i="29"/>
  <c r="W27" i="29"/>
  <c r="W28" i="29"/>
  <c r="H45" i="24"/>
  <c r="F31" i="36"/>
  <c r="F33" i="36" s="1"/>
  <c r="F37" i="36" s="1"/>
  <c r="X13" i="36"/>
  <c r="H12" i="36"/>
  <c r="H11" i="36" s="1"/>
  <c r="P33" i="29"/>
  <c r="P34" i="29" s="1"/>
  <c r="P35" i="29" s="1"/>
  <c r="AC4" i="20"/>
  <c r="AD11" i="20"/>
  <c r="J4" i="36"/>
  <c r="I1" i="36"/>
  <c r="I8" i="36"/>
  <c r="X7" i="20"/>
  <c r="X10" i="20" s="1"/>
  <c r="X22" i="20" s="1"/>
  <c r="I1" i="24"/>
  <c r="F31" i="24"/>
  <c r="J7" i="23"/>
  <c r="J4" i="24"/>
  <c r="H12" i="24"/>
  <c r="I8" i="24"/>
  <c r="N42" i="33"/>
  <c r="N38" i="33"/>
  <c r="N41" i="33"/>
  <c r="N36" i="33"/>
  <c r="N37" i="33"/>
  <c r="M44" i="33"/>
  <c r="M58" i="33" s="1"/>
  <c r="M85" i="33" s="1"/>
  <c r="AD4" i="28"/>
  <c r="AD5" i="28" s="1"/>
  <c r="AD6" i="28" s="1"/>
  <c r="AD23" i="28" s="1"/>
  <c r="O33" i="33"/>
  <c r="O34" i="33" s="1"/>
  <c r="O35" i="33" s="1"/>
  <c r="M85" i="29"/>
  <c r="N44" i="29"/>
  <c r="N58" i="29" s="1"/>
  <c r="O38" i="29"/>
  <c r="O36" i="29"/>
  <c r="O42" i="29"/>
  <c r="O37" i="29"/>
  <c r="O41" i="29"/>
  <c r="L19" i="11"/>
  <c r="AD32" i="20"/>
  <c r="I19" i="23"/>
  <c r="G5" i="24"/>
  <c r="AA35" i="20"/>
  <c r="AA38" i="20" s="1"/>
  <c r="M16" i="11"/>
  <c r="L33" i="11"/>
  <c r="AT36" i="20"/>
  <c r="Y13" i="24"/>
  <c r="P17" i="6"/>
  <c r="P15" i="6"/>
  <c r="P13" i="6"/>
  <c r="P16" i="6"/>
  <c r="P14" i="6"/>
  <c r="L18" i="6"/>
  <c r="M18" i="6"/>
  <c r="N18" i="6"/>
  <c r="O18" i="6"/>
  <c r="H46" i="36" l="1"/>
  <c r="H45" i="36"/>
  <c r="AS4" i="36"/>
  <c r="AS3" i="36"/>
  <c r="AW3" i="36"/>
  <c r="AX3" i="36" s="1"/>
  <c r="W56" i="29"/>
  <c r="W14" i="29"/>
  <c r="W30" i="29"/>
  <c r="G17" i="36"/>
  <c r="G9" i="36"/>
  <c r="Q33" i="29"/>
  <c r="Q34" i="29" s="1"/>
  <c r="AD4" i="20"/>
  <c r="AE11" i="20"/>
  <c r="I12" i="36"/>
  <c r="I11" i="36" s="1"/>
  <c r="Y13" i="36"/>
  <c r="K4" i="36"/>
  <c r="J1" i="36"/>
  <c r="J8" i="36"/>
  <c r="J8" i="24"/>
  <c r="J1" i="24"/>
  <c r="G12" i="23"/>
  <c r="G14" i="23" s="1"/>
  <c r="G15" i="23" s="1"/>
  <c r="F33" i="24"/>
  <c r="F37" i="24" s="1"/>
  <c r="K7" i="23"/>
  <c r="K19" i="23"/>
  <c r="L46" i="24"/>
  <c r="M46" i="24" s="1"/>
  <c r="Y7" i="20"/>
  <c r="Y10" i="20" s="1"/>
  <c r="Y22" i="20" s="1"/>
  <c r="K4" i="24"/>
  <c r="I12" i="24"/>
  <c r="J22" i="23" s="1"/>
  <c r="J19" i="23"/>
  <c r="N44" i="33"/>
  <c r="N58" i="33" s="1"/>
  <c r="N85" i="33" s="1"/>
  <c r="O41" i="33"/>
  <c r="O37" i="33"/>
  <c r="O42" i="33"/>
  <c r="O38" i="33"/>
  <c r="O36" i="33"/>
  <c r="AE4" i="28"/>
  <c r="AE5" i="28" s="1"/>
  <c r="AE6" i="28" s="1"/>
  <c r="AE23" i="28" s="1"/>
  <c r="P33" i="33"/>
  <c r="P34" i="33" s="1"/>
  <c r="P35" i="33" s="1"/>
  <c r="N85" i="29"/>
  <c r="I24" i="23"/>
  <c r="H11" i="24"/>
  <c r="I22" i="23"/>
  <c r="M19" i="11"/>
  <c r="Q35" i="29"/>
  <c r="AE32" i="20"/>
  <c r="P42" i="29"/>
  <c r="P37" i="29"/>
  <c r="P38" i="29"/>
  <c r="P36" i="29"/>
  <c r="P41" i="29"/>
  <c r="O44" i="29"/>
  <c r="O58" i="29" s="1"/>
  <c r="O85" i="29" s="1"/>
  <c r="N16" i="11"/>
  <c r="M33" i="11"/>
  <c r="AB35" i="20"/>
  <c r="AB38" i="20" s="1"/>
  <c r="H11" i="23"/>
  <c r="G10" i="24"/>
  <c r="AU36" i="20"/>
  <c r="Z13" i="24"/>
  <c r="P18" i="6"/>
  <c r="Q16" i="6"/>
  <c r="Q15" i="6"/>
  <c r="Q13" i="6"/>
  <c r="Q14" i="6"/>
  <c r="Q17" i="6"/>
  <c r="R11" i="6"/>
  <c r="H6" i="36" l="1"/>
  <c r="H7" i="36"/>
  <c r="H6" i="24"/>
  <c r="H7" i="24"/>
  <c r="J12" i="24"/>
  <c r="J11" i="24" s="1"/>
  <c r="J12" i="36"/>
  <c r="J11" i="36" s="1"/>
  <c r="R33" i="29"/>
  <c r="R34" i="29" s="1"/>
  <c r="AE4" i="20"/>
  <c r="AF11" i="20"/>
  <c r="Z13" i="36"/>
  <c r="G19" i="36"/>
  <c r="G21" i="36" s="1"/>
  <c r="G16" i="36"/>
  <c r="F36" i="36"/>
  <c r="K1" i="36"/>
  <c r="K8" i="36"/>
  <c r="L4" i="36"/>
  <c r="L7" i="23"/>
  <c r="K1" i="24"/>
  <c r="F39" i="24"/>
  <c r="F36" i="24" s="1"/>
  <c r="G17" i="24"/>
  <c r="G9" i="24"/>
  <c r="Z7" i="20"/>
  <c r="Z10" i="20" s="1"/>
  <c r="Z22" i="20" s="1"/>
  <c r="I11" i="24"/>
  <c r="L19" i="23"/>
  <c r="K8" i="24"/>
  <c r="J24" i="23"/>
  <c r="L4" i="24"/>
  <c r="M4" i="24"/>
  <c r="AF4" i="28"/>
  <c r="AF5" i="28" s="1"/>
  <c r="AF6" i="28" s="1"/>
  <c r="AF23" i="28" s="1"/>
  <c r="Q33" i="33"/>
  <c r="Q34" i="33" s="1"/>
  <c r="Q35" i="33" s="1"/>
  <c r="P41" i="33"/>
  <c r="P42" i="33"/>
  <c r="P36" i="33"/>
  <c r="P38" i="33"/>
  <c r="P37" i="33"/>
  <c r="O44" i="33"/>
  <c r="O58" i="33" s="1"/>
  <c r="O85" i="33" s="1"/>
  <c r="P44" i="29"/>
  <c r="P58" i="29" s="1"/>
  <c r="P85" i="29" s="1"/>
  <c r="N19" i="11"/>
  <c r="R35" i="29"/>
  <c r="AF32" i="20"/>
  <c r="Q38" i="29"/>
  <c r="Q41" i="29"/>
  <c r="Q42" i="29"/>
  <c r="Q36" i="29"/>
  <c r="Q37" i="29"/>
  <c r="Q18" i="6"/>
  <c r="I23" i="23"/>
  <c r="I26" i="23" s="1"/>
  <c r="I10" i="23"/>
  <c r="AC35" i="20"/>
  <c r="AC38" i="20" s="1"/>
  <c r="O16" i="11"/>
  <c r="N33" i="11"/>
  <c r="AV36" i="20"/>
  <c r="AA13" i="24"/>
  <c r="R15" i="6"/>
  <c r="R16" i="6"/>
  <c r="R14" i="6"/>
  <c r="R17" i="6"/>
  <c r="R13" i="6"/>
  <c r="S11" i="6"/>
  <c r="AR5" i="36" l="1"/>
  <c r="G47" i="36"/>
  <c r="L47" i="36" s="1"/>
  <c r="M47" i="36" s="1"/>
  <c r="I6" i="36"/>
  <c r="I7" i="36"/>
  <c r="G47" i="24"/>
  <c r="J6" i="24"/>
  <c r="J7" i="24"/>
  <c r="K10" i="23"/>
  <c r="I6" i="24"/>
  <c r="I7" i="24"/>
  <c r="K22" i="23"/>
  <c r="K24" i="23"/>
  <c r="H5" i="36"/>
  <c r="H10" i="36" s="1"/>
  <c r="H17" i="36" s="1"/>
  <c r="S33" i="29"/>
  <c r="S34" i="29" s="1"/>
  <c r="S35" i="29" s="1"/>
  <c r="AF4" i="20"/>
  <c r="AG11" i="20"/>
  <c r="G28" i="36"/>
  <c r="G24" i="36"/>
  <c r="G25" i="36" s="1"/>
  <c r="H23" i="36" s="1"/>
  <c r="K12" i="36"/>
  <c r="K11" i="36" s="1"/>
  <c r="AA13" i="36"/>
  <c r="L1" i="36"/>
  <c r="L8" i="36"/>
  <c r="M4" i="36"/>
  <c r="AA7" i="20"/>
  <c r="AA10" i="20" s="1"/>
  <c r="AA22" i="20" s="1"/>
  <c r="L1" i="24"/>
  <c r="AB7" i="20"/>
  <c r="AB10" i="20" s="1"/>
  <c r="AB22" i="20" s="1"/>
  <c r="M1" i="24"/>
  <c r="G19" i="24"/>
  <c r="G21" i="24" s="1"/>
  <c r="G24" i="24" s="1"/>
  <c r="G25" i="24" s="1"/>
  <c r="G16" i="24"/>
  <c r="J10" i="23"/>
  <c r="K23" i="23"/>
  <c r="M19" i="23"/>
  <c r="L8" i="24"/>
  <c r="M7" i="23"/>
  <c r="N4" i="24"/>
  <c r="K12" i="24"/>
  <c r="J23" i="23"/>
  <c r="J26" i="23" s="1"/>
  <c r="J27" i="23" s="1"/>
  <c r="Q36" i="33"/>
  <c r="Q42" i="33"/>
  <c r="Q41" i="33"/>
  <c r="Q38" i="33"/>
  <c r="Q37" i="33"/>
  <c r="AG4" i="28"/>
  <c r="AG5" i="28" s="1"/>
  <c r="AG6" i="28" s="1"/>
  <c r="AG23" i="28" s="1"/>
  <c r="R33" i="33"/>
  <c r="R34" i="33" s="1"/>
  <c r="R35" i="33" s="1"/>
  <c r="P44" i="33"/>
  <c r="P58" i="33" s="1"/>
  <c r="P85" i="33" s="1"/>
  <c r="Q44" i="29"/>
  <c r="Q58" i="29" s="1"/>
  <c r="Q85" i="29" s="1"/>
  <c r="O19" i="11"/>
  <c r="AG32" i="20"/>
  <c r="H5" i="24"/>
  <c r="N7" i="23"/>
  <c r="M8" i="24"/>
  <c r="R38" i="29"/>
  <c r="R36" i="29"/>
  <c r="R37" i="29"/>
  <c r="R42" i="29"/>
  <c r="R41" i="29"/>
  <c r="I27" i="23"/>
  <c r="P16" i="11"/>
  <c r="O33" i="11"/>
  <c r="AD35" i="20"/>
  <c r="AD38" i="20" s="1"/>
  <c r="AW36" i="20"/>
  <c r="AB13" i="24"/>
  <c r="S15" i="6"/>
  <c r="S17" i="6"/>
  <c r="S14" i="6"/>
  <c r="S16" i="6"/>
  <c r="S13" i="6"/>
  <c r="T11" i="6"/>
  <c r="R18" i="6"/>
  <c r="AW5" i="36" l="1"/>
  <c r="AX5" i="36" s="1"/>
  <c r="AS5" i="36"/>
  <c r="H47" i="36"/>
  <c r="J6" i="36"/>
  <c r="J7" i="36"/>
  <c r="J5" i="24"/>
  <c r="K11" i="23" s="1"/>
  <c r="I5" i="24"/>
  <c r="I10" i="24" s="1"/>
  <c r="I17" i="24" s="1"/>
  <c r="K26" i="23"/>
  <c r="L47" i="24"/>
  <c r="M47" i="24" s="1"/>
  <c r="L23" i="23"/>
  <c r="L24" i="23"/>
  <c r="H9" i="36"/>
  <c r="G29" i="36"/>
  <c r="I5" i="36"/>
  <c r="I10" i="36" s="1"/>
  <c r="I9" i="36" s="1"/>
  <c r="M12" i="36"/>
  <c r="M11" i="36" s="1"/>
  <c r="G27" i="36"/>
  <c r="T33" i="29"/>
  <c r="T34" i="29" s="1"/>
  <c r="T35" i="29" s="1"/>
  <c r="AH11" i="20"/>
  <c r="AG4" i="20"/>
  <c r="AB13" i="36"/>
  <c r="L12" i="36"/>
  <c r="L11" i="36" s="1"/>
  <c r="H19" i="36"/>
  <c r="H21" i="36" s="1"/>
  <c r="H16" i="36"/>
  <c r="N4" i="36"/>
  <c r="M1" i="36"/>
  <c r="M8" i="36"/>
  <c r="O7" i="23"/>
  <c r="N1" i="24"/>
  <c r="G28" i="24"/>
  <c r="J10" i="24"/>
  <c r="J11" i="23"/>
  <c r="AC7" i="20"/>
  <c r="AC10" i="20" s="1"/>
  <c r="AC22" i="20" s="1"/>
  <c r="O19" i="23"/>
  <c r="N8" i="24"/>
  <c r="K27" i="23"/>
  <c r="L12" i="24"/>
  <c r="M22" i="23" s="1"/>
  <c r="O4" i="24"/>
  <c r="M12" i="24"/>
  <c r="K11" i="24"/>
  <c r="L22" i="23"/>
  <c r="AH4" i="28"/>
  <c r="AH5" i="28" s="1"/>
  <c r="AH6" i="28" s="1"/>
  <c r="AH23" i="28" s="1"/>
  <c r="S33" i="33"/>
  <c r="S34" i="33" s="1"/>
  <c r="S35" i="33" s="1"/>
  <c r="R36" i="33"/>
  <c r="R37" i="33"/>
  <c r="R41" i="33"/>
  <c r="R38" i="33"/>
  <c r="R42" i="33"/>
  <c r="Q44" i="33"/>
  <c r="Q58" i="33" s="1"/>
  <c r="Q85" i="33" s="1"/>
  <c r="S36" i="29"/>
  <c r="S41" i="29"/>
  <c r="S38" i="29"/>
  <c r="S42" i="29"/>
  <c r="S37" i="29"/>
  <c r="I11" i="23"/>
  <c r="H10" i="24"/>
  <c r="I9" i="24" s="1"/>
  <c r="P19" i="11"/>
  <c r="AH32" i="20"/>
  <c r="R44" i="29"/>
  <c r="R58" i="29" s="1"/>
  <c r="N19" i="23"/>
  <c r="AE35" i="20"/>
  <c r="AE38" i="20" s="1"/>
  <c r="Q16" i="11"/>
  <c r="P33" i="11"/>
  <c r="AX36" i="20"/>
  <c r="AC13" i="24"/>
  <c r="T13" i="6"/>
  <c r="T15" i="6"/>
  <c r="T17" i="6"/>
  <c r="T16" i="6"/>
  <c r="T14" i="6"/>
  <c r="U11" i="6"/>
  <c r="S18" i="6"/>
  <c r="G31" i="36" l="1"/>
  <c r="G33" i="36" s="1"/>
  <c r="G37" i="36" s="1"/>
  <c r="K7" i="36"/>
  <c r="K6" i="36"/>
  <c r="N1" i="36"/>
  <c r="K6" i="24"/>
  <c r="K7" i="24"/>
  <c r="L26" i="23"/>
  <c r="L27" i="23" s="1"/>
  <c r="M23" i="23"/>
  <c r="M24" i="23"/>
  <c r="I17" i="36"/>
  <c r="I19" i="36" s="1"/>
  <c r="I21" i="36" s="1"/>
  <c r="U33" i="29"/>
  <c r="U34" i="29" s="1"/>
  <c r="AH4" i="20"/>
  <c r="AI11" i="20"/>
  <c r="N12" i="24"/>
  <c r="O22" i="23" s="1"/>
  <c r="N12" i="36"/>
  <c r="N11" i="36" s="1"/>
  <c r="AC13" i="36"/>
  <c r="H28" i="36"/>
  <c r="H24" i="36"/>
  <c r="H25" i="36" s="1"/>
  <c r="I23" i="36" s="1"/>
  <c r="J5" i="36"/>
  <c r="J10" i="36" s="1"/>
  <c r="O4" i="36"/>
  <c r="N8" i="36"/>
  <c r="O1" i="24"/>
  <c r="I19" i="24"/>
  <c r="H17" i="24"/>
  <c r="I16" i="24" s="1"/>
  <c r="H9" i="24"/>
  <c r="H23" i="24"/>
  <c r="G29" i="24"/>
  <c r="G27" i="24"/>
  <c r="J17" i="24"/>
  <c r="J9" i="24"/>
  <c r="AD7" i="20"/>
  <c r="AD10" i="20" s="1"/>
  <c r="AD22" i="20" s="1"/>
  <c r="L11" i="24"/>
  <c r="O8" i="24"/>
  <c r="L10" i="23"/>
  <c r="P7" i="23"/>
  <c r="AI4" i="28"/>
  <c r="AI5" i="28" s="1"/>
  <c r="AI6" i="28" s="1"/>
  <c r="AI23" i="28" s="1"/>
  <c r="T33" i="33"/>
  <c r="T34" i="33" s="1"/>
  <c r="T35" i="33" s="1"/>
  <c r="R44" i="33"/>
  <c r="R58" i="33" s="1"/>
  <c r="R85" i="33" s="1"/>
  <c r="S42" i="33"/>
  <c r="S38" i="33"/>
  <c r="S36" i="33"/>
  <c r="S41" i="33"/>
  <c r="S37" i="33"/>
  <c r="R85" i="29"/>
  <c r="P19" i="23"/>
  <c r="N24" i="23"/>
  <c r="T41" i="29"/>
  <c r="T37" i="29"/>
  <c r="T38" i="29"/>
  <c r="T36" i="29"/>
  <c r="T42" i="29"/>
  <c r="N22" i="23"/>
  <c r="M11" i="24"/>
  <c r="S44" i="29"/>
  <c r="S58" i="29" s="1"/>
  <c r="Q19" i="11"/>
  <c r="U35" i="29"/>
  <c r="AI32" i="20"/>
  <c r="R16" i="11"/>
  <c r="Q33" i="11"/>
  <c r="AF35" i="20"/>
  <c r="AF38" i="20" s="1"/>
  <c r="AY36" i="20"/>
  <c r="AD13" i="24"/>
  <c r="U16" i="6"/>
  <c r="U15" i="6"/>
  <c r="U13" i="6"/>
  <c r="U17" i="6"/>
  <c r="U14" i="6"/>
  <c r="V11" i="6"/>
  <c r="T18" i="6"/>
  <c r="L6" i="36" l="1"/>
  <c r="L7" i="36"/>
  <c r="M7" i="36"/>
  <c r="M6" i="36"/>
  <c r="M6" i="24"/>
  <c r="M7" i="24"/>
  <c r="L6" i="24"/>
  <c r="L7" i="24"/>
  <c r="I28" i="24"/>
  <c r="I21" i="24"/>
  <c r="I16" i="36"/>
  <c r="M26" i="23"/>
  <c r="M27" i="23" s="1"/>
  <c r="O12" i="24"/>
  <c r="P22" i="23" s="1"/>
  <c r="O12" i="36"/>
  <c r="O11" i="36" s="1"/>
  <c r="V33" i="29"/>
  <c r="V34" i="29" s="1"/>
  <c r="V35" i="29" s="1"/>
  <c r="AI4" i="20"/>
  <c r="AJ11" i="20"/>
  <c r="I24" i="36"/>
  <c r="I28" i="36"/>
  <c r="J17" i="36"/>
  <c r="J9" i="36"/>
  <c r="N11" i="24"/>
  <c r="N7" i="24" s="1"/>
  <c r="H27" i="36"/>
  <c r="AD13" i="36"/>
  <c r="H29" i="36"/>
  <c r="K5" i="36"/>
  <c r="K10" i="36" s="1"/>
  <c r="P4" i="36"/>
  <c r="O1" i="36"/>
  <c r="O8" i="36"/>
  <c r="G31" i="24"/>
  <c r="G33" i="24" s="1"/>
  <c r="G37" i="24" s="1"/>
  <c r="H19" i="24"/>
  <c r="H21" i="24" s="1"/>
  <c r="H24" i="24" s="1"/>
  <c r="H25" i="24" s="1"/>
  <c r="H16" i="24"/>
  <c r="J19" i="24"/>
  <c r="J16" i="24"/>
  <c r="O24" i="23"/>
  <c r="M10" i="23"/>
  <c r="K5" i="24"/>
  <c r="P4" i="24"/>
  <c r="S44" i="33"/>
  <c r="S58" i="33" s="1"/>
  <c r="S85" i="33" s="1"/>
  <c r="T37" i="33"/>
  <c r="T42" i="33"/>
  <c r="T41" i="33"/>
  <c r="T36" i="33"/>
  <c r="T38" i="33"/>
  <c r="AJ4" i="28"/>
  <c r="AJ5" i="28" s="1"/>
  <c r="AJ6" i="28" s="1"/>
  <c r="AJ23" i="28" s="1"/>
  <c r="U33" i="33"/>
  <c r="U34" i="33" s="1"/>
  <c r="U35" i="33" s="1"/>
  <c r="S85" i="29"/>
  <c r="N23" i="23"/>
  <c r="N26" i="23" s="1"/>
  <c r="U42" i="29"/>
  <c r="U41" i="29"/>
  <c r="U37" i="29"/>
  <c r="U36" i="29"/>
  <c r="U38" i="29"/>
  <c r="N10" i="23"/>
  <c r="R19" i="11"/>
  <c r="AJ32" i="20"/>
  <c r="T44" i="29"/>
  <c r="T58" i="29" s="1"/>
  <c r="S16" i="11"/>
  <c r="R33" i="11"/>
  <c r="AG35" i="20"/>
  <c r="AG38" i="20" s="1"/>
  <c r="AZ36" i="20"/>
  <c r="AE13" i="24"/>
  <c r="U18" i="6"/>
  <c r="V15" i="6"/>
  <c r="V16" i="6"/>
  <c r="V13" i="6"/>
  <c r="V17" i="6"/>
  <c r="V14" i="6"/>
  <c r="W11" i="6"/>
  <c r="N7" i="36" l="1"/>
  <c r="N6" i="36"/>
  <c r="L5" i="24"/>
  <c r="M11" i="23" s="1"/>
  <c r="O10" i="23"/>
  <c r="N6" i="24"/>
  <c r="N5" i="24" s="1"/>
  <c r="O11" i="23" s="1"/>
  <c r="J28" i="24"/>
  <c r="J21" i="24"/>
  <c r="P23" i="23"/>
  <c r="P24" i="23"/>
  <c r="O11" i="24"/>
  <c r="O7" i="24" s="1"/>
  <c r="L5" i="36"/>
  <c r="L10" i="36" s="1"/>
  <c r="L17" i="36" s="1"/>
  <c r="K9" i="36"/>
  <c r="K17" i="36"/>
  <c r="H31" i="36"/>
  <c r="H33" i="36" s="1"/>
  <c r="H37" i="36" s="1"/>
  <c r="I25" i="36"/>
  <c r="J23" i="36" s="1"/>
  <c r="I27" i="36"/>
  <c r="I29" i="36"/>
  <c r="AE13" i="36"/>
  <c r="W33" i="29"/>
  <c r="W34" i="29" s="1"/>
  <c r="W35" i="29" s="1"/>
  <c r="AJ4" i="20"/>
  <c r="AK11" i="20"/>
  <c r="M5" i="36"/>
  <c r="M10" i="36" s="1"/>
  <c r="J19" i="36"/>
  <c r="J21" i="36" s="1"/>
  <c r="J16" i="36"/>
  <c r="H12" i="23"/>
  <c r="H14" i="23" s="1"/>
  <c r="H15" i="23" s="1"/>
  <c r="P1" i="36"/>
  <c r="P8" i="36"/>
  <c r="Q4" i="36"/>
  <c r="P8" i="24"/>
  <c r="P1" i="24"/>
  <c r="O23" i="23"/>
  <c r="O26" i="23" s="1"/>
  <c r="O27" i="23" s="1"/>
  <c r="H28" i="24"/>
  <c r="AE7" i="20"/>
  <c r="AE10" i="20" s="1"/>
  <c r="AE22" i="20" s="1"/>
  <c r="Q7" i="23"/>
  <c r="L11" i="23"/>
  <c r="K10" i="24"/>
  <c r="Q4" i="24"/>
  <c r="U42" i="33"/>
  <c r="U36" i="33"/>
  <c r="U41" i="33"/>
  <c r="U37" i="33"/>
  <c r="U38" i="33"/>
  <c r="AK4" i="28"/>
  <c r="AK5" i="28" s="1"/>
  <c r="AK6" i="28" s="1"/>
  <c r="AK23" i="28" s="1"/>
  <c r="V33" i="33"/>
  <c r="V34" i="33" s="1"/>
  <c r="V35" i="33" s="1"/>
  <c r="T44" i="33"/>
  <c r="T58" i="33" s="1"/>
  <c r="T85" i="33" s="1"/>
  <c r="T85" i="29"/>
  <c r="N27" i="23"/>
  <c r="M5" i="24"/>
  <c r="N11" i="23" s="1"/>
  <c r="V18" i="6"/>
  <c r="S19" i="11"/>
  <c r="AK32" i="20"/>
  <c r="V37" i="29"/>
  <c r="V38" i="29"/>
  <c r="V42" i="29"/>
  <c r="V41" i="29"/>
  <c r="V36" i="29"/>
  <c r="U44" i="29"/>
  <c r="U58" i="29" s="1"/>
  <c r="T16" i="11"/>
  <c r="S33" i="11"/>
  <c r="AH35" i="20"/>
  <c r="AH38" i="20" s="1"/>
  <c r="BA36" i="20"/>
  <c r="AF13" i="24"/>
  <c r="W15" i="6"/>
  <c r="W17" i="6"/>
  <c r="W14" i="6"/>
  <c r="W16" i="6"/>
  <c r="W13" i="6"/>
  <c r="X11" i="6"/>
  <c r="O6" i="36" l="1"/>
  <c r="O7" i="36"/>
  <c r="G39" i="24"/>
  <c r="G36" i="24" s="1"/>
  <c r="G48" i="24" s="1"/>
  <c r="L10" i="24"/>
  <c r="P10" i="23"/>
  <c r="O6" i="24"/>
  <c r="O5" i="24" s="1"/>
  <c r="O10" i="24" s="1"/>
  <c r="P26" i="23"/>
  <c r="P27" i="23" s="1"/>
  <c r="L9" i="36"/>
  <c r="I31" i="36"/>
  <c r="I33" i="36" s="1"/>
  <c r="I37" i="36" s="1"/>
  <c r="N5" i="36"/>
  <c r="N10" i="36" s="1"/>
  <c r="J24" i="36"/>
  <c r="J29" i="36" s="1"/>
  <c r="J28" i="36"/>
  <c r="P12" i="24"/>
  <c r="P11" i="24" s="1"/>
  <c r="P12" i="36"/>
  <c r="P11" i="36" s="1"/>
  <c r="M17" i="36"/>
  <c r="M9" i="36"/>
  <c r="AF13" i="36"/>
  <c r="L19" i="36"/>
  <c r="L16" i="36"/>
  <c r="K19" i="36"/>
  <c r="K21" i="36" s="1"/>
  <c r="K16" i="36"/>
  <c r="X33" i="29"/>
  <c r="X34" i="29" s="1"/>
  <c r="X35" i="29" s="1"/>
  <c r="AK4" i="20"/>
  <c r="AL11" i="20"/>
  <c r="G36" i="36"/>
  <c r="Q1" i="36"/>
  <c r="Q8" i="36"/>
  <c r="R4" i="36"/>
  <c r="R7" i="23"/>
  <c r="Q1" i="24"/>
  <c r="L17" i="24"/>
  <c r="L9" i="24"/>
  <c r="H29" i="24"/>
  <c r="I23" i="24"/>
  <c r="H27" i="24"/>
  <c r="K17" i="24"/>
  <c r="K9" i="24"/>
  <c r="Q19" i="23"/>
  <c r="Q8" i="24"/>
  <c r="AF7" i="20"/>
  <c r="AF10" i="20" s="1"/>
  <c r="AF22" i="20" s="1"/>
  <c r="R4" i="24"/>
  <c r="V37" i="33"/>
  <c r="V41" i="33"/>
  <c r="V38" i="33"/>
  <c r="V42" i="33"/>
  <c r="V36" i="33"/>
  <c r="U44" i="33"/>
  <c r="U58" i="33" s="1"/>
  <c r="U85" i="33" s="1"/>
  <c r="AL4" i="28"/>
  <c r="AL5" i="28" s="1"/>
  <c r="AL6" i="28" s="1"/>
  <c r="AL23" i="28" s="1"/>
  <c r="W33" i="33"/>
  <c r="W34" i="33" s="1"/>
  <c r="W35" i="33" s="1"/>
  <c r="N10" i="24"/>
  <c r="U85" i="29"/>
  <c r="M10" i="24"/>
  <c r="V44" i="29"/>
  <c r="V58" i="29" s="1"/>
  <c r="V85" i="29" s="1"/>
  <c r="T19" i="11"/>
  <c r="AL32" i="20"/>
  <c r="W42" i="29"/>
  <c r="W36" i="29"/>
  <c r="W37" i="29"/>
  <c r="W38" i="29"/>
  <c r="W41" i="29"/>
  <c r="AI35" i="20"/>
  <c r="AI38" i="20" s="1"/>
  <c r="U16" i="11"/>
  <c r="T33" i="11"/>
  <c r="AG13" i="24"/>
  <c r="X17" i="6"/>
  <c r="X15" i="6"/>
  <c r="X13" i="6"/>
  <c r="X16" i="6"/>
  <c r="X14" i="6"/>
  <c r="Y11" i="6"/>
  <c r="W18" i="6"/>
  <c r="AR6" i="36" l="1"/>
  <c r="I36" i="36"/>
  <c r="G48" i="36"/>
  <c r="L48" i="36" s="1"/>
  <c r="M48" i="36" s="1"/>
  <c r="L28" i="36"/>
  <c r="L21" i="36"/>
  <c r="P6" i="24"/>
  <c r="P7" i="24"/>
  <c r="P5" i="24" s="1"/>
  <c r="P10" i="24" s="1"/>
  <c r="L16" i="24"/>
  <c r="I24" i="24"/>
  <c r="I29" i="24" s="1"/>
  <c r="Q22" i="23"/>
  <c r="L48" i="24"/>
  <c r="M48" i="24" s="1"/>
  <c r="O5" i="36"/>
  <c r="O10" i="36" s="1"/>
  <c r="O17" i="36" s="1"/>
  <c r="O19" i="36" s="1"/>
  <c r="J25" i="36"/>
  <c r="K23" i="36" s="1"/>
  <c r="K24" i="36" s="1"/>
  <c r="J27" i="36"/>
  <c r="J31" i="36" s="1"/>
  <c r="J33" i="36" s="1"/>
  <c r="J37" i="36" s="1"/>
  <c r="N17" i="36"/>
  <c r="N19" i="36" s="1"/>
  <c r="N9" i="36"/>
  <c r="AG13" i="36"/>
  <c r="Y33" i="29"/>
  <c r="Y34" i="29" s="1"/>
  <c r="Y35" i="29" s="1"/>
  <c r="AM11" i="20"/>
  <c r="AL4" i="20"/>
  <c r="K28" i="36"/>
  <c r="M19" i="36"/>
  <c r="M16" i="36"/>
  <c r="Q12" i="36"/>
  <c r="Q11" i="36" s="1"/>
  <c r="R1" i="36"/>
  <c r="R8" i="36"/>
  <c r="S4" i="36"/>
  <c r="S7" i="23"/>
  <c r="R1" i="24"/>
  <c r="O17" i="24"/>
  <c r="O9" i="24"/>
  <c r="N17" i="24"/>
  <c r="N9" i="24"/>
  <c r="K19" i="24"/>
  <c r="K16" i="24"/>
  <c r="M17" i="24"/>
  <c r="M9" i="24"/>
  <c r="H31" i="24"/>
  <c r="L19" i="24"/>
  <c r="R19" i="23"/>
  <c r="Q10" i="23"/>
  <c r="Q24" i="23"/>
  <c r="Q12" i="24"/>
  <c r="R22" i="23" s="1"/>
  <c r="AG7" i="20"/>
  <c r="AG10" i="20" s="1"/>
  <c r="AG22" i="20" s="1"/>
  <c r="T4" i="24"/>
  <c r="S4" i="24"/>
  <c r="R8" i="24"/>
  <c r="W42" i="33"/>
  <c r="W41" i="33"/>
  <c r="W38" i="33"/>
  <c r="W36" i="33"/>
  <c r="W37" i="33"/>
  <c r="AM4" i="28"/>
  <c r="AM5" i="28" s="1"/>
  <c r="AM6" i="28" s="1"/>
  <c r="AM23" i="28" s="1"/>
  <c r="X33" i="33"/>
  <c r="X34" i="33" s="1"/>
  <c r="X35" i="33" s="1"/>
  <c r="V44" i="33"/>
  <c r="V58" i="33" s="1"/>
  <c r="V85" i="33" s="1"/>
  <c r="P11" i="23"/>
  <c r="W44" i="29"/>
  <c r="W58" i="29" s="1"/>
  <c r="X37" i="29"/>
  <c r="X42" i="29"/>
  <c r="X41" i="29"/>
  <c r="X38" i="29"/>
  <c r="X36" i="29"/>
  <c r="U19" i="11"/>
  <c r="AM32" i="20"/>
  <c r="AJ35" i="20"/>
  <c r="AJ38" i="20" s="1"/>
  <c r="V16" i="11"/>
  <c r="U33" i="11"/>
  <c r="AH13" i="24"/>
  <c r="X18" i="6"/>
  <c r="Y16" i="6"/>
  <c r="Y14" i="6"/>
  <c r="Y13" i="6"/>
  <c r="Y17" i="6"/>
  <c r="Y15" i="6"/>
  <c r="Z11" i="6"/>
  <c r="G50" i="36" l="1"/>
  <c r="L50" i="36" s="1"/>
  <c r="M50" i="36" s="1"/>
  <c r="AR8" i="36"/>
  <c r="AW8" i="36" s="1"/>
  <c r="AX8" i="36" s="1"/>
  <c r="AW6" i="36"/>
  <c r="AX6" i="36" s="1"/>
  <c r="AS6" i="36"/>
  <c r="J36" i="36"/>
  <c r="AR9" i="36" s="1"/>
  <c r="AW9" i="36" s="1"/>
  <c r="AX9" i="36" s="1"/>
  <c r="H48" i="36"/>
  <c r="M28" i="36"/>
  <c r="M21" i="36"/>
  <c r="N28" i="36"/>
  <c r="N21" i="36"/>
  <c r="O28" i="36"/>
  <c r="O21" i="36"/>
  <c r="P6" i="36"/>
  <c r="P7" i="36"/>
  <c r="I27" i="24"/>
  <c r="I31" i="24" s="1"/>
  <c r="I33" i="24" s="1"/>
  <c r="I37" i="24" s="1"/>
  <c r="I25" i="24"/>
  <c r="J23" i="24" s="1"/>
  <c r="K28" i="24"/>
  <c r="K21" i="24"/>
  <c r="L28" i="24"/>
  <c r="L21" i="24"/>
  <c r="R24" i="23"/>
  <c r="O9" i="36"/>
  <c r="N16" i="36"/>
  <c r="O16" i="36"/>
  <c r="Z33" i="29"/>
  <c r="Z34" i="29" s="1"/>
  <c r="AM4" i="20"/>
  <c r="AN11" i="20"/>
  <c r="K29" i="36"/>
  <c r="K27" i="36"/>
  <c r="AH13" i="36"/>
  <c r="R12" i="24"/>
  <c r="S22" i="23" s="1"/>
  <c r="R12" i="36"/>
  <c r="R11" i="36" s="1"/>
  <c r="K25" i="36"/>
  <c r="L23" i="36" s="1"/>
  <c r="T4" i="36"/>
  <c r="S1" i="36"/>
  <c r="S8" i="36"/>
  <c r="T7" i="23"/>
  <c r="S1" i="24"/>
  <c r="AI7" i="20"/>
  <c r="AI10" i="20" s="1"/>
  <c r="AI22" i="20" s="1"/>
  <c r="T12" i="24" s="1"/>
  <c r="U22" i="23" s="1"/>
  <c r="T1" i="24"/>
  <c r="P17" i="24"/>
  <c r="P9" i="24"/>
  <c r="M19" i="24"/>
  <c r="M16" i="24"/>
  <c r="N19" i="24"/>
  <c r="N16" i="24"/>
  <c r="Q23" i="23"/>
  <c r="Q26" i="23" s="1"/>
  <c r="Q27" i="23" s="1"/>
  <c r="I12" i="23"/>
  <c r="I14" i="23" s="1"/>
  <c r="I15" i="23" s="1"/>
  <c r="H33" i="24"/>
  <c r="H37" i="24" s="1"/>
  <c r="O19" i="24"/>
  <c r="O16" i="24"/>
  <c r="Q11" i="23"/>
  <c r="S19" i="23"/>
  <c r="Q11" i="24"/>
  <c r="Q7" i="24" s="1"/>
  <c r="U7" i="23"/>
  <c r="S8" i="24"/>
  <c r="AH7" i="20"/>
  <c r="AH10" i="20" s="1"/>
  <c r="AH22" i="20" s="1"/>
  <c r="U19" i="23"/>
  <c r="T8" i="24"/>
  <c r="W44" i="33"/>
  <c r="W58" i="33" s="1"/>
  <c r="W85" i="33" s="1"/>
  <c r="AN4" i="28"/>
  <c r="AN5" i="28" s="1"/>
  <c r="AN6" i="28" s="1"/>
  <c r="AN23" i="28" s="1"/>
  <c r="Y33" i="33"/>
  <c r="Y34" i="33" s="1"/>
  <c r="Y35" i="33" s="1"/>
  <c r="X41" i="33"/>
  <c r="X37" i="33"/>
  <c r="X36" i="33"/>
  <c r="X38" i="33"/>
  <c r="X42" i="33"/>
  <c r="W85" i="29"/>
  <c r="Y18" i="6"/>
  <c r="V19" i="11"/>
  <c r="Z35" i="29"/>
  <c r="AN32" i="20"/>
  <c r="Y38" i="29"/>
  <c r="Y42" i="29"/>
  <c r="Y41" i="29"/>
  <c r="Y37" i="29"/>
  <c r="Y36" i="29"/>
  <c r="X44" i="29"/>
  <c r="X58" i="29" s="1"/>
  <c r="AK35" i="20"/>
  <c r="AK38" i="20" s="1"/>
  <c r="W16" i="11"/>
  <c r="V33" i="11"/>
  <c r="AI13" i="24"/>
  <c r="Z15" i="6"/>
  <c r="Z16" i="6"/>
  <c r="Z13" i="6"/>
  <c r="Z17" i="6"/>
  <c r="Z14" i="6"/>
  <c r="AA11" i="6"/>
  <c r="Q6" i="36" l="1"/>
  <c r="Q7" i="36"/>
  <c r="R10" i="23"/>
  <c r="Q6" i="24"/>
  <c r="J12" i="23"/>
  <c r="J14" i="23" s="1"/>
  <c r="J15" i="23" s="1"/>
  <c r="J24" i="24"/>
  <c r="J27" i="24" s="1"/>
  <c r="N28" i="24"/>
  <c r="N21" i="24"/>
  <c r="M28" i="24"/>
  <c r="M21" i="24"/>
  <c r="O28" i="24"/>
  <c r="O21" i="24"/>
  <c r="R23" i="23"/>
  <c r="R26" i="23" s="1"/>
  <c r="R27" i="23" s="1"/>
  <c r="R11" i="24"/>
  <c r="R7" i="24" s="1"/>
  <c r="K31" i="36"/>
  <c r="K33" i="36" s="1"/>
  <c r="K37" i="36" s="1"/>
  <c r="P5" i="36"/>
  <c r="P10" i="36" s="1"/>
  <c r="P9" i="36" s="1"/>
  <c r="AA33" i="29"/>
  <c r="AA34" i="29" s="1"/>
  <c r="AA35" i="29" s="1"/>
  <c r="AO11" i="20"/>
  <c r="AN4" i="20"/>
  <c r="T12" i="36"/>
  <c r="T11" i="36" s="1"/>
  <c r="S12" i="24"/>
  <c r="T22" i="23" s="1"/>
  <c r="S12" i="36"/>
  <c r="S11" i="36" s="1"/>
  <c r="L24" i="36"/>
  <c r="L25" i="36" s="1"/>
  <c r="M23" i="36" s="1"/>
  <c r="M24" i="36" s="1"/>
  <c r="AI13" i="36"/>
  <c r="H39" i="24"/>
  <c r="H36" i="24" s="1"/>
  <c r="H36" i="36"/>
  <c r="H42" i="36" s="1"/>
  <c r="T1" i="36"/>
  <c r="T8" i="36"/>
  <c r="U4" i="36"/>
  <c r="P19" i="24"/>
  <c r="P16" i="24"/>
  <c r="S24" i="23"/>
  <c r="T19" i="23"/>
  <c r="S23" i="23"/>
  <c r="U4" i="24"/>
  <c r="Y42" i="33"/>
  <c r="Y38" i="33"/>
  <c r="Y36" i="33"/>
  <c r="Y37" i="33"/>
  <c r="Y41" i="33"/>
  <c r="AO4" i="28"/>
  <c r="AO5" i="28" s="1"/>
  <c r="AO6" i="28" s="1"/>
  <c r="AO23" i="28" s="1"/>
  <c r="Z33" i="33"/>
  <c r="Z34" i="33" s="1"/>
  <c r="Z35" i="33" s="1"/>
  <c r="X44" i="33"/>
  <c r="X58" i="33" s="1"/>
  <c r="X85" i="33" s="1"/>
  <c r="X85" i="29"/>
  <c r="T11" i="24"/>
  <c r="T7" i="24" s="1"/>
  <c r="Y44" i="29"/>
  <c r="Y58" i="29" s="1"/>
  <c r="W19" i="11"/>
  <c r="AO32" i="20"/>
  <c r="Z37" i="29"/>
  <c r="Z42" i="29"/>
  <c r="Z41" i="29"/>
  <c r="Z36" i="29"/>
  <c r="Z38" i="29"/>
  <c r="X16" i="11"/>
  <c r="W33" i="11"/>
  <c r="AL35" i="20"/>
  <c r="AL38" i="20" s="1"/>
  <c r="AJ13" i="24"/>
  <c r="Z18" i="6"/>
  <c r="AA15" i="6"/>
  <c r="AA17" i="6"/>
  <c r="AA16" i="6"/>
  <c r="AA14" i="6"/>
  <c r="AA13" i="6"/>
  <c r="AB11" i="6"/>
  <c r="AY21" i="36" l="1"/>
  <c r="BE3" i="36" s="1"/>
  <c r="AR7" i="36"/>
  <c r="G49" i="36"/>
  <c r="L49" i="36" s="1"/>
  <c r="M49" i="36" s="1"/>
  <c r="R6" i="36"/>
  <c r="R7" i="36"/>
  <c r="G49" i="24"/>
  <c r="L49" i="24" s="1"/>
  <c r="M49" i="24" s="1"/>
  <c r="S10" i="23"/>
  <c r="R6" i="24"/>
  <c r="T6" i="24"/>
  <c r="J29" i="24"/>
  <c r="J31" i="24" s="1"/>
  <c r="J25" i="24"/>
  <c r="K23" i="24" s="1"/>
  <c r="K24" i="24" s="1"/>
  <c r="P28" i="24"/>
  <c r="P21" i="24"/>
  <c r="S26" i="23"/>
  <c r="S27" i="23" s="1"/>
  <c r="P17" i="36"/>
  <c r="P19" i="36" s="1"/>
  <c r="M29" i="36"/>
  <c r="M27" i="36"/>
  <c r="AB33" i="29"/>
  <c r="AB34" i="29" s="1"/>
  <c r="AO4" i="20"/>
  <c r="AP11" i="20"/>
  <c r="S11" i="24"/>
  <c r="S7" i="24" s="1"/>
  <c r="M25" i="36"/>
  <c r="N23" i="36" s="1"/>
  <c r="N24" i="36" s="1"/>
  <c r="N27" i="36" s="1"/>
  <c r="AJ13" i="36"/>
  <c r="L27" i="36"/>
  <c r="L29" i="36"/>
  <c r="Q5" i="36"/>
  <c r="Q10" i="36" s="1"/>
  <c r="U1" i="36"/>
  <c r="U8" i="36"/>
  <c r="V4" i="36"/>
  <c r="V7" i="23"/>
  <c r="U1" i="24"/>
  <c r="I39" i="24"/>
  <c r="I36" i="24" s="1"/>
  <c r="T23" i="23"/>
  <c r="T24" i="23"/>
  <c r="Q5" i="24"/>
  <c r="Q10" i="24" s="1"/>
  <c r="AJ7" i="20"/>
  <c r="AJ10" i="20" s="1"/>
  <c r="AJ22" i="20" s="1"/>
  <c r="U24" i="23"/>
  <c r="U8" i="24"/>
  <c r="V4" i="24"/>
  <c r="Z42" i="33"/>
  <c r="Z41" i="33"/>
  <c r="Z38" i="33"/>
  <c r="Z37" i="33"/>
  <c r="Z36" i="33"/>
  <c r="Y44" i="33"/>
  <c r="Y58" i="33" s="1"/>
  <c r="Y85" i="33" s="1"/>
  <c r="AP4" i="28"/>
  <c r="AP5" i="28" s="1"/>
  <c r="AP6" i="28" s="1"/>
  <c r="AP23" i="28" s="1"/>
  <c r="AA33" i="33"/>
  <c r="AA34" i="33" s="1"/>
  <c r="AA35" i="33" s="1"/>
  <c r="Y85" i="29"/>
  <c r="U10" i="23"/>
  <c r="Z44" i="29"/>
  <c r="Z58" i="29" s="1"/>
  <c r="AA36" i="29"/>
  <c r="AA37" i="29"/>
  <c r="AA41" i="29"/>
  <c r="AA38" i="29"/>
  <c r="AA42" i="29"/>
  <c r="X19" i="11"/>
  <c r="AB35" i="29"/>
  <c r="AP32" i="20"/>
  <c r="AM35" i="20"/>
  <c r="AM38" i="20" s="1"/>
  <c r="Y16" i="11"/>
  <c r="X33" i="11"/>
  <c r="AK13" i="24"/>
  <c r="AB14" i="6"/>
  <c r="AB15" i="6"/>
  <c r="AB17" i="6"/>
  <c r="AB16" i="6"/>
  <c r="AB13" i="6"/>
  <c r="AC11" i="6"/>
  <c r="AD11" i="6" s="1"/>
  <c r="AA18" i="6"/>
  <c r="AW7" i="36" l="1"/>
  <c r="AX7" i="36" s="1"/>
  <c r="AS9" i="36"/>
  <c r="AS8" i="36"/>
  <c r="AS7" i="36"/>
  <c r="H50" i="36"/>
  <c r="H49" i="36"/>
  <c r="P28" i="36"/>
  <c r="P21" i="36"/>
  <c r="T6" i="36"/>
  <c r="T7" i="36"/>
  <c r="S6" i="36"/>
  <c r="S7" i="36"/>
  <c r="G50" i="24"/>
  <c r="L50" i="24" s="1"/>
  <c r="M50" i="24" s="1"/>
  <c r="T5" i="24"/>
  <c r="T10" i="24" s="1"/>
  <c r="T10" i="23"/>
  <c r="S6" i="24"/>
  <c r="K12" i="23"/>
  <c r="K14" i="23" s="1"/>
  <c r="K15" i="23" s="1"/>
  <c r="J33" i="24"/>
  <c r="J37" i="24" s="1"/>
  <c r="K25" i="24"/>
  <c r="L23" i="24" s="1"/>
  <c r="L24" i="24" s="1"/>
  <c r="L25" i="24" s="1"/>
  <c r="R5" i="24"/>
  <c r="R10" i="24" s="1"/>
  <c r="T26" i="23"/>
  <c r="T27" i="23" s="1"/>
  <c r="N25" i="36"/>
  <c r="O23" i="36" s="1"/>
  <c r="O24" i="36" s="1"/>
  <c r="O25" i="36" s="1"/>
  <c r="P23" i="36" s="1"/>
  <c r="P16" i="36"/>
  <c r="M31" i="36"/>
  <c r="M33" i="36" s="1"/>
  <c r="M37" i="36" s="1"/>
  <c r="L31" i="36"/>
  <c r="L33" i="36" s="1"/>
  <c r="L37" i="36" s="1"/>
  <c r="N29" i="36"/>
  <c r="N31" i="36" s="1"/>
  <c r="N33" i="36" s="1"/>
  <c r="N37" i="36" s="1"/>
  <c r="Q17" i="36"/>
  <c r="Q9" i="36"/>
  <c r="AC33" i="29"/>
  <c r="AC34" i="29" s="1"/>
  <c r="AC35" i="29" s="1"/>
  <c r="AP4" i="20"/>
  <c r="AQ11" i="20"/>
  <c r="U12" i="24"/>
  <c r="V22" i="23" s="1"/>
  <c r="U12" i="36"/>
  <c r="U11" i="36" s="1"/>
  <c r="AK13" i="36"/>
  <c r="R5" i="36"/>
  <c r="R10" i="36" s="1"/>
  <c r="W4" i="36"/>
  <c r="V1" i="36"/>
  <c r="V8" i="36"/>
  <c r="W7" i="23"/>
  <c r="V1" i="24"/>
  <c r="Q17" i="24"/>
  <c r="Q9" i="24"/>
  <c r="T17" i="24"/>
  <c r="U23" i="23"/>
  <c r="U26" i="23" s="1"/>
  <c r="R11" i="23"/>
  <c r="AK7" i="20"/>
  <c r="AK10" i="20" s="1"/>
  <c r="AK22" i="20" s="1"/>
  <c r="W19" i="23"/>
  <c r="V8" i="24"/>
  <c r="V19" i="23"/>
  <c r="W4" i="24"/>
  <c r="Z44" i="33"/>
  <c r="Z58" i="33" s="1"/>
  <c r="Z85" i="33" s="1"/>
  <c r="AA41" i="33"/>
  <c r="AA36" i="33"/>
  <c r="AA38" i="33"/>
  <c r="AA37" i="33"/>
  <c r="AA42" i="33"/>
  <c r="AQ4" i="28"/>
  <c r="AQ5" i="28" s="1"/>
  <c r="AQ6" i="28" s="1"/>
  <c r="AQ23" i="28" s="1"/>
  <c r="AB33" i="33"/>
  <c r="AB34" i="33" s="1"/>
  <c r="AB35" i="33" s="1"/>
  <c r="Z85" i="29"/>
  <c r="Y19" i="11"/>
  <c r="AQ32" i="20"/>
  <c r="AA44" i="29"/>
  <c r="AA58" i="29" s="1"/>
  <c r="AB36" i="29"/>
  <c r="AB42" i="29"/>
  <c r="AB38" i="29"/>
  <c r="AB41" i="29"/>
  <c r="AB37" i="29"/>
  <c r="Z16" i="11"/>
  <c r="Y33" i="11"/>
  <c r="AN35" i="20"/>
  <c r="AN38" i="20" s="1"/>
  <c r="AL13" i="24"/>
  <c r="AC16" i="6"/>
  <c r="AC13" i="6"/>
  <c r="AC14" i="6"/>
  <c r="AC15" i="6"/>
  <c r="AC17" i="6"/>
  <c r="AB18" i="6"/>
  <c r="AY9" i="36" l="1"/>
  <c r="AZ9" i="36"/>
  <c r="J39" i="24"/>
  <c r="J36" i="24" s="1"/>
  <c r="U11" i="23"/>
  <c r="G51" i="36"/>
  <c r="S11" i="23"/>
  <c r="K29" i="24"/>
  <c r="K27" i="24"/>
  <c r="M23" i="24"/>
  <c r="L29" i="24"/>
  <c r="L27" i="24"/>
  <c r="S5" i="24"/>
  <c r="T11" i="23" s="1"/>
  <c r="U27" i="23"/>
  <c r="T5" i="36"/>
  <c r="T10" i="36" s="1"/>
  <c r="T17" i="36" s="1"/>
  <c r="T19" i="36" s="1"/>
  <c r="AD33" i="29"/>
  <c r="AD34" i="29" s="1"/>
  <c r="AQ4" i="20"/>
  <c r="AR11" i="20"/>
  <c r="Q19" i="36"/>
  <c r="Q16" i="36"/>
  <c r="R17" i="36"/>
  <c r="R9" i="36"/>
  <c r="AL13" i="36"/>
  <c r="S5" i="36"/>
  <c r="S10" i="36" s="1"/>
  <c r="U11" i="24"/>
  <c r="U7" i="24" s="1"/>
  <c r="V12" i="24"/>
  <c r="W22" i="23" s="1"/>
  <c r="V12" i="36"/>
  <c r="V11" i="36" s="1"/>
  <c r="W1" i="36"/>
  <c r="W8" i="36"/>
  <c r="X4" i="36"/>
  <c r="P24" i="36"/>
  <c r="O29" i="36"/>
  <c r="O27" i="36"/>
  <c r="W8" i="24"/>
  <c r="W1" i="24"/>
  <c r="R17" i="24"/>
  <c r="R9" i="24"/>
  <c r="T19" i="24"/>
  <c r="Q19" i="24"/>
  <c r="Q16" i="24"/>
  <c r="V24" i="23"/>
  <c r="AL7" i="20"/>
  <c r="AL10" i="20" s="1"/>
  <c r="AL22" i="20" s="1"/>
  <c r="V23" i="23"/>
  <c r="X7" i="23"/>
  <c r="X4" i="24"/>
  <c r="AB42" i="33"/>
  <c r="AB41" i="33"/>
  <c r="AB36" i="33"/>
  <c r="AB37" i="33"/>
  <c r="AB38" i="33"/>
  <c r="AA44" i="33"/>
  <c r="AA58" i="33" s="1"/>
  <c r="AA85" i="33" s="1"/>
  <c r="AR4" i="28"/>
  <c r="AR5" i="28" s="1"/>
  <c r="AR6" i="28" s="1"/>
  <c r="AR23" i="28" s="1"/>
  <c r="AC33" i="33"/>
  <c r="AC34" i="33" s="1"/>
  <c r="AC35" i="33" s="1"/>
  <c r="AA85" i="29"/>
  <c r="AB44" i="29"/>
  <c r="AB58" i="29" s="1"/>
  <c r="AC38" i="29"/>
  <c r="AC41" i="29"/>
  <c r="AC42" i="29"/>
  <c r="AC37" i="29"/>
  <c r="AC36" i="29"/>
  <c r="Z19" i="11"/>
  <c r="AD35" i="29"/>
  <c r="AR32" i="20"/>
  <c r="AO35" i="20"/>
  <c r="AO38" i="20" s="1"/>
  <c r="AA16" i="11"/>
  <c r="Z33" i="11"/>
  <c r="AD15" i="6"/>
  <c r="AD16" i="6"/>
  <c r="AD13" i="6"/>
  <c r="AD17" i="6"/>
  <c r="AD14" i="6"/>
  <c r="AE11" i="6"/>
  <c r="AC18" i="6"/>
  <c r="AY10" i="36" l="1"/>
  <c r="BF3" i="36" s="1"/>
  <c r="H51" i="36"/>
  <c r="L51" i="36"/>
  <c r="M51" i="36" s="1"/>
  <c r="T28" i="36"/>
  <c r="T21" i="36"/>
  <c r="Q28" i="36"/>
  <c r="Q21" i="36"/>
  <c r="U7" i="36"/>
  <c r="U6" i="36"/>
  <c r="S10" i="24"/>
  <c r="G51" i="24"/>
  <c r="L51" i="24" s="1"/>
  <c r="M51" i="24" s="1"/>
  <c r="U6" i="24"/>
  <c r="U5" i="24" s="1"/>
  <c r="U10" i="24" s="1"/>
  <c r="U17" i="24" s="1"/>
  <c r="U16" i="24" s="1"/>
  <c r="K31" i="24"/>
  <c r="L12" i="23" s="1"/>
  <c r="L14" i="23" s="1"/>
  <c r="L15" i="23" s="1"/>
  <c r="M24" i="24"/>
  <c r="M25" i="24" s="1"/>
  <c r="L31" i="24"/>
  <c r="T28" i="24"/>
  <c r="T21" i="24"/>
  <c r="Q28" i="24"/>
  <c r="Q21" i="24"/>
  <c r="V11" i="24"/>
  <c r="V7" i="24" s="1"/>
  <c r="T9" i="36"/>
  <c r="R19" i="36"/>
  <c r="R16" i="36"/>
  <c r="V10" i="23"/>
  <c r="AE33" i="29"/>
  <c r="AE34" i="29" s="1"/>
  <c r="AE35" i="29" s="1"/>
  <c r="AS11" i="20"/>
  <c r="AR4" i="20"/>
  <c r="S17" i="36"/>
  <c r="S9" i="36"/>
  <c r="W12" i="24"/>
  <c r="X22" i="23" s="1"/>
  <c r="W12" i="36"/>
  <c r="W11" i="36" s="1"/>
  <c r="O31" i="36"/>
  <c r="O33" i="36" s="1"/>
  <c r="O37" i="36" s="1"/>
  <c r="X1" i="36"/>
  <c r="X8" i="36"/>
  <c r="Y4" i="36"/>
  <c r="P27" i="36"/>
  <c r="P29" i="36"/>
  <c r="P25" i="36"/>
  <c r="Q23" i="36" s="1"/>
  <c r="X8" i="24"/>
  <c r="X1" i="24"/>
  <c r="S17" i="24"/>
  <c r="S9" i="24"/>
  <c r="T9" i="24"/>
  <c r="R19" i="24"/>
  <c r="R16" i="24"/>
  <c r="X19" i="23"/>
  <c r="W24" i="23"/>
  <c r="V26" i="23"/>
  <c r="V27" i="23" s="1"/>
  <c r="W23" i="23"/>
  <c r="AM7" i="20"/>
  <c r="AM10" i="20" s="1"/>
  <c r="AM22" i="20" s="1"/>
  <c r="Y4" i="24"/>
  <c r="Y7" i="23"/>
  <c r="AB44" i="33"/>
  <c r="AB58" i="33" s="1"/>
  <c r="AB85" i="33" s="1"/>
  <c r="AC41" i="33"/>
  <c r="AC42" i="33"/>
  <c r="AC37" i="33"/>
  <c r="AC38" i="33"/>
  <c r="AC36" i="33"/>
  <c r="AS4" i="28"/>
  <c r="AS5" i="28" s="1"/>
  <c r="AS6" i="28" s="1"/>
  <c r="AS23" i="28" s="1"/>
  <c r="AD33" i="33"/>
  <c r="AD34" i="33" s="1"/>
  <c r="AD35" i="33" s="1"/>
  <c r="AB85" i="29"/>
  <c r="AC44" i="29"/>
  <c r="AC58" i="29" s="1"/>
  <c r="AA19" i="11"/>
  <c r="AS32" i="20"/>
  <c r="AD37" i="29"/>
  <c r="AD38" i="29"/>
  <c r="AD36" i="29"/>
  <c r="AD41" i="29"/>
  <c r="AD42" i="29"/>
  <c r="AP35" i="20"/>
  <c r="AP38" i="20" s="1"/>
  <c r="AB16" i="11"/>
  <c r="AA33" i="11"/>
  <c r="AD18" i="6"/>
  <c r="AE16" i="6"/>
  <c r="AE17" i="6"/>
  <c r="AE14" i="6"/>
  <c r="AE15" i="6"/>
  <c r="AE13" i="6"/>
  <c r="AF11" i="6"/>
  <c r="R28" i="36" l="1"/>
  <c r="R21" i="36"/>
  <c r="V6" i="36"/>
  <c r="V7" i="36"/>
  <c r="W10" i="23"/>
  <c r="V6" i="24"/>
  <c r="K33" i="24"/>
  <c r="K37" i="24" s="1"/>
  <c r="K36" i="36"/>
  <c r="K39" i="24"/>
  <c r="M29" i="24"/>
  <c r="M27" i="24"/>
  <c r="N23" i="24"/>
  <c r="L33" i="24"/>
  <c r="L37" i="24" s="1"/>
  <c r="M12" i="23"/>
  <c r="M14" i="23" s="1"/>
  <c r="M15" i="23" s="1"/>
  <c r="R28" i="24"/>
  <c r="R21" i="24"/>
  <c r="U5" i="36"/>
  <c r="U10" i="36" s="1"/>
  <c r="U9" i="36" s="1"/>
  <c r="X12" i="36"/>
  <c r="X11" i="36" s="1"/>
  <c r="AF33" i="29"/>
  <c r="AF34" i="29" s="1"/>
  <c r="AS4" i="20"/>
  <c r="AT11" i="20"/>
  <c r="V11" i="23"/>
  <c r="U9" i="24"/>
  <c r="W11" i="24"/>
  <c r="W7" i="24" s="1"/>
  <c r="S16" i="36"/>
  <c r="S19" i="36"/>
  <c r="T16" i="36"/>
  <c r="Y1" i="36"/>
  <c r="Y8" i="36"/>
  <c r="Z4" i="36"/>
  <c r="Q24" i="36"/>
  <c r="P31" i="36"/>
  <c r="P33" i="36" s="1"/>
  <c r="P37" i="36" s="1"/>
  <c r="Y1" i="24"/>
  <c r="U19" i="24"/>
  <c r="S19" i="24"/>
  <c r="S16" i="24"/>
  <c r="T16" i="24"/>
  <c r="X24" i="23"/>
  <c r="W26" i="23"/>
  <c r="W27" i="23" s="1"/>
  <c r="V5" i="24"/>
  <c r="W11" i="23" s="1"/>
  <c r="Y8" i="24"/>
  <c r="Z7" i="23"/>
  <c r="AN7" i="20"/>
  <c r="AN10" i="20" s="1"/>
  <c r="AN22" i="20" s="1"/>
  <c r="Y19" i="23"/>
  <c r="Z4" i="24"/>
  <c r="X12" i="24"/>
  <c r="AT4" i="28"/>
  <c r="AT5" i="28" s="1"/>
  <c r="AT6" i="28" s="1"/>
  <c r="AT23" i="28" s="1"/>
  <c r="AE33" i="33"/>
  <c r="AE34" i="33" s="1"/>
  <c r="AE35" i="33" s="1"/>
  <c r="AC44" i="33"/>
  <c r="AC58" i="33" s="1"/>
  <c r="AC85" i="33" s="1"/>
  <c r="AD41" i="33"/>
  <c r="AD42" i="33"/>
  <c r="AD37" i="33"/>
  <c r="AD36" i="33"/>
  <c r="AD38" i="33"/>
  <c r="AC85" i="29"/>
  <c r="AD44" i="29"/>
  <c r="AD58" i="29" s="1"/>
  <c r="AE41" i="29"/>
  <c r="AE36" i="29"/>
  <c r="AE38" i="29"/>
  <c r="AE37" i="29"/>
  <c r="AE42" i="29"/>
  <c r="AB19" i="11"/>
  <c r="AF35" i="29"/>
  <c r="AT32" i="20"/>
  <c r="AQ35" i="20"/>
  <c r="AQ38" i="20" s="1"/>
  <c r="AC16" i="11"/>
  <c r="AB33" i="11"/>
  <c r="AE18" i="6"/>
  <c r="AF14" i="6"/>
  <c r="AF15" i="6"/>
  <c r="AF16" i="6"/>
  <c r="AF17" i="6"/>
  <c r="AF13" i="6"/>
  <c r="AG11" i="6"/>
  <c r="AR10" i="36" l="1"/>
  <c r="G52" i="36"/>
  <c r="H52" i="36" s="1"/>
  <c r="S28" i="36"/>
  <c r="S21" i="36"/>
  <c r="W6" i="36"/>
  <c r="W7" i="36"/>
  <c r="K36" i="24"/>
  <c r="X10" i="23"/>
  <c r="W6" i="24"/>
  <c r="M31" i="24"/>
  <c r="M33" i="24" s="1"/>
  <c r="M37" i="24" s="1"/>
  <c r="N24" i="24"/>
  <c r="N25" i="24" s="1"/>
  <c r="L36" i="36"/>
  <c r="L39" i="24"/>
  <c r="L36" i="24" s="1"/>
  <c r="U28" i="24"/>
  <c r="U21" i="24"/>
  <c r="S28" i="24"/>
  <c r="S21" i="24"/>
  <c r="Z19" i="23"/>
  <c r="U17" i="36"/>
  <c r="U19" i="36" s="1"/>
  <c r="Y12" i="24"/>
  <c r="Y11" i="24" s="1"/>
  <c r="Y12" i="36"/>
  <c r="Y11" i="36" s="1"/>
  <c r="AG33" i="29"/>
  <c r="AG34" i="29" s="1"/>
  <c r="AT4" i="20"/>
  <c r="AU11" i="20"/>
  <c r="V5" i="36"/>
  <c r="V10" i="36" s="1"/>
  <c r="AA4" i="36"/>
  <c r="Z1" i="36"/>
  <c r="Z8" i="36"/>
  <c r="Q29" i="36"/>
  <c r="Q27" i="36"/>
  <c r="Q25" i="36"/>
  <c r="R23" i="36" s="1"/>
  <c r="X23" i="23"/>
  <c r="X26" i="23" s="1"/>
  <c r="X27" i="23" s="1"/>
  <c r="Z8" i="24"/>
  <c r="Z1" i="24"/>
  <c r="V10" i="24"/>
  <c r="Y24" i="23"/>
  <c r="Y23" i="23"/>
  <c r="AO7" i="20"/>
  <c r="AO10" i="20" s="1"/>
  <c r="AO22" i="20" s="1"/>
  <c r="AA7" i="23"/>
  <c r="Y22" i="23"/>
  <c r="X11" i="24"/>
  <c r="AA4" i="24"/>
  <c r="AU4" i="28"/>
  <c r="AU5" i="28" s="1"/>
  <c r="AU6" i="28" s="1"/>
  <c r="AU23" i="28" s="1"/>
  <c r="AF33" i="33"/>
  <c r="AF34" i="33" s="1"/>
  <c r="AF35" i="33" s="1"/>
  <c r="AE42" i="33"/>
  <c r="AE41" i="33"/>
  <c r="AE36" i="33"/>
  <c r="AE37" i="33"/>
  <c r="AE38" i="33"/>
  <c r="AD44" i="33"/>
  <c r="AD58" i="33" s="1"/>
  <c r="AD85" i="33" s="1"/>
  <c r="AD85" i="29"/>
  <c r="AE44" i="29"/>
  <c r="AE58" i="29" s="1"/>
  <c r="AE85" i="29" s="1"/>
  <c r="AF36" i="29"/>
  <c r="AF37" i="29"/>
  <c r="AF42" i="29"/>
  <c r="AF38" i="29"/>
  <c r="AF41" i="29"/>
  <c r="AC19" i="11"/>
  <c r="AG35" i="29"/>
  <c r="AU32" i="20"/>
  <c r="AR35" i="20"/>
  <c r="AR38" i="20" s="1"/>
  <c r="AD16" i="11"/>
  <c r="AC33" i="11"/>
  <c r="AF18" i="6"/>
  <c r="AG16" i="6"/>
  <c r="AG13" i="6"/>
  <c r="AG15" i="6"/>
  <c r="AG14" i="6"/>
  <c r="AG17" i="6"/>
  <c r="AH11" i="6"/>
  <c r="G53" i="36" l="1"/>
  <c r="L53" i="36" s="1"/>
  <c r="M53" i="36" s="1"/>
  <c r="AR11" i="36"/>
  <c r="AW10" i="36"/>
  <c r="AX10" i="36" s="1"/>
  <c r="AS10" i="36"/>
  <c r="L52" i="36"/>
  <c r="M52" i="36" s="1"/>
  <c r="U28" i="36"/>
  <c r="U21" i="36"/>
  <c r="X7" i="36"/>
  <c r="X6" i="36"/>
  <c r="G53" i="24"/>
  <c r="L53" i="24" s="1"/>
  <c r="M53" i="24" s="1"/>
  <c r="G52" i="24"/>
  <c r="L52" i="24" s="1"/>
  <c r="M52" i="24" s="1"/>
  <c r="X6" i="24"/>
  <c r="X7" i="24"/>
  <c r="Y6" i="24"/>
  <c r="Y7" i="24"/>
  <c r="Y5" i="24" s="1"/>
  <c r="Y10" i="24" s="1"/>
  <c r="Z23" i="23"/>
  <c r="N12" i="23"/>
  <c r="N14" i="23" s="1"/>
  <c r="N15" i="23" s="1"/>
  <c r="N29" i="24"/>
  <c r="N27" i="24"/>
  <c r="O23" i="24"/>
  <c r="W5" i="24"/>
  <c r="X11" i="23" s="1"/>
  <c r="Z22" i="23"/>
  <c r="Z24" i="23"/>
  <c r="U16" i="36"/>
  <c r="W5" i="36"/>
  <c r="W10" i="36" s="1"/>
  <c r="W9" i="36" s="1"/>
  <c r="V17" i="36"/>
  <c r="V9" i="36"/>
  <c r="Z12" i="24"/>
  <c r="Z11" i="24" s="1"/>
  <c r="Z7" i="24" s="1"/>
  <c r="Z12" i="36"/>
  <c r="Z11" i="36" s="1"/>
  <c r="AH33" i="29"/>
  <c r="AH34" i="29" s="1"/>
  <c r="AH35" i="29" s="1"/>
  <c r="AU4" i="20"/>
  <c r="AV11" i="20"/>
  <c r="Q31" i="36"/>
  <c r="Q33" i="36" s="1"/>
  <c r="Q37" i="36" s="1"/>
  <c r="AA1" i="36"/>
  <c r="AA8" i="36"/>
  <c r="AB4" i="36"/>
  <c r="R24" i="36"/>
  <c r="R25" i="36" s="1"/>
  <c r="S23" i="36" s="1"/>
  <c r="S24" i="36" s="1"/>
  <c r="AB7" i="23"/>
  <c r="AA1" i="24"/>
  <c r="V17" i="24"/>
  <c r="V16" i="24" s="1"/>
  <c r="V9" i="24"/>
  <c r="Y26" i="23"/>
  <c r="Y27" i="23" s="1"/>
  <c r="Z10" i="23"/>
  <c r="AP7" i="20"/>
  <c r="AP10" i="20" s="1"/>
  <c r="AP22" i="20" s="1"/>
  <c r="AA19" i="23"/>
  <c r="AA8" i="24"/>
  <c r="Y10" i="23"/>
  <c r="AC4" i="24"/>
  <c r="AB4" i="24"/>
  <c r="AF42" i="33"/>
  <c r="AF36" i="33"/>
  <c r="AF41" i="33"/>
  <c r="AF37" i="33"/>
  <c r="AF38" i="33"/>
  <c r="AV4" i="28"/>
  <c r="AV5" i="28" s="1"/>
  <c r="AV6" i="28" s="1"/>
  <c r="AV23" i="28" s="1"/>
  <c r="AG33" i="33"/>
  <c r="AG34" i="33" s="1"/>
  <c r="AG35" i="33" s="1"/>
  <c r="AE44" i="33"/>
  <c r="AE58" i="33" s="1"/>
  <c r="AE85" i="33" s="1"/>
  <c r="AF44" i="29"/>
  <c r="AF58" i="29" s="1"/>
  <c r="AF85" i="29" s="1"/>
  <c r="AD19" i="11"/>
  <c r="AV32" i="20"/>
  <c r="AG37" i="29"/>
  <c r="AG38" i="29"/>
  <c r="AG42" i="29"/>
  <c r="AG36" i="29"/>
  <c r="AG41" i="29"/>
  <c r="AE16" i="11"/>
  <c r="AD33" i="11"/>
  <c r="AS35" i="20"/>
  <c r="AS38" i="20" s="1"/>
  <c r="AH15" i="6"/>
  <c r="AH17" i="6"/>
  <c r="AH13" i="6"/>
  <c r="AH14" i="6"/>
  <c r="AH16" i="6"/>
  <c r="AI11" i="6"/>
  <c r="AG18" i="6"/>
  <c r="H53" i="36" l="1"/>
  <c r="AW11" i="36"/>
  <c r="AX11" i="36" s="1"/>
  <c r="AS11" i="36"/>
  <c r="Y6" i="36"/>
  <c r="Y7" i="36"/>
  <c r="M39" i="24"/>
  <c r="M36" i="24" s="1"/>
  <c r="G54" i="24" s="1"/>
  <c r="L54" i="24" s="1"/>
  <c r="M54" i="24" s="1"/>
  <c r="M36" i="36"/>
  <c r="M42" i="36" s="1"/>
  <c r="Z6" i="24"/>
  <c r="Z5" i="24" s="1"/>
  <c r="Z10" i="24" s="1"/>
  <c r="N31" i="24"/>
  <c r="O12" i="23" s="1"/>
  <c r="O14" i="23" s="1"/>
  <c r="O15" i="23" s="1"/>
  <c r="O24" i="24"/>
  <c r="O25" i="24" s="1"/>
  <c r="AA22" i="23"/>
  <c r="Z26" i="23"/>
  <c r="Z27" i="23" s="1"/>
  <c r="W10" i="24"/>
  <c r="W9" i="24" s="1"/>
  <c r="W17" i="36"/>
  <c r="W19" i="36" s="1"/>
  <c r="AA12" i="36"/>
  <c r="AA11" i="36" s="1"/>
  <c r="V19" i="36"/>
  <c r="V16" i="36"/>
  <c r="AI33" i="29"/>
  <c r="AI34" i="29" s="1"/>
  <c r="AW11" i="20"/>
  <c r="AV4" i="20"/>
  <c r="X5" i="36"/>
  <c r="X10" i="36" s="1"/>
  <c r="AC45" i="24"/>
  <c r="AC4" i="36"/>
  <c r="AB1" i="36"/>
  <c r="AB8" i="36"/>
  <c r="S25" i="36"/>
  <c r="T23" i="36" s="1"/>
  <c r="S27" i="36"/>
  <c r="S29" i="36"/>
  <c r="R27" i="36"/>
  <c r="R29" i="36"/>
  <c r="AB1" i="24"/>
  <c r="AC1" i="24"/>
  <c r="Y17" i="24"/>
  <c r="V19" i="24"/>
  <c r="Z11" i="23"/>
  <c r="AB8" i="24"/>
  <c r="AA10" i="23"/>
  <c r="AC7" i="23"/>
  <c r="AA24" i="23"/>
  <c r="AB19" i="23"/>
  <c r="AC8" i="24"/>
  <c r="AR7" i="20"/>
  <c r="AR10" i="20" s="1"/>
  <c r="AR22" i="20" s="1"/>
  <c r="X5" i="24"/>
  <c r="Y11" i="23" s="1"/>
  <c r="AD7" i="23"/>
  <c r="AA12" i="24"/>
  <c r="AB22" i="23" s="1"/>
  <c r="AD4" i="24"/>
  <c r="AQ7" i="20"/>
  <c r="AQ10" i="20" s="1"/>
  <c r="AQ22" i="20" s="1"/>
  <c r="AG41" i="33"/>
  <c r="AG42" i="33"/>
  <c r="AG38" i="33"/>
  <c r="AG37" i="33"/>
  <c r="AG36" i="33"/>
  <c r="AF44" i="33"/>
  <c r="AF58" i="33" s="1"/>
  <c r="AF85" i="33" s="1"/>
  <c r="AW4" i="28"/>
  <c r="AW5" i="28" s="1"/>
  <c r="AW6" i="28" s="1"/>
  <c r="AW23" i="28" s="1"/>
  <c r="AH33" i="33"/>
  <c r="AH34" i="33" s="1"/>
  <c r="AH35" i="33" s="1"/>
  <c r="AE19" i="11"/>
  <c r="AI35" i="29"/>
  <c r="AW32" i="20"/>
  <c r="AH37" i="29"/>
  <c r="AH36" i="29"/>
  <c r="AH41" i="29"/>
  <c r="AH38" i="29"/>
  <c r="AH42" i="29"/>
  <c r="AG44" i="29"/>
  <c r="AG58" i="29" s="1"/>
  <c r="AT35" i="20"/>
  <c r="AT38" i="20" s="1"/>
  <c r="AF16" i="11"/>
  <c r="AE33" i="11"/>
  <c r="AI16" i="6"/>
  <c r="AI17" i="6"/>
  <c r="AI15" i="6"/>
  <c r="AI14" i="6"/>
  <c r="AI13" i="6"/>
  <c r="AJ11" i="6"/>
  <c r="AH18" i="6"/>
  <c r="AY23" i="36" l="1"/>
  <c r="BG3" i="36" s="1"/>
  <c r="AR12" i="36"/>
  <c r="G54" i="36"/>
  <c r="L54" i="36" s="1"/>
  <c r="M54" i="36" s="1"/>
  <c r="W28" i="36"/>
  <c r="W21" i="36"/>
  <c r="V28" i="36"/>
  <c r="V21" i="36"/>
  <c r="Z7" i="36"/>
  <c r="Z6" i="36"/>
  <c r="W17" i="24"/>
  <c r="N33" i="24"/>
  <c r="N37" i="24" s="1"/>
  <c r="N36" i="36"/>
  <c r="N39" i="24"/>
  <c r="P23" i="24"/>
  <c r="O29" i="24"/>
  <c r="O27" i="24"/>
  <c r="V28" i="24"/>
  <c r="V21" i="24"/>
  <c r="AC19" i="23"/>
  <c r="W16" i="36"/>
  <c r="Y5" i="36"/>
  <c r="Y10" i="36" s="1"/>
  <c r="Y9" i="36" s="1"/>
  <c r="AC12" i="24"/>
  <c r="AD22" i="23" s="1"/>
  <c r="AC12" i="36"/>
  <c r="AC11" i="36" s="1"/>
  <c r="X17" i="36"/>
  <c r="X9" i="36"/>
  <c r="AJ33" i="29"/>
  <c r="AJ34" i="29" s="1"/>
  <c r="AJ35" i="29" s="1"/>
  <c r="AX11" i="20"/>
  <c r="AW4" i="20"/>
  <c r="AB12" i="36"/>
  <c r="AB11" i="36" s="1"/>
  <c r="AC45" i="36"/>
  <c r="AC1" i="36"/>
  <c r="AC8" i="36"/>
  <c r="AD4" i="36"/>
  <c r="R31" i="36"/>
  <c r="R33" i="36" s="1"/>
  <c r="R37" i="36" s="1"/>
  <c r="S31" i="36"/>
  <c r="S33" i="36" s="1"/>
  <c r="S37" i="36" s="1"/>
  <c r="T24" i="36"/>
  <c r="T25" i="36" s="1"/>
  <c r="U23" i="36" s="1"/>
  <c r="AD8" i="24"/>
  <c r="AD1" i="24"/>
  <c r="AD19" i="23"/>
  <c r="Z17" i="24"/>
  <c r="Z9" i="24"/>
  <c r="W19" i="24"/>
  <c r="W16" i="24"/>
  <c r="Y19" i="24"/>
  <c r="AA11" i="23"/>
  <c r="AC47" i="24"/>
  <c r="AA23" i="23"/>
  <c r="AA26" i="23" s="1"/>
  <c r="AA27" i="23" s="1"/>
  <c r="AB24" i="23"/>
  <c r="AA11" i="24"/>
  <c r="AS7" i="20"/>
  <c r="AS10" i="20" s="1"/>
  <c r="AS22" i="20" s="1"/>
  <c r="AE7" i="23"/>
  <c r="X10" i="24"/>
  <c r="AB12" i="24"/>
  <c r="AX4" i="28"/>
  <c r="AX5" i="28" s="1"/>
  <c r="AX6" i="28" s="1"/>
  <c r="AX23" i="28" s="1"/>
  <c r="AI33" i="33"/>
  <c r="AI34" i="33" s="1"/>
  <c r="AI35" i="33" s="1"/>
  <c r="AH41" i="33"/>
  <c r="AH42" i="33"/>
  <c r="AH36" i="33"/>
  <c r="AH38" i="33"/>
  <c r="AH37" i="33"/>
  <c r="AG44" i="33"/>
  <c r="AG58" i="33" s="1"/>
  <c r="AG85" i="33" s="1"/>
  <c r="AG85" i="29"/>
  <c r="AH44" i="29"/>
  <c r="AH58" i="29" s="1"/>
  <c r="AI36" i="29"/>
  <c r="AI42" i="29"/>
  <c r="AI41" i="29"/>
  <c r="AI37" i="29"/>
  <c r="AI38" i="29"/>
  <c r="AF19" i="11"/>
  <c r="AX32" i="20"/>
  <c r="AG16" i="11"/>
  <c r="AF33" i="11"/>
  <c r="AU35" i="20"/>
  <c r="AU38" i="20" s="1"/>
  <c r="AJ13" i="6"/>
  <c r="AJ15" i="6"/>
  <c r="AJ17" i="6"/>
  <c r="AJ14" i="6"/>
  <c r="AJ16" i="6"/>
  <c r="AK11" i="6"/>
  <c r="AI18" i="6"/>
  <c r="G55" i="36" l="1"/>
  <c r="L55" i="36" s="1"/>
  <c r="M55" i="36" s="1"/>
  <c r="AR13" i="36"/>
  <c r="AW12" i="36"/>
  <c r="AX12" i="36" s="1"/>
  <c r="AS12" i="36"/>
  <c r="H54" i="36"/>
  <c r="AA7" i="36"/>
  <c r="AA6" i="36"/>
  <c r="AA6" i="24"/>
  <c r="AA7" i="24"/>
  <c r="N36" i="24"/>
  <c r="O31" i="24"/>
  <c r="O33" i="24" s="1"/>
  <c r="O37" i="24" s="1"/>
  <c r="P24" i="24"/>
  <c r="P25" i="24" s="1"/>
  <c r="Y28" i="24"/>
  <c r="Y21" i="24"/>
  <c r="W28" i="24"/>
  <c r="W21" i="24"/>
  <c r="AC11" i="24"/>
  <c r="AC7" i="24" s="1"/>
  <c r="AC23" i="23"/>
  <c r="AC24" i="23"/>
  <c r="AD24" i="23"/>
  <c r="Y17" i="36"/>
  <c r="Y19" i="36" s="1"/>
  <c r="AD23" i="23"/>
  <c r="AK33" i="29"/>
  <c r="AK34" i="29" s="1"/>
  <c r="AK35" i="29" s="1"/>
  <c r="AY11" i="20"/>
  <c r="AX4" i="20"/>
  <c r="Z5" i="36"/>
  <c r="Z10" i="36" s="1"/>
  <c r="AD12" i="36"/>
  <c r="AD11" i="36" s="1"/>
  <c r="X19" i="36"/>
  <c r="X16" i="36"/>
  <c r="AD1" i="36"/>
  <c r="AD8" i="36"/>
  <c r="AE4" i="36"/>
  <c r="U24" i="36"/>
  <c r="U25" i="36" s="1"/>
  <c r="V23" i="36" s="1"/>
  <c r="T27" i="36"/>
  <c r="T29" i="36"/>
  <c r="Z19" i="24"/>
  <c r="Z16" i="24"/>
  <c r="X17" i="24"/>
  <c r="X9" i="24"/>
  <c r="Y9" i="24"/>
  <c r="AB10" i="23"/>
  <c r="AA5" i="24"/>
  <c r="AB11" i="23" s="1"/>
  <c r="AD12" i="24"/>
  <c r="AE22" i="23" s="1"/>
  <c r="AE19" i="23"/>
  <c r="AE4" i="24"/>
  <c r="AB23" i="23"/>
  <c r="AB26" i="23" s="1"/>
  <c r="AB27" i="23" s="1"/>
  <c r="AB11" i="24"/>
  <c r="AC22" i="23"/>
  <c r="AI41" i="33"/>
  <c r="AI42" i="33"/>
  <c r="AI37" i="33"/>
  <c r="AI36" i="33"/>
  <c r="AI38" i="33"/>
  <c r="AY4" i="28"/>
  <c r="AY5" i="28" s="1"/>
  <c r="AY6" i="28" s="1"/>
  <c r="AY23" i="28" s="1"/>
  <c r="AJ33" i="33"/>
  <c r="AJ34" i="33" s="1"/>
  <c r="AJ35" i="33" s="1"/>
  <c r="AH44" i="33"/>
  <c r="AH58" i="33" s="1"/>
  <c r="AH85" i="33" s="1"/>
  <c r="AH85" i="29"/>
  <c r="AG19" i="11"/>
  <c r="AY32" i="20"/>
  <c r="AJ38" i="29"/>
  <c r="AJ36" i="29"/>
  <c r="AJ42" i="29"/>
  <c r="AJ41" i="29"/>
  <c r="AJ37" i="29"/>
  <c r="AI44" i="29"/>
  <c r="AI58" i="29" s="1"/>
  <c r="AH16" i="11"/>
  <c r="AG33" i="11"/>
  <c r="AV35" i="20"/>
  <c r="AV38" i="20" s="1"/>
  <c r="AK16" i="6"/>
  <c r="AK13" i="6"/>
  <c r="AK15" i="6"/>
  <c r="AK14" i="6"/>
  <c r="AK17" i="6"/>
  <c r="AL11" i="6"/>
  <c r="AL15" i="6" s="1"/>
  <c r="AJ18" i="6"/>
  <c r="AY13" i="36" l="1"/>
  <c r="AZ13" i="36"/>
  <c r="H55" i="36"/>
  <c r="AW13" i="36"/>
  <c r="AX13" i="36" s="1"/>
  <c r="AS13" i="36"/>
  <c r="X28" i="36"/>
  <c r="X21" i="36"/>
  <c r="Y28" i="36"/>
  <c r="Y21" i="36"/>
  <c r="AB6" i="36"/>
  <c r="AB7" i="36"/>
  <c r="AC6" i="36"/>
  <c r="AC7" i="36"/>
  <c r="G55" i="24"/>
  <c r="L55" i="24" s="1"/>
  <c r="M55" i="24" s="1"/>
  <c r="AB6" i="24"/>
  <c r="AB7" i="24"/>
  <c r="AD10" i="23"/>
  <c r="AC6" i="24"/>
  <c r="AC5" i="24" s="1"/>
  <c r="AD11" i="23" s="1"/>
  <c r="P12" i="23"/>
  <c r="P14" i="23" s="1"/>
  <c r="P15" i="23" s="1"/>
  <c r="Q23" i="24"/>
  <c r="P27" i="24"/>
  <c r="P29" i="24"/>
  <c r="Z28" i="24"/>
  <c r="Z21" i="24"/>
  <c r="AC26" i="23"/>
  <c r="AC27" i="23" s="1"/>
  <c r="AD26" i="23"/>
  <c r="Y16" i="36"/>
  <c r="AL33" i="29"/>
  <c r="AL34" i="29" s="1"/>
  <c r="AY4" i="20"/>
  <c r="AZ11" i="20"/>
  <c r="AE24" i="23"/>
  <c r="Z9" i="36"/>
  <c r="Z17" i="36"/>
  <c r="AA5" i="36"/>
  <c r="AA10" i="36" s="1"/>
  <c r="AE1" i="36"/>
  <c r="AE8" i="36"/>
  <c r="AF4" i="36"/>
  <c r="V24" i="36"/>
  <c r="V25" i="36" s="1"/>
  <c r="W23" i="36" s="1"/>
  <c r="T31" i="36"/>
  <c r="T33" i="36" s="1"/>
  <c r="T37" i="36" s="1"/>
  <c r="U29" i="36"/>
  <c r="U27" i="36"/>
  <c r="AF19" i="23"/>
  <c r="AE1" i="24"/>
  <c r="X19" i="24"/>
  <c r="X21" i="24" s="1"/>
  <c r="X16" i="24"/>
  <c r="Y16" i="24"/>
  <c r="AA10" i="24"/>
  <c r="AD11" i="24"/>
  <c r="AD7" i="24" s="1"/>
  <c r="AT7" i="20"/>
  <c r="AT10" i="20" s="1"/>
  <c r="AT22" i="20" s="1"/>
  <c r="AF7" i="23"/>
  <c r="AE8" i="24"/>
  <c r="AF4" i="24"/>
  <c r="AC10" i="23"/>
  <c r="AI44" i="33"/>
  <c r="AI58" i="33" s="1"/>
  <c r="AI85" i="33" s="1"/>
  <c r="AZ4" i="28"/>
  <c r="AZ5" i="28" s="1"/>
  <c r="AZ6" i="28" s="1"/>
  <c r="AZ23" i="28" s="1"/>
  <c r="AK33" i="33"/>
  <c r="AK34" i="33" s="1"/>
  <c r="AK35" i="33" s="1"/>
  <c r="AJ42" i="33"/>
  <c r="AJ36" i="33"/>
  <c r="AJ41" i="33"/>
  <c r="AJ38" i="33"/>
  <c r="AJ37" i="33"/>
  <c r="AI85" i="29"/>
  <c r="AH19" i="11"/>
  <c r="AL35" i="29"/>
  <c r="AZ32" i="20"/>
  <c r="AJ44" i="29"/>
  <c r="AJ58" i="29" s="1"/>
  <c r="AK37" i="29"/>
  <c r="AK36" i="29"/>
  <c r="AK38" i="29"/>
  <c r="AK41" i="29"/>
  <c r="AK42" i="29"/>
  <c r="AW35" i="20"/>
  <c r="AW38" i="20" s="1"/>
  <c r="AI16" i="11"/>
  <c r="AH33" i="11"/>
  <c r="AL16" i="6"/>
  <c r="AL13" i="6"/>
  <c r="AL17" i="6"/>
  <c r="AL14" i="6"/>
  <c r="AM11" i="6"/>
  <c r="AK18" i="6"/>
  <c r="AY14" i="36" l="1"/>
  <c r="BH3" i="36" s="1"/>
  <c r="AD7" i="36"/>
  <c r="AD6" i="36"/>
  <c r="O36" i="36"/>
  <c r="AE10" i="23"/>
  <c r="AD6" i="24"/>
  <c r="AD27" i="23"/>
  <c r="O39" i="24"/>
  <c r="O36" i="24" s="1"/>
  <c r="Q24" i="24"/>
  <c r="Q25" i="24" s="1"/>
  <c r="P31" i="24"/>
  <c r="AB5" i="36"/>
  <c r="AB10" i="36" s="1"/>
  <c r="AB9" i="36" s="1"/>
  <c r="AC5" i="36"/>
  <c r="AC10" i="36" s="1"/>
  <c r="AE12" i="36"/>
  <c r="AE11" i="36" s="1"/>
  <c r="AM33" i="29"/>
  <c r="AM34" i="29" s="1"/>
  <c r="AM35" i="29" s="1"/>
  <c r="AZ4" i="20"/>
  <c r="BA11" i="20"/>
  <c r="Z19" i="36"/>
  <c r="Z16" i="36"/>
  <c r="AE23" i="23"/>
  <c r="AE26" i="23" s="1"/>
  <c r="AE27" i="23" s="1"/>
  <c r="AA17" i="36"/>
  <c r="AA9" i="36"/>
  <c r="AF1" i="36"/>
  <c r="AF8" i="36"/>
  <c r="AG4" i="36"/>
  <c r="W24" i="36"/>
  <c r="W25" i="36" s="1"/>
  <c r="X23" i="36" s="1"/>
  <c r="U31" i="36"/>
  <c r="U33" i="36" s="1"/>
  <c r="U37" i="36" s="1"/>
  <c r="V29" i="36"/>
  <c r="V27" i="36"/>
  <c r="AF1" i="24"/>
  <c r="X28" i="24"/>
  <c r="AA17" i="24"/>
  <c r="AA9" i="24"/>
  <c r="AE12" i="24"/>
  <c r="AF22" i="23" s="1"/>
  <c r="AF8" i="24"/>
  <c r="AU7" i="20"/>
  <c r="AU10" i="20" s="1"/>
  <c r="AU22" i="20" s="1"/>
  <c r="AG7" i="23"/>
  <c r="AB5" i="24"/>
  <c r="AG4" i="24"/>
  <c r="AJ44" i="33"/>
  <c r="AJ58" i="33" s="1"/>
  <c r="AJ85" i="33" s="1"/>
  <c r="BA4" i="28"/>
  <c r="BA5" i="28" s="1"/>
  <c r="BA6" i="28" s="1"/>
  <c r="BA23" i="28" s="1"/>
  <c r="AL33" i="33"/>
  <c r="AL34" i="33" s="1"/>
  <c r="AL35" i="33" s="1"/>
  <c r="AK42" i="33"/>
  <c r="AK37" i="33"/>
  <c r="AK41" i="33"/>
  <c r="AK38" i="33"/>
  <c r="AK36" i="33"/>
  <c r="AJ85" i="29"/>
  <c r="AC10" i="24"/>
  <c r="AI19" i="11"/>
  <c r="BA32" i="20"/>
  <c r="AK44" i="29"/>
  <c r="AK58" i="29" s="1"/>
  <c r="AL37" i="29"/>
  <c r="AL42" i="29"/>
  <c r="AL38" i="29"/>
  <c r="AL41" i="29"/>
  <c r="AL36" i="29"/>
  <c r="AJ16" i="11"/>
  <c r="AI33" i="11"/>
  <c r="AX35" i="20"/>
  <c r="AX38" i="20" s="1"/>
  <c r="AL18" i="6"/>
  <c r="AM15" i="6"/>
  <c r="AM16" i="6"/>
  <c r="AM14" i="6"/>
  <c r="AM13" i="6"/>
  <c r="AM17" i="6"/>
  <c r="AN11" i="6"/>
  <c r="G56" i="36" l="1"/>
  <c r="L56" i="36" s="1"/>
  <c r="M56" i="36" s="1"/>
  <c r="AR14" i="36"/>
  <c r="Z28" i="36"/>
  <c r="Z21" i="36"/>
  <c r="G56" i="24"/>
  <c r="L56" i="24" s="1"/>
  <c r="M56" i="24" s="1"/>
  <c r="AF24" i="23"/>
  <c r="Q27" i="24"/>
  <c r="Q29" i="24"/>
  <c r="P33" i="24"/>
  <c r="P37" i="24" s="1"/>
  <c r="Q12" i="23"/>
  <c r="Q14" i="23" s="1"/>
  <c r="Q15" i="23" s="1"/>
  <c r="R23" i="24"/>
  <c r="AG19" i="23"/>
  <c r="AB17" i="36"/>
  <c r="AB19" i="36" s="1"/>
  <c r="AC17" i="36"/>
  <c r="AC9" i="36"/>
  <c r="AA19" i="36"/>
  <c r="AA16" i="36"/>
  <c r="AF12" i="36"/>
  <c r="AF11" i="36" s="1"/>
  <c r="AD5" i="36"/>
  <c r="AD10" i="36" s="1"/>
  <c r="AN33" i="29"/>
  <c r="BA4" i="20"/>
  <c r="AH4" i="36"/>
  <c r="AG1" i="36"/>
  <c r="AG8" i="36"/>
  <c r="X24" i="36"/>
  <c r="X25" i="36" s="1"/>
  <c r="Y23" i="36" s="1"/>
  <c r="V31" i="36"/>
  <c r="V33" i="36" s="1"/>
  <c r="V37" i="36" s="1"/>
  <c r="W29" i="36"/>
  <c r="W27" i="36"/>
  <c r="AG1" i="24"/>
  <c r="AE11" i="24"/>
  <c r="AE7" i="24" s="1"/>
  <c r="AC17" i="24"/>
  <c r="AA19" i="24"/>
  <c r="AA16" i="24"/>
  <c r="AD5" i="24"/>
  <c r="AE11" i="23" s="1"/>
  <c r="AH7" i="23"/>
  <c r="AV7" i="20"/>
  <c r="AV10" i="20" s="1"/>
  <c r="AV22" i="20" s="1"/>
  <c r="AG8" i="24"/>
  <c r="AF12" i="24"/>
  <c r="AC11" i="23"/>
  <c r="AB10" i="24"/>
  <c r="AH4" i="24"/>
  <c r="BB4" i="28"/>
  <c r="BB5" i="28" s="1"/>
  <c r="BB6" i="28" s="1"/>
  <c r="BB23" i="28" s="1"/>
  <c r="AM33" i="33"/>
  <c r="AM34" i="33" s="1"/>
  <c r="AM35" i="33" s="1"/>
  <c r="AK44" i="33"/>
  <c r="AK58" i="33" s="1"/>
  <c r="AK85" i="33" s="1"/>
  <c r="AL36" i="33"/>
  <c r="AL37" i="33"/>
  <c r="AL42" i="33"/>
  <c r="AL38" i="33"/>
  <c r="AL41" i="33"/>
  <c r="AF23" i="23"/>
  <c r="AF26" i="23" s="1"/>
  <c r="AF27" i="23" s="1"/>
  <c r="AK85" i="29"/>
  <c r="AL44" i="29"/>
  <c r="AL58" i="29" s="1"/>
  <c r="AM36" i="29"/>
  <c r="AM41" i="29"/>
  <c r="AM38" i="29"/>
  <c r="AM42" i="29"/>
  <c r="AM37" i="29"/>
  <c r="AJ19" i="11"/>
  <c r="AY35" i="20"/>
  <c r="AY38" i="20" s="1"/>
  <c r="AJ33" i="11"/>
  <c r="AN17" i="6"/>
  <c r="AN15" i="6"/>
  <c r="AN13" i="6"/>
  <c r="AN16" i="6"/>
  <c r="AN14" i="6"/>
  <c r="AO11" i="6"/>
  <c r="AM18" i="6"/>
  <c r="H56" i="36" l="1"/>
  <c r="AW14" i="36"/>
  <c r="AX14" i="36" s="1"/>
  <c r="AS14" i="36"/>
  <c r="AB28" i="36"/>
  <c r="AB21" i="36"/>
  <c r="AA28" i="36"/>
  <c r="AA21" i="36"/>
  <c r="AE6" i="36"/>
  <c r="AE7" i="36"/>
  <c r="AE6" i="24"/>
  <c r="AE5" i="24" s="1"/>
  <c r="AF11" i="23" s="1"/>
  <c r="Q31" i="24"/>
  <c r="R12" i="23" s="1"/>
  <c r="R14" i="23" s="1"/>
  <c r="R15" i="23" s="1"/>
  <c r="R24" i="24"/>
  <c r="R25" i="24" s="1"/>
  <c r="P39" i="24"/>
  <c r="P36" i="24" s="1"/>
  <c r="P36" i="36"/>
  <c r="AA28" i="24"/>
  <c r="AA21" i="24"/>
  <c r="AH19" i="23"/>
  <c r="AG24" i="23"/>
  <c r="AB16" i="36"/>
  <c r="AC16" i="36"/>
  <c r="AC19" i="36"/>
  <c r="AN34" i="29"/>
  <c r="AN35" i="29" s="1"/>
  <c r="B2" i="26" s="1"/>
  <c r="B4" i="26" s="1"/>
  <c r="C2" i="26" s="1"/>
  <c r="AP3" i="29"/>
  <c r="AG12" i="36"/>
  <c r="AG11" i="36" s="1"/>
  <c r="AD9" i="36"/>
  <c r="AD17" i="36"/>
  <c r="AF10" i="23"/>
  <c r="AI4" i="36"/>
  <c r="AH1" i="36"/>
  <c r="AH8" i="36"/>
  <c r="Y24" i="36"/>
  <c r="Y25" i="36" s="1"/>
  <c r="Z23" i="36" s="1"/>
  <c r="W31" i="36"/>
  <c r="W33" i="36" s="1"/>
  <c r="W37" i="36" s="1"/>
  <c r="X29" i="36"/>
  <c r="X27" i="36"/>
  <c r="AH1" i="24"/>
  <c r="AB17" i="24"/>
  <c r="AC16" i="24" s="1"/>
  <c r="AB9" i="24"/>
  <c r="AC19" i="24"/>
  <c r="AC9" i="24"/>
  <c r="AD10" i="24"/>
  <c r="AI7" i="23"/>
  <c r="AI4" i="24"/>
  <c r="AW7" i="20"/>
  <c r="AW10" i="20" s="1"/>
  <c r="AW22" i="20" s="1"/>
  <c r="AH8" i="24"/>
  <c r="AG12" i="24"/>
  <c r="AH22" i="23" s="1"/>
  <c r="AF11" i="24"/>
  <c r="AL44" i="33"/>
  <c r="AL58" i="33" s="1"/>
  <c r="AL85" i="33" s="1"/>
  <c r="BC4" i="28"/>
  <c r="BC5" i="28" s="1"/>
  <c r="BC6" i="28" s="1"/>
  <c r="BC23" i="28" s="1"/>
  <c r="AN33" i="33"/>
  <c r="AN34" i="33" s="1"/>
  <c r="AN35" i="33" s="1"/>
  <c r="AM42" i="33"/>
  <c r="AM36" i="33"/>
  <c r="AM38" i="33"/>
  <c r="AM41" i="33"/>
  <c r="AM37" i="33"/>
  <c r="AL85" i="29"/>
  <c r="AM44" i="29"/>
  <c r="AM58" i="29" s="1"/>
  <c r="AZ35" i="20"/>
  <c r="AZ38" i="20" s="1"/>
  <c r="AN18" i="6"/>
  <c r="AO16" i="6"/>
  <c r="AO14" i="6"/>
  <c r="AO13" i="6"/>
  <c r="AO15" i="6"/>
  <c r="AO17" i="6"/>
  <c r="AP11" i="6"/>
  <c r="G57" i="36" l="1"/>
  <c r="L57" i="36" s="1"/>
  <c r="M57" i="36" s="1"/>
  <c r="AR15" i="36"/>
  <c r="AC28" i="36"/>
  <c r="AC21" i="36"/>
  <c r="AF6" i="36"/>
  <c r="AF7" i="36"/>
  <c r="G57" i="24"/>
  <c r="L57" i="24" s="1"/>
  <c r="M57" i="24" s="1"/>
  <c r="AN41" i="29"/>
  <c r="AN36" i="29"/>
  <c r="AN42" i="29"/>
  <c r="AF6" i="24"/>
  <c r="AF7" i="24"/>
  <c r="AG23" i="23"/>
  <c r="Q33" i="24"/>
  <c r="Q37" i="24" s="1"/>
  <c r="Q36" i="36"/>
  <c r="Q39" i="24"/>
  <c r="S23" i="24"/>
  <c r="R27" i="24"/>
  <c r="R29" i="24"/>
  <c r="AC28" i="24"/>
  <c r="AC21" i="24"/>
  <c r="AI19" i="23"/>
  <c r="AH24" i="23"/>
  <c r="AE10" i="24"/>
  <c r="AE17" i="24" s="1"/>
  <c r="AE5" i="36"/>
  <c r="AE10" i="36" s="1"/>
  <c r="AE17" i="36" s="1"/>
  <c r="AN37" i="29"/>
  <c r="AN38" i="29"/>
  <c r="AI24" i="23"/>
  <c r="AH12" i="36"/>
  <c r="AH11" i="36" s="1"/>
  <c r="AD16" i="36"/>
  <c r="AD19" i="36"/>
  <c r="AJ4" i="36"/>
  <c r="AI1" i="36"/>
  <c r="AI8" i="36"/>
  <c r="Z24" i="36"/>
  <c r="Z25" i="36" s="1"/>
  <c r="AA23" i="36" s="1"/>
  <c r="X31" i="36"/>
  <c r="X33" i="36" s="1"/>
  <c r="X37" i="36" s="1"/>
  <c r="Y29" i="36"/>
  <c r="Y27" i="36"/>
  <c r="AI1" i="24"/>
  <c r="AD17" i="24"/>
  <c r="AD9" i="24"/>
  <c r="AB19" i="24"/>
  <c r="AB16" i="24"/>
  <c r="AI8" i="24"/>
  <c r="AJ7" i="23"/>
  <c r="AG11" i="24"/>
  <c r="AG7" i="24" s="1"/>
  <c r="AG22" i="23"/>
  <c r="AG26" i="23" s="1"/>
  <c r="AG27" i="23" s="1"/>
  <c r="AX7" i="20"/>
  <c r="AX10" i="20" s="1"/>
  <c r="AX22" i="20" s="1"/>
  <c r="AG10" i="23"/>
  <c r="AH12" i="24"/>
  <c r="AJ4" i="24"/>
  <c r="AM44" i="33"/>
  <c r="AM58" i="33" s="1"/>
  <c r="AM85" i="33" s="1"/>
  <c r="AN41" i="33"/>
  <c r="AN42" i="33"/>
  <c r="AN36" i="33"/>
  <c r="AN37" i="33"/>
  <c r="AN38" i="33"/>
  <c r="AM85" i="29"/>
  <c r="AO18" i="6"/>
  <c r="AP17" i="6"/>
  <c r="AP16" i="6"/>
  <c r="AP13" i="6"/>
  <c r="AP14" i="6"/>
  <c r="AP15" i="6"/>
  <c r="H57" i="36" l="1"/>
  <c r="AW15" i="36"/>
  <c r="AX15" i="36" s="1"/>
  <c r="AS15" i="36"/>
  <c r="G58" i="36"/>
  <c r="H58" i="36" s="1"/>
  <c r="AR16" i="36"/>
  <c r="AD28" i="36"/>
  <c r="AD21" i="36"/>
  <c r="AG6" i="36"/>
  <c r="AG7" i="36"/>
  <c r="AN44" i="29"/>
  <c r="AN58" i="29" s="1"/>
  <c r="AN85" i="29" s="1"/>
  <c r="AH10" i="23"/>
  <c r="AG6" i="24"/>
  <c r="Q36" i="24"/>
  <c r="R31" i="24"/>
  <c r="R33" i="24" s="1"/>
  <c r="R37" i="24" s="1"/>
  <c r="S24" i="24"/>
  <c r="S25" i="24" s="1"/>
  <c r="AB28" i="24"/>
  <c r="AB21" i="24"/>
  <c r="AH23" i="23"/>
  <c r="AH26" i="23" s="1"/>
  <c r="AH27" i="23" s="1"/>
  <c r="AE9" i="24"/>
  <c r="AJ19" i="23"/>
  <c r="AE9" i="36"/>
  <c r="AF5" i="36"/>
  <c r="AF10" i="36" s="1"/>
  <c r="AF9" i="36" s="1"/>
  <c r="AI12" i="36"/>
  <c r="AI11" i="36" s="1"/>
  <c r="AE16" i="36"/>
  <c r="AE19" i="36"/>
  <c r="AJ1" i="36"/>
  <c r="AJ8" i="36"/>
  <c r="AK4" i="36"/>
  <c r="AA24" i="36"/>
  <c r="AA25" i="36" s="1"/>
  <c r="AB23" i="36" s="1"/>
  <c r="Y31" i="36"/>
  <c r="Y33" i="36" s="1"/>
  <c r="Y37" i="36" s="1"/>
  <c r="Z29" i="36"/>
  <c r="Z27" i="36"/>
  <c r="AJ8" i="24"/>
  <c r="AJ1" i="24"/>
  <c r="AP18" i="6"/>
  <c r="AE19" i="24"/>
  <c r="AE16" i="24"/>
  <c r="AD19" i="24"/>
  <c r="AD16" i="24"/>
  <c r="AK7" i="23"/>
  <c r="AK4" i="24"/>
  <c r="AI22" i="23"/>
  <c r="AH11" i="24"/>
  <c r="AY7" i="20"/>
  <c r="AY10" i="20" s="1"/>
  <c r="AY22" i="20" s="1"/>
  <c r="AF5" i="24"/>
  <c r="AL4" i="24"/>
  <c r="AI12" i="24"/>
  <c r="AN44" i="33"/>
  <c r="AN58" i="33" s="1"/>
  <c r="AN85" i="33" s="1"/>
  <c r="AI23" i="23"/>
  <c r="C3" i="26"/>
  <c r="D4" i="26" s="1"/>
  <c r="C4" i="26"/>
  <c r="BA35" i="20"/>
  <c r="BA38" i="20" s="1"/>
  <c r="AW16" i="36" l="1"/>
  <c r="AX16" i="36" s="1"/>
  <c r="AS16" i="36"/>
  <c r="L58" i="36"/>
  <c r="M58" i="36" s="1"/>
  <c r="AE28" i="36"/>
  <c r="AE21" i="36"/>
  <c r="AH7" i="36"/>
  <c r="AH6" i="36"/>
  <c r="G58" i="24"/>
  <c r="L58" i="24" s="1"/>
  <c r="M58" i="24" s="1"/>
  <c r="AH6" i="24"/>
  <c r="AH7" i="24"/>
  <c r="S12" i="23"/>
  <c r="S14" i="23" s="1"/>
  <c r="S15" i="23" s="1"/>
  <c r="T23" i="24"/>
  <c r="S29" i="24"/>
  <c r="S27" i="24"/>
  <c r="AE28" i="24"/>
  <c r="AE21" i="24"/>
  <c r="AD28" i="24"/>
  <c r="AD21" i="24"/>
  <c r="AJ24" i="23"/>
  <c r="AF17" i="36"/>
  <c r="AF19" i="36" s="1"/>
  <c r="AG5" i="36"/>
  <c r="AG10" i="36" s="1"/>
  <c r="AG9" i="36" s="1"/>
  <c r="AJ12" i="36"/>
  <c r="AJ11" i="36" s="1"/>
  <c r="Z31" i="36"/>
  <c r="Z33" i="36" s="1"/>
  <c r="Z37" i="36" s="1"/>
  <c r="AL4" i="36"/>
  <c r="AK1" i="36"/>
  <c r="AK8" i="36"/>
  <c r="AB24" i="36"/>
  <c r="AB25" i="36" s="1"/>
  <c r="AC23" i="36" s="1"/>
  <c r="AA29" i="36"/>
  <c r="AA27" i="36"/>
  <c r="AK1" i="24"/>
  <c r="BA7" i="20"/>
  <c r="BA10" i="20" s="1"/>
  <c r="BA22" i="20" s="1"/>
  <c r="AL1" i="24"/>
  <c r="AG5" i="24"/>
  <c r="AG10" i="24" s="1"/>
  <c r="AK8" i="24"/>
  <c r="AL7" i="23"/>
  <c r="AZ7" i="20"/>
  <c r="AZ10" i="20" s="1"/>
  <c r="AZ22" i="20" s="1"/>
  <c r="AK19" i="23"/>
  <c r="D44" i="24"/>
  <c r="AG11" i="23"/>
  <c r="AF10" i="24"/>
  <c r="AI26" i="23"/>
  <c r="AI27" i="23" s="1"/>
  <c r="AJ12" i="24"/>
  <c r="AI11" i="24"/>
  <c r="AI10" i="23"/>
  <c r="AL8" i="24"/>
  <c r="AM7" i="23"/>
  <c r="AF28" i="36" l="1"/>
  <c r="AF21" i="36"/>
  <c r="AI6" i="36"/>
  <c r="AI7" i="36"/>
  <c r="R36" i="36"/>
  <c r="R42" i="36" s="1"/>
  <c r="AY25" i="36" s="1"/>
  <c r="BI3" i="36" s="1"/>
  <c r="AI6" i="24"/>
  <c r="AI7" i="24"/>
  <c r="T24" i="24"/>
  <c r="T25" i="24" s="1"/>
  <c r="U23" i="24" s="1"/>
  <c r="R39" i="24"/>
  <c r="R36" i="24" s="1"/>
  <c r="S31" i="24"/>
  <c r="S33" i="24" s="1"/>
  <c r="S37" i="24" s="1"/>
  <c r="AJ23" i="23"/>
  <c r="AL24" i="23"/>
  <c r="AL19" i="23"/>
  <c r="AF16" i="36"/>
  <c r="AG17" i="36"/>
  <c r="AG16" i="36" s="1"/>
  <c r="AH5" i="36"/>
  <c r="AH10" i="36" s="1"/>
  <c r="AH9" i="36" s="1"/>
  <c r="AL12" i="36"/>
  <c r="AL11" i="36" s="1"/>
  <c r="AK12" i="36"/>
  <c r="AK11" i="36" s="1"/>
  <c r="AA31" i="36"/>
  <c r="AA33" i="36" s="1"/>
  <c r="AA37" i="36" s="1"/>
  <c r="AL1" i="36"/>
  <c r="AL8" i="36"/>
  <c r="AC24" i="36"/>
  <c r="AC25" i="36" s="1"/>
  <c r="AD23" i="36" s="1"/>
  <c r="AB29" i="36"/>
  <c r="AB27" i="36"/>
  <c r="AK12" i="24"/>
  <c r="AK11" i="24" s="1"/>
  <c r="AK7" i="24" s="1"/>
  <c r="AF17" i="24"/>
  <c r="AF9" i="24"/>
  <c r="AG17" i="24"/>
  <c r="AG9" i="24"/>
  <c r="H57" i="24"/>
  <c r="H52" i="24"/>
  <c r="H46" i="24"/>
  <c r="AH11" i="23"/>
  <c r="AK24" i="23"/>
  <c r="AM19" i="23"/>
  <c r="AK23" i="23"/>
  <c r="AJ11" i="24"/>
  <c r="AK22" i="23"/>
  <c r="AL12" i="24"/>
  <c r="AM22" i="23" s="1"/>
  <c r="AH5" i="24"/>
  <c r="AJ10" i="23"/>
  <c r="AJ22" i="23"/>
  <c r="H50" i="24"/>
  <c r="H47" i="24"/>
  <c r="G59" i="36" l="1"/>
  <c r="H59" i="36" s="1"/>
  <c r="AR17" i="36"/>
  <c r="AJ6" i="36"/>
  <c r="AJ7" i="36"/>
  <c r="G59" i="24"/>
  <c r="L59" i="24" s="1"/>
  <c r="M59" i="24" s="1"/>
  <c r="AJ6" i="24"/>
  <c r="AJ7" i="24"/>
  <c r="U24" i="24"/>
  <c r="U25" i="24" s="1"/>
  <c r="V23" i="24" s="1"/>
  <c r="AL10" i="23"/>
  <c r="AK6" i="24"/>
  <c r="T29" i="24"/>
  <c r="T27" i="24"/>
  <c r="T12" i="23"/>
  <c r="T14" i="23" s="1"/>
  <c r="AJ26" i="23"/>
  <c r="AJ27" i="23" s="1"/>
  <c r="AH17" i="36"/>
  <c r="AH19" i="36" s="1"/>
  <c r="AG19" i="36"/>
  <c r="AL22" i="23"/>
  <c r="AI5" i="36"/>
  <c r="AI10" i="36" s="1"/>
  <c r="AB31" i="36"/>
  <c r="AB33" i="36" s="1"/>
  <c r="AB37" i="36" s="1"/>
  <c r="AD24" i="36"/>
  <c r="AD25" i="36" s="1"/>
  <c r="AE23" i="36" s="1"/>
  <c r="AC27" i="36"/>
  <c r="AC29" i="36"/>
  <c r="AG19" i="24"/>
  <c r="AG16" i="24"/>
  <c r="AF19" i="24"/>
  <c r="AF16" i="24"/>
  <c r="AK26" i="23"/>
  <c r="AI5" i="24"/>
  <c r="AJ11" i="23" s="1"/>
  <c r="AL23" i="23"/>
  <c r="AI11" i="23"/>
  <c r="AH10" i="24"/>
  <c r="AK10" i="23"/>
  <c r="AM23" i="23"/>
  <c r="AL11" i="24"/>
  <c r="AL7" i="24" s="1"/>
  <c r="AM24" i="23"/>
  <c r="H53" i="24"/>
  <c r="H49" i="24"/>
  <c r="H48" i="24"/>
  <c r="H54" i="24"/>
  <c r="H55" i="24"/>
  <c r="H56" i="24"/>
  <c r="H58" i="24"/>
  <c r="H51" i="24"/>
  <c r="L59" i="36" l="1"/>
  <c r="M59" i="36" s="1"/>
  <c r="AW17" i="36"/>
  <c r="AX17" i="36" s="1"/>
  <c r="AS17" i="36"/>
  <c r="AG28" i="36"/>
  <c r="AG21" i="36"/>
  <c r="AH28" i="36"/>
  <c r="AH21" i="36"/>
  <c r="AK6" i="36"/>
  <c r="AK7" i="36"/>
  <c r="AL6" i="36"/>
  <c r="AL7" i="36"/>
  <c r="H59" i="24"/>
  <c r="AM10" i="23"/>
  <c r="AL6" i="24"/>
  <c r="T31" i="24"/>
  <c r="V24" i="24"/>
  <c r="V25" i="24" s="1"/>
  <c r="W23" i="24" s="1"/>
  <c r="U29" i="24"/>
  <c r="U27" i="24"/>
  <c r="T15" i="23"/>
  <c r="AG28" i="24"/>
  <c r="AG21" i="24"/>
  <c r="AF28" i="24"/>
  <c r="AF21" i="24"/>
  <c r="AK27" i="23"/>
  <c r="AH16" i="36"/>
  <c r="AJ5" i="36"/>
  <c r="AJ10" i="36" s="1"/>
  <c r="AJ17" i="36" s="1"/>
  <c r="AI9" i="36"/>
  <c r="AI17" i="36"/>
  <c r="AL26" i="23"/>
  <c r="AL27" i="23" s="1"/>
  <c r="AK5" i="24"/>
  <c r="AK10" i="24" s="1"/>
  <c r="AK17" i="24" s="1"/>
  <c r="AE24" i="36"/>
  <c r="AE25" i="36" s="1"/>
  <c r="AF23" i="36" s="1"/>
  <c r="AC31" i="36"/>
  <c r="AC33" i="36" s="1"/>
  <c r="AC37" i="36" s="1"/>
  <c r="AD27" i="36"/>
  <c r="AD29" i="36"/>
  <c r="AH17" i="24"/>
  <c r="AH9" i="24"/>
  <c r="AI10" i="24"/>
  <c r="AJ5" i="24"/>
  <c r="AM26" i="23"/>
  <c r="AY17" i="36" l="1"/>
  <c r="AZ17" i="36"/>
  <c r="S39" i="24"/>
  <c r="S36" i="24" s="1"/>
  <c r="G60" i="24" s="1"/>
  <c r="W24" i="24"/>
  <c r="W25" i="24" s="1"/>
  <c r="X23" i="24" s="1"/>
  <c r="U31" i="24"/>
  <c r="U12" i="23"/>
  <c r="U14" i="23" s="1"/>
  <c r="U15" i="23" s="1"/>
  <c r="T33" i="24"/>
  <c r="T37" i="24" s="1"/>
  <c r="V29" i="24"/>
  <c r="V27" i="24"/>
  <c r="S36" i="36"/>
  <c r="AM27" i="23"/>
  <c r="AL5" i="36"/>
  <c r="AL10" i="36" s="1"/>
  <c r="AL17" i="36" s="1"/>
  <c r="AL19" i="36" s="1"/>
  <c r="AJ9" i="36"/>
  <c r="AI19" i="36"/>
  <c r="AI16" i="36"/>
  <c r="AJ16" i="36"/>
  <c r="AJ19" i="36"/>
  <c r="AK5" i="36"/>
  <c r="AK10" i="36" s="1"/>
  <c r="AL11" i="23"/>
  <c r="AD31" i="36"/>
  <c r="AD33" i="36" s="1"/>
  <c r="AD37" i="36" s="1"/>
  <c r="AF24" i="36"/>
  <c r="AF25" i="36" s="1"/>
  <c r="AG23" i="36" s="1"/>
  <c r="AE27" i="36"/>
  <c r="AE29" i="36"/>
  <c r="AI17" i="24"/>
  <c r="AI9" i="24"/>
  <c r="AH19" i="24"/>
  <c r="AH16" i="24"/>
  <c r="AK19" i="24"/>
  <c r="AK11" i="23"/>
  <c r="AJ10" i="24"/>
  <c r="AL5" i="24"/>
  <c r="AM11" i="23" s="1"/>
  <c r="G60" i="36" l="1"/>
  <c r="H60" i="36" s="1"/>
  <c r="AR18" i="36"/>
  <c r="AY18" i="36"/>
  <c r="BJ3" i="36" s="1"/>
  <c r="AI28" i="36"/>
  <c r="AI21" i="36"/>
  <c r="AJ28" i="36"/>
  <c r="AJ21" i="36"/>
  <c r="AL28" i="36"/>
  <c r="AL21" i="36"/>
  <c r="V31" i="24"/>
  <c r="W12" i="23" s="1"/>
  <c r="W14" i="23" s="1"/>
  <c r="V12" i="23"/>
  <c r="V14" i="23" s="1"/>
  <c r="V15" i="23" s="1"/>
  <c r="U33" i="24"/>
  <c r="U37" i="24" s="1"/>
  <c r="T39" i="24"/>
  <c r="T36" i="24" s="1"/>
  <c r="T36" i="36"/>
  <c r="W29" i="24"/>
  <c r="W27" i="24"/>
  <c r="X24" i="24"/>
  <c r="X25" i="24" s="1"/>
  <c r="Y23" i="24" s="1"/>
  <c r="L60" i="24"/>
  <c r="M60" i="24" s="1"/>
  <c r="H60" i="24"/>
  <c r="AH28" i="24"/>
  <c r="AH21" i="24"/>
  <c r="AK28" i="24"/>
  <c r="AK21" i="24"/>
  <c r="AK17" i="36"/>
  <c r="AK9" i="36"/>
  <c r="AL9" i="36"/>
  <c r="AG24" i="36"/>
  <c r="AG25" i="36" s="1"/>
  <c r="AH23" i="36" s="1"/>
  <c r="AE31" i="36"/>
  <c r="AE33" i="36" s="1"/>
  <c r="AE37" i="36" s="1"/>
  <c r="AF27" i="36"/>
  <c r="AF29" i="36"/>
  <c r="AJ17" i="24"/>
  <c r="AJ9" i="24"/>
  <c r="AK9" i="24"/>
  <c r="AI19" i="24"/>
  <c r="AI16" i="24"/>
  <c r="AL10" i="24"/>
  <c r="L60" i="36" l="1"/>
  <c r="M60" i="36" s="1"/>
  <c r="AW18" i="36"/>
  <c r="AX18" i="36" s="1"/>
  <c r="AS18" i="36"/>
  <c r="G61" i="36"/>
  <c r="H61" i="36" s="1"/>
  <c r="AR19" i="36"/>
  <c r="G61" i="24"/>
  <c r="L61" i="24" s="1"/>
  <c r="M61" i="24" s="1"/>
  <c r="V33" i="24"/>
  <c r="V37" i="24" s="1"/>
  <c r="Y24" i="24"/>
  <c r="W15" i="23"/>
  <c r="W31" i="24"/>
  <c r="X29" i="24"/>
  <c r="X27" i="24"/>
  <c r="U39" i="24"/>
  <c r="U36" i="24" s="1"/>
  <c r="U36" i="36"/>
  <c r="AI28" i="24"/>
  <c r="AI21" i="24"/>
  <c r="AK16" i="36"/>
  <c r="AL16" i="36"/>
  <c r="AK19" i="36"/>
  <c r="AF31" i="36"/>
  <c r="AF33" i="36" s="1"/>
  <c r="AF37" i="36" s="1"/>
  <c r="AH24" i="36"/>
  <c r="AH25" i="36" s="1"/>
  <c r="AI23" i="36" s="1"/>
  <c r="AG29" i="36"/>
  <c r="AG27" i="36"/>
  <c r="AL17" i="24"/>
  <c r="AL9" i="24"/>
  <c r="AJ19" i="24"/>
  <c r="AJ16" i="24"/>
  <c r="AK16" i="24"/>
  <c r="AW19" i="36" l="1"/>
  <c r="AX19" i="36" s="1"/>
  <c r="AS19" i="36"/>
  <c r="G62" i="36"/>
  <c r="H62" i="36" s="1"/>
  <c r="AR20" i="36"/>
  <c r="L61" i="36"/>
  <c r="M61" i="36" s="1"/>
  <c r="AK28" i="36"/>
  <c r="AK21" i="36"/>
  <c r="H61" i="24"/>
  <c r="G62" i="24"/>
  <c r="X31" i="24"/>
  <c r="Y12" i="23" s="1"/>
  <c r="Y14" i="23" s="1"/>
  <c r="V39" i="24"/>
  <c r="V36" i="24" s="1"/>
  <c r="V36" i="36"/>
  <c r="Y29" i="24"/>
  <c r="Y27" i="24"/>
  <c r="Y25" i="24"/>
  <c r="Z23" i="24" s="1"/>
  <c r="X12" i="23"/>
  <c r="X14" i="23" s="1"/>
  <c r="X15" i="23" s="1"/>
  <c r="W33" i="24"/>
  <c r="W37" i="24" s="1"/>
  <c r="AJ28" i="24"/>
  <c r="AJ21" i="24"/>
  <c r="AG31" i="36"/>
  <c r="AG33" i="36" s="1"/>
  <c r="AG37" i="36" s="1"/>
  <c r="AI24" i="36"/>
  <c r="AI25" i="36" s="1"/>
  <c r="AJ23" i="36" s="1"/>
  <c r="AH29" i="36"/>
  <c r="AH27" i="36"/>
  <c r="AL19" i="24"/>
  <c r="AL16" i="24"/>
  <c r="L62" i="36" l="1"/>
  <c r="M62" i="36" s="1"/>
  <c r="AW20" i="36"/>
  <c r="AX20" i="36" s="1"/>
  <c r="AS20" i="36"/>
  <c r="G63" i="36"/>
  <c r="H63" i="36" s="1"/>
  <c r="AR21" i="36"/>
  <c r="G63" i="24"/>
  <c r="L63" i="24" s="1"/>
  <c r="M63" i="24" s="1"/>
  <c r="X33" i="24"/>
  <c r="X37" i="24" s="1"/>
  <c r="Y31" i="24"/>
  <c r="W36" i="36"/>
  <c r="W39" i="24"/>
  <c r="W36" i="24" s="1"/>
  <c r="Y15" i="23"/>
  <c r="L62" i="24"/>
  <c r="M62" i="24" s="1"/>
  <c r="H62" i="24"/>
  <c r="Z24" i="24"/>
  <c r="Z25" i="24" s="1"/>
  <c r="AA23" i="24" s="1"/>
  <c r="AA24" i="24" s="1"/>
  <c r="AL28" i="24"/>
  <c r="AL21" i="24"/>
  <c r="AH31" i="36"/>
  <c r="AH33" i="36" s="1"/>
  <c r="AH37" i="36" s="1"/>
  <c r="AJ24" i="36"/>
  <c r="AJ25" i="36" s="1"/>
  <c r="AK23" i="36" s="1"/>
  <c r="AI29" i="36"/>
  <c r="AI27" i="36"/>
  <c r="L63" i="36" l="1"/>
  <c r="M63" i="36" s="1"/>
  <c r="AW21" i="36"/>
  <c r="AX21" i="36" s="1"/>
  <c r="AS21" i="36"/>
  <c r="G64" i="36"/>
  <c r="H64" i="36" s="1"/>
  <c r="AR22" i="36"/>
  <c r="H63" i="24"/>
  <c r="G64" i="24"/>
  <c r="AA25" i="24"/>
  <c r="AB23" i="24" s="1"/>
  <c r="Z12" i="23"/>
  <c r="Z14" i="23" s="1"/>
  <c r="Z15" i="23" s="1"/>
  <c r="Y33" i="24"/>
  <c r="Y37" i="24" s="1"/>
  <c r="Z29" i="24"/>
  <c r="Z27" i="24"/>
  <c r="X39" i="24"/>
  <c r="X36" i="24" s="1"/>
  <c r="X36" i="36"/>
  <c r="AA27" i="24"/>
  <c r="AA29" i="24"/>
  <c r="AI31" i="36"/>
  <c r="AI33" i="36" s="1"/>
  <c r="AI37" i="36" s="1"/>
  <c r="AK24" i="36"/>
  <c r="AK25" i="36" s="1"/>
  <c r="AL23" i="36" s="1"/>
  <c r="AJ29" i="36"/>
  <c r="AJ27" i="36"/>
  <c r="G65" i="36" l="1"/>
  <c r="L65" i="36" s="1"/>
  <c r="M65" i="36" s="1"/>
  <c r="AR23" i="36"/>
  <c r="L64" i="36"/>
  <c r="M64" i="36" s="1"/>
  <c r="AW22" i="36"/>
  <c r="AX22" i="36" s="1"/>
  <c r="AS22" i="36"/>
  <c r="G65" i="24"/>
  <c r="L65" i="24" s="1"/>
  <c r="M65" i="24" s="1"/>
  <c r="AA31" i="24"/>
  <c r="Z31" i="24"/>
  <c r="Y36" i="36"/>
  <c r="Y39" i="24"/>
  <c r="Y36" i="24" s="1"/>
  <c r="AB24" i="24"/>
  <c r="AB25" i="24" s="1"/>
  <c r="AC23" i="24" s="1"/>
  <c r="AC44" i="24"/>
  <c r="AJ31" i="36"/>
  <c r="AJ33" i="36" s="1"/>
  <c r="AJ37" i="36" s="1"/>
  <c r="AL24" i="36"/>
  <c r="AL25" i="36" s="1"/>
  <c r="AK27" i="36"/>
  <c r="AK29" i="36"/>
  <c r="H65" i="36" l="1"/>
  <c r="G66" i="36"/>
  <c r="L66" i="36" s="1"/>
  <c r="M66" i="36" s="1"/>
  <c r="AR24" i="36"/>
  <c r="AW23" i="36"/>
  <c r="AX23" i="36" s="1"/>
  <c r="AS23" i="36"/>
  <c r="G66" i="24"/>
  <c r="L66" i="24" s="1"/>
  <c r="M66" i="24" s="1"/>
  <c r="AC24" i="24"/>
  <c r="AC25" i="24" s="1"/>
  <c r="AD23" i="24" s="1"/>
  <c r="L64" i="24"/>
  <c r="M64" i="24" s="1"/>
  <c r="H64" i="24"/>
  <c r="H65" i="24"/>
  <c r="Z33" i="24"/>
  <c r="Z37" i="24" s="1"/>
  <c r="AA12" i="23"/>
  <c r="AA14" i="23" s="1"/>
  <c r="AA15" i="23" s="1"/>
  <c r="AB27" i="24"/>
  <c r="AB29" i="24"/>
  <c r="AB12" i="23"/>
  <c r="AB14" i="23" s="1"/>
  <c r="AA33" i="24"/>
  <c r="AA37" i="24" s="1"/>
  <c r="AK31" i="36"/>
  <c r="AK33" i="36" s="1"/>
  <c r="AK37" i="36" s="1"/>
  <c r="AL29" i="36"/>
  <c r="AL27" i="36"/>
  <c r="H66" i="36" l="1"/>
  <c r="AW24" i="36"/>
  <c r="AX24" i="36" s="1"/>
  <c r="AS24" i="36"/>
  <c r="H66" i="24"/>
  <c r="AB15" i="23"/>
  <c r="AC27" i="24"/>
  <c r="AC29" i="24"/>
  <c r="AB31" i="24"/>
  <c r="Z36" i="36"/>
  <c r="Z39" i="24"/>
  <c r="Z36" i="24" s="1"/>
  <c r="AD24" i="24"/>
  <c r="AD25" i="24" s="1"/>
  <c r="AE23" i="24" s="1"/>
  <c r="AL31" i="36"/>
  <c r="AL33" i="36" s="1"/>
  <c r="AL37" i="36" s="1"/>
  <c r="G67" i="36" l="1"/>
  <c r="H67" i="36" s="1"/>
  <c r="AR25" i="36"/>
  <c r="AA36" i="36"/>
  <c r="G67" i="24"/>
  <c r="AA39" i="24"/>
  <c r="AA36" i="24" s="1"/>
  <c r="AB33" i="24"/>
  <c r="AB37" i="24" s="1"/>
  <c r="AC12" i="23"/>
  <c r="AC14" i="23" s="1"/>
  <c r="AC15" i="23" s="1"/>
  <c r="AC31" i="24"/>
  <c r="AE24" i="24"/>
  <c r="AE25" i="24" s="1"/>
  <c r="AF23" i="24" s="1"/>
  <c r="AD29" i="24"/>
  <c r="AD27" i="24"/>
  <c r="L67" i="36" l="1"/>
  <c r="M67" i="36" s="1"/>
  <c r="AW25" i="36"/>
  <c r="AX25" i="36" s="1"/>
  <c r="AS25" i="36"/>
  <c r="G68" i="36"/>
  <c r="H68" i="36" s="1"/>
  <c r="AR26" i="36"/>
  <c r="G68" i="24"/>
  <c r="L68" i="24" s="1"/>
  <c r="M68" i="24" s="1"/>
  <c r="AD31" i="24"/>
  <c r="AE27" i="24"/>
  <c r="AE29" i="24"/>
  <c r="L67" i="24"/>
  <c r="M67" i="24" s="1"/>
  <c r="H67" i="24"/>
  <c r="H68" i="24"/>
  <c r="AF24" i="24"/>
  <c r="AF25" i="24" s="1"/>
  <c r="AG23" i="24" s="1"/>
  <c r="AB36" i="36"/>
  <c r="AB39" i="24"/>
  <c r="AB36" i="24" s="1"/>
  <c r="AC33" i="24"/>
  <c r="AC37" i="24" s="1"/>
  <c r="AD12" i="23"/>
  <c r="AD14" i="23" s="1"/>
  <c r="AD15" i="23" s="1"/>
  <c r="AW26" i="36" l="1"/>
  <c r="AX26" i="36" s="1"/>
  <c r="AS26" i="36"/>
  <c r="L68" i="36"/>
  <c r="M68" i="36" s="1"/>
  <c r="G69" i="36"/>
  <c r="L69" i="36" s="1"/>
  <c r="M69" i="36" s="1"/>
  <c r="AR27" i="36"/>
  <c r="G69" i="24"/>
  <c r="H69" i="24" s="1"/>
  <c r="AG24" i="24"/>
  <c r="AE31" i="24"/>
  <c r="AD33" i="24"/>
  <c r="AD37" i="24" s="1"/>
  <c r="AE12" i="23"/>
  <c r="AE14" i="23" s="1"/>
  <c r="AE15" i="23" s="1"/>
  <c r="AC36" i="36"/>
  <c r="AC39" i="24"/>
  <c r="AC36" i="24" s="1"/>
  <c r="AF27" i="24"/>
  <c r="AF29" i="24"/>
  <c r="H69" i="36" l="1"/>
  <c r="G70" i="36"/>
  <c r="L70" i="36" s="1"/>
  <c r="M70" i="36" s="1"/>
  <c r="AR28" i="36"/>
  <c r="AW27" i="36"/>
  <c r="AX27" i="36" s="1"/>
  <c r="AS27" i="36"/>
  <c r="L69" i="24"/>
  <c r="M69" i="24" s="1"/>
  <c r="G70" i="24"/>
  <c r="AF31" i="24"/>
  <c r="AG12" i="23" s="1"/>
  <c r="AG14" i="23" s="1"/>
  <c r="AG29" i="24"/>
  <c r="AG27" i="24"/>
  <c r="AE33" i="24"/>
  <c r="AE37" i="24" s="1"/>
  <c r="AF12" i="23"/>
  <c r="AF14" i="23" s="1"/>
  <c r="AF15" i="23" s="1"/>
  <c r="AG25" i="24"/>
  <c r="AH23" i="24" s="1"/>
  <c r="AD39" i="24"/>
  <c r="AD36" i="24" s="1"/>
  <c r="AD36" i="36"/>
  <c r="H70" i="36" l="1"/>
  <c r="AW28" i="36"/>
  <c r="AX28" i="36" s="1"/>
  <c r="AS28" i="36"/>
  <c r="G71" i="36"/>
  <c r="L71" i="36" s="1"/>
  <c r="M71" i="36" s="1"/>
  <c r="AR29" i="36"/>
  <c r="G71" i="24"/>
  <c r="AG31" i="24"/>
  <c r="AH12" i="23" s="1"/>
  <c r="AH14" i="23" s="1"/>
  <c r="AH15" i="23" s="1"/>
  <c r="AF33" i="24"/>
  <c r="AF37" i="24" s="1"/>
  <c r="L70" i="24"/>
  <c r="M70" i="24" s="1"/>
  <c r="H70" i="24"/>
  <c r="AH24" i="24"/>
  <c r="AH25" i="24" s="1"/>
  <c r="AI23" i="24" s="1"/>
  <c r="AE39" i="24"/>
  <c r="AE36" i="24" s="1"/>
  <c r="AE36" i="36"/>
  <c r="AG15" i="23"/>
  <c r="H71" i="36" l="1"/>
  <c r="AW29" i="36"/>
  <c r="AX29" i="36" s="1"/>
  <c r="AS29" i="36"/>
  <c r="G72" i="36"/>
  <c r="H72" i="36" s="1"/>
  <c r="AR30" i="36"/>
  <c r="G72" i="24"/>
  <c r="L72" i="24" s="1"/>
  <c r="M72" i="24" s="1"/>
  <c r="AG33" i="24"/>
  <c r="AG37" i="24" s="1"/>
  <c r="AI24" i="24"/>
  <c r="AI25" i="24" s="1"/>
  <c r="AJ23" i="24" s="1"/>
  <c r="AG36" i="36"/>
  <c r="AG39" i="24"/>
  <c r="AH29" i="24"/>
  <c r="AH27" i="24"/>
  <c r="AF39" i="24"/>
  <c r="AF36" i="24" s="1"/>
  <c r="AF36" i="36"/>
  <c r="G73" i="36" l="1"/>
  <c r="H73" i="36" s="1"/>
  <c r="AR31" i="36"/>
  <c r="G74" i="36"/>
  <c r="L74" i="36" s="1"/>
  <c r="M74" i="36" s="1"/>
  <c r="AR32" i="36"/>
  <c r="L72" i="36"/>
  <c r="M72" i="36" s="1"/>
  <c r="AW30" i="36"/>
  <c r="AX30" i="36" s="1"/>
  <c r="AS30" i="36"/>
  <c r="G73" i="24"/>
  <c r="L73" i="24" s="1"/>
  <c r="M73" i="24" s="1"/>
  <c r="AG36" i="24"/>
  <c r="AJ24" i="24"/>
  <c r="AH31" i="24"/>
  <c r="AI29" i="24"/>
  <c r="AI27" i="24"/>
  <c r="L73" i="36" l="1"/>
  <c r="M73" i="36" s="1"/>
  <c r="H74" i="36"/>
  <c r="AW31" i="36"/>
  <c r="AX31" i="36" s="1"/>
  <c r="AS31" i="36"/>
  <c r="AW32" i="36"/>
  <c r="AX32" i="36" s="1"/>
  <c r="AS32" i="36"/>
  <c r="G74" i="24"/>
  <c r="L74" i="24" s="1"/>
  <c r="M74" i="24" s="1"/>
  <c r="AI31" i="24"/>
  <c r="AI33" i="24" s="1"/>
  <c r="AI37" i="24" s="1"/>
  <c r="L71" i="24"/>
  <c r="M71" i="24" s="1"/>
  <c r="H72" i="24"/>
  <c r="H73" i="24"/>
  <c r="H71" i="24"/>
  <c r="H74" i="24"/>
  <c r="AJ27" i="24"/>
  <c r="AJ29" i="24"/>
  <c r="AH33" i="24"/>
  <c r="AH37" i="24" s="1"/>
  <c r="AI12" i="23"/>
  <c r="AI14" i="23" s="1"/>
  <c r="AI15" i="23" s="1"/>
  <c r="AJ25" i="24"/>
  <c r="AK23" i="24" s="1"/>
  <c r="AJ12" i="23" l="1"/>
  <c r="AJ14" i="23" s="1"/>
  <c r="AJ15" i="23" s="1"/>
  <c r="AH39" i="24"/>
  <c r="AH36" i="24" s="1"/>
  <c r="AH36" i="36"/>
  <c r="AK24" i="24"/>
  <c r="AK25" i="24" s="1"/>
  <c r="AL23" i="24" s="1"/>
  <c r="AJ31" i="24"/>
  <c r="G75" i="36" l="1"/>
  <c r="H75" i="36" s="1"/>
  <c r="AR33" i="36"/>
  <c r="AI36" i="36"/>
  <c r="G75" i="24"/>
  <c r="AI39" i="24"/>
  <c r="AI36" i="24" s="1"/>
  <c r="AK27" i="24"/>
  <c r="AK29" i="24"/>
  <c r="AK12" i="23"/>
  <c r="AK14" i="23" s="1"/>
  <c r="AK15" i="23" s="1"/>
  <c r="AJ33" i="24"/>
  <c r="AJ37" i="24" s="1"/>
  <c r="AL24" i="24"/>
  <c r="AL25" i="24" s="1"/>
  <c r="L75" i="36" l="1"/>
  <c r="M75" i="36" s="1"/>
  <c r="AW33" i="36"/>
  <c r="AX33" i="36" s="1"/>
  <c r="AS33" i="36"/>
  <c r="G76" i="36"/>
  <c r="H76" i="36" s="1"/>
  <c r="AR34" i="36"/>
  <c r="G76" i="24"/>
  <c r="L76" i="24" s="1"/>
  <c r="M76" i="24" s="1"/>
  <c r="AK31" i="24"/>
  <c r="AL12" i="23" s="1"/>
  <c r="AL14" i="23" s="1"/>
  <c r="AL15" i="23" s="1"/>
  <c r="AJ36" i="36"/>
  <c r="AJ39" i="24"/>
  <c r="AJ36" i="24" s="1"/>
  <c r="AL29" i="24"/>
  <c r="AL27" i="24"/>
  <c r="AW34" i="36" l="1"/>
  <c r="AX34" i="36" s="1"/>
  <c r="AS34" i="36"/>
  <c r="L76" i="36"/>
  <c r="M76" i="36" s="1"/>
  <c r="G77" i="36"/>
  <c r="H77" i="36" s="1"/>
  <c r="AR35" i="36"/>
  <c r="G77" i="24"/>
  <c r="AL31" i="24"/>
  <c r="AL33" i="24" s="1"/>
  <c r="AL37" i="24" s="1"/>
  <c r="AK33" i="24"/>
  <c r="AK37" i="24" s="1"/>
  <c r="AK39" i="24"/>
  <c r="AK36" i="36"/>
  <c r="L77" i="36" l="1"/>
  <c r="M77" i="36" s="1"/>
  <c r="G78" i="36"/>
  <c r="L78" i="36" s="1"/>
  <c r="M78" i="36" s="1"/>
  <c r="AR36" i="36"/>
  <c r="AW35" i="36"/>
  <c r="AX35" i="36" s="1"/>
  <c r="AS35" i="36"/>
  <c r="AM12" i="23"/>
  <c r="AM14" i="23" s="1"/>
  <c r="AM15" i="23" s="1"/>
  <c r="AK36" i="24"/>
  <c r="L75" i="24"/>
  <c r="M75" i="24" s="1"/>
  <c r="H76" i="24"/>
  <c r="H75" i="24"/>
  <c r="H78" i="36" l="1"/>
  <c r="AW36" i="36"/>
  <c r="AX36" i="36" s="1"/>
  <c r="AS36" i="36"/>
  <c r="G78" i="24"/>
  <c r="L78" i="24" s="1"/>
  <c r="M78" i="24" s="1"/>
  <c r="AL36" i="36"/>
  <c r="AL39" i="24"/>
  <c r="AL36" i="24" s="1"/>
  <c r="AR37" i="36" l="1"/>
  <c r="AO4" i="36"/>
  <c r="BK3" i="36" s="1"/>
  <c r="AO3" i="36"/>
  <c r="AZ3" i="36"/>
  <c r="AY3" i="36"/>
  <c r="D46" i="36"/>
  <c r="G79" i="36"/>
  <c r="AO36" i="24"/>
  <c r="G79" i="24"/>
  <c r="L77" i="24"/>
  <c r="M77" i="24" s="1"/>
  <c r="H78" i="24"/>
  <c r="H77" i="24"/>
  <c r="AY5" i="36" l="1"/>
  <c r="AO7" i="36" s="1"/>
  <c r="BL3" i="36" s="1"/>
  <c r="AW37" i="36"/>
  <c r="AS37" i="36"/>
  <c r="AT3" i="36" s="1"/>
  <c r="AO5" i="36" s="1"/>
  <c r="H79" i="36"/>
  <c r="L79" i="36"/>
  <c r="M79" i="36" s="1"/>
  <c r="N45" i="36" l="1"/>
  <c r="O45" i="36"/>
  <c r="I45" i="36"/>
  <c r="L79" i="24"/>
  <c r="M79" i="24" s="1"/>
  <c r="H79" i="24"/>
  <c r="D47" i="36" l="1"/>
  <c r="N47" i="36"/>
  <c r="D49" i="36" s="1"/>
  <c r="D47" i="24"/>
  <c r="O45" i="24"/>
  <c r="N45" i="24"/>
  <c r="N47" i="24" l="1"/>
  <c r="D49"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Esthela Candido</author>
  </authors>
  <commentList>
    <comment ref="D32" authorId="0" shapeId="0" xr:uid="{702B9071-1C50-4AA1-B0E1-28D02C01A90B}">
      <text>
        <r>
          <rPr>
            <b/>
            <sz val="9"/>
            <color indexed="81"/>
            <rFont val="Segoe UI"/>
            <family val="2"/>
          </rPr>
          <t>Esthela Candido:</t>
        </r>
        <r>
          <rPr>
            <sz val="9"/>
            <color indexed="81"/>
            <rFont val="Segoe UI"/>
            <family val="2"/>
          </rPr>
          <t xml:space="preserve">
alterado</t>
        </r>
      </text>
    </comment>
    <comment ref="D33" authorId="0" shapeId="0" xr:uid="{60BA3504-8D0F-42A7-AA12-2400F272E1F4}">
      <text>
        <r>
          <rPr>
            <b/>
            <sz val="9"/>
            <color indexed="81"/>
            <rFont val="Segoe UI"/>
            <family val="2"/>
          </rPr>
          <t>Esthela Candido:</t>
        </r>
        <r>
          <rPr>
            <sz val="9"/>
            <color indexed="81"/>
            <rFont val="Segoe UI"/>
            <family val="2"/>
          </rPr>
          <t xml:space="preserve">
alterado</t>
        </r>
      </text>
    </comment>
    <comment ref="D35" authorId="0" shapeId="0" xr:uid="{D7829E48-D7ED-4E3D-9B6F-88BD144034E2}">
      <text>
        <r>
          <rPr>
            <b/>
            <sz val="9"/>
            <color indexed="81"/>
            <rFont val="Segoe UI"/>
            <family val="2"/>
          </rPr>
          <t>Esthela Candido:</t>
        </r>
        <r>
          <rPr>
            <sz val="9"/>
            <color indexed="81"/>
            <rFont val="Segoe UI"/>
            <family val="2"/>
          </rPr>
          <t xml:space="preserve">
alterado
</t>
        </r>
      </text>
    </comment>
    <comment ref="D38" authorId="0" shapeId="0" xr:uid="{ABA3BA96-3D5C-4FC3-A105-371B13E44A74}">
      <text>
        <r>
          <rPr>
            <b/>
            <sz val="9"/>
            <color indexed="81"/>
            <rFont val="Segoe UI"/>
            <family val="2"/>
          </rPr>
          <t>Esthela Candido:</t>
        </r>
        <r>
          <rPr>
            <sz val="9"/>
            <color indexed="81"/>
            <rFont val="Segoe UI"/>
            <family val="2"/>
          </rPr>
          <t xml:space="preserve">
alterado</t>
        </r>
      </text>
    </comment>
    <comment ref="D39" authorId="0" shapeId="0" xr:uid="{D055C437-2BE9-464E-BF1D-2AC850E5CD1B}">
      <text>
        <r>
          <rPr>
            <b/>
            <sz val="9"/>
            <color indexed="81"/>
            <rFont val="Segoe UI"/>
            <family val="2"/>
          </rPr>
          <t>Esthela Candido:</t>
        </r>
        <r>
          <rPr>
            <sz val="9"/>
            <color indexed="81"/>
            <rFont val="Segoe UI"/>
            <family val="2"/>
          </rPr>
          <t xml:space="preserve">
alterado</t>
        </r>
      </text>
    </comment>
    <comment ref="D41" authorId="0" shapeId="0" xr:uid="{DF495384-97D1-46A9-B5E6-603D6C47B863}">
      <text>
        <r>
          <rPr>
            <b/>
            <sz val="9"/>
            <color indexed="81"/>
            <rFont val="Segoe UI"/>
            <family val="2"/>
          </rPr>
          <t>Esthela Candido:</t>
        </r>
        <r>
          <rPr>
            <sz val="9"/>
            <color indexed="81"/>
            <rFont val="Segoe UI"/>
            <family val="2"/>
          </rPr>
          <t xml:space="preserve">
alterado</t>
        </r>
      </text>
    </comment>
  </commentList>
</comments>
</file>

<file path=xl/sharedStrings.xml><?xml version="1.0" encoding="utf-8"?>
<sst xmlns="http://schemas.openxmlformats.org/spreadsheetml/2006/main" count="60099" uniqueCount="4278">
  <si>
    <t>Código Capítulo SH2</t>
  </si>
  <si>
    <t>Descrição Capítulo SH2</t>
  </si>
  <si>
    <t>Código Posição SH4</t>
  </si>
  <si>
    <t>Descrição Posição SH4</t>
  </si>
  <si>
    <t>01</t>
  </si>
  <si>
    <t>Animais vivos</t>
  </si>
  <si>
    <t>0101</t>
  </si>
  <si>
    <t>Cavalos, asininos e muares, vivos</t>
  </si>
  <si>
    <t>0102</t>
  </si>
  <si>
    <t>Animais vivos da espécie bovina</t>
  </si>
  <si>
    <t>0103</t>
  </si>
  <si>
    <t>Animais vivos da espécie suína</t>
  </si>
  <si>
    <t>0104</t>
  </si>
  <si>
    <t>Animais vivos das espécies ovina e caprina</t>
  </si>
  <si>
    <t>0105</t>
  </si>
  <si>
    <t>Galos, galinhas, patos, gansos, perus, peruas e galinhas-d'angola (pintadas), das espécies domésticas, vivos</t>
  </si>
  <si>
    <t>0106</t>
  </si>
  <si>
    <t>Outros animais vivos</t>
  </si>
  <si>
    <t>02</t>
  </si>
  <si>
    <t>Carnes e miudezas, comestíveis</t>
  </si>
  <si>
    <t>0201</t>
  </si>
  <si>
    <t>Carnes de animais da espécie bovina, frescas ou refrigeradas</t>
  </si>
  <si>
    <t>0202</t>
  </si>
  <si>
    <t>Carnes de animais da espécie bovina, congeladas</t>
  </si>
  <si>
    <t>0203</t>
  </si>
  <si>
    <t>Carnes de animais da espécie suína, frescas, refrigeradas ou congeladas</t>
  </si>
  <si>
    <t>0204</t>
  </si>
  <si>
    <t>Carnes de animais das espécies ovina ou caprina, frescas, refrigeradas ou congeladas</t>
  </si>
  <si>
    <t>0205</t>
  </si>
  <si>
    <t>Carnes de animais das espécies cavalar, asinina e muar, frescas, refrigeradas ou congeladas</t>
  </si>
  <si>
    <t>0206</t>
  </si>
  <si>
    <t>Miudezas comestíveis de animais das espécies bovina, suína, ovina, caprina, cavalar, asinina e muar, frescas, refrigeradas ou congeladas</t>
  </si>
  <si>
    <t>0207</t>
  </si>
  <si>
    <t>Carnes e miudezas comestíveis, frescas, refrigeradas ou congeladas, das aves da posição 0105</t>
  </si>
  <si>
    <t>0208</t>
  </si>
  <si>
    <t>Outras carnes e miudezas comestíveis, frescas, refrigeradas ou congeladas</t>
  </si>
  <si>
    <t>0209</t>
  </si>
  <si>
    <t>Toucinho sem partes magras, gorduras de porco e de aves, não fundidas nem extraídas de outro modo, frescos, refrigerados, congelados, salgados ou em salmoura, secos ou defumados</t>
  </si>
  <si>
    <t>0210</t>
  </si>
  <si>
    <t>Carnes e miudezas, comestíveis, salgadas ou em salmoura, secas ou defumadas; farinhas e pós, comestíveis, de carnes ou de miudezas</t>
  </si>
  <si>
    <t>03</t>
  </si>
  <si>
    <t>Peixes e crustáceos, moluscos e outros invertebrados aquáticos</t>
  </si>
  <si>
    <t>0301</t>
  </si>
  <si>
    <t>Peixes vivos</t>
  </si>
  <si>
    <t>0302</t>
  </si>
  <si>
    <t>Peixes frescos ou refrigerados, exceto os filés de peixes e outra carne de peixes da posição 03.04</t>
  </si>
  <si>
    <t>0303</t>
  </si>
  <si>
    <t>Peixes congelados, exceto os filés de peixes e outra carne de peixes da posição 03.04</t>
  </si>
  <si>
    <t>0304</t>
  </si>
  <si>
    <t>Filés de peixes e outra carne de peixes (mesmo picada), frescos, refrigerados ou congelados</t>
  </si>
  <si>
    <t>0305</t>
  </si>
  <si>
    <t>Peixes secos, salgados ou em salmoura; peixes defumados, mesmo cozidos antes ou durante a defumação; farinhas, pós e pellets, de peixe, próprios para alimentação humana</t>
  </si>
  <si>
    <t>0306</t>
  </si>
  <si>
    <t>Crustáceos, mesmo sem casca, vivos, frescos, refrigerados, congelados, secos, salgados ou em salmoura; crustáceos com casca, cozidos em água ou vapor, mesmo refrigerados, congelados, secos, salgados ou em salmoura; farinhas, pó e pellets de crustáceos, pr</t>
  </si>
  <si>
    <t>0307</t>
  </si>
  <si>
    <t>Moluscos, com ou sem concha, vivos, frescos, refrigerados, congelados, secos, salgados ou em salmoura; invertebrados aquáticos, exceto crustáceos e moluscos, vivos, frescos, refrigerados, congelados, secos, salgados ou em salmoura; farinhas, pó e pellets</t>
  </si>
  <si>
    <t>0308</t>
  </si>
  <si>
    <t>Invertebrados aquáticos, exceto crustáceos e moluscos, vivos</t>
  </si>
  <si>
    <t>0309</t>
  </si>
  <si>
    <t xml:space="preserve">Farinhas, pós e pellets, de peixe, crustáceos, moluscos e de outros </t>
  </si>
  <si>
    <t>04</t>
  </si>
  <si>
    <t>Leite e lacticínios; ovos de aves; mel natural; produtos comestíveis de origem animal, não especificados nem compreendidos noutros Capítulos</t>
  </si>
  <si>
    <t>0401</t>
  </si>
  <si>
    <t>Leite e nata, não concentrados nem adicionados de açúcar ou de outros edulcorantes</t>
  </si>
  <si>
    <t>0402</t>
  </si>
  <si>
    <t>Leite e nata, concentrados ou adicionados de açúcar ou de outros edulcorantes</t>
  </si>
  <si>
    <t>0403</t>
  </si>
  <si>
    <t>Leitelho, leite e nata coalhados, iogurte, kefir e outros leites e natas fermentados ou acidificados, mesmo concentrados ou adicionados de açúcar ou de outros edulcorantes, ou aromatizados ou adicionados de frutas ou de cacau</t>
  </si>
  <si>
    <t>0404</t>
  </si>
  <si>
    <t>Soro de leite, mesmo concentrado ou adicionado de açúcar ou de outros edulcorantes; produtos constituídos por componentes naturais do leite, mesmo adicionados de açúcar ou de outros edulcorantes, não especificados nem compreendidos em outras posições</t>
  </si>
  <si>
    <t>0405</t>
  </si>
  <si>
    <t>Manteiga e outras matérias gordas provenientes do leite; pastas de barrar (espalhar) de produtos provenientes do leite</t>
  </si>
  <si>
    <t>0406</t>
  </si>
  <si>
    <t>Queijos e requeijão</t>
  </si>
  <si>
    <t>0407</t>
  </si>
  <si>
    <t>Ovos de aves, com casca, frescos, conservados ou cozidos</t>
  </si>
  <si>
    <t>0408</t>
  </si>
  <si>
    <t>Ovos de aves, sem casca, e gemas de ovos, frescos, secos, cozidos em água ou vapor, moldados, congelados ou conservados de outro modo, mesmo adicionados de açúcar ou de outros edulcorantes</t>
  </si>
  <si>
    <t>0409</t>
  </si>
  <si>
    <t>Mel natural</t>
  </si>
  <si>
    <t>0410</t>
  </si>
  <si>
    <t>Produtos comestíveis de origem animal, não especificados nem compreendidos noutras posições</t>
  </si>
  <si>
    <t>05</t>
  </si>
  <si>
    <t>Outros produtos de origem animal, não especificados nem compreendidos noutros Capítulos</t>
  </si>
  <si>
    <t>0501</t>
  </si>
  <si>
    <t>Cabelos em bruto, mesmo lavados ou desengordurados; desperdícios de cabelo</t>
  </si>
  <si>
    <t>0502</t>
  </si>
  <si>
    <t>Cerdas de porco ou de javali; pêlos de texugo e outros pêlos para escovas, pincéis e artigos semelhantes; desperdícios destas cerdas e pêlos</t>
  </si>
  <si>
    <t>0503</t>
  </si>
  <si>
    <t>Crinas e seus desperdícios, mesmo em mantas</t>
  </si>
  <si>
    <t>0504</t>
  </si>
  <si>
    <t>Tripas, bexigas e estômagos de animais, exceto peixes, inteiros ou em pedaços, frescos, refrigerados, congelados, salgados, secos ou defumados</t>
  </si>
  <si>
    <t>0505</t>
  </si>
  <si>
    <t>Peles e outras partes de aves, com as suas penas ou penugem, penas e partes de penas (mesmo aparadas), penugem, em bruto ou simplesmente limpas, desinfectadas ou preparadas tendo em vista a sua conservação; pós e desperdícios de penas ou de partes de pena</t>
  </si>
  <si>
    <t>0506</t>
  </si>
  <si>
    <t>Ossos e núcleos córneos, em bruto, desengordurados ou simplesmente preparados (mas não cortados sob forma determinada), acidulados ou degelatinados; pós e desperdícios destas matérias</t>
  </si>
  <si>
    <t>0507</t>
  </si>
  <si>
    <t>Marfim, carapaças de tartaruga, barbas, incluídas as franjas, de baleia ou de outros mamíferos marinhos, chifres, galhadas, cascos, unhas, garras e bicos, em bruto ou simplesmente preparados, mas não cortados em forma determinada; pós e desperdícios desta</t>
  </si>
  <si>
    <t>0508</t>
  </si>
  <si>
    <t>Coral e matérias semelhantes, em bruto ou simplesmente preparados, mas não trabalhados de outro modo; conchas e carapaças de moluscos, crustáceos ou de equinodermes e ossos de sépias, em bruto ou simplesmente preparados, etc.</t>
  </si>
  <si>
    <t>0509</t>
  </si>
  <si>
    <t>Esponjas naturais de origem animal</t>
  </si>
  <si>
    <t>0510</t>
  </si>
  <si>
    <t>Âmbar-cinzento, castóreo, algália e almíscar; bílis, mesmo seca; glândulas e outras substâncias de origem animal utilizadas na preparação de produtos farmacêuticos, frescas, refrigeradas, congeladas ou provisoriamente conservadas de outro modo</t>
  </si>
  <si>
    <t>0511</t>
  </si>
  <si>
    <t>Produtos de origem animal, não especificados nem compreendidos em outras posições; animais mortos dos Capítulos 1 ou 3, impróprios para alimentação humana</t>
  </si>
  <si>
    <t>06</t>
  </si>
  <si>
    <t>Plantas vivas e produtos de floricultura</t>
  </si>
  <si>
    <t>0601</t>
  </si>
  <si>
    <t>Bolbos, tubérculos, raízes tuberosas, rebentos e rizomas, em repouso vegetativo, em vegetação ou em flor; mudas, plantas e raízes de chicória, exceto as raízes da posição 1212</t>
  </si>
  <si>
    <t>0602</t>
  </si>
  <si>
    <t>Outras plantas vivas (incluídas as suas raízes), estacas e enxertos; micélios de cogumelos</t>
  </si>
  <si>
    <t>0603</t>
  </si>
  <si>
    <t>Flores e seus botões, cortados para ramos ou para ornamentação, frescos, secos, branqueados, tingidos, impregnados ou preparados de outro modo</t>
  </si>
  <si>
    <t>0604</t>
  </si>
  <si>
    <t>Folhagem, folhas, ramos e outras partes de plantas, sem flores nem botões de flores, e ervas, musgos e líquenes, para ramos ou para ornamentação, frescos, secos, branqueados, tingidos, impregnados ou preparados de outro modo</t>
  </si>
  <si>
    <t>07</t>
  </si>
  <si>
    <t>Produtos hortícolas, plantas, raízes e tubérculos, comestíveis.</t>
  </si>
  <si>
    <t>0701</t>
  </si>
  <si>
    <t>Batatas, frescas ou refrigeradas</t>
  </si>
  <si>
    <t>0702</t>
  </si>
  <si>
    <t>Tomates, frescos ou refrigerados</t>
  </si>
  <si>
    <t>0703</t>
  </si>
  <si>
    <t>Cebolas, chalotas, alho comum, alho-porro e outros produtos hortícolas aliáceos, frescos ou refrigerados</t>
  </si>
  <si>
    <t>0704</t>
  </si>
  <si>
    <t>Couves, couve-flor, repolho ou couve frisada, couve-rábano e produtos comestíveis semelhantes do género Brassica, frescos ou refrigerados</t>
  </si>
  <si>
    <t>0705</t>
  </si>
  <si>
    <t>Alface (Lactuca sativa) e chicórias (Cichorium spp.), frescas ou refrigeradas</t>
  </si>
  <si>
    <t>0706</t>
  </si>
  <si>
    <t>Cenouras, nabos, beterrabas para salada, cercefi, aipo-rábano, rabanetes e raízes comestíveis semelhantes, frescos ou refrigerados</t>
  </si>
  <si>
    <t>0707</t>
  </si>
  <si>
    <t>Pepinos e pepininhos (cornichons), frescos ou refrigerados</t>
  </si>
  <si>
    <t>0708</t>
  </si>
  <si>
    <t>Legumes de vagem, com ou sem vagem, frescos ou refrigerados</t>
  </si>
  <si>
    <t>0709</t>
  </si>
  <si>
    <t>Outros produtos hortícolas, frescos ou refrigerados</t>
  </si>
  <si>
    <t>0710</t>
  </si>
  <si>
    <t>Produtos hortícolas, não cozidos ou cozidos em água ou vapor, congelados</t>
  </si>
  <si>
    <t>0711</t>
  </si>
  <si>
    <t>Produtos hortícolas conservados transitoriamente (por exemplo: com gás sulfuroso ou água salgada, sulfurada ou adicionada de outras substâncias destinadas a assegurar transitoriamente a sua conservação), mas impróprios para a alimentação nesse estado</t>
  </si>
  <si>
    <t>0712</t>
  </si>
  <si>
    <t>Produtos hortícolas secos, mesmo cortados em pedaços ou fatias, ou ainda triturados ou em pó, mas sem qualquer outro preparo</t>
  </si>
  <si>
    <t>0713</t>
  </si>
  <si>
    <t>Legumes de vagem, secos, em grão, mesmo pelados ou partidos</t>
  </si>
  <si>
    <t>0714</t>
  </si>
  <si>
    <t>Raízes de mandioca, de araruta e de salepo, topinambos, batatas-doces e raízes ou tubérculos semelhantes, com elevado teor de fécula ou de inulina, frescos, refrigerados, congelados ou secos, mesmo cortados em pedaços ou em pellets; medula de sagueiro</t>
  </si>
  <si>
    <t>08</t>
  </si>
  <si>
    <t>Frutas; cascas de frutos cítricos e de melões</t>
  </si>
  <si>
    <t>0801</t>
  </si>
  <si>
    <t>Cocos, castanha do Brasil e castanha de caju, frescos ou secos, mesmo sem casca ou pelados</t>
  </si>
  <si>
    <t>0802</t>
  </si>
  <si>
    <t>Outras frutas de casca rija, frescas ou secas, mesmo sem casca ou peladas</t>
  </si>
  <si>
    <t>0803</t>
  </si>
  <si>
    <t>Bananas frescas ou secas</t>
  </si>
  <si>
    <t>0804</t>
  </si>
  <si>
    <t>Tâmaras, figos, ananases (abacaxis), abacates, goiabas, mangas e mangostões, frescos ou secos</t>
  </si>
  <si>
    <t>0805</t>
  </si>
  <si>
    <t>Citrinos, frescos ou secos</t>
  </si>
  <si>
    <t>0806</t>
  </si>
  <si>
    <t>Uvas frescas ou secas</t>
  </si>
  <si>
    <t>0807</t>
  </si>
  <si>
    <t>Melões, melancias e papaias (mamões), frescos</t>
  </si>
  <si>
    <t>0808</t>
  </si>
  <si>
    <t>Maçãs, pêras e marmelos, frescos</t>
  </si>
  <si>
    <t>0809</t>
  </si>
  <si>
    <t>Damascos, cerejas, pêssegos (incluídas as nectarinas), ameixas e abrunhos, frescos</t>
  </si>
  <si>
    <t>0810</t>
  </si>
  <si>
    <t>Outras frutas frescas</t>
  </si>
  <si>
    <t>0811</t>
  </si>
  <si>
    <t>Frutas, não cozidas ou cozidas em água ou vapor, congeladas, mesmo adicionadas de açúcar ou de outros edulcorantes</t>
  </si>
  <si>
    <t>0812</t>
  </si>
  <si>
    <t>Frutas conservadas transitoriamente (por exemplo: com gás sulfuroso ou água salgada, sulfurada ou adicionada de outras substâncias destinadas a assegurar transitoriamente a sua conservação), mas impróprias para alimentação nesse estado</t>
  </si>
  <si>
    <t>0813</t>
  </si>
  <si>
    <t>Frutas secas, exceto das posições 0801 a 0806; misturas de frutas secas ou de frutas de casca rija, do presente capítulo</t>
  </si>
  <si>
    <t>0814</t>
  </si>
  <si>
    <t>Cascas de frutos cítricos, de melões ou de melancias, frescas, secas, congeladas ou apresentadas em água salgada, sulfurada ou adicionada de outras substâncias destinadas a assegurar transitoriamente a sua conservação</t>
  </si>
  <si>
    <t>09</t>
  </si>
  <si>
    <t>Café, chá, mate e especiarias</t>
  </si>
  <si>
    <t>0901</t>
  </si>
  <si>
    <t>Café, mesmo torrado ou descafeinado; cascas e películas de café; sucedâneos do café contendo café em qualquer proporção</t>
  </si>
  <si>
    <t>0902</t>
  </si>
  <si>
    <t>Chá, mesmo aromatizado</t>
  </si>
  <si>
    <t>0903</t>
  </si>
  <si>
    <t>Mate</t>
  </si>
  <si>
    <t>0904</t>
  </si>
  <si>
    <t>Pimenta (do género Piper); pimentos dos géneros Capsicum ou Pimenta, secos ou triturados ou em pó</t>
  </si>
  <si>
    <t>0905</t>
  </si>
  <si>
    <t>Baunilha</t>
  </si>
  <si>
    <t>0906</t>
  </si>
  <si>
    <t>Canela e flores de caneleira</t>
  </si>
  <si>
    <t>0907</t>
  </si>
  <si>
    <t>Cravo-da-índia (frutos, flores e pedúnculos)</t>
  </si>
  <si>
    <t>0908</t>
  </si>
  <si>
    <t>Noz-moscada, macis, amomos e cardamomos</t>
  </si>
  <si>
    <t>0909</t>
  </si>
  <si>
    <t>Sementes de anis, badiana, funcho, coentro, cominho ou de alcaravia; bagas de zimbro</t>
  </si>
  <si>
    <t>0910</t>
  </si>
  <si>
    <t>Gengibre, açafrão, curcuma, tomilho, louro, caril e outras especiarias</t>
  </si>
  <si>
    <t>10</t>
  </si>
  <si>
    <t>Cereais</t>
  </si>
  <si>
    <t>1001</t>
  </si>
  <si>
    <t>Trigo e mistura de trigo com centeio</t>
  </si>
  <si>
    <t>1002</t>
  </si>
  <si>
    <t>Centeio</t>
  </si>
  <si>
    <t>1003</t>
  </si>
  <si>
    <t>Cevada</t>
  </si>
  <si>
    <t>1004</t>
  </si>
  <si>
    <t>Aveia</t>
  </si>
  <si>
    <t>1005</t>
  </si>
  <si>
    <t>Milho</t>
  </si>
  <si>
    <t>1006</t>
  </si>
  <si>
    <t>Arroz</t>
  </si>
  <si>
    <t>1007</t>
  </si>
  <si>
    <t>Sorgo de grão</t>
  </si>
  <si>
    <t>1008</t>
  </si>
  <si>
    <t>Trigo mourisco, painço e alpista; outros cereais</t>
  </si>
  <si>
    <t>11</t>
  </si>
  <si>
    <t>Produtos da indústria de moagem; malte; amidos e féculas; inulina; glúten de trigo</t>
  </si>
  <si>
    <t>1101</t>
  </si>
  <si>
    <t>Farinhas de trigo ou de mistura de trigo com centeio</t>
  </si>
  <si>
    <t>1102</t>
  </si>
  <si>
    <t>Farinhas de cereais, exceto de trigo ou de mistura de trigo com centeio</t>
  </si>
  <si>
    <t>1103</t>
  </si>
  <si>
    <t>Grumos, sêmolas e pellets, de cereais</t>
  </si>
  <si>
    <t>1104</t>
  </si>
  <si>
    <t>Grãos de cereais trabalhados de outro modo (por exemplo: descascados, pelados, esmagados, em flocos, em pérolas, cortados ou partidos), com exclusão do arroz da posição 1006; germes de cereais, inteiros, esmagados, em flocos ou moídos</t>
  </si>
  <si>
    <t>1105</t>
  </si>
  <si>
    <t>Farinha, sêmola, pó, flocos, grânulos e pellets de batata</t>
  </si>
  <si>
    <t>1106</t>
  </si>
  <si>
    <t>Farinhas, sêmolas e pós, de legumes de vagem secos da posição 0713, de sagu ou das raízes ou tubérculos da posição 0714 e dos produtos do Capítulo 8</t>
  </si>
  <si>
    <t>1107</t>
  </si>
  <si>
    <t>Malte, mesmo torrado</t>
  </si>
  <si>
    <t>1108</t>
  </si>
  <si>
    <t>Amidos e féculas; inulina</t>
  </si>
  <si>
    <t>1109</t>
  </si>
  <si>
    <t>Glúten de trigo, mesmo seco</t>
  </si>
  <si>
    <t>12</t>
  </si>
  <si>
    <t>Sementes e frutos oleaginosos; grãos, sementes e frutos diversos; plantas industriais ou medicinais; palhas e forragens</t>
  </si>
  <si>
    <t>1201</t>
  </si>
  <si>
    <t>Soja, mesmo triturada</t>
  </si>
  <si>
    <t>1202</t>
  </si>
  <si>
    <t>Amendoins não torrados nem de outro modo cozidos, mesmo descascados ou triturados</t>
  </si>
  <si>
    <t>1203</t>
  </si>
  <si>
    <t>Copra em grãos</t>
  </si>
  <si>
    <t>1204</t>
  </si>
  <si>
    <t>Sementes de linho (linhaça), mesmo trituradas</t>
  </si>
  <si>
    <t>1205</t>
  </si>
  <si>
    <t>Sementes de nabo silvestre ou de colza, mesmo trituradas</t>
  </si>
  <si>
    <t>1206</t>
  </si>
  <si>
    <t>Sementes de girassol, mesmo trituradas</t>
  </si>
  <si>
    <t>1207</t>
  </si>
  <si>
    <t>Outras sementes e frutos oleaginosos, mesmo triturados</t>
  </si>
  <si>
    <t>1208</t>
  </si>
  <si>
    <t>Farinhas de sementes ou de frutos oleaginosos, exceto farinha de mostarda</t>
  </si>
  <si>
    <t>1209</t>
  </si>
  <si>
    <t>Sementes, frutos e esporos, para sementeira</t>
  </si>
  <si>
    <t>1210</t>
  </si>
  <si>
    <t>Cones de lúpulo, frescos ou secos, mesmo triturados ou moídos ou em pellets; lupulina</t>
  </si>
  <si>
    <t>1211</t>
  </si>
  <si>
    <t>Plantas, partes de plantas, sementes e frutos, das espécies utilizadas principalmente em perfumaria, medicina ou como insecticidas, parasiticidas e semelhantes, frescos ou secos, mesmo cortados, triturados ou em pó</t>
  </si>
  <si>
    <t>1212</t>
  </si>
  <si>
    <t>Alfarroba, algas, beterraba sacarina e cana-de-açúcar, frescas, refrigeradas, congeladas ou secas, mesmo em pó; caroços e amêndoas de frutos e outros produtos vegetais (incluídas as raízes de chicória não torradas, da variedade Cichorium intybus sativum)</t>
  </si>
  <si>
    <t>1213</t>
  </si>
  <si>
    <t>Palhas, cascas de cereais, em bruto, moidas, prensadas, etc.</t>
  </si>
  <si>
    <t>1214</t>
  </si>
  <si>
    <t>Rutabagas, beterrabas forrageiras, raízes forrageiras, feno, luzerna, trevo, sanfeno, couves forrageiras, tremoço, ervilhaca e produtos forrageiros semelhantes, mesmo em pellets</t>
  </si>
  <si>
    <t>13</t>
  </si>
  <si>
    <t>Gomas, resinas e outros sucos e extratos vegetais</t>
  </si>
  <si>
    <t>1301</t>
  </si>
  <si>
    <t>Goma-laca; gomas, resinas, gomas-resinas e oleorresinas (bálsamos por exemplo), naturais</t>
  </si>
  <si>
    <t>1302</t>
  </si>
  <si>
    <t>Sucos e extractos vegetais; matérias pécticas, pectinatos e pectatos; ágar-ágar e outros produtos mucilaginosos e espessantes derivados dos vegetais, mesmo modificados</t>
  </si>
  <si>
    <t>14</t>
  </si>
  <si>
    <t>Matérias para entrançar e outros produtos de origem vegetal, não especificados nem compreendidos noutros Capítulos</t>
  </si>
  <si>
    <t>1401</t>
  </si>
  <si>
    <t>Matérias vegetais das espécies principalmente utilizadas em cestaria ou espartaria (por exemplo: bambus, rotins, canas, juncos, vimes, ráfia, palha de cereais limpa, branqueada ou tingida, casca de tília)</t>
  </si>
  <si>
    <t>1402</t>
  </si>
  <si>
    <t>Matérias vegetais para enchimento e estofamento</t>
  </si>
  <si>
    <t>1403</t>
  </si>
  <si>
    <t>Matérias vegetais para fabricação de vassouras</t>
  </si>
  <si>
    <t>1404</t>
  </si>
  <si>
    <t>Produtos vegetais não especificados nem compreendidos noutras posições</t>
  </si>
  <si>
    <t>15</t>
  </si>
  <si>
    <t>Gorduras e óleos animais ou vegetais; produtos da sua dissociação; gorduras alimentares elaboradas; ceras de origem animal ou vegetal</t>
  </si>
  <si>
    <t>1501</t>
  </si>
  <si>
    <t>Gorduras de porco (incluindo a banha) e gordura de aves</t>
  </si>
  <si>
    <t>1502</t>
  </si>
  <si>
    <t>Gorduras de animais das espécies bovina, ovina ou caprina, exceto as da posição 1503</t>
  </si>
  <si>
    <t>1503</t>
  </si>
  <si>
    <t>Estearina solar, óleo de banha de porco, óleo-estearina, óleo-margarina e óleo de sebo, não emulsionados nem misturados, nem preparados de outro modo</t>
  </si>
  <si>
    <t>1504</t>
  </si>
  <si>
    <t>Gorduras, óleos e respectivas fracções, de peixes ou de mamíferos marinhos, mesmo refinados, mas não quimicamente modificados</t>
  </si>
  <si>
    <t>1505</t>
  </si>
  <si>
    <t>Suarda e substâncias gordas dela derivadas, incluindo a lanolina</t>
  </si>
  <si>
    <t>1506</t>
  </si>
  <si>
    <t>Outras gorduras e óleos animais, e respectivas frações, mesmo refinados, mas não quimicamente modificados</t>
  </si>
  <si>
    <t>1507</t>
  </si>
  <si>
    <t>Óleo de soja e respectivas fracções, mesmo refinados, mas não quimicamente modificados</t>
  </si>
  <si>
    <t>1508</t>
  </si>
  <si>
    <t>Óleo de amendoim e respectivas fracções, mesmo refinados, mas não quimicamente modificados</t>
  </si>
  <si>
    <t>1509</t>
  </si>
  <si>
    <t>Azeite de oliveira e respectivas fracções, mesmo refinados, mas não quimicamente modificados</t>
  </si>
  <si>
    <t>1510</t>
  </si>
  <si>
    <t>Outros óleos e respectivas frações, obtidos exclusivamente a partir de azeitonas, mesmo refinados, mas não quimicamente modificados, e misturas desses óleos ou frações com óleos ou frações da posição 15.09</t>
  </si>
  <si>
    <t>1511</t>
  </si>
  <si>
    <t>Óleo de palma e respectivas fracções, mesmo refinados, mas não quimicamente modificados</t>
  </si>
  <si>
    <t>1512</t>
  </si>
  <si>
    <t>Óleos de girassol, de cártamo ou de algodão e respectivas fracções, mesmo refinados, mas não quimicamente modificados</t>
  </si>
  <si>
    <t>1513</t>
  </si>
  <si>
    <t>Óleos de coco (óleo de copra), de palmiste ou de babaçu e respectivas fracções, mesmo refinados, mas não quimicamente modificados</t>
  </si>
  <si>
    <t>1514</t>
  </si>
  <si>
    <t>Óleos de nabo silvestre, de colza ou de mostarda, e respectivas fracções, mesmo refinados, mas não quimicamente modificados</t>
  </si>
  <si>
    <t>1515</t>
  </si>
  <si>
    <t>Outras gorduras e óleos vegetais (incluído o óleo de jojoba) e respectivas fracções, fixos, mesmo refinados, mas não quimicamente modificados</t>
  </si>
  <si>
    <t>1516</t>
  </si>
  <si>
    <t>Gorduras e óleos animais ou vegetais, e respectivas fracções, parcial ou totalmente hidrogenados, interesterificados, reesterificados ou elaidinizados, mesmo refinados, mas não preparados de outro modo</t>
  </si>
  <si>
    <t>1517</t>
  </si>
  <si>
    <t>Margarina; misturas ou preparações alimentícias de gorduras ou de óleos animais ou vegetais ou de fracções das diferentes gorduras ou óleos do presente capítulo, exceto as gorduras e óleos alimentícios, e respectivas fracções, da posição 1516</t>
  </si>
  <si>
    <t>1518</t>
  </si>
  <si>
    <t>Gorduras e óleos animais ou vegetais, cozidos, oxidados, desidratados ou modificados quimicamente por qualquer outro processo</t>
  </si>
  <si>
    <t>1520</t>
  </si>
  <si>
    <t>Glicerol em bruto; águas e lixívias, glicéricas</t>
  </si>
  <si>
    <t>1521</t>
  </si>
  <si>
    <t>Ceras vegetais (exceto triglicéridos), ceras de abelha ou de outros insectos e espermacete, mesmo refinados ou corados</t>
  </si>
  <si>
    <t>1522</t>
  </si>
  <si>
    <t>Dégras; resíduos provenientes do tratamento das substâncias gordas ou das ceras animais ou vegetais</t>
  </si>
  <si>
    <t>16</t>
  </si>
  <si>
    <t>Preparações de carne, de peixes ou de crustáceos, de moluscos ou de outros invertebrados aquáticos</t>
  </si>
  <si>
    <t>1601</t>
  </si>
  <si>
    <t>Enchidos e produtos semelhantes, de carne, de miudezas ou de sangue; preparações alimentícias à base de tais produtos</t>
  </si>
  <si>
    <t>1602</t>
  </si>
  <si>
    <t>Outras preparações e conservas de carne, miudezas ou sangue</t>
  </si>
  <si>
    <t>1603</t>
  </si>
  <si>
    <t>Extratos e sucos de carne, de peixes ou de crustáceos, de moluscos ou de outros invertebrados aquáticos</t>
  </si>
  <si>
    <t>1604</t>
  </si>
  <si>
    <t>Preparações e conservas de peixes; caviar e seus sucedâneos preparados a partir de ovas de peixe</t>
  </si>
  <si>
    <t>1605</t>
  </si>
  <si>
    <t>Crustáceos, moluscos e outros invertebrados aquáticos, preparados ou em conservas</t>
  </si>
  <si>
    <t>17</t>
  </si>
  <si>
    <t>Açúcares e produtos de confeitaria</t>
  </si>
  <si>
    <t>1701</t>
  </si>
  <si>
    <t>Açúcares de cana ou de beterraba e sacarose quimicamente pura, no estado sólido</t>
  </si>
  <si>
    <t>1702</t>
  </si>
  <si>
    <t>Outros açúcares, incluídos a lactose, maltose, glicose e frutose (levulose), quimicamente puras, no estado sólido; xaropes de açúcares, sem adição de aromatizantes ou de corantes; sucedâneos do mel, mesmo misturados com mel natural; açúcares e melaços car</t>
  </si>
  <si>
    <t>1703</t>
  </si>
  <si>
    <t>Melaços resultantes da extracção ou refinação do açúcar</t>
  </si>
  <si>
    <t>1704</t>
  </si>
  <si>
    <t>Produtos de confeitaria sem cacau (incluído o chocolate branco)</t>
  </si>
  <si>
    <t>18</t>
  </si>
  <si>
    <t>Cacau e suas preparações</t>
  </si>
  <si>
    <t>1801</t>
  </si>
  <si>
    <t>Cacau inteiro ou partido, em bruto ou torrado</t>
  </si>
  <si>
    <t>1802</t>
  </si>
  <si>
    <t>Cascas, peliculas e outros desperdícios de cacau</t>
  </si>
  <si>
    <t>1803</t>
  </si>
  <si>
    <t>Pasta de cacau, mesmo desengordurada</t>
  </si>
  <si>
    <t>1804</t>
  </si>
  <si>
    <t>Manteiga, gordura e óleo, de cacau</t>
  </si>
  <si>
    <t>1805</t>
  </si>
  <si>
    <t>Cacau em pó, sem adição de açúcar ou outros edulcorantes</t>
  </si>
  <si>
    <t>1806</t>
  </si>
  <si>
    <t>Chocolate e outras preparações alimentícias contendo cacau</t>
  </si>
  <si>
    <t>19</t>
  </si>
  <si>
    <t>Preparações à base de cereais, farinhas, amidos, féculas ou leite; produtos de pastelaria</t>
  </si>
  <si>
    <t>1901</t>
  </si>
  <si>
    <t>Extractos de malte; preparações alimentícias de farinhas, grumos, sêmolas, amidos, féculas ou extractos de malte, não contendo cacau ou contendo-o numa proporção inferior a 40 %, em peso, não especificadas nem compreendidas noutras posições; preparações a</t>
  </si>
  <si>
    <t>1902</t>
  </si>
  <si>
    <t>Massas alimentícias, mesmo cozidas ou recheadas (de carne ou de outras substâncias) ou preparadas de outro modo, tais como esparguete, macarrão, aletria, lasanha, nhoque, raviole e canelone; cuscuz, mesmo preparado</t>
  </si>
  <si>
    <t>1903</t>
  </si>
  <si>
    <t>Tapioca e seus sucedâneos preparados a partir de féculas, em flocos, grumos, grãos, pérolas ou formas semelhantes</t>
  </si>
  <si>
    <t>1904</t>
  </si>
  <si>
    <t>Produtos à base de cereais, obtidos por expansão ou por torrefacção [por exemplo: flocos de milho (corn flakes)]; cereais (exceto milho) em grãos ou sob a forma de flocos ou de outros grãos trabalhados (com excepção da farinha, do grumo e da sêmola), pré</t>
  </si>
  <si>
    <t>1905</t>
  </si>
  <si>
    <t>Produtos de padaria, pastelaria ou da indústria de bolachas e biscoitos, mesmo adicionados de cacau; hóstias, cápsulas vazias para medicamentos, obreias, pastas secas de farinha, amido ou fécula em folhas e produtos semelhantes</t>
  </si>
  <si>
    <t>20</t>
  </si>
  <si>
    <t>Preparações de produtos hortícolas, de frutas ou de outras partes de plantas</t>
  </si>
  <si>
    <t>2001</t>
  </si>
  <si>
    <t>Produtos hortícolas, frutas e outras partes comestíveis de plantas, preparados ou conservados em vinagre ou em ácido acético</t>
  </si>
  <si>
    <t>2002</t>
  </si>
  <si>
    <t>Tomates preparados ou conservados, exceto em vinagre ou em ácido acético</t>
  </si>
  <si>
    <t>2003</t>
  </si>
  <si>
    <t>Cogumelos e trufas, preparados ou conservados, exceto em vinagre ou em ácido acético</t>
  </si>
  <si>
    <t>2004</t>
  </si>
  <si>
    <t>Outros produtos hortícolas preparados ou conservados, exceto em vinagre ou em ácido acético, congelados, com excepção dos produtos da posição 2006</t>
  </si>
  <si>
    <t>2005</t>
  </si>
  <si>
    <t>Outros produtos hortícolas preparados ou conservados, exceto em vinagre ou em ácido acético, não congelados, com excepção dos produtos da posição 2006</t>
  </si>
  <si>
    <t>2006</t>
  </si>
  <si>
    <t>Produtos hortícolas, frutas, cascas de frutas e outras partes de plantas, conservados com açúcar (passados por calda, glaceados ou cristalizados)</t>
  </si>
  <si>
    <t>2007</t>
  </si>
  <si>
    <t>Doces, geleias, marmelades, purés e pastas de frutas, obtidos por cozimento, com ou sem adição de açúcar ou de outros edulcorantes</t>
  </si>
  <si>
    <t>2008</t>
  </si>
  <si>
    <t>Frutas e outras partes comestíveis de plantas, preparadas ou conservadas de outro modo, com ou sem adição de açúcar ou de outros edulcorantes ou de álcool, não especificadas nem compreendidas noutras posições</t>
  </si>
  <si>
    <t>2009</t>
  </si>
  <si>
    <t>Sumos de frutas (incluídos os mostos de uvas) ou de produtos hortícolas, não fermentados, sem adição de álcool, com ou sem adição de açúcar ou de outros edulcorantes</t>
  </si>
  <si>
    <t>21</t>
  </si>
  <si>
    <t>Preparações alimentícias diversas</t>
  </si>
  <si>
    <t>2101</t>
  </si>
  <si>
    <t>Extractos, essências e concentrados de café, chá ou de mate e preparações à base destes produtos ou à base de café, chá ou de mate; chicória torrada e outros sucedâneos torrados do café e respectivos extractos, essências e concentrados</t>
  </si>
  <si>
    <t>2102</t>
  </si>
  <si>
    <t>Leveduras (vivas ou mortas); outros microrganismos monocelulares mortos (exceto as vacinas da posição 3002); pós para levedar, preparados</t>
  </si>
  <si>
    <t>2103</t>
  </si>
  <si>
    <t>Preparações para molhos e molhos preparados; condimentos e temperos compostos; farinha de mostarda e mostarda preparada</t>
  </si>
  <si>
    <t>2104</t>
  </si>
  <si>
    <t>Preparações para caldos e sopas; caldos e sopas preparados; preparações alimentícias compostas homogeneizadas</t>
  </si>
  <si>
    <t>2105</t>
  </si>
  <si>
    <t>Sorvetes, mesmo contendo cacau</t>
  </si>
  <si>
    <t>2106</t>
  </si>
  <si>
    <t>Preparações alimentícias não especificadas nem compreendidas noutras posições</t>
  </si>
  <si>
    <t>22</t>
  </si>
  <si>
    <t>Bebidas, líquidos alcoólicos e vinagres</t>
  </si>
  <si>
    <t>2201</t>
  </si>
  <si>
    <t>Águas, incluídas as águas minerais, naturais ou artificiais, e as águas gaseificadas, não adicionadas de açúcar ou de outros edulcorantes nem aromatizadas; gelo e neve</t>
  </si>
  <si>
    <t>2202</t>
  </si>
  <si>
    <t>Águas, incluídas as águas minerais e as águas gaseificadas, adicionadas de açúcar ou de outros edulcorantes ou aromatizadas e outras bebidas não alcoólicas, exceto sumos de frutas ou de produtos hortícolas, da posição 2009</t>
  </si>
  <si>
    <t>2203</t>
  </si>
  <si>
    <t>Cervejas de malte</t>
  </si>
  <si>
    <t>2204</t>
  </si>
  <si>
    <t>Vinhos de uvas frescas, incluídos os vinhos enriquecidos com álcool; mostos de uvas, excluídos os da posição 2009</t>
  </si>
  <si>
    <t>2205</t>
  </si>
  <si>
    <t>Vermutes e outros vinhos de uvas frescas aromatizados por plantas ou substâncias aromáticas</t>
  </si>
  <si>
    <t>2206</t>
  </si>
  <si>
    <t>Sidra e outras bebidas fermentadas e misturas de bebidas fermentadas</t>
  </si>
  <si>
    <t>2207</t>
  </si>
  <si>
    <t>Álcool etílico não desnaturado, com um teor alcoólico em volume igual ou superior a 80 % vol; álcool etílico e aguardentes, desnaturados, com qualquer teor alcoólico</t>
  </si>
  <si>
    <t>2208</t>
  </si>
  <si>
    <t>Álcool etílico não desnaturado, com um teor alcoólico em volume inferior a 80 % vol; aguardentes, licores e outras bebidas espirituosas</t>
  </si>
  <si>
    <t>2209</t>
  </si>
  <si>
    <t>Vinagres e seus sucedâneos obtidos a partir do ácido acético, para usos alimentares</t>
  </si>
  <si>
    <t>23</t>
  </si>
  <si>
    <t>Resíduos e desperdícios das indústrias alimentares; alimentos preparados para animais</t>
  </si>
  <si>
    <t>2301</t>
  </si>
  <si>
    <t>Farinhas, pó e pellets, de carnes, miudezas, peixes ou crustáceos, moluscos ou outros invertebrados aquáticos, impróprios para a alimentação humana; torresmos</t>
  </si>
  <si>
    <t>2302</t>
  </si>
  <si>
    <t>Sêmeas, farelos e outros resíduos, mesmo em pellets, da peneiração, moagem ou de outros tratamentos de cereais ou de leguminosas</t>
  </si>
  <si>
    <t>2303</t>
  </si>
  <si>
    <t>Resíduos da fabricação do amido e resíduos semelhantes, polpas de beterraba, bagaço de cana-de-açúcar e outros desperdícios da indústria do açúcar, borras e desperdícios da indústria da cerveja e das destilarias, mesmo em pellets</t>
  </si>
  <si>
    <t>2304</t>
  </si>
  <si>
    <t>Tortas e outros resíduos sólidos da extração do óleo de soja</t>
  </si>
  <si>
    <t>2305</t>
  </si>
  <si>
    <t>Tortas e outros resíduos sólidos, mesmo triturados ou em pellets, da extração do óleo de amendoim</t>
  </si>
  <si>
    <t>2306</t>
  </si>
  <si>
    <t>Bagaços e outros resíduos sólidos, mesmo triturados ou em pellets, da extracção de gorduras ou óleos vegetais, exceto das posições 2304 e 2305</t>
  </si>
  <si>
    <t>2307</t>
  </si>
  <si>
    <t>Borras de vinho; tártaro em bruto</t>
  </si>
  <si>
    <t>2308</t>
  </si>
  <si>
    <t>Matérias vegetais e desperdícios vegetais, resíduos e subprodutos vegetais, mesmo em pellets, dos tipos utilizados na alimentação de animais, não especificados nem compreendidos noutras posições</t>
  </si>
  <si>
    <t>2309</t>
  </si>
  <si>
    <t>Preparações dos tipos utilizados na alimentação de animais</t>
  </si>
  <si>
    <t>24</t>
  </si>
  <si>
    <t>Tabaco e seus sucedâneos manufaturados</t>
  </si>
  <si>
    <t>2401</t>
  </si>
  <si>
    <t>Tabaco não manufacturado; desperdícios de tabaco</t>
  </si>
  <si>
    <t>2402</t>
  </si>
  <si>
    <t>Charutos, cigarrilhas e cigarros, de tabaco ou dos seus sucedâneos</t>
  </si>
  <si>
    <t>2403</t>
  </si>
  <si>
    <t>Outros produtos de tabaco e seus sucedâneos, manufaturados; tabaco "homogeneizado" ou "reconstituído"; extratos e molhos de tabaco</t>
  </si>
  <si>
    <t>2404</t>
  </si>
  <si>
    <t>Produtos que contenham tabaco, nicotina ou sucedâneos do tabaco ou da nicotina, destinados à inalação sem combustão; outros produtos que contenham nicotina destinados à absorção pelo corpo humano.</t>
  </si>
  <si>
    <t>25</t>
  </si>
  <si>
    <t>Sal; enxofre; terras e pedras; gesso, cal e cimento</t>
  </si>
  <si>
    <t>2501</t>
  </si>
  <si>
    <t>Sal (incluídos o sal de mesa e o sal desnaturado) e cloreto de sódio puro, mesmo em solução aquosa ou adicionados de agentes antiaglomerantes</t>
  </si>
  <si>
    <t>2502</t>
  </si>
  <si>
    <t>Piritas de ferro não ustuladas</t>
  </si>
  <si>
    <t>2503</t>
  </si>
  <si>
    <t>Enxofre de qualquer espécie, exceto sublimado, precipitado ou coloidal</t>
  </si>
  <si>
    <t>2504</t>
  </si>
  <si>
    <t>Grafite natural</t>
  </si>
  <si>
    <t>2505</t>
  </si>
  <si>
    <t>Areias naturais de qualquer espécie, mesmo coradas, exceto areias metalíferas do Capítulo 26</t>
  </si>
  <si>
    <t>2506</t>
  </si>
  <si>
    <t>Quartzo (exceto areias naturais); quartzites, mesmo desbastadas ou simplesmente cortadas à serra ou por outro meio, em blocos ou placas de forma quadrada ou rectangular</t>
  </si>
  <si>
    <t>2507</t>
  </si>
  <si>
    <t>Caulim e outras argilas caulínicas, mesmo calcinadas</t>
  </si>
  <si>
    <t>2508</t>
  </si>
  <si>
    <t>Outras argilas (exceto argilas expandidas da posição 6806), andaluzite, cianite, silimanite, mesmo calcinadas; mulita; barro cozido em pó (terra de chamotte) e terra de dinas</t>
  </si>
  <si>
    <t>2509</t>
  </si>
  <si>
    <t>Cre</t>
  </si>
  <si>
    <t>2510</t>
  </si>
  <si>
    <t>Fosfatos de cálcio naturais, fosfatos aluminocálcicos naturais e cré fosfatado</t>
  </si>
  <si>
    <t>2511</t>
  </si>
  <si>
    <t>Sulfato de bário natural (baritina); carbonato de bário natural (witherite), mesmo calcinado, exceto o óxido de bário da posição 2816</t>
  </si>
  <si>
    <t>2512</t>
  </si>
  <si>
    <t>Farinhas siliciosas fósseis (por exemplo, kieselguhr, tripolita, diatomita) e outras terras siliciosas análogas de densidade aparente não superior a 1, mesmo calcinadas</t>
  </si>
  <si>
    <t>2513</t>
  </si>
  <si>
    <t>Pedra-pomes; esmeril; corindo natural, granada natural e outros abrasivos naturais, mesmo tratados termicamente</t>
  </si>
  <si>
    <t>2514</t>
  </si>
  <si>
    <t>Ardósia, mesmo desbastada ou simplesmente cortada a serra ou por outro meio, em blocos ou placas de forma quadrada ou retangular</t>
  </si>
  <si>
    <t>2515</t>
  </si>
  <si>
    <t>Mármores, travertinos, granitos belgas e outras pedras calcárias de cantaria ou de construção, de densidade aparente igual ou superior a 2,5, e alabastro, mesmo desbastados ou simplesmente cortados à serra ou por outro meio, em blocos ou placas de forma q</t>
  </si>
  <si>
    <t>2516</t>
  </si>
  <si>
    <t>Granito, pórfiro, basalto, arenito e outras pedras de cantaria ou de construção, mesmo desbastados ou simplesmente cortados à serra ou por outro meio, em blocos ou placas de forma quadrada ou rectangular</t>
  </si>
  <si>
    <t>2517</t>
  </si>
  <si>
    <t>Calhaus, cascalho, pedras britadas, dos tipos geralmente usados em betão (concreto) ou para empedramento de estradas, de vias férreas ou outros balastros, seixos rolados e sílex, mesmo tratados termicamente; macadame de escórias de altos fornos, de outras</t>
  </si>
  <si>
    <t>2518</t>
  </si>
  <si>
    <t>Dolomite, mesmo sinterizada ou calcinada, incluindo a dolomite desbastada ou simplesmente cortada à serra ou por outro meio, em blocos ou placas de forma quadrada ou rectangular; aglomerado de dolomite</t>
  </si>
  <si>
    <t>2519</t>
  </si>
  <si>
    <t>Carbonato de magnésio natural (magnesite); magnésia electrofundida; magnésia calcinada a fundo (sinterizada), mesmo contendo pequenas quantidades de outros óxidos adicionados antes da sinterização; outro óxido de magnésio, mesmo puro</t>
  </si>
  <si>
    <t>2520</t>
  </si>
  <si>
    <t>Gipsite; anidrite; gesso, mesmo corado ou adicionado de pequenas quantidades de aceleradores ou de retardadores</t>
  </si>
  <si>
    <t>2521</t>
  </si>
  <si>
    <t>Castinas; pedras calcárias utilizadas na fabricação de cal ou de cimento</t>
  </si>
  <si>
    <t>2522</t>
  </si>
  <si>
    <t>Cal viva, cal apagada e cal hidráulica, com exclusão do óxido e do hidróxido de cálcio da posição 2825</t>
  </si>
  <si>
    <t>2523</t>
  </si>
  <si>
    <t>Cimentos hidráulicos (incluídos os cimentos não pulverizados, denominados clinkers), mesmo corados</t>
  </si>
  <si>
    <t>2524</t>
  </si>
  <si>
    <t>Amianto</t>
  </si>
  <si>
    <t>2525</t>
  </si>
  <si>
    <t>Mica, incluída a mica clivada em lamelas irregulares (splittings); desperdícios de mica</t>
  </si>
  <si>
    <t>2526</t>
  </si>
  <si>
    <t>Esteatite natural, mesmo desbastada ou simplesmente cortada à serra ou por outro meio, em blocos ou placas de forma quadrada ou rectangular; talco</t>
  </si>
  <si>
    <t>2527</t>
  </si>
  <si>
    <t>Criolita natural e quiolita natural</t>
  </si>
  <si>
    <t>2528</t>
  </si>
  <si>
    <t>Boratos naturais e seus concentrados (calcinados ou não), exceto boratos extraídos de salmouras naturais; ácido bórico natural com um teor máximo de 85 % de H3BO3, em produto seco</t>
  </si>
  <si>
    <t>2529</t>
  </si>
  <si>
    <t>Feldspato; leucite; nefelina e nefelina-sienite; espatoflúor</t>
  </si>
  <si>
    <t>2530</t>
  </si>
  <si>
    <t>Matérias minerais não especificadas nem compreendidas em outras posições</t>
  </si>
  <si>
    <t>26</t>
  </si>
  <si>
    <t>Minerios, escórias e cinzas</t>
  </si>
  <si>
    <t>2601</t>
  </si>
  <si>
    <t>Minérios de ferro e seus concentrados, incluídas as pirites de ferro ustuladas (cinzas de pirites)</t>
  </si>
  <si>
    <t>2602</t>
  </si>
  <si>
    <t>Minérios de manganês e seus concentrados, incluídos os minérios de manganês ferruginosos e seus concentrados, de teor de manganês de =&gt; 20%, em peso, sobre o produto seco</t>
  </si>
  <si>
    <t>2603</t>
  </si>
  <si>
    <t>Minérios de cobre e seus concentrados</t>
  </si>
  <si>
    <t>2604</t>
  </si>
  <si>
    <t>Minérios de niquel e seus concentrados</t>
  </si>
  <si>
    <t>2605</t>
  </si>
  <si>
    <t>Minérios de cobalto e seus concentrados</t>
  </si>
  <si>
    <t>2606</t>
  </si>
  <si>
    <t>Minérios de alumínio e seus concentrados</t>
  </si>
  <si>
    <t>2607</t>
  </si>
  <si>
    <t>Minérios de chumbo e seus concentrados</t>
  </si>
  <si>
    <t>2608</t>
  </si>
  <si>
    <t>Minérios de zinco e seus concentrados</t>
  </si>
  <si>
    <t>2609</t>
  </si>
  <si>
    <t>Minérios de estanho e seus concentrados</t>
  </si>
  <si>
    <t>2610</t>
  </si>
  <si>
    <t>Minérios de cromo e seus concentrados</t>
  </si>
  <si>
    <t>2611</t>
  </si>
  <si>
    <t>Minérios de tungstênio e seus concentrados</t>
  </si>
  <si>
    <t>2612</t>
  </si>
  <si>
    <t>Minérios de urânio ou de tório, e seus concentrados</t>
  </si>
  <si>
    <t>2613</t>
  </si>
  <si>
    <t>Minérios de molibdénio e seus concentrados</t>
  </si>
  <si>
    <t>2614</t>
  </si>
  <si>
    <t>Minérios de titânio e seus concentrados</t>
  </si>
  <si>
    <t>2615</t>
  </si>
  <si>
    <t>Minérios de nióbio, tântalo, vanádio ou de zircónio, e seus concentrados</t>
  </si>
  <si>
    <t>2616</t>
  </si>
  <si>
    <t>Minérios de metais preciosos e seus concentrados</t>
  </si>
  <si>
    <t>2617</t>
  </si>
  <si>
    <t>Outros minérios e seus concentrados</t>
  </si>
  <si>
    <t>2618</t>
  </si>
  <si>
    <t>Escória de altos-fornos granulada (areia de escória) proveniente da fabricação de ferro fundido, ferro ou aço</t>
  </si>
  <si>
    <t>2619</t>
  </si>
  <si>
    <t>Escórias (exceto escória de altos-fornos granulada) e outros desperdícios da fabricação de ferro fundido, ferro ou aço</t>
  </si>
  <si>
    <t>2620</t>
  </si>
  <si>
    <t>Cinzas e resíduos (exceto provenientes da fabricação do ferro fundido, ferro ou aço) contendo arsénio, metais ou compostos de metais</t>
  </si>
  <si>
    <t>2621</t>
  </si>
  <si>
    <t>Outras escórias e cinzas, incluídas as cinzas de algas; cinzas e resíduos provenientes da incineração de resíduos municipais</t>
  </si>
  <si>
    <t>27</t>
  </si>
  <si>
    <t>Combustíveis minerais, óleos minerais e produtos da sua destilação; matérias betuminosas; ceras minerais</t>
  </si>
  <si>
    <t>2701</t>
  </si>
  <si>
    <t>Hulhas; briquetes, bolas e combustíveis sólidos semelhantes, obtidos a partir da hulha</t>
  </si>
  <si>
    <t>2702</t>
  </si>
  <si>
    <t>Linhites, mesmo aglomeradas, exceto azeviche</t>
  </si>
  <si>
    <t>2703</t>
  </si>
  <si>
    <t>Turfa (incluindo a turfa para cama de animais), mesmo aglomerada</t>
  </si>
  <si>
    <t>2704</t>
  </si>
  <si>
    <t>Coques e semicoques de hulha, de linhita ou de turfa, mesmo aglomerados; carvão de retorta</t>
  </si>
  <si>
    <t>2705</t>
  </si>
  <si>
    <t>Gás de hulha, gás de água, gás pobre (gás de ar) e gases semelhantes, exceto gases de petróleo e outros hidrocarbonetos gasosos</t>
  </si>
  <si>
    <t>2706</t>
  </si>
  <si>
    <t>Alcatrões de hulha, de linhita ou de turfa e outros alcatrões minerais, mesmo desidratados ou parcialmente destilados, incluindo os alcatrões reconstituídos</t>
  </si>
  <si>
    <t>2707</t>
  </si>
  <si>
    <t>Óleos e outros produtos provenientes da destilação dos alcatrões de hulha a alta temperatura; produtos análogos em que os constituintes aromáticos predominem em peso relativamente aos constituintes não aromáticos</t>
  </si>
  <si>
    <t>2708</t>
  </si>
  <si>
    <t>Breu e coque de breu obtidos a partir do alcatrão de hulha ou de outros alcatrões minerais</t>
  </si>
  <si>
    <t>2709</t>
  </si>
  <si>
    <t>Óleos brutos de petróleo ou de minerais betuminosos</t>
  </si>
  <si>
    <t>2710</t>
  </si>
  <si>
    <t>Óleos de petróleo ou de minerais betuminosos, exceto óleos brutos; preparações não especificadas nem compreendidas noutras posições, contendo, em peso, 70 % ou mais de óleos de petróleo ou de minerais betuminosos, os quais devem constituir o seu elemento</t>
  </si>
  <si>
    <t>2711</t>
  </si>
  <si>
    <t>Gás de petróleo e outros hidrocarbonetos gasosos</t>
  </si>
  <si>
    <t>2712</t>
  </si>
  <si>
    <t>Vaselina; parafina, cera de petróleo microcristalina, slack wax, ozocerite, cera de linhite, cera de turfa, outras ceras minerais e produtos semelhantes obtidos por síntese ou por outros processos, mesmo corados</t>
  </si>
  <si>
    <t>2713</t>
  </si>
  <si>
    <t>Coque de petróleo, betume de petróleo e outros resíduos dos óleos de petróleo ou de minerais betuminosos</t>
  </si>
  <si>
    <t>2714</t>
  </si>
  <si>
    <t>Betumes e asfaltos, naturais; xistos e areias betuminosos; asfaltites e rochas asfálticas</t>
  </si>
  <si>
    <t>2715</t>
  </si>
  <si>
    <t>Misturas betuminosas à base de asfalto ou de betume naturais, de betume de petróleo, de alcatrão mineral ou de breu de alcatrão mineral (por exemplo, mástiques betuminosos e cut-backs)</t>
  </si>
  <si>
    <t>2716</t>
  </si>
  <si>
    <t>Energia elétrica</t>
  </si>
  <si>
    <t>28</t>
  </si>
  <si>
    <t>Produtos químicos inorgânicos; compostos inorgânicos ou orgânicos de metais preciosos, de elementos radioativos, de metais das terras raras ou de isótopos</t>
  </si>
  <si>
    <t>2801</t>
  </si>
  <si>
    <t>Flúor, cloro, bromo e iodo</t>
  </si>
  <si>
    <t>2802</t>
  </si>
  <si>
    <t>Enxofre sublimado ou precipitado; enxofre coloidal</t>
  </si>
  <si>
    <t>2803</t>
  </si>
  <si>
    <t>Carbono (negros-de-carbono e outras formas não compreendidas em outras posições)</t>
  </si>
  <si>
    <t>2804</t>
  </si>
  <si>
    <t>Hidrogénio, gases raros e outros elementos não metálicos</t>
  </si>
  <si>
    <t>2805</t>
  </si>
  <si>
    <t>Metais alcalinos ou alcalino-terrosos; metais de terras raras, escândio e ítrio, mesmo misturados ou ligados entre si; mercúrio</t>
  </si>
  <si>
    <t>2806</t>
  </si>
  <si>
    <t>Cloreto de hidrogénio (ácido clorídrico); ácido clorossulfúrico</t>
  </si>
  <si>
    <t>2807</t>
  </si>
  <si>
    <t>Ácido sulfúrico e ácido sulfúrico fumante (oleum)</t>
  </si>
  <si>
    <t>2808</t>
  </si>
  <si>
    <t>Ácido nítrico; ácidos sulfonítricos</t>
  </si>
  <si>
    <t>2809</t>
  </si>
  <si>
    <t>Pentóxido de difosfóro; ácido fosfórico; ácidos polifosfóricos, de constituição química definida ou não</t>
  </si>
  <si>
    <t>2810</t>
  </si>
  <si>
    <t>Óxidos de boro; ácidos bóricos</t>
  </si>
  <si>
    <t>2811</t>
  </si>
  <si>
    <t>Outros ácidos inorgânicos e outros compostos oxigenados inorgânicos dos elementos não metálicos</t>
  </si>
  <si>
    <t>2812</t>
  </si>
  <si>
    <t>Halogenetos e oxialogenetos dos elementos não metálicos</t>
  </si>
  <si>
    <t>2813</t>
  </si>
  <si>
    <t>Sulfuretos dos elementos não metálicos; trissulfureto de fósforo comercial</t>
  </si>
  <si>
    <t>2814</t>
  </si>
  <si>
    <t>Amoníaco anidro ou em solução aquosa (amónia)</t>
  </si>
  <si>
    <t>2815</t>
  </si>
  <si>
    <t>Hidróxido de sódio (soda cáustica); hidróxido de potássio (potassa cáustica); peróxidos de sódio ou de potássio</t>
  </si>
  <si>
    <t>2816</t>
  </si>
  <si>
    <t>Hidróxido e peróxido de magnésio; óxidos, hidróxidos e peróxidos, de estrôncio ou de bário</t>
  </si>
  <si>
    <t>2817</t>
  </si>
  <si>
    <t>Óxido de zinco; peróxido de zinco</t>
  </si>
  <si>
    <t>2818</t>
  </si>
  <si>
    <t>Corindo artificial, quimicamente definido ou não; óxido de alumínio; hidróxido de alumínio</t>
  </si>
  <si>
    <t>2819</t>
  </si>
  <si>
    <t>Óxidos e hidróxidos de crómio</t>
  </si>
  <si>
    <t>2820</t>
  </si>
  <si>
    <t>Óxidos de manganés</t>
  </si>
  <si>
    <t>2821</t>
  </si>
  <si>
    <t>Óxidos e hidróxidos de ferro; terras corantes contendo, em peso, 70 % ou mais de ferro combinado, expresso em Fe2O3</t>
  </si>
  <si>
    <t>2822</t>
  </si>
  <si>
    <t>Óxidos e hidróxidos de cobalto, inclusive os comerciais</t>
  </si>
  <si>
    <t>2823</t>
  </si>
  <si>
    <t>Óxidos de titânio</t>
  </si>
  <si>
    <t>2824</t>
  </si>
  <si>
    <t>Óxidos de chumbo; mínio (zarcão) e mínio-laranja (mine-orange)</t>
  </si>
  <si>
    <t>2825</t>
  </si>
  <si>
    <t>Hidrazina e hidroxilamina, e seus sais inorgânicos; outras bases inorgânicas; outros óxidos, hidróxidos e peróxidos, de metais</t>
  </si>
  <si>
    <t>2826</t>
  </si>
  <si>
    <t>Fluoretos; fluorossilicatos, fluoroaluminatos e outros sais complexos de flúor</t>
  </si>
  <si>
    <t>2827</t>
  </si>
  <si>
    <t>Cloretos, oxicloretos e hidroxicloretos; brometos e oxibrometos; iodetos e oxiiodetos</t>
  </si>
  <si>
    <t>2828</t>
  </si>
  <si>
    <t>Hipocloritos; hipoclorito de cálcio comercial; cloritos; hipobromitos</t>
  </si>
  <si>
    <t>2829</t>
  </si>
  <si>
    <t>Cloratos e percloratos; bromatos e perbromatos; iodatos e periodatos</t>
  </si>
  <si>
    <t>2830</t>
  </si>
  <si>
    <t>Sulfuretos; polissulfuretos, de constituição química definida ou não</t>
  </si>
  <si>
    <t>2831</t>
  </si>
  <si>
    <t>Ditionites e sulfoxilatos</t>
  </si>
  <si>
    <t>2832</t>
  </si>
  <si>
    <t>Sulfitos; tiosulfatos</t>
  </si>
  <si>
    <t>2833</t>
  </si>
  <si>
    <t>Sulfatos; alúmenes; peroxosulfatos (persulfatos)</t>
  </si>
  <si>
    <t>2834</t>
  </si>
  <si>
    <t>Nitritos; nitratos</t>
  </si>
  <si>
    <t>2835</t>
  </si>
  <si>
    <t>Fosfinatos (hipofosfitos), fosfonatos (fosfitos) e fosfatos; polifosfatos, de constituição química definida ou não:</t>
  </si>
  <si>
    <t>2836</t>
  </si>
  <si>
    <t>Carbonatos; peroxocarbonatos (percarbonatos); carbonato de amónio comercial contendo carbamato de amónio</t>
  </si>
  <si>
    <t>2837</t>
  </si>
  <si>
    <t>Cianetos, oxicianetos e cianetos complexos</t>
  </si>
  <si>
    <t>2838</t>
  </si>
  <si>
    <t>Fulminatos, cianatos e tiocianatos</t>
  </si>
  <si>
    <t>2839</t>
  </si>
  <si>
    <t>Silicatos; silicatos dos metais alcalinos comerciais</t>
  </si>
  <si>
    <t>2840</t>
  </si>
  <si>
    <t>Boratos; peroxoboratos (perboratos)</t>
  </si>
  <si>
    <t>2841</t>
  </si>
  <si>
    <t>Sais dos ácidos oxometálicos ou peroxometálicos</t>
  </si>
  <si>
    <t>2842</t>
  </si>
  <si>
    <t>Outros sais dos ácidos ou peroxoácidos inorgânicos (incluindo aluminossilicatos de constituição química definida ou não), exceto azidas</t>
  </si>
  <si>
    <t>2843</t>
  </si>
  <si>
    <t>Metais preciosos no estado coloidal; compostos inorgânicos ou orgânicos de metais preciosos, de constituição química definida ou não; amálgamas de metais preciosos</t>
  </si>
  <si>
    <t>2844</t>
  </si>
  <si>
    <t>Elementos químicos radioactivos e isótopos radioactivos (incluídos os elementos químicos e isótopos cindíveis ou férteis), e seus compostos; misturas e resíduos contendo esses produtos</t>
  </si>
  <si>
    <t>2845</t>
  </si>
  <si>
    <t>Isótopos não incluídos na posição 2844; seus compostos inorgânicos ou orgânicos, de constituição química definida ou não</t>
  </si>
  <si>
    <t>2846</t>
  </si>
  <si>
    <t>Compostos, inorgânicos ou orgânicos, dos metais das terras raras, de ítrio ou de escândio ou das misturas destes metais</t>
  </si>
  <si>
    <t>2847</t>
  </si>
  <si>
    <t>Peróxido de hidrogênio (água oxigenada), mesmo solidificado com ureia</t>
  </si>
  <si>
    <t>2848</t>
  </si>
  <si>
    <t>Fosfetos, exceto ferrofósforos, quimicamente definidos ou não</t>
  </si>
  <si>
    <t>2849</t>
  </si>
  <si>
    <t>Carbonetos de constituição química definida ou não</t>
  </si>
  <si>
    <t>2850</t>
  </si>
  <si>
    <t>Hidretos, nitretos, azidas, silicietos e boretos, quimicamente definidos ou não</t>
  </si>
  <si>
    <t>2851</t>
  </si>
  <si>
    <t>Compostos inorgânicos nesoi: liq ar: amálgamas nesoi</t>
  </si>
  <si>
    <t>2852</t>
  </si>
  <si>
    <t>Compostos, inorgânicos ou orgânicos, de mercúrio, de constituição química definida ou não, exceto as amálgamas</t>
  </si>
  <si>
    <t>2853</t>
  </si>
  <si>
    <t>Outros compostos inorgânicos (incluídas as águas destiladas, de condutibilidade ou de igual grau de pureza); ar líquido (incluído o ar líquido cujos gases raros foram eliminados); ar comprimido; amálgamas, exceto de metais preciosos.</t>
  </si>
  <si>
    <t>29</t>
  </si>
  <si>
    <t>Produtos químicos orgânicos</t>
  </si>
  <si>
    <t>2901</t>
  </si>
  <si>
    <t>Hidrocarbonetos acíclicos</t>
  </si>
  <si>
    <t>2902</t>
  </si>
  <si>
    <t>Hidrocarbonetos cíclicos</t>
  </si>
  <si>
    <t>2903</t>
  </si>
  <si>
    <t>Derivados halogenados dos hidrocarbonetos</t>
  </si>
  <si>
    <t>2904</t>
  </si>
  <si>
    <t>Derivados sulfonados, nitrados ou nitrosados dos hidrocarbonetos, mesmo halogenados</t>
  </si>
  <si>
    <t>2905</t>
  </si>
  <si>
    <t>Álcoois acíclicos e seus derivados halogenados, sulfonados, nitrados ou nitrosados</t>
  </si>
  <si>
    <t>2906</t>
  </si>
  <si>
    <t>Álcoois cíclicos e seus derivados halogenados, sulfonados, nitrados ou nitrosados</t>
  </si>
  <si>
    <t>2907</t>
  </si>
  <si>
    <t>Fenóis; fenóis-álcoois</t>
  </si>
  <si>
    <t>2908</t>
  </si>
  <si>
    <t>Derivados halogenados, sulfonados, nitrados ou nitrosados dos fenóis ou dos fenóis-álcoois</t>
  </si>
  <si>
    <t>2909</t>
  </si>
  <si>
    <t>Éteres, éteres-álcoois, éteres-fenóis, éteres-álcoois-fenóis, peróxidos de álcoois, peróxidos de éteres, peróxidos de cetonas (de constituição química definida ou não), e seus derivados halogenados, sulfonados, nitrados ou nitrosados</t>
  </si>
  <si>
    <t>2910</t>
  </si>
  <si>
    <t>Epóxidos, epoxi-álcoois, epoxi-fenóis e epoxi-éteres, com três átomos no ciclo, e seus derivados halogenados, sulfonados, nitrados ou nitrosados</t>
  </si>
  <si>
    <t>2911</t>
  </si>
  <si>
    <t>Acetais, semi-acetais, mesmo contendo outras funções oxigenadas, e seus derivados halogenados, sulfonados, nitrados ou nitrosados</t>
  </si>
  <si>
    <t>2912</t>
  </si>
  <si>
    <t>Aldeídos, mesmo contendo outras funções oxigenadas; polímeros cíclicos dos aldeídos; paraformaldeído</t>
  </si>
  <si>
    <t>2913</t>
  </si>
  <si>
    <t>Derivados halogenados, sulfonados, nitrados ou nitrosados dos produtos da posição 2912</t>
  </si>
  <si>
    <t>2914</t>
  </si>
  <si>
    <t>Cetonas e quinonas, mesmo contendo outras funções oxigenadas, e seus derivados halogenados, sulfonados, nitratos ou nitrosados</t>
  </si>
  <si>
    <t>2915</t>
  </si>
  <si>
    <t>Ácidos monocarboxílicos acíclicos saturados e seus anidridos, halogenetos, peróxidos e peroxiácidos; seus derivados halogenados, sulfonados, nitrados ou nitrosados</t>
  </si>
  <si>
    <t>2916</t>
  </si>
  <si>
    <t>Ácidos monocarboxílicos acíclicos não saturados e ácidos monocarboxílicos cíclicos, seus anidridos, halogenetos, peróxidos e peroxiácidos; seus derivados halogenados, sulfonados, nitrados ou nitrosados</t>
  </si>
  <si>
    <t>2917</t>
  </si>
  <si>
    <t>Ácidos policarboxílicos, seus anidridos, halogenetos, peróxidos e peroxiácidos; seus derivados halogenados, sulfonados, nitrados ou nitrosados</t>
  </si>
  <si>
    <t>2918</t>
  </si>
  <si>
    <t>Ácidos carboxílicos contendo funções oxigenadas suplementares e seus anidridos, halogenetos, peróxidos e peroxiácidos; seus derivados halogenados, sulfonados, nitrados ou nitrosados</t>
  </si>
  <si>
    <t>2919</t>
  </si>
  <si>
    <t>Ésteres fosfóricos e seus sais, incluindo os lactofosfatos; seus derivados halogenados, sulfonados, nitrados ou nitrosados</t>
  </si>
  <si>
    <t>2920</t>
  </si>
  <si>
    <t>Ésteres de outros ácidos inorgânicos de não-metais (exceto os ésteres de halogenetos de hidrogénio) e seus sais; seus derivados halogenados, sulfonados, nitrados ou nitrosados</t>
  </si>
  <si>
    <t>2921</t>
  </si>
  <si>
    <t>Compostos de função amina</t>
  </si>
  <si>
    <t>2922</t>
  </si>
  <si>
    <t>Compostos aminados de funções oxigenadas</t>
  </si>
  <si>
    <t>2923</t>
  </si>
  <si>
    <t>Sais e hidróxidos de amónio quaternários; lecitinas e outros fosfoaminolípidos, de constitução química definida ou não</t>
  </si>
  <si>
    <t>2924</t>
  </si>
  <si>
    <t>Compostos de função carboxiamida; compostos de função amida do ácido carbónico</t>
  </si>
  <si>
    <t>2925</t>
  </si>
  <si>
    <t>Compostos de função carboxiimida (incluindo a sacarina e seus sais) ou de função imina</t>
  </si>
  <si>
    <t>2926</t>
  </si>
  <si>
    <t>Compostos de função nitrilo</t>
  </si>
  <si>
    <t>2927</t>
  </si>
  <si>
    <t>Compostos diazóicos, azóicos e azóxicos</t>
  </si>
  <si>
    <t>2928</t>
  </si>
  <si>
    <t>Derivados orgânicos da hidrazina e hidroxilamina</t>
  </si>
  <si>
    <t>2929</t>
  </si>
  <si>
    <t>Compostos de outras funções azotadas (nitrogenadas)</t>
  </si>
  <si>
    <t>2930</t>
  </si>
  <si>
    <t>Tiocompostos orgânicos</t>
  </si>
  <si>
    <t>2931</t>
  </si>
  <si>
    <t>Outros compostos organo-inorgânicos</t>
  </si>
  <si>
    <t>2932</t>
  </si>
  <si>
    <t>Compostos heterocíclicos exclusivamente de hetero-átomo(s) de oxigénio</t>
  </si>
  <si>
    <t>2933</t>
  </si>
  <si>
    <t>Compostos heterocíclicos, exclusivamente de hetero-átomo(s) de azoto (nitrogénio)</t>
  </si>
  <si>
    <t>2934</t>
  </si>
  <si>
    <t>Ácidos nucleicos e seus sais, de constituição química definida ou não; outros compostos heterocíclicos</t>
  </si>
  <si>
    <t>2935</t>
  </si>
  <si>
    <t>Sulfonamidas</t>
  </si>
  <si>
    <t>2936</t>
  </si>
  <si>
    <t>Provitaminas e vitaminas, naturais ou sintéticas (incluídos os concentrados naturais), bem como os seus derivados utilizados principalmente como vitaminas, misturados ou não entre si, mesmo em quaisquer soluções</t>
  </si>
  <si>
    <t>2937</t>
  </si>
  <si>
    <t>Hormonas, prostaglandinas, tromboxanos e leucotrienos, naturais ou reproduzidos por síntese; seus derivados e análogos estruturais, incluindo os polipéptidos de cadeia modificada, utilizados principalmente como hormonas</t>
  </si>
  <si>
    <t>2938</t>
  </si>
  <si>
    <t>Heterósidos, naturais ou sintéticos, seus sais, éteres, ésteres e outros derivados</t>
  </si>
  <si>
    <t>2939</t>
  </si>
  <si>
    <t>Alcalóides vegetais, naturais ou sintéticos, seus sais, éteres, ésteres e outros derivados</t>
  </si>
  <si>
    <t>2940</t>
  </si>
  <si>
    <t>Açúcares quimicamente puros, exceto sacarose, lactose, maltose, glicose e frutose; seus éteres e ésteres e seus sais</t>
  </si>
  <si>
    <t>2941</t>
  </si>
  <si>
    <t>Antibióticos</t>
  </si>
  <si>
    <t>2942</t>
  </si>
  <si>
    <t>Outros compostos orgânicos</t>
  </si>
  <si>
    <t>30</t>
  </si>
  <si>
    <t>Produtos farmacêuticos</t>
  </si>
  <si>
    <t>3001</t>
  </si>
  <si>
    <t>Glândulas e outros órgãos para usos opoterápicos, dessecados, mesmo em pó; extractos de glândulas ou de outros órgãos ou das suas secreções, para usos opoterápicos; heparina e seus sais; outras substâncias humanas ou animais preparadas para fins terapêuti</t>
  </si>
  <si>
    <t>3002</t>
  </si>
  <si>
    <t>Sangue humano; sangue animal preparado para usos terapêuticos, profilácticos ou de diagnóstico; anti-soros, outras fracções do sangue, produtos imunológicos modificados, mesmo obtidos por via biotecnológica; vacinas, toxinas, culturas de microrganismos (e</t>
  </si>
  <si>
    <t>3003</t>
  </si>
  <si>
    <t>Medicamentos (exceto os produtos das posições 3002, 3005 ou 3006) constituídos por produtos misturados entre si, preparados para fins terapêuticos ou profilácticos, mas não apresentados em doses nem acondicionados para venda a retalho</t>
  </si>
  <si>
    <t>3004</t>
  </si>
  <si>
    <t>Medicamentos (exceto os produtos das posições 3002, 3005 ou 3006) constituídos por produtos misturados ou não misturados, preparados para fins terapêuticos ou profilácticos, apresentados em doses (incluindo os destinados a serem administrados por via sub</t>
  </si>
  <si>
    <t>3005</t>
  </si>
  <si>
    <t>Pastas (ouates), gazes, ataduras e artigos análogos (por exemplo: pensos, esparadrapos, sinapismos), impregnados ou recobertos de substâncias farmacêuticas ou acondicionados para venda a retalho para usos medicinais, cirúrgicos, dentários ou veterinários</t>
  </si>
  <si>
    <t>3006</t>
  </si>
  <si>
    <t>Preparações e artigos farmacêuticos indicados na Nota 4 do presente capítulo</t>
  </si>
  <si>
    <t>31</t>
  </si>
  <si>
    <t>Adubos (fertilizantes)</t>
  </si>
  <si>
    <t>3101</t>
  </si>
  <si>
    <t>Adubos (fertilizantes) de origem animal ou vegetal, mesmo misturados entre si ou tratados quimicamente; adubos (fertilizantes) resultantes da mistura ou do tratamento químico de produtos de origem animal ou vegetal</t>
  </si>
  <si>
    <t>3102</t>
  </si>
  <si>
    <t>Adubos (fertilizantes) minerais ou químicos, azotados</t>
  </si>
  <si>
    <t>3103</t>
  </si>
  <si>
    <t>Adubos (fertilizantes) minerais ou químicos, fosfatados</t>
  </si>
  <si>
    <t>3104</t>
  </si>
  <si>
    <t>Adubos (fertilizantes) minerais ou químicos, potássicos</t>
  </si>
  <si>
    <t>3105</t>
  </si>
  <si>
    <t>Adubos (fertilizantes) minerais ou químicos, contendo dois ou três dos seguintes elementos fertilizantes: azoto (nitrogénio), fósforo e potássio; outros adubos (fertilizantes); produtos do presente capítulo apresentados em tabletes ou formas semelhantes,</t>
  </si>
  <si>
    <t>32</t>
  </si>
  <si>
    <t>Extratos tanantes e tintoriais; taninos e seus derivados; pigmentos e outras matérias corantes; tintas e vernizes; mástiques; tintas de escrever</t>
  </si>
  <si>
    <t>3201</t>
  </si>
  <si>
    <t>Extractos tanantes de origem vegetal; taninos e seus sais, éteres, ésteres e outros derivados</t>
  </si>
  <si>
    <t>3202</t>
  </si>
  <si>
    <t>Produtos tanantes orgânicos sintéticos; produtos tanantes inorgânicos; preparações tanantes, mesmo contendo produtos tanantes naturais; preparações enzimáticas para a pré-curtimenta</t>
  </si>
  <si>
    <t>3203</t>
  </si>
  <si>
    <t>Matérias corantes de origem vegetal ou animal e preparações à base dessas matérias</t>
  </si>
  <si>
    <t>3204</t>
  </si>
  <si>
    <t>Matérias corantes orgânicas sintéticas, mesmo de constituição química definida; preparações indicadas na Nota 3 do presente capítulo, à base de matérias corantes orgânicas sintéticas; produtos orgânicos sintéticos dos tipos utilizados como agentes de aviv</t>
  </si>
  <si>
    <t>3205</t>
  </si>
  <si>
    <t>Lacas corantes e suas preparações</t>
  </si>
  <si>
    <t>3206</t>
  </si>
  <si>
    <t>Outras matérias corantes; preparações indicadas na Nota 3 do presente capítulo, exceto das posições 3203, 3204 ou 3205; produtos inorgânicos dos tipos utilizados como luminóforos, mesmo de constituição química definida</t>
  </si>
  <si>
    <t>3207</t>
  </si>
  <si>
    <t>Pigmentos, opacificantes e cores preparados, composições vitrificáveis, engobos, esmaltes metálicos líquidos e preparações semelhantes, dos tipos utilizados nas indústrias da cerâmica, do esmalte e do vidro; fritas de vidro e outros vidros, em pó, em grân</t>
  </si>
  <si>
    <t>3208</t>
  </si>
  <si>
    <t>Tintas e vernizes, à base de polímeros sintéticos ou de polímeros naturais modificados, dispersos ou dissolvidos em meio não aquoso; soluções definidas na Nota 4 do presente capítulo</t>
  </si>
  <si>
    <t>3209</t>
  </si>
  <si>
    <t>Tintas e vernizes, à base de polímeros sintéticos ou de polímeros naturais modificados, dispersos ou dissolvidos num meio aquoso</t>
  </si>
  <si>
    <t>3210</t>
  </si>
  <si>
    <t>Outras tintas e vernizes; pigmentos a água preparados, utilizados para acabamento de couros</t>
  </si>
  <si>
    <t>3211</t>
  </si>
  <si>
    <t>Secantes preparados</t>
  </si>
  <si>
    <t>3212</t>
  </si>
  <si>
    <t>Pigmentos (incluídos os pós e flocos metálicos) dispersos em meios não aquosos, no estado líquido ou pastoso, dos tipos utilizados na fabricação de tintas; folhas para marcar a ferro; tinturas e outras matérias corantes apresentadas em formas próprias ou</t>
  </si>
  <si>
    <t>3213</t>
  </si>
  <si>
    <t>Cores para pintura artística, actividades educativas, pintura de tabuletas, modificação de tonalidades, recreação e cores semelhantes, em pastilhas, tubos, potes, frascos, godés ou acondicionamentos semelhantes</t>
  </si>
  <si>
    <t>3214</t>
  </si>
  <si>
    <t>Mástique de vidraceiro, cimentos de resina e outros mástiques; indutos utilizados em pintura; indutos não refractários do tipo dos utilizados em alvenaria</t>
  </si>
  <si>
    <t>3215</t>
  </si>
  <si>
    <t>Tintas de impressão, tintas de escrever ou de desenhar e outras tintas, mesmo concentradas ou no estado sólido</t>
  </si>
  <si>
    <t>33</t>
  </si>
  <si>
    <t>Óleos essenciais e resinóides; produtos de perfumaria ou de toucador preparados e preparações cosméticas</t>
  </si>
  <si>
    <t>3301</t>
  </si>
  <si>
    <t>Óleos essenciais (desterpenizados ou não), incluídos os chamados « concretos » ou « absolutos »; resinóides; oleorresinas de extracção; soluções concentradas de óleos essenciais em gorduras, em óleos fixos, em ceras ou em matérias análogas, obtidas por tr</t>
  </si>
  <si>
    <t>3302</t>
  </si>
  <si>
    <t>Misturas de substâncias odoríferas e misturas (incluídas as soluções alcoólicas) à base de uma ou mais destas substâncias, dos tipos utilizados como matérias básicas para a indústria; outras preparações à base de substâncias odoríferas, dos tipos utilizad</t>
  </si>
  <si>
    <t>3303</t>
  </si>
  <si>
    <t>Perfumes (extratos) e águas-de-colônia</t>
  </si>
  <si>
    <t>3304</t>
  </si>
  <si>
    <t>Produtos de beleza ou de maquilhagem preparados e preparações para conservação ou cuidados da pele (exceto medicamentos), incluídas as preparações anti-solares e os bronzeadores; preparações para manicuros e pedicuros</t>
  </si>
  <si>
    <t>3305</t>
  </si>
  <si>
    <t>Preparações capilares</t>
  </si>
  <si>
    <t>3306</t>
  </si>
  <si>
    <t>Preparações para higiene bucal ou dentária, incluídos os pós e cremes para facilitar a aderência das dentaduras; fios utilizados para limpar os espaços interdentais (fio dental), em embalagens para venda a retalho</t>
  </si>
  <si>
    <t>3307</t>
  </si>
  <si>
    <t>Preparações para barbear (antes, durante ou após), desodorizantes corporais, preparações para banhos, depilatórios, outros produtos de perfumaria ou de toucador preparados e outras preparações cosméticas, não especificados nem compreendidos em outras posi</t>
  </si>
  <si>
    <t>34</t>
  </si>
  <si>
    <t>Sabões, agentes orgânicos de superfície, preparações para lavagem, preparações lubrificantes, ceras artificiais, ceras preparadas, produtos de conservação e limpeza, velas e artigos semelhantes, massas ou pastas para modelar, "ceras" para dentistas e Comp</t>
  </si>
  <si>
    <t>3401</t>
  </si>
  <si>
    <t>Sabões; produtos e preparações orgânicos tensoactivos utilizados como sabão, em barras, pães, pedaços ou figuras moldadas, mesmo contendo sabão; produtos e preparações orgânicos tensoactivos para lavagem da pele, sob a forma de líquido ou de creme, acondi</t>
  </si>
  <si>
    <t>3402</t>
  </si>
  <si>
    <t>Agentes orgânicos de superfície (exceto sabões); preparações tensoactivas, preparações para lavagem (incluídas as preparações auxiliares de lavagem) e preparações para lavagem, mesmo contendo sabão, exceto as da posição 3401</t>
  </si>
  <si>
    <t>3403</t>
  </si>
  <si>
    <t>Preparações lubrificantes (incluídos os óleos de corte, as preparações antiaderentes de porcas e parafusos, as preparações antiferrugem ou anticorrosão e as preparações para desmoldagem, à base de lubrificantes) e preparações dos tipos utilizados para lub</t>
  </si>
  <si>
    <t>3404</t>
  </si>
  <si>
    <t>Ceras artificiais e ceras preparadas</t>
  </si>
  <si>
    <t>3405</t>
  </si>
  <si>
    <t>Pomadas e cremes para calçado, encáusticos, preparações para dar brilho a pinturas de carroçarias, vidros ou metais, pastas e pós para arear e preparações semelhantes [mesmo apresentados em papel, pastas (ouates), feltros, falsos tecidos, plástico ou borr</t>
  </si>
  <si>
    <t>3406</t>
  </si>
  <si>
    <t>Velas, pavios, cirios e artigos semelhantes</t>
  </si>
  <si>
    <t>3407</t>
  </si>
  <si>
    <t>Pastas para modelar, ceras para dentistas e outras composições para dentistas à base de gesso</t>
  </si>
  <si>
    <t>35</t>
  </si>
  <si>
    <t>Matérias albuminóides; produtos à base de amidos ou de féculas modificados; colas; enzimas</t>
  </si>
  <si>
    <t>3501</t>
  </si>
  <si>
    <t>Caseínas, caseinatos e outros derivados das caseínas; colas de caseína</t>
  </si>
  <si>
    <t>3502</t>
  </si>
  <si>
    <t>Albuminas (incluídos os concentrados de várias proteínas de soro de leite, contendo, em peso calculado sobre matéria seca, mais de 80 % de proteínas do soro de leite), albuminatos e outros derivados das albuminas</t>
  </si>
  <si>
    <t>3503</t>
  </si>
  <si>
    <t>Gelatinas e seus derivados; ictiocola e outras colas de origem animal, exceto cola de caseína</t>
  </si>
  <si>
    <t>3504</t>
  </si>
  <si>
    <t>Peptonas e seus derivados; outras matérias protéicas e seus derivados; pó de peles</t>
  </si>
  <si>
    <t>3505</t>
  </si>
  <si>
    <t>Dextrina e outros amidos e féculas modificados (por exemplo: amidos e féculas pré-gelatinizados ou esterificados); colas à base de amidos ou de féculas, de dextrina ou de outros amidos ou féculas modificados</t>
  </si>
  <si>
    <t>3506</t>
  </si>
  <si>
    <t>Colas e outros adesivos preparados, não especificados nem compreendidos em outras posições; produtos de qualquer espécie utilizados como colas ou adesivos, acondicionados para venda a retalho como colas ou adesivos, com peso líquido não superior a 1 kg</t>
  </si>
  <si>
    <t>3507</t>
  </si>
  <si>
    <t>Enzimas; enzimas preparadas não especificadas nem compreendidas em outras posições</t>
  </si>
  <si>
    <t>36</t>
  </si>
  <si>
    <t>Pólvoras e explosivos; artigos de pirotecnia; fósforos; ligas pirofóricas; matérias inflamáveis</t>
  </si>
  <si>
    <t>3601</t>
  </si>
  <si>
    <t>Pólvoras propulsivas</t>
  </si>
  <si>
    <t>3602</t>
  </si>
  <si>
    <t>Explosivos preparados, exceto pólvoras propulsivas</t>
  </si>
  <si>
    <t>3603</t>
  </si>
  <si>
    <t>Estopins e rastilhos, de segurança; cordéis detonantes; fulminantes e cápsulas fulminantes; escorvas; detonadores elétricos</t>
  </si>
  <si>
    <t>3604</t>
  </si>
  <si>
    <t>Fogos de artifício, foguetes de sinalização ou contra o granizo e semelhantes, bombas, petardos e outros artigos de pirotecnia</t>
  </si>
  <si>
    <t>3605</t>
  </si>
  <si>
    <t>Fósforos, exceto os artigos de pirotecnia</t>
  </si>
  <si>
    <t>3606</t>
  </si>
  <si>
    <t>Ferrocério e outras ligas pirofóricas, sob quaisquer formas; artigos de matérias inflamáveis indicados na Nota 2 do presente capítulo</t>
  </si>
  <si>
    <t>37</t>
  </si>
  <si>
    <t>Produtos para fotografia e cinematografia</t>
  </si>
  <si>
    <t>3701</t>
  </si>
  <si>
    <t>Chapas e filmes planos, fotográficos, sensibilizados, não impressionados, de matérias diferentes do papel, do cartão ou dos têxteis; filmes fotográficos planos, de revelação e cópia instantâneas, sensibilizados, não impressionados, mesmo em cartuchos</t>
  </si>
  <si>
    <t>3702</t>
  </si>
  <si>
    <t>Filmes fotográficos sensibilizados, não impressionados, em rolos, de matérias diferentes do papel, do cartão ou dos têxteis; filmes fotográficos de revelação e cópia instantâneas, em rolos, sensibilizados, não impressionados</t>
  </si>
  <si>
    <t>3703</t>
  </si>
  <si>
    <t>Papéis, cartões e têxteis, fotográficos, sensibilizados, não impressionados</t>
  </si>
  <si>
    <t>3704</t>
  </si>
  <si>
    <t>Chapas, filmes, papéis, cartões e têxteis, fotográficos, impressionados mas não revelados</t>
  </si>
  <si>
    <t>3705</t>
  </si>
  <si>
    <t>Chapas e filmes, fotográficos, impressionados e revelados, exceto filmes cinematográficos</t>
  </si>
  <si>
    <t>3706</t>
  </si>
  <si>
    <t>Filmes cinematográficos impressionados e revelados, contendo ou não gravação de som ou contendo apenas gravação de som</t>
  </si>
  <si>
    <t>3707</t>
  </si>
  <si>
    <t>Preparações químicas para usos fotográficos, exceto vernizes, colas, adesivos e preparações semelhantes; produtos não misturados, quer doseados tendo em vista usos fotográficos, quer acondicionados para venda a retalho para esses mesmos usos e prontos pa</t>
  </si>
  <si>
    <t>38</t>
  </si>
  <si>
    <t>Produtos diversos das indústrias químicas</t>
  </si>
  <si>
    <t>3801</t>
  </si>
  <si>
    <t>Grafite artificial; grafite coloidal ou semicoloidal; preparações à base de grafite ou de outros carbonos, em pastas, blocos, lamelas ou outros produtos intermediários</t>
  </si>
  <si>
    <t>3802</t>
  </si>
  <si>
    <t>Carvões activados; matérias minerais naturais activadas; negros de origem animal, incluído o negro animal esgotado</t>
  </si>
  <si>
    <t>3803</t>
  </si>
  <si>
    <t>Tall oil, mesmo refinado</t>
  </si>
  <si>
    <t>3804</t>
  </si>
  <si>
    <t>Lixívias residuais da fabricação de pasta de celulose, incluídos os lignossulfonatos</t>
  </si>
  <si>
    <t>3805</t>
  </si>
  <si>
    <t>Essências de terebintina, de pinheiro ou provenientes da fabricação da pasta de papel ao sulfato e outras essências terpénicas provenientes da destilação ou de outros tratamentos das madeiras de coníferas; dipenteno em bruto; essência proveniente da fabri</t>
  </si>
  <si>
    <t>3806</t>
  </si>
  <si>
    <t>Colofónias e ácidos resínicos, e seus derivados; essência de colofónia e óleos de colofónia; gomas fundidas</t>
  </si>
  <si>
    <t>3807</t>
  </si>
  <si>
    <t>Alcatrões de madeira; óleos de alcatrão de madeira; creosoto de madeira; metileno; breu (pez) vegetal; breu (pez) para a indústria da cerveja e preparações semelhantes à base de colofônias, de ácidos resínicos ou de breu (pez) vegetal</t>
  </si>
  <si>
    <t>3808</t>
  </si>
  <si>
    <t>Insecticidas, rodenticidas, fungicidas, herbicidas, inibidores de germinação e reguladores de crescimento para plantas, desinfectantes e produtos semelhantes, apresentados em formas ou embalagens para venda a retalho ou como preparações ou ainda sob a for</t>
  </si>
  <si>
    <t>3809</t>
  </si>
  <si>
    <t>Agentes de apresto ou de acabamento, aceleradores de tingimento ou de fixação de matérias corantes e outros produtos e preparações (por exemplo: aprestos preparados e preparações mordentes) dos tipos utilizados na indústria têxtil, na indústria do papel,</t>
  </si>
  <si>
    <t>3810</t>
  </si>
  <si>
    <t>Preparações para decapagem de metais; fluxos para soldar e outras preparações auxiliares para soldar metais; pastas e pós para soldar, compostos de metal e outras matérias; preparações dos tipos utilizados para enchimento ou revestimento de eléctrodos ou</t>
  </si>
  <si>
    <t>3811</t>
  </si>
  <si>
    <t>Preparações antidetonantes, inibidores de oxidação, aditivos peptizantes, beneficiadores de viscosidade, aditivos anticorrosivos e outros aditivos preparados, para óleos minerais (incluída a gasolina) ou para outros líquidos utilizados para os mesmos fins</t>
  </si>
  <si>
    <t>3812</t>
  </si>
  <si>
    <t>Preparações denominadas « aceleradores de vulcanização »; plastificantes compostos para borracha ou plástico, não especificados nem compreendidos em outras posições; preparações antioxidantes e outros estabilizadores compostos, para borracha ou plástico</t>
  </si>
  <si>
    <t>3813</t>
  </si>
  <si>
    <t>Composições e cargas para aparelhos extintores; granadas e bombas extintoras</t>
  </si>
  <si>
    <t>3814</t>
  </si>
  <si>
    <t>Solventes e diluentes orgânicos compostos; preparações para remover tintas ou vernizes</t>
  </si>
  <si>
    <t>3815</t>
  </si>
  <si>
    <t>Iniciadores de reacção, aceleradores de reacção e preparações catalíticas, não especificados nem compreendidos em outras posições</t>
  </si>
  <si>
    <t>3816</t>
  </si>
  <si>
    <t>Cimentos, argamassas, concretos e composições semelhantes, refratários</t>
  </si>
  <si>
    <t>3817</t>
  </si>
  <si>
    <t>Misturas de alquilbenzenos ou de alquilnaftalenos</t>
  </si>
  <si>
    <t>3818</t>
  </si>
  <si>
    <t>Elementos químicos impurificados, para utilização eletrônica</t>
  </si>
  <si>
    <t>3819</t>
  </si>
  <si>
    <t>Fluidos para freios hidráulicos e outros líquidos preparados para transmissões hidráulicas, que não contenham óleos de petróleo nem de minerais betuminosos, ou que os contenham em proporção inferior a 70 %, em peso</t>
  </si>
  <si>
    <t>3820</t>
  </si>
  <si>
    <t>Preparações anticongelantes e líquidos preparados para descongelamento</t>
  </si>
  <si>
    <t>3821</t>
  </si>
  <si>
    <t>Meios de cultura preparados para o desenvolvimento e a manutenção de microrganismos (incluindo os vírus e os organismos similares) ou de células vegetais, humanas ou animais</t>
  </si>
  <si>
    <t>3822</t>
  </si>
  <si>
    <t>Reagentes de diagnóstico ou de laboratório, em qualquer suporte ou preparados, exceto os das posições 3002 ou 3006; materiais de referência certificados</t>
  </si>
  <si>
    <t>3823</t>
  </si>
  <si>
    <t>Ácidos gordos monocarboxílicos industriais; óleos ácidos de refinação; alcoóis gordos industriais</t>
  </si>
  <si>
    <t>3824</t>
  </si>
  <si>
    <t>Aglutinantes preparados para moldes ou para núcleos de fundição; produtos químicos e preparações das indústrias químicas ou das indústrias conexas (incluídos os constituídos por misturas de produtos naturais), não especificados nem compreendidos noutras p</t>
  </si>
  <si>
    <t>3825</t>
  </si>
  <si>
    <t>Produtos residuais das indústrias químicas ou das indústrias conexas, não especificados nem compreendidos em outras posições; resíduos municipais; lamas de depuração; outros resíduos mencionados na Nota 6 do presente capítulo</t>
  </si>
  <si>
    <t>3826</t>
  </si>
  <si>
    <t>Biodiesel e suas misturas, que não contenham ou que contenham menos de 70 %, em peso, de óleos de petróleo ou de óleos minerais betuminosos</t>
  </si>
  <si>
    <t>3827</t>
  </si>
  <si>
    <t>Misturas que contenham derivados halogenados do metano, do etano</t>
  </si>
  <si>
    <t>39</t>
  </si>
  <si>
    <t>Plásticos e suas obras</t>
  </si>
  <si>
    <t>3901</t>
  </si>
  <si>
    <t>Polímeros de etileno, em formas primárias</t>
  </si>
  <si>
    <t>3902</t>
  </si>
  <si>
    <t>Polímeros de propileno ou de outras olefinas, em formas primárias</t>
  </si>
  <si>
    <t>3903</t>
  </si>
  <si>
    <t>Polímeros de estireno, em formas primárias</t>
  </si>
  <si>
    <t>3904</t>
  </si>
  <si>
    <t>Polímeros de cloreto de vinilo ou de outras olefinas halogenadas, em formas primárias</t>
  </si>
  <si>
    <t>3905</t>
  </si>
  <si>
    <t>Polímeros de acetato de vinilo ou de outros ésteres de vinilo, em formas primárias; outros polímeros de vinilo, em formas primárias</t>
  </si>
  <si>
    <t>3906</t>
  </si>
  <si>
    <t>Polímeros acrílicos, em formas primárias</t>
  </si>
  <si>
    <t>3907</t>
  </si>
  <si>
    <t>Poliacetais, outros poliéteres e resinas epóxidas, em formas primárias; policarbonatos, resinas alquídicas, poliésteres alílicos e outros poliésteres, em formas primárias</t>
  </si>
  <si>
    <t>3908</t>
  </si>
  <si>
    <t>Poliamidas em formas primárias</t>
  </si>
  <si>
    <t>3909</t>
  </si>
  <si>
    <t>Resinas amínicas, resinas fenólicas e poliuretanos, em formas primárias</t>
  </si>
  <si>
    <t>3910</t>
  </si>
  <si>
    <t>Silicones, em formas primárias</t>
  </si>
  <si>
    <t>3911</t>
  </si>
  <si>
    <t>Resinas de petróleo, resinas de cumarona-indeno, politerpenos, polissulfuretos, polissulfonas e outros produtos mencionados na Nota 3 do presente capítulo, não especificados nem compreendidos em outras posições, em formas primárias</t>
  </si>
  <si>
    <t>3912</t>
  </si>
  <si>
    <t>Celulose e seus derivados químicos, não especificados nem compreendidos em outras posições, em formas primárias</t>
  </si>
  <si>
    <t>3913</t>
  </si>
  <si>
    <t>Polímeros naturais (por exemplo: ácido algínico) e polímeros naturais modificados (por exemplo: proteínas endurecidas, derivados químicos da borracha natural), não especificados nem compreendidos em outras posições, em formas primárias</t>
  </si>
  <si>
    <t>3914</t>
  </si>
  <si>
    <t>Permutadores de íons à base de polímeros, em formas primárias</t>
  </si>
  <si>
    <t>3915</t>
  </si>
  <si>
    <t>Desperdícios, resíduos e aparas, de plástico</t>
  </si>
  <si>
    <t>3916</t>
  </si>
  <si>
    <t>Monofilamentos cuja maior dimensão do corte transversal seja superior a 1 mm (monofios), varas, bastões e perfis, mesmo trabalhados à superfície mas sem qualquer outro trabalho, de plásticos</t>
  </si>
  <si>
    <t>3917</t>
  </si>
  <si>
    <t>Tubos e seus acessórios (por exemplo: juntas, cotovelos, flanges, uniões), de plástico</t>
  </si>
  <si>
    <t>3918</t>
  </si>
  <si>
    <t>Revestimentos de pavimentos, de plástico, mesmo auto-adesivos, em rolos ou em forma de ladrilhos ou de mosaicos; revestimentos de paredes ou de tectos, de plásticos, definidos na Nota 9 do presente capítulo</t>
  </si>
  <si>
    <t>3919</t>
  </si>
  <si>
    <t>Chapas, folhas, tiras, fitas, películas e outras formas planas, auto-adesivas, de plástico, mesmo em rolos</t>
  </si>
  <si>
    <t>3920</t>
  </si>
  <si>
    <t>Outras chapas, folhas, películas, tiras e lâminas, de plástico não alveolar, não reforçadas nem estratificadas, sem suporte, nem associadas a outras matérias</t>
  </si>
  <si>
    <t>3921</t>
  </si>
  <si>
    <t>Outras chapas, folhas, películas, tiras e lâminas, de plástico</t>
  </si>
  <si>
    <t>3922</t>
  </si>
  <si>
    <t>Banheiras, « chuveiros », pias, lavatórios, bidés, sanitários e seus assentos e tampas, caixas de descarga (autoclismos) e artigos semelhantes para usos sanitários ou higiénicos, de plástico</t>
  </si>
  <si>
    <t>3923</t>
  </si>
  <si>
    <t>Artigos de transporte ou de embalagem, de plástico; rolhas, tampas, cápsulas e outros dispositivos destinados a fechar recipientes, de plástico</t>
  </si>
  <si>
    <t>3924</t>
  </si>
  <si>
    <t>Serviços de mesa e outros artigos de uso doméstico, de higiene ou de toucador, de plástico</t>
  </si>
  <si>
    <t>3925</t>
  </si>
  <si>
    <t>Artefactos para apetrechamento de construções, de plástico, não especificados nem compreendidos em outras posições</t>
  </si>
  <si>
    <t>3926</t>
  </si>
  <si>
    <t>Outras obras de plástico e obras de outras matérias das posições 3901 a 3914</t>
  </si>
  <si>
    <t>40</t>
  </si>
  <si>
    <t>Borracha e suas obras</t>
  </si>
  <si>
    <t>4001</t>
  </si>
  <si>
    <t>Borracha natural, balata, guta-percha, guaiúle, chicle e gomas naturais análogas, em formas primárias ou em chapas, folhas ou tiras</t>
  </si>
  <si>
    <t>4002</t>
  </si>
  <si>
    <t>Borracha sintética e borracha artificial derivada dos óleos, em formas primárias ou em chapas, folhas ou tiras; misturas dos produtos da posição 4001 com produtos da presente posição, em formas primárias ou em chapas, folhas ou tiras</t>
  </si>
  <si>
    <t>4003</t>
  </si>
  <si>
    <t>Borracha regenerada, em formas primárias ou em chapas, folhas ou tiras</t>
  </si>
  <si>
    <t>4004</t>
  </si>
  <si>
    <t>Desperdícios, resíduos e aparas, de borracha não endurecida, mesmo reduzidos a pó ou a grânulos</t>
  </si>
  <si>
    <t>4005</t>
  </si>
  <si>
    <t>Borracha misturada, não vulcanizada, em formas primárias ou em chapas, folhas ou tiras</t>
  </si>
  <si>
    <t>4006</t>
  </si>
  <si>
    <t>Outras formas (por exemplo: varetas, tubos, perfis) e artigos (por exemplo: discos e anilhas (arruelas)) de borracha não vulcanizada</t>
  </si>
  <si>
    <t>4007</t>
  </si>
  <si>
    <t>Fios e cordas, de borracha vulcanizada</t>
  </si>
  <si>
    <t>4008</t>
  </si>
  <si>
    <t>Chapas, folhas, tiras, varetas e perfis, de borracha vulcanizada não endurecida</t>
  </si>
  <si>
    <t>4009</t>
  </si>
  <si>
    <t>Tubos de borracha vulcanizada não endurecida, mesmo providos dos respectivos acessórios (por exemplo: juntas, cotovelos, flanges, uniões)</t>
  </si>
  <si>
    <t>4010</t>
  </si>
  <si>
    <t>Correias transportadoras ou de transmissão, de borracha vulcanizada</t>
  </si>
  <si>
    <t>4011</t>
  </si>
  <si>
    <t>Pneumáticos novos, de borracha</t>
  </si>
  <si>
    <t>4012</t>
  </si>
  <si>
    <t>Pneumáticos recauchutados ou usados, de borracha; protectores, bandas de rodagem para pneumáticos e flaps, de borracha</t>
  </si>
  <si>
    <t>4013</t>
  </si>
  <si>
    <t>Câmaras-de-ar de borracha</t>
  </si>
  <si>
    <t>4014</t>
  </si>
  <si>
    <t>Artigos de higiene ou de farmácia (incluídas as chupetas), de borracha vulcanizada não endurecida, mesmo com partes de borracha endurecida</t>
  </si>
  <si>
    <t>4015</t>
  </si>
  <si>
    <t>Vestuário e seus acessórios (incluídas as luvas, mitenes e semelhantes), de borracha vulcanizada não endurecida, para quaisquer usos</t>
  </si>
  <si>
    <t>4016</t>
  </si>
  <si>
    <t>Outras obras de borracha vulcanizada não endurecida</t>
  </si>
  <si>
    <t>4017</t>
  </si>
  <si>
    <t>Borracha endurecida (ebonite, por exemplo) sob qualquer forma, incluindo os desperdícios e resíduos; obras de borracha endurecida</t>
  </si>
  <si>
    <t>41</t>
  </si>
  <si>
    <t>Peles, exceto as peles com pelo, e couros</t>
  </si>
  <si>
    <t>4101</t>
  </si>
  <si>
    <t>Couros e peles em bruto de bovinos (incluindo os búfalos) ou de equídeos (frescos, ou salgados, secos, tratados pela cal, « piclados » ou conservados de outro modo, mas não curtidos, nem apergaminhados nem preparados de outro modo), mesmo depilados ou div</t>
  </si>
  <si>
    <t>4102</t>
  </si>
  <si>
    <t>Peles em bruto de ovinos (frescas, ou salgadas, secas, tratadas pela cal, « picladas » ou conservadas de outro modo, mas não curtidas, nem apergaminhadas, nem preparadas de outro modo), mesmo depiladas ou divididas, com excepção das excluídas pela Nota 1</t>
  </si>
  <si>
    <t>4103</t>
  </si>
  <si>
    <t>Outros couros e peles em bruto (frescos, ou salgados, secos, tratados pela cal, « piclados » ou conservados de outro modo, mas não curtidos, nem apergaminhados nem preparados de outro modo), mesmo depilados ou divididos, com excepção das excluídos pela No</t>
  </si>
  <si>
    <t>4104</t>
  </si>
  <si>
    <t>Couros e peles curtidos ou em crosta, de bovinos (incluindo os búfalos) ou de equídeos, depilados, mesmo divididos, mas não preparados de outro modo</t>
  </si>
  <si>
    <t>4105</t>
  </si>
  <si>
    <t>Peles curtidas ou em crosta de ovinos, depiladas, mesmo divididas, mas não preparadas de outro modo</t>
  </si>
  <si>
    <t>4106</t>
  </si>
  <si>
    <t>Couros e peles, depilados, de outros animais e peles de animais desprovidos de pêlos, curtidos ou em crosta, mesmo divididos, mas não preparados de outro modo</t>
  </si>
  <si>
    <t>4107</t>
  </si>
  <si>
    <t>Couros preparados após curtimenta ou após secagem e couros e peles apergaminhados, de bovinos (incluindo os búfalos) ou de equídeos, depilados, mesmo divididos, exceto os da posição 4114</t>
  </si>
  <si>
    <t>4108</t>
  </si>
  <si>
    <t>Couros e peles, acamurçados, inclusive a camurça combinada</t>
  </si>
  <si>
    <t>4109</t>
  </si>
  <si>
    <t>Couros e peles, envernizados, revestidos ou metalizados</t>
  </si>
  <si>
    <t>4110</t>
  </si>
  <si>
    <t>Aparas e outros desperd.de couros/peles, preparados, etc.</t>
  </si>
  <si>
    <t>4111</t>
  </si>
  <si>
    <t>Couro reconstituido em chapas, folhas ou tiras</t>
  </si>
  <si>
    <t>4112</t>
  </si>
  <si>
    <t>Couros preparados após curtimenta ou após secagem e couros e peles apergaminhados, de ovinos, depilados, mesmo divididos, exceto os da posição 41.14</t>
  </si>
  <si>
    <t>4113</t>
  </si>
  <si>
    <t>Couros preparados após curtimenta ou após secagem e couros e peles apergaminhados, de outros animais, depilados, e couros preparados após curtimenta e couros e peles apergaminhados, de animais desprovidos de pêlos, mesmo divididos, exceto os da posição 4</t>
  </si>
  <si>
    <t>4114</t>
  </si>
  <si>
    <t>Couros e peles acamurçados (incluída a camurça combinada); couros e peles envernizados ou revestidos; couros e peles metalizados</t>
  </si>
  <si>
    <t>4115</t>
  </si>
  <si>
    <t>Couro reconstituído à base de couro ou de fibras de couro, em chapas, folhas ou tiras, mesmo enroladas; aparas e outros desperdícios de couros ou de peles preparados ou de couro reconstituído, não utilizáveis para fabricação de obras de couro; serragem, p</t>
  </si>
  <si>
    <t>42</t>
  </si>
  <si>
    <t>Obras de couro; artigos de correeiro ou de seleiro; artigos de viagem, bolsas e artefatos semelhantes; obras de tripa</t>
  </si>
  <si>
    <t>4201</t>
  </si>
  <si>
    <t>Artigos de seleiro ou de correeiro para animais, de quaisquer matérias</t>
  </si>
  <si>
    <t>4202</t>
  </si>
  <si>
    <t>Malas e maletas, incluídas as de toucador e as maletas e pastas para documentos e de estudantes, os estojos para óculos, binóculos, máquinas fotográficas e de filmar, instrumentos musicais, armas, e artefactos semelhantes; sacos de viagem, sacos isolantes</t>
  </si>
  <si>
    <t>4203</t>
  </si>
  <si>
    <t>Vestuário e seus acessórios, de couro natural ou reconstituído</t>
  </si>
  <si>
    <t>4204</t>
  </si>
  <si>
    <t>Artigos de couro usados em máquinas/aplicações mecânicas</t>
  </si>
  <si>
    <t>4205</t>
  </si>
  <si>
    <t>Outras obras de couro natural ou reconstituido</t>
  </si>
  <si>
    <t>4206</t>
  </si>
  <si>
    <t>Obras de tripa, de baudruches, de bexiga ou de tendões</t>
  </si>
  <si>
    <t>43</t>
  </si>
  <si>
    <t>Peles com pelo e suas obras; peles com pelo artificiais</t>
  </si>
  <si>
    <t>4301</t>
  </si>
  <si>
    <t>Peles com pêlo em bruto (incluídas as cabeças, caudas, patas e outras partes, utilizáveis na indústria de peles), exceto as peles em bruto das posições 4101, 4102 ou 4103</t>
  </si>
  <si>
    <t>4302</t>
  </si>
  <si>
    <t>Peles com pêlo curtidas ou acabadas (incluídas as cabeças, caudas, patas e outras partes, desperdícios e aparas), não reunidas (não montadas) ou reunidas (montadas) sem adição de outras matérias, com excepção das da posição 4303</t>
  </si>
  <si>
    <t>4303</t>
  </si>
  <si>
    <t>Vestuário, seus acessórios e outros artefactos de peles com pêlo</t>
  </si>
  <si>
    <t>4304</t>
  </si>
  <si>
    <t>Peles com pelo artificiais, e suas obras</t>
  </si>
  <si>
    <t>44</t>
  </si>
  <si>
    <t>Madeira, carvão vegetal e obras de madeira</t>
  </si>
  <si>
    <t>4401</t>
  </si>
  <si>
    <t>Lenha em qualquer estado, madeira em estilhas ou em partículas; serradura, desperdícios e resíduos de madeira, mesmo aglomerados em bolas, briquetes, pellets ou em formas semelhantes</t>
  </si>
  <si>
    <t>4402</t>
  </si>
  <si>
    <t>Carvão vegetal (incluindo o carvão de cascas ou de caroços), mesmo aglomerado</t>
  </si>
  <si>
    <t>4403</t>
  </si>
  <si>
    <t>Madeira em bruto, mesmo descascada, desalburnada ou esquadriada</t>
  </si>
  <si>
    <t>4404</t>
  </si>
  <si>
    <t>Arcos de madeira; estacas fendidas; estacas aguçadas, não serradas longitudinalmente; madeira simplesmente desbastada ou arredondada, não torneada, não recurvada nem trabalhada de qualquer outro modo, para fabricação de bengalas, guarda-chuvas, cabos de f</t>
  </si>
  <si>
    <t>4405</t>
  </si>
  <si>
    <t>Lã de madeira; farinha de madeira</t>
  </si>
  <si>
    <t>4406</t>
  </si>
  <si>
    <t>Dormentes de madeira para vias férreas ou semelhantes</t>
  </si>
  <si>
    <t>4407</t>
  </si>
  <si>
    <t>Madeira serrada ou endireitada longitudinalmente, cortada ou desenrolada, mesmo aplainada, polida ou unida pelas extremidades, de espessura superior a 6 mm</t>
  </si>
  <si>
    <t>4408</t>
  </si>
  <si>
    <t>Folhas para folheados (incluindo as obtidas por corte de madeira estratificada), folhas para contraplacados ou compensados ou para outras madeiras estratificadas semelhantes e madeira serrada longitudinalmente, cortada ou desenrolada, mesmo aplainada, pol</t>
  </si>
  <si>
    <t>4409</t>
  </si>
  <si>
    <t>Madeira (incluídos os tacos e frisos para soalhos, não montados) perfilada (com espigas, ranhuras, filetes, entalhes, chanfrada, com juntas em V, com cercadura, boleada ou semelhantes) ao longo de uma ou mais bordas, faces ou extremidades, mesmo aplainada</t>
  </si>
  <si>
    <t>4410</t>
  </si>
  <si>
    <t>Painéis de partículas e painéis semelhantes (por exemplo, painéis denominados « oriented strand board » e painéis denominados « waferboard »), de madeira ou de outras matérias lenhosas, mesmo aglomeradas com resinas ou com outros aglutinantes orgânicos</t>
  </si>
  <si>
    <t>4411</t>
  </si>
  <si>
    <t>Painéis de fibras de madeira ou de outras matérias lenhosas, mesmo aglomeradas com resinas ou com outros aglutinantes orgânicos</t>
  </si>
  <si>
    <t>4412</t>
  </si>
  <si>
    <t>Madeira contraplacada ou compensada, madeira folheada, e madeiras estratificadas semelhantes</t>
  </si>
  <si>
    <t>4413</t>
  </si>
  <si>
    <t>Madeira densificada, em blocos, pranchas, lâminas ou perfis</t>
  </si>
  <si>
    <t>4414</t>
  </si>
  <si>
    <t>Molduras de madeira para quadros, fotografias, espelhos ou objetos semelhantes</t>
  </si>
  <si>
    <t>4415</t>
  </si>
  <si>
    <t>Caixotes, caixas, engradados, barricas e embalagens semelhantes, de madeira; carretéis para cabos, de madeira; paletes simples, « paletes-caixas » e outros estrados para carga, de madeira; taipais de paletes de madeira</t>
  </si>
  <si>
    <t>4416</t>
  </si>
  <si>
    <t>Barris, cubas, balsas, dornas e outras obras de tanueiro, de madeira</t>
  </si>
  <si>
    <t>4417</t>
  </si>
  <si>
    <t>Ferramentas, armações e cabos de ferramentas, de escovas e de vassouras, de madeira; formas, alargadeiras e esticadores, de madeira, para calçados</t>
  </si>
  <si>
    <t>4418</t>
  </si>
  <si>
    <t>Obras de carpintaria para construções, incluídos os painéis celulares, os painéis para soalhos e as fasquias para telhados (shingles e shakes), de madeira</t>
  </si>
  <si>
    <t>4419</t>
  </si>
  <si>
    <t>Artefatos de madeira para mesa ou cozinha</t>
  </si>
  <si>
    <t>4420</t>
  </si>
  <si>
    <t>Madeira marchetada e madeira incrustada; estojos e guarda-jóias, para joalharia e ourivesaria, e obras semelhantes, de madeira; estatuetas e outros objectos de ornamentação, de madeira; artigos de mobiliário, de madeira, que não se incluam no Capítulo 94</t>
  </si>
  <si>
    <t>4421</t>
  </si>
  <si>
    <t>Outras obras de madeira</t>
  </si>
  <si>
    <t>45</t>
  </si>
  <si>
    <t>Cortiça e suas obras</t>
  </si>
  <si>
    <t>4501</t>
  </si>
  <si>
    <t>Cortiça natural em bruto ou simplesmente preparada; desperdícios de cortiça; cortiça triturada, granulada ou pulverizada</t>
  </si>
  <si>
    <t>4502</t>
  </si>
  <si>
    <t>Cortiça natural, sem a crosta ou simplesmente esquadriada, ou em cubos, chapas, folhas ou tiras, de forma quadrada ou retangular (incluindo os esboços com arestas vivas, para rolhas)</t>
  </si>
  <si>
    <t>4503</t>
  </si>
  <si>
    <t>Obras de cortiça natural</t>
  </si>
  <si>
    <t>4504</t>
  </si>
  <si>
    <t>Cortiça aglomerada (com ou sem aglutinantes) e suas obras</t>
  </si>
  <si>
    <t>46</t>
  </si>
  <si>
    <t>Obras de espartaria ou de cestaria</t>
  </si>
  <si>
    <t>4601</t>
  </si>
  <si>
    <t>Tranças e artigos semelhantes, de matérias para entrançar, mesmo reunidos em tiras; matérias para entrançar, tranças e artigos semelhantes, de matérias para entrançar, tecidos ou paralelizados, em formas planas, mesmo acabados (por exemplo: esteiras, capa</t>
  </si>
  <si>
    <t>4602</t>
  </si>
  <si>
    <t>Obras de cestaria obtidas directamente na sua forma a partir de matérias para entrançar ou fabricadas com os artigos da posição 4601; obras de lufa</t>
  </si>
  <si>
    <t>47</t>
  </si>
  <si>
    <t>Pastas de madeira ou de outras matérias fibrosas celulósicas; papel ou cartão para reciclar (desperdícios e aparas).</t>
  </si>
  <si>
    <t>4701</t>
  </si>
  <si>
    <t>Pastas mecânicas de madeira</t>
  </si>
  <si>
    <t>4702</t>
  </si>
  <si>
    <t>Pasta química de madeira, para dissolução</t>
  </si>
  <si>
    <t>4703</t>
  </si>
  <si>
    <t>Pastas químicas de madeira, à soda ou ao sulfato, exceto pastas para dissolução</t>
  </si>
  <si>
    <t>4704</t>
  </si>
  <si>
    <t>Pastas químicas de madeira, ao bissulfito, exceto pastas para dissolução</t>
  </si>
  <si>
    <t>4705</t>
  </si>
  <si>
    <t>Pastas de madeira obtidas por combinação de um tratamento mecânico com um tratamento químico</t>
  </si>
  <si>
    <t>4706</t>
  </si>
  <si>
    <t>Pastas de fibras obtidas a partir de papel ou de cartão reciclados (desperdícios e aparas) ou de outras matérias fibrosas celulósicas</t>
  </si>
  <si>
    <t>4707</t>
  </si>
  <si>
    <t>Papel ou cartão para reciclar (desperdícios e aparas)</t>
  </si>
  <si>
    <t>48</t>
  </si>
  <si>
    <t>Papel e cartão; obras de pasta de celulose, de papel ou de cartão</t>
  </si>
  <si>
    <t>4801</t>
  </si>
  <si>
    <t>Papel jornal, em rolos ou em folhas</t>
  </si>
  <si>
    <t>4802</t>
  </si>
  <si>
    <t>Papel e cartão, não revestidos, dos tipos utilizados para escrita, impressão ou outros fins gráficos, e papel e cartão para fabricar cartões ou tiras perfurados, não perfurados, em rolos ou em folhas de forma quadrada ou rectangular, de qualquer formato o</t>
  </si>
  <si>
    <t>4803</t>
  </si>
  <si>
    <t>Papel para fabricação de papel higiênico ou de toucador e artigos semelhantes; pasta de celulose e mantas de fibras de celulose</t>
  </si>
  <si>
    <t>4804</t>
  </si>
  <si>
    <t>Papel e cartão kraft, não revestidos, em rolos ou em folhas, exceto das posições 4802 e 4803</t>
  </si>
  <si>
    <t>4805</t>
  </si>
  <si>
    <t>Outros papéis e cartões, não revestidos nem impregnados, em rolos ou em folhas, não tendo sofrido trabalho complementar nem tratamento, exceto os especificados na Nota 3 do presente Capítulo</t>
  </si>
  <si>
    <t>4806</t>
  </si>
  <si>
    <t>Papel-pergaminho e cartão-pergaminho (sulfurizados), papel impermeável a gorduras, papel vegetal, papel cristal e outros papéis calandrados transparentes ou translúcidos, em rolos ou em folhas</t>
  </si>
  <si>
    <t>4807</t>
  </si>
  <si>
    <t>Papel e cartão obtidos por colagem de folhas sobrepostas, não revestidos na superfície nem impregnados, mesmo reforçados interiormente, em rolos ou em folhas</t>
  </si>
  <si>
    <t>4808</t>
  </si>
  <si>
    <t>Papel e cartão canelados (ondulados) (mesmo recobertos por colagem), encrespados, plissados, gofrados, estampados ou perfurados, em rolos ou em folhas, exceto o papel dos tipos descritos no texto da posição 4803</t>
  </si>
  <si>
    <t>4809</t>
  </si>
  <si>
    <t>Papel químico (papel carbono), papel autocopiativo e outros papéis para cópia ou duplicação (incluídos os papéis revestidos ou impregnados, para stencils ou para chapas offset), mesmo impressos, em rolos ou em folhas</t>
  </si>
  <si>
    <t>4810</t>
  </si>
  <si>
    <t>Papel e cartão revestidos de caulino ou de outras substâncias inorgânicas numa ou nas duas faces, com ou sem aglutinantes, sem qualquer outro revestimento, mesmo coloridos à superfície, decorados à superfície ou impressos, em rolos ou em folhas de forma q</t>
  </si>
  <si>
    <t>4811</t>
  </si>
  <si>
    <t>Papel, cartão, pasta (ouate) de celulose e mantas de fibras de celulose, revestidos, impregnados, recobertos, coloridos à superfície, decorados à superfície ou impressos, em rolos ou em folhas de forma quadrada ou rectangular, de qualquer formato ou dimen</t>
  </si>
  <si>
    <t>4812</t>
  </si>
  <si>
    <t>Blocos e chapas, filtrantes, de pasta de papel</t>
  </si>
  <si>
    <t>4813</t>
  </si>
  <si>
    <t>Papel para cigarros, mesmo cortado nas dimensões próprias, em livros ou em tubos</t>
  </si>
  <si>
    <t>4814</t>
  </si>
  <si>
    <t>Papel de parede e revestimentos de parede semelhantes; papel para vitrais</t>
  </si>
  <si>
    <t>4815</t>
  </si>
  <si>
    <t>Revestimentos para pavimentos, com suporte de papel/de cartão</t>
  </si>
  <si>
    <t>4816</t>
  </si>
  <si>
    <t>Papel químico, papel autocopiativo e outros papéis para cópia ou duplicação (exceto da posição 4809), stencils completos e chapasoffset, de papel, mesmo acondicionados em caixas</t>
  </si>
  <si>
    <t>4817</t>
  </si>
  <si>
    <t>Envelopes, aerogramas, bilhetes-postais não ilustrados, cartões e papéis para correspondência, de papel ou cartão; caixas, sacos e semelhantes, de papel ou cartão, contendo um sortido de artigos para correspondência</t>
  </si>
  <si>
    <t>4818</t>
  </si>
  <si>
    <t>Papel dos tipos utilizados para a fabricação de papéis higiénicos e de toucador e semelhantes, pasta (ouate) de celulose ou mantas de fibras de celulose, dos tipos utilizados para fins domésticos ou sanitários, em rolos de largura não superior a 36 cm, ou</t>
  </si>
  <si>
    <t>4819</t>
  </si>
  <si>
    <t>Caixas, sacos, bolsas, cartuchos e outras embalagens, de papel, cartão, pasta (ouate) de celulose ou de mantas de fibras de celulose; cartonagens para escritórios, lojas e estabelecimentos semelhantes</t>
  </si>
  <si>
    <t>4820</t>
  </si>
  <si>
    <t>Livros de registo e de contabilidade, blocos de notas, de encomendas, de recibos, de apontamentos, de papel para cartas, agendas e artigos semelhantes, cadernos, pastas para documentos, classificadores, capas para encadernação (de folhas soltas ou outras)</t>
  </si>
  <si>
    <t>4821</t>
  </si>
  <si>
    <t>Etiquetas de qualquer espécie, de papel ou cartão, impressas ou não</t>
  </si>
  <si>
    <t>4822</t>
  </si>
  <si>
    <t>Carretéis, bobinas, tubos, canelas e suportes semelhantes, de pasta de papel, papel ou cartão, mesmo perfurados ou endurecidos</t>
  </si>
  <si>
    <t>4823</t>
  </si>
  <si>
    <t>Outros papéis, cartões, pasta (ouate) de celulose e mantas de fibras de celulose, cortados em forma própria; outras obras de pasta de papel, papel, cartão, pasta (ouate) de celulose ou de mantas de fibras de celulose</t>
  </si>
  <si>
    <t>49</t>
  </si>
  <si>
    <t>Livros, jornais, gravuras e outros produtos das indústrias gráficas; textos manuscritos ou datilografados, planos e plantas</t>
  </si>
  <si>
    <t>4901</t>
  </si>
  <si>
    <t>Livros, brochuras e impressos semelhantes, mesmo em folhas soltas</t>
  </si>
  <si>
    <t>4902</t>
  </si>
  <si>
    <t>Jornais e publicações periódicas, impressos, mesmo ilustrados ou contendo publicidade</t>
  </si>
  <si>
    <t>4903</t>
  </si>
  <si>
    <t>Álbuns ou livros de ilustrações e álbuns para desenhar ou colorir, para crianças</t>
  </si>
  <si>
    <t>4904</t>
  </si>
  <si>
    <t>Música manuscrita ou impressa, ilustrada ou não, mesmo encadernada</t>
  </si>
  <si>
    <t>4905</t>
  </si>
  <si>
    <t>Obras cartográficas de qualquer espécie, incluídas as cartas murais, as plantas topográficas e os globos, impressos</t>
  </si>
  <si>
    <t>4906</t>
  </si>
  <si>
    <t>Planos, plantas e desenhos, de arquitetura, de engenharia e outros planos e desenhos industriais, comerciais, topográficos ou semelhantes, originais, feitos a mão; textos manuscritos; reproduções fotográficas em papel sensibilizado, etc</t>
  </si>
  <si>
    <t>4907</t>
  </si>
  <si>
    <t>Selos postais ou fiscais, não obliterados; papel selado, papel-moeda, cheques, certificados de ações ou de obrigações e títulos semelhantes</t>
  </si>
  <si>
    <t>4908</t>
  </si>
  <si>
    <t>Decalcomanias de qualquer espécie</t>
  </si>
  <si>
    <t>4909</t>
  </si>
  <si>
    <t>Cartões-postais impressos ou ilustrados; cartões impressos com votos ou mensagens pessoais, mesmo ilustrados, com ou sem envelopes, guarnições ou aplicações</t>
  </si>
  <si>
    <t>4910</t>
  </si>
  <si>
    <t>Calendários de qualquer espécie, impressos, incluindo os blocos-calendários para desfolhar</t>
  </si>
  <si>
    <t>4911</t>
  </si>
  <si>
    <t>Outros impressos, incluídas as estampas, gravuras e fotografias</t>
  </si>
  <si>
    <t>50</t>
  </si>
  <si>
    <t>Seda</t>
  </si>
  <si>
    <t>5001</t>
  </si>
  <si>
    <t>Casulos de bicho-da-seda, próprios para dobrar</t>
  </si>
  <si>
    <t>5002</t>
  </si>
  <si>
    <t>Seda crua (não fiada)</t>
  </si>
  <si>
    <t>5003</t>
  </si>
  <si>
    <t>Desperdícios de seda (incluídos os casulos de bicho-da-seda impróprios para dobar, os desperdícios de fios e os fiapos)</t>
  </si>
  <si>
    <t>5004</t>
  </si>
  <si>
    <t>Fios de seda (exceto fios de desperdícios de seda) não acondicionados para venda a retalho</t>
  </si>
  <si>
    <t>5005</t>
  </si>
  <si>
    <t>Fios de desperdícios de seda, não acondicionados para venda a retalho</t>
  </si>
  <si>
    <t>5006</t>
  </si>
  <si>
    <t>Fios de seda ou de desperdícios de seda, acondicionados para venda a retalho; pelo de Messina (crina de Florença)</t>
  </si>
  <si>
    <t>5007</t>
  </si>
  <si>
    <t>Tecidos de seda ou de desperdícios de seda</t>
  </si>
  <si>
    <t>51</t>
  </si>
  <si>
    <t>Lã, pelos finos ou grosseiros; fios e tecidos de crina</t>
  </si>
  <si>
    <t>5101</t>
  </si>
  <si>
    <t>Lã não cardada nem penteada</t>
  </si>
  <si>
    <t>5102</t>
  </si>
  <si>
    <t>Pêlos finos ou grosseiros, não cardados nem penteados</t>
  </si>
  <si>
    <t>5103</t>
  </si>
  <si>
    <t>Desperdícios de lã ou de pêlos finos ou grosseiros, incluídos os desperdícios de fios e excluídos os fiapos</t>
  </si>
  <si>
    <t>5104</t>
  </si>
  <si>
    <t>Fiapos de lã ou de pelos finos ou grosseiros</t>
  </si>
  <si>
    <t>5105</t>
  </si>
  <si>
    <t>Lã, pêlos finos ou grosseiros, cardados ou penteados (incluída a « lã penteada a granel »)</t>
  </si>
  <si>
    <t>5106</t>
  </si>
  <si>
    <t>Fios de lã cardada, não acondicionados para venda a retalho</t>
  </si>
  <si>
    <t>5107</t>
  </si>
  <si>
    <t>Fios de lã penteada, não acondicionados para venda a retalho</t>
  </si>
  <si>
    <t>5108</t>
  </si>
  <si>
    <t>Fios de pêlos finos, cardados ou penteados, não acondicionados para venda a retalho</t>
  </si>
  <si>
    <t>5109</t>
  </si>
  <si>
    <t>Fios de lã ou de pêlos finos, acondicionados para venda a retalho</t>
  </si>
  <si>
    <t>5110</t>
  </si>
  <si>
    <t>Fios de pelos grosseiros ou de crina (incluindo os fios de crina revestidos por enrolamento), mesmo acondicionados para venda a retalho</t>
  </si>
  <si>
    <t>5111</t>
  </si>
  <si>
    <t>Tecidos de lã cardada ou de pêlos finos cardados</t>
  </si>
  <si>
    <t>5112</t>
  </si>
  <si>
    <t>Tecidos de lã penteada ou de pêlos finos penteados</t>
  </si>
  <si>
    <t>5113</t>
  </si>
  <si>
    <t>Tecidos de pêlos grosseiros ou de crina</t>
  </si>
  <si>
    <t>52</t>
  </si>
  <si>
    <t>Algodão</t>
  </si>
  <si>
    <t>5201</t>
  </si>
  <si>
    <t>Algodão, não cardado nem penteado</t>
  </si>
  <si>
    <t>5202</t>
  </si>
  <si>
    <t>Desperdícios de algodão (incluídos os desperdícios de fios e fiapos)</t>
  </si>
  <si>
    <t>5203</t>
  </si>
  <si>
    <t>Algodão cardado ou penteado</t>
  </si>
  <si>
    <t>5204</t>
  </si>
  <si>
    <t>Linhas para costurar, de algodão, mesmo acondicionadas para venda a retalho</t>
  </si>
  <si>
    <t>5205</t>
  </si>
  <si>
    <t>Fios de algodão (exceto linhas para costurar), contendo pelo menos 85 %, em peso, de algodão, não acondicionados para venda a retalho</t>
  </si>
  <si>
    <t>5206</t>
  </si>
  <si>
    <t>Fios de algodão (exceto linhas para costurar), contendo menos de 85 %, em peso, de algodão, não acondicionados para venda a retalho</t>
  </si>
  <si>
    <t>5207</t>
  </si>
  <si>
    <t>Fios de algodão (exceto linhas para costurar), acondicionados para venda a retalho</t>
  </si>
  <si>
    <t>5208</t>
  </si>
  <si>
    <t>Tecidos de algodão, contendo pelo menos 85 %, em peso, de algodão, com peso não superior a 200 g/m2</t>
  </si>
  <si>
    <t>5209</t>
  </si>
  <si>
    <t>Tecidos de algodão, contendo pelo menos 85 %, em peso, de algodão, com peso superior a 200 g/m2</t>
  </si>
  <si>
    <t>5210</t>
  </si>
  <si>
    <t>Tecidos de algodão, contendo menos de 85 %, em peso, de algodão, combinados, principal ou unicamente, com fibras sintéticas ou artificiais, com peso não superior a 200 g/m2</t>
  </si>
  <si>
    <t>5211</t>
  </si>
  <si>
    <t>Tecidos de algodão, contendo menos de 85 %, em peso, de algodão, combinados, principal ou unicamente, com fibras sintéticas ou artificiais, com peso superior a 200 g/m2</t>
  </si>
  <si>
    <t>5212</t>
  </si>
  <si>
    <t>Outros tecidos de algodão</t>
  </si>
  <si>
    <t>53</t>
  </si>
  <si>
    <t>Outras fibras têxteis vegetais; fios de papel e tecidos de fios de papel</t>
  </si>
  <si>
    <t>5301</t>
  </si>
  <si>
    <t>Linho em bruto ou trabalhado, mas não fiado; estopas e desperdícios de linho (incluídos os desperdícios de fios e fiapos)</t>
  </si>
  <si>
    <t>5302</t>
  </si>
  <si>
    <t>Cânhamo (Cannabis sativa L.), em bruto ou trabalhado, mas não fiado; estopas e desperdícios de cânhamo (incluídos os desperdícios de fios e fiapos)</t>
  </si>
  <si>
    <t>5303</t>
  </si>
  <si>
    <t>Juta</t>
  </si>
  <si>
    <t>5304</t>
  </si>
  <si>
    <t>Sisal e outras fibras têxteis do género Agave, em bruto ou trabalhados, mas não fiados; estopas e desperdícios destas fibras (incluídos os desperdícios de fios e fiapos)</t>
  </si>
  <si>
    <t>5305</t>
  </si>
  <si>
    <t>Cairo (fibras de coco), abacá (cânhamo-de-manila ou Musa textilis Nee), rami e outras fibras têxteis vegetais não especificadas nem compreendidas noutras posições, em bruto ou trabalhados, mas não fiados; estopas e desperdícios destas fibras (incluídos os</t>
  </si>
  <si>
    <t>5306</t>
  </si>
  <si>
    <t>Fios de linho</t>
  </si>
  <si>
    <t>5307</t>
  </si>
  <si>
    <t>Fios de juta ou de outras fibras têxteis liberianas da posição 5303</t>
  </si>
  <si>
    <t>5308</t>
  </si>
  <si>
    <t>Fios de outras fibras têxteis vegetais; fios de papel</t>
  </si>
  <si>
    <t>5309</t>
  </si>
  <si>
    <t>Tecidos de linho</t>
  </si>
  <si>
    <t>5310</t>
  </si>
  <si>
    <t>Tecidos de juta ou de outras fibras têxteis liberianas da posição 5303</t>
  </si>
  <si>
    <t>5311</t>
  </si>
  <si>
    <t>Tecidos de outras fibras têxteis vegetais; tecidos de fios de papel</t>
  </si>
  <si>
    <t>54</t>
  </si>
  <si>
    <t>Filamentos sintéticos ou artificiais</t>
  </si>
  <si>
    <t>5401</t>
  </si>
  <si>
    <t>Linhas para costurar de filamentos sintéticos ou artificiais, mesmo acondicionadas para venda a retalho</t>
  </si>
  <si>
    <t>5402</t>
  </si>
  <si>
    <t>Fios de filamentos sintéticos (exceto linhas para costurar), não acondicionados para venda a retalho, incluídos os monofilamentos sintéticos com menos de 67 decitex</t>
  </si>
  <si>
    <t>5403</t>
  </si>
  <si>
    <t>Fios de filamentos artificiais (exceto linhas para costurar), não acondicionados para venda a retalho, incluídos os monofilamentos artificiais com menos de 67 decitex</t>
  </si>
  <si>
    <t>5404</t>
  </si>
  <si>
    <t>Monofilamentos sintéticos, com pelo menos 67 decitex e cuja maior dimensão da secção transversal não seja superior a 1 mm; lâminas e formas semelhantes (por exemplo: palha artificial) de matérias têxteis sintéticas, cuja largura aparente não seja superior</t>
  </si>
  <si>
    <t>5405</t>
  </si>
  <si>
    <t>Monofilamentos artificiais, de título &gt;=67 decitex e cuja maior dimensão da seção transversal não seja superior a 1 mm; lâminas e formas semelhantes (palha artificial, por exemplo) de matérias têxteis artificiais, com largura aparente &lt;= 5 mm</t>
  </si>
  <si>
    <t>5406</t>
  </si>
  <si>
    <t>Fios de filamentos sintéticos ou artificiais (exceto linhas para costurar), acondicionados para venda a retalho</t>
  </si>
  <si>
    <t>5407</t>
  </si>
  <si>
    <t>Tecidos de fios de filamentos sintéticos, incluídos os tecidos obtidos a partir dos produtos da posição 5404</t>
  </si>
  <si>
    <t>5408</t>
  </si>
  <si>
    <t>Tecidos de fios de filamentos artificiais, incluídos os tecidos obtidos a partir dos produtos da posição 5405</t>
  </si>
  <si>
    <t>55</t>
  </si>
  <si>
    <t>Fibras sintéticas ou artificiais, descontínuas</t>
  </si>
  <si>
    <t>5501</t>
  </si>
  <si>
    <t>Cabos de filamentos sintéticos</t>
  </si>
  <si>
    <t>5502</t>
  </si>
  <si>
    <t>Cabos de filamentos artificiais</t>
  </si>
  <si>
    <t>5503</t>
  </si>
  <si>
    <t>Fibras sintéticas descontínuas, não cardadas, não penteadas nem transformadas de outro modo para fiação</t>
  </si>
  <si>
    <t>5504</t>
  </si>
  <si>
    <t>Fibras artificiais descontínuas, não cardadas, não penteadas nem transformadas de outro modo para fiação</t>
  </si>
  <si>
    <t>5505</t>
  </si>
  <si>
    <t>Desperdícios de fibras sintéticas ou artificiais (incluídos os desperdícios da penteação, os de fios e os fiapos)</t>
  </si>
  <si>
    <t>5506</t>
  </si>
  <si>
    <t>Fibras sintéticas descontínuas, cardadas, penteadas ou transformadas de outro modo para fiação</t>
  </si>
  <si>
    <t>5507</t>
  </si>
  <si>
    <t>Fibras artificiais descontínuas, cardadas, penteadas ou transformadas de outro modo para fiação</t>
  </si>
  <si>
    <t>5508</t>
  </si>
  <si>
    <t>Linhas para costurar, de fibras sintéticas ou artificiais descontínuas, mesmo acondicionadas para venda a retalho</t>
  </si>
  <si>
    <t>5509</t>
  </si>
  <si>
    <t>Fios de fibras sintéticas descontínuas (exceto linhas para costurar), não acondicionados para venda a retalho</t>
  </si>
  <si>
    <t>5510</t>
  </si>
  <si>
    <t>Fios de fibras artificiais descontínuas (exceto linhas para costurar), não acondicionados para venda a retalho</t>
  </si>
  <si>
    <t>5511</t>
  </si>
  <si>
    <t>Fios de fibras sintéticas ou artificiais descontínuas (exceto linhas para costurar), acondicionados para venda a retalho</t>
  </si>
  <si>
    <t>5512</t>
  </si>
  <si>
    <t>Tecidos de fibras sintéticas descontínuas, contendo pelo menos 85 %, em peso, destas fibras</t>
  </si>
  <si>
    <t>5513</t>
  </si>
  <si>
    <t>Tecidos de fibras sintéticas descontínuas, contendo menos de 85 %, em peso, destas fibras, combinados, principal ou unicamente, com algodão, de peso não superior a 170 g/m2</t>
  </si>
  <si>
    <t>5514</t>
  </si>
  <si>
    <t>Tecidos de fibras sintéticas descontínuas, contendo menos de 85 %, em peso, destas fibras, combinados, principal ou unicamente, com algodão, de peso superior a 170 g/m2</t>
  </si>
  <si>
    <t>5515</t>
  </si>
  <si>
    <t>Outros tecidos de fibras sintéticas descontínuas</t>
  </si>
  <si>
    <t>5516</t>
  </si>
  <si>
    <t>Tecidos de fibras artificiais descontínuas</t>
  </si>
  <si>
    <t>56</t>
  </si>
  <si>
    <t>Pastas (ouates), feltros e falsos tecidos; fios especiais; cordéis, cordas e cabos; artigos de cordoaria</t>
  </si>
  <si>
    <t>5601</t>
  </si>
  <si>
    <t>Pastas (ouates) de matérias têxteis e artigos destas pastas; fibras têxteis de comprimento não superior a 5 mm (tontisses), nós e borbotos de matérias têxteis</t>
  </si>
  <si>
    <t>5602</t>
  </si>
  <si>
    <t>Feltros, mesmo impregnados, revestidos, recobertos ou estratificados</t>
  </si>
  <si>
    <t>5603</t>
  </si>
  <si>
    <t>Falsos tecidos, mesmo impregnados, revestidos, recobertos ou estratificados</t>
  </si>
  <si>
    <t>5604</t>
  </si>
  <si>
    <t>Fios e cordas, de borracha, recobertos de têxteis; fios têxteis, lâminas e formas semelhantes das posições 5404 ou 5405, impregnados, revestidos, recobertos ou embainhados de borracha ou de plásticos</t>
  </si>
  <si>
    <t>5605</t>
  </si>
  <si>
    <t>Fios metálicos constituídos por fios têxteis, lâminas ou formas semelhantes, combinados com metal</t>
  </si>
  <si>
    <t>5606</t>
  </si>
  <si>
    <t>Fios revestidos por enrolamento, lâminas e formas semelhantes das posições 5404 ou 5405,revestidas por enrolamento, exceto os da posição 5605 e os fios de crina revestidos por enrolamento;fios de froco (chenille);fios denominados "de cadeia" (chaînette)</t>
  </si>
  <si>
    <t>5607</t>
  </si>
  <si>
    <t>Cordéis, cordas e cabos, entrançados ou não, mesmo impregnados, revestidos, recobertos ou embainhados de borracha ou de plástico</t>
  </si>
  <si>
    <t>5608</t>
  </si>
  <si>
    <t>Redes de malhas com nós, em panos ou em peça, obtidas a partir de cordéis, cordas ou cabos; redes confeccionadas para a pesca e outras redes confeccionadas, de matérias têxteis</t>
  </si>
  <si>
    <t>5609</t>
  </si>
  <si>
    <t>Artigos de fios, lâminas ou formas semelhantes das posições 5404 ou 5405; outros cordéis, cordas e cabos</t>
  </si>
  <si>
    <t>57</t>
  </si>
  <si>
    <t>Tapetes e outros revestimentos para pisos (pavimentos), de matérias têxteis</t>
  </si>
  <si>
    <t>5701</t>
  </si>
  <si>
    <t>Tapetes de matérias têxteis, de pontos nodados ou enrolados, mesmo confeccionados</t>
  </si>
  <si>
    <t>5702</t>
  </si>
  <si>
    <t>Tapetes e outros revestimentos para pavimentos de matérias têxteis, tecidos, exceto os tufados e os flocados, mesmo confeccionados, incluídos os tapetes denominados « Kelim » ou « Kilim », « Schumacks » ou « Soumak », « Karamanie » e tapetes semelhantes</t>
  </si>
  <si>
    <t>5703</t>
  </si>
  <si>
    <t>Tapetes e outros revestimentos para pavimentos de matérias têxteis, tufados, mesmo confeccionados</t>
  </si>
  <si>
    <t>5704</t>
  </si>
  <si>
    <t>Tapetes e outros revestimentos para pavimentos, de feltro, exceto os tufados e os flocados, mesmo confeccionados</t>
  </si>
  <si>
    <t>5705</t>
  </si>
  <si>
    <t>Outros tapetes e revestimentos para pisos (pavimentos), de matérias têxteis, mesmo confeccionados</t>
  </si>
  <si>
    <t>58</t>
  </si>
  <si>
    <t>Tecidos especiais; tecidos tufados; rendas; tapeçarias; passamanarias; bordados.</t>
  </si>
  <si>
    <t>5801</t>
  </si>
  <si>
    <t>Veludos e pelúcias tecidos e tecidos de froco (chenille), exceto os artefactos das posições 5802 ou 5806</t>
  </si>
  <si>
    <t>5802</t>
  </si>
  <si>
    <t>«Tecidos turcos», exceto os artefactos da posição 5806; tecidos tufados, exceto os artefactos da posição 5703</t>
  </si>
  <si>
    <t>5803</t>
  </si>
  <si>
    <t>Tecidos em ponto de gaze, exceto os artefactos da posição 5806</t>
  </si>
  <si>
    <t>5804</t>
  </si>
  <si>
    <t>Tules, filó e tecidos de malhas com nós; rendas em peça, em tiras ou em motivos para aplicar, exceto os produtos das posições 6002 a 6006</t>
  </si>
  <si>
    <t>5805</t>
  </si>
  <si>
    <t>Tapeçarias tecidas à mão (gêneros gobelino, flandres, aubusson e semelhantes) e feitas à agulha (em petit point, ponto de cruz)</t>
  </si>
  <si>
    <t>5806</t>
  </si>
  <si>
    <t>Fitas, exceto os artefactos da posição 5807; fitas sem trama, de fios ou fibras paralelizados e colados (bolducs)</t>
  </si>
  <si>
    <t>5807</t>
  </si>
  <si>
    <t>Etiquetas, emblemas e artefactos semelhantes de matérias têxteis, em peça, em fitas ou recortados em forma própria, não bordados</t>
  </si>
  <si>
    <t>5808</t>
  </si>
  <si>
    <t>Entrançados em peça; artigos de passamanaria e artigos ornamentais análogos, em peça, não bordados, exceto de malha; borlas, pompons e artefactos semelhantes</t>
  </si>
  <si>
    <t>5809</t>
  </si>
  <si>
    <t>Tecidos de fios de metal e tecidos de fios metálicos ou de fios têxteis metalizados da posição 56.05, dos tipos utilizados em vestuário, para guarnição de interiores ou usos semelhantes, não especificados nem compreendidos noutras posições</t>
  </si>
  <si>
    <t>5810</t>
  </si>
  <si>
    <t>Bordados em peça, em tiras ou em motivos para aplicar</t>
  </si>
  <si>
    <t>5811</t>
  </si>
  <si>
    <t>Artefatos têxteis matelassês em peça, constituídos por uma ou várias camadas de matérias têxteis associadas a uma matéria de enchimento ou estofamento, acolchoados por qualquer processo, exceto os bordados da posição 58.10</t>
  </si>
  <si>
    <t>59</t>
  </si>
  <si>
    <t>Tecidos impregnados, revestidos, recobertos ou estratificados; artigos para usos técnicos de matérias têxteis</t>
  </si>
  <si>
    <t>5901</t>
  </si>
  <si>
    <t>Tecidos revestidos de cola ou de matérias amiláceas, dos tipos utilizados na encadernação, cartonagem ou usos semelhantes; telas para decalque e telas transparentes para desenho; telas preparadas para pintura; entretelas e tecidos rígidos semelhantes dos</t>
  </si>
  <si>
    <t>5902</t>
  </si>
  <si>
    <t>Telas para pneumáticos fabricadas com fios de alta tenacidade de nylon ou de outras poliamidas, de poliésteres ou de raiom de viscose</t>
  </si>
  <si>
    <t>5903</t>
  </si>
  <si>
    <t>Tecidos impregnados, revestidos, recobertos ou estratificados com plástico, exceto os da posição 5902</t>
  </si>
  <si>
    <t>5904</t>
  </si>
  <si>
    <t>Linóleos, mesmo recortados; revestimentos para pavimentos constituídos por um induto ou recobrimento aplicado sobre suporte têxtil, mesmo recortados</t>
  </si>
  <si>
    <t>5905</t>
  </si>
  <si>
    <t>Revestimento para paredes, de matérias têxteis</t>
  </si>
  <si>
    <t>5906</t>
  </si>
  <si>
    <t>Tecidos com borracha, exceto os da posição 5902</t>
  </si>
  <si>
    <t>5907</t>
  </si>
  <si>
    <t>Outros tecidos impregnados, revestidos ou recobertos; telas pintadas para cenários teatrais, para fundos de estúdio ou para usos semelhantes</t>
  </si>
  <si>
    <t>5908</t>
  </si>
  <si>
    <t>Mechas de matérias têxteis, tecidas, entrançadas ou tricotadas, para candeeiros, fogareiros, isqueiros, velas e semelhantes; camisas de incandescência e tecidos tubulares tricotados para a sua fabricação, mesmo impregnados</t>
  </si>
  <si>
    <t>5909</t>
  </si>
  <si>
    <t>Mangueiras e tubos semelhantes, de matérias têxteis, mesmo com reforço ou acessórios de outras matérias</t>
  </si>
  <si>
    <t>5910</t>
  </si>
  <si>
    <t>Correias transportadoras ou de transmissão, de matérias têxteis, mesmo impregnadas, revestidas ou recobertas, de plástico, ou estratificadas com plástico ou reforçadas com metal ou com outras matérias</t>
  </si>
  <si>
    <t>5911</t>
  </si>
  <si>
    <t>Produtos e artefactos, de matérias têxteis, para usos técnicos, indicados na Nota 7 do presente capítulo</t>
  </si>
  <si>
    <t>60</t>
  </si>
  <si>
    <t>Tecidos de malha</t>
  </si>
  <si>
    <t>6001</t>
  </si>
  <si>
    <t>Veludos e pelúcias (incluídos os tecidos denominados de « felpa longa » ou « pêlo comprido ») e tecidos de anéis, de malha</t>
  </si>
  <si>
    <t>6002</t>
  </si>
  <si>
    <t>Tecidos de malha de largura não superior a 30 cm, contendo, em peso, 5 % ou mais de fios de elastómeros ou de fios de borracha, exceto da posição 6001</t>
  </si>
  <si>
    <t>6003</t>
  </si>
  <si>
    <t>Tecidos de malha de largura não superior a 30 cm, exceto das posições 6001 e 6002</t>
  </si>
  <si>
    <t>6004</t>
  </si>
  <si>
    <t>Tecidos de malha de largura superior a 30 cm, contendo, em peso, 5 % ou mais de fios de elastómeros ou de fios de borracha, exceto da posição 6001</t>
  </si>
  <si>
    <t>6005</t>
  </si>
  <si>
    <t>Tecidos de malha-urdidura (incluídos os fabricados em teares para galões), exceto das posições 6001 a 6004</t>
  </si>
  <si>
    <t>6006</t>
  </si>
  <si>
    <t>Outros tecidos de malha</t>
  </si>
  <si>
    <t>61</t>
  </si>
  <si>
    <t>Vestuário e seus acessórios, de malha</t>
  </si>
  <si>
    <t>6101</t>
  </si>
  <si>
    <t>Sobretudos, japonas, gabões, capas, anoraques, blusões e semelhantes, de malha, de uso masculino, exceto os artefactos da posição 6103</t>
  </si>
  <si>
    <t>6102</t>
  </si>
  <si>
    <t>Casacos compridos, capas, anoraques, blusões e semelhantes, de malha, de uso feminino, exceto os artefactos da posição 6104</t>
  </si>
  <si>
    <t>6103</t>
  </si>
  <si>
    <t>Fatos, conjuntos, casacos, calças, jardineiras, bermudas e calções (shorts) (exceto de banho), de malha, de uso masculino</t>
  </si>
  <si>
    <t>6104</t>
  </si>
  <si>
    <t>Fatos de saia-casaco, conjuntos, casacos, vestidos, saias, saias-calças, calças, jardineiras, bermudas e calções (shorts) (exceto de banho), de malha, de uso feminino</t>
  </si>
  <si>
    <t>6105</t>
  </si>
  <si>
    <t>Camisas de malha, de uso masculino</t>
  </si>
  <si>
    <t>6106</t>
  </si>
  <si>
    <t>Camiseiros, blusas, blusas-camiseiros, de malha, de uso feminino</t>
  </si>
  <si>
    <t>6107</t>
  </si>
  <si>
    <t>Cuecas, ceroulas, camisas de noite, pijamas, roupões de banho, robes e semelhantes, de malha, de uso masculino</t>
  </si>
  <si>
    <t>6108</t>
  </si>
  <si>
    <t>Combinações, saiotes, calcinhas, camisas de noite, pijamas, déshabillés, roupões de banho, robes de quarto e semelhantes, de malha, de uso feminino</t>
  </si>
  <si>
    <t>6109</t>
  </si>
  <si>
    <t>T-shirts e camisolas interiores, de malha</t>
  </si>
  <si>
    <t>6110</t>
  </si>
  <si>
    <t>Camisolas e pulôveres, cardigans, coletes e artigos semelhantes, de malha</t>
  </si>
  <si>
    <t>6111</t>
  </si>
  <si>
    <t>Vestuário e seus acessórios, de malha, para bebés</t>
  </si>
  <si>
    <t>6112</t>
  </si>
  <si>
    <t>Fatos de treino para desporto, fatos-macacos e conjuntos de esqui, malhôs, biquinis, calções (shorts) e slips, de banho, de malha</t>
  </si>
  <si>
    <t>6113</t>
  </si>
  <si>
    <t>Vestuário confeccionado com tecidos de malha das posições 59.03, 59.06 ou 59.07</t>
  </si>
  <si>
    <t>6114</t>
  </si>
  <si>
    <t>Outro vestuário de malha</t>
  </si>
  <si>
    <t>6115</t>
  </si>
  <si>
    <t>Meias-calças; meias de qualquer espécie e artefactos semelhantes, incluídas as meias para varizes, de malha</t>
  </si>
  <si>
    <t>6116</t>
  </si>
  <si>
    <t>Luvas, mitenes e semelhantes, de malha</t>
  </si>
  <si>
    <t>6117</t>
  </si>
  <si>
    <t>Outros acessórios de vestuário, confeccionados, de malha; partes de vestuário ou de seus acessórios, de malha</t>
  </si>
  <si>
    <t>62</t>
  </si>
  <si>
    <t>Vestuário e seus acessórios, exceto de Malha</t>
  </si>
  <si>
    <t>6201</t>
  </si>
  <si>
    <t>Sobretudos, japonas, gabões, capas, anoraques, blusões e semelhantes, de uso masculino, exceto os artefactos da posição 6203</t>
  </si>
  <si>
    <t>6202</t>
  </si>
  <si>
    <t>Casacos compridos, capas, anoraques, blusões e semelhantes, de uso feminino, exceto os artefactos da posição 6204</t>
  </si>
  <si>
    <t>6203</t>
  </si>
  <si>
    <t>Fatos, conjuntos, casacos, calças, jardineiras, bermudas e calções (shorts) (exceto de banho), de uso masculino</t>
  </si>
  <si>
    <t>6204</t>
  </si>
  <si>
    <t>Fatos de saia-casaco, conjuntos, casacos, vestidos, saias, saias-calças, calças, jardineiras, bermudas e calções (shorts) (exceto de banho), de uso feminino</t>
  </si>
  <si>
    <t>6205</t>
  </si>
  <si>
    <t>Camisas de uso masculino</t>
  </si>
  <si>
    <t>6206</t>
  </si>
  <si>
    <t>Camiseiros, blusas, blusas-camiseiros, de uso feminino</t>
  </si>
  <si>
    <t>6207</t>
  </si>
  <si>
    <t>Camisolas interiores, cuecas, ceroulas, camisas de noite, pijamas, roupões de banho, robes e semelhantes, de uso masculino</t>
  </si>
  <si>
    <t>6208</t>
  </si>
  <si>
    <t>Camisolas interiores, combinações, saiotes, calcinhas, camisas de noite, pijamas, déshabillés, roupões de banho, robes de quarto e artefactos semelhantes, de uso feminino</t>
  </si>
  <si>
    <t>6209</t>
  </si>
  <si>
    <t>Vestuário e seus acessórios, para bebés</t>
  </si>
  <si>
    <t>6210</t>
  </si>
  <si>
    <t>Vestuário confeccionado com as matérias das posições 5602, 5603, 5903, 5906 ou 5907</t>
  </si>
  <si>
    <t>6211</t>
  </si>
  <si>
    <t>Fatos de treino para desporto, fatos-macacos e conjuntos de esqui, malhôs, biquinis, calções (shorts) e slips de banho; outro vestuário</t>
  </si>
  <si>
    <t>6212</t>
  </si>
  <si>
    <t>Soutiens, cintas, espartilhos, suspensórios, ligas e artefactos semelhantes, e suas partes, mesmo de malha</t>
  </si>
  <si>
    <t>6213</t>
  </si>
  <si>
    <t>Lenços de assoar e de bolso</t>
  </si>
  <si>
    <t>6214</t>
  </si>
  <si>
    <t>Xales, écharpes, lenços de pescoço, cachenés, cachecóis, mantilhas, véus e artefactos semelhantes</t>
  </si>
  <si>
    <t>6215</t>
  </si>
  <si>
    <t>Gravatas, laços e plastrões</t>
  </si>
  <si>
    <t>6216</t>
  </si>
  <si>
    <t>Luvas, mitenes e semelhantes</t>
  </si>
  <si>
    <t>6217</t>
  </si>
  <si>
    <t>Outros acessórios confeccionados de vestuário; partes de vestuário ou dos seus acessórios, exceto da posição 6212</t>
  </si>
  <si>
    <t>63</t>
  </si>
  <si>
    <t>Outros artefatos têxteis confeccionados; sortidos; artefatos de matérias têxteis, calçados, chapéus e artefatos de uso semelhante, usados; trapos</t>
  </si>
  <si>
    <t>6301</t>
  </si>
  <si>
    <t>Cobertores e mantas</t>
  </si>
  <si>
    <t>6302</t>
  </si>
  <si>
    <t>Roupas de cama, mesa, toucador ou cozinha</t>
  </si>
  <si>
    <t>6303</t>
  </si>
  <si>
    <t>Cortinados, cortinas e estores; sanefas e reposteiros</t>
  </si>
  <si>
    <t>6304</t>
  </si>
  <si>
    <t>Outros artefactos para guarnição de interiores, exceto da posição 9404</t>
  </si>
  <si>
    <t>6305</t>
  </si>
  <si>
    <t>Sacos de quaisquer dimensões, para embalagem</t>
  </si>
  <si>
    <t>6306</t>
  </si>
  <si>
    <t>Encerados e estores de exterior; tendas; velas para embarcações, para pranchas à vela ou para carros à vela; artigos para acampamento</t>
  </si>
  <si>
    <t>6307</t>
  </si>
  <si>
    <t>Outros artefactos confeccionados, incluídos os moldes para vestuário</t>
  </si>
  <si>
    <t>6308</t>
  </si>
  <si>
    <t>Sortidos constituídos por cortes de tecido e fios, mesmo com acessórios, para confecção de tapetes, tapeçarias, toalhas de mesa ou guardanapos, bordados, ou artefatos têxteis semelhantes, em embalagens para venda a retalho</t>
  </si>
  <si>
    <t>6309</t>
  </si>
  <si>
    <t>Artefatos de matérias têxteis, calçados, chapéus e artefatos de uso semelhante, usados</t>
  </si>
  <si>
    <t>6310</t>
  </si>
  <si>
    <t>Trapos, cordéis, cordas e cabos de matérias têxteis, em forma de desperdícios ou de artefactos inutilizados</t>
  </si>
  <si>
    <t>64</t>
  </si>
  <si>
    <t>Calçados, polainas e artefatos semelhantes; suas partes</t>
  </si>
  <si>
    <t>6401</t>
  </si>
  <si>
    <t>Calçado impermeável de sola exterior e parte superior de borracha ou plástico, em que a parte superior não tenha sido reunida à sola exterior por costura ou por meio de rebites, pregos, parafusos, espigões ou dispositivos semelhantes, nem formada por dife</t>
  </si>
  <si>
    <t>6402</t>
  </si>
  <si>
    <t>Outro calçado com sola exterior e parte superior de borracha ou plástico</t>
  </si>
  <si>
    <t>6403</t>
  </si>
  <si>
    <t>Calçado com sola exterior de borracha, plástico, couro natural ou reconstituído e parte superior de couro natural</t>
  </si>
  <si>
    <t>6404</t>
  </si>
  <si>
    <t>Calçado com sola exterior de borracha, plástico, couro natural ou reconstituído e parte superior de matérias têxteis</t>
  </si>
  <si>
    <t>6405</t>
  </si>
  <si>
    <t>Outros calçados</t>
  </si>
  <si>
    <t>6406</t>
  </si>
  <si>
    <t>Partes de calçado (incluídas as partes superiores, mesmo fixadas a solas que não sejam as solas exteriores); palmilhas amovíveis; reforços interiores e artefactos semelhantes amovíveis; polainas, perneiras e artefactos semelhantes, e suas partes</t>
  </si>
  <si>
    <t>65</t>
  </si>
  <si>
    <t>Chapéus e artefatos de uso semelhante, e suas partes</t>
  </si>
  <si>
    <t>6501</t>
  </si>
  <si>
    <t>Esboços não enformados nem na copa nem na aba, discos e cilindros, mesmo cortados no sentido da altura, de feltro, para chapéus</t>
  </si>
  <si>
    <t>6502</t>
  </si>
  <si>
    <t>Esboços de chapéus, entrançados ou obtidos por reunião de tiras de qualquer matéria, sem copa nem aba enformadas e sem guarnições, de palha fina (manila, panamá e semelhantes)</t>
  </si>
  <si>
    <t>6503</t>
  </si>
  <si>
    <t>Chapéus e outs.artefs.de feltro, obtidos dos esboços, etc</t>
  </si>
  <si>
    <t>6504</t>
  </si>
  <si>
    <t>Chapéus e outros artefatos de uso semelhante, entrançados por tiras, de qualquer matéria</t>
  </si>
  <si>
    <t>6505</t>
  </si>
  <si>
    <t>Chapéus e outros artefactos de uso semelhante, de malha ou confeccionados com rendas, feltro ou outros produtos têxteis, em peça (mas não em tiras), mesmo guarnecidos; coifas e redes, para o cabelo, de qualquer matéria, mesmo guarnecidas</t>
  </si>
  <si>
    <t>6506</t>
  </si>
  <si>
    <t>Outros chapéus e artefactos de uso semelhante, mesmo guarnecidos</t>
  </si>
  <si>
    <t>6507</t>
  </si>
  <si>
    <t>Carneiras, forros, capas, armações, palas e barbicachos, para chapéus e artefatos de uso semelhante</t>
  </si>
  <si>
    <t>66</t>
  </si>
  <si>
    <t>Guarda-chuvas, sombrinhas, guarda-sóis, bengalas, bengalas-assentos, chicotes, pingalins, e suas partes</t>
  </si>
  <si>
    <t>6601</t>
  </si>
  <si>
    <t>Guarda-chuvas, sombrinhas e guarda-sóis (incluindo as bengalas-guarda-chuvas e os guarda-sóis de jardim e semelhantes)</t>
  </si>
  <si>
    <t>6602</t>
  </si>
  <si>
    <t>Bengalas, bengalas-assentos, chicotes, pingalins e artefatos semelhantes</t>
  </si>
  <si>
    <t>6603</t>
  </si>
  <si>
    <t>Partes, guarnições e acessórios, para os artefactos das posições 6601 e 6602</t>
  </si>
  <si>
    <t>67</t>
  </si>
  <si>
    <t>Penas e penugem preparadas e suas obras; flores artificiais; obras de cabelo</t>
  </si>
  <si>
    <t>6701</t>
  </si>
  <si>
    <t>Peles e outras partes de aves, com as suas penas ou penugem, penas, partes de penas, penugem e artefatos destas matérias, exceto os produtos da posição 05.05, bem como os cálamos e outros canos de penas, trabalhados</t>
  </si>
  <si>
    <t>6702</t>
  </si>
  <si>
    <t>Flores, folhagem e frutos, artificiais, e suas partes; artefactos confeccionados com flores, folhagem e frutos, artificiais</t>
  </si>
  <si>
    <t>6703</t>
  </si>
  <si>
    <t>Cabelos dispostos no mesmo sentido, adelgaçados, branqueados ou preparados de outro modo; lã, pelos e outras matérias têxteis, preparados para a fabricação de perucas ou de artefatos semelhantes</t>
  </si>
  <si>
    <t>6704</t>
  </si>
  <si>
    <t>Perucas, barbas, sobrancelhas, pestanas, madeixas e artefactos semelhantes de cabelo, pêlos ou de matérias têxteis; outras obras de cabelo não especificadas nem compreendidas em outras posições</t>
  </si>
  <si>
    <t>68</t>
  </si>
  <si>
    <t>Obras de pedra, gesso, cimento, amianto, mica ou de matérias semelhantes</t>
  </si>
  <si>
    <t>6801</t>
  </si>
  <si>
    <t>Pedras para calcetar, meios-fios e placas (lajes) para pavimentação, de pedra natural (exceto a ardósia)</t>
  </si>
  <si>
    <t>6802</t>
  </si>
  <si>
    <t>Pedras de cantaria ou de construção (exceto de ardósia) trabalhadas e obras destas pedras, exceto as da posição 6801; cubos, pastilhas e artigos semelhantes, para mosaicos, de pedra natural (incluída a ardósia), mesmo com suporte; grânulos, fragmentos e</t>
  </si>
  <si>
    <t>6803</t>
  </si>
  <si>
    <t>Ardósia natural trabalhada e obras de ardósia natural ou aglomerada</t>
  </si>
  <si>
    <t>6804</t>
  </si>
  <si>
    <t>Mós e artefactos semelhantes, sem armação, para moer, desfibrar, triturar, amolar, polir, rectificar ou cortar; pedras para amolar ou para polir, manualmente, e suas partes, de pedras naturais, de abrasivos naturais ou artificiais aglomerados ou de cerâmi</t>
  </si>
  <si>
    <t>6805</t>
  </si>
  <si>
    <t>Abrasivos naturais ou artificiais, em pó ou em grãos, aplicados sobre matérias têxteis, papel, cartão ou outras matérias, mesmo recortados, costurados ou reunidos de outro modo</t>
  </si>
  <si>
    <t>6806</t>
  </si>
  <si>
    <t>Lãs de escórias de altos fornos, de outras escórias, lã de rocha e lãs minerais semelhantes; vermiculite e argilas, expandidas, espuma de escórias e produtos minerais semelhantes, expandidos; misturas e obras de matérias minerais para isolamento do calor</t>
  </si>
  <si>
    <t>6807</t>
  </si>
  <si>
    <t>Obras de asfalto ou de produtos semelhantes (por exemplo: breu ou pez)</t>
  </si>
  <si>
    <t>6808</t>
  </si>
  <si>
    <t>Painéis, chapas, ladrilhos, blocos e semelhantes, de fibras vegetais, de palha ou de aparas, partículas, serragem ou de outros desperdícios de madeira, aglomerados com cimento, gesso ou outros aglutinantes minerais</t>
  </si>
  <si>
    <t>6809</t>
  </si>
  <si>
    <t>Obras de gesso ou de composições à base de gesso</t>
  </si>
  <si>
    <t>6810</t>
  </si>
  <si>
    <t>Obras de cimento, de betão (concreto) ou de pedra artificial, mesmo armadas</t>
  </si>
  <si>
    <t>6811</t>
  </si>
  <si>
    <t>Obras de fibrocimento, cimento-celulose e produtos semelhantes</t>
  </si>
  <si>
    <t>6812</t>
  </si>
  <si>
    <t>Amianto (asbesto) trabalhado, em fibras; misturas à base de amianto ou à base de amianto e carbonato de magnésio; obras destas misturas ou de amianto (por exemplo: fios, tecidos, vestuário, chapéus e artefactos de uso semelhante, calçado, juntas), mesmo a</t>
  </si>
  <si>
    <t>6813</t>
  </si>
  <si>
    <t>Guarnições de fricção (por exemplo: placas, rolos, tiras, segmentos, discos, anéis, pastilhas), não montadas, para travões (freios), embraiagens ou qualquer outro mecanismo de fricção, à base de amianto (asbesto), de outras substâncias minerais ou de celu</t>
  </si>
  <si>
    <t>6814</t>
  </si>
  <si>
    <t>Mica trabalhada e suas obras, incluída a mica aglomerada ou reconstituída, mesmo com suporte de papel, de cartão ou de outras matérias</t>
  </si>
  <si>
    <t>6815</t>
  </si>
  <si>
    <t>Obras de pedra ou de outras matérias minerais (incluídas as fibras de carbono, as obras destas matérias ou de turfa), não especificadas nem compreendidas noutras posições</t>
  </si>
  <si>
    <t>69</t>
  </si>
  <si>
    <t>Produtos cerâmicos</t>
  </si>
  <si>
    <t>6901</t>
  </si>
  <si>
    <t>Tijolos, placas (lajes), ladrilhos e outras peças cerâmicas de farinhas siliciosas fósseis (por exemplo, kieselguhr, tripolita, diatomita) ou de terras siliciosas semelhantes</t>
  </si>
  <si>
    <t>6902</t>
  </si>
  <si>
    <t>Tijolos, placas (lajes), ladrilhos e peças cerâmicas semelhantes, para construção, refractários, que não sejam de farinhas siliciosas fósseis nem de terras siliciosas semelhantes</t>
  </si>
  <si>
    <t>6903</t>
  </si>
  <si>
    <t>Outros produtos cerâmicos refractários (por exemplo: retortas, cadinhos, muflas, bocais, tampões, suportes, copelas, tubos, mangas, varetas) que não sejam de farinhas siliciosas fósseis nem de terras siliciosas semelhantes</t>
  </si>
  <si>
    <t>6904</t>
  </si>
  <si>
    <t>Tijolos para construção, tijoleiras, tapa-vigas e produtos semelhantes, de cerâmica</t>
  </si>
  <si>
    <t>6905</t>
  </si>
  <si>
    <t>Telhas, elementos de chaminés, condutores de fumo, ornamentos arquitectónicos, de cerâmica, e outros produtos cerâmicos para construção</t>
  </si>
  <si>
    <t>6906</t>
  </si>
  <si>
    <t>Tubos, calhas ou algerozes e acessórios para canalizações, de cerâmica</t>
  </si>
  <si>
    <t>6907</t>
  </si>
  <si>
    <t>Ladrilhos e placas (lajes), para pavimentação ou revestimento, não vidrados nem esmaltados, de cerâmica; cubos, pastilhas e artigos semelhantes, para mosaicos, não vidrados nem esmaltados, de cerâmica, mesmo com suporte</t>
  </si>
  <si>
    <t>6908</t>
  </si>
  <si>
    <t>Ladrilhos e placas (lajes), para pavimentação ou revestimento, vidrados ou esmaltados, de cerâmica; cubos, pastilhas e artigos semelhantes, para mosaicos, vidrados ou esmaltados, de cerâmica, mesmo com suporte</t>
  </si>
  <si>
    <t>6909</t>
  </si>
  <si>
    <t>Aparelhos e artefactos para usos químicos ou para outros usos técnicos, de cerâmica; alguidares, gamelas e outros recipientes semelhantes para usos rurais, de cerâmica; bilhas e outras vasilhas próprias para transporte ou embalagem, de cerâmica</t>
  </si>
  <si>
    <t>6910</t>
  </si>
  <si>
    <t>Pias, lavatórios, colunas para lavatórios, banheiras, bidés, sanitários, reservatórios de autoclismos, mictórios e aparelhos fixos semelhantes para usos sanitários, de cerâmica</t>
  </si>
  <si>
    <t>6911</t>
  </si>
  <si>
    <t>Louça, outros artigos de uso doméstico e artigos de higiene ou de toucador, de porcelana</t>
  </si>
  <si>
    <t>6912</t>
  </si>
  <si>
    <t>Louça, outros artigos de uso doméstico e artigos de higiene ou de toucador, de cerâmica, exceto de porcelana</t>
  </si>
  <si>
    <t>6913</t>
  </si>
  <si>
    <t>Estatuetas e outros objectos de ornamentação, de cerâmica</t>
  </si>
  <si>
    <t>6914</t>
  </si>
  <si>
    <t>Outras obras de cerâmica</t>
  </si>
  <si>
    <t>70</t>
  </si>
  <si>
    <t>Vidro e suas obras</t>
  </si>
  <si>
    <t>7001</t>
  </si>
  <si>
    <t>Cacos, fragmentos e outros desperdícios e resíduos de vidro; vidro em blocos ou massas</t>
  </si>
  <si>
    <t>7002</t>
  </si>
  <si>
    <t>Vidro em esferas (exceto as microsferas da posição 7018), barras, varetas e tubos, não trabalhado</t>
  </si>
  <si>
    <t>7003</t>
  </si>
  <si>
    <t>Vidro vazado ou laminado, em chapas, folhas ou perfis, mesmo com camada absorvente, reflectora ou não, mas sem qualquer outro trabalho</t>
  </si>
  <si>
    <t>7004</t>
  </si>
  <si>
    <t>Vidro estirado ou soprado, em folhas, mesmo com camada absorvente, reflectora ou não, mas sem qualquer outro trabalho</t>
  </si>
  <si>
    <t>7005</t>
  </si>
  <si>
    <t>Vidro « flotado » e vidro desbastado ou polido numa ou em ambas as faces, em chapas ou em folhas, mesmo de camada absorvente, reflectora ou não, mas sem qualquer outro trabalho</t>
  </si>
  <si>
    <t>7006</t>
  </si>
  <si>
    <t>Vidro das posições 70.03, 70.04 ou 70.05, recurvado, biselado, gravado, brocado, esmaltado ou trabalhado de outro modo, mas não emoldurado nem associado a outras matérias</t>
  </si>
  <si>
    <t>7007</t>
  </si>
  <si>
    <t>Vidros de segurança consistindo em vidros temperados ou formados por folhas contracoladas</t>
  </si>
  <si>
    <t>7008</t>
  </si>
  <si>
    <t>Vidros isolantes de paredes múltiplas</t>
  </si>
  <si>
    <t>7009</t>
  </si>
  <si>
    <t>Espelhos de vidro, mesmo emoldurados, incluídos os espelhos retrovisores</t>
  </si>
  <si>
    <t>7010</t>
  </si>
  <si>
    <t>Garrafões, garrafas, frascos, boiões, vasos, embalagens tubulares, ampolas e outros recipientes de vidro próprios para transporte ou embalagem; boiões de vidro, para conserva; rolhas, tampas e outros dispositivos de uso semelhante, de vidro</t>
  </si>
  <si>
    <t>7011</t>
  </si>
  <si>
    <t>Ampolas e invólucros, mesmo tubulares, abertos, e suas partes, de vidro, sem guarnições, para lâmpadas elétricas, tubos catódicos ou semelhantes</t>
  </si>
  <si>
    <t>7012</t>
  </si>
  <si>
    <t>Ampolas de vidro, para garrafas térmicas, etc, isolamento a vácuo</t>
  </si>
  <si>
    <t>7013</t>
  </si>
  <si>
    <t>Objectos de vidro para serviço de mesa, cozinha, toucador, escritório, ornamentação de interiores ou usos semelhantes, exceto os das posições 7010 ou 7018</t>
  </si>
  <si>
    <t>7014</t>
  </si>
  <si>
    <t>Artefatos de vidro para sinalização e elementos de óptica de vidro (exceto os da posição 70.15), não trabalhados opticamente</t>
  </si>
  <si>
    <t>7015</t>
  </si>
  <si>
    <t>Vidros para relógios e aparelhos semelhantes e vidros semelhantes, vidros para lentes, mesmo correctivas, curvos ou arqueados, ocos ou semelhantes, não trabalhados opticamente; esferas ocas e segmentos de esferas, de vidro, para fabricação desses vidros</t>
  </si>
  <si>
    <t>7016</t>
  </si>
  <si>
    <t>Blocos, placas, tijolos, ladrilhos, telhas e outros artefactos, de vidro prensado ou moldado, mesmo armado, para construção; cubos, pastilhas e outros artigos semelhantes, de vidro, mesmo com suporte, para mosaicos ou decorações semelhantes; vitrais de vi</t>
  </si>
  <si>
    <t>7017</t>
  </si>
  <si>
    <t>Artefactos de vidro para laboratório, higiene e farmácia, mesmo graduados ou calibrados</t>
  </si>
  <si>
    <t>7018</t>
  </si>
  <si>
    <t>Contas, imitações de pérolas naturais ou cultivadas, imitações de pedras preciosas ou semipreciosas e artefactos semelhantes de vidro e suas obras, exceto de bijutaria; olhos de vidro, exceto de prótese; estatuetas e outros objectos de ornamentação, de</t>
  </si>
  <si>
    <t>7019</t>
  </si>
  <si>
    <t>Fibras de vidro (incluída a lã de vidro) e suas obras (por exemplo: fios, tecidos)</t>
  </si>
  <si>
    <t>7020</t>
  </si>
  <si>
    <t>Outras obras de vidro</t>
  </si>
  <si>
    <t>71</t>
  </si>
  <si>
    <t>Pérolas naturais ou cultivadas, pedras preciosas ou semipreciosas e semelhantes, metais preciosos, metais folheados ou chapeados de metais preciosos (plaquê), e suas obras; bijuterias; moedas</t>
  </si>
  <si>
    <t>7101</t>
  </si>
  <si>
    <t>Pérolas naturais ou cultivadas, mesmo trabalhadas ou combinadas, mas não enfiadas, nem montadas, nem engastadas; pérolas naturais ou cultivadas, enfiadas temporariamente para facilidade de transporte</t>
  </si>
  <si>
    <t>7102</t>
  </si>
  <si>
    <t>Diamantes, mesmo trabalhados, mas não montados nem engastados</t>
  </si>
  <si>
    <t>7103</t>
  </si>
  <si>
    <t>Pedras preciosas (exceto diamantes) ou semipreciosas, mesmo trabalhadas ou combinadas, mas não enfiadas, nem montadas, nem engastadas; pedras preciosas (exceto diamantes) ou semipreciosas, não combinadas, enfiadas temporariamente para facilidade de tran</t>
  </si>
  <si>
    <t>7104</t>
  </si>
  <si>
    <t>Pedras sintéticas ou reconstituídas, mesmo trabalhadas ou combinadas, mas não enfiadas, nem montadas, nem engastadas; pedras sintéticas ou reconstituídas, não combinadas, enfiadas temporariamente para facilidade de transporte</t>
  </si>
  <si>
    <t>7105</t>
  </si>
  <si>
    <t>Pó de diamantes, de pedras preciosas ou semipreciosas ou de pedras sintéticas</t>
  </si>
  <si>
    <t>7106</t>
  </si>
  <si>
    <t>Prata (incluída a prata dourada ou platinada), em formas brutas ou semimanufacturadas, ou em pó</t>
  </si>
  <si>
    <t>7107</t>
  </si>
  <si>
    <t>Metais comuns folheados ou chapeados (plaquê) de prata, em formas brutas ou semimanufaturadas</t>
  </si>
  <si>
    <t>7108</t>
  </si>
  <si>
    <t>Ouro (incluído o ouro platinado), em formas brutas ou semimanufacturadas, ou em pó</t>
  </si>
  <si>
    <t>7109</t>
  </si>
  <si>
    <t>Metais comuns ou prata, folheados ou chapeados (plaquê) de ouro, em formas brutas ou semimanufaturadas</t>
  </si>
  <si>
    <t>7110</t>
  </si>
  <si>
    <t>Platina, em formas brutas ou semimanufacturadas, ou em pó</t>
  </si>
  <si>
    <t>7111</t>
  </si>
  <si>
    <t>Metais comuns, prata ou ouro, folheados ou chapeados (plaquê) de platina, em formas brutas ou semimanufaturadas</t>
  </si>
  <si>
    <t>7112</t>
  </si>
  <si>
    <t>Desperdícios e resíduos de metais preciosos ou de metais folheados ou chapeados de metais preciosos; outros desperdícios e resíduos contendo metais preciosos ou compostos de metais preciosos, do tipo dos utilizados principalmente para a recuperação de met</t>
  </si>
  <si>
    <t>7113</t>
  </si>
  <si>
    <t>Artefactos de joalharia e suas partes, de metais preciosos ou de metais folheados ou chapeados de metais preciosos</t>
  </si>
  <si>
    <t>7114</t>
  </si>
  <si>
    <t>Artefactos de ourivesaria e suas partes, de metais preciosos ou de metais folheados ou chapeados de metais preciosos</t>
  </si>
  <si>
    <t>7115</t>
  </si>
  <si>
    <t>Outras obras de metais preciosos ou de metais folheados ou chapeados de metais preciosos</t>
  </si>
  <si>
    <t>7116</t>
  </si>
  <si>
    <t>Obras de pérolas naturais ou cultivadas, de pedras preciosas ou semipreciosas, pedras sintéticas ou reconstituídas</t>
  </si>
  <si>
    <t>7117</t>
  </si>
  <si>
    <t>Bijutarias</t>
  </si>
  <si>
    <t>7118</t>
  </si>
  <si>
    <t>Moedas</t>
  </si>
  <si>
    <t>72</t>
  </si>
  <si>
    <t>Ferro fundido, ferro e aço</t>
  </si>
  <si>
    <t>7201</t>
  </si>
  <si>
    <t>Ferro fundido bruto e ferro spiegel (especular), em lingotes, linguados ou outras formas primárias</t>
  </si>
  <si>
    <t>7202</t>
  </si>
  <si>
    <t>Ferro-ligas</t>
  </si>
  <si>
    <t>7203</t>
  </si>
  <si>
    <t>Produtos ferrosos obtidos por redução directa dos minérios de ferro e outros produtos ferrosos esponjosos, em pedaços, esferas ou formas semelhantes; ferro de pureza mínima, em peso, de 99,94 %, em pedaços, esferas ou formas semelhantes</t>
  </si>
  <si>
    <t>7204</t>
  </si>
  <si>
    <t>Desperdícios, resíduos e sucata de ferro fundido, ferro ou aço; desperdícios de ferro ou aço, em lingotes</t>
  </si>
  <si>
    <t>7205</t>
  </si>
  <si>
    <t>Granalha e pó de ferro fundido bruto, de ferro spiegel (especular), de ferro ou aço</t>
  </si>
  <si>
    <t>7206</t>
  </si>
  <si>
    <t>Ferro e aço não ligado, em lingotes ou outras formas primárias, exceto o ferro da posição 7203</t>
  </si>
  <si>
    <t>7207</t>
  </si>
  <si>
    <t>Produtos semimanufacturados de ferro ou aço não ligado</t>
  </si>
  <si>
    <t>7208</t>
  </si>
  <si>
    <t>Produtos laminados planos, de ferro ou aço não ligado, de largura igual ou superior a 600 mm, laminados a quente, não folheados ou chapeados, nem revestidos</t>
  </si>
  <si>
    <t>7209</t>
  </si>
  <si>
    <t>Produtos laminados planos, de ferro ou aço não ligado, de largura igual ou superior a 600 mm, laminados a frio, não folheados ou chapeados, nem revestidos</t>
  </si>
  <si>
    <t>7210</t>
  </si>
  <si>
    <t>Produtos laminados planos de ferro ou aço não ligado, de largura igual ou superior a 600 mm, folheados ou chapeados, ou revestidos</t>
  </si>
  <si>
    <t>7211</t>
  </si>
  <si>
    <t>Produtos laminados planos, de ferro ou aço não ligado, de largura inferior a 600 mm, não folheados ou chapeados, nem revestidos</t>
  </si>
  <si>
    <t>7212</t>
  </si>
  <si>
    <t>Produtos laminados planos de ferro ou aço não ligado, de largura inferior a 600 mm, folheados ou chapeados, ou revestidos</t>
  </si>
  <si>
    <t>7213</t>
  </si>
  <si>
    <t>Fio-máquina de ferro ou aço não ligado</t>
  </si>
  <si>
    <t>7214</t>
  </si>
  <si>
    <t>Barras de ferro ou aço não ligado, simplesmente forjadas, laminadas, estiradas ou extrudadas, a quente, incluídas as que tenham sido submetidas a torção após laminagem</t>
  </si>
  <si>
    <t>7215</t>
  </si>
  <si>
    <t>Outras barras de ferro ou aço não ligado</t>
  </si>
  <si>
    <t>7216</t>
  </si>
  <si>
    <t>Perfis de ferro ou aço não ligado</t>
  </si>
  <si>
    <t>7217</t>
  </si>
  <si>
    <t>Fios de ferro ou aço não ligado</t>
  </si>
  <si>
    <t>7218</t>
  </si>
  <si>
    <t>Aço inoxidável, em lingotes ou outras formas primárias; produtos semimanufacturados de aço inoxidável</t>
  </si>
  <si>
    <t>7219</t>
  </si>
  <si>
    <t>Produtos laminados planos de aço inoxidável, de largura igual ou superior a 600 mm</t>
  </si>
  <si>
    <t>7220</t>
  </si>
  <si>
    <t>Produtos laminados planos de aço inoxidável, de largura inferior a 600 mm</t>
  </si>
  <si>
    <t>7221</t>
  </si>
  <si>
    <t>Fio-máquina de aço inoxidável</t>
  </si>
  <si>
    <t>7222</t>
  </si>
  <si>
    <t>Barras e perfis de aço inoxidável</t>
  </si>
  <si>
    <t>7223</t>
  </si>
  <si>
    <t>Fios de aços inoxidáveis</t>
  </si>
  <si>
    <t>7224</t>
  </si>
  <si>
    <t>Outras ligas de aço, em lingotes ou outras formas primárias; produtos semimanufacturados, de outras ligas de aço</t>
  </si>
  <si>
    <t>7225</t>
  </si>
  <si>
    <t>Produtos laminados planos, de outras ligas de aço, de largura igual ou superior a 600 mm</t>
  </si>
  <si>
    <t>7226</t>
  </si>
  <si>
    <t>Produtos laminados planos, de outras ligas de aço, de largura inferior a 600 mm</t>
  </si>
  <si>
    <t>7227</t>
  </si>
  <si>
    <t>Fio-máquina de outras ligas de aço</t>
  </si>
  <si>
    <t>7228</t>
  </si>
  <si>
    <t>Barras e perfis, de outras ligas de aço; barras ocas para perfuração, de ligas de aço ou de aço não ligado</t>
  </si>
  <si>
    <t>7229</t>
  </si>
  <si>
    <t>Fios de outras ligas de aço</t>
  </si>
  <si>
    <t>73</t>
  </si>
  <si>
    <t>Obras de ferro fundido, ferro ou aço</t>
  </si>
  <si>
    <t>7301</t>
  </si>
  <si>
    <t>Estacas-pranchas de ferro ou aço, mesmo perfuradas ou feitas com elementos montados; perfis obtidos por soldadura, de ferro ou aço</t>
  </si>
  <si>
    <t>7302</t>
  </si>
  <si>
    <t>Elementos de vias férreas, de ferro fundido, ferro ou aço; carris, contracarris e cremalheiras, agulhas, cróssimas, alavancas para comando de agulhas e outros elementos de cruzamentos e desvios, dormentes, eclissas, coxins de carril, cantoneiras, placas d</t>
  </si>
  <si>
    <t>7303</t>
  </si>
  <si>
    <t>Tubos e perfis ocos, de ferro fundido</t>
  </si>
  <si>
    <t>7304</t>
  </si>
  <si>
    <t>Tubos e perfis ocos, sem costura, de ferro ou aço</t>
  </si>
  <si>
    <t>7305</t>
  </si>
  <si>
    <t>Outros tubos (por exemplo: soldados ou rebitados), de secção circular, de diâmetro exterior superior a 406,4 mm, de ferro ou aço</t>
  </si>
  <si>
    <t>7306</t>
  </si>
  <si>
    <t>Outros tubos e perfis ocos (por exemplo: soldados, rebitados, agrafados ou com os bordos simplesmente aproximados), de ferro ou aço</t>
  </si>
  <si>
    <t>7307</t>
  </si>
  <si>
    <t>Acessórios para tubos [por exemplo: uniões, cotovelos, mangas (luvas)], de ferro fundido, ferro ou aço</t>
  </si>
  <si>
    <t>7308</t>
  </si>
  <si>
    <t>Construções e suas partes (por exemplo: pontes e elementos de pontes, comportas, torres, pórticos, pilares, colunas, armações, estruturas para telhados, portas e janelas, e seus caixilhos, alizares e soleiras, portas de correr, balaustradas), de ferro fun</t>
  </si>
  <si>
    <t>7309</t>
  </si>
  <si>
    <t>Reservatórios, tonéis, cubas e recipientes semelhantes, de ferro fundido, ferro ou aço, de capacidade &gt; 300 litros, sem dispositivos mecânicos nem térmicos</t>
  </si>
  <si>
    <t>7310</t>
  </si>
  <si>
    <t>Reservatórios, barris, tambores, latas, caixas e recipientes semelhantes para quaisquer matérias (exceto gases comprimidos ou liquefeitos), de ferro fundido, ferro ou aço, de capacidade não superior a 300 litros, sem dispositivos mecânicos ou térmicos, m</t>
  </si>
  <si>
    <t>7311</t>
  </si>
  <si>
    <t>Recipientes para gases comprimidos ou liquefeitos, de ferro fundido, ferro ou aço</t>
  </si>
  <si>
    <t>7312</t>
  </si>
  <si>
    <t>Cordas, cabos, entrançados, lingas e artefactos semelhantes, de ferro ou aço, não isolados para usos elétricos</t>
  </si>
  <si>
    <t>7313</t>
  </si>
  <si>
    <t>Arame farpado, de ferro ou aço; arames ou tiras, retorcidos, mesmo farpados, de ferro ou aço, dos tipos utilizados em cercas</t>
  </si>
  <si>
    <t>7314</t>
  </si>
  <si>
    <t>Telas metálicas (incluídas as telas contínuas ou sem fim), grades e redes, de fios de ferro ou aço; chapas e tiras, distendidas, de ferro ou aço</t>
  </si>
  <si>
    <t>7315</t>
  </si>
  <si>
    <t>Correntes, cadeias, e suas partes, de ferro fundido, ferro ou aço</t>
  </si>
  <si>
    <t>7316</t>
  </si>
  <si>
    <t>Âncoras, fateixas, e suas partes, de ferro fundido, ferro ou aço</t>
  </si>
  <si>
    <t>7317</t>
  </si>
  <si>
    <t>Tachas, pregos, percevejos e artefatos semelhantes, de ferro fundido, ferro ou aço</t>
  </si>
  <si>
    <t>7318</t>
  </si>
  <si>
    <t>Parafusos, pernos ou pinos, roscados, porcas, tira-fundos, ganchos roscados, rebites, chavetas, cavilhas, contrapinos ou troços, anilhas ou arruelas (incluídas as de pressão) e artefactos semelhantes, de ferro fundido, ferro ou aço</t>
  </si>
  <si>
    <t>7319</t>
  </si>
  <si>
    <t>Agulhas de costura, agulhas de tricô, agulhas-passadoras, agulhas de croché, furadores para bordar e artefactos semelhantes, para uso manual, de ferro ou aço; alfinetes de segurança e outros alfinetes, de ferro ou aço, não especificados nem compreendidos</t>
  </si>
  <si>
    <t>7320</t>
  </si>
  <si>
    <t>Molas e folhas de molas, de ferro ou aço</t>
  </si>
  <si>
    <t>7321</t>
  </si>
  <si>
    <t>Aquecedores (fogões de sala), caldeiras de fornalha, fogões de cozinha (incluídos os que possam ser utilizados acessoriamente no aquecimento central), grelhadores (churrasqueiras), braseiras, fogareiros a gás, aquecedores de pratos, e aparelhos não eléctr</t>
  </si>
  <si>
    <t>7322</t>
  </si>
  <si>
    <t>Radiadores para aquecimento central, não elétricos, e suas partes, de ferro fundido, ferro ou aço; geradores e distribuidores de ar quente (incluídos os distribuidores que possam também funcionar como distribuidores de ar frio ou condicionado), não eléct</t>
  </si>
  <si>
    <t>7323</t>
  </si>
  <si>
    <t>Artefactos de uso doméstico, e suas partes, de ferro fundido, ferro ou aço; palha de ferro ou aço; esponjas, esfregões, luvas e artefactos semelhantes para limpeza, polimento e usos semelhantes, de ferro ou aço</t>
  </si>
  <si>
    <t>7324</t>
  </si>
  <si>
    <t>Artefactos de higiene ou de toucador, e suas partes, de ferro fundido, ferro ou aço</t>
  </si>
  <si>
    <t>7325</t>
  </si>
  <si>
    <t>Outras obras moldadas, de ferro fundido, ferro ou aço</t>
  </si>
  <si>
    <t>7326</t>
  </si>
  <si>
    <t>Outras obras de ferro ou aço</t>
  </si>
  <si>
    <t>74</t>
  </si>
  <si>
    <t>Cobre e suas obras</t>
  </si>
  <si>
    <t>7401</t>
  </si>
  <si>
    <t>Mates de cobre; cobre de cementação (precipitado de cobre)</t>
  </si>
  <si>
    <t>7402</t>
  </si>
  <si>
    <t>Cobre não refinado; ânodos de cobre para refinação eletrolítica</t>
  </si>
  <si>
    <t>7403</t>
  </si>
  <si>
    <t>Cobre afinado e ligas de cobre, em formas brutas</t>
  </si>
  <si>
    <t>7404</t>
  </si>
  <si>
    <t>Desperdícios e resíduos, de cobre</t>
  </si>
  <si>
    <t>7405</t>
  </si>
  <si>
    <t>Ligas-mães de cobre</t>
  </si>
  <si>
    <t>7406</t>
  </si>
  <si>
    <t>Pó e escamas, de cobre</t>
  </si>
  <si>
    <t>7407</t>
  </si>
  <si>
    <t>Barras e perfis de cobre</t>
  </si>
  <si>
    <t>7408</t>
  </si>
  <si>
    <t>Fios de cobre</t>
  </si>
  <si>
    <t>7409</t>
  </si>
  <si>
    <t>Chapas e tiras de cobre, de espessura superior a 0,15 mm</t>
  </si>
  <si>
    <t>7410</t>
  </si>
  <si>
    <t>Folhas e tiras, delgadas, de cobre (mesmo impressas ou com suporte de papel, cartão, plástico ou semelhantes), de espessura não superior a 0,15 mm (excluído o suporte)</t>
  </si>
  <si>
    <t>7411</t>
  </si>
  <si>
    <t>Tubos de cobre</t>
  </si>
  <si>
    <t>7412</t>
  </si>
  <si>
    <t>Acessórios para tubos [por exemplo: uniões, cotovelos, mangas (luvas)], de cobre</t>
  </si>
  <si>
    <t>7413</t>
  </si>
  <si>
    <t>Cordas, cabos, tranças e artefatos semelhantes, de cobre, não isolados para usos elétricos</t>
  </si>
  <si>
    <t>7414</t>
  </si>
  <si>
    <t>Telas metálicas (incluídas as telas contínuas ou sem fim), grades e redes, de fios de cobre; chapas e tiras, distendidas, de cobre</t>
  </si>
  <si>
    <t>7415</t>
  </si>
  <si>
    <t>Pontas, pregos, percevejos, escápulas e artefactos semelhantes, de cobre ou de ferro ou aço com cabeça de cobre; parafusos, pinos ou pernos, roscados, porcas, ganchos roscados, rebites, chavetas, cavilhas, contrapinos ou troços, anilhas (arruelas) incluíd</t>
  </si>
  <si>
    <t>7416</t>
  </si>
  <si>
    <t>Molas de cobre</t>
  </si>
  <si>
    <t>7417</t>
  </si>
  <si>
    <t>Aparelhos para cozinhar/aquecer, de cobre, n/eletr.doméstico</t>
  </si>
  <si>
    <t>7418</t>
  </si>
  <si>
    <t>Artefactos de uso doméstico, de higiene ou de toucador, e suas partes, de cobre; esponjas, esfregões, luvas e artefactos semelhantes, para limpeza, polimento ou usos semelhantes, de cobre</t>
  </si>
  <si>
    <t>7419</t>
  </si>
  <si>
    <t>Outras obras de cobre</t>
  </si>
  <si>
    <t>75</t>
  </si>
  <si>
    <t>Níquel e suas obras</t>
  </si>
  <si>
    <t>7501</t>
  </si>
  <si>
    <t>Mates de níquel, sinters de óxidos de níquel e outros produtos intermediários da metalurgia do níquel</t>
  </si>
  <si>
    <t>7502</t>
  </si>
  <si>
    <t>Níquel em formas brutas</t>
  </si>
  <si>
    <t>7503</t>
  </si>
  <si>
    <t>Desperdícios e resíduos, de níquel</t>
  </si>
  <si>
    <t>7504</t>
  </si>
  <si>
    <t>Pós e escamas, de níquel</t>
  </si>
  <si>
    <t>7505</t>
  </si>
  <si>
    <t>Barras, perfis e fios, de níquel</t>
  </si>
  <si>
    <t>7506</t>
  </si>
  <si>
    <t>Chapas, tiras e folhas, de níquel</t>
  </si>
  <si>
    <t>7507</t>
  </si>
  <si>
    <t>Tubos e seus acessórios [por exemplo: uniões, cotovelos, mangas (luvas)], de níquel</t>
  </si>
  <si>
    <t>7508</t>
  </si>
  <si>
    <t>Outras obras de níquel</t>
  </si>
  <si>
    <t>76</t>
  </si>
  <si>
    <t>Alumínio e suas obras</t>
  </si>
  <si>
    <t>7601</t>
  </si>
  <si>
    <t>Alumínio em formas brutas</t>
  </si>
  <si>
    <t>7602</t>
  </si>
  <si>
    <t>Desperdícios e resíduos, de alumínio</t>
  </si>
  <si>
    <t>7603</t>
  </si>
  <si>
    <t>Pó e escamas, de alumínio</t>
  </si>
  <si>
    <t>7604</t>
  </si>
  <si>
    <t>Barras e perfis, de alumínio</t>
  </si>
  <si>
    <t>7605</t>
  </si>
  <si>
    <t>Fios de alumínio</t>
  </si>
  <si>
    <t>7606</t>
  </si>
  <si>
    <t>Chapas e tiras, de alumínio, de espessura superior a 0,2 mm</t>
  </si>
  <si>
    <t>7607</t>
  </si>
  <si>
    <t>Folhas e tiras, delgadas, de alumínio (mesmo impressas ou com suporte de papel, cartão, plástico ou semelhantes), de espessura não superior a 0,2 mm (excluído o suporte)</t>
  </si>
  <si>
    <t>7608</t>
  </si>
  <si>
    <t>Tubos de alumínio</t>
  </si>
  <si>
    <t>7609</t>
  </si>
  <si>
    <t>Acessórios para tubos (por exemplo, uniões, cotovelos, luvas), de alumínio</t>
  </si>
  <si>
    <t>7610</t>
  </si>
  <si>
    <t>Construções e suas partes (por exemplo: pontes e elementos de pontes, torres, pórticos ou pilonos, pilares, colunas, armações, estruturas para telhados, portas e janelas, e seus caixilhos, alizares e soleiras, balaustradas), de alumínio, exceto as constr</t>
  </si>
  <si>
    <t>7611</t>
  </si>
  <si>
    <t>Reservatórios, tonéis, cubas e recipientes semelhantes para quaisquer matérias (exceto gases comprimidos ou liquefeitos), de alumínio, de capacidade superior a 300 l, sem dispositivos mecânicos ou térmicos, mesmo com revestimento interior ou calorífugo.</t>
  </si>
  <si>
    <t>7612</t>
  </si>
  <si>
    <t>Reservatórios, barris, tambores, latas, caixas e recipientes semelhantes (incluídos os recipientes tubulares, rígidos ou flexíveis) para quaisquer matérias (exceto gases comprimidos ou liquefeitos), de alumínio, de capacidade não superior a 300 litros, s</t>
  </si>
  <si>
    <t>7613</t>
  </si>
  <si>
    <t>Recipientes p/gases comprimidos/liquefeitos, de alumínio</t>
  </si>
  <si>
    <t>7614</t>
  </si>
  <si>
    <t>Cordas, cabos, entrançados e semelhantes, de alumínio, não isolados para usos elétricos</t>
  </si>
  <si>
    <t>7615</t>
  </si>
  <si>
    <t>Artefactos de uso doméstico, de higiene ou de toucador, e suas partes, de alumínio; esponjas, esfregões, luvas e artefactos semelhantes, para limpeza, polimento e usos semelhantes, de alumínio</t>
  </si>
  <si>
    <t>7616</t>
  </si>
  <si>
    <t>Outras obras de alumínio</t>
  </si>
  <si>
    <t>78</t>
  </si>
  <si>
    <t>Chumbo e suas obras</t>
  </si>
  <si>
    <t>7801</t>
  </si>
  <si>
    <t>Chumbo em formas brutas</t>
  </si>
  <si>
    <t>7802</t>
  </si>
  <si>
    <t>Desperdícios e resíduos, de chumbo</t>
  </si>
  <si>
    <t>7803</t>
  </si>
  <si>
    <t>Barras, perfis e fios, de chumbo</t>
  </si>
  <si>
    <t>7804</t>
  </si>
  <si>
    <t>Chapas, folhas e tiras, de chumbo; pó e escamas, de chumbo</t>
  </si>
  <si>
    <t>7805</t>
  </si>
  <si>
    <t>Tubos e seus acessórios, de chumbo</t>
  </si>
  <si>
    <t>7806</t>
  </si>
  <si>
    <t>Outras obras de chumbo</t>
  </si>
  <si>
    <t>79</t>
  </si>
  <si>
    <t>Zinco e suas obras</t>
  </si>
  <si>
    <t>7901</t>
  </si>
  <si>
    <t>Zinco em formas brutas</t>
  </si>
  <si>
    <t>7902</t>
  </si>
  <si>
    <t>Desperdícios e resíduos, de zinco</t>
  </si>
  <si>
    <t>7903</t>
  </si>
  <si>
    <t>Poeiras, pó e escamas, de zinco</t>
  </si>
  <si>
    <t>7904</t>
  </si>
  <si>
    <t>Barras, perfis e fios, de zinco</t>
  </si>
  <si>
    <t>7905</t>
  </si>
  <si>
    <t>Chapas, folhas e tiras, de zinco</t>
  </si>
  <si>
    <t>7906</t>
  </si>
  <si>
    <t>Tubos e seus acessórios, de zinco</t>
  </si>
  <si>
    <t>7907</t>
  </si>
  <si>
    <t>Outras obras de zinco</t>
  </si>
  <si>
    <t>80</t>
  </si>
  <si>
    <t>Estanho e suas obras</t>
  </si>
  <si>
    <t>8001</t>
  </si>
  <si>
    <t>Estanho em formas brutas</t>
  </si>
  <si>
    <t>8002</t>
  </si>
  <si>
    <t>Desperdícios e resíduos, de estanho</t>
  </si>
  <si>
    <t>8003</t>
  </si>
  <si>
    <t>Barras, perfis e fios, de estanho</t>
  </si>
  <si>
    <t>8004</t>
  </si>
  <si>
    <t>Chapas, folhas e tiras, de estanho, espessura&gt;0.2mm</t>
  </si>
  <si>
    <t>8005</t>
  </si>
  <si>
    <t>Folha delgada de estanho</t>
  </si>
  <si>
    <t>8006</t>
  </si>
  <si>
    <t>Tubos e seus acessórios, de estanho</t>
  </si>
  <si>
    <t>8007</t>
  </si>
  <si>
    <t>Outras obras de estanho</t>
  </si>
  <si>
    <t>81</t>
  </si>
  <si>
    <t>Outros metais comuns; ceramais (cermets); obras dessas matérias</t>
  </si>
  <si>
    <t>8101</t>
  </si>
  <si>
    <t>Tungsténio (volfrâmio) e suas obras, incluídos os desperdícios, resíduos e sucata</t>
  </si>
  <si>
    <t>8102</t>
  </si>
  <si>
    <t>Molibdénio e suas obras, incluídos os desperdícios, resíduos e sucata</t>
  </si>
  <si>
    <t>8103</t>
  </si>
  <si>
    <t>Tântalo e suas obras, incluídos os desperdícios, resíduos e sucata</t>
  </si>
  <si>
    <t>8104</t>
  </si>
  <si>
    <t>Magnésio e suas obras, incluídos os desperdícios, resíduos e sucata</t>
  </si>
  <si>
    <t>8105</t>
  </si>
  <si>
    <t>Mates de cobalto e outros produtos intermediários da metalurgia do cobalto; cobalto e suas obras, incluídos os desperdícios, resíduos e sucata</t>
  </si>
  <si>
    <t>8106</t>
  </si>
  <si>
    <t>Bismuto e suas obras, incluídos os desperdícios e resíduos</t>
  </si>
  <si>
    <t>8107</t>
  </si>
  <si>
    <t>Cádmio e suas obras, incluídos os desperdícios, resíduos e sucata</t>
  </si>
  <si>
    <t>8108</t>
  </si>
  <si>
    <t>Titânio e suas obras, incluídos os desperdícios, resíduos e sucata</t>
  </si>
  <si>
    <t>8109</t>
  </si>
  <si>
    <t>Zircónio e suas obras, incluídos os desperdícios, resíduos e sucata</t>
  </si>
  <si>
    <t>8110</t>
  </si>
  <si>
    <t>Antimónio e suas obras, incluídos os desperdícios, resíduos e sucata</t>
  </si>
  <si>
    <t>8111</t>
  </si>
  <si>
    <t>Manganês e suas obras, incluídos os desperdícios e resíduos</t>
  </si>
  <si>
    <t>8112</t>
  </si>
  <si>
    <t>Berílio, crómio, germânio, vanádio, gálio, háfnio (céltio), índio, nióbio (colômbio), rénio e tálio, e suas obras, incluídos os desperdícios, resíduos e sucata</t>
  </si>
  <si>
    <t>8113</t>
  </si>
  <si>
    <t>Ceramais (cermets) e suas obras, incluídos os desperdícios e resíduos</t>
  </si>
  <si>
    <t>82</t>
  </si>
  <si>
    <t>Ferramentas, artefatos de cutelaria e talheres, e suas partes, de metais comuns</t>
  </si>
  <si>
    <t>8201</t>
  </si>
  <si>
    <t>Pás, alviões, picaretas, enxadas, sachos, forcados, forquilhas, ancinhos e rapadeiras; machados, podões e ferramentas semelhantes de gume; tesouras de podar de todos os tipos; foices e foicinhas, facas para feno ou para palha, tesouras para sebes, cunhas</t>
  </si>
  <si>
    <t>8202</t>
  </si>
  <si>
    <t>Serras manuais; folhas de serras de todos os tipos (incluídas as fresas-serras e as folhas não dentadas para serrar)</t>
  </si>
  <si>
    <t>8203</t>
  </si>
  <si>
    <t>Limas, grosas, alicates (mesmo cortantes), tenazes, pinças, cisalhas para metais, corta-tubos, corta-pinos, saca-bocados e ferramentas semelhantes, manuais</t>
  </si>
  <si>
    <t>8204</t>
  </si>
  <si>
    <t>Chaves de porcas, manuais (incluídas as chaves dinamométricas); chaves de caixa intercambiáveis, mesmo com cabos</t>
  </si>
  <si>
    <t>8205</t>
  </si>
  <si>
    <t>Ferramentas manuais (incluídos os corta-vidros) não especificadas nem compreendidas em outras posições; lâmpadas ou lamparinas de soldar (maçaricos) e semelhantes; tornos de apertar, sargentos e semelhantes, exceto os acessórios ou partes de máquinas-fer</t>
  </si>
  <si>
    <t>8206</t>
  </si>
  <si>
    <t>Sortido de serras, limas, etc.uso manual, de metais comuns</t>
  </si>
  <si>
    <t>8207</t>
  </si>
  <si>
    <t>Ferramentas intercambiáveis para ferramentas manuais, mesmo mecânicas, ou para máquinas-ferramentas (por exemplo: de embutir, estampar, puncionar, roscar (interior ou exteriormente), furar, escarear, mandrilar, fresar, tornear, aparafusar), incluídas as f</t>
  </si>
  <si>
    <t>8208</t>
  </si>
  <si>
    <t>Facas e lâminas cortantes, para máquinas ou para aparelhos mecânicos</t>
  </si>
  <si>
    <t>8209</t>
  </si>
  <si>
    <t>Plaquetas, varetas, pontas e objetos semelhantes para ferramentas, não montados, de ceramais (cermets)</t>
  </si>
  <si>
    <t>8210</t>
  </si>
  <si>
    <t>Aparelhos mecânicos de acionamento manual, pesando &lt;= 10 kg, utilizados para preparar, acondicionar ou servir alimentos ou bebidas</t>
  </si>
  <si>
    <t>8211</t>
  </si>
  <si>
    <t>Facas (exceto da posição 8208) de lâmina cortante ou serrilhada, incluídas as podadeiras de lâmina móvel, e suas lâminas</t>
  </si>
  <si>
    <t>8212</t>
  </si>
  <si>
    <t>Navalhas e aparelhos de barbear e suas lâminas (incluídos os esboços em tiras)</t>
  </si>
  <si>
    <t>8213</t>
  </si>
  <si>
    <t>Tesouras e suas lâminas, de metais comuns</t>
  </si>
  <si>
    <t>8214</t>
  </si>
  <si>
    <t>Outros artigos de cutelaria (por exemplo: máquinas de cortar o cabelo ou tosquiar, fendeleiras, cutelos, incluídos os de açougue e de cozinha, e corta-papéis); utensílios e sortidos de utensílios, de manicuros ou de pedicuros (incluídas as limas para unha</t>
  </si>
  <si>
    <t>8215</t>
  </si>
  <si>
    <t>Colheres, garfos, conchas, escumadeiras, pás para tortas, facas especiais para peixe ou para manteiga, pinças para açúcar e artefactos semelhantes</t>
  </si>
  <si>
    <t>83</t>
  </si>
  <si>
    <t>Obras diversas de metais comuns</t>
  </si>
  <si>
    <t>8301</t>
  </si>
  <si>
    <t>Cadeados, fechaduras e ferrolhos (de chave, de segredo ou elétricos), de metais comuns; fechos e armações com fecho, com fechadura, de metais comuns; chaves para estes artigos, de metais comuns</t>
  </si>
  <si>
    <t>8302</t>
  </si>
  <si>
    <t>Guarnições, ferragens e artigos semelhantes, de metais comuns, para móveis, portas, escadas, janelas, persianas, carroçarias, artigos de seleiro, malas, cofres, caixas de segurança e outras obras semelhantes; pateras, porta-chapéus, cabides e artigos seme</t>
  </si>
  <si>
    <t>8303</t>
  </si>
  <si>
    <t>Cofres-fortes, portas blindadas e compartimentos para casas-fortes, cofres e caixas de segurança e artefatos semelhantes, de metais comuns</t>
  </si>
  <si>
    <t>8304</t>
  </si>
  <si>
    <t>Classificadores, fichários, caixas de classificação, porta-cópias, porta-canetas, porta-carimbos e artefatos semelhantes, de escritório, de metais comuns, excluindo os móveis de escritório da posição 94.03</t>
  </si>
  <si>
    <t>8305</t>
  </si>
  <si>
    <t>Ferragens para encadernação de folhas móveis ou para classificadores, molas para papéis, cantos para cartas, clipes, indicadores para fichas ou cavaleiros e objectos semelhantes de escritório, de metais comuns; grampos apresentados em barretas (por exempl</t>
  </si>
  <si>
    <t>8306</t>
  </si>
  <si>
    <t>Sinos, campainhas, gongos e artefactos semelhantes, não elétricos, de metais comuns; estatuetas e outros objectos de ornamentação, de metais comuns; molduras para fotografias, gravuras ou semelhantes, de metais comuns; espelhos de metais comuns</t>
  </si>
  <si>
    <t>8307</t>
  </si>
  <si>
    <t>Tubos flexíveis de metais comuns, mesmo com acessórios</t>
  </si>
  <si>
    <t>8308</t>
  </si>
  <si>
    <t>Fechos, armações com fecho, fivelas, fivelas-fecho, grampos, colchetes, ilhoses e artefactos semelhantes, de metais comuns, para vestuário, calçado, toldos, bolsas, artigos de viagem e para quaisquer outras confecções ou equipamentos; rebites tubulares ou</t>
  </si>
  <si>
    <t>8309</t>
  </si>
  <si>
    <t>Rolhas (incluídas as cápsulas de coroa, rolhas de parafuso e vertedoras), tampas, cápsulas para garrafas, batoques ou tampões roscados, protectores de batoques ou tampões, selos de garantia e outros acessórios para embalagem, de metais comuns</t>
  </si>
  <si>
    <t>8310</t>
  </si>
  <si>
    <t>Placas indicadoras, placas sinalizadoras, placas-endereços e placas semelhantes, números, letras e sinais diversos, de metais comuns, exceto os da posição 94.05.</t>
  </si>
  <si>
    <t>8311</t>
  </si>
  <si>
    <t>Fios, varetas, tubos, chapas, eléctrodos e artefactos semelhantes, de metais comuns ou de carbonetos metálicos, revestidos interior ou exteriormente de decapantes ou de fundentes, para soldadura (soldagem) ou depósito de metal ou de carbonetos metálicos;</t>
  </si>
  <si>
    <t>84</t>
  </si>
  <si>
    <t>Reatores nucleares, caldeiras, máquinas, aparelhos e instrumentos mecânicos, e suas partes</t>
  </si>
  <si>
    <t>8401</t>
  </si>
  <si>
    <t>Reactores nucleares; elementos combustíveis (cartuchos) não irradiados, para reactores nucleares; máquinas e aparelhos para a separação de isótopos</t>
  </si>
  <si>
    <t>8402</t>
  </si>
  <si>
    <t>Caldeiras de vapor (geradores de vapor), excluídas as caldeiras para aquecimento central concebidas para produção de água quente e vapor de baixa pressão; caldeiras denominadas « de água sobreaquecida »</t>
  </si>
  <si>
    <t>8403</t>
  </si>
  <si>
    <t>Caldeiras para aquecimento central, exceto as da posição 8402</t>
  </si>
  <si>
    <t>8404</t>
  </si>
  <si>
    <t>Aparelhos auxiliares para caldeiras das posições 8402 ou 8403 (por exemplo: economizadores, sobreaquecedores, aparelhos de limpeza de tubos ou de recuperação de gás); condensadores para máquinas a vapor</t>
  </si>
  <si>
    <t>8405</t>
  </si>
  <si>
    <t>Geradores de gás de ar (gás pobre) ou de gás de água, com ou sem depuradores; geradores de acetileno e geradores semelhantes de gás, operados a água, com ou sem depuradores</t>
  </si>
  <si>
    <t>8406</t>
  </si>
  <si>
    <t>Turbinas a vapor</t>
  </si>
  <si>
    <t>8407</t>
  </si>
  <si>
    <t>Motores de pistão, alternativo ou rotativo, de ignição por faísca (motores de explosão)</t>
  </si>
  <si>
    <t>8408</t>
  </si>
  <si>
    <t>Motores de pistão, de ignição por compressão (motores diesel ou semi-diesel)</t>
  </si>
  <si>
    <t>8409</t>
  </si>
  <si>
    <t>Partes reconhecíveis como exclusiva ou principalmente destinadas aos motores das posições 8407 ou 8408</t>
  </si>
  <si>
    <t>8410</t>
  </si>
  <si>
    <t>Turbinas hidráulicas, rodas hidráulicas, e seus reguladores</t>
  </si>
  <si>
    <t>8411</t>
  </si>
  <si>
    <t>Turborreactores, turbopropulsores e outras turbinas a gás</t>
  </si>
  <si>
    <t>8412</t>
  </si>
  <si>
    <t>Outros motores e máquinas motrizes</t>
  </si>
  <si>
    <t>8413</t>
  </si>
  <si>
    <t>Bombas para líquidos, mesmo com dispositivo medidor; elevadores de líquidos</t>
  </si>
  <si>
    <t>8414</t>
  </si>
  <si>
    <t>Bombas de ar ou de vácuo, compressores de ar ou de outros gases e ventiladores; exaustores (coifas aspirantes) para extracção ou reciclagem, com ventilador incorporado, mesmo filtrantes</t>
  </si>
  <si>
    <t>8415</t>
  </si>
  <si>
    <t>Máquinas e aparelhos de ar condicionado, contendo um ventilador motorizado e dispositivos próprios para modificar a temperatura e a humidade, incluindo as máquinas e aparelhos em que a humidade não seja regulável separadamente</t>
  </si>
  <si>
    <t>8416</t>
  </si>
  <si>
    <t>Queimadores para alimentação de fornalhas, de combustíveis líquidos, combustíveis sólidos pulverizados ou de gás; fornalhas automáticas, incluídas as antefornalhas, grelhas mecânicas, descarregadores mecânicos de cinzas e dispositivos semelhantes</t>
  </si>
  <si>
    <t>8417</t>
  </si>
  <si>
    <t>Fornos industriais ou de laboratório, incluídos os incineradores, não elétricos</t>
  </si>
  <si>
    <t>8418</t>
  </si>
  <si>
    <t>Refrigeradores, congeladores (freezers) e outro material, máquinas e aparelhos para a produção de frio, com equipamento eléctrico ou outro; bombas de calor, excluídas as máquinas e aparelhos de ar condicionado da posição 8415</t>
  </si>
  <si>
    <t>8419</t>
  </si>
  <si>
    <t>Aparelhos e dispositivos, mesmo aquecidos electricamente (exceto fornos e outros aparelhos da posição 8514), para tratamento de matérias por meio de operações que impliquem mudança de temperatura, tais como o aquecimento, cozimento, torrefacção, destilaç</t>
  </si>
  <si>
    <t>8420</t>
  </si>
  <si>
    <t>Calandras e laminadores, exceto os destinados ao tratamento de metais ou vidro, e seus cilindros</t>
  </si>
  <si>
    <t>8421</t>
  </si>
  <si>
    <t>Centrifugadores, incluídos os secadores centrífugos, aparelhos para filtrar ou depurar líquidos ou gases</t>
  </si>
  <si>
    <t>8422</t>
  </si>
  <si>
    <t>Máquinas de lavar louça; máquinas e aparelhos para limpar ou secar garrafas ou outros recipientes; máquinas e aparelhos para encher, fechar, rolhar ou rotular garrafas, caixas, latas, sacos ou outros recipientes; máquinas e aparelhos para capsular garrafa</t>
  </si>
  <si>
    <t>8423</t>
  </si>
  <si>
    <t>Aparelhos e instrumentos de pesagem, incluídas as básculas e balanças para verificar peças fabricadas, excluídas as balanças sensíveis a pesos não superiores a 5 cg; pesos para quaisquer balanças</t>
  </si>
  <si>
    <t>8424</t>
  </si>
  <si>
    <t>Aparelhos mecânicos (mesmo manuais) para projectar, dispersar ou pulverizar líquidos ou pós; extintores, mesmo carregados; pistolas aerográficas e aparelhos semelhantes; máquinas e aparelhos de jacto de areia, de jacto de vapor e aparelhos de jacto semelh</t>
  </si>
  <si>
    <t>8425</t>
  </si>
  <si>
    <t>Talhas; cadernais e moitões; guinchos e cabrestantes; macacos</t>
  </si>
  <si>
    <t>8426</t>
  </si>
  <si>
    <t>Cábreas; guindastes, incluídos os de cabos; pontes rolantes, pórticos de descarga e de movimentação, pontes-guindastes, carros-pórticos, carros-guindastes</t>
  </si>
  <si>
    <t>8427</t>
  </si>
  <si>
    <t>Empilhadores; outros veículos para movimentação de carga e semelhantes, equipados com dispositivo de elevação</t>
  </si>
  <si>
    <t>8428</t>
  </si>
  <si>
    <t>Outras máquinas e aparelhos de elevação, de carga, de descarga ou de movimentação (por exemplo: elevadores, escadas rolantes, transportadores, teleféricos)</t>
  </si>
  <si>
    <t>8429</t>
  </si>
  <si>
    <t>Bulldozers, angledozers, niveladoras, raspo-transportadoras (scrapers), pás mecânicas, escavadoras, carregadoras e pás carregadoras, compactadores e rolos ou cilindros compressores, autopropulsores</t>
  </si>
  <si>
    <t>8430</t>
  </si>
  <si>
    <t>Outras máquinas e aparelhos de terraplanagem, nivelamento, raspagem, escavação, compactação, extracção ou perfuração da terra, de minerais ou minérios; bate-estacas e arranca-estacas; limpa-neves</t>
  </si>
  <si>
    <t>8431</t>
  </si>
  <si>
    <t>Partes reconhecíveis como exclusiva ou principalmente destinadas às máquinas e aparelhos das posições 8425 a 8430</t>
  </si>
  <si>
    <t>8432</t>
  </si>
  <si>
    <t>Máquinas e aparelhos de uso agrícola, hortícola ou florestal, para preparação ou trabalho do solo ou para cultura; rolos para relvados ou para campos de desporto</t>
  </si>
  <si>
    <t>8433</t>
  </si>
  <si>
    <t>Máquinas e aparelhos para colheita ou debulha de produtos agrícolas, incluídas as enfardadeiras de palha ou forragem; cortadores de relva e ceifeiras; máquinas para limpar e seleccionar ovos, frutas ou outros produtos agrícolas, exceto as da posição 8437</t>
  </si>
  <si>
    <t>8434</t>
  </si>
  <si>
    <t>Máquinas de ordenhar e máquinas e aparelhos, para a indústria de lacticínios</t>
  </si>
  <si>
    <t>8435</t>
  </si>
  <si>
    <t>Prensas, esmagadores e máquinas e aparelhos semelhantes, para fabricação de vinho, sidra, sumos de frutas ou bebidas semelhantes</t>
  </si>
  <si>
    <t>8436</t>
  </si>
  <si>
    <t>Outras máquinas e aparelhos para agricultura, horticultura, silvicultura, avicultura ou apicultura, incluídos os germinadores equipados com dispositivos mecânicos ou térmicos e as chocadeiras e criadeiras para avicultura</t>
  </si>
  <si>
    <t>8437</t>
  </si>
  <si>
    <t>Máquinas para limpeza, selecção ou peneiração de grãos ou de produtos hortícolas secos; máquinas e aparelhos para a indústria de moagem ou tratamento de cereais ou de produtos hortícolas secos, exceto dos tipos utilizados em fazendas</t>
  </si>
  <si>
    <t>8438</t>
  </si>
  <si>
    <t>Máquinas e aparelhos não especificados nem compreendidos em outras posições do presente capítulo, para preparação ou fabricação industrial de alimentos ou de bebidas, exceto as máquinas e aparelhos para extracção ou preparação de óleos ou gorduras vegeta</t>
  </si>
  <si>
    <t>8439</t>
  </si>
  <si>
    <t>Máquinas e aparelhos, para fabricação de pasta de matérias fibrosas celulósicas ou para fabricação ou acabamento de papel ou cartão</t>
  </si>
  <si>
    <t>8440</t>
  </si>
  <si>
    <t>Máquinas e aparelhos, para brochura ou encadernação, incluídas as máquinas para costurar cadernos</t>
  </si>
  <si>
    <t>8441</t>
  </si>
  <si>
    <t>Outras máquinas e aparelhos, para o trabalho da pasta de papel, do papel ou do cartão, incluídas as cortadeiras de todos os tipos</t>
  </si>
  <si>
    <t>8442</t>
  </si>
  <si>
    <t>Máquinas, aparelhos e material (exceto as máquinas-ferramentas das posições 8456 a 8465), para fundir ou compor caracteres tipográficos ou para preparação ou fabricação de clichés, blocos, cilindros ou outros elementos de impressão; caracteres tipográfic</t>
  </si>
  <si>
    <t>8443</t>
  </si>
  <si>
    <t>Máquinas e aparelhos para impressão por meio de caracteres tipográficos, clichés, blocos, cilindros e outros elementos de impressão da posição 8442; máquinas de impressão de jacto de tinta, exceto as da posição 8471; máquinas auxiliares para impressão</t>
  </si>
  <si>
    <t>8444</t>
  </si>
  <si>
    <t>Máquinas para extrudar, estirar, texturizar ou cortar matérias têxteis sintéticas ou artificiais</t>
  </si>
  <si>
    <t>8445</t>
  </si>
  <si>
    <t>Máquinas para preparação de matérias têxteis; máquinas para fiação, dobragem ou torção de matérias têxteis e outras máquinas e aparelhos para fabricação de fios têxteis; máquinas de bobinar (incluídas as bobinadeiras de trama) ou de dobar matérias têxteis</t>
  </si>
  <si>
    <t>8446</t>
  </si>
  <si>
    <t>Teares para tecidos</t>
  </si>
  <si>
    <t>8447</t>
  </si>
  <si>
    <t>Teares para fabricar malhas, máquinas de costura por entrelaçamento (couture-tricotage), máquinas para fabricar guipuras, tules, rendas, bordados, passamanarias, galões ou redes, e máquinas para inserir tufos</t>
  </si>
  <si>
    <t>8448</t>
  </si>
  <si>
    <t>Máquinas e aparelhos auxiliares para as máquinas das posições 8444, 8445, 8446 ou 8447 (por exemplo: maquinetas, mecanismos Jacquard, quebra-urdiduras e quebra-tramas, mecanismos troca-lançadeiras); partes e acessórios reconhecíveis como exclusiva ou prin</t>
  </si>
  <si>
    <t>8449</t>
  </si>
  <si>
    <t>Máquinas e aparelhos para fabricação ou acabamento de feltro ou de falsos tecidos, inclusive chapéus de feltro; formas para chapéus e artefatos de uso semelhantes</t>
  </si>
  <si>
    <t>8450</t>
  </si>
  <si>
    <t>Máquinas de lavar roupa, mesmo com dispositivo de secagem</t>
  </si>
  <si>
    <t>8451</t>
  </si>
  <si>
    <t>Máquinas e aparelhos (exceto as máquinas da posição 8450), para lavar, limpar, espremer, secar, passar, prensar (incluídas as prensas fixadoras), branquear, tingir, para apresto e acabamento, para revestir ou impregnar fios, tecidos ou obras de matérias</t>
  </si>
  <si>
    <t>8452</t>
  </si>
  <si>
    <t>Máquinas de costura, exceto para costurar cadernos, da posição 8440; móveis, bases e tampas, próprios para máquinas de costura; agulhas para máquinas de costura</t>
  </si>
  <si>
    <t>8453</t>
  </si>
  <si>
    <t>Máquinas e aparelhos, para preparar, curtir ou trabalhar couros ou peles, ou para fabricar ou consertar calçado e outras obras de couro ou de pele, exceto máquinas de costura</t>
  </si>
  <si>
    <t>8454</t>
  </si>
  <si>
    <t>Conversores, cadinhos ou colheres de fundição, lingoteiras e máquinas de vazar (moldar), para metalurgia, aciaria ou fundição</t>
  </si>
  <si>
    <t>8455</t>
  </si>
  <si>
    <t>Laminadores de metais e seus cilindros</t>
  </si>
  <si>
    <t>8456</t>
  </si>
  <si>
    <t>Máquinas-ferramentas para trabalhar quaisquer matérias por desbaste, operando por laser ou por outro feixe de luz ou de fotões, por ultra-som, electro-erosão, processos electroquímicos, por feixes de electrões, feixes iónicos ou por jacto de plasma</t>
  </si>
  <si>
    <t>8457</t>
  </si>
  <si>
    <t>Centros de maquinagem, máquinas de sistema monostático (single station) e máquinas de estações múltiplas, para trabalhar metais</t>
  </si>
  <si>
    <t>8458</t>
  </si>
  <si>
    <t>Tornos (incluídos os centros de torneamento), para metais</t>
  </si>
  <si>
    <t>8459</t>
  </si>
  <si>
    <t>Máquinas-ferramentas (incluídas as unidades com cabeça deslizante) para furar, escarear, fresar ou roscar, interior ou exteriormente, metais, por eliminação de matéria, exceto os tornos (incluídos os centros de torneamento) da posição 8458</t>
  </si>
  <si>
    <t>8460</t>
  </si>
  <si>
    <t>Máquinas-ferramentas para rebarbar, afiar, amolar, rectificar, brunir ou polir ou realizar outras operações de acabamento em metais ou ceramais (cermets) por meio de mós, de abrasivos ou de produtos polidores, exceto as máquinas de cortar ou acabar engre</t>
  </si>
  <si>
    <t>8461</t>
  </si>
  <si>
    <t>Máquinas-ferramentas para aplainar, plainas-limadoras, máquinas-ferramentas para escatelar, mandrilar, cortar ou acabar engrenagens, serrar, seccionar e outras máquinas-ferramentas que operem por eliminação de metal ou de ceramais (cermets), não especific</t>
  </si>
  <si>
    <t>8462</t>
  </si>
  <si>
    <t>Máquinas-ferramentas (incluídas as prensas) para forjar ou estampar, martelos, martelos-pilões e martinetes, para trabalhar metais; máquinas- -ferramentas (incluídas as prensas) para enrolar, arquear, dobrar, endireitar, aplanar, cisalhar, puncionar ou ch</t>
  </si>
  <si>
    <t>8463</t>
  </si>
  <si>
    <t>Outras máquinas-ferramentas para trabalhar metais ou ceramais (cermets), operando sem eliminação de matéria</t>
  </si>
  <si>
    <t>8464</t>
  </si>
  <si>
    <t>Máquinas-ferramentas para trabalhar pedra, produtos cerâmicos, betão (concreto), fibrocimento ou matérias minerais semelhantes, ou para o trabalho a frio do vidro</t>
  </si>
  <si>
    <t>8465</t>
  </si>
  <si>
    <t>Máquinas-ferramentas (incluídas as máquinas para pregar, grampear, colar ou reunir por qualquer outro modo) para trabalhar madeira, cortiça, osso, borracha endurecida, plásticos duros ou matérias duras semelhantes</t>
  </si>
  <si>
    <t>8466</t>
  </si>
  <si>
    <t>Partes e acessórios reconhecíveis como exclusiva ou principalmente destinados às máquinas das posições 8456 a 8465, incluídos os porta-peças e porta-ferramentas, as fieiras de abertura automática, os dispositivos divisores e outros dispositivos especiais,</t>
  </si>
  <si>
    <t>8467</t>
  </si>
  <si>
    <t>Ferramentas pneumáticas, hidráulicas ou de motor (eléctrico ou não eléctrico) incorporado, de uso manual</t>
  </si>
  <si>
    <t>8468</t>
  </si>
  <si>
    <t>Máquinas e aparelhos para soldar, mesmo de corte, exceto os da posição 8515; máquinas e aparelhos a gás para têmpera superficial</t>
  </si>
  <si>
    <t>8469</t>
  </si>
  <si>
    <t>Máquinas de escrever exceto as impressoras da posição 8471; máquinas de tratamento de textos</t>
  </si>
  <si>
    <t>8470</t>
  </si>
  <si>
    <t>Máquinas de calcular e máquinas de bolso que permitem gravar, reproduzir e visualizar informações, com função de cálculo incorporada; máquinas de contabilidade, máquinas de franquear, de emitir bilhetes e máquinas semelhantes, com dispositivo de cálculo i</t>
  </si>
  <si>
    <t>8471</t>
  </si>
  <si>
    <t>Máquinas automáticas para processamento de dados e suas unidades; leitores magnéticos ou ópticos, máquinas para registar dados em suporte sob forma codificada, e máquinas para processamento desses dados, não especificadas nem compreendidas em outras posiç</t>
  </si>
  <si>
    <t>8472</t>
  </si>
  <si>
    <t>Outras máquinas e aparelhos de escritório [por exemplo: duplicadores hectográficos ou a stencil, máquinas para imprimir endereços, distribuidores automáticos de papel-moeda, máquinas para seleccionar, contar ou empacotar moedas, afiadores (apontadores) me</t>
  </si>
  <si>
    <t>8473</t>
  </si>
  <si>
    <t>Partes e acessórios (exceto estojos, capas e semelhantes), reconhecíveis como exclusiva ou principalmente destinados às máquinas e aparelhos das posições 8469 a 8472</t>
  </si>
  <si>
    <t>8474</t>
  </si>
  <si>
    <t>Máquinas e aparelhos, para seleccionar, peneirar, separar, lavar, esmagar, moer, misturar ou amassar terras, pedras, minérios ou outras substâncias minerais sólidas (incluídos os pós e pastas); máquinas para aglomerar ou moldar combustíveis minerais sólid</t>
  </si>
  <si>
    <t>8475</t>
  </si>
  <si>
    <t>Máquinas para montagem de lâmpadas, tubos ou válvulas, elétricos ou electrónicos, ou de lâmpadas de luz-relâmpago (flash), que tenham invólucro de vidro; máquinas para fabricação ou trabalho a quente do vidro ou das suas obras</t>
  </si>
  <si>
    <t>8476</t>
  </si>
  <si>
    <t>Máquinas automáticas de venda de produtos (por exemplo: selos, cigarros, alimentos ou bebidas), incluídas as máquinas de trocar dinheiro</t>
  </si>
  <si>
    <t>8477</t>
  </si>
  <si>
    <t>Máquinas e aparelhos, para trabalhar borracha ou plástico ou para fabricação de produtos dessas matérias, não especificados nem compreendidos em outras posições deste capítulo</t>
  </si>
  <si>
    <t>8478</t>
  </si>
  <si>
    <t>Máquinas e aparelhos, para preparar ou transformar tabaco, não especificados nem compreendidos em outras posições deste capítulo</t>
  </si>
  <si>
    <t>8479</t>
  </si>
  <si>
    <t>Máquinas e aparelhos, mecânicos, com função própria, não especificados nem compreendidos em outras posições deste capítulo</t>
  </si>
  <si>
    <t>8480</t>
  </si>
  <si>
    <t>Caixas de fundição; placas de fundo para moldes; modelos para moldes; moldes para metais (exceto lingoteiras), carbonetos metálicos, vidro, matérias minerais, borracha ou plástico</t>
  </si>
  <si>
    <t>8481</t>
  </si>
  <si>
    <t>Torneiras, válvulas (incluídas as redutoras de pressão e as termostáticas) e dispositivos semelhantes, para canalizações, caldeiras, reservatórios, cubas e outros recipientes</t>
  </si>
  <si>
    <t>8482</t>
  </si>
  <si>
    <t>Rolamentos de esferas, de roletes ou de agulhas</t>
  </si>
  <si>
    <t>8483</t>
  </si>
  <si>
    <t>Veios (árvores) de transmissão [incluídas as árvores de cames (excênticos) e cambotas (virabrequins)] e manivelas; chumaceiras (mancais) e bronzes; engrenagens e rodas de fricção; eixos de esferas ou de roletes; redutores, multiplicadores, caixas de trans</t>
  </si>
  <si>
    <t>8484</t>
  </si>
  <si>
    <t>Juntas metaloplásticas; jogos ou sortidos de juntas de composições diferentes, apresentados em bolsas, envelopes ou embalagens semelhantes; juntas de vedação mecânicas</t>
  </si>
  <si>
    <t>8485</t>
  </si>
  <si>
    <t>Partes de máquinas ou de aparelhos, não especificadas nem compreendidas em outras posições do presente capítulo, não contendo conexões elétricas, partes isoladas electricamente, bobinas, contactos nem quaisquer outros elementos com características elétric</t>
  </si>
  <si>
    <t>8486</t>
  </si>
  <si>
    <t>Máquinas e aparelhos dos tipos utilizados exclusiva ou principalmente na fabricação de "esferas" (boules) ou de plaquetas (wafers), de dispositivos semicondutores, de circuitos integrados eletrônicos, etc</t>
  </si>
  <si>
    <t>8487</t>
  </si>
  <si>
    <t>Partes de máquinas ou de aparelhos, não especificadas nem compreendidas noutras posições do presente Capítulo, que não contenham conexões elétricas, partes isoladas eletricamente, bobinas, contatos nem quaisquer outros elementos com características elétri</t>
  </si>
  <si>
    <t>85</t>
  </si>
  <si>
    <t>Máquinas, aparelhos e materiais elétricos, e suas partes; aparelhos de gravação ou de reprodução de som, aparelhos de gravação ou de reprodução de imagens e de som em televisão, e suas partes e acessórios</t>
  </si>
  <si>
    <t>8501</t>
  </si>
  <si>
    <t>Motores e geradores, elétricos, exceto os grupos electrogéneos</t>
  </si>
  <si>
    <t>8502</t>
  </si>
  <si>
    <t>Grupos electrogéneos e conversores rotativos, elétricos</t>
  </si>
  <si>
    <t>8503</t>
  </si>
  <si>
    <t>Partes reconhecíveis como destinadas às máquinas das posições 8501 ou 8502</t>
  </si>
  <si>
    <t>8504</t>
  </si>
  <si>
    <t>Transformadores elétricos, conversores elétricos estáticos (rectificadores, por exemplo), bobinas de reactância e de auto-indução</t>
  </si>
  <si>
    <t>8505</t>
  </si>
  <si>
    <t>Electroímanes; ímanes permanentes e artefactos destinados a tornarem-se ímanes permanentes após magnetização; placas, mandris e dispositivos semelhantes, magnéticos ou electromagnéticos, de fixação; acoplamentos, embraiagens, variadores de velocidade e fr</t>
  </si>
  <si>
    <t>8506</t>
  </si>
  <si>
    <t>Pilhas e baterias de pilhas, elétricas</t>
  </si>
  <si>
    <t>8507</t>
  </si>
  <si>
    <t>Acumuladores elétricos e seus separadores, mesmo de forma quadrada ou rectangular</t>
  </si>
  <si>
    <t>8508</t>
  </si>
  <si>
    <t>Aspiradores</t>
  </si>
  <si>
    <t>8509</t>
  </si>
  <si>
    <t>Aparelhos electromecânicos com motor eléctrico incorporado, de uso doméstico</t>
  </si>
  <si>
    <t>8510</t>
  </si>
  <si>
    <t>Aparelhos ou máquinas de barbear e máquinas de cortar o cabelo ou de tosquiar e aparelhos ou máquinas de depilar, de motor eléctrico incorporado</t>
  </si>
  <si>
    <t>8511</t>
  </si>
  <si>
    <t>Aparelhos e dispositivos elétricos de ignição ou de arranque para motores de ignição por faísca ou por compressão (por exemplo, magnetos, dínamos-magnetos, bobinas de ignição, velas de ignição ou de aquecimento, motores de arranque); geradores (dínamos e</t>
  </si>
  <si>
    <t>8512</t>
  </si>
  <si>
    <t>Aparelhos elétricos de iluminação ou de sinalização (exceto os da posição 8539), limpadores de pára-brisas, degeladores e desembaciadores elétricos, dos tipos utilizados em ciclos e automóveis</t>
  </si>
  <si>
    <t>8513</t>
  </si>
  <si>
    <t>Lanternas elétricas portáteis destinadas a funcionar por meio da sua própria fonte de energia (por exemplo: de pilhas, de acumuladores, de magnetos), excluídos os aparelhos de iluminação da posição 8512</t>
  </si>
  <si>
    <t>8514</t>
  </si>
  <si>
    <t>Fornos elétricos industriais ou de laboratório, incluídos os que funcionam por indução ou por perdas dielétricas; outros aparelhos industriais ou de laboratório, para tratamento térmico de matérias por indução ou por perdas dielétricas</t>
  </si>
  <si>
    <t>8515</t>
  </si>
  <si>
    <t>Máquinas e aparelhos para soldar (mesmo de corte) elétricos (incluídos os a gás aquecido electricamente), a laser ou outros feixes de luz ou de fotões, a ultra-som, a feixe de electrões, a impulsos magnéticos ou a jacto de plasma; máquinas e aparelhos el</t>
  </si>
  <si>
    <t>8516</t>
  </si>
  <si>
    <t>Aquecedores elétricos de água, incluídos os de imersão; aparelhos elétricos para aquecimento de ambientes, do solo ou para usos semelhantes; aparelhos electrotérmicos para arranjos do cabelo (por exemplo: secadores de cabelo, frisadores, aquecedores de</t>
  </si>
  <si>
    <t>8517</t>
  </si>
  <si>
    <t>Aparelhos elétricos para telefonia ou telegrafia por fios, incluídos os aparelhos telefónicos por fio combinados com auscultadores sem fio e os aparelhos de telecomunicação por corrente portadora ou de telecomunicação digital; videofones</t>
  </si>
  <si>
    <t>8518</t>
  </si>
  <si>
    <t>Microfones e seus suportes; altifalantes, mesmo montados nos seus receptáculos; capacetes com auscultadores e auscultadores, mesmo combinados com um microfone, e conjuntos ou sortidos constituídos por um microfone e um ou vários altifalantes; amplificador</t>
  </si>
  <si>
    <t>8519</t>
  </si>
  <si>
    <t>Gira-discos, electrofones, leitores de cassetes e outros aparelhos de reprodução de som, sem dispositivo de gravação de som</t>
  </si>
  <si>
    <t>8520</t>
  </si>
  <si>
    <t>Gravadores de suportes magnéticos e outros aparelhos de gravação de som, mesmo com dispositivo de reprodução de som incorporado</t>
  </si>
  <si>
    <t>8521</t>
  </si>
  <si>
    <t>Aparelhos videofónicos de gravação ou de reprodução, mesmo incorporando um receptor de sinais videofónicos</t>
  </si>
  <si>
    <t>8522</t>
  </si>
  <si>
    <t>Partes e acessórios reconhecíveis como sendo exclusiva ou principalmente destinados aos aparelhos das posições 8519 a 8521</t>
  </si>
  <si>
    <t>8523</t>
  </si>
  <si>
    <t>Suportes preparados para gravação de som ou para gravações semelhantes, não gravados, exceto os produtos do Capítulo 37</t>
  </si>
  <si>
    <t>8524</t>
  </si>
  <si>
    <t>Discos, fitas e outros suportes para gravação de som ou para gravações semelhantes, gravados, incluídos os moldes e matrizes galvânicos para fabricação de discos, com exclusão dos produtos do Capítulo 37</t>
  </si>
  <si>
    <t>8525</t>
  </si>
  <si>
    <t>Aparelhos emissores (transmissores) para radiotelefonia, radiotelegrafia, radiodifusão ou televisão, mesmo incorporando um aparelho de recepção ou um aparelho de gravação ou de reprodução de som; câmaras de televisão; câmaras de video de imagens fixas e o</t>
  </si>
  <si>
    <t>8526</t>
  </si>
  <si>
    <t>Aparelhos de radiodetecção e de radiossondagem (radar), aparelhos de radionavegação e aparelhos de radiotelecomando</t>
  </si>
  <si>
    <t>8527</t>
  </si>
  <si>
    <t>Aparelhos receptores para radiotelefonia, radiotelegrafia ou radiodifusão, mesmo combinados, num mesmo gabinete ou invólucro, com um aparelho de gravação ou de reprodução de som, ou com um relógio</t>
  </si>
  <si>
    <t>8528</t>
  </si>
  <si>
    <t>Aparelhos receptores de televisão, mesmo incorporando um aparelho receptor de radiodifusão ou um aparelho de gravação ou de reprodução de som ou de imagens; monitores e projectores de video</t>
  </si>
  <si>
    <t>8529</t>
  </si>
  <si>
    <t>Partes reconhecíveis como exclusiva ou principalmente destinadas aos aparelhos das posições 8525 a 8528</t>
  </si>
  <si>
    <t>8530</t>
  </si>
  <si>
    <t>Aparelhos elétricos de sinalização (excluídos os de transmissão de mensagens), de segurança, de contrôle ou de comando, para vias férreas ou semelhantes, vias terrestres ou fluviais, para áreas ou parques de estacionamento, instalações portuárias ou para</t>
  </si>
  <si>
    <t>8531</t>
  </si>
  <si>
    <t>Aparelhos elétricos de sinalização acústica ou visual (por exemplo: campainhas, sirenes, quadros indicadores, aparelhos de alarme para protecção contra roubo ou incêndio), exceto os das posições 8512 ou 8530</t>
  </si>
  <si>
    <t>8532</t>
  </si>
  <si>
    <t>Condensadores elétricos, fixos, variáveis ou ajustáveis</t>
  </si>
  <si>
    <t>8533</t>
  </si>
  <si>
    <t>Resistências elétricas (incluídos os reóstatos e os potenciómetros), exceto de aquecimento</t>
  </si>
  <si>
    <t>8534</t>
  </si>
  <si>
    <t>Circuito impresso</t>
  </si>
  <si>
    <t>8535</t>
  </si>
  <si>
    <t>Aparelhos para interrupção, seccionamento, protecção, derivação, ligação ou conexão de circuitos elétricos (por exemplo: interruptores, comutadores, corta-circuitos, pára-raios, limitadores de tensão, eliminadores de onda, tomadas de corrente, caixas de</t>
  </si>
  <si>
    <t>8536</t>
  </si>
  <si>
    <t>Aparelhos para interrupção, seccionamento, protecção, derivação, ligação ou conexão de circuitos elétricos (por exemplo: interruptores, comutadores, relés, corta-circuitos, eliminadores de onda, tomadas de corrente, machos e fêmeas, suportes para lâmpada</t>
  </si>
  <si>
    <t>8537</t>
  </si>
  <si>
    <t>Quadros, painéis, consolas, cabinas, armários e outros suportes, com dois ou mais aparelhos das posições 8535 ou 8536, para comando eléctrico ou distribuição de energia eléctrica, incluídos os que incorporem instrumentos ou aparelhos do Capítulo 90, assim</t>
  </si>
  <si>
    <t>8538</t>
  </si>
  <si>
    <t>Partes reconhecíveis como exclusiva ou principalmente destinadas aos aparelhos das posições 8535, 8536 ou 8537</t>
  </si>
  <si>
    <t>8539</t>
  </si>
  <si>
    <t>Lâmpadas e tubos elétricos de incandescência ou de descarga, incluídos os artigos denominados « faróis e projectores, em unidades seladas » e as lâmpadas e tubos de raios ultravioleta ou infravermelhos; lâmpadas de arco</t>
  </si>
  <si>
    <t>8540</t>
  </si>
  <si>
    <t>Lâmpadas, tubos e válvulas electrónicos, de cátodo quente, cátodo frio ou fotocátodo (por exemplo: lâmpadas, tubos e válvulas, de vácuo, de vapor ou de gás, ampolas rectificadoras de vapor de mercúrio, tubos catódicos, tubos e válvulas para câmaras de tel</t>
  </si>
  <si>
    <t>8541</t>
  </si>
  <si>
    <t>Díodos, transístores e dispositivos semelhantes com semicondutores; dispositivos fotossensíveis semicondutores, incluídas as células fotovoltaicas, mesmo montadas em módulos ou em painéis; díodos emissores de luz; cristais piezoelétricos montados</t>
  </si>
  <si>
    <t>8542</t>
  </si>
  <si>
    <t>Circuitos integrados e microconjuntos electrónicos</t>
  </si>
  <si>
    <t>8543</t>
  </si>
  <si>
    <t>Máquinas e aparelhos, elétricos, com função própria, não especificados nem compreendidos em outras posições do presente capítulo</t>
  </si>
  <si>
    <t>8544</t>
  </si>
  <si>
    <t>Fios, cabos (incluídos os cabos coaxiais) e outros condutores, isolados para usos elétricos (incluídos os envernizados ou oxidados anodicamente), mesmo com peças de conexão; cabos de fibras ópticas, constituídos de fibras embainhadas individualmente, mes</t>
  </si>
  <si>
    <t>8545</t>
  </si>
  <si>
    <t>Eléctrodos de carvão, escovas de carvão, carvões para lâmpadas ou para pilhas e outros artigos de grafite ou de carvão, com ou sem metal, para usos elétricos</t>
  </si>
  <si>
    <t>8546</t>
  </si>
  <si>
    <t>Isoladores de qualquer matéria, para usos elétricos</t>
  </si>
  <si>
    <t>8547</t>
  </si>
  <si>
    <t>Peças isolantes, inteiramente de matérias isolantes, ou com simples peças metálicas de montagem (suportes roscados, por exemplo) incorporadas na massa, para máquinas, aparelhos e instalações elétricas, exceto os isoladores da posição 8546; tubos isolado</t>
  </si>
  <si>
    <t>8548</t>
  </si>
  <si>
    <t>Desperdícios e resíduos de pilhas, de baterias de pilhas e de acumuladores, elétricos; pilhas, baterias de pilhas e acumuladores, elétricos, inservíveis; partes elétricas de máquinas e aparelhos, não especificadas nem compreendidas em outras posições d</t>
  </si>
  <si>
    <t>8549</t>
  </si>
  <si>
    <t>Desperdícios e resíduos, e sucata, elétricos e eletrônicos</t>
  </si>
  <si>
    <t>86</t>
  </si>
  <si>
    <t>Veículos e material para vias férreas ou semelhantes, e suas partes; aparelhos mecânicos (incluindo os eletromecânicos) de sinalização para vias de comunicação</t>
  </si>
  <si>
    <t>8601</t>
  </si>
  <si>
    <t>Locomotivas e locotractores, de fonte externa de electricidade ou de acumuladores elétricos</t>
  </si>
  <si>
    <t>8602</t>
  </si>
  <si>
    <t>Outras locomotivas e locotractores; tênderes</t>
  </si>
  <si>
    <t>8603</t>
  </si>
  <si>
    <t>Automotoras, mesmo para circulação urbana, exceto as da posição 8604</t>
  </si>
  <si>
    <t>8604</t>
  </si>
  <si>
    <t>Veículos para inspeção e manutenção de vias férreas ou semelhantes, mesmo autopropulsores</t>
  </si>
  <si>
    <t>8605</t>
  </si>
  <si>
    <t>Vagões de passageiros, furgões para bagagem, vagões-postais, e outros vagões especiais, para vias férreas ou semelhantes</t>
  </si>
  <si>
    <t>8606</t>
  </si>
  <si>
    <t>Vagões para transporte de mercadorias sobre vias férreas</t>
  </si>
  <si>
    <t>8607</t>
  </si>
  <si>
    <t>Partes de veículos para vias férreas ou semelhantes</t>
  </si>
  <si>
    <t>8608</t>
  </si>
  <si>
    <t>Material fixo de vias férreas ou semelhantes; aparelhos de sinalização, segurança, controle ou comando para vias férreas, rodoviárias ou fluviais</t>
  </si>
  <si>
    <t>8609</t>
  </si>
  <si>
    <t>Contêineres, incluindo os de transporte de fluidos, especialmente concebidos e equipados para um ou vários meios de transporte</t>
  </si>
  <si>
    <t>87</t>
  </si>
  <si>
    <t>Veículos automóveis, tratores, ciclos e outros veículos terrestres, suas partes e acessórios</t>
  </si>
  <si>
    <t>8701</t>
  </si>
  <si>
    <t>Tractores (exceto os da posição 8709)</t>
  </si>
  <si>
    <t>8702</t>
  </si>
  <si>
    <t>Veículos automóveis para o transporte de dez pessoas ou mais, incluíndo o condutor</t>
  </si>
  <si>
    <t>8703</t>
  </si>
  <si>
    <t>Automóveis de passageiros e outros veículos automóveis principalmente concebidos para o transporte de pessoas (exceto os da posição 8702), incluídos os veículos de uso misto (station wagons) e os automóveis de corrida</t>
  </si>
  <si>
    <t>8704</t>
  </si>
  <si>
    <t>Veículos automóveis para transporte de mercadorias</t>
  </si>
  <si>
    <t>8705</t>
  </si>
  <si>
    <t>Veículos automóveis para usos especiais (por exemplo: auto-socorros, camiões-guindastes, veículos de combate a incêndio, camiões-betoneiras, veículos para varrer, veículos para espalhar, veículos-oficinas, veículos radiológicos), exceto os concebidos pri</t>
  </si>
  <si>
    <t>8706</t>
  </si>
  <si>
    <t>Chassis, com motor, para veículos automóveis das posições 87.01 a 87.05</t>
  </si>
  <si>
    <t>8707</t>
  </si>
  <si>
    <t>Carroçarias para os veículos automóveis das posições 8701 a 8705, incluídas as cabinas</t>
  </si>
  <si>
    <t>8708</t>
  </si>
  <si>
    <t>Partes e acessórios dos veículos automóveis das posições 8701 a 8705</t>
  </si>
  <si>
    <t>8709</t>
  </si>
  <si>
    <t>Veículos automóveis sem dispositivo de elevação, dos tipos utilizados em fábricas, armazéns, portos ou aeroportos, para o transporte de mercadorias a curtas distâncias; carros-tractores dos tipos utilizados nas estações ferroviárias; suas partes</t>
  </si>
  <si>
    <t>8710</t>
  </si>
  <si>
    <t>Veículos e carros blindados de combate, armados ou não, e suas partes</t>
  </si>
  <si>
    <t>8711</t>
  </si>
  <si>
    <t>Motocicletas (incluídos os ciclomotores) e outros ciclos equipados com motor auxiliar, mesmo com carro lateral; carros laterais</t>
  </si>
  <si>
    <t>8712</t>
  </si>
  <si>
    <t>Bicicletas e outros ciclos (incluídos os triciclos), sem motor</t>
  </si>
  <si>
    <t>8713</t>
  </si>
  <si>
    <t>Cadeiras de rodas e outros veículos para inválidos, mesmo com motor ou outro mecanismo de propulsão</t>
  </si>
  <si>
    <t>8714</t>
  </si>
  <si>
    <t>Partes e acessórios dos veículos das posições 8711 a 8713</t>
  </si>
  <si>
    <t>8715</t>
  </si>
  <si>
    <t>Carrinhos e veículos semelhantes para transporte de crianças, e suas partes</t>
  </si>
  <si>
    <t>8716</t>
  </si>
  <si>
    <t>Reboques e semi-reboques para quaisquer veículos; outros veículos não autopropulsores; suas partes</t>
  </si>
  <si>
    <t>88</t>
  </si>
  <si>
    <t>Aeronaves e aparelhos espaciais, e suas partes</t>
  </si>
  <si>
    <t>8801</t>
  </si>
  <si>
    <t>Balões e dirigíveis; planadores, asas voadoras e outros veículos aéreos, não concebidos para propulsão a motor</t>
  </si>
  <si>
    <t>8802</t>
  </si>
  <si>
    <t>Outros veículos aéreos (por exemplo: helicópteros, aviões); veículos espaciais (incluídos os satélites) e seus veículos de lançamento e veículos suborbitais</t>
  </si>
  <si>
    <t>8803</t>
  </si>
  <si>
    <t>Partes dos veículos e aparelhos das posições 8801 ou 8802</t>
  </si>
  <si>
    <t>8804</t>
  </si>
  <si>
    <t>Pára-quedas (incluindo os pára-quedas dirigíveis e os parapentes) e os pára-quedas giratórios; suas partes e acessórios</t>
  </si>
  <si>
    <t>8805</t>
  </si>
  <si>
    <t>Aparelhos e dispositivos para lançamento de veículos aéreos; aparelhos e dispositivos para aterragem de veículos aéreos em porta-aviões e aparelhos e dispositivos semelhantes; aparelhos simuladores de voo em terra; suas partes</t>
  </si>
  <si>
    <t>8806</t>
  </si>
  <si>
    <t>Veículos aéreos (aeronaves) não tripulados.</t>
  </si>
  <si>
    <t>8807</t>
  </si>
  <si>
    <t>Partes dos aparelhos das posições 88.01, 88.02 ou 88.06.</t>
  </si>
  <si>
    <t>89</t>
  </si>
  <si>
    <t>Embarcações e estruturas flutuantes</t>
  </si>
  <si>
    <t>8901</t>
  </si>
  <si>
    <t>Transatlânticos, barcos de cruzeiro, ferry-boats, cargueiros, chatas e embarcações semelhantes, para o transporte de pessoas ou de mercadorias</t>
  </si>
  <si>
    <t>8902</t>
  </si>
  <si>
    <t>Barcos de pesca; navios-fábricas e outras embarcações para o tratamento ou conservação de produtos da pesca</t>
  </si>
  <si>
    <t>8903</t>
  </si>
  <si>
    <t>Iates e outros barcos e embarcações de recreio ou de desporto; barcos a remos e canoas</t>
  </si>
  <si>
    <t>8904</t>
  </si>
  <si>
    <t>Rebocadores e barcos concebidos para empurrar outras embarcações</t>
  </si>
  <si>
    <t>8905</t>
  </si>
  <si>
    <t>Barcos-faróis, barcos-bombas, dragas, guindastes flutuantes e outras embarcações em que a navegação é acessória da função principal; docas flutuantes; plataformas de perfuração ou de exploração, flutuantes ou submersíveis</t>
  </si>
  <si>
    <t>8906</t>
  </si>
  <si>
    <t>Outras embarcações, incluídos os navios de guerra e os barcos salva-vidas, exceto os barcos a remos</t>
  </si>
  <si>
    <t>8907</t>
  </si>
  <si>
    <t>Outras estruturas flutuantes (por exemplo: balsas, reservatórios, caixões, bóias de amarração, bóias de sinalização e semelhantes)</t>
  </si>
  <si>
    <t>8908</t>
  </si>
  <si>
    <t>Embarcações e outras estruturas flutuantes, a serem desmanteladas</t>
  </si>
  <si>
    <t>90</t>
  </si>
  <si>
    <t>Instrumentos e aparelhos de óptica, de fotografia, de cinematografia, de medida, de controle ou de precisão; instrumentos e aparelhos médico-cirúrgicos; suas partes e acessórios</t>
  </si>
  <si>
    <t>9001</t>
  </si>
  <si>
    <t>Fibras ópticas e feixes de fibras ópticas; cabos de fibras ópticas, exceto os da posição 8544; matérias polarizantes, em folhas ou em placas; lentes (incluídas as de contacto), prismas, espelhos e outros elementos de óptica de qualquer matéria, não monta</t>
  </si>
  <si>
    <t>9002</t>
  </si>
  <si>
    <t>Lentes, prismas, espelhos e outros elementos de óptica, de qualquer matéria, montados, para instrumentos e aparelhos, exceto os de vidro não trabalhado opticamente</t>
  </si>
  <si>
    <t>9003</t>
  </si>
  <si>
    <t>Armações para óculos e artigos semelhantes, e suas partes</t>
  </si>
  <si>
    <t>9004</t>
  </si>
  <si>
    <t>Óculos para correcção, protecção ou outros fins, e artigos semelhantes</t>
  </si>
  <si>
    <t>9005</t>
  </si>
  <si>
    <t>Binóculos, lunetas, incluídas as astronómicas, telescópios ópticos, e suas armações; outros instrumentos de astronomia e suas armações, exceto os aparelhos de radioastronomia</t>
  </si>
  <si>
    <t>9006</t>
  </si>
  <si>
    <t>Aparelhos fotográficos; aparelhos e dispositivos, incluindo as lâmpadas e tubos de luz-relâmpago (flash) para fotografia, exceto as lâmpadas e tubos de descarga da posição 8539</t>
  </si>
  <si>
    <t>9007</t>
  </si>
  <si>
    <t>Câmaras e projectores, cinematográficos, mesmo com aparelhos de gravação ou de reprodução de som incorporados</t>
  </si>
  <si>
    <t>9008</t>
  </si>
  <si>
    <t>Aparelhos de projecção fixa; aparelhos fotográficos, de ampliação ou de redução</t>
  </si>
  <si>
    <t>9009</t>
  </si>
  <si>
    <t>Aparelhos de fotocópia, por sistema óptico ou por contacto, e aparelhos de termocópia</t>
  </si>
  <si>
    <t>9010</t>
  </si>
  <si>
    <t>Aparelhos e material dos tipos usados nos laboratórios fotográficos ou cinematográficos (incluídos os aparelhos para projecção ou execução de traçados de circuitos sobre superfícies sensibilizadas de materiais semicondutores), não especificados nem compre</t>
  </si>
  <si>
    <t>9011</t>
  </si>
  <si>
    <t>Microscópios ópticos, incluídos os microscópios para fotomicrografia, cinefotomicrografia ou microprojecção</t>
  </si>
  <si>
    <t>9012</t>
  </si>
  <si>
    <t>Microscópios, exceto ópticos; difractógrafos</t>
  </si>
  <si>
    <t>9013</t>
  </si>
  <si>
    <t>Dispositivos de cristais líquidos que não constituam artigos compreendidos mais especificamente em outras posições; lasers, exceto díodos laser; outros aparelhos e instrumentos de óptica, não especificados nem compreendidos em outras posições do presente</t>
  </si>
  <si>
    <t>9014</t>
  </si>
  <si>
    <t>Bússolas, incluídas as agulhas de marear; outros instrumentos e aparelhos de navegação</t>
  </si>
  <si>
    <t>9015</t>
  </si>
  <si>
    <t>Instrumentos e aparelhos de geodesia, topografia, agrimensura, nivelamento, fotogrametria, hidrografia, oceanografia, hidrologia, meteorologia ou de geofísica, exceto bússolas; telémetros</t>
  </si>
  <si>
    <t>9016</t>
  </si>
  <si>
    <t>Balanças sensíveis a pesos &gt;= 5 cg, com ou sem pesos</t>
  </si>
  <si>
    <t>9017</t>
  </si>
  <si>
    <t>Instrumentos de desenho, de traçado ou de cálculo (por exemplo: máquinas de desenhar, pantógrafos, transferidores, estojos de desenho geométrico, réguas de cálculo e discos de cálculo); instrumentos de medida de distâncias de uso manual (por exemplo: metr</t>
  </si>
  <si>
    <t>9018</t>
  </si>
  <si>
    <t>Instrumentos e aparelhos para medicina, cirurgia, odontologia e veterinária, incluídos os aparelhos de cintilografia e outros aparelhos electromédicos, bem como os aparelhos para testes visuais</t>
  </si>
  <si>
    <t>9019</t>
  </si>
  <si>
    <t>Aparelhos de mecanoterapia; aparelhos de massagem; aparelhos de psicotécnica; aparelhos de ozonoterapia, de oxigenoterapia, de aerossolterapia, aparelhos respiratórios de reanimação e outros aparelhos de terapia respiratória</t>
  </si>
  <si>
    <t>9020</t>
  </si>
  <si>
    <t>Outros aparelhos respiratórios e máscaras contra gases, exceto as de proteção desprovidas de mecanismo e de elemento filtrante amovível</t>
  </si>
  <si>
    <t>9021</t>
  </si>
  <si>
    <t>Artigos e aparelhos ortopédicos, incluídas as cintas e fundas médico-cirúrgicas e as muletas; talas, goteiras e outros artigos e aparelhos para fracturas; artigos e aparelhos de prótese; aparelhos para facilitar a audição dos surdos e outros aparelhos par</t>
  </si>
  <si>
    <t>9022</t>
  </si>
  <si>
    <t>Aparelhos de raios X e aparelhos que utilizem as radiações alfa, beta ou gama, mesmo para usos médicos, cirúrgicos, odontológicos ou veterinários, incluídos os aparelhos de radiofotografia ou de radioterapia, os tubos de raios X e outros dispositivos gera</t>
  </si>
  <si>
    <t>9023</t>
  </si>
  <si>
    <t>Instrumentos, aparelhos e modelos, concebidos para demonstração (por exemplo, no ensino e nas exposições), não suscetíveis de outros usos</t>
  </si>
  <si>
    <t>9024</t>
  </si>
  <si>
    <t>Máquinas e aparelhos para ensaios de dureza, tracção, compressão, elasticidade e de outras propriedades mecânicas de materiais (por exemplo: metais, madeira, têxteis, papel, plásticos)</t>
  </si>
  <si>
    <t>9025</t>
  </si>
  <si>
    <t>Densímetros, areómetros, pesa-líquidos e instrumentos flutuantes semelhantes, termómetros, pirómetros, barómetros, higrómetros e psicrómetros, registadores ou não, mesmo combinados entre si</t>
  </si>
  <si>
    <t>9026</t>
  </si>
  <si>
    <t>Instrumentos e aparelhos para medida ou controlo do caudal (vazão), do nível, da pressão ou de outras características variáveis dos líquidos ou gases (por exemplo: medidores de caudal, indicadores de nível, manómetros, contadores de calor), exceto os ins</t>
  </si>
  <si>
    <t>9027</t>
  </si>
  <si>
    <t>Instrumentos e aparelhos para análises físicas ou químicas (por exemplo: polarímetros, refractómetros, espectrómetros, analisadores de gases ou de fumos); instrumentos e aparelhos para ensaios de viscosidade, porosidade, dilatação, tensão superficial ou s</t>
  </si>
  <si>
    <t>9028</t>
  </si>
  <si>
    <t>Contadores de gases, de líquidos ou de electricidade, incluídos os aparelhos para a sua aferição</t>
  </si>
  <si>
    <t>9029</t>
  </si>
  <si>
    <t>Outros contadores (por exemplo: contadores de voltas, contadores de produção, taxímetros, totalizadores de caminho percorrido, podómetros); indicadores de velocidade e tacómetros, exceto os das posições 9014 ou 9015; estroboscópios</t>
  </si>
  <si>
    <t>9030</t>
  </si>
  <si>
    <t>Osciloscópios, analisadores de espectro e outros instrumentos e aparelhos para medida ou controlo de grandezas elétricas; instrumentos e aparelhos para medida ou detecção de radiações alfa, beta, gama, X, cósmicas ou outras radiações ionizantes</t>
  </si>
  <si>
    <t>9031</t>
  </si>
  <si>
    <t>Instrumentos, aparelhos e máquinas de medida ou controlo, não especificados nem compreendidos em outras posições do presente capítulo; projectores de perfis</t>
  </si>
  <si>
    <t>9032</t>
  </si>
  <si>
    <t>Instrumentos e aparelhos para regulação ou controlo, automáticos</t>
  </si>
  <si>
    <t>9033</t>
  </si>
  <si>
    <t>Partes e acessórios não especificados nem compreendidos noutras posições do presente Capítulo, para máquinas, aparelhos, instrumentos ou artigos do Capítulo 90</t>
  </si>
  <si>
    <t>91</t>
  </si>
  <si>
    <t>Artigos de relojoaria</t>
  </si>
  <si>
    <t>9101</t>
  </si>
  <si>
    <t>Relógios de pulso, relógios de bolso e relógios semelhantes (incluídos os contadores de tempo dos mesmos tipos), com caixa de metais preciosos ou de metais folheados ou chapeados de metais preciosos</t>
  </si>
  <si>
    <t>9102</t>
  </si>
  <si>
    <t>Relógios de pulso, relógios de bolso e relógios semelhantes (incluídos os contadores de tempo dos mesmos tipos), exceto os da posição 9101</t>
  </si>
  <si>
    <t>9103</t>
  </si>
  <si>
    <t>Despertadores e outros relógios de mecanismo de pequeno volume</t>
  </si>
  <si>
    <t>9104</t>
  </si>
  <si>
    <t>Relógios para painéis de instrumentos e relógios semelhantes, para automóveis, veículos aéreos, embarcações ou para outros veículos</t>
  </si>
  <si>
    <t>9105</t>
  </si>
  <si>
    <t>Despertadores e outros relógios e aparelhos de relojoaria semelhantes, exceto de mecanismo de pequeno volume</t>
  </si>
  <si>
    <t>9106</t>
  </si>
  <si>
    <t>Aparelhos de controlo do tempo e contadores de tempo, de mecanismo de relojoaria ou motor síncrono (por exemplo: relógios de ponto, relógios datadores, contadores de horas)</t>
  </si>
  <si>
    <t>9107</t>
  </si>
  <si>
    <t>Interruptores horários e outros aparelhos que permitam acionar um mecanismo em tempo determinado, com maquinismo de aparelhos de relojoaria ou de motor síncrono</t>
  </si>
  <si>
    <t>9108</t>
  </si>
  <si>
    <t>Mecanismo de pequeno volume para relógios, completos e montados</t>
  </si>
  <si>
    <t>9109</t>
  </si>
  <si>
    <t>Mecanismos de relojoaria, completos e montados, exceto de pequeno volume</t>
  </si>
  <si>
    <t>9110</t>
  </si>
  <si>
    <t>Mecanismos de relojoaria completos, não montados ou parcialmente montados (chablons); mecanismos de relojoaria incompletos, montados; esboços de relojoaria</t>
  </si>
  <si>
    <t>9111</t>
  </si>
  <si>
    <t>Caixas de relógios das posições 9101 ou 9102 e suas partes</t>
  </si>
  <si>
    <t>9112</t>
  </si>
  <si>
    <t>Caixas de outros aparelhos de relojoaria e suas partes</t>
  </si>
  <si>
    <t>9113</t>
  </si>
  <si>
    <t>Pulseiras de relógios e suas partes</t>
  </si>
  <si>
    <t>9114</t>
  </si>
  <si>
    <t>Outras partes de relojoaria</t>
  </si>
  <si>
    <t>92</t>
  </si>
  <si>
    <t>Instrumentos musicais; suas partes e acessórios</t>
  </si>
  <si>
    <t>9201</t>
  </si>
  <si>
    <t>Pianos, mesmo automáticos; cravos e outros instrumentos de cordas, com teclado</t>
  </si>
  <si>
    <t>9202</t>
  </si>
  <si>
    <t>Outros instrumentos musicais de cordas (por exemplo: guitarras, violinos, harpas)</t>
  </si>
  <si>
    <t>9203</t>
  </si>
  <si>
    <t>Órgãos de tubos e de teclado, harmônios e instrumentos semelhantes</t>
  </si>
  <si>
    <t>9204</t>
  </si>
  <si>
    <t>Acordeões e instrumentos semelhantes; harmónicas de boca</t>
  </si>
  <si>
    <t>9205</t>
  </si>
  <si>
    <t>Outros instrumentos musicais de sopro (por exemplo: clarinetes, trompetes, gaitas de foles)</t>
  </si>
  <si>
    <t>9206</t>
  </si>
  <si>
    <t>Instrumentos musicais de percussão (por exemplo, tambores, caixas, xilofones, pratos, castanholas, maracás)</t>
  </si>
  <si>
    <t>9207</t>
  </si>
  <si>
    <t>Instrumentos musicais cujo som é produzido ou amplificado por meios elétricos (por exemplo: órgãos, guitarras, acordeões)</t>
  </si>
  <si>
    <t>9208</t>
  </si>
  <si>
    <t>Caixas de música, órgãos mecânicos de feira, realejos, pássaros cantores mecânicos, serrotes musicais e outros instrumentos musicais não especificados em outra posição do presente capítulo; chamarizes de qualquer tipo; apitos, cornetas de sinais e outros</t>
  </si>
  <si>
    <t>9209</t>
  </si>
  <si>
    <t>Partes (mecanismos de caixas de música, por exemplo) e acessórios (por exemplo: cartões, discos e rolos para instrumentos mecânicos) de instrumentos musicais; metrónomos e diapasões de todos os tipos</t>
  </si>
  <si>
    <t>93</t>
  </si>
  <si>
    <t>Armas e munições; suas partes e acessórios</t>
  </si>
  <si>
    <t>9301</t>
  </si>
  <si>
    <t>Armas de guerra, exceto revólveres, pistolas e armas brancas</t>
  </si>
  <si>
    <t>9302</t>
  </si>
  <si>
    <t>Outros revólveres e pistolas</t>
  </si>
  <si>
    <t>9303</t>
  </si>
  <si>
    <t>Outras armas de fogo e aparelhos semelhantes que utilizem a deflagração da pólvora (por exemplo: espingardas e carabinas de caça, armas de fogo carregáveis exclusivamente pela boca, pistolas lança-foguetes e outros aparelhos concebidos apenas para lançar</t>
  </si>
  <si>
    <t>9304</t>
  </si>
  <si>
    <t>Outras armas (por exemplo, espingardas, carabinas e pistolas, de mola, de ar comprimido ou de gás, cassetetes), exceto as da posição 93.07</t>
  </si>
  <si>
    <t>9305</t>
  </si>
  <si>
    <t>Partes e acessórios, dos artigos das posições 9301 a 9304</t>
  </si>
  <si>
    <t>9306</t>
  </si>
  <si>
    <t>Bombas, granadas, torpedos, minas, mísseis, cartuchos e outras munições e projécteis, e suas partes, incluídos os zagalotes, chumbos de caça e buchas para cartuchos</t>
  </si>
  <si>
    <t>9307</t>
  </si>
  <si>
    <t>Sabres, espadas, baionetas, lanças e outras armas brancas, suas partes e bainhas</t>
  </si>
  <si>
    <t>94</t>
  </si>
  <si>
    <t>Móveis; mobiliário médico-cirúrgico, colchões, almofadas e semelhantes; aparelhos de iluminação não especificados nem compreendidos em outros capítulos; anúncios, cartazes ou tabuletas e placas indicadoras luminosos, e artigos semelhantes; Construções Pré</t>
  </si>
  <si>
    <t>9401</t>
  </si>
  <si>
    <t>Assentos (exceto os da posição 9402), mesmo transformáveis em camas, e suas partes</t>
  </si>
  <si>
    <t>9402</t>
  </si>
  <si>
    <t>Mobiliário para medicina, cirurgia, odontologia ou veterinária (por exemplo: mesas de operação, mesas de exames, camas dotadas de mecanismos para usos clínicos, cadeiras de dentista); cadeiras para salões de cabeleireiro e cadeiras semelhantes, com dispos</t>
  </si>
  <si>
    <t>9403</t>
  </si>
  <si>
    <t>Outros móveis e suas partes</t>
  </si>
  <si>
    <t>9404</t>
  </si>
  <si>
    <t>Suportes elásticos para camas; colchões, edredões, almofadas, pufes, travesseiros e artigos semelhantes, equipados com molas ou guarnecidos interiormente de quaisquer matérias, compreendendo esses artigos de borracha ou de plástico alveolares, mesmo recob</t>
  </si>
  <si>
    <t>9405</t>
  </si>
  <si>
    <t>Aparelhos de iluminação (incluídos os projectores) e suas partes, não especificados nem compreendidos em outras posições; anúncios, tabuletas ou cartazes e placas indicadoras luminosos, e artigos semelhantes, que contenham uma fonte luminosa fixa permanen</t>
  </si>
  <si>
    <t>9406</t>
  </si>
  <si>
    <t>Construções pré-fabricadas</t>
  </si>
  <si>
    <t>95</t>
  </si>
  <si>
    <t>Brinquedos, jogos, artigos para divertimento ou para esporte; suas partes e acessórios</t>
  </si>
  <si>
    <t>9501</t>
  </si>
  <si>
    <t>Brinquedos de rodas para crianças e carrinhos para bonecos</t>
  </si>
  <si>
    <t>9502</t>
  </si>
  <si>
    <t>Bonecos representando exclusivamente a figura humana</t>
  </si>
  <si>
    <t>9503</t>
  </si>
  <si>
    <t>Outros brinquedos; modelos reduzidos e modelos semelhantes para divertimento, mesmo animados; quebra-cabeças (puzzles) de qualquer tipo</t>
  </si>
  <si>
    <t>9504</t>
  </si>
  <si>
    <t>Artigos para jogos de salão, incluídos os jogos com motor ou outro mecanismo, os bilhares, as mesas especiais para jogos de casino e os jogos de paulitos automáticos (boliche, por exemplo)</t>
  </si>
  <si>
    <t>9505</t>
  </si>
  <si>
    <t>Artigos para festas, carnaval ou outros divertimentos, incluídos os artigos de magia e artigos surpresa</t>
  </si>
  <si>
    <t>9506</t>
  </si>
  <si>
    <t>Artigos e equipamentos para cultura física, ginástica, atletismo, outros desportos (incluído o ténis de mesa) ou jogos ao ar livre, não especificados nem compreendidos em outras posições deste capítulo; piscinas, incluídas as infantis</t>
  </si>
  <si>
    <t>9507</t>
  </si>
  <si>
    <t>Canas de pesca, anzóis e outros artigos para a pesca à linha; camaroeiros e redes semelhantes para qualquer finalidade; iscas e chamarizes (exceto os das posições 9208 ou 9705) e artigos semelhantes de caça e pesca</t>
  </si>
  <si>
    <t>9508</t>
  </si>
  <si>
    <t>Carrosséis, baloiços, instalações de tiro ao alvo e outras diversões de parques e feiras; circos ambulantes e colecções de animais ambulantes; teatros ambulantes</t>
  </si>
  <si>
    <t>96</t>
  </si>
  <si>
    <t>Obras diversas</t>
  </si>
  <si>
    <t>9601</t>
  </si>
  <si>
    <t>Marfim, osso, carapaça de tartaruga, chifre, pontas, coral, madrepérola e outras matérias animais para entalhar, trabalhados, e suas obras (incluídas as obras obtidas por moldagem)</t>
  </si>
  <si>
    <t>9602</t>
  </si>
  <si>
    <t>Matérias vegetais ou minerais de entalhar, trabalhadas, e suas obras</t>
  </si>
  <si>
    <t>9603</t>
  </si>
  <si>
    <t>Vassouras e escovas, mesmo constituindo partes de máquinas, de aparelhos ou de veículos, vassouras mecânicas de uso manual, exceto as motorizadas, espanadores; cabeças preparadas para escovas, pincéis e artigos semelhantes; bonecas e rolos para pintura;</t>
  </si>
  <si>
    <t>9604</t>
  </si>
  <si>
    <t>Peneiras e crivos, manuais</t>
  </si>
  <si>
    <t>9605</t>
  </si>
  <si>
    <t>Conjuntos de viagem para toucador de pessoas, para costura ou para limpeza de calçados ou de roupas</t>
  </si>
  <si>
    <t>9606</t>
  </si>
  <si>
    <t>Botões, incluídos os de pressão; formas e outras partes, de botões ou de botões de pressão; esboços de botões</t>
  </si>
  <si>
    <t>9607</t>
  </si>
  <si>
    <t>Fechos de correr (fechos éclair) e suas partes</t>
  </si>
  <si>
    <t>9608</t>
  </si>
  <si>
    <t>Canetas esferográficas; canetas e marcadores de ponta de feltro ou de outras pontas porosas; canetas de tinta permanente e outras canetas; estiletes para duplicadores; lapiseiras; canetas porta-penas, porta-lápis e artigos semelhantes; suas partes (inclui</t>
  </si>
  <si>
    <t>9609</t>
  </si>
  <si>
    <t>Lápis (exceto os da posição 9608), minas, pastéis, carvões, gizes para escrever ou desenhar e gizes de alfaiate</t>
  </si>
  <si>
    <t>9610</t>
  </si>
  <si>
    <t>Lousas e quadros para escrever ou desenhar, mesmo emoldurados</t>
  </si>
  <si>
    <t>9611</t>
  </si>
  <si>
    <t>Carimbos, incluindo os datadores e numeradores, sinetes e artigos semelhantes (incluindo os aparelhos para impressão de etiquetas), manuais; dispositivos manuais de composição tipográfica e jogos de impressão manuais que contenham tais dispositivos</t>
  </si>
  <si>
    <t>9612</t>
  </si>
  <si>
    <t>Fitas impressoras para máquinas de escrever e fitas impressoras semelhantes, tintadas ou preparadas de outra forma para imprimir, montadas ou não em carretéis ou cartuchos; almofadas de carimbo, impregnadas ou não, com ou sem caixa</t>
  </si>
  <si>
    <t>9613</t>
  </si>
  <si>
    <t>Isqueiros e outros acendedores (exceto os da posição 3603), mesmo mecânicos ou elétricos, e suas partes, exceto pedras e pavios</t>
  </si>
  <si>
    <t>9614</t>
  </si>
  <si>
    <t>Cachimbos (incluindo os seus fornilhos), piteiras (boquilhas) para charutos ou cigarros, e suas partes</t>
  </si>
  <si>
    <t>9615</t>
  </si>
  <si>
    <t>Pentes, travessas para o cabelo e artigos semelhantes; alfinetes para cabelo; picos, onduladores, bigudis e artefactos semelhantes para penteados, exceto os da posição 8516, e suas partes</t>
  </si>
  <si>
    <t>9616</t>
  </si>
  <si>
    <t>Vaporizadores de toucador, suas armações e cabeças de armações; borlas ou esponjas para pós ou para aplicação de outros cosméticos ou de produtos de toucador</t>
  </si>
  <si>
    <t>9617</t>
  </si>
  <si>
    <t>Garrafas térmicas e outros recipientes isotérmicos montados, com isolamento produzido pelo vácuo, e suas partes (exceto ampolas de vidro)</t>
  </si>
  <si>
    <t>9618</t>
  </si>
  <si>
    <t>Manequins e artigos semelhantes; autômatos e cenas animadas, para vitrines e mostruários</t>
  </si>
  <si>
    <t>9619</t>
  </si>
  <si>
    <t>Absorventes e tampões higiênicos, cueiros e fraldas para bebês e artigos higiênicos semelhantes, de qualquer matéria</t>
  </si>
  <si>
    <t>9620</t>
  </si>
  <si>
    <t>Monopés, bipés, tripés e artigos semelhantes</t>
  </si>
  <si>
    <t>97</t>
  </si>
  <si>
    <t>Objetos de arte, de coleção e antiguidades</t>
  </si>
  <si>
    <t>9701</t>
  </si>
  <si>
    <t>Quadros, pinturas e desenhos, feitos inteiramente à mâo, exceto os desenhos da posiçâo 4906 e os artigos manufacturados decorados à mâo; colagens e quadros decorativos semelhantes</t>
  </si>
  <si>
    <t>9702</t>
  </si>
  <si>
    <t>Gravuras, estampas e litografias, originais</t>
  </si>
  <si>
    <t>9703</t>
  </si>
  <si>
    <t>Produções originais de arte estatuária ou de escultura, de quaisquer matérias</t>
  </si>
  <si>
    <t>9704</t>
  </si>
  <si>
    <t>Selos postais, selos fiscais, marcas postais, envelopes de primeiro dia (first-day covers), inteiros postais e semelhantes, obliterados, ou não obliterados, exceto os artigos da posição 49.07</t>
  </si>
  <si>
    <t>9705</t>
  </si>
  <si>
    <t>Coleções e espécimes para coleções, de zoologia, botânica, mineralogia, anatomia, ou apresentando interesse histórico, arqueológico, paleontológico, etnográfico ou numismático</t>
  </si>
  <si>
    <t>9706</t>
  </si>
  <si>
    <t>Antiguidades com mais de 100 anos</t>
  </si>
  <si>
    <t>99</t>
  </si>
  <si>
    <t>Transações especiais</t>
  </si>
  <si>
    <t>9797</t>
  </si>
  <si>
    <t>Bagagem desacompanhada</t>
  </si>
  <si>
    <t>9898</t>
  </si>
  <si>
    <t>Mala Diplomática</t>
  </si>
  <si>
    <t>9990</t>
  </si>
  <si>
    <t>Zonas francas (free-shop)</t>
  </si>
  <si>
    <t>9991</t>
  </si>
  <si>
    <t>Encomendas postais</t>
  </si>
  <si>
    <t>9992</t>
  </si>
  <si>
    <t>Amostras</t>
  </si>
  <si>
    <t>9993</t>
  </si>
  <si>
    <t>Comércio de combustíveis de panol, apetrechos, etc.</t>
  </si>
  <si>
    <t>9994</t>
  </si>
  <si>
    <t>Mercadorias em devolução</t>
  </si>
  <si>
    <t>9995</t>
  </si>
  <si>
    <t>Mercadorias em arrendamento não financeiro</t>
  </si>
  <si>
    <t>9996</t>
  </si>
  <si>
    <t>Bagagem (provenientes de mudanças)</t>
  </si>
  <si>
    <t>9997</t>
  </si>
  <si>
    <t>Mercadorias doadas</t>
  </si>
  <si>
    <t>9998</t>
  </si>
  <si>
    <t>Consumo de bordo (combustíveis e lubrificantes para embarcações e aeronaves)</t>
  </si>
  <si>
    <t>9999</t>
  </si>
  <si>
    <t>Consumo de bordo (exceto combustíveis e lubrificantes); pedras do Capítulo 71; qualquer outra mercadoria sem cobertura cambial; reexportação</t>
  </si>
  <si>
    <t>AF</t>
  </si>
  <si>
    <t>Água de formação</t>
  </si>
  <si>
    <t>8888</t>
  </si>
  <si>
    <t>CA</t>
  </si>
  <si>
    <t>Carga de Apoio</t>
  </si>
  <si>
    <t>CA01</t>
  </si>
  <si>
    <t>Carga de apoio</t>
  </si>
  <si>
    <t>CM</t>
  </si>
  <si>
    <t>Caminhão</t>
  </si>
  <si>
    <t>CM01</t>
  </si>
  <si>
    <t>Bitrem cheio, qualquer comprimento</t>
  </si>
  <si>
    <t>CM02</t>
  </si>
  <si>
    <t>Bitrem vazio, qualquer comprimento</t>
  </si>
  <si>
    <t>CM03</t>
  </si>
  <si>
    <t>Caminhão ¾ cheio</t>
  </si>
  <si>
    <t>CM04</t>
  </si>
  <si>
    <t>Caminhão ¾ vazio</t>
  </si>
  <si>
    <t>CM05</t>
  </si>
  <si>
    <t>Caminhão aberto cheio, qualquer comprimento</t>
  </si>
  <si>
    <t>CM06</t>
  </si>
  <si>
    <t>Caminhão aberto vazio, qualquer comprimento</t>
  </si>
  <si>
    <t>CM07</t>
  </si>
  <si>
    <t>Caminhão baú cheio, qualquer comprimento</t>
  </si>
  <si>
    <t>CM08</t>
  </si>
  <si>
    <t>Caminhão baú vazio, qualquer comprimento</t>
  </si>
  <si>
    <t>CM09</t>
  </si>
  <si>
    <t>Caminhão cegonha cheio, qualquer comprimento</t>
  </si>
  <si>
    <t>CM10</t>
  </si>
  <si>
    <t>Caminhão cegonha vazio, qualquer comprimento</t>
  </si>
  <si>
    <t>CM11</t>
  </si>
  <si>
    <t>Caminhão truck cheio, qualquer comprimento</t>
  </si>
  <si>
    <t>CM12</t>
  </si>
  <si>
    <t>Caminhão truck vazio, qualquer comprimento</t>
  </si>
  <si>
    <t>CT</t>
  </si>
  <si>
    <t>Contêineres</t>
  </si>
  <si>
    <t>12G0</t>
  </si>
  <si>
    <t>GENERAL PURPOSE(10'/8'6) - DRY 10'</t>
  </si>
  <si>
    <t>12R0</t>
  </si>
  <si>
    <t>GENERAL PORPOSE (10'/8'6)-REEFER 10'</t>
  </si>
  <si>
    <t>12R1</t>
  </si>
  <si>
    <t>REEFER BABY</t>
  </si>
  <si>
    <t>12U0</t>
  </si>
  <si>
    <t>DRY VAN BABY</t>
  </si>
  <si>
    <t>20H0</t>
  </si>
  <si>
    <t>INSULATED(20'/8')</t>
  </si>
  <si>
    <t>20P1</t>
  </si>
  <si>
    <t>PLATFORM OR MAFI FIXED ENDS(20'/8)</t>
  </si>
  <si>
    <t>20T0</t>
  </si>
  <si>
    <t>TANK NON DANGEROUS LIQUIDS (20'/8)</t>
  </si>
  <si>
    <t>20T5</t>
  </si>
  <si>
    <t>TANK DANGEROUS LIQUIDS 4 BAR(20'/8)</t>
  </si>
  <si>
    <t>22B0</t>
  </si>
  <si>
    <t>DRY BULK NON-PRESSURE(20'/8'6)</t>
  </si>
  <si>
    <t>22B1</t>
  </si>
  <si>
    <t>BULK, NON-PRESSURIZED, HOPPER, AIRTIGHT</t>
  </si>
  <si>
    <t>22B3</t>
  </si>
  <si>
    <t>BULK,PRESS, H. DISCHARGE,150KPA,20'/8'6</t>
  </si>
  <si>
    <t>22B4</t>
  </si>
  <si>
    <t>BULK,PRESS, H. DISCHARGE,265KPA,20'/8'6</t>
  </si>
  <si>
    <t>22B5</t>
  </si>
  <si>
    <t>BULK,PRESS, T. DISCHARGE,150KPA,20'/8'6</t>
  </si>
  <si>
    <t>22B6</t>
  </si>
  <si>
    <t>BULK,PRESS, T. DISCHARGE,265KPA,20'/8'6</t>
  </si>
  <si>
    <t>22G0</t>
  </si>
  <si>
    <t>GENERAL PURPOSE(20'/8'6)-DRY 20'</t>
  </si>
  <si>
    <t>22G1</t>
  </si>
  <si>
    <t>PASSIVE UPPER VENTS(20'/8'6'')</t>
  </si>
  <si>
    <t>22P1</t>
  </si>
  <si>
    <t>PLATFORM OR MAFI FIXED ENDS(20'/8'6)</t>
  </si>
  <si>
    <t>22P2</t>
  </si>
  <si>
    <t>FLAT, FIXED POSTS(20'/8'6)</t>
  </si>
  <si>
    <t>22P3</t>
  </si>
  <si>
    <t>PLATFORM OR MAFI COLLAPSIBLE(20'/8'6)</t>
  </si>
  <si>
    <t>22P4</t>
  </si>
  <si>
    <t>FLAT, COLLAPSIBLE POSTS(20'/8'6)</t>
  </si>
  <si>
    <t>22P8</t>
  </si>
  <si>
    <t>PLATFORM, COLLAPSIBLE, F. F.(20'/8'6)</t>
  </si>
  <si>
    <t>22R0</t>
  </si>
  <si>
    <t>BOX, REFRIG. EXT. POWER,20'/8'6</t>
  </si>
  <si>
    <t>22R1</t>
  </si>
  <si>
    <t>BOX, REFRIG. HEATED EXT. POWER,20'/8'6</t>
  </si>
  <si>
    <t>22R2</t>
  </si>
  <si>
    <t>BOX, REFRIG. SELF POWER,20'X 8'6</t>
  </si>
  <si>
    <t>22R3</t>
  </si>
  <si>
    <t>BOX, REFRIG. HEATED, SELF POWER,20'/8'6</t>
  </si>
  <si>
    <t>22R9</t>
  </si>
  <si>
    <t>BOX, REFRIGERATED NON FOODSTUFF,20'/8'6</t>
  </si>
  <si>
    <t>22T0</t>
  </si>
  <si>
    <t>TANK NON-DANGER. LIQU. 0.45 BAR,20'/8'6</t>
  </si>
  <si>
    <t>22T1</t>
  </si>
  <si>
    <t>TANK NON-DANGER. LIQU. 1.5 BAR,20'/8'6</t>
  </si>
  <si>
    <t>22T2</t>
  </si>
  <si>
    <t>TANK NON-DANGER. LIQU. 2.65 BAR,20'/8'6</t>
  </si>
  <si>
    <t>22T3</t>
  </si>
  <si>
    <t>TANK DANGER. LIQU. 1.5 BAR,20'/8'6</t>
  </si>
  <si>
    <t>22T4</t>
  </si>
  <si>
    <t>TANK DANGER. LIQU. 2.65 BAR,20'/8'6</t>
  </si>
  <si>
    <t>22T5</t>
  </si>
  <si>
    <t>TANK DANGER. LIQU. 4 BAR,20'/8'6</t>
  </si>
  <si>
    <t>22T6</t>
  </si>
  <si>
    <t>TANK DANGER. LIQU. 6 BAR,20'/8'6</t>
  </si>
  <si>
    <t>22T7</t>
  </si>
  <si>
    <t>TANK GASES, 9.1 BAR(20'/8'6)</t>
  </si>
  <si>
    <t>22T8</t>
  </si>
  <si>
    <t>TANK GASES, 22.0 BAR(20'/8'6</t>
  </si>
  <si>
    <t>22U1</t>
  </si>
  <si>
    <t>OPENTOP(20'/8'6'')</t>
  </si>
  <si>
    <t>22U6</t>
  </si>
  <si>
    <t>HARDTOP(20'/8'6'')</t>
  </si>
  <si>
    <t>22V0</t>
  </si>
  <si>
    <t>NON-MECHANICAL VENTS(20'/8'6)</t>
  </si>
  <si>
    <t>22V2</t>
  </si>
  <si>
    <t>MECHANICAL VENTS IN(20'/8'6)</t>
  </si>
  <si>
    <t>22V4</t>
  </si>
  <si>
    <t>MECHANICAL VENTS OUT(20'/8'6)</t>
  </si>
  <si>
    <t>25G0</t>
  </si>
  <si>
    <t>HIGH CUBE(20'/9'6)</t>
  </si>
  <si>
    <t>25R1</t>
  </si>
  <si>
    <t>HIGH CUBE REFRIGERATED(20'/9'6)</t>
  </si>
  <si>
    <t>25R9</t>
  </si>
  <si>
    <t>HIGH CUBE REFRIGERATED NON FOODS,20'/9'6</t>
  </si>
  <si>
    <t>29B9</t>
  </si>
  <si>
    <t>OTHER DRY BULK 20'</t>
  </si>
  <si>
    <t>29G9</t>
  </si>
  <si>
    <t>OTHER GENERAL 20' (DRY)</t>
  </si>
  <si>
    <t>29P0</t>
  </si>
  <si>
    <t>PLATFORM OR MAFI(20')</t>
  </si>
  <si>
    <t>29R9</t>
  </si>
  <si>
    <t>OTHER REFRIGERATED 20'</t>
  </si>
  <si>
    <t>29U9</t>
  </si>
  <si>
    <t>OTHER OPEN TOP 20'</t>
  </si>
  <si>
    <t>29V9</t>
  </si>
  <si>
    <t>OTHER GENERAL 20' VENTILATED</t>
  </si>
  <si>
    <t>42G0</t>
  </si>
  <si>
    <t>GENERAL PURPOSE(40'/8'6) - DRY 40'</t>
  </si>
  <si>
    <t>42G1</t>
  </si>
  <si>
    <t>GENERAL PURPOSE (PASSIVE VENTS)(40'/8'6)</t>
  </si>
  <si>
    <t>42P1</t>
  </si>
  <si>
    <t>FLAT, FIXED ENDS(40'/8'6)</t>
  </si>
  <si>
    <t>42P2</t>
  </si>
  <si>
    <t>FLAT, FIXED POSTS(40'/8'6)</t>
  </si>
  <si>
    <t>42P3</t>
  </si>
  <si>
    <t>FLAT (COLLAPSIBLE)(40'/8'6)</t>
  </si>
  <si>
    <t>42P4</t>
  </si>
  <si>
    <t>FLAT, COLLAPSIBLE POSTS(40'/8'6)</t>
  </si>
  <si>
    <t>42P8</t>
  </si>
  <si>
    <t>FLAT COLLAPSIBLE, FLUSH FOLDING,40'/8'6</t>
  </si>
  <si>
    <t>42R0</t>
  </si>
  <si>
    <t>BOX, REFRIG. EXT. POWER,40'/8'6</t>
  </si>
  <si>
    <t>42R1</t>
  </si>
  <si>
    <t>BOX, REFRIG. HEATED EXT. POWER,40'/8'6</t>
  </si>
  <si>
    <t>42R2</t>
  </si>
  <si>
    <t>BOX, REFRIG. SELF POWER,40'/8'6</t>
  </si>
  <si>
    <t>42R3</t>
  </si>
  <si>
    <t>BOX, REFRIG. HEATED, SELF POWER,40'/8'6</t>
  </si>
  <si>
    <t>42R9</t>
  </si>
  <si>
    <t>BOX, REFRIGERATED NON FOODSTUFF,40'/8'6</t>
  </si>
  <si>
    <t>42T0</t>
  </si>
  <si>
    <t>TANK NON-DANGER. LIQU. 0.45 BAR,40'/8'6</t>
  </si>
  <si>
    <t>42T1</t>
  </si>
  <si>
    <t>TANK NON-DANGER. LIQU. 1.5 BAR,40'/8'6</t>
  </si>
  <si>
    <t>42T2</t>
  </si>
  <si>
    <t>TANK NON-DANGER. LIQU. 2.65 BAR,40'/8'6</t>
  </si>
  <si>
    <t>42T3</t>
  </si>
  <si>
    <t>TANK DANGER. LIQU. 1.5 BAR,40'/8'6</t>
  </si>
  <si>
    <t>42T4</t>
  </si>
  <si>
    <t>TANK DANGER. LIQU. 2.65 BAR,40'/8'6</t>
  </si>
  <si>
    <t>42T5</t>
  </si>
  <si>
    <t>TANK DANGER. LIQU. 4 BAR,40'/8'6</t>
  </si>
  <si>
    <t>42T6</t>
  </si>
  <si>
    <t>TANK DANGER. LIQU. 6 BAR,40'/8'6</t>
  </si>
  <si>
    <t>42T7</t>
  </si>
  <si>
    <t>TANK GASES, 9.1 BAR(40'/8'6)</t>
  </si>
  <si>
    <t>42T8</t>
  </si>
  <si>
    <t>TANK GASES, 22.0 BAR(40'/8'6)</t>
  </si>
  <si>
    <t>42U1</t>
  </si>
  <si>
    <t>OPEN TOP(40'/8'6'')</t>
  </si>
  <si>
    <t>42U6</t>
  </si>
  <si>
    <t>HARDTOP(40'/8'6'')</t>
  </si>
  <si>
    <t>45G0</t>
  </si>
  <si>
    <t>HIGH CUBE(40'/9'6)</t>
  </si>
  <si>
    <t>45G1</t>
  </si>
  <si>
    <t>HIGH CUBE (PASSIVE VENTS)(40'/9'6)</t>
  </si>
  <si>
    <t>45P3</t>
  </si>
  <si>
    <t>HIGH CUBE FLAT COLLAPSIBLE(40'/9'6)</t>
  </si>
  <si>
    <t>45P8</t>
  </si>
  <si>
    <t>HIGH CUBE FLAT COLL. FLUSH FOLD,40'/9'6</t>
  </si>
  <si>
    <t>45R0</t>
  </si>
  <si>
    <t>HIGH CUBE REFRIG. EXT. POWER,40'/9'6</t>
  </si>
  <si>
    <t>45R1</t>
  </si>
  <si>
    <t>HIGH CUBE REF/HEATED EXT. POWER,40'/9'6</t>
  </si>
  <si>
    <t>45R2</t>
  </si>
  <si>
    <t>HIGH CUBE REFRIG. SELF POWER,40'/9'6</t>
  </si>
  <si>
    <t>45R3</t>
  </si>
  <si>
    <t>HIGH CUBE REF/HEATED,SELF POWER,40'/9'6</t>
  </si>
  <si>
    <t>45R9</t>
  </si>
  <si>
    <t>HIGH CUBE REFRIG. NON FOODSTUFF,40'/9'6</t>
  </si>
  <si>
    <t>45U1</t>
  </si>
  <si>
    <t>40' HIGH CUBE OPEN TOP CONTAINER</t>
  </si>
  <si>
    <t>45U6</t>
  </si>
  <si>
    <t>HIGH CUBE HARDTOP(40'/8'6)</t>
  </si>
  <si>
    <t>49B9</t>
  </si>
  <si>
    <t>OTHER DRY BULK 40'</t>
  </si>
  <si>
    <t>49G9</t>
  </si>
  <si>
    <t>OTHER GENERAL 40' (DRY)</t>
  </si>
  <si>
    <t>49P0</t>
  </si>
  <si>
    <t>PLATFORM OR MAFI(40')</t>
  </si>
  <si>
    <t>49R9</t>
  </si>
  <si>
    <t>OTHER REFRIGERATED 40'</t>
  </si>
  <si>
    <t>49U9</t>
  </si>
  <si>
    <t>OTHER OPEN TOP 40'</t>
  </si>
  <si>
    <t>49V9</t>
  </si>
  <si>
    <t>OTHER GENERAL 40' VENTILATED</t>
  </si>
  <si>
    <t>4EG0</t>
  </si>
  <si>
    <t>40 HIGH CUBE Vents</t>
  </si>
  <si>
    <t>4EG1</t>
  </si>
  <si>
    <t>40' HIGH CUBE PALLETWIDE</t>
  </si>
  <si>
    <t>69P0</t>
  </si>
  <si>
    <t>PLATFORM OR MAFI(60')</t>
  </si>
  <si>
    <t>89P0</t>
  </si>
  <si>
    <t>PLATFORM OR MAFI(80')</t>
  </si>
  <si>
    <t>L5G0</t>
  </si>
  <si>
    <t>BOX (HIGH CUBE), NON-VENTED</t>
  </si>
  <si>
    <t>L5G1</t>
  </si>
  <si>
    <t>BOX (HIGH CUBE), VENTED</t>
  </si>
  <si>
    <t>L6G0</t>
  </si>
  <si>
    <t>HIGH CUBE 45' (45'/9'6)</t>
  </si>
  <si>
    <t>LNG1</t>
  </si>
  <si>
    <t>BOX (HIGH CUBE), 102## WIDE, VENTED</t>
  </si>
  <si>
    <t>M6G0</t>
  </si>
  <si>
    <t>HIGH CUBE 48' (48'/9'6)</t>
  </si>
  <si>
    <t>MNG1</t>
  </si>
  <si>
    <t>MPG1</t>
  </si>
  <si>
    <t>#BOX (HIGH CUBE), 102## WIDE, VENTED#</t>
  </si>
  <si>
    <t>P6G0</t>
  </si>
  <si>
    <t>HIGH CUBE 53' (53'/9'6)</t>
  </si>
  <si>
    <t>R9B9</t>
  </si>
  <si>
    <t>OTHER DRY BULK (NOT 20' OR 40')</t>
  </si>
  <si>
    <t>R9G9</t>
  </si>
  <si>
    <t>OTHER GENERAL PURPOSE,DRY,NOT 20'OR 40'</t>
  </si>
  <si>
    <t>R9P0</t>
  </si>
  <si>
    <t>OTHER PLATFORM OR MAFI</t>
  </si>
  <si>
    <t>R9R9</t>
  </si>
  <si>
    <t>OTHER REFRIGERATED (NOT 20' OR 40')</t>
  </si>
  <si>
    <t>R9U9</t>
  </si>
  <si>
    <t>OTHER OPEN TOP (NOT 20' OR 40')</t>
  </si>
  <si>
    <t>R9V9</t>
  </si>
  <si>
    <t>OTHER VENTILATED (NOT 20' OR 40')</t>
  </si>
  <si>
    <t>SR</t>
  </si>
  <si>
    <t>Semirreboque baú</t>
  </si>
  <si>
    <t>SRAC</t>
  </si>
  <si>
    <t>Semirreboque aberto cheio</t>
  </si>
  <si>
    <t>SRAV</t>
  </si>
  <si>
    <t>Semirreboque aberto vazio</t>
  </si>
  <si>
    <t>SRFC</t>
  </si>
  <si>
    <t>Semirreboque fechado cheio</t>
  </si>
  <si>
    <t>SRFV</t>
  </si>
  <si>
    <t>Semirreboque fechado vazio</t>
  </si>
  <si>
    <t>ZZ</t>
  </si>
  <si>
    <t>Cargas diversas</t>
  </si>
  <si>
    <t>ZZZZ</t>
  </si>
  <si>
    <t>Código do país no SPED (uso na NF-e)</t>
  </si>
  <si>
    <t>País</t>
  </si>
  <si>
    <t xml:space="preserve">Código do País no Siscomex </t>
  </si>
  <si>
    <t>AFEGANISTAO</t>
  </si>
  <si>
    <t>ALBANIA</t>
  </si>
  <si>
    <t>ALEMANHA</t>
  </si>
  <si>
    <t>BURKINA FASO</t>
  </si>
  <si>
    <t>ANDORRA</t>
  </si>
  <si>
    <t>ANGOLA</t>
  </si>
  <si>
    <t>ANGUILLA</t>
  </si>
  <si>
    <t>ANTIGUA E BARBUDA</t>
  </si>
  <si>
    <t>ARABIA SAUDITA</t>
  </si>
  <si>
    <t>ARGELIA</t>
  </si>
  <si>
    <t>ARGENTINA</t>
  </si>
  <si>
    <t>ARMENIA</t>
  </si>
  <si>
    <t>ARUBA</t>
  </si>
  <si>
    <t>AUSTRALIA</t>
  </si>
  <si>
    <t>AUSTRIA</t>
  </si>
  <si>
    <t>AZERBAIDJAO</t>
  </si>
  <si>
    <t>BAHAMAS, ILHAS</t>
  </si>
  <si>
    <t>BAREIN</t>
  </si>
  <si>
    <t>BANGLADESH</t>
  </si>
  <si>
    <t>BARBADOS</t>
  </si>
  <si>
    <t>BELARUS</t>
  </si>
  <si>
    <t>BELGICA</t>
  </si>
  <si>
    <t>BELIZE</t>
  </si>
  <si>
    <t>BERMUDAS</t>
  </si>
  <si>
    <t>MIANMAR</t>
  </si>
  <si>
    <t>BOLIVIA</t>
  </si>
  <si>
    <t>BOSNIA-HERZEGOVINA</t>
  </si>
  <si>
    <t>BONAIRE, SAINT EUSTATIUS E SABA</t>
  </si>
  <si>
    <t>BOTSUANA</t>
  </si>
  <si>
    <t>BOUVET, ILHA</t>
  </si>
  <si>
    <t>BRASIL</t>
  </si>
  <si>
    <t>BRUNEI</t>
  </si>
  <si>
    <t>BULGARIA</t>
  </si>
  <si>
    <t>BURUNDI</t>
  </si>
  <si>
    <t>BUTAO</t>
  </si>
  <si>
    <t>CABO VERDE</t>
  </si>
  <si>
    <t>CAYMAN</t>
  </si>
  <si>
    <t>CAMBOJA</t>
  </si>
  <si>
    <t>CAMAROES</t>
  </si>
  <si>
    <t>CANADA</t>
  </si>
  <si>
    <t>CAZAQUISTAO</t>
  </si>
  <si>
    <t>CATAR</t>
  </si>
  <si>
    <t>CHILE</t>
  </si>
  <si>
    <t>CHINA</t>
  </si>
  <si>
    <t>TAIWAN</t>
  </si>
  <si>
    <t>CHIPRE</t>
  </si>
  <si>
    <t>COCOS (KEELINGS)</t>
  </si>
  <si>
    <t>COLOMBIA</t>
  </si>
  <si>
    <t>COMORES</t>
  </si>
  <si>
    <t>CONGO</t>
  </si>
  <si>
    <t>COOK</t>
  </si>
  <si>
    <t>COREIA DO NORTE</t>
  </si>
  <si>
    <t>COREIA DO SUL</t>
  </si>
  <si>
    <t>COSTA DO MARFIM</t>
  </si>
  <si>
    <t>CROACIA</t>
  </si>
  <si>
    <t>COSTA RICA</t>
  </si>
  <si>
    <t>KUWEIT (ou Coveite)</t>
  </si>
  <si>
    <t>CUBA</t>
  </si>
  <si>
    <t>CURACAO</t>
  </si>
  <si>
    <t>BENIN</t>
  </si>
  <si>
    <t>DINAMARCA</t>
  </si>
  <si>
    <t>DOMINICA</t>
  </si>
  <si>
    <t>EQUADOR</t>
  </si>
  <si>
    <t>EGITO</t>
  </si>
  <si>
    <t>ERITREIA</t>
  </si>
  <si>
    <t>EMIRADOS ARABES UNIDOS</t>
  </si>
  <si>
    <t>ESPANHA</t>
  </si>
  <si>
    <t>ESLOVENIA</t>
  </si>
  <si>
    <t>ESLOVAQUIA</t>
  </si>
  <si>
    <t>ESTADOS UNIDOS</t>
  </si>
  <si>
    <t>ESTONIA</t>
  </si>
  <si>
    <t>ETIOPIA</t>
  </si>
  <si>
    <t>FALKLAND (MALVINAS)</t>
  </si>
  <si>
    <t>FAROE</t>
  </si>
  <si>
    <t>FILIPINAS</t>
  </si>
  <si>
    <t>FINLANDIA</t>
  </si>
  <si>
    <t>FRANCA</t>
  </si>
  <si>
    <t>GABAO</t>
  </si>
  <si>
    <t>GAMBIA</t>
  </si>
  <si>
    <t>GANA</t>
  </si>
  <si>
    <t>GEORGIA</t>
  </si>
  <si>
    <t>GIBRALTAR</t>
  </si>
  <si>
    <t>GRANADA</t>
  </si>
  <si>
    <t>GRECIA</t>
  </si>
  <si>
    <t>GROENLANDIA</t>
  </si>
  <si>
    <t>GUADALUPE</t>
  </si>
  <si>
    <t>GUAM</t>
  </si>
  <si>
    <t>GUATEMALA</t>
  </si>
  <si>
    <t>GUERNSEY, ILHA DO CANAL (INCLUI ALDERNEY E SARK)</t>
  </si>
  <si>
    <t>GUIANA FRANCESA</t>
  </si>
  <si>
    <t>GUINE</t>
  </si>
  <si>
    <t>GUINE-EQUATORIAL</t>
  </si>
  <si>
    <t>GUINE-BISSAU</t>
  </si>
  <si>
    <t>GUIANA</t>
  </si>
  <si>
    <t>HAITI</t>
  </si>
  <si>
    <t>HONDURAS</t>
  </si>
  <si>
    <t>HUNGRIA</t>
  </si>
  <si>
    <t>IEMEN</t>
  </si>
  <si>
    <t>MAN, ILHA DE</t>
  </si>
  <si>
    <t>INDIA</t>
  </si>
  <si>
    <t>INDONESIA</t>
  </si>
  <si>
    <t>IRAQUE</t>
  </si>
  <si>
    <t>IRA</t>
  </si>
  <si>
    <t>IRLANDA</t>
  </si>
  <si>
    <t>ISLANDIA</t>
  </si>
  <si>
    <t>ISRAEL</t>
  </si>
  <si>
    <t>ITALIA</t>
  </si>
  <si>
    <t>JAMAICA</t>
  </si>
  <si>
    <t>JERSEY, ILHA DO CANAL</t>
  </si>
  <si>
    <t>JOHNSTON</t>
  </si>
  <si>
    <t>JAPAO</t>
  </si>
  <si>
    <t>JORDANIA</t>
  </si>
  <si>
    <t>KIRIBATI</t>
  </si>
  <si>
    <t>LAOS</t>
  </si>
  <si>
    <t>LESOTO</t>
  </si>
  <si>
    <t>LETONIA</t>
  </si>
  <si>
    <t>LIBANO</t>
  </si>
  <si>
    <t>LIBERIA</t>
  </si>
  <si>
    <t>LIBIA</t>
  </si>
  <si>
    <t>LIECHTENSTEIN</t>
  </si>
  <si>
    <t>LITUANIA</t>
  </si>
  <si>
    <t>LUXEMBURGO</t>
  </si>
  <si>
    <t>MACAU</t>
  </si>
  <si>
    <t>MACEDONIA</t>
  </si>
  <si>
    <t>MADAGASCAR</t>
  </si>
  <si>
    <t>MALASIA</t>
  </si>
  <si>
    <t>MALAVI</t>
  </si>
  <si>
    <t>MALDIVAS</t>
  </si>
  <si>
    <t>MALI</t>
  </si>
  <si>
    <t>MALTA</t>
  </si>
  <si>
    <t>MARIANAS DO NORTE</t>
  </si>
  <si>
    <t>MARROCOS</t>
  </si>
  <si>
    <t>MARSHALL, ILHAS</t>
  </si>
  <si>
    <t>MARTINICA</t>
  </si>
  <si>
    <t>MAURICIO</t>
  </si>
  <si>
    <t>MAURITANIA</t>
  </si>
  <si>
    <t>MEXICO</t>
  </si>
  <si>
    <t>MOLDAVIA</t>
  </si>
  <si>
    <t>MONACO</t>
  </si>
  <si>
    <t>MONGOLIA</t>
  </si>
  <si>
    <t>MONTENEGRO</t>
  </si>
  <si>
    <t>MICRONESIA</t>
  </si>
  <si>
    <t>MONTSERRAT</t>
  </si>
  <si>
    <t>MOCAMBIQUE</t>
  </si>
  <si>
    <t>NAMIBIA</t>
  </si>
  <si>
    <t>NAURU</t>
  </si>
  <si>
    <t>CHRISTMAS, ILHA (NAVIDAD)</t>
  </si>
  <si>
    <t>NEPAL</t>
  </si>
  <si>
    <t>NICARAGUA</t>
  </si>
  <si>
    <t>NIGER</t>
  </si>
  <si>
    <t>NIGERIA</t>
  </si>
  <si>
    <t>NIUE</t>
  </si>
  <si>
    <t>NORFOLK, ILHA</t>
  </si>
  <si>
    <t>NORUEGA</t>
  </si>
  <si>
    <t>NOVA CALEDONIA</t>
  </si>
  <si>
    <t>PAPUA NOVA GUINE</t>
  </si>
  <si>
    <t>NOVA ZELANDIA</t>
  </si>
  <si>
    <t>VANUATU</t>
  </si>
  <si>
    <t>OMA</t>
  </si>
  <si>
    <t>PACIFICO, ILHAS DO (POSSESSAO DOS EUA)</t>
  </si>
  <si>
    <t>HOLANDA (PAISES BAIXOS)</t>
  </si>
  <si>
    <t>PALAU</t>
  </si>
  <si>
    <t>PAQUISTAO</t>
  </si>
  <si>
    <t>PALESTINA</t>
  </si>
  <si>
    <t>PANAMA</t>
  </si>
  <si>
    <t>PARAGUAI</t>
  </si>
  <si>
    <t>PERU</t>
  </si>
  <si>
    <t>PITCAIRN</t>
  </si>
  <si>
    <t>POLINESIA FRANCESA</t>
  </si>
  <si>
    <t>POLONIA</t>
  </si>
  <si>
    <t>PORTUGAL</t>
  </si>
  <si>
    <t>PORTO RICO</t>
  </si>
  <si>
    <t>QUENIA</t>
  </si>
  <si>
    <t>QUIRGUISTAO</t>
  </si>
  <si>
    <t>REINO UNIDO</t>
  </si>
  <si>
    <t>REPUBLICA CENTRO-AFRICANA</t>
  </si>
  <si>
    <t>REPUBLICA DOMINICANA</t>
  </si>
  <si>
    <t>REUNIAO</t>
  </si>
  <si>
    <t>ZIMBABUE</t>
  </si>
  <si>
    <t>ROMENIA</t>
  </si>
  <si>
    <t>RUANDA</t>
  </si>
  <si>
    <t>RUSSIA</t>
  </si>
  <si>
    <t>SALOMAO, ILHAS</t>
  </si>
  <si>
    <t>SAARA OCIDENTAL</t>
  </si>
  <si>
    <t>EL SALVADOR</t>
  </si>
  <si>
    <t>SAMOA</t>
  </si>
  <si>
    <t>SAMOA AMERICANA</t>
  </si>
  <si>
    <t>SAO CRISTOVAO E NEVES</t>
  </si>
  <si>
    <t>SAN MARINO</t>
  </si>
  <si>
    <t>SAO MARTINHO, ILHA DE (PARTE FRANCESA)</t>
  </si>
  <si>
    <t>SAO MARTINHO, ILHA DE (PARTE HOLANDESA)</t>
  </si>
  <si>
    <t>SAO PEDRO E MIQUELON</t>
  </si>
  <si>
    <t>SAO VICENTE E GRANADINAS</t>
  </si>
  <si>
    <t>SANTA HELENA</t>
  </si>
  <si>
    <t>SANTA LUCIA</t>
  </si>
  <si>
    <t>SAO TOME E PRINCIPE</t>
  </si>
  <si>
    <t>SENEGAL</t>
  </si>
  <si>
    <t>SEICHELES</t>
  </si>
  <si>
    <t>SERRA LEOA</t>
  </si>
  <si>
    <t>SERVIA</t>
  </si>
  <si>
    <t>CINGAPURA</t>
  </si>
  <si>
    <t>SIRIA</t>
  </si>
  <si>
    <t>SOMALIA</t>
  </si>
  <si>
    <t>SRI LANKA</t>
  </si>
  <si>
    <t>ESWATINI (ANTIGA SUAZILANDIA</t>
  </si>
  <si>
    <t>SVALBARD E JAN MAYEN</t>
  </si>
  <si>
    <t>AFRICA DO SUL</t>
  </si>
  <si>
    <t>SUDAO</t>
  </si>
  <si>
    <t>SUDÃO DO SUL</t>
  </si>
  <si>
    <t>SUECIA</t>
  </si>
  <si>
    <t>SUICA</t>
  </si>
  <si>
    <t>SURINAME</t>
  </si>
  <si>
    <t>TADJIQUISTAO</t>
  </si>
  <si>
    <t>TAILANDIA</t>
  </si>
  <si>
    <t>TANZANIA</t>
  </si>
  <si>
    <t>TERRITORIO BRITANICO OCEANO INDICO</t>
  </si>
  <si>
    <t>DJIBUTI</t>
  </si>
  <si>
    <t>CHADE</t>
  </si>
  <si>
    <t>REPUBLICA TCHECA</t>
  </si>
  <si>
    <t>TIMOR LESTE</t>
  </si>
  <si>
    <t>TOGO</t>
  </si>
  <si>
    <t>TOQUELAU</t>
  </si>
  <si>
    <t>TONGA</t>
  </si>
  <si>
    <t>TRINIDAD E TOBAGO</t>
  </si>
  <si>
    <t>TUNISIA</t>
  </si>
  <si>
    <t>TURCAS E CAICOS</t>
  </si>
  <si>
    <t>TURCOMENISTAO</t>
  </si>
  <si>
    <t>TURQUIA</t>
  </si>
  <si>
    <t>TUVALU</t>
  </si>
  <si>
    <t>UCRANIA</t>
  </si>
  <si>
    <t>UGANDA</t>
  </si>
  <si>
    <t>URUGUAI</t>
  </si>
  <si>
    <t>UZBEQUISTAO</t>
  </si>
  <si>
    <t>VATICANO</t>
  </si>
  <si>
    <t>VENEZUELA</t>
  </si>
  <si>
    <t>VIETNA</t>
  </si>
  <si>
    <t>VIRGENS, ILHAS (BRITANICAS)</t>
  </si>
  <si>
    <t>VIRGENS, ILHAS (EUA)</t>
  </si>
  <si>
    <t>FIJI</t>
  </si>
  <si>
    <t>WALLIS E FUTUNA, ILHAS</t>
  </si>
  <si>
    <t>REPUBLICA DEMOCRATICA DO CONGO</t>
  </si>
  <si>
    <t>ZAMBIA</t>
  </si>
  <si>
    <t>ANO</t>
  </si>
  <si>
    <t>CO_PAIS</t>
  </si>
  <si>
    <t>PAIS</t>
  </si>
  <si>
    <t>CONT</t>
  </si>
  <si>
    <t>SH4</t>
  </si>
  <si>
    <t>N</t>
  </si>
  <si>
    <t>TOTAL</t>
  </si>
  <si>
    <t>CAN</t>
  </si>
  <si>
    <t>AMER.N</t>
  </si>
  <si>
    <t>AMER.S</t>
  </si>
  <si>
    <t>CAT</t>
  </si>
  <si>
    <t>ASIA</t>
  </si>
  <si>
    <t>COR.N</t>
  </si>
  <si>
    <t>COR</t>
  </si>
  <si>
    <t>KWA</t>
  </si>
  <si>
    <t>ALE</t>
  </si>
  <si>
    <t>EUR</t>
  </si>
  <si>
    <t>DIN</t>
  </si>
  <si>
    <t>EMI</t>
  </si>
  <si>
    <t>ESP</t>
  </si>
  <si>
    <t>EUA</t>
  </si>
  <si>
    <t>FRA</t>
  </si>
  <si>
    <t>FIN</t>
  </si>
  <si>
    <t>GUA</t>
  </si>
  <si>
    <t>AMER.C</t>
  </si>
  <si>
    <t>GUAT</t>
  </si>
  <si>
    <t>HON</t>
  </si>
  <si>
    <t>GEO</t>
  </si>
  <si>
    <t>IRL</t>
  </si>
  <si>
    <t>GRE</t>
  </si>
  <si>
    <t>ISR</t>
  </si>
  <si>
    <t>GUI</t>
  </si>
  <si>
    <t>ITA</t>
  </si>
  <si>
    <t>JAP</t>
  </si>
  <si>
    <t>LIT</t>
  </si>
  <si>
    <t>LUX</t>
  </si>
  <si>
    <t>JOR</t>
  </si>
  <si>
    <t>MART</t>
  </si>
  <si>
    <t>LIB</t>
  </si>
  <si>
    <t>AFRI</t>
  </si>
  <si>
    <t>NOR</t>
  </si>
  <si>
    <t>HOL</t>
  </si>
  <si>
    <t>ARA</t>
  </si>
  <si>
    <t>MAR</t>
  </si>
  <si>
    <t>POL</t>
  </si>
  <si>
    <t>POR</t>
  </si>
  <si>
    <t>REI</t>
  </si>
  <si>
    <t>ARG</t>
  </si>
  <si>
    <t>RUS</t>
  </si>
  <si>
    <t xml:space="preserve">SAMOA </t>
  </si>
  <si>
    <t>OCEA</t>
  </si>
  <si>
    <t>CIN</t>
  </si>
  <si>
    <t>AFR.S</t>
  </si>
  <si>
    <t>SUI</t>
  </si>
  <si>
    <t>URU</t>
  </si>
  <si>
    <t>SUE</t>
  </si>
  <si>
    <t>BEL</t>
  </si>
  <si>
    <t>UCRA</t>
  </si>
  <si>
    <t>BOL</t>
  </si>
  <si>
    <t>DATA</t>
  </si>
  <si>
    <t>FRUIT</t>
  </si>
  <si>
    <t>EXPORT</t>
  </si>
  <si>
    <t>PIB</t>
  </si>
  <si>
    <t>a.a.</t>
  </si>
  <si>
    <t>x R$</t>
  </si>
  <si>
    <t>mil</t>
  </si>
  <si>
    <t>milhão</t>
  </si>
  <si>
    <t>bilhão</t>
  </si>
  <si>
    <t>trilhão</t>
  </si>
  <si>
    <t>CO_MUN</t>
  </si>
  <si>
    <t>MUN</t>
  </si>
  <si>
    <t>SIGLA</t>
  </si>
  <si>
    <t>GINE</t>
  </si>
  <si>
    <t>REGIAO</t>
  </si>
  <si>
    <t>LONG_X</t>
  </si>
  <si>
    <t>LAT_Y</t>
  </si>
  <si>
    <t>FREQ</t>
  </si>
  <si>
    <t>IMPORT2023</t>
  </si>
  <si>
    <t>IMPORT_ton</t>
  </si>
  <si>
    <t>AREA</t>
  </si>
  <si>
    <t>POP</t>
  </si>
  <si>
    <t>DENS</t>
  </si>
  <si>
    <t>ESCOL</t>
  </si>
  <si>
    <t xml:space="preserve">IDHM </t>
  </si>
  <si>
    <t>MORT</t>
  </si>
  <si>
    <t>REC</t>
  </si>
  <si>
    <t>DESP</t>
  </si>
  <si>
    <t>PIB_PC</t>
  </si>
  <si>
    <t>PIB_10^9</t>
  </si>
  <si>
    <t>1100205</t>
  </si>
  <si>
    <t>PORTO VELHO</t>
  </si>
  <si>
    <t>RO</t>
  </si>
  <si>
    <t>1100304</t>
  </si>
  <si>
    <t>VILHENA</t>
  </si>
  <si>
    <t>1200401</t>
  </si>
  <si>
    <t>RIO BRANCO</t>
  </si>
  <si>
    <t>AC</t>
  </si>
  <si>
    <t>1302603</t>
  </si>
  <si>
    <t>MANAUS</t>
  </si>
  <si>
    <t>AM</t>
  </si>
  <si>
    <t>1501501</t>
  </si>
  <si>
    <t>BENEVIDES</t>
  </si>
  <si>
    <t>PA</t>
  </si>
  <si>
    <t>2103752</t>
  </si>
  <si>
    <t>DAVINÓPOLIS</t>
  </si>
  <si>
    <t>MA</t>
  </si>
  <si>
    <t>NE</t>
  </si>
  <si>
    <t>2111300</t>
  </si>
  <si>
    <t>SÃO LUÍS</t>
  </si>
  <si>
    <t>2208007</t>
  </si>
  <si>
    <t>PICOS</t>
  </si>
  <si>
    <t>PI</t>
  </si>
  <si>
    <t>2211001</t>
  </si>
  <si>
    <t>TERESINA</t>
  </si>
  <si>
    <t>2301000</t>
  </si>
  <si>
    <t>AQUIRAZ</t>
  </si>
  <si>
    <t>CE</t>
  </si>
  <si>
    <t>2301109</t>
  </si>
  <si>
    <t>ARACATI</t>
  </si>
  <si>
    <t>2303709</t>
  </si>
  <si>
    <t>CAUCAIA</t>
  </si>
  <si>
    <t>2304400</t>
  </si>
  <si>
    <t>FORTALEZA</t>
  </si>
  <si>
    <t>2305001</t>
  </si>
  <si>
    <t>GUARACIABA DO NORTE</t>
  </si>
  <si>
    <t>2305233</t>
  </si>
  <si>
    <t>HORIZONTE</t>
  </si>
  <si>
    <t>2306405</t>
  </si>
  <si>
    <t>ITAPIPOCA</t>
  </si>
  <si>
    <t>2307304</t>
  </si>
  <si>
    <t>JUAZEIRO DO NORTE</t>
  </si>
  <si>
    <t>2307650</t>
  </si>
  <si>
    <t>MARACANAÚ</t>
  </si>
  <si>
    <t>2310803</t>
  </si>
  <si>
    <t>PEREIRO</t>
  </si>
  <si>
    <t>2312403</t>
  </si>
  <si>
    <t>SÃO GONÇALO DO AMARANTE</t>
  </si>
  <si>
    <t>2402600</t>
  </si>
  <si>
    <t>CEARÁ-MIRIM</t>
  </si>
  <si>
    <t>RN</t>
  </si>
  <si>
    <t>2403251</t>
  </si>
  <si>
    <t>PARNAMIRIM</t>
  </si>
  <si>
    <t>2408003</t>
  </si>
  <si>
    <t>MOSSORÓ</t>
  </si>
  <si>
    <t>2408102</t>
  </si>
  <si>
    <t>NATAL</t>
  </si>
  <si>
    <t>2503209</t>
  </si>
  <si>
    <t>CABEDELO</t>
  </si>
  <si>
    <t>PB</t>
  </si>
  <si>
    <t>2504009</t>
  </si>
  <si>
    <t>CAMPINA GRANDE</t>
  </si>
  <si>
    <t>2507507</t>
  </si>
  <si>
    <t>JOÃO PESSOA</t>
  </si>
  <si>
    <t>QUEIMADAS</t>
  </si>
  <si>
    <t>2602902</t>
  </si>
  <si>
    <t>CABO DE SANTO AGOSTINHO</t>
  </si>
  <si>
    <t>PE</t>
  </si>
  <si>
    <t>2603603</t>
  </si>
  <si>
    <t>CAMUTANGA</t>
  </si>
  <si>
    <t>2604007</t>
  </si>
  <si>
    <t>CARPINA</t>
  </si>
  <si>
    <t>2604106</t>
  </si>
  <si>
    <t>CARUARU</t>
  </si>
  <si>
    <t>2607901</t>
  </si>
  <si>
    <t>JABOATÃO DOS GUARARAPES</t>
  </si>
  <si>
    <t>2609501</t>
  </si>
  <si>
    <t>NAZARÉ DA MATA</t>
  </si>
  <si>
    <t>2609600</t>
  </si>
  <si>
    <t>OLINDA</t>
  </si>
  <si>
    <t>2610004</t>
  </si>
  <si>
    <t>PALMARES</t>
  </si>
  <si>
    <t>2611101</t>
  </si>
  <si>
    <t>PETROLINA</t>
  </si>
  <si>
    <t>2611606</t>
  </si>
  <si>
    <t>RECIFE</t>
  </si>
  <si>
    <t>2612505</t>
  </si>
  <si>
    <t>SANTA CRUZ DO CAPIBARIBE</t>
  </si>
  <si>
    <t>2616407</t>
  </si>
  <si>
    <t>VITÓRIA DE SANTO ANTÃO</t>
  </si>
  <si>
    <t>2700300</t>
  </si>
  <si>
    <t>ARAPIRACA</t>
  </si>
  <si>
    <t>AL</t>
  </si>
  <si>
    <t>2704302</t>
  </si>
  <si>
    <t>MACEIÓ</t>
  </si>
  <si>
    <t>2707503</t>
  </si>
  <si>
    <t>PORTO REAL DO COLÉGIO</t>
  </si>
  <si>
    <t>2707701</t>
  </si>
  <si>
    <t>RIO LARGO</t>
  </si>
  <si>
    <t>2804805</t>
  </si>
  <si>
    <t>NOSSA SENHORA DO SOCORRO</t>
  </si>
  <si>
    <t>SE</t>
  </si>
  <si>
    <t>2905701</t>
  </si>
  <si>
    <t>CAMAÇARI</t>
  </si>
  <si>
    <t>BA</t>
  </si>
  <si>
    <t>2910800</t>
  </si>
  <si>
    <t>FEIRA DE SANTANA</t>
  </si>
  <si>
    <t>2919207</t>
  </si>
  <si>
    <t>LAURO DE FREITAS</t>
  </si>
  <si>
    <t>2927408</t>
  </si>
  <si>
    <t>SALVADOR</t>
  </si>
  <si>
    <t>2930709</t>
  </si>
  <si>
    <t>SIMÕES FILHO</t>
  </si>
  <si>
    <t>3104007</t>
  </si>
  <si>
    <t>ARAXÁ</t>
  </si>
  <si>
    <t>MG</t>
  </si>
  <si>
    <t>3106200</t>
  </si>
  <si>
    <t>BELO HORIZONTE</t>
  </si>
  <si>
    <t>3106705</t>
  </si>
  <si>
    <t>BETIM</t>
  </si>
  <si>
    <t>3113404</t>
  </si>
  <si>
    <t>CARATINGA</t>
  </si>
  <si>
    <t>3116605</t>
  </si>
  <si>
    <t>CLÁUDIO</t>
  </si>
  <si>
    <t>3118304</t>
  </si>
  <si>
    <t>CONSELHEIRO LAFAIETE</t>
  </si>
  <si>
    <t>3118601</t>
  </si>
  <si>
    <t>CONTAGEM</t>
  </si>
  <si>
    <t>3119401</t>
  </si>
  <si>
    <t>CORONEL FABRICIANO</t>
  </si>
  <si>
    <t>3133600</t>
  </si>
  <si>
    <t>ITAPEVA</t>
  </si>
  <si>
    <t>3136702</t>
  </si>
  <si>
    <t>JUIZ DE FORA</t>
  </si>
  <si>
    <t>3140803</t>
  </si>
  <si>
    <t>MATIAS BARBOSA</t>
  </si>
  <si>
    <t>3144805</t>
  </si>
  <si>
    <t>NOVA LIMA</t>
  </si>
  <si>
    <t>3148103</t>
  </si>
  <si>
    <t>PATROCÍNIO</t>
  </si>
  <si>
    <t>3149804</t>
  </si>
  <si>
    <t>PERDIZES</t>
  </si>
  <si>
    <t>3152501</t>
  </si>
  <si>
    <t>POUSO ALEGRE</t>
  </si>
  <si>
    <t>3154606</t>
  </si>
  <si>
    <t>RIBEIRÃO DAS NEVES</t>
  </si>
  <si>
    <t>3156700</t>
  </si>
  <si>
    <t>SABARÁ</t>
  </si>
  <si>
    <t>3166808</t>
  </si>
  <si>
    <t>SERRA DO SALITRE</t>
  </si>
  <si>
    <t>3167400</t>
  </si>
  <si>
    <t>SILVIANÓPOLIS</t>
  </si>
  <si>
    <t>3169307</t>
  </si>
  <si>
    <t>TRÊS CORAÇÕES</t>
  </si>
  <si>
    <t>3170206</t>
  </si>
  <si>
    <t>UBERLÂNDIA</t>
  </si>
  <si>
    <t>3201308</t>
  </si>
  <si>
    <t>CARIACICA</t>
  </si>
  <si>
    <t>ES</t>
  </si>
  <si>
    <t>3203205</t>
  </si>
  <si>
    <t>LINHARES</t>
  </si>
  <si>
    <t>3205309</t>
  </si>
  <si>
    <t>VITÓRIA</t>
  </si>
  <si>
    <t>3300456</t>
  </si>
  <si>
    <t>BELFORD ROXO</t>
  </si>
  <si>
    <t>RJ</t>
  </si>
  <si>
    <t>3301009</t>
  </si>
  <si>
    <t>CAMPOS DOS GOYTACAZES</t>
  </si>
  <si>
    <t>3301702</t>
  </si>
  <si>
    <t>DUQUE DE CAXIAS</t>
  </si>
  <si>
    <t>3302205</t>
  </si>
  <si>
    <t>ITAPERUNA</t>
  </si>
  <si>
    <t>3303955</t>
  </si>
  <si>
    <t>PINHEIRAL</t>
  </si>
  <si>
    <t>3304144</t>
  </si>
  <si>
    <t>QUEIMADOS</t>
  </si>
  <si>
    <t>3304201</t>
  </si>
  <si>
    <t>RESENDE</t>
  </si>
  <si>
    <t>3304557</t>
  </si>
  <si>
    <t>RIO DE JANEIRO</t>
  </si>
  <si>
    <t>3304706</t>
  </si>
  <si>
    <t>SANTO ANTÔNIO DE PÁDUA</t>
  </si>
  <si>
    <t>3304904</t>
  </si>
  <si>
    <t>SÃO GONÇALO</t>
  </si>
  <si>
    <t>3306008</t>
  </si>
  <si>
    <t>TRÊS RIOS</t>
  </si>
  <si>
    <t>3306305</t>
  </si>
  <si>
    <t>VOLTA REDONDA</t>
  </si>
  <si>
    <t>4102307</t>
  </si>
  <si>
    <t>BALSA NOVA</t>
  </si>
  <si>
    <t>PR</t>
  </si>
  <si>
    <t>S</t>
  </si>
  <si>
    <t>4102604</t>
  </si>
  <si>
    <t>BARRACÃO</t>
  </si>
  <si>
    <t>4103453</t>
  </si>
  <si>
    <t>CAFELÂNDIA</t>
  </si>
  <si>
    <t>4103701</t>
  </si>
  <si>
    <t>CAMBÉ</t>
  </si>
  <si>
    <t>4104808</t>
  </si>
  <si>
    <t>CASCAVEL</t>
  </si>
  <si>
    <t>4105805</t>
  </si>
  <si>
    <t>COLOMBO</t>
  </si>
  <si>
    <t>4106902</t>
  </si>
  <si>
    <t>CURITIBA</t>
  </si>
  <si>
    <t>4107652</t>
  </si>
  <si>
    <t>FAZENDA RIO GRANDE</t>
  </si>
  <si>
    <t>4108304</t>
  </si>
  <si>
    <t>FOZ DO IGUAÇU</t>
  </si>
  <si>
    <t>4108403</t>
  </si>
  <si>
    <t>FRANCISCO BELTRÃO</t>
  </si>
  <si>
    <t>4109401</t>
  </si>
  <si>
    <t>GUARAPUAVA</t>
  </si>
  <si>
    <t>4115200</t>
  </si>
  <si>
    <t>MARINGÁ</t>
  </si>
  <si>
    <t>4115804</t>
  </si>
  <si>
    <t>MEDIANEIRA</t>
  </si>
  <si>
    <t>4116703</t>
  </si>
  <si>
    <t>NOVA AURORA</t>
  </si>
  <si>
    <t>4118501</t>
  </si>
  <si>
    <t>PATO BRANCO</t>
  </si>
  <si>
    <t>4119152</t>
  </si>
  <si>
    <t>PINHAIS</t>
  </si>
  <si>
    <t>4119806</t>
  </si>
  <si>
    <t>PLANALTO</t>
  </si>
  <si>
    <t>4120606</t>
  </si>
  <si>
    <t>PRUDENTÓPOLIS</t>
  </si>
  <si>
    <t>4120705</t>
  </si>
  <si>
    <t>QUATIGUÁ</t>
  </si>
  <si>
    <t>4124004</t>
  </si>
  <si>
    <t>SANTANA DO ITARARÉ</t>
  </si>
  <si>
    <t>4125506</t>
  </si>
  <si>
    <t>SÃO JOSÉ DOS PINHAIS</t>
  </si>
  <si>
    <t>4201307</t>
  </si>
  <si>
    <t>ARAQUARI</t>
  </si>
  <si>
    <t>SC</t>
  </si>
  <si>
    <t>4201802</t>
  </si>
  <si>
    <t>ATALANTA</t>
  </si>
  <si>
    <t>4201901</t>
  </si>
  <si>
    <t>AURORA</t>
  </si>
  <si>
    <t>4202008</t>
  </si>
  <si>
    <t>BALNEÁRIO CAMBORIÚ</t>
  </si>
  <si>
    <t>4202305</t>
  </si>
  <si>
    <t>BIGUAÇU</t>
  </si>
  <si>
    <t>4202800</t>
  </si>
  <si>
    <t>BRAÇO DO NORTE</t>
  </si>
  <si>
    <t>4203204</t>
  </si>
  <si>
    <t>CAMBORIÚ</t>
  </si>
  <si>
    <t>4204202</t>
  </si>
  <si>
    <t>CHAPECÓ</t>
  </si>
  <si>
    <t>4204301</t>
  </si>
  <si>
    <t>CONCÓRDIA</t>
  </si>
  <si>
    <t>4204608</t>
  </si>
  <si>
    <t>CRICIÚMA</t>
  </si>
  <si>
    <t>4205001</t>
  </si>
  <si>
    <t>DIONÍSIO CERQUEIRA</t>
  </si>
  <si>
    <t>4205407</t>
  </si>
  <si>
    <t>FLORIANÓPOLIS</t>
  </si>
  <si>
    <t>4205506</t>
  </si>
  <si>
    <t>FRAIBURGO</t>
  </si>
  <si>
    <t>4205902</t>
  </si>
  <si>
    <t>GASPAR</t>
  </si>
  <si>
    <t>4207106</t>
  </si>
  <si>
    <t>ILHOTA</t>
  </si>
  <si>
    <t>4208005</t>
  </si>
  <si>
    <t>ITÁ</t>
  </si>
  <si>
    <t>4208203</t>
  </si>
  <si>
    <t>ITAJAÍ</t>
  </si>
  <si>
    <t>4208302</t>
  </si>
  <si>
    <t>ITAPEMA</t>
  </si>
  <si>
    <t>4208500</t>
  </si>
  <si>
    <t>ITUPORANGA</t>
  </si>
  <si>
    <t>4208906</t>
  </si>
  <si>
    <t>JARAGUÁ DO SUL</t>
  </si>
  <si>
    <t>4209102</t>
  </si>
  <si>
    <t>JOINVILLE</t>
  </si>
  <si>
    <t>4209300</t>
  </si>
  <si>
    <t>LAGES</t>
  </si>
  <si>
    <t>4210100</t>
  </si>
  <si>
    <t>MAFRA</t>
  </si>
  <si>
    <t>4211306</t>
  </si>
  <si>
    <t>NAVEGANTES</t>
  </si>
  <si>
    <t>4211900</t>
  </si>
  <si>
    <t>PALHOÇA</t>
  </si>
  <si>
    <t>4212502</t>
  </si>
  <si>
    <t>PENHA</t>
  </si>
  <si>
    <t>4216206</t>
  </si>
  <si>
    <t>SÃO FRANCISCO DO SUL</t>
  </si>
  <si>
    <t>4216602</t>
  </si>
  <si>
    <t>SÃO JOSÉ</t>
  </si>
  <si>
    <t>4217501</t>
  </si>
  <si>
    <t>SEARA</t>
  </si>
  <si>
    <t>4218004</t>
  </si>
  <si>
    <t>TIJUCAS</t>
  </si>
  <si>
    <t>4218301</t>
  </si>
  <si>
    <t>TRÊS BARRAS</t>
  </si>
  <si>
    <t>4218905</t>
  </si>
  <si>
    <t>URUBICI</t>
  </si>
  <si>
    <t>4219200</t>
  </si>
  <si>
    <t>VIDAL RAMOS</t>
  </si>
  <si>
    <t>4219705</t>
  </si>
  <si>
    <t>XAXIM</t>
  </si>
  <si>
    <t>4300604</t>
  </si>
  <si>
    <t>ALVORADA</t>
  </si>
  <si>
    <t>RS</t>
  </si>
  <si>
    <t>4302303</t>
  </si>
  <si>
    <t>BOM JESUS</t>
  </si>
  <si>
    <t>4303103</t>
  </si>
  <si>
    <t>CACHOEIRINHA</t>
  </si>
  <si>
    <t>4304606</t>
  </si>
  <si>
    <t>CANOAS</t>
  </si>
  <si>
    <t>4304804</t>
  </si>
  <si>
    <t>CARLOS BARBOSA</t>
  </si>
  <si>
    <t>4305108</t>
  </si>
  <si>
    <t>CAXIAS DO SUL</t>
  </si>
  <si>
    <t>4306767</t>
  </si>
  <si>
    <t>ELDORADO DO SUL</t>
  </si>
  <si>
    <t>4307609</t>
  </si>
  <si>
    <t>ESTÂNCIA VELHA</t>
  </si>
  <si>
    <t>4307708</t>
  </si>
  <si>
    <t>ESTEIO</t>
  </si>
  <si>
    <t>4307906</t>
  </si>
  <si>
    <t>FARROUPILHA</t>
  </si>
  <si>
    <t>4309654</t>
  </si>
  <si>
    <t>HULHA NEGRA</t>
  </si>
  <si>
    <t>4311403</t>
  </si>
  <si>
    <t>LAJEADO</t>
  </si>
  <si>
    <t>4313409</t>
  </si>
  <si>
    <t>NOVO HAMBURGO</t>
  </si>
  <si>
    <t>4314100</t>
  </si>
  <si>
    <t>PASSO FUNDO</t>
  </si>
  <si>
    <t>4314902</t>
  </si>
  <si>
    <t>PORTO ALEGRE</t>
  </si>
  <si>
    <t>4315107</t>
  </si>
  <si>
    <t>PORTO XAVIER</t>
  </si>
  <si>
    <t>4316808</t>
  </si>
  <si>
    <t>SANTA CRUZ DO SUL</t>
  </si>
  <si>
    <t>4318002</t>
  </si>
  <si>
    <t>SÃO BORJA</t>
  </si>
  <si>
    <t>4318309</t>
  </si>
  <si>
    <t>SÃO GABRIEL</t>
  </si>
  <si>
    <t>4320404</t>
  </si>
  <si>
    <t>SERAFINA CORRÊA</t>
  </si>
  <si>
    <t>5107958</t>
  </si>
  <si>
    <t>TANGARÁ DA SERRA</t>
  </si>
  <si>
    <t>MT</t>
  </si>
  <si>
    <t>CO</t>
  </si>
  <si>
    <t>5108402</t>
  </si>
  <si>
    <t>VÁRZEA GRANDE</t>
  </si>
  <si>
    <t>SUAPE</t>
  </si>
  <si>
    <t>PIB.PC</t>
  </si>
  <si>
    <t>IMPORT DE FRIOS E CONG.</t>
  </si>
  <si>
    <t>Fonte: IMF Country Information</t>
  </si>
  <si>
    <t>PROJEÇÃO E TAXA DE CRESCIMENTO ESPERADA</t>
  </si>
  <si>
    <t>REGRESSÃO DADOS EM PAINEL</t>
  </si>
  <si>
    <t>PIB Conj.</t>
  </si>
  <si>
    <t>Ano 0</t>
  </si>
  <si>
    <t>Ano 1</t>
  </si>
  <si>
    <t>Ano 2</t>
  </si>
  <si>
    <t>Ano 3</t>
  </si>
  <si>
    <t>Ano 4</t>
  </si>
  <si>
    <t>Ano 5</t>
  </si>
  <si>
    <t>Ano 6</t>
  </si>
  <si>
    <t>Ano 7</t>
  </si>
  <si>
    <t>Ano 8</t>
  </si>
  <si>
    <t>Ano 9</t>
  </si>
  <si>
    <t>Ano 10</t>
  </si>
  <si>
    <t>Ano 11</t>
  </si>
  <si>
    <t>Ano 12</t>
  </si>
  <si>
    <t>Ano 13</t>
  </si>
  <si>
    <t>Ano 14</t>
  </si>
  <si>
    <t>Ano 15</t>
  </si>
  <si>
    <t>Ano 16</t>
  </si>
  <si>
    <t>Ano 17</t>
  </si>
  <si>
    <t>Ano 18</t>
  </si>
  <si>
    <t>Ano 19</t>
  </si>
  <si>
    <t>Ano 20</t>
  </si>
  <si>
    <t>Ano 21</t>
  </si>
  <si>
    <t>Ano 22</t>
  </si>
  <si>
    <t>Ano 23</t>
  </si>
  <si>
    <t>Ano 24</t>
  </si>
  <si>
    <t>Ano 25</t>
  </si>
  <si>
    <t>Ano 26</t>
  </si>
  <si>
    <t>Ano 27</t>
  </si>
  <si>
    <t>Ano 28</t>
  </si>
  <si>
    <t>Ano 29</t>
  </si>
  <si>
    <t>Ano 30</t>
  </si>
  <si>
    <t>Ano 31</t>
  </si>
  <si>
    <t>Ano 32</t>
  </si>
  <si>
    <t>Ano 33</t>
  </si>
  <si>
    <t>Ano 34</t>
  </si>
  <si>
    <t>Ano 35</t>
  </si>
  <si>
    <t>PRODUTOS EXPORTADOS  COM ORIGEM NO MUNICÍPIODE PETROLINA</t>
  </si>
  <si>
    <t>CÁLCULOS REALIZADOS EM LINGUGEM R (Anexo ao EVTEA)</t>
  </si>
  <si>
    <t>SH4: 2009</t>
  </si>
  <si>
    <t>Fonte: https://cidades.ibge.gov.br/brasil/pe/pesquisa/10060/60147?tipo=grafico</t>
  </si>
  <si>
    <t>Ano</t>
  </si>
  <si>
    <t>PIB (x R$ 10^6)</t>
  </si>
  <si>
    <t>PIB Corr. PE</t>
  </si>
  <si>
    <t>Média Geométrica</t>
  </si>
  <si>
    <t>IMPORT DE FRIOS E CONG.(t)</t>
  </si>
  <si>
    <t>PIB Países (x 10^ 6)</t>
  </si>
  <si>
    <t>TOTAL (t)</t>
  </si>
  <si>
    <t> Sistema Harmonizado de Designação e de Codificação de Mercadorias - SH4</t>
  </si>
  <si>
    <t>Produtos Frios e Congelados - SH4</t>
  </si>
  <si>
    <t>País por Código - Siscomex</t>
  </si>
  <si>
    <t>Exportações de Petrolina - PE</t>
  </si>
  <si>
    <t>Frutas e Outros Produtos</t>
  </si>
  <si>
    <t>Exportações de Petrolina - PE (Organização em Dados de Painel)</t>
  </si>
  <si>
    <t>Evolução do PIB dos Países Compradores das Frutas do Vale do São Francisco</t>
  </si>
  <si>
    <t>WINDROSE</t>
  </si>
  <si>
    <t>CG</t>
  </si>
  <si>
    <t>MÉDIA</t>
  </si>
  <si>
    <t>PIB preços</t>
  </si>
  <si>
    <t>Evol %</t>
  </si>
  <si>
    <t>CRESC % Media Geo</t>
  </si>
  <si>
    <t>IPCA Evol %</t>
  </si>
  <si>
    <t>IPCA % Media Geo</t>
  </si>
  <si>
    <t>IPCA Mgeo</t>
  </si>
  <si>
    <t>MÉDIA GEOMÉTRICA 5 ANOS*</t>
  </si>
  <si>
    <t>CRESC % Média Geo</t>
  </si>
  <si>
    <t>PERNAMBUCO (IBGE_IPEA DATA)</t>
  </si>
  <si>
    <t>WINDROSE (CARGA GERAL em toneladas)</t>
  </si>
  <si>
    <t>SUAPE (t)</t>
  </si>
  <si>
    <t>RECIFE (t)</t>
  </si>
  <si>
    <t>WINDR (t)</t>
  </si>
  <si>
    <t>PART %</t>
  </si>
  <si>
    <t>FAT.WIND (R$)</t>
  </si>
  <si>
    <t>TAR (R$/t)</t>
  </si>
  <si>
    <t>C.PORTUÁRIO(t)</t>
  </si>
  <si>
    <t>i1</t>
  </si>
  <si>
    <t>i2</t>
  </si>
  <si>
    <t>i3</t>
  </si>
  <si>
    <t>i4</t>
  </si>
  <si>
    <t>i5</t>
  </si>
  <si>
    <t>i6</t>
  </si>
  <si>
    <t>i7</t>
  </si>
  <si>
    <t>2015</t>
  </si>
  <si>
    <t>2016</t>
  </si>
  <si>
    <t>2017</t>
  </si>
  <si>
    <t>2018</t>
  </si>
  <si>
    <t>2019</t>
  </si>
  <si>
    <t>2020</t>
  </si>
  <si>
    <t>2021</t>
  </si>
  <si>
    <t>WIND_CG(t)</t>
  </si>
  <si>
    <t>TEUs</t>
  </si>
  <si>
    <t>Fator de Uso</t>
  </si>
  <si>
    <t>Carga Máx.(t)</t>
  </si>
  <si>
    <t>Carga Usual (t)</t>
  </si>
  <si>
    <t>Quantidade</t>
  </si>
  <si>
    <t>Dados Gerais</t>
  </si>
  <si>
    <t>Categoria</t>
  </si>
  <si>
    <t>Tráfego</t>
  </si>
  <si>
    <t>Armazenagem (dias)</t>
  </si>
  <si>
    <t>Conteiner</t>
  </si>
  <si>
    <t>Importação</t>
  </si>
  <si>
    <t>Longo Curso</t>
  </si>
  <si>
    <t>Tipo de Carga</t>
  </si>
  <si>
    <t>Dados Adic.</t>
  </si>
  <si>
    <t>Serviços</t>
  </si>
  <si>
    <t xml:space="preserve">Armazenagem </t>
  </si>
  <si>
    <t xml:space="preserve">Tamanho </t>
  </si>
  <si>
    <t>20'</t>
  </si>
  <si>
    <t>IMO</t>
  </si>
  <si>
    <t>Inspeção</t>
  </si>
  <si>
    <t>De: 24/08/2024</t>
  </si>
  <si>
    <t>Até: 02/09/2024</t>
  </si>
  <si>
    <t>Reefer</t>
  </si>
  <si>
    <t>Sim</t>
  </si>
  <si>
    <t>Desova</t>
  </si>
  <si>
    <t>Não</t>
  </si>
  <si>
    <t>Frete</t>
  </si>
  <si>
    <t>OOG</t>
  </si>
  <si>
    <t>Pesagem</t>
  </si>
  <si>
    <t>cheio</t>
  </si>
  <si>
    <t>Doc.</t>
  </si>
  <si>
    <t>DI</t>
  </si>
  <si>
    <t>10 dias</t>
  </si>
  <si>
    <t>Grupo 1: Serviços Inerentes</t>
  </si>
  <si>
    <t>ISPS - Code</t>
  </si>
  <si>
    <t>Presença de Carga</t>
  </si>
  <si>
    <t>Escaneamento de Contêineres</t>
  </si>
  <si>
    <t>Fornec. Energia Conteiner Reef</t>
  </si>
  <si>
    <t>Reposicionamento</t>
  </si>
  <si>
    <t>Qdt</t>
  </si>
  <si>
    <t>Métrica</t>
  </si>
  <si>
    <t>p/Cont</t>
  </si>
  <si>
    <t>p/BL</t>
  </si>
  <si>
    <t>p/dia</t>
  </si>
  <si>
    <t>Valor (R$)</t>
  </si>
  <si>
    <t>Total (R$)</t>
  </si>
  <si>
    <t>Grupo 2: Serviços Inerentes</t>
  </si>
  <si>
    <t>Armazenagem contêineres importação LC ou Cabotagem desembarque-por dia ou fração, após dias livres, até o 3º dia</t>
  </si>
  <si>
    <t>por dia</t>
  </si>
  <si>
    <t>Armazenagem contêineres importação LC ou Cabotagem desembarque-por dia ou fração, a partir do 4º dia</t>
  </si>
  <si>
    <t>MÉDIA (R$/Contêiner)</t>
  </si>
  <si>
    <t>PROD.FRIOS E CONGELADOS</t>
  </si>
  <si>
    <t>MOV (t)</t>
  </si>
  <si>
    <t>FTB (R$)</t>
  </si>
  <si>
    <t>TEU (und.)</t>
  </si>
  <si>
    <t>FRUTAS DO VALE DO SÃO FRANCISCO</t>
  </si>
  <si>
    <t>CARGA GERAL</t>
  </si>
  <si>
    <t>FAT.TOTAL(R$)</t>
  </si>
  <si>
    <t>Reforma de Escritorios</t>
  </si>
  <si>
    <t>Reforma de Galpoes</t>
  </si>
  <si>
    <t>Construcao de Cerca</t>
  </si>
  <si>
    <t>Construçao de 5.300m2 de Amazem</t>
  </si>
  <si>
    <t>Construçao de Camara Frigorifica 3.000m2</t>
  </si>
  <si>
    <t>Estrultura Porta Palet. 4.300 posiçoes</t>
  </si>
  <si>
    <t>Construçao de 42.000m2 de piso Patio</t>
  </si>
  <si>
    <t>Aluguel de Maquinas ( Terraplanagem )</t>
  </si>
  <si>
    <t>Sub Estaçao</t>
  </si>
  <si>
    <t>Tomadas Reefer 80unidades</t>
  </si>
  <si>
    <t>Scanner</t>
  </si>
  <si>
    <t>Reach Stack 02 unidades</t>
  </si>
  <si>
    <t>Maquinas eletricas 04 + Paleteira</t>
  </si>
  <si>
    <t>Maquinas de 2,5tons. 06 triplex</t>
  </si>
  <si>
    <t>Maquina de 7tons. 01</t>
  </si>
  <si>
    <t>Compra de Moveis</t>
  </si>
  <si>
    <t>Arcondicionados</t>
  </si>
  <si>
    <t>computadores</t>
  </si>
  <si>
    <t>ÁGUA E ESGOTO</t>
  </si>
  <si>
    <t>Conjunto de Cavalo Mecanico + Carreta= 01</t>
  </si>
  <si>
    <t>OPER</t>
  </si>
  <si>
    <t>Min</t>
  </si>
  <si>
    <t>Máx</t>
  </si>
  <si>
    <t xml:space="preserve">=SE(ALEATÓRIO() &lt; ((c - a) / (b - a)); </t>
  </si>
  <si>
    <t xml:space="preserve"> a + RAIZ(ALEATÓRIO() * (b - a) * (c - a)); </t>
  </si>
  <si>
    <t xml:space="preserve"> b - RAIZ((1 - ALEATÓRIO()) * (b - a) * (b - c)))</t>
  </si>
  <si>
    <t>RUBRICA</t>
  </si>
  <si>
    <t>MIN</t>
  </si>
  <si>
    <t>MÁX</t>
  </si>
  <si>
    <t>V.UNIF</t>
  </si>
  <si>
    <t>V.TRIAN</t>
  </si>
  <si>
    <t>TELEFONIA</t>
  </si>
  <si>
    <t>CONSULTORIAS</t>
  </si>
  <si>
    <t>TI</t>
  </si>
  <si>
    <t>SEG. RESP. CIVIL</t>
  </si>
  <si>
    <t>VIAGENS CORP.</t>
  </si>
  <si>
    <t>MATERIAL ESCRIT.</t>
  </si>
  <si>
    <t>DESP. BANCÁRIAS</t>
  </si>
  <si>
    <t>SEGURANÇA</t>
  </si>
  <si>
    <t>ENERGIA INST. ADM.</t>
  </si>
  <si>
    <t xml:space="preserve">RELATÓRIO DE CUSTO POR FUNÇÃO </t>
  </si>
  <si>
    <t>Qtd</t>
  </si>
  <si>
    <t>Reg</t>
  </si>
  <si>
    <t>Nome</t>
  </si>
  <si>
    <t>FUNÇÃO</t>
  </si>
  <si>
    <t>Salário</t>
  </si>
  <si>
    <t>REMUNERAÇÃO</t>
  </si>
  <si>
    <t>ALIMENTAÇÃO</t>
  </si>
  <si>
    <t>TRANSPORTE</t>
  </si>
  <si>
    <t>PLANO</t>
  </si>
  <si>
    <t xml:space="preserve">FÉRIAS </t>
  </si>
  <si>
    <t xml:space="preserve">13° </t>
  </si>
  <si>
    <t>INSS (25,8%)</t>
  </si>
  <si>
    <t>FGTS - 8%</t>
  </si>
  <si>
    <t>RAT - 3 %</t>
  </si>
  <si>
    <t xml:space="preserve">Total </t>
  </si>
  <si>
    <t>QUANT/FUNÇÃO</t>
  </si>
  <si>
    <t>TOTAL  GERAL</t>
  </si>
  <si>
    <t>ALEX JUNIOR DE LIRA SANTANA</t>
  </si>
  <si>
    <t>AJUD OFICINA DE REPA</t>
  </si>
  <si>
    <t>AJUD DE OPERAÇOES ll</t>
  </si>
  <si>
    <t>ALEXANDRA MAYARA SANTANA LEITE</t>
  </si>
  <si>
    <t>AJUDANTE GERAL II</t>
  </si>
  <si>
    <t>AMARO ALBERTINO DE FREITAS</t>
  </si>
  <si>
    <t>AJUDANTE OPERACOES</t>
  </si>
  <si>
    <t xml:space="preserve">ANANIAS BARBOSA DE SOUZA </t>
  </si>
  <si>
    <t>ANIELLY NIVEA SANTANA CONRADO</t>
  </si>
  <si>
    <t xml:space="preserve">ATHOS GABRIEL DE SIQUEIRA SANTOS </t>
  </si>
  <si>
    <t>ANALISTA COMERCIAL SENIOR</t>
  </si>
  <si>
    <t>CICERO ANTONIO SILVESTRE</t>
  </si>
  <si>
    <t>ANALISTA DE ENDOMARKETING JR</t>
  </si>
  <si>
    <t xml:space="preserve">CINTIA MARIA DE BARROS </t>
  </si>
  <si>
    <t>ANALISTA QUALIDADE ADM</t>
  </si>
  <si>
    <t>CLEITON JOSE DE HOLANDA</t>
  </si>
  <si>
    <t>ASSIST. DE  COMPRAS</t>
  </si>
  <si>
    <t xml:space="preserve">DEVERTON EMANOEL GOMES DA SILVA </t>
  </si>
  <si>
    <t>ASSISTENTE COMERCIAL</t>
  </si>
  <si>
    <t xml:space="preserve">DINERCIO VICENTE DA SILVA </t>
  </si>
  <si>
    <t>ASSISTENTE DE ALMOXARIFADO</t>
  </si>
  <si>
    <t>EDIVALDO JOSE DE LIMA</t>
  </si>
  <si>
    <t>ASSISTENTE DE LOGISTICA</t>
  </si>
  <si>
    <t>ELISANGELA DA SILVA DE OLIVEIRA</t>
  </si>
  <si>
    <t>ASSISTENTE DE RH</t>
  </si>
  <si>
    <t>ELIVAN ANTONIO DA SILVA</t>
  </si>
  <si>
    <t>ASSISTENTE FATURAMENTO</t>
  </si>
  <si>
    <t xml:space="preserve">ERICA CRISTINA DA SILVA DE SALES </t>
  </si>
  <si>
    <t>ASSISTENTE FINANCEIRO</t>
  </si>
  <si>
    <t>ESTHELA CANDIDO CAMPOS DA LUZ</t>
  </si>
  <si>
    <t>ASSISTENTE FISCAL</t>
  </si>
  <si>
    <t>FABIO ANTONIO DA SILVA</t>
  </si>
  <si>
    <t>AUX DE SERV.GERAIS</t>
  </si>
  <si>
    <t>FELIPE GABRIEL DOS SANTOS VIANA</t>
  </si>
  <si>
    <t>AUX MECANICO</t>
  </si>
  <si>
    <t xml:space="preserve">GABRIELE SANTOS DA SILVA </t>
  </si>
  <si>
    <t>AUXILIAR DE RH</t>
  </si>
  <si>
    <t>GENIVAL JOSE DE ANDRADE</t>
  </si>
  <si>
    <t>CONF/VISTORIADOR</t>
  </si>
  <si>
    <t>GILBERTO BORGES DA FONSECA</t>
  </si>
  <si>
    <t>CONFERENTE</t>
  </si>
  <si>
    <t>JESSICA SABRINA DA SILVA SANTOS</t>
  </si>
  <si>
    <t>CONFERENTE III</t>
  </si>
  <si>
    <t>JOSE WILLIAMS DA SILVA</t>
  </si>
  <si>
    <t>COORDENADOR DE OPERACOES JR</t>
  </si>
  <si>
    <t>JUNIOR BORGES DA SILVA</t>
  </si>
  <si>
    <t>ENC OFICINA DE REPAR</t>
  </si>
  <si>
    <t>KAMILA KETURA SILVA OLIVEIRA</t>
  </si>
  <si>
    <t>ENC.CONTR.TERMINAL</t>
  </si>
  <si>
    <t>KATHLEEN  NAYARA FONSECA</t>
  </si>
  <si>
    <t>ENCARREGADO DE OPERACOES</t>
  </si>
  <si>
    <t>KLINSLEYNNE SANTIAGO DA SILVA</t>
  </si>
  <si>
    <t>EXECUTIVO COMERCIAL JR</t>
  </si>
  <si>
    <t xml:space="preserve">LEONARDO LUIZ FELIX MARINHO DA SILVA </t>
  </si>
  <si>
    <t>GERENTE ADM FINANCEIRO</t>
  </si>
  <si>
    <t xml:space="preserve">GERENTE GERAL </t>
  </si>
  <si>
    <t>LUCILENE MARIA DOS SANTOS SILVA</t>
  </si>
  <si>
    <t>GERENTE COMERCIAL JR</t>
  </si>
  <si>
    <t>MARCIA CRISTINA ANDRADE DE LIMA</t>
  </si>
  <si>
    <t>LAVADOR CONTAINER</t>
  </si>
  <si>
    <t>NAEDSON NAPOLEAO DA SILVA</t>
  </si>
  <si>
    <t>LIXADOR</t>
  </si>
  <si>
    <t>PABLO EMILIANO DA SILVA</t>
  </si>
  <si>
    <t>MECANICO LIDER I</t>
  </si>
  <si>
    <t>MECANICO LIDER II</t>
  </si>
  <si>
    <t xml:space="preserve">RICARDO FERREIRA DE LIMA </t>
  </si>
  <si>
    <t>MOT CARRO PASSEIO II</t>
  </si>
  <si>
    <t>ROBERLAN ARAUJO DA SILVA</t>
  </si>
  <si>
    <t>OP.EMPILHADEIRA III</t>
  </si>
  <si>
    <t>ROBERTA MARIA DE ARAUJO</t>
  </si>
  <si>
    <t>PEDREIRO</t>
  </si>
  <si>
    <t>ROBERTO JOSE DA SILVA</t>
  </si>
  <si>
    <t>PINTOR DE ESTRUTURA METALICA</t>
  </si>
  <si>
    <t>RUSE BARRETO MONTEIRO</t>
  </si>
  <si>
    <t>SOLDADOR III</t>
  </si>
  <si>
    <t>SABRINA MARIA ARRUDA DOS SANTOS</t>
  </si>
  <si>
    <t>SUPERV. DE OPERACOES</t>
  </si>
  <si>
    <t>SUETONIO FERRAZ DE CASTRO</t>
  </si>
  <si>
    <t>TEC SEG TRABALHO</t>
  </si>
  <si>
    <t>TIAGO ROBERTO DO NASCIMENTO</t>
  </si>
  <si>
    <t>VISTORIADOR CONTEINE</t>
  </si>
  <si>
    <t xml:space="preserve">TOTAL GERAL </t>
  </si>
  <si>
    <t xml:space="preserve">ANALISTA  ADM FINANC JR </t>
  </si>
  <si>
    <t>ANALISTA DE LOGISTICA JR</t>
  </si>
  <si>
    <t>ADM</t>
  </si>
  <si>
    <t>MÃO DE OBRA ADM</t>
  </si>
  <si>
    <t>DESPESAS ADMINISTRATIVAS/MÊS</t>
  </si>
  <si>
    <t>?</t>
  </si>
  <si>
    <t xml:space="preserve">ALUGUEL </t>
  </si>
  <si>
    <t>DESPESAS ADMINISTRATIVAS/ANO</t>
  </si>
  <si>
    <t>COMB/LUBRIF</t>
  </si>
  <si>
    <t>MANUT</t>
  </si>
  <si>
    <t>ENERGIA CÂMARA</t>
  </si>
  <si>
    <t>ENERGIA REEFER</t>
  </si>
  <si>
    <t>FTB.CG (R$)</t>
  </si>
  <si>
    <t>FB.total (R$)</t>
  </si>
  <si>
    <t>Ova/Desova (R$/Cont)</t>
  </si>
  <si>
    <t>FTB.Cont (R$)</t>
  </si>
  <si>
    <t>IMPORTAÇÃO</t>
  </si>
  <si>
    <t>EXPORTAÇÃO</t>
  </si>
  <si>
    <t>Consumo/h (kWh)</t>
  </si>
  <si>
    <t>Consumo/24h (kWh)</t>
  </si>
  <si>
    <t>Custo Unit. Ener (R$/kWh)</t>
  </si>
  <si>
    <t>Custo/Cont/mês (R$)</t>
  </si>
  <si>
    <t>Média do Custo/Cont/mês (R$)</t>
  </si>
  <si>
    <t>CÂMARA FRIGORÍFICA</t>
  </si>
  <si>
    <t>Consumo( kWh/t)</t>
  </si>
  <si>
    <t>MÃO DE OBRA OPER</t>
  </si>
  <si>
    <t>LUCR REAL</t>
  </si>
  <si>
    <t>PROJ PDZ 35 DRE - LUCRO REAL</t>
  </si>
  <si>
    <t>RECEITA BRUTA</t>
  </si>
  <si>
    <t>(-) DEDUÇÕES</t>
  </si>
  <si>
    <t>PIS</t>
  </si>
  <si>
    <t>COFINS</t>
  </si>
  <si>
    <t>ISS</t>
  </si>
  <si>
    <t>RECEITA LÍQUIDA</t>
  </si>
  <si>
    <t>ARRENDAMENTO</t>
  </si>
  <si>
    <t>EBITDA</t>
  </si>
  <si>
    <t xml:space="preserve">DEPRECIAÇÃO </t>
  </si>
  <si>
    <t>EBIT</t>
  </si>
  <si>
    <t xml:space="preserve">SD INICIAL A COMPENSAR </t>
  </si>
  <si>
    <t>SD UTILIZADO - 30%</t>
  </si>
  <si>
    <t>SD FINAL A COMPENSAR</t>
  </si>
  <si>
    <t>IR 15%</t>
  </si>
  <si>
    <t>Adic. IR 10%</t>
  </si>
  <si>
    <t>CSLL</t>
  </si>
  <si>
    <t>IMPOSTO SOBRE LUCRO (IR + CSLL)</t>
  </si>
  <si>
    <t>LUCRO LÍQUIDO</t>
  </si>
  <si>
    <t>FLUXO DE CAIXA (L. REAL)</t>
  </si>
  <si>
    <t xml:space="preserve">LUCRO LÍQUIDO </t>
  </si>
  <si>
    <t>DEPRECIAÇÃO</t>
  </si>
  <si>
    <t>VAR. CG</t>
  </si>
  <si>
    <t>CAPEX</t>
  </si>
  <si>
    <t>CUSTOS E DESPESAS</t>
  </si>
  <si>
    <t>TMA</t>
  </si>
  <si>
    <t>FC</t>
  </si>
  <si>
    <t>VPL</t>
  </si>
  <si>
    <t>Payback</t>
  </si>
  <si>
    <t>TIR</t>
  </si>
  <si>
    <t>anos</t>
  </si>
  <si>
    <t>TWIND</t>
  </si>
  <si>
    <t>CUSTOS OPERACIONAIS</t>
  </si>
  <si>
    <t>DESPESAS ADMINISTRATIVAS</t>
  </si>
  <si>
    <t>CAPITAL DE GIRO</t>
  </si>
  <si>
    <t>PREMISSAS</t>
  </si>
  <si>
    <t>Dias do Ano</t>
  </si>
  <si>
    <t>dias</t>
  </si>
  <si>
    <t>LUCRO REAL</t>
  </si>
  <si>
    <t>USOS</t>
  </si>
  <si>
    <t>Contas a Receber</t>
  </si>
  <si>
    <t>FONTES</t>
  </si>
  <si>
    <t>Contas a Pagar</t>
  </si>
  <si>
    <t>Impostos Indiretos a Pagar</t>
  </si>
  <si>
    <t>Imp. Diretos a Pagar</t>
  </si>
  <si>
    <t>Necessidade CG</t>
  </si>
  <si>
    <t>R$</t>
  </si>
  <si>
    <t>VARIAÇÃO de CG</t>
  </si>
  <si>
    <t>LUCRO PRESUMIDO</t>
  </si>
  <si>
    <r>
      <t>CAGR</t>
    </r>
    <r>
      <rPr>
        <b/>
        <sz val="11"/>
        <color rgb="FFFF0000"/>
        <rFont val="Calibri"/>
        <family val="2"/>
        <scheme val="minor"/>
      </rPr>
      <t>*</t>
    </r>
  </si>
  <si>
    <t>https://valor.globo.com/patrocinado/dino/noticia/2024/02/23/setor-de-logistica-deve-chegar-a-us-18-bilhao-ate-2029.ghtml</t>
  </si>
  <si>
    <r>
      <rPr>
        <sz val="11"/>
        <color rgb="FFFF0000"/>
        <rFont val="Calibri"/>
        <family val="2"/>
        <scheme val="minor"/>
      </rPr>
      <t>*</t>
    </r>
    <r>
      <rPr>
        <sz val="11"/>
        <color theme="1"/>
        <rFont val="Calibri"/>
        <family val="2"/>
        <scheme val="minor"/>
      </rPr>
      <t>Taxa de Crescimento Anual Composta</t>
    </r>
  </si>
  <si>
    <t>&gt; 35 anos</t>
  </si>
  <si>
    <t>ITEM</t>
  </si>
  <si>
    <t>INVESTIMENTO</t>
  </si>
  <si>
    <t>ITEM (Obras Civis)</t>
  </si>
  <si>
    <t>ITEM (Projetos)</t>
  </si>
  <si>
    <t>ITEM (Máquinas, Inst. E Equipamentos)</t>
  </si>
  <si>
    <t>MOV</t>
  </si>
  <si>
    <t>%</t>
  </si>
  <si>
    <t>PERFIL</t>
  </si>
  <si>
    <t xml:space="preserve">TOTAL </t>
  </si>
  <si>
    <t>Conjunto de Cavalo Mecanico + Carreta 01</t>
  </si>
  <si>
    <t>AMBIENTAIS</t>
  </si>
  <si>
    <t>CUSTOS OPER.</t>
  </si>
  <si>
    <t>Área (m²):</t>
  </si>
  <si>
    <t>R$/m²/mês</t>
  </si>
  <si>
    <t>Arrend/ano</t>
  </si>
  <si>
    <t>Arrend/mês</t>
  </si>
  <si>
    <t>FTB.Ova (R$)</t>
  </si>
  <si>
    <t>DESPESAS OPERACIONAIS/MÊS (CENÁRIO BASE)</t>
  </si>
  <si>
    <t>DESPESAS OPERACIONAIS/MÊS (SIMULAÇÃO DE CENÁRIOS)</t>
  </si>
  <si>
    <t>Área 16</t>
  </si>
  <si>
    <t>Área 17</t>
  </si>
  <si>
    <t>Área 18</t>
  </si>
  <si>
    <t>Windrose</t>
  </si>
  <si>
    <t>Área L27</t>
  </si>
  <si>
    <t xml:space="preserve"> PARÂMETROS</t>
  </si>
  <si>
    <t>Média</t>
  </si>
  <si>
    <t>DP</t>
  </si>
  <si>
    <t>FUNÇÃO DE PROBABILIDADE</t>
  </si>
  <si>
    <t>SIMULAÇÃO</t>
  </si>
  <si>
    <r>
      <t>CAGR</t>
    </r>
    <r>
      <rPr>
        <sz val="11"/>
        <color rgb="FFFF0000"/>
        <rFont val="Calibri"/>
        <family val="2"/>
        <scheme val="minor"/>
      </rPr>
      <t>*</t>
    </r>
  </si>
  <si>
    <t>GRUPO I: SERVIÇOS INERENTES</t>
  </si>
  <si>
    <t>SCANNER</t>
  </si>
  <si>
    <t>GRUPO II: SERVIÇOS COMPLEMENTARES</t>
  </si>
  <si>
    <t>ARMAZENAGEM (dias)</t>
  </si>
  <si>
    <t>Até 3º dia</t>
  </si>
  <si>
    <t xml:space="preserve">A partir do  4º dia </t>
  </si>
  <si>
    <t>GRUPO II: SERVIÇOS ACESSÓRIOS</t>
  </si>
  <si>
    <t>FRUTAS DO VALE DO SÃO FRANCISCO - EXPORTAÇÃO (80% chegando a TWIND via Cont. Reefer)</t>
  </si>
  <si>
    <t>FRUTAS DO VALE DO SÃO FRANCISCO - EXPORTAÇÃO (20% chegando a TWIND como CG)</t>
  </si>
  <si>
    <t>ISPS CODE/TEU</t>
  </si>
  <si>
    <t>SCANNER/TEU</t>
  </si>
  <si>
    <t>ENERGIA/TEU/dia</t>
  </si>
  <si>
    <t>ISPS CODE/t</t>
  </si>
  <si>
    <t>RECEPÇÃO/t</t>
  </si>
  <si>
    <t>AEMAZENAGEM/t/dia até 30 dias</t>
  </si>
  <si>
    <t>FRIOS E CONGELADOS - IMPORTAÇÃO (100% chegando a TWIND via Cont. Reefer)</t>
  </si>
  <si>
    <t>MOV(t)</t>
  </si>
  <si>
    <t>CAGR</t>
  </si>
  <si>
    <t>ISPS-CODE</t>
  </si>
  <si>
    <t xml:space="preserve">ENERGIA </t>
  </si>
  <si>
    <t>RECEPÇÃO</t>
  </si>
  <si>
    <t>ARMAZ.</t>
  </si>
  <si>
    <t>ARMAZENAGEM</t>
  </si>
  <si>
    <t>A partir do 4º dia</t>
  </si>
  <si>
    <t>FRIOS E CONGELADOS</t>
  </si>
  <si>
    <t>Consumo/30d (kWh)</t>
  </si>
  <si>
    <t>Variação (R$/t/mês)</t>
  </si>
  <si>
    <t>Aplicar o CAGR aqui!</t>
  </si>
  <si>
    <t>CAGR*</t>
  </si>
  <si>
    <t>kWh</t>
  </si>
  <si>
    <t>h</t>
  </si>
  <si>
    <t>R$/kWh</t>
  </si>
  <si>
    <t>WINDROSE - CONTEINERS</t>
  </si>
  <si>
    <r>
      <t>CONT</t>
    </r>
    <r>
      <rPr>
        <b/>
        <sz val="11"/>
        <color rgb="FFFF0000"/>
        <rFont val="Calibri"/>
        <family val="2"/>
        <scheme val="minor"/>
      </rPr>
      <t>*</t>
    </r>
  </si>
  <si>
    <r>
      <t xml:space="preserve">* </t>
    </r>
    <r>
      <rPr>
        <sz val="12"/>
        <color rgb="FFFF0000"/>
        <rFont val="Calibri"/>
        <family val="2"/>
        <scheme val="minor"/>
      </rPr>
      <t>Média informada pela Windrose</t>
    </r>
  </si>
  <si>
    <t>Crescimento PIB PE</t>
  </si>
  <si>
    <t>WINDROSE - CG</t>
  </si>
  <si>
    <t>TOTAL WINDROSE</t>
  </si>
  <si>
    <t>TOTAL RECEITAS</t>
  </si>
  <si>
    <t xml:space="preserve">CARGA GERAL - IMPORTAÇÃO </t>
  </si>
  <si>
    <r>
      <rPr>
        <sz val="11"/>
        <color rgb="FFFF0000"/>
        <rFont val="Calibri"/>
        <family val="2"/>
        <scheme val="minor"/>
      </rPr>
      <t>*</t>
    </r>
    <r>
      <rPr>
        <sz val="11"/>
        <color theme="1"/>
        <rFont val="Calibri"/>
        <family val="2"/>
        <scheme val="minor"/>
      </rPr>
      <t>Taxa de Crescimento Anual Composta: https://valor.globo.com/patrocinado/dino/noticia/2024/02/23/setor-de-logistica-deve-chegar-a-us-18-bilhao-ate-2029.ghtml</t>
    </r>
  </si>
  <si>
    <t>CUSTOS OPER. TOTAL</t>
  </si>
  <si>
    <t>VALORES REFERENTES AOS ESTUDOS AMBIENTAIS NAS DIVERSAS ETAPAS  DO EMPREENDIMENTO ( R$ ) - CRONOGRAMA FÍSICO-FINANCEIRO</t>
  </si>
  <si>
    <t>LICENÇA DE IMPLANTAÇÃO</t>
  </si>
  <si>
    <t>LICENÇA DE OPERAÇÃO - CONDICIONANTES</t>
  </si>
  <si>
    <t>TAXA LI + TFAPE</t>
  </si>
  <si>
    <t>PGRS</t>
  </si>
  <si>
    <t>PGE</t>
  </si>
  <si>
    <t>PCATM</t>
  </si>
  <si>
    <t>PMR</t>
  </si>
  <si>
    <t>PMQA</t>
  </si>
  <si>
    <t>PCFS</t>
  </si>
  <si>
    <t>TAXA LO + TFAPE</t>
  </si>
  <si>
    <t>PCA</t>
  </si>
  <si>
    <t>AUDAMB</t>
  </si>
  <si>
    <t>GERAL</t>
  </si>
  <si>
    <t>ANO 1</t>
  </si>
  <si>
    <t>ANO 2</t>
  </si>
  <si>
    <t>ANO 3</t>
  </si>
  <si>
    <t>ANO 4</t>
  </si>
  <si>
    <t>ANO 5</t>
  </si>
  <si>
    <t>ANO 6</t>
  </si>
  <si>
    <t>ANO 7</t>
  </si>
  <si>
    <t>ANO 8</t>
  </si>
  <si>
    <t>ANO 9</t>
  </si>
  <si>
    <t>ANO 10</t>
  </si>
  <si>
    <t>ANO 11</t>
  </si>
  <si>
    <t>ANO 12</t>
  </si>
  <si>
    <t>ANO 13</t>
  </si>
  <si>
    <t>ANO 14</t>
  </si>
  <si>
    <t>ANO 15</t>
  </si>
  <si>
    <t>ANO 16</t>
  </si>
  <si>
    <t>ANO 17</t>
  </si>
  <si>
    <t>ANO 18</t>
  </si>
  <si>
    <t>ANO 19</t>
  </si>
  <si>
    <t>ANO 20</t>
  </si>
  <si>
    <t>ANO 21</t>
  </si>
  <si>
    <t>ANO 22</t>
  </si>
  <si>
    <t>ANO 23</t>
  </si>
  <si>
    <t>ANO 24</t>
  </si>
  <si>
    <t>ANO 25</t>
  </si>
  <si>
    <t>ANO 26</t>
  </si>
  <si>
    <t>ANO 27</t>
  </si>
  <si>
    <t>ANO 28</t>
  </si>
  <si>
    <t>ANO 29</t>
  </si>
  <si>
    <t>ANO 30</t>
  </si>
  <si>
    <t>ANO 31</t>
  </si>
  <si>
    <t>ANO 32</t>
  </si>
  <si>
    <t>ANO 33</t>
  </si>
  <si>
    <t>ANO 34</t>
  </si>
  <si>
    <t>ANO 35</t>
  </si>
  <si>
    <t>LEGENDA</t>
  </si>
  <si>
    <t>PROGRAMA DE GESTÃO DE RESÍDUOS SÓLIDOS</t>
  </si>
  <si>
    <t>TFAPE</t>
  </si>
  <si>
    <t>TAXA DE CONTROLE E FISCALIZAÇÃO AMBIENTAL DO ESTADO DE PERNAMBUCO</t>
  </si>
  <si>
    <t>PROGRAMA DE CONTROLE AMBIENTAL</t>
  </si>
  <si>
    <t>PROGRAMA DE MONITORMANETO DE RUÍDOS</t>
  </si>
  <si>
    <t>PROGRAMA DE GERENCIAMENTO DE EFLUENTES</t>
  </si>
  <si>
    <t>PROGRAMA DE MONITORAMENTO DE EMISSÕES ATMOSFÉRICAS</t>
  </si>
  <si>
    <t>PROGRAMA DE CONTROLE E MANEJO DE FAUNA SONTATROPICA</t>
  </si>
  <si>
    <t>PROGRAMA DE MONITORAMENTO DA QUALIDADE DA AGUA</t>
  </si>
  <si>
    <t>AUDITORIA AMBIENTAL</t>
  </si>
  <si>
    <t>TOTAL PROJETO</t>
  </si>
  <si>
    <t>Carga Refrigerada</t>
  </si>
  <si>
    <t>Carga Seca</t>
  </si>
  <si>
    <t>Tempo (seg)</t>
  </si>
  <si>
    <t>Private Sub CommandButton1_Click()</t>
  </si>
  <si>
    <t>inicio = Now</t>
  </si>
  <si>
    <t>For n = 1 To 5000</t>
  </si>
  <si>
    <t>Next n</t>
  </si>
  <si>
    <t>tempo = (Now - inicio) * 24 * 3600</t>
  </si>
  <si>
    <t>MsgBox ("tempo:" &amp; tempo)</t>
  </si>
  <si>
    <t>End Sub</t>
  </si>
  <si>
    <t>WIDROSE</t>
  </si>
  <si>
    <t>Instalações de combate ao incendio</t>
  </si>
  <si>
    <t>Instalações de Eletrica</t>
  </si>
  <si>
    <t>Instalações nden Elétrica</t>
  </si>
  <si>
    <t>Instalações de Monitoramento de Segurança ( Camaras )</t>
  </si>
  <si>
    <t>ALEATÓRIO()*(O4-N4)+N4</t>
  </si>
  <si>
    <t>DISTRIBUIÇÃO UNIFORME CONTÍNUA DE PROBABILIDADE:</t>
  </si>
  <si>
    <t>DISTRIBUIÇÃO TRIANGULAR CONTÍNUA DE PROBABILIDADE:</t>
  </si>
  <si>
    <t>PIB Países</t>
  </si>
  <si>
    <t>Range("M79") = n</t>
  </si>
  <si>
    <t>Range("L" &amp; n + 79) = Range("L79")</t>
  </si>
  <si>
    <t>Range("M81") = tempo</t>
  </si>
  <si>
    <t>Instalações Tomadas</t>
  </si>
  <si>
    <t>Instalações de Monitoramento de Segurança ( Câmeras )</t>
  </si>
  <si>
    <t>PIB_PAIS</t>
  </si>
  <si>
    <t>MES</t>
  </si>
  <si>
    <t>TER</t>
  </si>
  <si>
    <t>Tx Reinv</t>
  </si>
  <si>
    <t>Tx Financ</t>
  </si>
  <si>
    <t xml:space="preserve">FC </t>
  </si>
  <si>
    <t>FC cap/desc</t>
  </si>
  <si>
    <t>FV</t>
  </si>
  <si>
    <t>PV</t>
  </si>
  <si>
    <t>SD_t</t>
  </si>
  <si>
    <t>PRINC_t</t>
  </si>
  <si>
    <t xml:space="preserve"> JUROS_t</t>
  </si>
  <si>
    <t>TOTAL_t</t>
  </si>
  <si>
    <t>Tx. Juros</t>
  </si>
  <si>
    <t>PRINCIPAL</t>
  </si>
  <si>
    <t>JUROS</t>
  </si>
  <si>
    <t>JUROS_t</t>
  </si>
  <si>
    <t>Fator Refrig</t>
  </si>
  <si>
    <t>Total de Juros</t>
  </si>
  <si>
    <t>% FIN</t>
  </si>
  <si>
    <t>CAPEX (% Próprio)</t>
  </si>
  <si>
    <t>AMORTIZAÇÃO</t>
  </si>
  <si>
    <t>TER 5 anos</t>
  </si>
  <si>
    <t>TER 10 anos</t>
  </si>
  <si>
    <t>Payback_N</t>
  </si>
  <si>
    <t>TER 15 anos</t>
  </si>
  <si>
    <t>VPL 5 anos</t>
  </si>
  <si>
    <t>VPL 10 anos</t>
  </si>
  <si>
    <t>VPL 15 anos</t>
  </si>
  <si>
    <t>VPL5</t>
  </si>
  <si>
    <t>TER5</t>
  </si>
  <si>
    <t>VPL10</t>
  </si>
  <si>
    <t>VPL15</t>
  </si>
  <si>
    <t>PAYPACK</t>
  </si>
  <si>
    <t>TER10</t>
  </si>
  <si>
    <t>TER15</t>
  </si>
  <si>
    <t>Contador</t>
  </si>
  <si>
    <t>Clock</t>
  </si>
  <si>
    <t>Range("BD3") = n</t>
  </si>
  <si>
    <t>Range("BD5") = tempo</t>
  </si>
  <si>
    <t>Range("BE" &amp; n + 3) = Range("BE3")</t>
  </si>
  <si>
    <t>Range("BF" &amp; n + 3) = Range("BF3")</t>
  </si>
  <si>
    <t>Range("BH" &amp; n + 3) = Range("BH3")</t>
  </si>
  <si>
    <t>Range("BI" &amp; n + 3) = Range("BI3")</t>
  </si>
  <si>
    <t>Range("BJ" &amp; n + 3) = Range("BJ3")</t>
  </si>
  <si>
    <t>Range("BG" &amp; n + 3) = Range("BG3")</t>
  </si>
  <si>
    <t>Range("BK" &amp; n + 3) = Range("BK3")</t>
  </si>
  <si>
    <t>Range("BL" &amp; n + 3) = Range("BL3")</t>
  </si>
  <si>
    <t>Range("BM" &amp; n + 3) = Range("BM3")</t>
  </si>
  <si>
    <t>For n = 1 To 10</t>
  </si>
  <si>
    <t>MÉDIAS e DP</t>
  </si>
  <si>
    <t>Perda</t>
  </si>
  <si>
    <t>VaR(x anos)</t>
  </si>
  <si>
    <t>PAYBACK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</si>
</sst>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8" formatCode="&quot;R$&quot;\ #,##0.00;[Red]\-&quot;R$&quot;\ #,##0.00"/>
    <numFmt numFmtId="44" formatCode="_-&quot;R$&quot;\ * #,##0.00_-;\-&quot;R$&quot;\ * #,##0.00_-;_-&quot;R$&quot;\ * &quot;-&quot;??_-;_-@_-"/>
    <numFmt numFmtId="43" formatCode="_-* #,##0.00_-;\-* #,##0.00_-;_-* &quot;-&quot;??_-;_-@_-"/>
    <numFmt numFmtId="164" formatCode="0.000"/>
    <numFmt numFmtId="165" formatCode="#,##0.000"/>
    <numFmt numFmtId="166" formatCode="&quot;R$&quot;\ #,##0.00"/>
    <numFmt numFmtId="167" formatCode="#,##0.00_ ;\-#,##0.00\ "/>
    <numFmt numFmtId="168" formatCode="0.0000%"/>
  </numFmts>
  <fonts count="83" x14ac:knownFonts="1">
    <font>
      <sz val="11"/>
      <color theme="1"/>
      <name val="Calibri"/>
      <family val="2"/>
      <scheme val="minor"/>
    </font>
    <font>
      <sz val="11"/>
      <color theme="1"/>
      <name val="Calibri"/>
      <family val="2"/>
      <scheme val="minor"/>
    </font>
    <font>
      <b/>
      <sz val="11"/>
      <color theme="1"/>
      <name val="Calibri"/>
      <family val="2"/>
      <scheme val="minor"/>
    </font>
    <font>
      <b/>
      <sz val="11"/>
      <color theme="1"/>
      <name val="Calibri"/>
      <family val="2"/>
    </font>
    <font>
      <sz val="11"/>
      <color theme="1"/>
      <name val="Calibri"/>
      <family val="2"/>
    </font>
    <font>
      <sz val="11"/>
      <color rgb="FFFF0000"/>
      <name val="Calibri"/>
      <family val="2"/>
    </font>
    <font>
      <b/>
      <sz val="11"/>
      <color rgb="FF000000"/>
      <name val="Calibri"/>
      <family val="2"/>
    </font>
    <font>
      <b/>
      <sz val="11"/>
      <name val="Calibri"/>
      <family val="2"/>
    </font>
    <font>
      <sz val="11"/>
      <name val="Calibri"/>
      <family val="2"/>
    </font>
    <font>
      <b/>
      <sz val="11"/>
      <name val="Calibri"/>
      <family val="2"/>
      <scheme val="minor"/>
    </font>
    <font>
      <b/>
      <sz val="11"/>
      <color rgb="FFFF0000"/>
      <name val="Calibri"/>
      <family val="2"/>
    </font>
    <font>
      <b/>
      <sz val="12"/>
      <color rgb="FFFF0000"/>
      <name val="Calibri"/>
      <family val="2"/>
    </font>
    <font>
      <sz val="11"/>
      <color rgb="FFFF0000"/>
      <name val="Calibri"/>
      <family val="2"/>
      <scheme val="minor"/>
    </font>
    <font>
      <b/>
      <sz val="11"/>
      <color indexed="8"/>
      <name val="Calibri"/>
      <family val="2"/>
    </font>
    <font>
      <sz val="11"/>
      <color rgb="FF333333"/>
      <name val="Raleway"/>
    </font>
    <font>
      <i/>
      <sz val="11"/>
      <color theme="1"/>
      <name val="Calibri"/>
      <family val="2"/>
      <scheme val="minor"/>
    </font>
    <font>
      <sz val="11"/>
      <color theme="8" tint="-0.249977111117893"/>
      <name val="Calibri"/>
      <family val="2"/>
      <scheme val="minor"/>
    </font>
    <font>
      <sz val="11"/>
      <color theme="9" tint="-0.249977111117893"/>
      <name val="Calibri"/>
      <family val="2"/>
      <scheme val="minor"/>
    </font>
    <font>
      <b/>
      <sz val="11"/>
      <color theme="4"/>
      <name val="Calibri"/>
      <family val="2"/>
    </font>
    <font>
      <sz val="11"/>
      <color theme="4"/>
      <name val="Calibri"/>
      <family val="2"/>
    </font>
    <font>
      <sz val="11"/>
      <color theme="4"/>
      <name val="Calibri"/>
      <family val="2"/>
      <scheme val="minor"/>
    </font>
    <font>
      <u/>
      <sz val="11"/>
      <color theme="10"/>
      <name val="Calibri"/>
      <family val="2"/>
      <scheme val="minor"/>
    </font>
    <font>
      <b/>
      <sz val="12"/>
      <color rgb="FFFF0000"/>
      <name val="Calibri"/>
      <family val="2"/>
      <scheme val="minor"/>
    </font>
    <font>
      <b/>
      <sz val="11"/>
      <name val="Roboto"/>
    </font>
    <font>
      <b/>
      <sz val="12"/>
      <name val="Roboto"/>
    </font>
    <font>
      <b/>
      <sz val="11"/>
      <color rgb="FFFF0000"/>
      <name val="Calibri"/>
      <family val="2"/>
      <scheme val="minor"/>
    </font>
    <font>
      <b/>
      <sz val="11"/>
      <color indexed="8"/>
      <name val="Calibri"/>
      <family val="2"/>
      <scheme val="minor"/>
    </font>
    <font>
      <sz val="11"/>
      <color indexed="8"/>
      <name val="Calibri"/>
      <family val="2"/>
      <scheme val="minor"/>
    </font>
    <font>
      <sz val="10"/>
      <color indexed="8"/>
      <name val="Arial"/>
      <family val="2"/>
    </font>
    <font>
      <b/>
      <sz val="12"/>
      <color indexed="8"/>
      <name val="Calibri"/>
      <family val="2"/>
      <scheme val="minor"/>
    </font>
    <font>
      <b/>
      <sz val="12"/>
      <color theme="1"/>
      <name val="Calibri"/>
      <family val="2"/>
      <scheme val="minor"/>
    </font>
    <font>
      <b/>
      <sz val="11"/>
      <color theme="0"/>
      <name val="Calibri"/>
      <family val="2"/>
      <scheme val="minor"/>
    </font>
    <font>
      <b/>
      <sz val="12"/>
      <color theme="0"/>
      <name val="Calibri"/>
      <family val="2"/>
      <scheme val="minor"/>
    </font>
    <font>
      <sz val="12"/>
      <name val="Calibri"/>
      <family val="2"/>
      <scheme val="minor"/>
    </font>
    <font>
      <b/>
      <sz val="12"/>
      <name val="Calibri"/>
      <family val="2"/>
      <scheme val="minor"/>
    </font>
    <font>
      <sz val="11"/>
      <name val="Calibri"/>
      <family val="2"/>
      <scheme val="minor"/>
    </font>
    <font>
      <sz val="14"/>
      <color rgb="FF000000"/>
      <name val="Open Sans"/>
      <family val="2"/>
    </font>
    <font>
      <b/>
      <sz val="14"/>
      <color theme="0"/>
      <name val="Calibri"/>
      <family val="2"/>
      <scheme val="minor"/>
    </font>
    <font>
      <sz val="11"/>
      <color theme="1"/>
      <name val="Trebuchet MS"/>
      <family val="2"/>
    </font>
    <font>
      <b/>
      <sz val="9"/>
      <color indexed="81"/>
      <name val="Segoe UI"/>
      <family val="2"/>
    </font>
    <font>
      <sz val="9"/>
      <color indexed="81"/>
      <name val="Segoe UI"/>
      <family val="2"/>
    </font>
    <font>
      <sz val="11"/>
      <color theme="8" tint="-0.249977111117893"/>
      <name val="Calibri"/>
      <family val="2"/>
    </font>
    <font>
      <b/>
      <sz val="11"/>
      <color theme="8" tint="-0.249977111117893"/>
      <name val="Calibri"/>
      <family val="2"/>
    </font>
    <font>
      <sz val="11"/>
      <color theme="0"/>
      <name val="Calibri"/>
      <family val="2"/>
      <scheme val="minor"/>
    </font>
    <font>
      <b/>
      <sz val="9"/>
      <color theme="0"/>
      <name val="Arial Narrow"/>
      <family val="2"/>
    </font>
    <font>
      <b/>
      <sz val="11"/>
      <color theme="0"/>
      <name val="Arial Narrow"/>
      <family val="2"/>
    </font>
    <font>
      <b/>
      <sz val="11"/>
      <color theme="1"/>
      <name val="Arial Narrow"/>
      <family val="2"/>
    </font>
    <font>
      <sz val="11"/>
      <name val="Arial Narrow"/>
      <family val="2"/>
    </font>
    <font>
      <sz val="11"/>
      <color theme="1"/>
      <name val="Arial Narrow"/>
      <family val="2"/>
    </font>
    <font>
      <b/>
      <sz val="11"/>
      <name val="Arial Narrow"/>
      <family val="2"/>
    </font>
    <font>
      <b/>
      <sz val="11"/>
      <color rgb="FFFF0000"/>
      <name val="Arial Narrow"/>
      <family val="2"/>
    </font>
    <font>
      <sz val="11"/>
      <color theme="0"/>
      <name val="Arial Narrow"/>
      <family val="2"/>
    </font>
    <font>
      <sz val="11"/>
      <color rgb="FFFF0000"/>
      <name val="Arial Narrow"/>
      <family val="2"/>
    </font>
    <font>
      <b/>
      <sz val="11"/>
      <color theme="1"/>
      <name val="Trebuchet MS"/>
      <family val="2"/>
    </font>
    <font>
      <b/>
      <sz val="11"/>
      <color theme="0"/>
      <name val="Trebuchet MS"/>
      <family val="2"/>
    </font>
    <font>
      <sz val="11"/>
      <color theme="0"/>
      <name val="Trebuchet MS"/>
      <family val="2"/>
    </font>
    <font>
      <sz val="11"/>
      <name val="Trebuchet MS"/>
      <family val="2"/>
    </font>
    <font>
      <b/>
      <sz val="11"/>
      <color theme="8" tint="-0.499984740745262"/>
      <name val="Calibri"/>
      <family val="2"/>
      <scheme val="minor"/>
    </font>
    <font>
      <sz val="11"/>
      <color theme="8" tint="-0.499984740745262"/>
      <name val="Calibri"/>
      <family val="2"/>
      <scheme val="minor"/>
    </font>
    <font>
      <sz val="12"/>
      <color theme="1"/>
      <name val="Calibri"/>
      <family val="2"/>
      <scheme val="minor"/>
    </font>
    <font>
      <sz val="12"/>
      <color rgb="FFFF0000"/>
      <name val="Calibri"/>
      <family val="2"/>
      <scheme val="minor"/>
    </font>
    <font>
      <sz val="12"/>
      <color theme="8" tint="-0.499984740745262"/>
      <name val="Calibri"/>
      <family val="2"/>
      <scheme val="minor"/>
    </font>
    <font>
      <b/>
      <sz val="9"/>
      <color theme="1"/>
      <name val="Arial"/>
      <family val="2"/>
    </font>
    <font>
      <sz val="9"/>
      <color theme="1"/>
      <name val="Arial Narrow"/>
      <family val="2"/>
    </font>
    <font>
      <b/>
      <sz val="9"/>
      <color theme="1"/>
      <name val="Arial Narrow"/>
      <family val="2"/>
    </font>
    <font>
      <b/>
      <sz val="8"/>
      <color theme="1"/>
      <name val="Arial Narrow"/>
      <family val="2"/>
    </font>
    <font>
      <b/>
      <sz val="10"/>
      <color theme="1"/>
      <name val="Arial Narrow"/>
      <family val="2"/>
    </font>
    <font>
      <sz val="9"/>
      <color rgb="FF000000"/>
      <name val="Arial Narrow"/>
      <family val="2"/>
    </font>
    <font>
      <b/>
      <sz val="11"/>
      <color rgb="FFC00000"/>
      <name val="Calibri"/>
      <family val="2"/>
      <scheme val="minor"/>
    </font>
    <font>
      <sz val="11"/>
      <color rgb="FFC00000"/>
      <name val="Calibri"/>
      <family val="2"/>
      <scheme val="minor"/>
    </font>
    <font>
      <sz val="12"/>
      <color rgb="FFC00000"/>
      <name val="Calibri"/>
      <family val="2"/>
      <scheme val="minor"/>
    </font>
    <font>
      <b/>
      <sz val="10"/>
      <name val="Arial"/>
      <family val="2"/>
    </font>
    <font>
      <sz val="11"/>
      <color rgb="FF002060"/>
      <name val="Arial Narrow"/>
      <family val="2"/>
    </font>
    <font>
      <sz val="11"/>
      <color theme="9" tint="-0.499984740745262"/>
      <name val="Arial Narrow"/>
      <family val="2"/>
    </font>
    <font>
      <sz val="11"/>
      <color rgb="FFFF0000"/>
      <name val="Trebuchet MS"/>
      <family val="2"/>
    </font>
    <font>
      <b/>
      <sz val="12"/>
      <color theme="1"/>
      <name val="Trebuchet MS"/>
      <family val="2"/>
    </font>
    <font>
      <sz val="8"/>
      <name val="Calibri"/>
      <family val="2"/>
      <scheme val="minor"/>
    </font>
    <font>
      <b/>
      <sz val="11"/>
      <color rgb="FF002060"/>
      <name val="Arial Narrow"/>
      <family val="2"/>
    </font>
    <font>
      <b/>
      <sz val="11"/>
      <color theme="4"/>
      <name val="Arial Narrow"/>
      <family val="2"/>
    </font>
    <font>
      <sz val="11"/>
      <color rgb="FFFF9900"/>
      <name val="Arial Narrow"/>
      <family val="2"/>
    </font>
    <font>
      <sz val="11"/>
      <color theme="9" tint="-0.249977111117893"/>
      <name val="Arial Narrow"/>
      <family val="2"/>
    </font>
    <font>
      <b/>
      <sz val="11"/>
      <color rgb="FFFF9900"/>
      <name val="Arial Narrow"/>
      <family val="2"/>
    </font>
    <font>
      <b/>
      <sz val="11"/>
      <color theme="9" tint="-0.249977111117893"/>
      <name val="Arial Narrow"/>
      <family val="2"/>
    </font>
  </fonts>
  <fills count="17">
    <fill>
      <patternFill patternType="none"/>
    </fill>
    <fill>
      <patternFill patternType="gray125"/>
    </fill>
    <fill>
      <patternFill patternType="solid">
        <fgColor theme="8" tint="-0.499984740745262"/>
        <bgColor indexed="64"/>
      </patternFill>
    </fill>
    <fill>
      <patternFill patternType="solid">
        <fgColor theme="3" tint="0.89999084444715716"/>
        <bgColor indexed="64"/>
      </patternFill>
    </fill>
    <fill>
      <patternFill patternType="solid">
        <fgColor theme="0"/>
        <bgColor indexed="64"/>
      </patternFill>
    </fill>
    <fill>
      <patternFill patternType="solid">
        <fgColor rgb="FFFF0000"/>
        <bgColor indexed="64"/>
      </patternFill>
    </fill>
    <fill>
      <patternFill patternType="solid">
        <fgColor theme="9" tint="-0.499984740745262"/>
        <bgColor indexed="64"/>
      </patternFill>
    </fill>
    <fill>
      <patternFill patternType="solid">
        <fgColor rgb="FF7D2B1B"/>
        <bgColor indexed="64"/>
      </patternFill>
    </fill>
    <fill>
      <patternFill patternType="solid">
        <fgColor theme="0" tint="-0.14996795556505021"/>
        <bgColor indexed="64"/>
      </patternFill>
    </fill>
    <fill>
      <patternFill patternType="solid">
        <fgColor theme="9" tint="0.79995117038483843"/>
        <bgColor indexed="64"/>
      </patternFill>
    </fill>
    <fill>
      <patternFill patternType="solid">
        <fgColor theme="3" tint="0.79995117038483843"/>
        <bgColor indexed="64"/>
      </patternFill>
    </fill>
    <fill>
      <patternFill patternType="solid">
        <fgColor rgb="FFFFFFCC"/>
        <bgColor indexed="64"/>
      </patternFill>
    </fill>
    <fill>
      <patternFill patternType="solid">
        <fgColor theme="7" tint="0.79995117038483843"/>
        <bgColor indexed="64"/>
      </patternFill>
    </fill>
    <fill>
      <patternFill patternType="solid">
        <fgColor theme="0" tint="-4.9989318521683403E-2"/>
        <bgColor indexed="64"/>
      </patternFill>
    </fill>
    <fill>
      <patternFill patternType="solid">
        <fgColor rgb="FFC00000"/>
        <bgColor indexed="64"/>
      </patternFill>
    </fill>
    <fill>
      <patternFill patternType="solid">
        <fgColor rgb="FF002060"/>
        <bgColor indexed="64"/>
      </patternFill>
    </fill>
    <fill>
      <patternFill patternType="solid">
        <fgColor theme="9" tint="-0.249977111117893"/>
        <bgColor indexed="64"/>
      </patternFill>
    </fill>
  </fills>
  <borders count="5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double">
        <color indexed="64"/>
      </bottom>
      <diagonal/>
    </border>
    <border>
      <left/>
      <right/>
      <top style="thin">
        <color indexed="64"/>
      </top>
      <bottom/>
      <diagonal/>
    </border>
    <border>
      <left/>
      <right/>
      <top style="thin">
        <color auto="1"/>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theme="3" tint="0.39991454817346722"/>
      </right>
      <top style="thin">
        <color auto="1"/>
      </top>
      <bottom style="thin">
        <color auto="1"/>
      </bottom>
      <diagonal/>
    </border>
    <border>
      <left style="thin">
        <color theme="3" tint="0.39991454817346722"/>
      </left>
      <right/>
      <top style="thin">
        <color auto="1"/>
      </top>
      <bottom style="thin">
        <color auto="1"/>
      </bottom>
      <diagonal/>
    </border>
    <border>
      <left/>
      <right style="thin">
        <color theme="3" tint="0.39991454817346722"/>
      </right>
      <top style="thin">
        <color auto="1"/>
      </top>
      <bottom style="thin">
        <color indexed="64"/>
      </bottom>
      <diagonal/>
    </border>
    <border>
      <left style="thin">
        <color theme="3" tint="0.39991454817346722"/>
      </left>
      <right style="thin">
        <color theme="3" tint="0.39991454817346722"/>
      </right>
      <top style="thin">
        <color auto="1"/>
      </top>
      <bottom style="thin">
        <color auto="1"/>
      </bottom>
      <diagonal/>
    </border>
    <border>
      <left style="thin">
        <color theme="3" tint="0.39991454817346722"/>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theme="3" tint="0.39991454817346722"/>
      </right>
      <top/>
      <bottom/>
      <diagonal/>
    </border>
    <border>
      <left style="thin">
        <color theme="3" tint="0.39991454817346722"/>
      </left>
      <right/>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s>
  <cellStyleXfs count="5">
    <xf numFmtId="0" fontId="0" fillId="0" borderId="0"/>
    <xf numFmtId="43" fontId="1" fillId="0" borderId="0" applyFont="0" applyFill="0" applyBorder="0" applyAlignment="0" applyProtection="0"/>
    <xf numFmtId="9" fontId="1" fillId="0" borderId="0" applyFont="0" applyFill="0" applyBorder="0" applyAlignment="0" applyProtection="0"/>
    <xf numFmtId="0" fontId="21" fillId="0" borderId="0" applyNumberFormat="0" applyFill="0" applyBorder="0" applyAlignment="0" applyProtection="0"/>
    <xf numFmtId="44" fontId="1" fillId="0" borderId="0" applyFont="0" applyFill="0" applyBorder="0" applyAlignment="0" applyProtection="0"/>
  </cellStyleXfs>
  <cellXfs count="562">
    <xf numFmtId="0" fontId="0" fillId="0" borderId="0" xfId="0"/>
    <xf numFmtId="0" fontId="2" fillId="0" borderId="0" xfId="0" applyFont="1"/>
    <xf numFmtId="0" fontId="3" fillId="0" borderId="0" xfId="0" applyFont="1"/>
    <xf numFmtId="0" fontId="4" fillId="0" borderId="0" xfId="0" applyFont="1"/>
    <xf numFmtId="0" fontId="6" fillId="0" borderId="0" xfId="0" applyFont="1" applyAlignment="1">
      <alignment horizontal="center"/>
    </xf>
    <xf numFmtId="0" fontId="7" fillId="0" borderId="0" xfId="0" applyFont="1" applyAlignment="1">
      <alignment horizontal="center"/>
    </xf>
    <xf numFmtId="0" fontId="0" fillId="0" borderId="0" xfId="0" applyAlignment="1">
      <alignment horizontal="center"/>
    </xf>
    <xf numFmtId="0" fontId="8" fillId="0" borderId="0" xfId="0" applyFont="1" applyAlignment="1">
      <alignment horizontal="center"/>
    </xf>
    <xf numFmtId="4" fontId="8" fillId="0" borderId="0" xfId="0" applyNumberFormat="1" applyFont="1"/>
    <xf numFmtId="4" fontId="0" fillId="0" borderId="0" xfId="0" applyNumberFormat="1" applyAlignment="1">
      <alignment horizontal="center"/>
    </xf>
    <xf numFmtId="0" fontId="8" fillId="0" borderId="0" xfId="0" applyFont="1"/>
    <xf numFmtId="0" fontId="5" fillId="0" borderId="0" xfId="0" applyFont="1"/>
    <xf numFmtId="4" fontId="6" fillId="0" borderId="0" xfId="0" applyNumberFormat="1" applyFont="1"/>
    <xf numFmtId="4" fontId="6" fillId="0" borderId="0" xfId="0" applyNumberFormat="1" applyFont="1" applyAlignment="1">
      <alignment horizontal="center"/>
    </xf>
    <xf numFmtId="4" fontId="7" fillId="0" borderId="0" xfId="0" applyNumberFormat="1" applyFont="1" applyAlignment="1">
      <alignment horizontal="center"/>
    </xf>
    <xf numFmtId="4" fontId="7" fillId="0" borderId="0" xfId="0" applyNumberFormat="1" applyFont="1"/>
    <xf numFmtId="4" fontId="8" fillId="0" borderId="0" xfId="0" applyNumberFormat="1" applyFont="1" applyAlignment="1">
      <alignment horizontal="center"/>
    </xf>
    <xf numFmtId="0" fontId="2" fillId="0" borderId="0" xfId="0" applyFont="1" applyAlignment="1">
      <alignment horizontal="center"/>
    </xf>
    <xf numFmtId="0" fontId="9" fillId="0" borderId="0" xfId="0" applyFont="1" applyAlignment="1">
      <alignment horizontal="center"/>
    </xf>
    <xf numFmtId="43" fontId="0" fillId="0" borderId="0" xfId="0" applyNumberFormat="1"/>
    <xf numFmtId="0" fontId="6" fillId="0" borderId="0" xfId="0" applyFont="1"/>
    <xf numFmtId="0" fontId="10" fillId="0" borderId="0" xfId="0" applyFont="1"/>
    <xf numFmtId="43" fontId="5" fillId="0" borderId="0" xfId="0" applyNumberFormat="1" applyFont="1"/>
    <xf numFmtId="43" fontId="0" fillId="0" borderId="0" xfId="1" applyFont="1" applyFill="1" applyAlignment="1" applyProtection="1"/>
    <xf numFmtId="10" fontId="5" fillId="0" borderId="0" xfId="2" applyNumberFormat="1" applyFont="1" applyAlignment="1"/>
    <xf numFmtId="10" fontId="5" fillId="0" borderId="0" xfId="2" applyNumberFormat="1" applyFont="1" applyFill="1" applyAlignment="1" applyProtection="1"/>
    <xf numFmtId="43" fontId="5" fillId="0" borderId="0" xfId="1" applyFont="1" applyFill="1" applyAlignment="1" applyProtection="1"/>
    <xf numFmtId="43" fontId="6" fillId="0" borderId="0" xfId="0" applyNumberFormat="1" applyFont="1" applyAlignment="1">
      <alignment horizontal="center"/>
    </xf>
    <xf numFmtId="43" fontId="10" fillId="0" borderId="0" xfId="0" applyNumberFormat="1" applyFont="1" applyAlignment="1">
      <alignment horizontal="center"/>
    </xf>
    <xf numFmtId="10" fontId="10" fillId="0" borderId="0" xfId="2" applyNumberFormat="1" applyFont="1" applyAlignment="1"/>
    <xf numFmtId="10" fontId="11" fillId="0" borderId="0" xfId="2" applyNumberFormat="1" applyFont="1" applyFill="1" applyAlignment="1" applyProtection="1"/>
    <xf numFmtId="43" fontId="0" fillId="0" borderId="0" xfId="0" applyNumberFormat="1" applyAlignment="1">
      <alignment horizontal="center"/>
    </xf>
    <xf numFmtId="10" fontId="0" fillId="0" borderId="0" xfId="2" applyNumberFormat="1" applyFont="1" applyAlignment="1">
      <alignment horizontal="center"/>
    </xf>
    <xf numFmtId="43" fontId="8" fillId="0" borderId="0" xfId="1" applyFont="1" applyFill="1" applyAlignment="1" applyProtection="1"/>
    <xf numFmtId="0" fontId="13" fillId="0" borderId="0" xfId="0" applyFont="1" applyAlignment="1">
      <alignment horizontal="center"/>
    </xf>
    <xf numFmtId="164" fontId="0" fillId="0" borderId="0" xfId="0" applyNumberFormat="1"/>
    <xf numFmtId="3" fontId="0" fillId="0" borderId="0" xfId="0" applyNumberFormat="1"/>
    <xf numFmtId="4" fontId="0" fillId="0" borderId="0" xfId="0" applyNumberFormat="1"/>
    <xf numFmtId="4" fontId="0" fillId="0" borderId="0" xfId="0" applyNumberFormat="1" applyAlignment="1">
      <alignment horizontal="right"/>
    </xf>
    <xf numFmtId="165" fontId="0" fillId="0" borderId="0" xfId="0" applyNumberFormat="1" applyAlignment="1">
      <alignment horizontal="right"/>
    </xf>
    <xf numFmtId="0" fontId="14" fillId="0" borderId="0" xfId="0" applyFont="1"/>
    <xf numFmtId="43" fontId="0" fillId="0" borderId="0" xfId="1" applyFont="1"/>
    <xf numFmtId="4" fontId="15" fillId="0" borderId="0" xfId="0" applyNumberFormat="1" applyFont="1" applyAlignment="1">
      <alignment horizontal="center"/>
    </xf>
    <xf numFmtId="10" fontId="16" fillId="0" borderId="0" xfId="2" applyNumberFormat="1" applyFont="1"/>
    <xf numFmtId="10" fontId="17" fillId="0" borderId="0" xfId="2" applyNumberFormat="1" applyFont="1"/>
    <xf numFmtId="10" fontId="12" fillId="0" borderId="0" xfId="2" applyNumberFormat="1" applyFont="1"/>
    <xf numFmtId="10" fontId="0" fillId="0" borderId="0" xfId="2" applyNumberFormat="1" applyFont="1"/>
    <xf numFmtId="1" fontId="0" fillId="0" borderId="0" xfId="0" applyNumberFormat="1" applyAlignment="1">
      <alignment horizontal="center"/>
    </xf>
    <xf numFmtId="0" fontId="18" fillId="0" borderId="0" xfId="0" applyFont="1" applyAlignment="1">
      <alignment horizontal="center"/>
    </xf>
    <xf numFmtId="4" fontId="18" fillId="0" borderId="0" xfId="0" applyNumberFormat="1" applyFont="1" applyAlignment="1">
      <alignment horizontal="center"/>
    </xf>
    <xf numFmtId="10" fontId="19" fillId="0" borderId="0" xfId="2" applyNumberFormat="1" applyFont="1" applyAlignment="1"/>
    <xf numFmtId="0" fontId="20" fillId="0" borderId="0" xfId="0" applyFont="1"/>
    <xf numFmtId="0" fontId="21" fillId="0" borderId="0" xfId="3"/>
    <xf numFmtId="0" fontId="22" fillId="0" borderId="0" xfId="0" applyFont="1" applyAlignment="1">
      <alignment horizontal="left"/>
    </xf>
    <xf numFmtId="0" fontId="2" fillId="0" borderId="0" xfId="0" applyFont="1" applyAlignment="1">
      <alignment horizontal="right"/>
    </xf>
    <xf numFmtId="0" fontId="2" fillId="0" borderId="0" xfId="0" applyFont="1" applyAlignment="1">
      <alignment horizontal="left"/>
    </xf>
    <xf numFmtId="43" fontId="2" fillId="0" borderId="0" xfId="0" applyNumberFormat="1" applyFont="1"/>
    <xf numFmtId="0" fontId="0" fillId="0" borderId="0" xfId="0" applyAlignment="1">
      <alignment vertical="center" wrapText="1"/>
    </xf>
    <xf numFmtId="1" fontId="2" fillId="0" borderId="0" xfId="0" applyNumberFormat="1" applyFont="1" applyAlignment="1">
      <alignment horizontal="center"/>
    </xf>
    <xf numFmtId="3" fontId="2" fillId="0" borderId="0" xfId="0" applyNumberFormat="1" applyFont="1"/>
    <xf numFmtId="0" fontId="23" fillId="0" borderId="0" xfId="0" applyFont="1"/>
    <xf numFmtId="0" fontId="24" fillId="0" borderId="0" xfId="0" applyFont="1"/>
    <xf numFmtId="3" fontId="25" fillId="0" borderId="0" xfId="0" applyNumberFormat="1" applyFont="1" applyAlignment="1">
      <alignment horizontal="center"/>
    </xf>
    <xf numFmtId="3" fontId="0" fillId="0" borderId="0" xfId="0" applyNumberFormat="1" applyAlignment="1">
      <alignment horizontal="center"/>
    </xf>
    <xf numFmtId="3" fontId="2" fillId="0" borderId="0" xfId="0" applyNumberFormat="1" applyFont="1" applyAlignment="1">
      <alignment horizontal="center"/>
    </xf>
    <xf numFmtId="10" fontId="2" fillId="0" borderId="0" xfId="2" applyNumberFormat="1" applyFont="1" applyAlignment="1">
      <alignment horizontal="center"/>
    </xf>
    <xf numFmtId="10" fontId="0" fillId="0" borderId="0" xfId="0" applyNumberFormat="1"/>
    <xf numFmtId="3" fontId="26" fillId="0" borderId="0" xfId="0" applyNumberFormat="1" applyFont="1"/>
    <xf numFmtId="3" fontId="27" fillId="0" borderId="0" xfId="0" applyNumberFormat="1" applyFont="1"/>
    <xf numFmtId="3" fontId="26" fillId="0" borderId="0" xfId="0" applyNumberFormat="1" applyFont="1" applyAlignment="1">
      <alignment horizontal="center"/>
    </xf>
    <xf numFmtId="10" fontId="27" fillId="0" borderId="0" xfId="2" applyNumberFormat="1" applyFont="1" applyFill="1" applyBorder="1" applyAlignment="1" applyProtection="1"/>
    <xf numFmtId="165" fontId="26" fillId="0" borderId="0" xfId="0" applyNumberFormat="1" applyFont="1"/>
    <xf numFmtId="10" fontId="28" fillId="0" borderId="0" xfId="2" applyNumberFormat="1" applyFont="1" applyFill="1" applyBorder="1" applyAlignment="1" applyProtection="1"/>
    <xf numFmtId="10" fontId="29" fillId="0" borderId="0" xfId="2" applyNumberFormat="1" applyFont="1" applyFill="1" applyBorder="1" applyAlignment="1" applyProtection="1"/>
    <xf numFmtId="10" fontId="26" fillId="0" borderId="0" xfId="2" applyNumberFormat="1" applyFont="1" applyFill="1" applyBorder="1" applyAlignment="1" applyProtection="1"/>
    <xf numFmtId="4" fontId="2" fillId="0" borderId="0" xfId="0" applyNumberFormat="1" applyFont="1" applyAlignment="1">
      <alignment horizontal="center"/>
    </xf>
    <xf numFmtId="0" fontId="30" fillId="0" borderId="0" xfId="0" applyFont="1"/>
    <xf numFmtId="3" fontId="30" fillId="0" borderId="0" xfId="0" applyNumberFormat="1" applyFont="1" applyAlignment="1">
      <alignment horizontal="center"/>
    </xf>
    <xf numFmtId="4" fontId="30" fillId="0" borderId="0" xfId="0" applyNumberFormat="1" applyFont="1" applyAlignment="1">
      <alignment horizontal="center"/>
    </xf>
    <xf numFmtId="10" fontId="30" fillId="0" borderId="0" xfId="2" applyNumberFormat="1" applyFont="1" applyAlignment="1">
      <alignment horizontal="center"/>
    </xf>
    <xf numFmtId="0" fontId="12" fillId="0" borderId="0" xfId="0" applyFont="1"/>
    <xf numFmtId="0" fontId="25" fillId="0" borderId="0" xfId="0" applyFont="1" applyAlignment="1">
      <alignment horizontal="center"/>
    </xf>
    <xf numFmtId="2" fontId="25" fillId="0" borderId="0" xfId="0" applyNumberFormat="1" applyFont="1" applyAlignment="1">
      <alignment horizontal="center"/>
    </xf>
    <xf numFmtId="2" fontId="22" fillId="0" borderId="0" xfId="0" applyNumberFormat="1" applyFont="1" applyAlignment="1">
      <alignment horizontal="center"/>
    </xf>
    <xf numFmtId="3" fontId="27" fillId="0" borderId="0" xfId="0" applyNumberFormat="1" applyFont="1" applyAlignment="1">
      <alignment horizontal="center"/>
    </xf>
    <xf numFmtId="3" fontId="26" fillId="0" borderId="0" xfId="0" applyNumberFormat="1" applyFont="1" applyAlignment="1">
      <alignment horizontal="center" vertical="center" wrapText="1"/>
    </xf>
    <xf numFmtId="3" fontId="26" fillId="0" borderId="0" xfId="0" applyNumberFormat="1" applyFont="1" applyAlignment="1">
      <alignment horizontal="center" wrapText="1"/>
    </xf>
    <xf numFmtId="10" fontId="25" fillId="0" borderId="0" xfId="2" applyNumberFormat="1" applyFont="1" applyFill="1" applyBorder="1" applyAlignment="1" applyProtection="1"/>
    <xf numFmtId="4" fontId="2" fillId="0" borderId="0" xfId="0" applyNumberFormat="1" applyFont="1"/>
    <xf numFmtId="9" fontId="0" fillId="0" borderId="0" xfId="0" applyNumberFormat="1" applyAlignment="1">
      <alignment horizontal="center"/>
    </xf>
    <xf numFmtId="2" fontId="2" fillId="0" borderId="0" xfId="0" applyNumberFormat="1" applyFont="1" applyAlignment="1">
      <alignment horizontal="center"/>
    </xf>
    <xf numFmtId="0" fontId="33" fillId="0" borderId="0" xfId="0" applyFont="1" applyAlignment="1">
      <alignment horizontal="center"/>
    </xf>
    <xf numFmtId="0" fontId="32" fillId="2" borderId="1" xfId="0" applyFont="1" applyFill="1" applyBorder="1"/>
    <xf numFmtId="0" fontId="32" fillId="2" borderId="2" xfId="0" applyFont="1" applyFill="1" applyBorder="1"/>
    <xf numFmtId="0" fontId="32" fillId="2" borderId="3" xfId="0" applyFont="1" applyFill="1" applyBorder="1"/>
    <xf numFmtId="0" fontId="0" fillId="0" borderId="4" xfId="0" applyBorder="1"/>
    <xf numFmtId="0" fontId="0" fillId="0" borderId="5" xfId="0" applyBorder="1"/>
    <xf numFmtId="0" fontId="0" fillId="0" borderId="6" xfId="0" applyBorder="1" applyAlignment="1">
      <alignment horizontal="center"/>
    </xf>
    <xf numFmtId="0" fontId="32" fillId="2" borderId="3" xfId="0" applyFont="1" applyFill="1" applyBorder="1" applyAlignment="1">
      <alignment horizontal="center"/>
    </xf>
    <xf numFmtId="0" fontId="31" fillId="2" borderId="7" xfId="0" applyFont="1" applyFill="1" applyBorder="1" applyAlignment="1">
      <alignment horizontal="center"/>
    </xf>
    <xf numFmtId="0" fontId="31" fillId="2" borderId="0" xfId="0" applyFont="1" applyFill="1" applyAlignment="1">
      <alignment horizontal="center"/>
    </xf>
    <xf numFmtId="0" fontId="0" fillId="0" borderId="8" xfId="0" applyBorder="1"/>
    <xf numFmtId="0" fontId="0" fillId="0" borderId="7" xfId="0" applyBorder="1" applyAlignment="1">
      <alignment horizontal="center"/>
    </xf>
    <xf numFmtId="0" fontId="31" fillId="2" borderId="8" xfId="0" applyFont="1" applyFill="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31" fillId="2" borderId="3" xfId="0" applyFont="1" applyFill="1" applyBorder="1"/>
    <xf numFmtId="9" fontId="0" fillId="0" borderId="7" xfId="0" applyNumberFormat="1" applyBorder="1" applyAlignment="1">
      <alignment horizontal="center"/>
    </xf>
    <xf numFmtId="0" fontId="0" fillId="0" borderId="8" xfId="0" applyBorder="1" applyAlignment="1">
      <alignment horizontal="center"/>
    </xf>
    <xf numFmtId="2" fontId="31" fillId="2" borderId="6" xfId="0" applyNumberFormat="1" applyFont="1" applyFill="1" applyBorder="1" applyAlignment="1">
      <alignment horizontal="center"/>
    </xf>
    <xf numFmtId="0" fontId="32" fillId="2" borderId="1" xfId="0" applyFont="1" applyFill="1" applyBorder="1" applyAlignment="1">
      <alignment horizontal="left"/>
    </xf>
    <xf numFmtId="0" fontId="0" fillId="0" borderId="7" xfId="0" applyBorder="1" applyAlignment="1">
      <alignment horizontal="left"/>
    </xf>
    <xf numFmtId="4" fontId="0" fillId="0" borderId="8" xfId="0" applyNumberFormat="1" applyBorder="1" applyAlignment="1">
      <alignment horizontal="center"/>
    </xf>
    <xf numFmtId="4" fontId="32" fillId="2" borderId="6" xfId="0" applyNumberFormat="1" applyFont="1" applyFill="1" applyBorder="1"/>
    <xf numFmtId="4" fontId="36" fillId="0" borderId="0" xfId="0" applyNumberFormat="1" applyFont="1"/>
    <xf numFmtId="0" fontId="35" fillId="0" borderId="0" xfId="0" applyFont="1"/>
    <xf numFmtId="4" fontId="35" fillId="0" borderId="0" xfId="0" applyNumberFormat="1" applyFont="1" applyAlignment="1">
      <alignment horizontal="center"/>
    </xf>
    <xf numFmtId="3" fontId="9" fillId="0" borderId="0" xfId="0" applyNumberFormat="1" applyFont="1" applyAlignment="1">
      <alignment horizontal="center"/>
    </xf>
    <xf numFmtId="0" fontId="9" fillId="0" borderId="0" xfId="0" applyFont="1" applyAlignment="1">
      <alignment wrapText="1"/>
    </xf>
    <xf numFmtId="3" fontId="35" fillId="0" borderId="0" xfId="0" applyNumberFormat="1" applyFont="1" applyAlignment="1">
      <alignment horizontal="center"/>
    </xf>
    <xf numFmtId="0" fontId="9" fillId="0" borderId="0" xfId="0" applyFont="1" applyAlignment="1">
      <alignment vertical="center" wrapText="1"/>
    </xf>
    <xf numFmtId="3" fontId="35" fillId="0" borderId="0" xfId="0" applyNumberFormat="1" applyFont="1" applyAlignment="1">
      <alignment horizontal="center" vertical="center"/>
    </xf>
    <xf numFmtId="4" fontId="37" fillId="2" borderId="6" xfId="0" applyNumberFormat="1" applyFont="1" applyFill="1" applyBorder="1" applyAlignment="1">
      <alignment vertical="center"/>
    </xf>
    <xf numFmtId="0" fontId="0" fillId="0" borderId="7" xfId="0" applyBorder="1" applyAlignment="1">
      <alignment horizontal="left" wrapText="1"/>
    </xf>
    <xf numFmtId="0" fontId="38" fillId="0" borderId="0" xfId="0" applyFont="1" applyAlignment="1">
      <alignment vertical="center"/>
    </xf>
    <xf numFmtId="0" fontId="7" fillId="3" borderId="10" xfId="0" applyFont="1" applyFill="1" applyBorder="1" applyAlignment="1">
      <alignment horizontal="center" vertical="center"/>
    </xf>
    <xf numFmtId="0" fontId="7" fillId="3" borderId="16" xfId="0" applyFont="1" applyFill="1" applyBorder="1" applyAlignment="1">
      <alignment horizontal="center" vertical="center"/>
    </xf>
    <xf numFmtId="0" fontId="7" fillId="3" borderId="17" xfId="0" applyFont="1" applyFill="1" applyBorder="1" applyAlignment="1">
      <alignment horizontal="center" vertical="center"/>
    </xf>
    <xf numFmtId="0" fontId="7" fillId="3" borderId="18" xfId="0" applyFont="1" applyFill="1" applyBorder="1" applyAlignment="1">
      <alignment horizontal="center" vertical="center"/>
    </xf>
    <xf numFmtId="0" fontId="7" fillId="3" borderId="18" xfId="0" applyFont="1" applyFill="1" applyBorder="1" applyAlignment="1">
      <alignment horizontal="center" vertical="center" wrapText="1"/>
    </xf>
    <xf numFmtId="166" fontId="7" fillId="3" borderId="18" xfId="0" applyNumberFormat="1" applyFont="1" applyFill="1" applyBorder="1" applyAlignment="1">
      <alignment horizontal="center" vertical="center"/>
    </xf>
    <xf numFmtId="0" fontId="7" fillId="3" borderId="19" xfId="0" applyFont="1" applyFill="1" applyBorder="1" applyAlignment="1">
      <alignment horizontal="center" vertical="center"/>
    </xf>
    <xf numFmtId="0" fontId="7" fillId="0" borderId="0" xfId="0" applyFont="1" applyAlignment="1">
      <alignment horizontal="center" vertical="center"/>
    </xf>
    <xf numFmtId="166" fontId="8" fillId="0" borderId="0" xfId="0" applyNumberFormat="1" applyFont="1"/>
    <xf numFmtId="44" fontId="8" fillId="0" borderId="0" xfId="0" applyNumberFormat="1" applyFont="1"/>
    <xf numFmtId="49" fontId="41" fillId="0" borderId="9" xfId="0" applyNumberFormat="1" applyFont="1" applyBorder="1" applyAlignment="1">
      <alignment horizontal="left" vertical="top" wrapText="1"/>
    </xf>
    <xf numFmtId="0" fontId="41" fillId="0" borderId="10" xfId="0" applyFont="1" applyBorder="1" applyAlignment="1">
      <alignment horizontal="center"/>
    </xf>
    <xf numFmtId="49" fontId="41" fillId="0" borderId="10" xfId="0" applyNumberFormat="1" applyFont="1" applyBorder="1" applyAlignment="1">
      <alignment horizontal="right" vertical="top"/>
    </xf>
    <xf numFmtId="49" fontId="41" fillId="0" borderId="16" xfId="0" applyNumberFormat="1" applyFont="1" applyBorder="1" applyAlignment="1">
      <alignment horizontal="left" vertical="top" wrapText="1"/>
    </xf>
    <xf numFmtId="4" fontId="41" fillId="0" borderId="10" xfId="0" applyNumberFormat="1" applyFont="1" applyBorder="1" applyAlignment="1">
      <alignment horizontal="right" vertical="top"/>
    </xf>
    <xf numFmtId="4" fontId="41" fillId="0" borderId="10" xfId="0" applyNumberFormat="1" applyFont="1" applyBorder="1"/>
    <xf numFmtId="166" fontId="41" fillId="0" borderId="10" xfId="0" applyNumberFormat="1" applyFont="1" applyBorder="1"/>
    <xf numFmtId="44" fontId="42" fillId="0" borderId="10" xfId="0" applyNumberFormat="1" applyFont="1" applyBorder="1"/>
    <xf numFmtId="44" fontId="41" fillId="0" borderId="11" xfId="0" applyNumberFormat="1" applyFont="1" applyBorder="1"/>
    <xf numFmtId="0" fontId="41" fillId="0" borderId="0" xfId="0" applyFont="1"/>
    <xf numFmtId="44" fontId="41" fillId="0" borderId="0" xfId="0" applyNumberFormat="1" applyFont="1"/>
    <xf numFmtId="0" fontId="5" fillId="0" borderId="10" xfId="0" applyFont="1" applyBorder="1" applyAlignment="1">
      <alignment horizontal="center"/>
    </xf>
    <xf numFmtId="49" fontId="5" fillId="0" borderId="10" xfId="0" applyNumberFormat="1" applyFont="1" applyBorder="1" applyAlignment="1">
      <alignment horizontal="right" vertical="top"/>
    </xf>
    <xf numFmtId="49" fontId="5" fillId="0" borderId="16" xfId="0" applyNumberFormat="1" applyFont="1" applyBorder="1" applyAlignment="1">
      <alignment horizontal="left" vertical="top" wrapText="1"/>
    </xf>
    <xf numFmtId="49" fontId="5" fillId="0" borderId="9" xfId="0" applyNumberFormat="1" applyFont="1" applyBorder="1" applyAlignment="1">
      <alignment horizontal="left" vertical="top" wrapText="1"/>
    </xf>
    <xf numFmtId="4" fontId="5" fillId="0" borderId="10" xfId="0" applyNumberFormat="1" applyFont="1" applyBorder="1" applyAlignment="1">
      <alignment horizontal="right" vertical="top"/>
    </xf>
    <xf numFmtId="4" fontId="5" fillId="0" borderId="10" xfId="0" applyNumberFormat="1" applyFont="1" applyBorder="1"/>
    <xf numFmtId="166" fontId="5" fillId="0" borderId="10" xfId="0" applyNumberFormat="1" applyFont="1" applyBorder="1"/>
    <xf numFmtId="44" fontId="10" fillId="0" borderId="10" xfId="0" applyNumberFormat="1" applyFont="1" applyBorder="1"/>
    <xf numFmtId="44" fontId="5" fillId="0" borderId="11" xfId="0" applyNumberFormat="1" applyFont="1" applyBorder="1"/>
    <xf numFmtId="0" fontId="5" fillId="4" borderId="10" xfId="0" applyFont="1" applyFill="1" applyBorder="1"/>
    <xf numFmtId="44" fontId="5" fillId="4" borderId="10" xfId="4" applyFont="1" applyFill="1" applyBorder="1" applyAlignment="1">
      <alignment horizontal="right"/>
    </xf>
    <xf numFmtId="49" fontId="5" fillId="0" borderId="12" xfId="0" applyNumberFormat="1" applyFont="1" applyBorder="1" applyAlignment="1">
      <alignment horizontal="left" vertical="top" wrapText="1"/>
    </xf>
    <xf numFmtId="4" fontId="5" fillId="0" borderId="13" xfId="0" applyNumberFormat="1" applyFont="1" applyBorder="1" applyAlignment="1">
      <alignment horizontal="right" vertical="top"/>
    </xf>
    <xf numFmtId="4" fontId="5" fillId="0" borderId="13" xfId="0" applyNumberFormat="1" applyFont="1" applyBorder="1"/>
    <xf numFmtId="166" fontId="5" fillId="0" borderId="13" xfId="0" applyNumberFormat="1" applyFont="1" applyBorder="1"/>
    <xf numFmtId="44" fontId="10" fillId="0" borderId="13" xfId="0" applyNumberFormat="1" applyFont="1" applyBorder="1"/>
    <xf numFmtId="0" fontId="5" fillId="0" borderId="13" xfId="0" applyFont="1" applyBorder="1" applyAlignment="1">
      <alignment horizontal="center"/>
    </xf>
    <xf numFmtId="44" fontId="5" fillId="0" borderId="0" xfId="0" applyNumberFormat="1" applyFont="1"/>
    <xf numFmtId="0" fontId="7" fillId="0" borderId="0" xfId="0" applyFont="1"/>
    <xf numFmtId="44" fontId="7" fillId="0" borderId="0" xfId="0" applyNumberFormat="1" applyFont="1"/>
    <xf numFmtId="0" fontId="25" fillId="0" borderId="0" xfId="0" applyFont="1"/>
    <xf numFmtId="0" fontId="12" fillId="0" borderId="0" xfId="0" applyFont="1" applyAlignment="1">
      <alignment horizontal="center"/>
    </xf>
    <xf numFmtId="4" fontId="2" fillId="0" borderId="0" xfId="0" applyNumberFormat="1" applyFont="1" applyAlignment="1">
      <alignment vertical="center"/>
    </xf>
    <xf numFmtId="4" fontId="0" fillId="0" borderId="0" xfId="0" applyNumberFormat="1" applyAlignment="1">
      <alignment vertical="center"/>
    </xf>
    <xf numFmtId="43" fontId="12" fillId="0" borderId="0" xfId="1" applyFont="1"/>
    <xf numFmtId="0" fontId="31" fillId="2" borderId="0" xfId="0" applyFont="1" applyFill="1" applyAlignment="1">
      <alignment horizontal="left"/>
    </xf>
    <xf numFmtId="0" fontId="31" fillId="2" borderId="0" xfId="0" applyFont="1" applyFill="1"/>
    <xf numFmtId="4" fontId="31" fillId="2" borderId="0" xfId="0" applyNumberFormat="1" applyFont="1" applyFill="1" applyAlignment="1">
      <alignment horizontal="center"/>
    </xf>
    <xf numFmtId="0" fontId="12" fillId="0" borderId="0" xfId="0" applyFont="1" applyAlignment="1">
      <alignment horizontal="center" vertical="center" wrapText="1"/>
    </xf>
    <xf numFmtId="0" fontId="12" fillId="0" borderId="0" xfId="0" applyFont="1" applyAlignment="1">
      <alignment horizontal="center" vertical="center"/>
    </xf>
    <xf numFmtId="2" fontId="0" fillId="0" borderId="0" xfId="0" applyNumberFormat="1"/>
    <xf numFmtId="0" fontId="46" fillId="0" borderId="0" xfId="0" applyFont="1"/>
    <xf numFmtId="0" fontId="46" fillId="0" borderId="0" xfId="0" applyFont="1" applyAlignment="1">
      <alignment horizontal="center"/>
    </xf>
    <xf numFmtId="0" fontId="47" fillId="0" borderId="0" xfId="0" applyFont="1"/>
    <xf numFmtId="0" fontId="48" fillId="0" borderId="0" xfId="0" applyFont="1"/>
    <xf numFmtId="0" fontId="49" fillId="0" borderId="0" xfId="0" applyFont="1"/>
    <xf numFmtId="43" fontId="49" fillId="0" borderId="0" xfId="0" applyNumberFormat="1" applyFont="1"/>
    <xf numFmtId="43" fontId="47" fillId="0" borderId="0" xfId="0" applyNumberFormat="1" applyFont="1"/>
    <xf numFmtId="0" fontId="50" fillId="0" borderId="0" xfId="0" applyFont="1"/>
    <xf numFmtId="3" fontId="49" fillId="0" borderId="0" xfId="0" applyNumberFormat="1" applyFont="1"/>
    <xf numFmtId="3" fontId="45" fillId="0" borderId="0" xfId="0" applyNumberFormat="1" applyFont="1"/>
    <xf numFmtId="43" fontId="49" fillId="0" borderId="0" xfId="1" applyFont="1" applyFill="1" applyAlignment="1">
      <alignment vertical="center"/>
    </xf>
    <xf numFmtId="3" fontId="47" fillId="0" borderId="0" xfId="0" applyNumberFormat="1" applyFont="1"/>
    <xf numFmtId="43" fontId="47" fillId="0" borderId="0" xfId="1" applyFont="1" applyFill="1" applyAlignment="1">
      <alignment vertical="center"/>
    </xf>
    <xf numFmtId="3" fontId="51" fillId="0" borderId="0" xfId="0" applyNumberFormat="1" applyFont="1"/>
    <xf numFmtId="0" fontId="52" fillId="0" borderId="0" xfId="0" applyFont="1"/>
    <xf numFmtId="43" fontId="48" fillId="0" borderId="0" xfId="1" applyFont="1"/>
    <xf numFmtId="43" fontId="47" fillId="0" borderId="0" xfId="1" applyFont="1"/>
    <xf numFmtId="43" fontId="46" fillId="0" borderId="0" xfId="1" applyFont="1"/>
    <xf numFmtId="43" fontId="46" fillId="0" borderId="0" xfId="0" applyNumberFormat="1" applyFont="1"/>
    <xf numFmtId="43" fontId="48" fillId="0" borderId="0" xfId="0" applyNumberFormat="1" applyFont="1"/>
    <xf numFmtId="10" fontId="48" fillId="0" borderId="0" xfId="0" applyNumberFormat="1" applyFont="1" applyAlignment="1">
      <alignment horizontal="center"/>
    </xf>
    <xf numFmtId="0" fontId="48" fillId="0" borderId="0" xfId="0" applyFont="1" applyAlignment="1">
      <alignment horizontal="center"/>
    </xf>
    <xf numFmtId="3" fontId="49" fillId="0" borderId="0" xfId="0" applyNumberFormat="1" applyFont="1" applyAlignment="1">
      <alignment horizontal="right"/>
    </xf>
    <xf numFmtId="3" fontId="45" fillId="2" borderId="0" xfId="0" applyNumberFormat="1" applyFont="1" applyFill="1"/>
    <xf numFmtId="0" fontId="45" fillId="2" borderId="0" xfId="0" applyFont="1" applyFill="1" applyAlignment="1">
      <alignment horizontal="center" vertical="center"/>
    </xf>
    <xf numFmtId="43" fontId="45" fillId="2" borderId="0" xfId="1" applyFont="1" applyFill="1" applyAlignment="1">
      <alignment vertical="center"/>
    </xf>
    <xf numFmtId="43" fontId="51" fillId="2" borderId="0" xfId="1" applyFont="1" applyFill="1" applyAlignment="1">
      <alignment vertical="center"/>
    </xf>
    <xf numFmtId="0" fontId="51" fillId="2" borderId="0" xfId="0" applyFont="1" applyFill="1" applyAlignment="1">
      <alignment horizontal="center" vertical="center"/>
    </xf>
    <xf numFmtId="43" fontId="51" fillId="2" borderId="0" xfId="0" applyNumberFormat="1" applyFont="1" applyFill="1" applyAlignment="1">
      <alignment horizontal="center" vertical="center"/>
    </xf>
    <xf numFmtId="0" fontId="43" fillId="2" borderId="0" xfId="0" applyFont="1" applyFill="1"/>
    <xf numFmtId="0" fontId="31" fillId="6" borderId="0" xfId="0" applyFont="1" applyFill="1"/>
    <xf numFmtId="0" fontId="43" fillId="6" borderId="0" xfId="0" applyFont="1" applyFill="1"/>
    <xf numFmtId="0" fontId="31" fillId="6" borderId="0" xfId="0" applyFont="1" applyFill="1" applyAlignment="1">
      <alignment horizontal="center"/>
    </xf>
    <xf numFmtId="43" fontId="31" fillId="2" borderId="0" xfId="0" applyNumberFormat="1" applyFont="1" applyFill="1"/>
    <xf numFmtId="43" fontId="31" fillId="6" borderId="0" xfId="0" applyNumberFormat="1" applyFont="1" applyFill="1"/>
    <xf numFmtId="10" fontId="12" fillId="0" borderId="0" xfId="0" applyNumberFormat="1" applyFont="1"/>
    <xf numFmtId="8" fontId="0" fillId="0" borderId="0" xfId="0" applyNumberFormat="1"/>
    <xf numFmtId="0" fontId="0" fillId="0" borderId="0" xfId="0" applyAlignment="1">
      <alignment horizontal="left"/>
    </xf>
    <xf numFmtId="0" fontId="31" fillId="6" borderId="0" xfId="0" applyFont="1" applyFill="1" applyAlignment="1">
      <alignment horizontal="center" vertical="center"/>
    </xf>
    <xf numFmtId="0" fontId="48" fillId="0" borderId="0" xfId="0" applyFont="1" applyAlignment="1">
      <alignment horizontal="left"/>
    </xf>
    <xf numFmtId="3" fontId="29" fillId="0" borderId="0" xfId="0" applyNumberFormat="1" applyFont="1" applyAlignment="1">
      <alignment horizontal="right"/>
    </xf>
    <xf numFmtId="0" fontId="2" fillId="0" borderId="0" xfId="0" applyFont="1" applyAlignment="1">
      <alignment horizontal="center" vertical="center"/>
    </xf>
    <xf numFmtId="0" fontId="9" fillId="0" borderId="0" xfId="0" applyFont="1" applyAlignment="1">
      <alignment horizontal="left" vertical="center"/>
    </xf>
    <xf numFmtId="0" fontId="32" fillId="2" borderId="1" xfId="0" applyFont="1" applyFill="1" applyBorder="1" applyAlignment="1">
      <alignment horizontal="center"/>
    </xf>
    <xf numFmtId="0" fontId="32" fillId="2" borderId="2" xfId="0" applyFont="1" applyFill="1" applyBorder="1" applyAlignment="1">
      <alignment horizontal="center"/>
    </xf>
    <xf numFmtId="0" fontId="38" fillId="0" borderId="0" xfId="0" applyFont="1" applyAlignment="1">
      <alignment vertical="center" wrapText="1"/>
    </xf>
    <xf numFmtId="8" fontId="38" fillId="0" borderId="10" xfId="0" applyNumberFormat="1" applyFont="1" applyBorder="1" applyAlignment="1">
      <alignment horizontal="right" vertical="center"/>
    </xf>
    <xf numFmtId="8" fontId="55" fillId="2" borderId="10" xfId="0" applyNumberFormat="1" applyFont="1" applyFill="1" applyBorder="1" applyAlignment="1">
      <alignment horizontal="right" vertical="center"/>
    </xf>
    <xf numFmtId="0" fontId="54" fillId="2" borderId="17" xfId="0" applyFont="1" applyFill="1" applyBorder="1" applyAlignment="1">
      <alignment vertical="center"/>
    </xf>
    <xf numFmtId="0" fontId="54" fillId="2" borderId="18" xfId="0" applyFont="1" applyFill="1" applyBorder="1" applyAlignment="1">
      <alignment horizontal="center" vertical="center"/>
    </xf>
    <xf numFmtId="0" fontId="54" fillId="2" borderId="19" xfId="0" applyFont="1" applyFill="1" applyBorder="1" applyAlignment="1">
      <alignment horizontal="center" vertical="center"/>
    </xf>
    <xf numFmtId="0" fontId="55" fillId="2" borderId="9" xfId="0" applyFont="1" applyFill="1" applyBorder="1" applyAlignment="1">
      <alignment vertical="center"/>
    </xf>
    <xf numFmtId="8" fontId="55" fillId="2" borderId="11" xfId="0" applyNumberFormat="1" applyFont="1" applyFill="1" applyBorder="1" applyAlignment="1">
      <alignment horizontal="right" vertical="center"/>
    </xf>
    <xf numFmtId="0" fontId="54" fillId="2" borderId="12" xfId="0" applyFont="1" applyFill="1" applyBorder="1" applyAlignment="1">
      <alignment vertical="center"/>
    </xf>
    <xf numFmtId="8" fontId="54" fillId="2" borderId="13" xfId="0" applyNumberFormat="1" applyFont="1" applyFill="1" applyBorder="1" applyAlignment="1">
      <alignment horizontal="right" vertical="center"/>
    </xf>
    <xf numFmtId="8" fontId="54" fillId="2" borderId="14" xfId="0" applyNumberFormat="1" applyFont="1" applyFill="1" applyBorder="1" applyAlignment="1">
      <alignment horizontal="right" vertical="center"/>
    </xf>
    <xf numFmtId="8" fontId="48" fillId="0" borderId="0" xfId="0" applyNumberFormat="1" applyFont="1" applyAlignment="1">
      <alignment horizontal="center"/>
    </xf>
    <xf numFmtId="8" fontId="38" fillId="0" borderId="10" xfId="0" applyNumberFormat="1" applyFont="1" applyBorder="1" applyAlignment="1">
      <alignment horizontal="right" vertical="center" wrapText="1"/>
    </xf>
    <xf numFmtId="8" fontId="55" fillId="2" borderId="10" xfId="0" applyNumberFormat="1" applyFont="1" applyFill="1" applyBorder="1" applyAlignment="1">
      <alignment horizontal="right" vertical="center" wrapText="1"/>
    </xf>
    <xf numFmtId="0" fontId="54" fillId="2" borderId="18" xfId="0" applyFont="1" applyFill="1" applyBorder="1" applyAlignment="1">
      <alignment horizontal="center" vertical="center" wrapText="1"/>
    </xf>
    <xf numFmtId="0" fontId="55" fillId="2" borderId="9" xfId="0" applyFont="1" applyFill="1" applyBorder="1" applyAlignment="1">
      <alignment vertical="center" wrapText="1"/>
    </xf>
    <xf numFmtId="8" fontId="55" fillId="2" borderId="11" xfId="0" applyNumberFormat="1" applyFont="1" applyFill="1" applyBorder="1" applyAlignment="1">
      <alignment horizontal="right" vertical="center" wrapText="1"/>
    </xf>
    <xf numFmtId="8" fontId="54" fillId="2" borderId="13" xfId="0" applyNumberFormat="1" applyFont="1" applyFill="1" applyBorder="1" applyAlignment="1">
      <alignment horizontal="right" vertical="center" wrapText="1"/>
    </xf>
    <xf numFmtId="8" fontId="54" fillId="2" borderId="14" xfId="0" applyNumberFormat="1" applyFont="1" applyFill="1" applyBorder="1" applyAlignment="1">
      <alignment horizontal="right" vertical="center" wrapText="1"/>
    </xf>
    <xf numFmtId="0" fontId="38" fillId="0" borderId="0" xfId="0" applyFont="1"/>
    <xf numFmtId="8" fontId="38" fillId="0" borderId="0" xfId="0" applyNumberFormat="1" applyFont="1" applyAlignment="1">
      <alignment horizontal="right"/>
    </xf>
    <xf numFmtId="17" fontId="38" fillId="0" borderId="0" xfId="0" applyNumberFormat="1" applyFont="1"/>
    <xf numFmtId="8" fontId="38" fillId="0" borderId="0" xfId="0" applyNumberFormat="1" applyFont="1"/>
    <xf numFmtId="0" fontId="38" fillId="0" borderId="0" xfId="0" applyFont="1" applyAlignment="1">
      <alignment horizontal="right"/>
    </xf>
    <xf numFmtId="17" fontId="53" fillId="0" borderId="0" xfId="0" applyNumberFormat="1" applyFont="1"/>
    <xf numFmtId="10" fontId="0" fillId="0" borderId="0" xfId="0" applyNumberFormat="1" applyAlignment="1">
      <alignment horizontal="center"/>
    </xf>
    <xf numFmtId="10" fontId="2" fillId="0" borderId="0" xfId="0" applyNumberFormat="1" applyFont="1" applyAlignment="1">
      <alignment horizontal="center"/>
    </xf>
    <xf numFmtId="4" fontId="9" fillId="0" borderId="0" xfId="0" applyNumberFormat="1" applyFont="1"/>
    <xf numFmtId="0" fontId="55" fillId="0" borderId="0" xfId="0" applyFont="1" applyAlignment="1">
      <alignment vertical="center"/>
    </xf>
    <xf numFmtId="8" fontId="55" fillId="0" borderId="0" xfId="0" applyNumberFormat="1" applyFont="1" applyAlignment="1">
      <alignment vertical="center"/>
    </xf>
    <xf numFmtId="9" fontId="55" fillId="0" borderId="0" xfId="0" applyNumberFormat="1" applyFont="1" applyAlignment="1">
      <alignment vertical="center"/>
    </xf>
    <xf numFmtId="8" fontId="55" fillId="2" borderId="0" xfId="0" applyNumberFormat="1" applyFont="1" applyFill="1"/>
    <xf numFmtId="0" fontId="54" fillId="2" borderId="0" xfId="0" applyFont="1" applyFill="1" applyAlignment="1">
      <alignment horizontal="right" vertical="center"/>
    </xf>
    <xf numFmtId="8" fontId="56" fillId="0" borderId="0" xfId="0" applyNumberFormat="1" applyFont="1" applyAlignment="1">
      <alignment horizontal="right" vertical="center"/>
    </xf>
    <xf numFmtId="0" fontId="55" fillId="2" borderId="0" xfId="0" applyFont="1" applyFill="1" applyAlignment="1">
      <alignment vertical="center"/>
    </xf>
    <xf numFmtId="9" fontId="55" fillId="2" borderId="0" xfId="0" applyNumberFormat="1" applyFont="1" applyFill="1" applyAlignment="1">
      <alignment horizontal="left" vertical="center"/>
    </xf>
    <xf numFmtId="8" fontId="53" fillId="0" borderId="0" xfId="0" applyNumberFormat="1" applyFont="1"/>
    <xf numFmtId="0" fontId="55" fillId="2" borderId="0" xfId="0" applyFont="1" applyFill="1" applyAlignment="1">
      <alignment horizontal="center"/>
    </xf>
    <xf numFmtId="43" fontId="49" fillId="0" borderId="0" xfId="1" applyFont="1" applyFill="1" applyBorder="1" applyAlignment="1">
      <alignment vertical="center"/>
    </xf>
    <xf numFmtId="43" fontId="47" fillId="0" borderId="0" xfId="1" applyFont="1" applyFill="1" applyBorder="1" applyAlignment="1">
      <alignment vertical="center"/>
    </xf>
    <xf numFmtId="0" fontId="45" fillId="0" borderId="0" xfId="0" applyFont="1" applyAlignment="1">
      <alignment horizontal="center" vertical="center"/>
    </xf>
    <xf numFmtId="43" fontId="45" fillId="0" borderId="0" xfId="1" applyFont="1" applyFill="1" applyBorder="1" applyAlignment="1">
      <alignment vertical="center"/>
    </xf>
    <xf numFmtId="43" fontId="51" fillId="0" borderId="0" xfId="1" applyFont="1" applyFill="1" applyBorder="1" applyAlignment="1">
      <alignment vertical="center"/>
    </xf>
    <xf numFmtId="0" fontId="51" fillId="0" borderId="0" xfId="0" applyFont="1" applyAlignment="1">
      <alignment horizontal="center" vertical="center"/>
    </xf>
    <xf numFmtId="43" fontId="51" fillId="0" borderId="0" xfId="0" applyNumberFormat="1" applyFont="1" applyAlignment="1">
      <alignment horizontal="center" vertical="center"/>
    </xf>
    <xf numFmtId="43" fontId="43" fillId="2" borderId="0" xfId="0" applyNumberFormat="1" applyFont="1" applyFill="1"/>
    <xf numFmtId="4" fontId="32" fillId="2" borderId="0" xfId="0" applyNumberFormat="1" applyFont="1" applyFill="1"/>
    <xf numFmtId="0" fontId="32" fillId="2" borderId="0" xfId="0" applyFont="1" applyFill="1"/>
    <xf numFmtId="0" fontId="31" fillId="0" borderId="0" xfId="0" applyFont="1"/>
    <xf numFmtId="4" fontId="48" fillId="0" borderId="20" xfId="0" applyNumberFormat="1" applyFont="1" applyBorder="1" applyAlignment="1">
      <alignment horizontal="center"/>
    </xf>
    <xf numFmtId="0" fontId="31" fillId="7" borderId="0" xfId="0" applyFont="1" applyFill="1" applyAlignment="1">
      <alignment horizontal="center"/>
    </xf>
    <xf numFmtId="0" fontId="31" fillId="7" borderId="0" xfId="0" applyFont="1" applyFill="1"/>
    <xf numFmtId="0" fontId="43" fillId="7" borderId="0" xfId="0" applyFont="1" applyFill="1"/>
    <xf numFmtId="43" fontId="43" fillId="7" borderId="0" xfId="0" applyNumberFormat="1" applyFont="1" applyFill="1"/>
    <xf numFmtId="3" fontId="31" fillId="2" borderId="0" xfId="0" applyNumberFormat="1" applyFont="1" applyFill="1" applyAlignment="1">
      <alignment horizontal="center"/>
    </xf>
    <xf numFmtId="3" fontId="12" fillId="0" borderId="0" xfId="0" applyNumberFormat="1" applyFont="1"/>
    <xf numFmtId="10" fontId="2" fillId="0" borderId="0" xfId="0" applyNumberFormat="1" applyFont="1"/>
    <xf numFmtId="0" fontId="2" fillId="0" borderId="0" xfId="0" applyFont="1" applyAlignment="1">
      <alignment horizontal="center" wrapText="1"/>
    </xf>
    <xf numFmtId="3" fontId="31" fillId="0" borderId="0" xfId="0" applyNumberFormat="1" applyFont="1" applyAlignment="1">
      <alignment horizontal="center"/>
    </xf>
    <xf numFmtId="10" fontId="9" fillId="0" borderId="0" xfId="2" applyNumberFormat="1" applyFont="1" applyFill="1" applyAlignment="1">
      <alignment horizontal="center"/>
    </xf>
    <xf numFmtId="0" fontId="9" fillId="0" borderId="0" xfId="0" applyFont="1" applyAlignment="1">
      <alignment horizontal="center" wrapText="1"/>
    </xf>
    <xf numFmtId="0" fontId="31" fillId="2" borderId="0" xfId="0" applyFont="1" applyFill="1" applyAlignment="1">
      <alignment horizontal="right"/>
    </xf>
    <xf numFmtId="10" fontId="29" fillId="0" borderId="0" xfId="2" applyNumberFormat="1" applyFont="1" applyFill="1" applyBorder="1" applyAlignment="1" applyProtection="1">
      <alignment horizontal="right"/>
    </xf>
    <xf numFmtId="0" fontId="31" fillId="7" borderId="0" xfId="0" applyFont="1" applyFill="1" applyAlignment="1">
      <alignment horizontal="center" vertical="center" wrapText="1"/>
    </xf>
    <xf numFmtId="0" fontId="31" fillId="7" borderId="0" xfId="0" applyFont="1" applyFill="1" applyAlignment="1">
      <alignment horizontal="center" vertical="center"/>
    </xf>
    <xf numFmtId="4" fontId="31" fillId="7" borderId="0" xfId="0" applyNumberFormat="1" applyFont="1" applyFill="1" applyAlignment="1">
      <alignment vertical="center"/>
    </xf>
    <xf numFmtId="9" fontId="31" fillId="2" borderId="0" xfId="0" applyNumberFormat="1" applyFont="1" applyFill="1"/>
    <xf numFmtId="4" fontId="43" fillId="2" borderId="0" xfId="0" applyNumberFormat="1" applyFont="1" applyFill="1"/>
    <xf numFmtId="3" fontId="43" fillId="2" borderId="0" xfId="0" applyNumberFormat="1" applyFont="1" applyFill="1"/>
    <xf numFmtId="2" fontId="31" fillId="2" borderId="0" xfId="0" applyNumberFormat="1" applyFont="1" applyFill="1" applyAlignment="1">
      <alignment horizontal="center"/>
    </xf>
    <xf numFmtId="0" fontId="31" fillId="0" borderId="0" xfId="0" applyFont="1" applyAlignment="1">
      <alignment horizontal="center"/>
    </xf>
    <xf numFmtId="0" fontId="9" fillId="0" borderId="0" xfId="0" applyFont="1" applyAlignment="1">
      <alignment horizontal="center" vertical="center" wrapText="1"/>
    </xf>
    <xf numFmtId="0" fontId="9" fillId="0" borderId="0" xfId="0" applyFont="1"/>
    <xf numFmtId="0" fontId="35" fillId="0" borderId="0" xfId="0" applyFont="1" applyAlignment="1">
      <alignment horizontal="center"/>
    </xf>
    <xf numFmtId="2" fontId="9" fillId="0" borderId="0" xfId="0" applyNumberFormat="1" applyFont="1" applyAlignment="1">
      <alignment horizontal="center"/>
    </xf>
    <xf numFmtId="10" fontId="35" fillId="0" borderId="0" xfId="0" applyNumberFormat="1" applyFont="1"/>
    <xf numFmtId="9" fontId="9" fillId="0" borderId="0" xfId="0" applyNumberFormat="1" applyFont="1" applyAlignment="1">
      <alignment horizontal="right"/>
    </xf>
    <xf numFmtId="4" fontId="9" fillId="0" borderId="0" xfId="0" applyNumberFormat="1" applyFont="1" applyAlignment="1">
      <alignment horizontal="right"/>
    </xf>
    <xf numFmtId="4" fontId="57" fillId="0" borderId="0" xfId="0" applyNumberFormat="1" applyFont="1" applyAlignment="1">
      <alignment horizontal="right"/>
    </xf>
    <xf numFmtId="4" fontId="58" fillId="0" borderId="0" xfId="0" applyNumberFormat="1" applyFont="1"/>
    <xf numFmtId="3" fontId="9" fillId="0" borderId="0" xfId="0" applyNumberFormat="1" applyFont="1"/>
    <xf numFmtId="10" fontId="2" fillId="0" borderId="0" xfId="2" applyNumberFormat="1" applyFont="1" applyFill="1" applyAlignment="1">
      <alignment horizontal="center"/>
    </xf>
    <xf numFmtId="0" fontId="31" fillId="5" borderId="0" xfId="0" applyFont="1" applyFill="1" applyAlignment="1">
      <alignment horizontal="left"/>
    </xf>
    <xf numFmtId="2" fontId="31" fillId="5" borderId="0" xfId="0" applyNumberFormat="1" applyFont="1" applyFill="1" applyAlignment="1">
      <alignment horizontal="center"/>
    </xf>
    <xf numFmtId="43" fontId="12" fillId="0" borderId="0" xfId="0" applyNumberFormat="1" applyFont="1"/>
    <xf numFmtId="4" fontId="58" fillId="0" borderId="0" xfId="0" applyNumberFormat="1" applyFont="1" applyAlignment="1">
      <alignment horizontal="right"/>
    </xf>
    <xf numFmtId="0" fontId="35" fillId="0" borderId="0" xfId="0" applyFont="1" applyAlignment="1">
      <alignment horizontal="right"/>
    </xf>
    <xf numFmtId="3" fontId="35" fillId="0" borderId="0" xfId="0" applyNumberFormat="1" applyFont="1" applyAlignment="1">
      <alignment horizontal="right"/>
    </xf>
    <xf numFmtId="10" fontId="25" fillId="0" borderId="0" xfId="2" applyNumberFormat="1" applyFont="1"/>
    <xf numFmtId="0" fontId="9" fillId="0" borderId="0" xfId="0" applyFont="1" applyAlignment="1">
      <alignment horizontal="right" vertical="center" wrapText="1"/>
    </xf>
    <xf numFmtId="0" fontId="0" fillId="0" borderId="0" xfId="0" applyAlignment="1">
      <alignment horizontal="right"/>
    </xf>
    <xf numFmtId="0" fontId="30" fillId="0" borderId="0" xfId="0" applyFont="1" applyAlignment="1">
      <alignment horizontal="center"/>
    </xf>
    <xf numFmtId="0" fontId="33" fillId="0" borderId="0" xfId="0" applyFont="1"/>
    <xf numFmtId="4" fontId="30" fillId="0" borderId="0" xfId="0" applyNumberFormat="1" applyFont="1"/>
    <xf numFmtId="4" fontId="59" fillId="0" borderId="0" xfId="0" applyNumberFormat="1" applyFont="1"/>
    <xf numFmtId="10" fontId="30" fillId="0" borderId="0" xfId="0" applyNumberFormat="1" applyFont="1" applyAlignment="1">
      <alignment horizontal="center"/>
    </xf>
    <xf numFmtId="4" fontId="61" fillId="0" borderId="0" xfId="0" applyNumberFormat="1" applyFont="1"/>
    <xf numFmtId="3" fontId="59" fillId="0" borderId="0" xfId="0" applyNumberFormat="1" applyFont="1" applyAlignment="1">
      <alignment horizontal="center"/>
    </xf>
    <xf numFmtId="0" fontId="30" fillId="0" borderId="0" xfId="0" applyFont="1" applyAlignment="1">
      <alignment horizontal="right"/>
    </xf>
    <xf numFmtId="4" fontId="59" fillId="0" borderId="0" xfId="0" applyNumberFormat="1" applyFont="1" applyAlignment="1">
      <alignment horizontal="center"/>
    </xf>
    <xf numFmtId="4" fontId="2" fillId="0" borderId="0" xfId="0" applyNumberFormat="1" applyFont="1" applyAlignment="1">
      <alignment horizontal="left"/>
    </xf>
    <xf numFmtId="4" fontId="0" fillId="0" borderId="0" xfId="0" applyNumberFormat="1" applyAlignment="1">
      <alignment horizontal="left"/>
    </xf>
    <xf numFmtId="0" fontId="0" fillId="0" borderId="15" xfId="0" applyBorder="1"/>
    <xf numFmtId="0" fontId="62" fillId="8" borderId="10" xfId="0" applyFont="1" applyFill="1" applyBorder="1" applyAlignment="1">
      <alignment horizontal="center" vertical="center" wrapText="1"/>
    </xf>
    <xf numFmtId="0" fontId="62" fillId="8" borderId="22" xfId="0" applyFont="1" applyFill="1" applyBorder="1"/>
    <xf numFmtId="0" fontId="62" fillId="8" borderId="22" xfId="0" applyFont="1" applyFill="1" applyBorder="1" applyAlignment="1">
      <alignment vertical="center"/>
    </xf>
    <xf numFmtId="17" fontId="62" fillId="8" borderId="10" xfId="0" applyNumberFormat="1" applyFont="1" applyFill="1" applyBorder="1" applyAlignment="1">
      <alignment horizontal="center" vertical="center"/>
    </xf>
    <xf numFmtId="0" fontId="63" fillId="0" borderId="0" xfId="0" applyFont="1"/>
    <xf numFmtId="0" fontId="63" fillId="8" borderId="23" xfId="0" applyFont="1" applyFill="1" applyBorder="1" applyAlignment="1">
      <alignment vertical="center"/>
    </xf>
    <xf numFmtId="0" fontId="64" fillId="11" borderId="23" xfId="0" applyFont="1" applyFill="1" applyBorder="1" applyAlignment="1">
      <alignment horizontal="center"/>
    </xf>
    <xf numFmtId="0" fontId="64" fillId="8" borderId="25" xfId="0" applyFont="1" applyFill="1" applyBorder="1" applyAlignment="1">
      <alignment horizontal="center" vertical="top"/>
    </xf>
    <xf numFmtId="0" fontId="64" fillId="12" borderId="26" xfId="0" applyFont="1" applyFill="1" applyBorder="1" applyAlignment="1">
      <alignment horizontal="center" vertical="center" wrapText="1"/>
    </xf>
    <xf numFmtId="0" fontId="65" fillId="12" borderId="27" xfId="0" applyFont="1" applyFill="1" applyBorder="1" applyAlignment="1">
      <alignment horizontal="center" vertical="center" wrapText="1"/>
    </xf>
    <xf numFmtId="0" fontId="64" fillId="12" borderId="10" xfId="0" applyFont="1" applyFill="1" applyBorder="1" applyAlignment="1">
      <alignment horizontal="center" vertical="center"/>
    </xf>
    <xf numFmtId="0" fontId="64" fillId="9" borderId="24" xfId="0" applyFont="1" applyFill="1" applyBorder="1" applyAlignment="1">
      <alignment horizontal="center" vertical="center"/>
    </xf>
    <xf numFmtId="0" fontId="64" fillId="9" borderId="28" xfId="0" applyFont="1" applyFill="1" applyBorder="1" applyAlignment="1">
      <alignment horizontal="center" vertical="center" wrapText="1"/>
    </xf>
    <xf numFmtId="0" fontId="64" fillId="9" borderId="29" xfId="0" applyFont="1" applyFill="1" applyBorder="1" applyAlignment="1">
      <alignment horizontal="center" vertical="center" wrapText="1"/>
    </xf>
    <xf numFmtId="0" fontId="64" fillId="9" borderId="10" xfId="0" applyFont="1" applyFill="1" applyBorder="1" applyAlignment="1">
      <alignment horizontal="center" vertical="center" wrapText="1"/>
    </xf>
    <xf numFmtId="0" fontId="64" fillId="10" borderId="26" xfId="0" applyFont="1" applyFill="1" applyBorder="1" applyAlignment="1">
      <alignment horizontal="center" vertical="center"/>
    </xf>
    <xf numFmtId="0" fontId="64" fillId="10" borderId="29" xfId="0" applyFont="1" applyFill="1" applyBorder="1" applyAlignment="1">
      <alignment horizontal="center" vertical="center"/>
    </xf>
    <xf numFmtId="0" fontId="64" fillId="10" borderId="29" xfId="0" applyFont="1" applyFill="1" applyBorder="1" applyAlignment="1">
      <alignment horizontal="center" vertical="center" wrapText="1"/>
    </xf>
    <xf numFmtId="0" fontId="65" fillId="10" borderId="29" xfId="0" applyFont="1" applyFill="1" applyBorder="1" applyAlignment="1">
      <alignment horizontal="center" vertical="center" wrapText="1"/>
    </xf>
    <xf numFmtId="0" fontId="64" fillId="10" borderId="30" xfId="0" applyFont="1" applyFill="1" applyBorder="1" applyAlignment="1">
      <alignment horizontal="center" vertical="center" wrapText="1"/>
    </xf>
    <xf numFmtId="0" fontId="64" fillId="10" borderId="10" xfId="0" applyFont="1" applyFill="1" applyBorder="1" applyAlignment="1">
      <alignment horizontal="center" vertical="center"/>
    </xf>
    <xf numFmtId="0" fontId="64" fillId="11" borderId="25" xfId="0" applyFont="1" applyFill="1" applyBorder="1" applyAlignment="1">
      <alignment horizontal="center" vertical="center"/>
    </xf>
    <xf numFmtId="0" fontId="64" fillId="0" borderId="31" xfId="0" applyFont="1" applyBorder="1" applyAlignment="1">
      <alignment horizontal="center"/>
    </xf>
    <xf numFmtId="43" fontId="63" fillId="0" borderId="32" xfId="1" applyFont="1" applyBorder="1"/>
    <xf numFmtId="43" fontId="63" fillId="0" borderId="33" xfId="1" applyFont="1" applyBorder="1"/>
    <xf numFmtId="43" fontId="63" fillId="0" borderId="31" xfId="1" applyFont="1" applyBorder="1"/>
    <xf numFmtId="43" fontId="63" fillId="0" borderId="34" xfId="1" applyFont="1" applyBorder="1"/>
    <xf numFmtId="43" fontId="64" fillId="0" borderId="31" xfId="1" applyFont="1" applyBorder="1"/>
    <xf numFmtId="0" fontId="0" fillId="0" borderId="31" xfId="0" applyBorder="1"/>
    <xf numFmtId="0" fontId="64" fillId="13" borderId="31" xfId="0" applyFont="1" applyFill="1" applyBorder="1" applyAlignment="1">
      <alignment horizontal="center"/>
    </xf>
    <xf numFmtId="43" fontId="63" fillId="13" borderId="31" xfId="1" applyFont="1" applyFill="1" applyBorder="1"/>
    <xf numFmtId="43" fontId="63" fillId="13" borderId="0" xfId="1" applyFont="1" applyFill="1" applyBorder="1"/>
    <xf numFmtId="43" fontId="48" fillId="13" borderId="31" xfId="1" applyFont="1" applyFill="1" applyBorder="1"/>
    <xf numFmtId="43" fontId="64" fillId="13" borderId="31" xfId="1" applyFont="1" applyFill="1" applyBorder="1"/>
    <xf numFmtId="43" fontId="63" fillId="0" borderId="0" xfId="1" applyFont="1" applyBorder="1"/>
    <xf numFmtId="43" fontId="63" fillId="13" borderId="32" xfId="1" applyFont="1" applyFill="1" applyBorder="1"/>
    <xf numFmtId="43" fontId="63" fillId="13" borderId="33" xfId="1" applyFont="1" applyFill="1" applyBorder="1"/>
    <xf numFmtId="43" fontId="63" fillId="13" borderId="34" xfId="1" applyFont="1" applyFill="1" applyBorder="1"/>
    <xf numFmtId="43" fontId="64" fillId="0" borderId="25" xfId="1" applyFont="1" applyBorder="1"/>
    <xf numFmtId="43" fontId="63" fillId="0" borderId="35" xfId="1" applyFont="1" applyBorder="1"/>
    <xf numFmtId="43" fontId="63" fillId="0" borderId="25" xfId="1" applyFont="1" applyBorder="1"/>
    <xf numFmtId="43" fontId="64" fillId="8" borderId="10" xfId="1" applyFont="1" applyFill="1" applyBorder="1" applyAlignment="1">
      <alignment horizontal="center" vertical="center"/>
    </xf>
    <xf numFmtId="43" fontId="64" fillId="8" borderId="26" xfId="1" applyFont="1" applyFill="1" applyBorder="1" applyAlignment="1">
      <alignment vertical="center"/>
    </xf>
    <xf numFmtId="43" fontId="64" fillId="8" borderId="30" xfId="1" applyFont="1" applyFill="1" applyBorder="1" applyAlignment="1">
      <alignment vertical="center"/>
    </xf>
    <xf numFmtId="43" fontId="64" fillId="8" borderId="25" xfId="1" applyFont="1" applyFill="1" applyBorder="1" applyAlignment="1">
      <alignment vertical="center"/>
    </xf>
    <xf numFmtId="43" fontId="64" fillId="8" borderId="29" xfId="1" applyFont="1" applyFill="1" applyBorder="1" applyAlignment="1">
      <alignment vertical="center"/>
    </xf>
    <xf numFmtId="43" fontId="64" fillId="8" borderId="10" xfId="1" applyFont="1" applyFill="1" applyBorder="1" applyAlignment="1">
      <alignment vertical="center"/>
    </xf>
    <xf numFmtId="0" fontId="0" fillId="0" borderId="0" xfId="0" applyAlignment="1">
      <alignment vertical="center"/>
    </xf>
    <xf numFmtId="0" fontId="64" fillId="8" borderId="36" xfId="0" applyFont="1" applyFill="1" applyBorder="1" applyAlignment="1">
      <alignment horizontal="center"/>
    </xf>
    <xf numFmtId="0" fontId="66" fillId="0" borderId="21" xfId="0" applyFont="1" applyBorder="1" applyAlignment="1">
      <alignment horizontal="center"/>
    </xf>
    <xf numFmtId="0" fontId="63" fillId="0" borderId="21" xfId="0" applyFont="1" applyBorder="1"/>
    <xf numFmtId="0" fontId="67" fillId="0" borderId="21" xfId="0" applyFont="1" applyBorder="1"/>
    <xf numFmtId="0" fontId="0" fillId="0" borderId="37" xfId="0" applyBorder="1"/>
    <xf numFmtId="0" fontId="0" fillId="0" borderId="38" xfId="0" applyBorder="1"/>
    <xf numFmtId="0" fontId="66" fillId="13" borderId="0" xfId="0" applyFont="1" applyFill="1" applyAlignment="1">
      <alignment horizontal="center"/>
    </xf>
    <xf numFmtId="0" fontId="63" fillId="13" borderId="0" xfId="0" applyFont="1" applyFill="1"/>
    <xf numFmtId="0" fontId="0" fillId="0" borderId="34" xfId="0" applyBorder="1"/>
    <xf numFmtId="0" fontId="66" fillId="0" borderId="0" xfId="0" applyFont="1" applyAlignment="1">
      <alignment horizontal="center"/>
    </xf>
    <xf numFmtId="0" fontId="0" fillId="13" borderId="34" xfId="0" applyFill="1" applyBorder="1"/>
    <xf numFmtId="0" fontId="0" fillId="0" borderId="39" xfId="0" applyBorder="1"/>
    <xf numFmtId="0" fontId="63" fillId="0" borderId="15" xfId="0" applyFont="1" applyBorder="1"/>
    <xf numFmtId="0" fontId="66" fillId="0" borderId="15" xfId="0" applyFont="1" applyBorder="1" applyAlignment="1">
      <alignment horizontal="center"/>
    </xf>
    <xf numFmtId="0" fontId="63" fillId="13" borderId="15" xfId="0" applyFont="1" applyFill="1" applyBorder="1"/>
    <xf numFmtId="0" fontId="0" fillId="13" borderId="35" xfId="0" applyFill="1" applyBorder="1"/>
    <xf numFmtId="17" fontId="62" fillId="8" borderId="0" xfId="0" applyNumberFormat="1" applyFont="1" applyFill="1" applyAlignment="1">
      <alignment horizontal="center" vertical="center"/>
    </xf>
    <xf numFmtId="0" fontId="64" fillId="11" borderId="0" xfId="0" applyFont="1" applyFill="1" applyAlignment="1">
      <alignment horizontal="center"/>
    </xf>
    <xf numFmtId="0" fontId="64" fillId="11" borderId="0" xfId="0" applyFont="1" applyFill="1" applyAlignment="1">
      <alignment horizontal="center" vertical="center"/>
    </xf>
    <xf numFmtId="43" fontId="64" fillId="0" borderId="0" xfId="1" applyFont="1" applyBorder="1"/>
    <xf numFmtId="43" fontId="64" fillId="8" borderId="0" xfId="1" applyFont="1" applyFill="1" applyBorder="1" applyAlignment="1">
      <alignment vertical="center"/>
    </xf>
    <xf numFmtId="0" fontId="0" fillId="13" borderId="0" xfId="0" applyFill="1"/>
    <xf numFmtId="0" fontId="31" fillId="14" borderId="0" xfId="0" applyFont="1" applyFill="1" applyAlignment="1">
      <alignment horizontal="center"/>
    </xf>
    <xf numFmtId="3" fontId="31" fillId="14" borderId="0" xfId="0" applyNumberFormat="1" applyFont="1" applyFill="1" applyAlignment="1">
      <alignment horizontal="center"/>
    </xf>
    <xf numFmtId="43" fontId="31" fillId="14" borderId="0" xfId="0" applyNumberFormat="1" applyFont="1" applyFill="1"/>
    <xf numFmtId="0" fontId="31" fillId="14" borderId="0" xfId="0" applyFont="1" applyFill="1"/>
    <xf numFmtId="9" fontId="31" fillId="14" borderId="0" xfId="0" applyNumberFormat="1" applyFont="1" applyFill="1"/>
    <xf numFmtId="4" fontId="43" fillId="14" borderId="0" xfId="0" applyNumberFormat="1" applyFont="1" applyFill="1"/>
    <xf numFmtId="0" fontId="43" fillId="14" borderId="0" xfId="0" applyFont="1" applyFill="1"/>
    <xf numFmtId="3" fontId="43" fillId="14" borderId="0" xfId="0" applyNumberFormat="1" applyFont="1" applyFill="1"/>
    <xf numFmtId="2" fontId="31" fillId="14" borderId="0" xfId="0" applyNumberFormat="1" applyFont="1" applyFill="1" applyAlignment="1">
      <alignment horizontal="center"/>
    </xf>
    <xf numFmtId="4" fontId="68" fillId="0" borderId="0" xfId="0" applyNumberFormat="1" applyFont="1" applyAlignment="1">
      <alignment horizontal="right"/>
    </xf>
    <xf numFmtId="4" fontId="69" fillId="0" borderId="0" xfId="0" applyNumberFormat="1" applyFont="1"/>
    <xf numFmtId="4" fontId="69" fillId="0" borderId="0" xfId="0" applyNumberFormat="1" applyFont="1" applyAlignment="1">
      <alignment horizontal="right"/>
    </xf>
    <xf numFmtId="4" fontId="70" fillId="0" borderId="0" xfId="0" applyNumberFormat="1" applyFont="1"/>
    <xf numFmtId="43" fontId="69" fillId="0" borderId="0" xfId="1" applyFont="1"/>
    <xf numFmtId="4" fontId="32" fillId="14" borderId="0" xfId="0" applyNumberFormat="1" applyFont="1" applyFill="1"/>
    <xf numFmtId="10" fontId="0" fillId="0" borderId="0" xfId="0" applyNumberFormat="1" applyAlignment="1">
      <alignment horizontal="left"/>
    </xf>
    <xf numFmtId="1" fontId="0" fillId="0" borderId="0" xfId="0" applyNumberFormat="1" applyAlignment="1">
      <alignment horizontal="left"/>
    </xf>
    <xf numFmtId="0" fontId="71" fillId="0" borderId="0" xfId="0" applyFont="1" applyAlignment="1">
      <alignment horizontal="left"/>
    </xf>
    <xf numFmtId="0" fontId="72" fillId="0" borderId="0" xfId="0" applyFont="1"/>
    <xf numFmtId="2" fontId="0" fillId="0" borderId="0" xfId="0" applyNumberFormat="1" applyAlignment="1">
      <alignment horizontal="center"/>
    </xf>
    <xf numFmtId="0" fontId="73" fillId="0" borderId="0" xfId="0" applyFont="1"/>
    <xf numFmtId="9" fontId="50" fillId="0" borderId="0" xfId="2" applyFont="1" applyFill="1" applyAlignment="1">
      <alignment vertical="center"/>
    </xf>
    <xf numFmtId="0" fontId="55" fillId="2" borderId="0" xfId="0" applyFont="1" applyFill="1"/>
    <xf numFmtId="0" fontId="54" fillId="2" borderId="40" xfId="0" applyFont="1" applyFill="1" applyBorder="1" applyAlignment="1">
      <alignment vertical="center"/>
    </xf>
    <xf numFmtId="0" fontId="55" fillId="2" borderId="24" xfId="0" applyFont="1" applyFill="1" applyBorder="1" applyAlignment="1">
      <alignment vertical="center"/>
    </xf>
    <xf numFmtId="0" fontId="54" fillId="2" borderId="41" xfId="0" applyFont="1" applyFill="1" applyBorder="1" applyAlignment="1">
      <alignment vertical="center"/>
    </xf>
    <xf numFmtId="0" fontId="74" fillId="0" borderId="0" xfId="0" applyFont="1"/>
    <xf numFmtId="0" fontId="38" fillId="4" borderId="0" xfId="0" applyFont="1" applyFill="1"/>
    <xf numFmtId="0" fontId="55" fillId="4" borderId="0" xfId="0" applyFont="1" applyFill="1"/>
    <xf numFmtId="0" fontId="38" fillId="4" borderId="0" xfId="0" applyFont="1" applyFill="1" applyAlignment="1">
      <alignment horizontal="right"/>
    </xf>
    <xf numFmtId="10" fontId="38" fillId="4" borderId="0" xfId="2" applyNumberFormat="1" applyFont="1" applyFill="1"/>
    <xf numFmtId="0" fontId="3" fillId="0" borderId="0" xfId="0" applyFont="1" applyAlignment="1">
      <alignment horizontal="center"/>
    </xf>
    <xf numFmtId="8" fontId="48" fillId="0" borderId="0" xfId="0" applyNumberFormat="1" applyFont="1"/>
    <xf numFmtId="8" fontId="46" fillId="0" borderId="0" xfId="0" applyNumberFormat="1" applyFont="1"/>
    <xf numFmtId="9" fontId="54" fillId="2" borderId="0" xfId="0" applyNumberFormat="1" applyFont="1" applyFill="1" applyAlignment="1">
      <alignment horizontal="left" vertical="center"/>
    </xf>
    <xf numFmtId="8" fontId="55" fillId="2" borderId="16" xfId="0" applyNumberFormat="1" applyFont="1" applyFill="1" applyBorder="1" applyAlignment="1">
      <alignment horizontal="right" vertical="center" wrapText="1"/>
    </xf>
    <xf numFmtId="8" fontId="54" fillId="2" borderId="42" xfId="0" applyNumberFormat="1" applyFont="1" applyFill="1" applyBorder="1" applyAlignment="1">
      <alignment horizontal="right" vertical="center" wrapText="1"/>
    </xf>
    <xf numFmtId="0" fontId="54" fillId="2" borderId="0" xfId="0" applyFont="1" applyFill="1" applyAlignment="1">
      <alignment horizontal="left" vertical="center"/>
    </xf>
    <xf numFmtId="0" fontId="54" fillId="2" borderId="0" xfId="0" applyFont="1" applyFill="1" applyAlignment="1">
      <alignment vertical="center"/>
    </xf>
    <xf numFmtId="8" fontId="75" fillId="0" borderId="0" xfId="0" applyNumberFormat="1" applyFont="1"/>
    <xf numFmtId="17" fontId="0" fillId="0" borderId="0" xfId="0" applyNumberFormat="1"/>
    <xf numFmtId="9" fontId="48" fillId="0" borderId="0" xfId="0" applyNumberFormat="1" applyFont="1"/>
    <xf numFmtId="168" fontId="48" fillId="0" borderId="0" xfId="2" applyNumberFormat="1" applyFont="1"/>
    <xf numFmtId="9" fontId="0" fillId="0" borderId="0" xfId="0" applyNumberFormat="1"/>
    <xf numFmtId="43" fontId="51" fillId="0" borderId="0" xfId="1" applyFont="1" applyFill="1" applyAlignment="1">
      <alignment vertical="center"/>
    </xf>
    <xf numFmtId="3" fontId="49" fillId="2" borderId="0" xfId="0" applyNumberFormat="1" applyFont="1" applyFill="1"/>
    <xf numFmtId="0" fontId="77" fillId="0" borderId="0" xfId="0" applyFont="1"/>
    <xf numFmtId="8" fontId="77" fillId="0" borderId="0" xfId="0" applyNumberFormat="1" applyFont="1"/>
    <xf numFmtId="9" fontId="49" fillId="0" borderId="0" xfId="0" applyNumberFormat="1" applyFont="1"/>
    <xf numFmtId="0" fontId="77" fillId="0" borderId="0" xfId="0" applyFont="1" applyAlignment="1">
      <alignment horizontal="center"/>
    </xf>
    <xf numFmtId="8" fontId="77" fillId="0" borderId="0" xfId="0" applyNumberFormat="1" applyFont="1" applyAlignment="1">
      <alignment horizontal="center"/>
    </xf>
    <xf numFmtId="168" fontId="48" fillId="0" borderId="0" xfId="0" applyNumberFormat="1" applyFont="1"/>
    <xf numFmtId="8" fontId="0" fillId="0" borderId="10" xfId="0" applyNumberFormat="1" applyBorder="1" applyAlignment="1">
      <alignment horizontal="center"/>
    </xf>
    <xf numFmtId="0" fontId="0" fillId="0" borderId="9" xfId="0" applyBorder="1" applyAlignment="1">
      <alignment horizontal="center"/>
    </xf>
    <xf numFmtId="0" fontId="0" fillId="0" borderId="12" xfId="0" applyBorder="1" applyAlignment="1">
      <alignment horizontal="center"/>
    </xf>
    <xf numFmtId="8" fontId="0" fillId="0" borderId="13" xfId="0" applyNumberFormat="1" applyBorder="1" applyAlignment="1">
      <alignment horizontal="center"/>
    </xf>
    <xf numFmtId="0" fontId="0" fillId="0" borderId="43" xfId="0" applyBorder="1" applyAlignment="1">
      <alignment horizontal="center"/>
    </xf>
    <xf numFmtId="8" fontId="0" fillId="0" borderId="25" xfId="0" applyNumberFormat="1" applyBorder="1" applyAlignment="1">
      <alignment horizontal="center"/>
    </xf>
    <xf numFmtId="0" fontId="43" fillId="15" borderId="44" xfId="0" applyFont="1" applyFill="1" applyBorder="1" applyAlignment="1">
      <alignment horizontal="center"/>
    </xf>
    <xf numFmtId="0" fontId="43" fillId="15" borderId="45" xfId="0" applyFont="1" applyFill="1" applyBorder="1" applyAlignment="1">
      <alignment horizontal="center"/>
    </xf>
    <xf numFmtId="0" fontId="43" fillId="15" borderId="46" xfId="0" applyFont="1" applyFill="1" applyBorder="1" applyAlignment="1">
      <alignment horizontal="center"/>
    </xf>
    <xf numFmtId="0" fontId="0" fillId="4" borderId="0" xfId="0" applyFill="1"/>
    <xf numFmtId="0" fontId="43" fillId="4" borderId="0" xfId="0" applyFont="1" applyFill="1"/>
    <xf numFmtId="10" fontId="48" fillId="0" borderId="0" xfId="2" applyNumberFormat="1" applyFont="1"/>
    <xf numFmtId="10" fontId="52" fillId="0" borderId="0" xfId="0" applyNumberFormat="1" applyFont="1"/>
    <xf numFmtId="4" fontId="48" fillId="0" borderId="0" xfId="0" applyNumberFormat="1" applyFont="1" applyAlignment="1">
      <alignment horizontal="center"/>
    </xf>
    <xf numFmtId="0" fontId="50" fillId="0" borderId="0" xfId="0" applyFont="1" applyAlignment="1">
      <alignment horizontal="center"/>
    </xf>
    <xf numFmtId="0" fontId="81" fillId="0" borderId="0" xfId="0" applyFont="1" applyAlignment="1">
      <alignment horizontal="center"/>
    </xf>
    <xf numFmtId="0" fontId="82" fillId="0" borderId="0" xfId="0" applyFont="1" applyAlignment="1">
      <alignment horizontal="center"/>
    </xf>
    <xf numFmtId="43" fontId="52" fillId="0" borderId="0" xfId="0" applyNumberFormat="1" applyFont="1"/>
    <xf numFmtId="43" fontId="79" fillId="0" borderId="0" xfId="0" applyNumberFormat="1" applyFont="1"/>
    <xf numFmtId="43" fontId="80" fillId="0" borderId="0" xfId="0" applyNumberFormat="1" applyFont="1"/>
    <xf numFmtId="168" fontId="51" fillId="6" borderId="0" xfId="2" applyNumberFormat="1" applyFont="1" applyFill="1"/>
    <xf numFmtId="1" fontId="48" fillId="0" borderId="0" xfId="0" applyNumberFormat="1" applyFont="1" applyAlignment="1">
      <alignment horizontal="center"/>
    </xf>
    <xf numFmtId="43" fontId="51" fillId="6" borderId="0" xfId="0" applyNumberFormat="1" applyFont="1" applyFill="1"/>
    <xf numFmtId="8" fontId="78" fillId="0" borderId="0" xfId="1" applyNumberFormat="1" applyFont="1" applyAlignment="1">
      <alignment horizontal="center"/>
    </xf>
    <xf numFmtId="8" fontId="51" fillId="6" borderId="0" xfId="0" applyNumberFormat="1" applyFont="1" applyFill="1"/>
    <xf numFmtId="0" fontId="45" fillId="16" borderId="0" xfId="0" applyFont="1" applyFill="1" applyAlignment="1">
      <alignment horizontal="center"/>
    </xf>
    <xf numFmtId="43" fontId="45" fillId="16" borderId="0" xfId="0" applyNumberFormat="1" applyFont="1" applyFill="1" applyAlignment="1">
      <alignment horizontal="center"/>
    </xf>
    <xf numFmtId="168" fontId="45" fillId="16" borderId="0" xfId="0" applyNumberFormat="1" applyFont="1" applyFill="1" applyAlignment="1">
      <alignment horizontal="center"/>
    </xf>
    <xf numFmtId="1" fontId="45" fillId="16" borderId="0" xfId="0" applyNumberFormat="1" applyFont="1" applyFill="1" applyAlignment="1">
      <alignment horizontal="center"/>
    </xf>
    <xf numFmtId="0" fontId="45" fillId="16" borderId="0" xfId="0" applyFont="1" applyFill="1"/>
    <xf numFmtId="4" fontId="48" fillId="0" borderId="0" xfId="0" applyNumberFormat="1" applyFont="1"/>
    <xf numFmtId="4" fontId="47" fillId="0" borderId="0" xfId="0" applyNumberFormat="1" applyFont="1"/>
    <xf numFmtId="10" fontId="47" fillId="0" borderId="0" xfId="2" applyNumberFormat="1" applyFont="1"/>
    <xf numFmtId="2" fontId="47" fillId="0" borderId="0" xfId="0" applyNumberFormat="1" applyFont="1"/>
    <xf numFmtId="1" fontId="47" fillId="0" borderId="0" xfId="0" applyNumberFormat="1" applyFont="1" applyAlignment="1">
      <alignment horizontal="center"/>
    </xf>
    <xf numFmtId="4" fontId="46" fillId="0" borderId="0" xfId="0" applyNumberFormat="1" applyFont="1"/>
    <xf numFmtId="10" fontId="46" fillId="0" borderId="0" xfId="2" applyNumberFormat="1" applyFont="1"/>
    <xf numFmtId="3" fontId="46" fillId="0" borderId="0" xfId="0" applyNumberFormat="1" applyFont="1" applyAlignment="1">
      <alignment horizontal="center"/>
    </xf>
    <xf numFmtId="0" fontId="46" fillId="0" borderId="0" xfId="0" applyFont="1" applyAlignment="1">
      <alignment horizontal="right"/>
    </xf>
    <xf numFmtId="0" fontId="49" fillId="0" borderId="0" xfId="0" applyFont="1" applyAlignment="1">
      <alignment horizontal="right"/>
    </xf>
    <xf numFmtId="4" fontId="49" fillId="0" borderId="0" xfId="0" applyNumberFormat="1" applyFont="1"/>
    <xf numFmtId="0" fontId="54" fillId="2" borderId="0" xfId="0" applyFont="1" applyFill="1" applyAlignment="1">
      <alignment horizontal="center" vertical="center"/>
    </xf>
    <xf numFmtId="9" fontId="54" fillId="2" borderId="0" xfId="0" applyNumberFormat="1" applyFont="1" applyFill="1" applyAlignment="1">
      <alignment horizontal="left" vertical="center"/>
    </xf>
    <xf numFmtId="9" fontId="54" fillId="2" borderId="0" xfId="0" applyNumberFormat="1" applyFont="1" applyFill="1" applyAlignment="1">
      <alignment horizontal="center" vertical="center"/>
    </xf>
    <xf numFmtId="0" fontId="2" fillId="0" borderId="0" xfId="0" applyFont="1" applyAlignment="1">
      <alignment horizontal="center" vertical="center" wrapText="1"/>
    </xf>
    <xf numFmtId="0" fontId="2" fillId="0" borderId="0" xfId="0" applyFont="1" applyAlignment="1">
      <alignment horizontal="center" vertical="center"/>
    </xf>
    <xf numFmtId="0" fontId="2" fillId="0" borderId="0" xfId="0" applyFont="1" applyAlignment="1">
      <alignment horizontal="center"/>
    </xf>
    <xf numFmtId="0" fontId="25" fillId="0" borderId="0" xfId="0" applyFont="1" applyAlignment="1">
      <alignment horizontal="center"/>
    </xf>
    <xf numFmtId="3" fontId="29" fillId="0" borderId="0" xfId="0" applyNumberFormat="1" applyFont="1" applyAlignment="1">
      <alignment horizontal="right"/>
    </xf>
    <xf numFmtId="3" fontId="26" fillId="0" borderId="0" xfId="0" applyNumberFormat="1" applyFont="1" applyAlignment="1">
      <alignment horizontal="right"/>
    </xf>
    <xf numFmtId="0" fontId="31" fillId="2" borderId="0" xfId="0" applyFont="1" applyFill="1" applyAlignment="1">
      <alignment horizontal="center" vertical="center"/>
    </xf>
    <xf numFmtId="3" fontId="26" fillId="0" borderId="0" xfId="0" applyNumberFormat="1" applyFont="1" applyAlignment="1">
      <alignment horizontal="center" vertical="center"/>
    </xf>
    <xf numFmtId="3" fontId="26" fillId="0" borderId="0" xfId="0" applyNumberFormat="1" applyFont="1" applyAlignment="1">
      <alignment horizontal="center" wrapText="1"/>
    </xf>
    <xf numFmtId="3" fontId="26" fillId="0" borderId="0" xfId="0" applyNumberFormat="1" applyFont="1" applyAlignment="1">
      <alignment horizontal="center" vertical="center" wrapText="1"/>
    </xf>
    <xf numFmtId="3" fontId="9" fillId="0" borderId="0" xfId="0" applyNumberFormat="1" applyFont="1" applyAlignment="1">
      <alignment horizontal="center"/>
    </xf>
    <xf numFmtId="0" fontId="2" fillId="0" borderId="0" xfId="0" applyFont="1" applyAlignment="1">
      <alignment horizontal="center" wrapText="1"/>
    </xf>
    <xf numFmtId="43" fontId="2" fillId="0" borderId="0" xfId="0" applyNumberFormat="1" applyFont="1" applyAlignment="1">
      <alignment horizontal="center"/>
    </xf>
    <xf numFmtId="0" fontId="7" fillId="0" borderId="0" xfId="0" applyFont="1" applyAlignment="1">
      <alignment horizontal="center" vertical="center"/>
    </xf>
    <xf numFmtId="0" fontId="7" fillId="0" borderId="15" xfId="0" applyFont="1" applyBorder="1" applyAlignment="1">
      <alignment horizontal="center" vertical="center"/>
    </xf>
    <xf numFmtId="0" fontId="31" fillId="7" borderId="0" xfId="0" applyFont="1" applyFill="1" applyAlignment="1">
      <alignment horizontal="center" vertical="center" wrapText="1"/>
    </xf>
    <xf numFmtId="0" fontId="9" fillId="0" borderId="0" xfId="0" applyFont="1" applyAlignment="1">
      <alignment horizontal="left" vertical="center"/>
    </xf>
    <xf numFmtId="0" fontId="31" fillId="2" borderId="1" xfId="0" applyFont="1" applyFill="1" applyBorder="1" applyAlignment="1">
      <alignment horizontal="center"/>
    </xf>
    <xf numFmtId="0" fontId="31" fillId="2" borderId="2" xfId="0" applyFont="1" applyFill="1" applyBorder="1" applyAlignment="1">
      <alignment horizontal="center"/>
    </xf>
    <xf numFmtId="0" fontId="34" fillId="0" borderId="7" xfId="0" applyFont="1" applyBorder="1" applyAlignment="1">
      <alignment horizontal="left"/>
    </xf>
    <xf numFmtId="0" fontId="34" fillId="0" borderId="0" xfId="0" applyFont="1" applyAlignment="1">
      <alignment horizontal="left"/>
    </xf>
    <xf numFmtId="4" fontId="34" fillId="0" borderId="0" xfId="0" applyNumberFormat="1" applyFont="1" applyAlignment="1">
      <alignment horizontal="center"/>
    </xf>
    <xf numFmtId="4" fontId="34" fillId="0" borderId="8" xfId="0" applyNumberFormat="1" applyFont="1" applyBorder="1" applyAlignment="1">
      <alignment horizontal="center"/>
    </xf>
    <xf numFmtId="0" fontId="34" fillId="0" borderId="4" xfId="0" applyFont="1" applyBorder="1" applyAlignment="1">
      <alignment horizontal="left"/>
    </xf>
    <xf numFmtId="0" fontId="34" fillId="0" borderId="5" xfId="0" applyFont="1" applyBorder="1" applyAlignment="1">
      <alignment horizontal="left"/>
    </xf>
    <xf numFmtId="4" fontId="34" fillId="0" borderId="5" xfId="0" applyNumberFormat="1" applyFont="1" applyBorder="1" applyAlignment="1">
      <alignment horizontal="center"/>
    </xf>
    <xf numFmtId="4" fontId="34" fillId="0" borderId="6" xfId="0" applyNumberFormat="1" applyFont="1" applyBorder="1" applyAlignment="1">
      <alignment horizontal="center"/>
    </xf>
    <xf numFmtId="0" fontId="31" fillId="2" borderId="4" xfId="0" applyFont="1" applyFill="1" applyBorder="1" applyAlignment="1">
      <alignment horizontal="center"/>
    </xf>
    <xf numFmtId="0" fontId="31" fillId="2" borderId="5" xfId="0" applyFont="1" applyFill="1" applyBorder="1" applyAlignment="1">
      <alignment horizontal="center"/>
    </xf>
    <xf numFmtId="0" fontId="32" fillId="2" borderId="1" xfId="0" applyFont="1" applyFill="1" applyBorder="1" applyAlignment="1">
      <alignment horizontal="center"/>
    </xf>
    <xf numFmtId="0" fontId="32" fillId="2" borderId="2" xfId="0" applyFont="1" applyFill="1" applyBorder="1" applyAlignment="1">
      <alignment horizontal="center"/>
    </xf>
    <xf numFmtId="0" fontId="37" fillId="2" borderId="4" xfId="0" applyFont="1" applyFill="1" applyBorder="1" applyAlignment="1">
      <alignment horizontal="center" vertical="center"/>
    </xf>
    <xf numFmtId="0" fontId="37" fillId="2" borderId="5" xfId="0" applyFont="1" applyFill="1" applyBorder="1" applyAlignment="1">
      <alignment horizontal="center" vertical="center"/>
    </xf>
    <xf numFmtId="0" fontId="0" fillId="0" borderId="8" xfId="0" applyBorder="1" applyAlignment="1">
      <alignment horizontal="center" vertical="center"/>
    </xf>
    <xf numFmtId="0" fontId="32" fillId="2" borderId="4" xfId="0" applyFont="1" applyFill="1" applyBorder="1" applyAlignment="1">
      <alignment horizontal="center"/>
    </xf>
    <xf numFmtId="0" fontId="32" fillId="2" borderId="5" xfId="0" applyFont="1" applyFill="1" applyBorder="1" applyAlignment="1">
      <alignment horizontal="center"/>
    </xf>
    <xf numFmtId="0" fontId="0" fillId="0" borderId="7" xfId="0" applyBorder="1" applyAlignment="1">
      <alignment horizontal="center" wrapText="1"/>
    </xf>
    <xf numFmtId="0" fontId="0" fillId="0" borderId="0" xfId="0" applyAlignment="1">
      <alignment horizontal="center" vertical="center"/>
    </xf>
    <xf numFmtId="4" fontId="0" fillId="0" borderId="8" xfId="0" applyNumberFormat="1" applyBorder="1" applyAlignment="1">
      <alignment horizontal="center" vertical="center"/>
    </xf>
    <xf numFmtId="0" fontId="31" fillId="7" borderId="0" xfId="0" applyFont="1" applyFill="1" applyAlignment="1">
      <alignment horizontal="left"/>
    </xf>
    <xf numFmtId="0" fontId="0" fillId="0" borderId="0" xfId="0" applyAlignment="1">
      <alignment horizontal="center"/>
    </xf>
    <xf numFmtId="167" fontId="0" fillId="0" borderId="0" xfId="0" applyNumberFormat="1" applyAlignment="1">
      <alignment horizontal="right"/>
    </xf>
    <xf numFmtId="0" fontId="31" fillId="2" borderId="0" xfId="0" applyFont="1" applyFill="1" applyAlignment="1">
      <alignment horizontal="center"/>
    </xf>
    <xf numFmtId="0" fontId="43" fillId="2" borderId="0" xfId="0" applyFont="1" applyFill="1" applyAlignment="1">
      <alignment horizontal="center"/>
    </xf>
    <xf numFmtId="0" fontId="31" fillId="2" borderId="0" xfId="0" applyFont="1" applyFill="1" applyAlignment="1">
      <alignment horizontal="left"/>
    </xf>
    <xf numFmtId="4" fontId="0" fillId="0" borderId="0" xfId="0" applyNumberFormat="1" applyAlignment="1">
      <alignment horizontal="right"/>
    </xf>
    <xf numFmtId="0" fontId="32" fillId="2" borderId="0" xfId="0" applyFont="1" applyFill="1" applyAlignment="1">
      <alignment horizontal="center"/>
    </xf>
    <xf numFmtId="2" fontId="0" fillId="0" borderId="0" xfId="0" applyNumberFormat="1" applyAlignment="1">
      <alignment horizontal="center"/>
    </xf>
    <xf numFmtId="4" fontId="31" fillId="2" borderId="0" xfId="0" applyNumberFormat="1" applyFont="1" applyFill="1" applyAlignment="1">
      <alignment horizontal="center"/>
    </xf>
    <xf numFmtId="0" fontId="32" fillId="2" borderId="0" xfId="0" applyFont="1" applyFill="1" applyAlignment="1">
      <alignment horizontal="left"/>
    </xf>
    <xf numFmtId="0" fontId="64" fillId="9" borderId="16" xfId="0" applyFont="1" applyFill="1" applyBorder="1" applyAlignment="1">
      <alignment horizontal="center" vertical="center"/>
    </xf>
    <xf numFmtId="0" fontId="64" fillId="9" borderId="22" xfId="0" applyFont="1" applyFill="1" applyBorder="1" applyAlignment="1">
      <alignment horizontal="center" vertical="center"/>
    </xf>
    <xf numFmtId="0" fontId="64" fillId="10" borderId="22" xfId="0" applyFont="1" applyFill="1" applyBorder="1" applyAlignment="1">
      <alignment horizontal="center" vertical="center"/>
    </xf>
    <xf numFmtId="0" fontId="64" fillId="10" borderId="24" xfId="0" applyFont="1" applyFill="1" applyBorder="1" applyAlignment="1">
      <alignment horizontal="center" vertical="center"/>
    </xf>
    <xf numFmtId="0" fontId="43" fillId="2" borderId="0" xfId="0" applyFont="1" applyFill="1" applyAlignment="1">
      <alignment horizontal="left"/>
    </xf>
    <xf numFmtId="0" fontId="31" fillId="2" borderId="0" xfId="0" applyFont="1" applyFill="1" applyAlignment="1">
      <alignment horizontal="center" vertical="center" textRotation="90"/>
    </xf>
    <xf numFmtId="0" fontId="31" fillId="2" borderId="0" xfId="0" applyFont="1" applyFill="1" applyAlignment="1">
      <alignment horizontal="center" vertical="center" wrapText="1"/>
    </xf>
    <xf numFmtId="0" fontId="30" fillId="0" borderId="0" xfId="0" applyFont="1" applyAlignment="1">
      <alignment horizontal="center"/>
    </xf>
    <xf numFmtId="0" fontId="9" fillId="0" borderId="0" xfId="0" applyFont="1" applyAlignment="1">
      <alignment horizontal="right" vertical="center" wrapText="1"/>
    </xf>
    <xf numFmtId="0" fontId="32" fillId="14" borderId="0" xfId="0" applyFont="1" applyFill="1" applyAlignment="1">
      <alignment horizontal="center"/>
    </xf>
    <xf numFmtId="0" fontId="43" fillId="14" borderId="0" xfId="0" applyFont="1" applyFill="1" applyAlignment="1">
      <alignment horizontal="left"/>
    </xf>
    <xf numFmtId="0" fontId="31" fillId="14" borderId="0" xfId="0" applyFont="1" applyFill="1" applyAlignment="1">
      <alignment horizontal="center"/>
    </xf>
    <xf numFmtId="0" fontId="31" fillId="14" borderId="0" xfId="0" applyFont="1" applyFill="1" applyAlignment="1">
      <alignment horizontal="center" vertical="center" textRotation="90"/>
    </xf>
    <xf numFmtId="0" fontId="31" fillId="14" borderId="0" xfId="0" applyFont="1" applyFill="1" applyAlignment="1">
      <alignment horizontal="center" vertical="center" wrapText="1"/>
    </xf>
    <xf numFmtId="9" fontId="2" fillId="0" borderId="49" xfId="0" applyNumberFormat="1" applyFont="1" applyBorder="1" applyAlignment="1">
      <alignment horizontal="center" vertical="center"/>
    </xf>
    <xf numFmtId="9" fontId="2" fillId="0" borderId="47" xfId="0" applyNumberFormat="1" applyFont="1" applyBorder="1" applyAlignment="1">
      <alignment horizontal="center" vertical="center"/>
    </xf>
    <xf numFmtId="9" fontId="2" fillId="0" borderId="48" xfId="0" applyNumberFormat="1" applyFont="1" applyBorder="1" applyAlignment="1">
      <alignment horizontal="center" vertical="center"/>
    </xf>
    <xf numFmtId="0" fontId="44" fillId="2" borderId="0" xfId="0" applyFont="1" applyFill="1" applyAlignment="1">
      <alignment horizontal="center" textRotation="90"/>
    </xf>
    <xf numFmtId="3" fontId="45" fillId="2" borderId="0" xfId="0" applyNumberFormat="1" applyFont="1" applyFill="1" applyAlignment="1">
      <alignment horizontal="right" vertical="center"/>
    </xf>
    <xf numFmtId="3" fontId="45" fillId="2" borderId="0" xfId="0" applyNumberFormat="1" applyFont="1" applyFill="1" applyAlignment="1">
      <alignment horizontal="center" vertical="center"/>
    </xf>
    <xf numFmtId="0" fontId="46" fillId="0" borderId="0" xfId="0" applyFont="1" applyAlignment="1">
      <alignment horizontal="center"/>
    </xf>
  </cellXfs>
  <cellStyles count="5">
    <cellStyle name="Hiperlink" xfId="3" builtinId="8"/>
    <cellStyle name="Moeda" xfId="4" builtinId="4"/>
    <cellStyle name="Normal" xfId="0" builtinId="0"/>
    <cellStyle name="Porcentagem" xfId="2" builtinId="5"/>
    <cellStyle name="Vírgula" xfId="1" builtinId="3"/>
  </cellStyles>
  <dxfs count="0"/>
  <tableStyles count="0" defaultTableStyle="TableStyleMedium2" defaultPivotStyle="PivotStyleLight16"/>
  <colors>
    <mruColors>
      <color rgb="FFFF9900"/>
      <color rgb="FF835E15"/>
      <color rgb="FF7D2B1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val>
            <c:numRef>
              <c:f>DRE_FC!$D$36:$AL$36</c:f>
              <c:numCache>
                <c:formatCode>_(* #,##0.00_);_(* \(#,##0.00\);_(* "-"??_);_(@_)</c:formatCode>
                <c:ptCount val="35"/>
                <c:pt idx="0">
                  <c:v>5549875.7665474154</c:v>
                </c:pt>
                <c:pt idx="1">
                  <c:v>2531242.1671892311</c:v>
                </c:pt>
                <c:pt idx="2">
                  <c:v>2812962.7159413174</c:v>
                </c:pt>
                <c:pt idx="3">
                  <c:v>-2743643.2325189915</c:v>
                </c:pt>
                <c:pt idx="4">
                  <c:v>-3623288.0289753554</c:v>
                </c:pt>
                <c:pt idx="5">
                  <c:v>1916185.6970189959</c:v>
                </c:pt>
                <c:pt idx="6">
                  <c:v>697248.60075778328</c:v>
                </c:pt>
                <c:pt idx="7">
                  <c:v>1957849.6270603556</c:v>
                </c:pt>
                <c:pt idx="8">
                  <c:v>1098097.1151906499</c:v>
                </c:pt>
                <c:pt idx="9">
                  <c:v>-108833.51464869641</c:v>
                </c:pt>
                <c:pt idx="10">
                  <c:v>3577953.1507313354</c:v>
                </c:pt>
                <c:pt idx="11">
                  <c:v>3001557.2184089227</c:v>
                </c:pt>
                <c:pt idx="12">
                  <c:v>2536928.5907746954</c:v>
                </c:pt>
                <c:pt idx="13">
                  <c:v>6179402.0415299293</c:v>
                </c:pt>
                <c:pt idx="14">
                  <c:v>5635819.1131543741</c:v>
                </c:pt>
                <c:pt idx="15">
                  <c:v>7625103.1188047249</c:v>
                </c:pt>
                <c:pt idx="16">
                  <c:v>12688442.983570416</c:v>
                </c:pt>
                <c:pt idx="17">
                  <c:v>12497843.267922245</c:v>
                </c:pt>
                <c:pt idx="18">
                  <c:v>12574628.089913979</c:v>
                </c:pt>
                <c:pt idx="19">
                  <c:v>20569917.987555113</c:v>
                </c:pt>
                <c:pt idx="20">
                  <c:v>20426428.76277113</c:v>
                </c:pt>
                <c:pt idx="21">
                  <c:v>20837499.049696907</c:v>
                </c:pt>
                <c:pt idx="22">
                  <c:v>30328411.235968001</c:v>
                </c:pt>
                <c:pt idx="23">
                  <c:v>30485129.585358631</c:v>
                </c:pt>
                <c:pt idx="24">
                  <c:v>31380220.487103079</c:v>
                </c:pt>
                <c:pt idx="25">
                  <c:v>42428839.305246696</c:v>
                </c:pt>
                <c:pt idx="26">
                  <c:v>43064498.134054914</c:v>
                </c:pt>
                <c:pt idx="27">
                  <c:v>44488815.23146262</c:v>
                </c:pt>
                <c:pt idx="28">
                  <c:v>57668517.961271159</c:v>
                </c:pt>
                <c:pt idx="29">
                  <c:v>58762679.146258734</c:v>
                </c:pt>
                <c:pt idx="30">
                  <c:v>60487771.298993602</c:v>
                </c:pt>
                <c:pt idx="31">
                  <c:v>62795849.584792711</c:v>
                </c:pt>
                <c:pt idx="32">
                  <c:v>65207038.372969493</c:v>
                </c:pt>
                <c:pt idx="33">
                  <c:v>67711022.973149776</c:v>
                </c:pt>
                <c:pt idx="34">
                  <c:v>70367177.981865346</c:v>
                </c:pt>
              </c:numCache>
            </c:numRef>
          </c:val>
          <c:smooth val="0"/>
          <c:extLst>
            <c:ext xmlns:c16="http://schemas.microsoft.com/office/drawing/2014/chart" uri="{C3380CC4-5D6E-409C-BE32-E72D297353CC}">
              <c16:uniqueId val="{00000000-3C9E-468A-9AC3-EA22D5304924}"/>
            </c:ext>
          </c:extLst>
        </c:ser>
        <c:dLbls>
          <c:showLegendKey val="0"/>
          <c:showVal val="0"/>
          <c:showCatName val="0"/>
          <c:showSerName val="0"/>
          <c:showPercent val="0"/>
          <c:showBubbleSize val="0"/>
        </c:dLbls>
        <c:smooth val="0"/>
        <c:axId val="595970720"/>
        <c:axId val="595971800"/>
      </c:lineChart>
      <c:catAx>
        <c:axId val="5959707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95971800"/>
        <c:crosses val="autoZero"/>
        <c:auto val="1"/>
        <c:lblAlgn val="ctr"/>
        <c:lblOffset val="100"/>
        <c:noMultiLvlLbl val="0"/>
      </c:catAx>
      <c:valAx>
        <c:axId val="595971800"/>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95970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val>
            <c:numRef>
              <c:f>DRE_FC!$D$17:$AL$17</c:f>
              <c:numCache>
                <c:formatCode>_(* #,##0.00_);_(* \(#,##0.00\);_(* "-"??_);_(@_)</c:formatCode>
                <c:ptCount val="35"/>
                <c:pt idx="0">
                  <c:v>9830614.3255461566</c:v>
                </c:pt>
                <c:pt idx="1">
                  <c:v>9830614.3255461566</c:v>
                </c:pt>
                <c:pt idx="2">
                  <c:v>9771373.6784211546</c:v>
                </c:pt>
                <c:pt idx="3">
                  <c:v>9802921.7724711578</c:v>
                </c:pt>
                <c:pt idx="4">
                  <c:v>5504356.0434174314</c:v>
                </c:pt>
                <c:pt idx="5">
                  <c:v>4428814.457505174</c:v>
                </c:pt>
                <c:pt idx="6">
                  <c:v>3151969.279835932</c:v>
                </c:pt>
                <c:pt idx="7">
                  <c:v>4415683.8982436061</c:v>
                </c:pt>
                <c:pt idx="8">
                  <c:v>3517067.3119742051</c:v>
                </c:pt>
                <c:pt idx="9">
                  <c:v>2347680.4721834213</c:v>
                </c:pt>
                <c:pt idx="10">
                  <c:v>7063808.2969580144</c:v>
                </c:pt>
                <c:pt idx="11">
                  <c:v>6674310.7877168655</c:v>
                </c:pt>
                <c:pt idx="12">
                  <c:v>6113305.604382053</c:v>
                </c:pt>
                <c:pt idx="13">
                  <c:v>10659273.756071985</c:v>
                </c:pt>
                <c:pt idx="14">
                  <c:v>10520203.573579192</c:v>
                </c:pt>
                <c:pt idx="15">
                  <c:v>10110207.841653734</c:v>
                </c:pt>
                <c:pt idx="16">
                  <c:v>18074067.294870675</c:v>
                </c:pt>
                <c:pt idx="17">
                  <c:v>18342460.39597261</c:v>
                </c:pt>
                <c:pt idx="18">
                  <c:v>18470349.323585957</c:v>
                </c:pt>
                <c:pt idx="19">
                  <c:v>29674081.634310007</c:v>
                </c:pt>
                <c:pt idx="20">
                  <c:v>30324102.089646339</c:v>
                </c:pt>
                <c:pt idx="21">
                  <c:v>30949000.669406861</c:v>
                </c:pt>
                <c:pt idx="22">
                  <c:v>44284466.491686136</c:v>
                </c:pt>
                <c:pt idx="23">
                  <c:v>45534734.695785522</c:v>
                </c:pt>
                <c:pt idx="24">
                  <c:v>46881518.315186709</c:v>
                </c:pt>
                <c:pt idx="25">
                  <c:v>62452719.635810286</c:v>
                </c:pt>
                <c:pt idx="26">
                  <c:v>64566525.768005699</c:v>
                </c:pt>
                <c:pt idx="27">
                  <c:v>66748485.11580503</c:v>
                </c:pt>
                <c:pt idx="28">
                  <c:v>85451035.524192214</c:v>
                </c:pt>
                <c:pt idx="29">
                  <c:v>88577379.523450106</c:v>
                </c:pt>
                <c:pt idx="30">
                  <c:v>91394871.264660448</c:v>
                </c:pt>
                <c:pt idx="31">
                  <c:v>94826787.685038805</c:v>
                </c:pt>
                <c:pt idx="32">
                  <c:v>98463288.846557856</c:v>
                </c:pt>
                <c:pt idx="33">
                  <c:v>102245249.34546036</c:v>
                </c:pt>
                <c:pt idx="34">
                  <c:v>106251307.63490975</c:v>
                </c:pt>
              </c:numCache>
            </c:numRef>
          </c:val>
          <c:smooth val="0"/>
          <c:extLst>
            <c:ext xmlns:c16="http://schemas.microsoft.com/office/drawing/2014/chart" uri="{C3380CC4-5D6E-409C-BE32-E72D297353CC}">
              <c16:uniqueId val="{00000000-7AA4-4A06-BDB5-6E397A724B49}"/>
            </c:ext>
          </c:extLst>
        </c:ser>
        <c:dLbls>
          <c:showLegendKey val="0"/>
          <c:showVal val="0"/>
          <c:showCatName val="0"/>
          <c:showSerName val="0"/>
          <c:showPercent val="0"/>
          <c:showBubbleSize val="0"/>
        </c:dLbls>
        <c:smooth val="0"/>
        <c:axId val="487354368"/>
        <c:axId val="487339248"/>
      </c:lineChart>
      <c:catAx>
        <c:axId val="4873543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339248"/>
        <c:crosses val="autoZero"/>
        <c:auto val="1"/>
        <c:lblAlgn val="ctr"/>
        <c:lblOffset val="100"/>
        <c:noMultiLvlLbl val="0"/>
      </c:catAx>
      <c:valAx>
        <c:axId val="487339248"/>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3543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val>
            <c:numRef>
              <c:f>DRE_FC!$AN$17:$BV$17</c:f>
              <c:numCache>
                <c:formatCode>0.00%</c:formatCode>
                <c:ptCount val="35"/>
                <c:pt idx="0">
                  <c:v>0.44099465966043361</c:v>
                </c:pt>
                <c:pt idx="1">
                  <c:v>0.44099465966043361</c:v>
                </c:pt>
                <c:pt idx="2">
                  <c:v>0.4383371645994113</c:v>
                </c:pt>
                <c:pt idx="3">
                  <c:v>0.43975239060032995</c:v>
                </c:pt>
                <c:pt idx="4">
                  <c:v>0.1922412042092552</c:v>
                </c:pt>
                <c:pt idx="5">
                  <c:v>0.12375607240264605</c:v>
                </c:pt>
                <c:pt idx="6">
                  <c:v>7.1886370697391053E-2</c:v>
                </c:pt>
                <c:pt idx="7">
                  <c:v>8.3462217177653911E-2</c:v>
                </c:pt>
                <c:pt idx="8">
                  <c:v>5.5762947097603634E-2</c:v>
                </c:pt>
                <c:pt idx="9">
                  <c:v>3.1529831681543927E-2</c:v>
                </c:pt>
                <c:pt idx="10">
                  <c:v>8.1010423767164982E-2</c:v>
                </c:pt>
                <c:pt idx="11">
                  <c:v>6.580560554568371E-2</c:v>
                </c:pt>
                <c:pt idx="12">
                  <c:v>5.2117066932158077E-2</c:v>
                </c:pt>
                <c:pt idx="13">
                  <c:v>7.8962322380632471E-2</c:v>
                </c:pt>
                <c:pt idx="14">
                  <c:v>6.8008189160568944E-2</c:v>
                </c:pt>
                <c:pt idx="15">
                  <c:v>5.7246499175241272E-2</c:v>
                </c:pt>
                <c:pt idx="16">
                  <c:v>8.993746729437492E-2</c:v>
                </c:pt>
                <c:pt idx="17">
                  <c:v>8.0445823450624426E-2</c:v>
                </c:pt>
                <c:pt idx="18">
                  <c:v>7.6709664089260346E-2</c:v>
                </c:pt>
                <c:pt idx="19">
                  <c:v>0.11882575061059783</c:v>
                </c:pt>
                <c:pt idx="20">
                  <c:v>0.11703452781986184</c:v>
                </c:pt>
                <c:pt idx="21">
                  <c:v>0.11510466375771693</c:v>
                </c:pt>
                <c:pt idx="22">
                  <c:v>0.15867228287326776</c:v>
                </c:pt>
                <c:pt idx="23">
                  <c:v>0.15713781086991599</c:v>
                </c:pt>
                <c:pt idx="24">
                  <c:v>0.15578097137056673</c:v>
                </c:pt>
                <c:pt idx="25">
                  <c:v>0.19992701962636633</c:v>
                </c:pt>
                <c:pt idx="26">
                  <c:v>0.1989179024951343</c:v>
                </c:pt>
                <c:pt idx="27">
                  <c:v>0.19785457073445098</c:v>
                </c:pt>
                <c:pt idx="28">
                  <c:v>0.24364296036777977</c:v>
                </c:pt>
                <c:pt idx="29">
                  <c:v>0.24287711919849109</c:v>
                </c:pt>
                <c:pt idx="30">
                  <c:v>0.24133512546458979</c:v>
                </c:pt>
                <c:pt idx="31">
                  <c:v>0.2406786572900938</c:v>
                </c:pt>
                <c:pt idx="32">
                  <c:v>0.24015375902174921</c:v>
                </c:pt>
                <c:pt idx="33">
                  <c:v>0.23959021110564105</c:v>
                </c:pt>
                <c:pt idx="34">
                  <c:v>0.2391526200867273</c:v>
                </c:pt>
              </c:numCache>
            </c:numRef>
          </c:val>
          <c:smooth val="0"/>
          <c:extLst>
            <c:ext xmlns:c16="http://schemas.microsoft.com/office/drawing/2014/chart" uri="{C3380CC4-5D6E-409C-BE32-E72D297353CC}">
              <c16:uniqueId val="{00000000-15D8-4E78-A6BA-29539A48FA66}"/>
            </c:ext>
          </c:extLst>
        </c:ser>
        <c:dLbls>
          <c:showLegendKey val="0"/>
          <c:showVal val="0"/>
          <c:showCatName val="0"/>
          <c:showSerName val="0"/>
          <c:showPercent val="0"/>
          <c:showBubbleSize val="0"/>
        </c:dLbls>
        <c:smooth val="0"/>
        <c:axId val="331447216"/>
        <c:axId val="331449376"/>
      </c:lineChart>
      <c:catAx>
        <c:axId val="3314472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31449376"/>
        <c:crosses val="autoZero"/>
        <c:auto val="1"/>
        <c:lblAlgn val="ctr"/>
        <c:lblOffset val="100"/>
        <c:noMultiLvlLbl val="0"/>
      </c:catAx>
      <c:valAx>
        <c:axId val="331449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314472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1.png"/></Relationships>
</file>

<file path=xl/drawings/_rels/drawing3.xml.rels><?xml version="1.0" encoding="UTF-8" standalone="yes"?>
<Relationships xmlns="http://schemas.openxmlformats.org/package/2006/relationships"><Relationship Id="rId8" Type="http://schemas.openxmlformats.org/officeDocument/2006/relationships/image" Target="../media/image19.png"/><Relationship Id="rId3" Type="http://schemas.openxmlformats.org/officeDocument/2006/relationships/image" Target="../media/image14.png"/><Relationship Id="rId7" Type="http://schemas.openxmlformats.org/officeDocument/2006/relationships/image" Target="../media/image18.png"/><Relationship Id="rId12" Type="http://schemas.openxmlformats.org/officeDocument/2006/relationships/image" Target="../media/image23.png"/><Relationship Id="rId2" Type="http://schemas.openxmlformats.org/officeDocument/2006/relationships/image" Target="../media/image13.png"/><Relationship Id="rId1" Type="http://schemas.openxmlformats.org/officeDocument/2006/relationships/image" Target="../media/image12.png"/><Relationship Id="rId6" Type="http://schemas.openxmlformats.org/officeDocument/2006/relationships/image" Target="../media/image17.png"/><Relationship Id="rId11" Type="http://schemas.openxmlformats.org/officeDocument/2006/relationships/image" Target="../media/image22.png"/><Relationship Id="rId5" Type="http://schemas.openxmlformats.org/officeDocument/2006/relationships/image" Target="../media/image16.png"/><Relationship Id="rId10" Type="http://schemas.openxmlformats.org/officeDocument/2006/relationships/image" Target="../media/image21.png"/><Relationship Id="rId4" Type="http://schemas.openxmlformats.org/officeDocument/2006/relationships/image" Target="../media/image15.png"/><Relationship Id="rId9" Type="http://schemas.openxmlformats.org/officeDocument/2006/relationships/image" Target="../media/image20.png"/></Relationships>
</file>

<file path=xl/drawings/_rels/drawing4.xml.rels><?xml version="1.0" encoding="UTF-8" standalone="yes"?>
<Relationships xmlns="http://schemas.openxmlformats.org/package/2006/relationships"><Relationship Id="rId8" Type="http://schemas.openxmlformats.org/officeDocument/2006/relationships/image" Target="../media/image31.png"/><Relationship Id="rId3" Type="http://schemas.openxmlformats.org/officeDocument/2006/relationships/image" Target="../media/image26.png"/><Relationship Id="rId7" Type="http://schemas.openxmlformats.org/officeDocument/2006/relationships/image" Target="../media/image30.png"/><Relationship Id="rId12" Type="http://schemas.openxmlformats.org/officeDocument/2006/relationships/image" Target="../media/image35.png"/><Relationship Id="rId2" Type="http://schemas.openxmlformats.org/officeDocument/2006/relationships/image" Target="../media/image25.png"/><Relationship Id="rId1" Type="http://schemas.openxmlformats.org/officeDocument/2006/relationships/image" Target="../media/image24.png"/><Relationship Id="rId6" Type="http://schemas.openxmlformats.org/officeDocument/2006/relationships/image" Target="../media/image29.png"/><Relationship Id="rId11" Type="http://schemas.openxmlformats.org/officeDocument/2006/relationships/image" Target="../media/image34.png"/><Relationship Id="rId5" Type="http://schemas.openxmlformats.org/officeDocument/2006/relationships/image" Target="../media/image28.png"/><Relationship Id="rId10" Type="http://schemas.openxmlformats.org/officeDocument/2006/relationships/image" Target="../media/image33.png"/><Relationship Id="rId4" Type="http://schemas.openxmlformats.org/officeDocument/2006/relationships/image" Target="../media/image27.png"/><Relationship Id="rId9" Type="http://schemas.openxmlformats.org/officeDocument/2006/relationships/image" Target="../media/image3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38.png"/><Relationship Id="rId1" Type="http://schemas.openxmlformats.org/officeDocument/2006/relationships/image" Target="../media/image37.png"/></Relationships>
</file>

<file path=xl/drawings/_rels/drawing7.xml.rels><?xml version="1.0" encoding="UTF-8" standalone="yes"?>
<Relationships xmlns="http://schemas.openxmlformats.org/package/2006/relationships"><Relationship Id="rId1" Type="http://schemas.openxmlformats.org/officeDocument/2006/relationships/image" Target="../media/image39.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6</xdr:col>
      <xdr:colOff>123826</xdr:colOff>
      <xdr:row>0</xdr:row>
      <xdr:rowOff>152400</xdr:rowOff>
    </xdr:from>
    <xdr:to>
      <xdr:col>12</xdr:col>
      <xdr:colOff>352426</xdr:colOff>
      <xdr:row>18</xdr:row>
      <xdr:rowOff>42114</xdr:rowOff>
    </xdr:to>
    <xdr:pic>
      <xdr:nvPicPr>
        <xdr:cNvPr id="2" name="Imagem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4876801" y="152400"/>
          <a:ext cx="3886200" cy="3318714"/>
        </a:xfrm>
        <a:prstGeom prst="rect">
          <a:avLst/>
        </a:prstGeom>
        <a:ln>
          <a:solidFill>
            <a:sysClr val="windowText" lastClr="000000"/>
          </a:solidFill>
        </a:ln>
      </xdr:spPr>
    </xdr:pic>
    <xdr:clientData/>
  </xdr:twoCellAnchor>
  <xdr:twoCellAnchor editAs="oneCell">
    <xdr:from>
      <xdr:col>12</xdr:col>
      <xdr:colOff>447675</xdr:colOff>
      <xdr:row>0</xdr:row>
      <xdr:rowOff>149352</xdr:rowOff>
    </xdr:from>
    <xdr:to>
      <xdr:col>19</xdr:col>
      <xdr:colOff>123139</xdr:colOff>
      <xdr:row>18</xdr:row>
      <xdr:rowOff>32190</xdr:rowOff>
    </xdr:to>
    <xdr:pic>
      <xdr:nvPicPr>
        <xdr:cNvPr id="3" name="Imagem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8858250" y="149352"/>
          <a:ext cx="3942664" cy="3311838"/>
        </a:xfrm>
        <a:prstGeom prst="rect">
          <a:avLst/>
        </a:prstGeom>
        <a:ln>
          <a:solidFill>
            <a:sysClr val="windowText" lastClr="000000"/>
          </a:solidFill>
        </a:ln>
      </xdr:spPr>
    </xdr:pic>
    <xdr:clientData/>
  </xdr:twoCellAnchor>
  <xdr:twoCellAnchor editAs="oneCell">
    <xdr:from>
      <xdr:col>6</xdr:col>
      <xdr:colOff>114301</xdr:colOff>
      <xdr:row>18</xdr:row>
      <xdr:rowOff>104775</xdr:rowOff>
    </xdr:from>
    <xdr:to>
      <xdr:col>12</xdr:col>
      <xdr:colOff>369779</xdr:colOff>
      <xdr:row>35</xdr:row>
      <xdr:rowOff>180975</xdr:rowOff>
    </xdr:to>
    <xdr:pic>
      <xdr:nvPicPr>
        <xdr:cNvPr id="6" name="Imagem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3"/>
        <a:stretch>
          <a:fillRect/>
        </a:stretch>
      </xdr:blipFill>
      <xdr:spPr>
        <a:xfrm>
          <a:off x="4867276" y="3533775"/>
          <a:ext cx="3913078" cy="3314700"/>
        </a:xfrm>
        <a:prstGeom prst="rect">
          <a:avLst/>
        </a:prstGeom>
        <a:ln>
          <a:solidFill>
            <a:sysClr val="windowText" lastClr="000000"/>
          </a:solidFill>
        </a:ln>
      </xdr:spPr>
    </xdr:pic>
    <xdr:clientData/>
  </xdr:twoCellAnchor>
  <xdr:twoCellAnchor editAs="oneCell">
    <xdr:from>
      <xdr:col>12</xdr:col>
      <xdr:colOff>438151</xdr:colOff>
      <xdr:row>18</xdr:row>
      <xdr:rowOff>95249</xdr:rowOff>
    </xdr:from>
    <xdr:to>
      <xdr:col>19</xdr:col>
      <xdr:colOff>133350</xdr:colOff>
      <xdr:row>35</xdr:row>
      <xdr:rowOff>171450</xdr:rowOff>
    </xdr:to>
    <xdr:pic>
      <xdr:nvPicPr>
        <xdr:cNvPr id="7" name="Imagem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4"/>
        <a:stretch>
          <a:fillRect/>
        </a:stretch>
      </xdr:blipFill>
      <xdr:spPr>
        <a:xfrm>
          <a:off x="8848726" y="3524249"/>
          <a:ext cx="3962399" cy="3314701"/>
        </a:xfrm>
        <a:prstGeom prst="rect">
          <a:avLst/>
        </a:prstGeom>
        <a:ln>
          <a:solidFill>
            <a:sysClr val="windowText" lastClr="000000"/>
          </a:solidFill>
        </a:ln>
      </xdr:spPr>
    </xdr:pic>
    <xdr:clientData/>
  </xdr:twoCellAnchor>
  <xdr:twoCellAnchor editAs="oneCell">
    <xdr:from>
      <xdr:col>6</xdr:col>
      <xdr:colOff>123825</xdr:colOff>
      <xdr:row>36</xdr:row>
      <xdr:rowOff>66675</xdr:rowOff>
    </xdr:from>
    <xdr:to>
      <xdr:col>12</xdr:col>
      <xdr:colOff>369344</xdr:colOff>
      <xdr:row>53</xdr:row>
      <xdr:rowOff>75693</xdr:rowOff>
    </xdr:to>
    <xdr:pic>
      <xdr:nvPicPr>
        <xdr:cNvPr id="8" name="Imagem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5"/>
        <a:stretch>
          <a:fillRect/>
        </a:stretch>
      </xdr:blipFill>
      <xdr:spPr>
        <a:xfrm>
          <a:off x="4876800" y="6924675"/>
          <a:ext cx="3903119" cy="3247518"/>
        </a:xfrm>
        <a:prstGeom prst="rect">
          <a:avLst/>
        </a:prstGeom>
        <a:ln>
          <a:solidFill>
            <a:sysClr val="windowText" lastClr="000000"/>
          </a:solidFill>
        </a:ln>
      </xdr:spPr>
    </xdr:pic>
    <xdr:clientData/>
  </xdr:twoCellAnchor>
  <xdr:twoCellAnchor editAs="oneCell">
    <xdr:from>
      <xdr:col>12</xdr:col>
      <xdr:colOff>428626</xdr:colOff>
      <xdr:row>36</xdr:row>
      <xdr:rowOff>76200</xdr:rowOff>
    </xdr:from>
    <xdr:to>
      <xdr:col>19</xdr:col>
      <xdr:colOff>142876</xdr:colOff>
      <xdr:row>53</xdr:row>
      <xdr:rowOff>66675</xdr:rowOff>
    </xdr:to>
    <xdr:pic>
      <xdr:nvPicPr>
        <xdr:cNvPr id="9" name="Imagem 8">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6"/>
        <a:stretch>
          <a:fillRect/>
        </a:stretch>
      </xdr:blipFill>
      <xdr:spPr>
        <a:xfrm>
          <a:off x="8839201" y="6934200"/>
          <a:ext cx="3981450" cy="3228975"/>
        </a:xfrm>
        <a:prstGeom prst="rect">
          <a:avLst/>
        </a:prstGeom>
        <a:ln>
          <a:solidFill>
            <a:sysClr val="windowText" lastClr="000000"/>
          </a:solidFill>
        </a:ln>
      </xdr:spPr>
    </xdr:pic>
    <xdr:clientData/>
  </xdr:twoCellAnchor>
  <xdr:twoCellAnchor editAs="oneCell">
    <xdr:from>
      <xdr:col>6</xdr:col>
      <xdr:colOff>123825</xdr:colOff>
      <xdr:row>53</xdr:row>
      <xdr:rowOff>142876</xdr:rowOff>
    </xdr:from>
    <xdr:to>
      <xdr:col>12</xdr:col>
      <xdr:colOff>381000</xdr:colOff>
      <xdr:row>70</xdr:row>
      <xdr:rowOff>19050</xdr:rowOff>
    </xdr:to>
    <xdr:pic>
      <xdr:nvPicPr>
        <xdr:cNvPr id="11" name="Imagem 10">
          <a:extLst>
            <a:ext uri="{FF2B5EF4-FFF2-40B4-BE49-F238E27FC236}">
              <a16:creationId xmlns:a16="http://schemas.microsoft.com/office/drawing/2014/main" id="{00000000-0008-0000-0A00-00000B000000}"/>
            </a:ext>
          </a:extLst>
        </xdr:cNvPr>
        <xdr:cNvPicPr>
          <a:picLocks noChangeAspect="1"/>
        </xdr:cNvPicPr>
      </xdr:nvPicPr>
      <xdr:blipFill>
        <a:blip xmlns:r="http://schemas.openxmlformats.org/officeDocument/2006/relationships" r:embed="rId7"/>
        <a:stretch>
          <a:fillRect/>
        </a:stretch>
      </xdr:blipFill>
      <xdr:spPr>
        <a:xfrm>
          <a:off x="4876800" y="10239376"/>
          <a:ext cx="3914775" cy="3114674"/>
        </a:xfrm>
        <a:prstGeom prst="rect">
          <a:avLst/>
        </a:prstGeom>
        <a:ln>
          <a:solidFill>
            <a:sysClr val="windowText" lastClr="000000"/>
          </a:solidFill>
        </a:ln>
      </xdr:spPr>
    </xdr:pic>
    <xdr:clientData/>
  </xdr:twoCellAnchor>
  <xdr:twoCellAnchor editAs="oneCell">
    <xdr:from>
      <xdr:col>12</xdr:col>
      <xdr:colOff>447675</xdr:colOff>
      <xdr:row>53</xdr:row>
      <xdr:rowOff>142875</xdr:rowOff>
    </xdr:from>
    <xdr:to>
      <xdr:col>19</xdr:col>
      <xdr:colOff>152400</xdr:colOff>
      <xdr:row>70</xdr:row>
      <xdr:rowOff>19050</xdr:rowOff>
    </xdr:to>
    <xdr:pic>
      <xdr:nvPicPr>
        <xdr:cNvPr id="12" name="Imagem 11">
          <a:extLst>
            <a:ext uri="{FF2B5EF4-FFF2-40B4-BE49-F238E27FC236}">
              <a16:creationId xmlns:a16="http://schemas.microsoft.com/office/drawing/2014/main" id="{00000000-0008-0000-0A00-00000C000000}"/>
            </a:ext>
          </a:extLst>
        </xdr:cNvPr>
        <xdr:cNvPicPr>
          <a:picLocks noChangeAspect="1"/>
        </xdr:cNvPicPr>
      </xdr:nvPicPr>
      <xdr:blipFill>
        <a:blip xmlns:r="http://schemas.openxmlformats.org/officeDocument/2006/relationships" r:embed="rId8"/>
        <a:stretch>
          <a:fillRect/>
        </a:stretch>
      </xdr:blipFill>
      <xdr:spPr>
        <a:xfrm>
          <a:off x="8858250" y="10239375"/>
          <a:ext cx="3971925" cy="3114675"/>
        </a:xfrm>
        <a:prstGeom prst="rect">
          <a:avLst/>
        </a:prstGeom>
        <a:ln>
          <a:solidFill>
            <a:sysClr val="windowText" lastClr="000000"/>
          </a:solidFill>
        </a:ln>
      </xdr:spPr>
    </xdr:pic>
    <xdr:clientData/>
  </xdr:twoCellAnchor>
  <xdr:twoCellAnchor editAs="oneCell">
    <xdr:from>
      <xdr:col>6</xdr:col>
      <xdr:colOff>123825</xdr:colOff>
      <xdr:row>70</xdr:row>
      <xdr:rowOff>123826</xdr:rowOff>
    </xdr:from>
    <xdr:to>
      <xdr:col>12</xdr:col>
      <xdr:colOff>381000</xdr:colOff>
      <xdr:row>87</xdr:row>
      <xdr:rowOff>152400</xdr:rowOff>
    </xdr:to>
    <xdr:pic>
      <xdr:nvPicPr>
        <xdr:cNvPr id="13" name="Imagem 12">
          <a:extLst>
            <a:ext uri="{FF2B5EF4-FFF2-40B4-BE49-F238E27FC236}">
              <a16:creationId xmlns:a16="http://schemas.microsoft.com/office/drawing/2014/main" id="{00000000-0008-0000-0A00-00000D000000}"/>
            </a:ext>
          </a:extLst>
        </xdr:cNvPr>
        <xdr:cNvPicPr>
          <a:picLocks noChangeAspect="1"/>
        </xdr:cNvPicPr>
      </xdr:nvPicPr>
      <xdr:blipFill>
        <a:blip xmlns:r="http://schemas.openxmlformats.org/officeDocument/2006/relationships" r:embed="rId9"/>
        <a:stretch>
          <a:fillRect/>
        </a:stretch>
      </xdr:blipFill>
      <xdr:spPr>
        <a:xfrm>
          <a:off x="4876800" y="13458826"/>
          <a:ext cx="3914775" cy="3267074"/>
        </a:xfrm>
        <a:prstGeom prst="rect">
          <a:avLst/>
        </a:prstGeom>
        <a:ln>
          <a:solidFill>
            <a:sysClr val="windowText" lastClr="000000"/>
          </a:solidFill>
        </a:ln>
      </xdr:spPr>
    </xdr:pic>
    <xdr:clientData/>
  </xdr:twoCellAnchor>
  <xdr:twoCellAnchor editAs="oneCell">
    <xdr:from>
      <xdr:col>12</xdr:col>
      <xdr:colOff>466726</xdr:colOff>
      <xdr:row>70</xdr:row>
      <xdr:rowOff>114301</xdr:rowOff>
    </xdr:from>
    <xdr:to>
      <xdr:col>19</xdr:col>
      <xdr:colOff>152400</xdr:colOff>
      <xdr:row>87</xdr:row>
      <xdr:rowOff>152401</xdr:rowOff>
    </xdr:to>
    <xdr:pic>
      <xdr:nvPicPr>
        <xdr:cNvPr id="14" name="Imagem 13">
          <a:extLst>
            <a:ext uri="{FF2B5EF4-FFF2-40B4-BE49-F238E27FC236}">
              <a16:creationId xmlns:a16="http://schemas.microsoft.com/office/drawing/2014/main" id="{00000000-0008-0000-0A00-00000E000000}"/>
            </a:ext>
          </a:extLst>
        </xdr:cNvPr>
        <xdr:cNvPicPr>
          <a:picLocks noChangeAspect="1"/>
        </xdr:cNvPicPr>
      </xdr:nvPicPr>
      <xdr:blipFill>
        <a:blip xmlns:r="http://schemas.openxmlformats.org/officeDocument/2006/relationships" r:embed="rId10"/>
        <a:stretch>
          <a:fillRect/>
        </a:stretch>
      </xdr:blipFill>
      <xdr:spPr>
        <a:xfrm>
          <a:off x="8877301" y="13449301"/>
          <a:ext cx="3952874" cy="3276600"/>
        </a:xfrm>
        <a:prstGeom prst="rect">
          <a:avLst/>
        </a:prstGeom>
        <a:ln>
          <a:solidFill>
            <a:sysClr val="windowText" lastClr="000000"/>
          </a:solid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228600</xdr:colOff>
      <xdr:row>18</xdr:row>
      <xdr:rowOff>85725</xdr:rowOff>
    </xdr:from>
    <xdr:to>
      <xdr:col>10</xdr:col>
      <xdr:colOff>170794</xdr:colOff>
      <xdr:row>35</xdr:row>
      <xdr:rowOff>56748</xdr:rowOff>
    </xdr:to>
    <xdr:pic>
      <xdr:nvPicPr>
        <xdr:cNvPr id="2" name="Imagem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2447925" y="3533775"/>
          <a:ext cx="5247619" cy="3219048"/>
        </a:xfrm>
        <a:prstGeom prst="rect">
          <a:avLst/>
        </a:prstGeom>
        <a:ln>
          <a:solidFill>
            <a:sysClr val="windowText" lastClr="000000"/>
          </a:solid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57150</xdr:colOff>
      <xdr:row>1</xdr:row>
      <xdr:rowOff>0</xdr:rowOff>
    </xdr:from>
    <xdr:to>
      <xdr:col>7</xdr:col>
      <xdr:colOff>238125</xdr:colOff>
      <xdr:row>8</xdr:row>
      <xdr:rowOff>123643</xdr:rowOff>
    </xdr:to>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stretch>
          <a:fillRect/>
        </a:stretch>
      </xdr:blipFill>
      <xdr:spPr>
        <a:xfrm>
          <a:off x="57150" y="190500"/>
          <a:ext cx="5419725" cy="1457143"/>
        </a:xfrm>
        <a:prstGeom prst="rect">
          <a:avLst/>
        </a:prstGeom>
        <a:ln>
          <a:solidFill>
            <a:sysClr val="windowText" lastClr="000000"/>
          </a:solidFill>
        </a:ln>
      </xdr:spPr>
    </xdr:pic>
    <xdr:clientData/>
  </xdr:twoCellAnchor>
  <xdr:twoCellAnchor editAs="oneCell">
    <xdr:from>
      <xdr:col>0</xdr:col>
      <xdr:colOff>47625</xdr:colOff>
      <xdr:row>29</xdr:row>
      <xdr:rowOff>76200</xdr:rowOff>
    </xdr:from>
    <xdr:to>
      <xdr:col>5</xdr:col>
      <xdr:colOff>390525</xdr:colOff>
      <xdr:row>45</xdr:row>
      <xdr:rowOff>38100</xdr:rowOff>
    </xdr:to>
    <xdr:pic>
      <xdr:nvPicPr>
        <xdr:cNvPr id="8" name="Imagem 7">
          <a:extLst>
            <a:ext uri="{FF2B5EF4-FFF2-40B4-BE49-F238E27FC236}">
              <a16:creationId xmlns:a16="http://schemas.microsoft.com/office/drawing/2014/main" id="{00000000-0008-0000-0C00-000008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7625" y="5410200"/>
          <a:ext cx="4362450" cy="3009900"/>
        </a:xfrm>
        <a:prstGeom prst="rect">
          <a:avLst/>
        </a:prstGeom>
        <a:noFill/>
        <a:ln>
          <a:solidFill>
            <a:schemeClr val="tx1"/>
          </a:solidFill>
        </a:ln>
      </xdr:spPr>
    </xdr:pic>
    <xdr:clientData/>
  </xdr:twoCellAnchor>
  <xdr:twoCellAnchor editAs="oneCell">
    <xdr:from>
      <xdr:col>5</xdr:col>
      <xdr:colOff>542925</xdr:colOff>
      <xdr:row>19</xdr:row>
      <xdr:rowOff>85725</xdr:rowOff>
    </xdr:from>
    <xdr:to>
      <xdr:col>12</xdr:col>
      <xdr:colOff>238125</xdr:colOff>
      <xdr:row>35</xdr:row>
      <xdr:rowOff>47625</xdr:rowOff>
    </xdr:to>
    <xdr:pic>
      <xdr:nvPicPr>
        <xdr:cNvPr id="9" name="Imagem 8">
          <a:extLst>
            <a:ext uri="{FF2B5EF4-FFF2-40B4-BE49-F238E27FC236}">
              <a16:creationId xmlns:a16="http://schemas.microsoft.com/office/drawing/2014/main" id="{00000000-0008-0000-0C00-000009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62475" y="3705225"/>
          <a:ext cx="4029075" cy="3009900"/>
        </a:xfrm>
        <a:prstGeom prst="rect">
          <a:avLst/>
        </a:prstGeom>
        <a:noFill/>
        <a:ln>
          <a:solidFill>
            <a:schemeClr val="tx1"/>
          </a:solidFill>
        </a:ln>
      </xdr:spPr>
    </xdr:pic>
    <xdr:clientData/>
  </xdr:twoCellAnchor>
  <xdr:twoCellAnchor editAs="oneCell">
    <xdr:from>
      <xdr:col>12</xdr:col>
      <xdr:colOff>381000</xdr:colOff>
      <xdr:row>19</xdr:row>
      <xdr:rowOff>57150</xdr:rowOff>
    </xdr:from>
    <xdr:to>
      <xdr:col>19</xdr:col>
      <xdr:colOff>73025</xdr:colOff>
      <xdr:row>35</xdr:row>
      <xdr:rowOff>28575</xdr:rowOff>
    </xdr:to>
    <xdr:pic>
      <xdr:nvPicPr>
        <xdr:cNvPr id="10" name="Imagem 9">
          <a:extLst>
            <a:ext uri="{FF2B5EF4-FFF2-40B4-BE49-F238E27FC236}">
              <a16:creationId xmlns:a16="http://schemas.microsoft.com/office/drawing/2014/main" id="{00000000-0008-0000-0C00-00000A000000}"/>
            </a:ext>
          </a:extLst>
        </xdr:cNvPr>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734425" y="3486150"/>
          <a:ext cx="3959225" cy="3019425"/>
        </a:xfrm>
        <a:prstGeom prst="rect">
          <a:avLst/>
        </a:prstGeom>
        <a:noFill/>
        <a:ln>
          <a:solidFill>
            <a:schemeClr val="tx1"/>
          </a:solidFill>
        </a:ln>
      </xdr:spPr>
    </xdr:pic>
    <xdr:clientData/>
  </xdr:twoCellAnchor>
  <xdr:twoCellAnchor editAs="oneCell">
    <xdr:from>
      <xdr:col>19</xdr:col>
      <xdr:colOff>200025</xdr:colOff>
      <xdr:row>19</xdr:row>
      <xdr:rowOff>57150</xdr:rowOff>
    </xdr:from>
    <xdr:to>
      <xdr:col>26</xdr:col>
      <xdr:colOff>231140</xdr:colOff>
      <xdr:row>35</xdr:row>
      <xdr:rowOff>38101</xdr:rowOff>
    </xdr:to>
    <xdr:pic>
      <xdr:nvPicPr>
        <xdr:cNvPr id="11" name="Imagem 10">
          <a:extLst>
            <a:ext uri="{FF2B5EF4-FFF2-40B4-BE49-F238E27FC236}">
              <a16:creationId xmlns:a16="http://schemas.microsoft.com/office/drawing/2014/main" id="{00000000-0008-0000-0C00-00000B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820650" y="3486150"/>
          <a:ext cx="4298315" cy="3028951"/>
        </a:xfrm>
        <a:prstGeom prst="rect">
          <a:avLst/>
        </a:prstGeom>
        <a:noFill/>
        <a:ln>
          <a:solidFill>
            <a:schemeClr val="tx1"/>
          </a:solidFill>
        </a:ln>
      </xdr:spPr>
    </xdr:pic>
    <xdr:clientData/>
  </xdr:twoCellAnchor>
  <xdr:twoCellAnchor editAs="oneCell">
    <xdr:from>
      <xdr:col>0</xdr:col>
      <xdr:colOff>76200</xdr:colOff>
      <xdr:row>45</xdr:row>
      <xdr:rowOff>123825</xdr:rowOff>
    </xdr:from>
    <xdr:to>
      <xdr:col>5</xdr:col>
      <xdr:colOff>428625</xdr:colOff>
      <xdr:row>62</xdr:row>
      <xdr:rowOff>158115</xdr:rowOff>
    </xdr:to>
    <xdr:pic>
      <xdr:nvPicPr>
        <xdr:cNvPr id="12" name="Imagem 11">
          <a:extLst>
            <a:ext uri="{FF2B5EF4-FFF2-40B4-BE49-F238E27FC236}">
              <a16:creationId xmlns:a16="http://schemas.microsoft.com/office/drawing/2014/main" id="{00000000-0008-0000-0C00-00000C000000}"/>
            </a:ext>
          </a:extLst>
        </xdr:cNvPr>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6200" y="8505825"/>
          <a:ext cx="4371975" cy="3272790"/>
        </a:xfrm>
        <a:prstGeom prst="rect">
          <a:avLst/>
        </a:prstGeom>
        <a:noFill/>
        <a:ln>
          <a:solidFill>
            <a:schemeClr val="tx1"/>
          </a:solidFill>
        </a:ln>
      </xdr:spPr>
    </xdr:pic>
    <xdr:clientData/>
  </xdr:twoCellAnchor>
  <xdr:twoCellAnchor editAs="oneCell">
    <xdr:from>
      <xdr:col>5</xdr:col>
      <xdr:colOff>561975</xdr:colOff>
      <xdr:row>35</xdr:row>
      <xdr:rowOff>133350</xdr:rowOff>
    </xdr:from>
    <xdr:to>
      <xdr:col>12</xdr:col>
      <xdr:colOff>257175</xdr:colOff>
      <xdr:row>52</xdr:row>
      <xdr:rowOff>171450</xdr:rowOff>
    </xdr:to>
    <xdr:pic>
      <xdr:nvPicPr>
        <xdr:cNvPr id="13" name="Imagem 12">
          <a:extLst>
            <a:ext uri="{FF2B5EF4-FFF2-40B4-BE49-F238E27FC236}">
              <a16:creationId xmlns:a16="http://schemas.microsoft.com/office/drawing/2014/main" id="{00000000-0008-0000-0C00-00000D000000}"/>
            </a:ext>
          </a:extLst>
        </xdr:cNvPr>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4581525" y="6610350"/>
          <a:ext cx="4029075" cy="3276600"/>
        </a:xfrm>
        <a:prstGeom prst="rect">
          <a:avLst/>
        </a:prstGeom>
        <a:noFill/>
        <a:ln>
          <a:solidFill>
            <a:schemeClr val="tx1"/>
          </a:solidFill>
        </a:ln>
      </xdr:spPr>
    </xdr:pic>
    <xdr:clientData/>
  </xdr:twoCellAnchor>
  <xdr:twoCellAnchor editAs="oneCell">
    <xdr:from>
      <xdr:col>12</xdr:col>
      <xdr:colOff>381000</xdr:colOff>
      <xdr:row>35</xdr:row>
      <xdr:rowOff>133350</xdr:rowOff>
    </xdr:from>
    <xdr:to>
      <xdr:col>19</xdr:col>
      <xdr:colOff>431165</xdr:colOff>
      <xdr:row>52</xdr:row>
      <xdr:rowOff>171450</xdr:rowOff>
    </xdr:to>
    <xdr:pic>
      <xdr:nvPicPr>
        <xdr:cNvPr id="14" name="Imagem 13">
          <a:extLst>
            <a:ext uri="{FF2B5EF4-FFF2-40B4-BE49-F238E27FC236}">
              <a16:creationId xmlns:a16="http://schemas.microsoft.com/office/drawing/2014/main" id="{00000000-0008-0000-0C00-00000E000000}"/>
            </a:ext>
          </a:extLst>
        </xdr:cNvPr>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734425" y="6610350"/>
          <a:ext cx="4317365" cy="3276600"/>
        </a:xfrm>
        <a:prstGeom prst="rect">
          <a:avLst/>
        </a:prstGeom>
        <a:noFill/>
        <a:ln>
          <a:solidFill>
            <a:schemeClr val="tx1"/>
          </a:solidFill>
        </a:ln>
      </xdr:spPr>
    </xdr:pic>
    <xdr:clientData/>
  </xdr:twoCellAnchor>
  <xdr:twoCellAnchor editAs="oneCell">
    <xdr:from>
      <xdr:col>19</xdr:col>
      <xdr:colOff>590550</xdr:colOff>
      <xdr:row>35</xdr:row>
      <xdr:rowOff>123825</xdr:rowOff>
    </xdr:from>
    <xdr:to>
      <xdr:col>26</xdr:col>
      <xdr:colOff>605155</xdr:colOff>
      <xdr:row>52</xdr:row>
      <xdr:rowOff>161925</xdr:rowOff>
    </xdr:to>
    <xdr:pic>
      <xdr:nvPicPr>
        <xdr:cNvPr id="15" name="Imagem 14">
          <a:extLst>
            <a:ext uri="{FF2B5EF4-FFF2-40B4-BE49-F238E27FC236}">
              <a16:creationId xmlns:a16="http://schemas.microsoft.com/office/drawing/2014/main" id="{00000000-0008-0000-0C00-00000F000000}"/>
            </a:ext>
          </a:extLst>
        </xdr:cNvPr>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211175" y="6600825"/>
          <a:ext cx="4281805" cy="3276600"/>
        </a:xfrm>
        <a:prstGeom prst="rect">
          <a:avLst/>
        </a:prstGeom>
        <a:noFill/>
        <a:ln>
          <a:solidFill>
            <a:schemeClr val="tx1"/>
          </a:solidFill>
        </a:ln>
      </xdr:spPr>
    </xdr:pic>
    <xdr:clientData/>
  </xdr:twoCellAnchor>
  <xdr:twoCellAnchor editAs="oneCell">
    <xdr:from>
      <xdr:col>27</xdr:col>
      <xdr:colOff>390525</xdr:colOff>
      <xdr:row>19</xdr:row>
      <xdr:rowOff>57150</xdr:rowOff>
    </xdr:from>
    <xdr:to>
      <xdr:col>34</xdr:col>
      <xdr:colOff>438150</xdr:colOff>
      <xdr:row>36</xdr:row>
      <xdr:rowOff>114300</xdr:rowOff>
    </xdr:to>
    <xdr:pic>
      <xdr:nvPicPr>
        <xdr:cNvPr id="16" name="Imagem 15">
          <a:extLst>
            <a:ext uri="{FF2B5EF4-FFF2-40B4-BE49-F238E27FC236}">
              <a16:creationId xmlns:a16="http://schemas.microsoft.com/office/drawing/2014/main" id="{00000000-0008-0000-0C00-000010000000}"/>
            </a:ext>
          </a:extLst>
        </xdr:cNvPr>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887950" y="3676650"/>
          <a:ext cx="4314825" cy="3295650"/>
        </a:xfrm>
        <a:prstGeom prst="rect">
          <a:avLst/>
        </a:prstGeom>
        <a:noFill/>
        <a:ln>
          <a:solidFill>
            <a:schemeClr val="tx1"/>
          </a:solidFill>
        </a:ln>
      </xdr:spPr>
    </xdr:pic>
    <xdr:clientData/>
  </xdr:twoCellAnchor>
  <xdr:twoCellAnchor editAs="oneCell">
    <xdr:from>
      <xdr:col>14</xdr:col>
      <xdr:colOff>314324</xdr:colOff>
      <xdr:row>1</xdr:row>
      <xdr:rowOff>38101</xdr:rowOff>
    </xdr:from>
    <xdr:to>
      <xdr:col>19</xdr:col>
      <xdr:colOff>285749</xdr:colOff>
      <xdr:row>12</xdr:row>
      <xdr:rowOff>143051</xdr:rowOff>
    </xdr:to>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1"/>
        <a:stretch>
          <a:fillRect/>
        </a:stretch>
      </xdr:blipFill>
      <xdr:spPr>
        <a:xfrm>
          <a:off x="9886949" y="228601"/>
          <a:ext cx="3019425" cy="2200450"/>
        </a:xfrm>
        <a:prstGeom prst="rect">
          <a:avLst/>
        </a:prstGeom>
        <a:ln>
          <a:solidFill>
            <a:sysClr val="windowText" lastClr="000000"/>
          </a:solidFill>
        </a:ln>
      </xdr:spPr>
    </xdr:pic>
    <xdr:clientData/>
  </xdr:twoCellAnchor>
  <xdr:twoCellAnchor editAs="oneCell">
    <xdr:from>
      <xdr:col>19</xdr:col>
      <xdr:colOff>428624</xdr:colOff>
      <xdr:row>0</xdr:row>
      <xdr:rowOff>85726</xdr:rowOff>
    </xdr:from>
    <xdr:to>
      <xdr:col>24</xdr:col>
      <xdr:colOff>247003</xdr:colOff>
      <xdr:row>12</xdr:row>
      <xdr:rowOff>161925</xdr:rowOff>
    </xdr:to>
    <xdr:pic>
      <xdr:nvPicPr>
        <xdr:cNvPr id="24" name="Imagem 23">
          <a:extLst>
            <a:ext uri="{FF2B5EF4-FFF2-40B4-BE49-F238E27FC236}">
              <a16:creationId xmlns:a16="http://schemas.microsoft.com/office/drawing/2014/main" id="{00000000-0008-0000-0C00-000018000000}"/>
            </a:ext>
          </a:extLst>
        </xdr:cNvPr>
        <xdr:cNvPicPr>
          <a:picLocks noChangeAspect="1"/>
        </xdr:cNvPicPr>
      </xdr:nvPicPr>
      <xdr:blipFill>
        <a:blip xmlns:r="http://schemas.openxmlformats.org/officeDocument/2006/relationships" r:embed="rId12"/>
        <a:stretch>
          <a:fillRect/>
        </a:stretch>
      </xdr:blipFill>
      <xdr:spPr>
        <a:xfrm>
          <a:off x="13049249" y="85726"/>
          <a:ext cx="2866379" cy="2362199"/>
        </a:xfrm>
        <a:prstGeom prst="rect">
          <a:avLst/>
        </a:prstGeom>
        <a:ln>
          <a:solidFill>
            <a:sysClr val="windowText" lastClr="000000"/>
          </a:solid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95250</xdr:rowOff>
    </xdr:from>
    <xdr:to>
      <xdr:col>7</xdr:col>
      <xdr:colOff>237425</xdr:colOff>
      <xdr:row>17</xdr:row>
      <xdr:rowOff>104369</xdr:rowOff>
    </xdr:to>
    <xdr:pic>
      <xdr:nvPicPr>
        <xdr:cNvPr id="2" name="Imagem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76200" y="95250"/>
          <a:ext cx="5600000" cy="3247619"/>
        </a:xfrm>
        <a:prstGeom prst="rect">
          <a:avLst/>
        </a:prstGeom>
        <a:ln>
          <a:solidFill>
            <a:sysClr val="windowText" lastClr="000000"/>
          </a:solidFill>
        </a:ln>
      </xdr:spPr>
    </xdr:pic>
    <xdr:clientData/>
  </xdr:twoCellAnchor>
  <xdr:twoCellAnchor editAs="oneCell">
    <xdr:from>
      <xdr:col>7</xdr:col>
      <xdr:colOff>523875</xdr:colOff>
      <xdr:row>0</xdr:row>
      <xdr:rowOff>85725</xdr:rowOff>
    </xdr:from>
    <xdr:to>
      <xdr:col>13</xdr:col>
      <xdr:colOff>400050</xdr:colOff>
      <xdr:row>17</xdr:row>
      <xdr:rowOff>104774</xdr:rowOff>
    </xdr:to>
    <xdr:pic>
      <xdr:nvPicPr>
        <xdr:cNvPr id="3" name="Imagem 2">
          <a:extLst>
            <a:ext uri="{FF2B5EF4-FFF2-40B4-BE49-F238E27FC236}">
              <a16:creationId xmlns:a16="http://schemas.microsoft.com/office/drawing/2014/main" id="{00000000-0008-0000-0D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29300" y="85725"/>
          <a:ext cx="4505325" cy="3257549"/>
        </a:xfrm>
        <a:prstGeom prst="rect">
          <a:avLst/>
        </a:prstGeom>
        <a:noFill/>
        <a:ln>
          <a:solidFill>
            <a:schemeClr val="tx1"/>
          </a:solidFill>
        </a:ln>
      </xdr:spPr>
    </xdr:pic>
    <xdr:clientData/>
  </xdr:twoCellAnchor>
  <xdr:twoCellAnchor editAs="oneCell">
    <xdr:from>
      <xdr:col>13</xdr:col>
      <xdr:colOff>514350</xdr:colOff>
      <xdr:row>0</xdr:row>
      <xdr:rowOff>85725</xdr:rowOff>
    </xdr:from>
    <xdr:to>
      <xdr:col>20</xdr:col>
      <xdr:colOff>9525</xdr:colOff>
      <xdr:row>17</xdr:row>
      <xdr:rowOff>114300</xdr:rowOff>
    </xdr:to>
    <xdr:pic>
      <xdr:nvPicPr>
        <xdr:cNvPr id="4" name="Imagem 3">
          <a:extLst>
            <a:ext uri="{FF2B5EF4-FFF2-40B4-BE49-F238E27FC236}">
              <a16:creationId xmlns:a16="http://schemas.microsoft.com/office/drawing/2014/main" id="{00000000-0008-0000-0D00-000004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448925" y="85725"/>
          <a:ext cx="4895850" cy="3267075"/>
        </a:xfrm>
        <a:prstGeom prst="rect">
          <a:avLst/>
        </a:prstGeom>
        <a:noFill/>
        <a:ln>
          <a:solidFill>
            <a:schemeClr val="tx1"/>
          </a:solidFill>
        </a:ln>
      </xdr:spPr>
    </xdr:pic>
    <xdr:clientData/>
  </xdr:twoCellAnchor>
  <xdr:twoCellAnchor editAs="oneCell">
    <xdr:from>
      <xdr:col>20</xdr:col>
      <xdr:colOff>104775</xdr:colOff>
      <xdr:row>0</xdr:row>
      <xdr:rowOff>95250</xdr:rowOff>
    </xdr:from>
    <xdr:to>
      <xdr:col>26</xdr:col>
      <xdr:colOff>90170</xdr:colOff>
      <xdr:row>17</xdr:row>
      <xdr:rowOff>123825</xdr:rowOff>
    </xdr:to>
    <xdr:pic>
      <xdr:nvPicPr>
        <xdr:cNvPr id="5" name="Imagem 4">
          <a:extLst>
            <a:ext uri="{FF2B5EF4-FFF2-40B4-BE49-F238E27FC236}">
              <a16:creationId xmlns:a16="http://schemas.microsoft.com/office/drawing/2014/main" id="{00000000-0008-0000-0D00-000005000000}"/>
            </a:ext>
          </a:extLst>
        </xdr:cNvPr>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5440025" y="95250"/>
          <a:ext cx="4614545" cy="3267075"/>
        </a:xfrm>
        <a:prstGeom prst="rect">
          <a:avLst/>
        </a:prstGeom>
        <a:noFill/>
        <a:ln>
          <a:solidFill>
            <a:schemeClr val="tx1"/>
          </a:solidFill>
        </a:ln>
      </xdr:spPr>
    </xdr:pic>
    <xdr:clientData/>
  </xdr:twoCellAnchor>
  <xdr:twoCellAnchor editAs="oneCell">
    <xdr:from>
      <xdr:col>26</xdr:col>
      <xdr:colOff>180975</xdr:colOff>
      <xdr:row>0</xdr:row>
      <xdr:rowOff>104775</xdr:rowOff>
    </xdr:from>
    <xdr:to>
      <xdr:col>32</xdr:col>
      <xdr:colOff>209550</xdr:colOff>
      <xdr:row>17</xdr:row>
      <xdr:rowOff>123825</xdr:rowOff>
    </xdr:to>
    <xdr:pic>
      <xdr:nvPicPr>
        <xdr:cNvPr id="6" name="Imagem 5">
          <a:extLst>
            <a:ext uri="{FF2B5EF4-FFF2-40B4-BE49-F238E27FC236}">
              <a16:creationId xmlns:a16="http://schemas.microsoft.com/office/drawing/2014/main" id="{00000000-0008-0000-0D00-000006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0145375" y="104775"/>
          <a:ext cx="4657725" cy="3257550"/>
        </a:xfrm>
        <a:prstGeom prst="rect">
          <a:avLst/>
        </a:prstGeom>
        <a:noFill/>
        <a:ln>
          <a:solidFill>
            <a:schemeClr val="tx1"/>
          </a:solidFill>
        </a:ln>
      </xdr:spPr>
    </xdr:pic>
    <xdr:clientData/>
  </xdr:twoCellAnchor>
  <xdr:twoCellAnchor editAs="oneCell">
    <xdr:from>
      <xdr:col>4</xdr:col>
      <xdr:colOff>38100</xdr:colOff>
      <xdr:row>32</xdr:row>
      <xdr:rowOff>38100</xdr:rowOff>
    </xdr:from>
    <xdr:to>
      <xdr:col>10</xdr:col>
      <xdr:colOff>47625</xdr:colOff>
      <xdr:row>47</xdr:row>
      <xdr:rowOff>28575</xdr:rowOff>
    </xdr:to>
    <xdr:pic>
      <xdr:nvPicPr>
        <xdr:cNvPr id="7" name="Imagem 6">
          <a:extLst>
            <a:ext uri="{FF2B5EF4-FFF2-40B4-BE49-F238E27FC236}">
              <a16:creationId xmlns:a16="http://schemas.microsoft.com/office/drawing/2014/main" id="{00000000-0008-0000-0D00-000007000000}"/>
            </a:ext>
          </a:extLst>
        </xdr:cNvPr>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62300" y="5562600"/>
          <a:ext cx="4638675" cy="2847975"/>
        </a:xfrm>
        <a:prstGeom prst="rect">
          <a:avLst/>
        </a:prstGeom>
        <a:noFill/>
        <a:ln>
          <a:solidFill>
            <a:schemeClr val="tx1"/>
          </a:solidFill>
        </a:ln>
      </xdr:spPr>
    </xdr:pic>
    <xdr:clientData/>
  </xdr:twoCellAnchor>
  <xdr:twoCellAnchor editAs="oneCell">
    <xdr:from>
      <xdr:col>6</xdr:col>
      <xdr:colOff>238125</xdr:colOff>
      <xdr:row>35</xdr:row>
      <xdr:rowOff>133350</xdr:rowOff>
    </xdr:from>
    <xdr:to>
      <xdr:col>12</xdr:col>
      <xdr:colOff>304800</xdr:colOff>
      <xdr:row>50</xdr:row>
      <xdr:rowOff>133350</xdr:rowOff>
    </xdr:to>
    <xdr:pic>
      <xdr:nvPicPr>
        <xdr:cNvPr id="8" name="Imagem 7">
          <a:extLst>
            <a:ext uri="{FF2B5EF4-FFF2-40B4-BE49-F238E27FC236}">
              <a16:creationId xmlns:a16="http://schemas.microsoft.com/office/drawing/2014/main" id="{00000000-0008-0000-0D00-000008000000}"/>
            </a:ext>
          </a:extLst>
        </xdr:cNvPr>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4905375" y="6229350"/>
          <a:ext cx="4695825" cy="2857500"/>
        </a:xfrm>
        <a:prstGeom prst="rect">
          <a:avLst/>
        </a:prstGeom>
        <a:noFill/>
        <a:ln>
          <a:solidFill>
            <a:schemeClr val="tx1"/>
          </a:solidFill>
        </a:ln>
      </xdr:spPr>
    </xdr:pic>
    <xdr:clientData/>
  </xdr:twoCellAnchor>
  <xdr:twoCellAnchor editAs="oneCell">
    <xdr:from>
      <xdr:col>12</xdr:col>
      <xdr:colOff>361950</xdr:colOff>
      <xdr:row>35</xdr:row>
      <xdr:rowOff>133350</xdr:rowOff>
    </xdr:from>
    <xdr:to>
      <xdr:col>18</xdr:col>
      <xdr:colOff>408305</xdr:colOff>
      <xdr:row>50</xdr:row>
      <xdr:rowOff>133350</xdr:rowOff>
    </xdr:to>
    <xdr:pic>
      <xdr:nvPicPr>
        <xdr:cNvPr id="9" name="Imagem 8">
          <a:extLst>
            <a:ext uri="{FF2B5EF4-FFF2-40B4-BE49-F238E27FC236}">
              <a16:creationId xmlns:a16="http://schemas.microsoft.com/office/drawing/2014/main" id="{00000000-0008-0000-0D00-000009000000}"/>
            </a:ext>
          </a:extLst>
        </xdr:cNvPr>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25000" y="6610350"/>
          <a:ext cx="4675505" cy="2857500"/>
        </a:xfrm>
        <a:prstGeom prst="rect">
          <a:avLst/>
        </a:prstGeom>
        <a:noFill/>
        <a:ln>
          <a:solidFill>
            <a:schemeClr val="tx1"/>
          </a:solidFill>
        </a:ln>
      </xdr:spPr>
    </xdr:pic>
    <xdr:clientData/>
  </xdr:twoCellAnchor>
  <xdr:twoCellAnchor editAs="oneCell">
    <xdr:from>
      <xdr:col>18</xdr:col>
      <xdr:colOff>476250</xdr:colOff>
      <xdr:row>35</xdr:row>
      <xdr:rowOff>133350</xdr:rowOff>
    </xdr:from>
    <xdr:to>
      <xdr:col>25</xdr:col>
      <xdr:colOff>104775</xdr:colOff>
      <xdr:row>50</xdr:row>
      <xdr:rowOff>133350</xdr:rowOff>
    </xdr:to>
    <xdr:pic>
      <xdr:nvPicPr>
        <xdr:cNvPr id="10" name="Imagem 9">
          <a:extLst>
            <a:ext uri="{FF2B5EF4-FFF2-40B4-BE49-F238E27FC236}">
              <a16:creationId xmlns:a16="http://schemas.microsoft.com/office/drawing/2014/main" id="{00000000-0008-0000-0D00-00000A000000}"/>
            </a:ext>
          </a:extLst>
        </xdr:cNvPr>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4268450" y="6610350"/>
          <a:ext cx="5029200" cy="2857500"/>
        </a:xfrm>
        <a:prstGeom prst="rect">
          <a:avLst/>
        </a:prstGeom>
        <a:noFill/>
        <a:ln>
          <a:solidFill>
            <a:schemeClr val="tx1"/>
          </a:solidFill>
        </a:ln>
      </xdr:spPr>
    </xdr:pic>
    <xdr:clientData/>
  </xdr:twoCellAnchor>
  <xdr:twoCellAnchor editAs="oneCell">
    <xdr:from>
      <xdr:col>0</xdr:col>
      <xdr:colOff>38100</xdr:colOff>
      <xdr:row>51</xdr:row>
      <xdr:rowOff>19050</xdr:rowOff>
    </xdr:from>
    <xdr:to>
      <xdr:col>6</xdr:col>
      <xdr:colOff>19050</xdr:colOff>
      <xdr:row>65</xdr:row>
      <xdr:rowOff>103505</xdr:rowOff>
    </xdr:to>
    <xdr:pic>
      <xdr:nvPicPr>
        <xdr:cNvPr id="11" name="Imagem 10">
          <a:extLst>
            <a:ext uri="{FF2B5EF4-FFF2-40B4-BE49-F238E27FC236}">
              <a16:creationId xmlns:a16="http://schemas.microsoft.com/office/drawing/2014/main" id="{00000000-0008-0000-0D00-00000B000000}"/>
            </a:ext>
          </a:extLst>
        </xdr:cNvPr>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8100" y="9544050"/>
          <a:ext cx="4648200" cy="2751455"/>
        </a:xfrm>
        <a:prstGeom prst="rect">
          <a:avLst/>
        </a:prstGeom>
        <a:noFill/>
        <a:ln>
          <a:solidFill>
            <a:schemeClr val="tx1"/>
          </a:solidFill>
        </a:ln>
      </xdr:spPr>
    </xdr:pic>
    <xdr:clientData/>
  </xdr:twoCellAnchor>
  <xdr:twoCellAnchor editAs="oneCell">
    <xdr:from>
      <xdr:col>6</xdr:col>
      <xdr:colOff>228600</xdr:colOff>
      <xdr:row>51</xdr:row>
      <xdr:rowOff>19050</xdr:rowOff>
    </xdr:from>
    <xdr:to>
      <xdr:col>12</xdr:col>
      <xdr:colOff>304800</xdr:colOff>
      <xdr:row>65</xdr:row>
      <xdr:rowOff>104775</xdr:rowOff>
    </xdr:to>
    <xdr:pic>
      <xdr:nvPicPr>
        <xdr:cNvPr id="12" name="Imagem 11">
          <a:extLst>
            <a:ext uri="{FF2B5EF4-FFF2-40B4-BE49-F238E27FC236}">
              <a16:creationId xmlns:a16="http://schemas.microsoft.com/office/drawing/2014/main" id="{00000000-0008-0000-0D00-00000C000000}"/>
            </a:ext>
          </a:extLst>
        </xdr:cNvPr>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762500" y="9544050"/>
          <a:ext cx="4705350" cy="2752725"/>
        </a:xfrm>
        <a:prstGeom prst="rect">
          <a:avLst/>
        </a:prstGeom>
        <a:noFill/>
        <a:ln>
          <a:solidFill>
            <a:schemeClr val="tx1"/>
          </a:solidFill>
        </a:ln>
      </xdr:spPr>
    </xdr:pic>
    <xdr:clientData/>
  </xdr:twoCellAnchor>
  <xdr:twoCellAnchor editAs="oneCell">
    <xdr:from>
      <xdr:col>12</xdr:col>
      <xdr:colOff>381000</xdr:colOff>
      <xdr:row>51</xdr:row>
      <xdr:rowOff>28575</xdr:rowOff>
    </xdr:from>
    <xdr:to>
      <xdr:col>18</xdr:col>
      <xdr:colOff>438150</xdr:colOff>
      <xdr:row>65</xdr:row>
      <xdr:rowOff>114300</xdr:rowOff>
    </xdr:to>
    <xdr:pic>
      <xdr:nvPicPr>
        <xdr:cNvPr id="13" name="Imagem 12">
          <a:extLst>
            <a:ext uri="{FF2B5EF4-FFF2-40B4-BE49-F238E27FC236}">
              <a16:creationId xmlns:a16="http://schemas.microsoft.com/office/drawing/2014/main" id="{00000000-0008-0000-0D00-00000D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9544050" y="9553575"/>
          <a:ext cx="4686300" cy="2752725"/>
        </a:xfrm>
        <a:prstGeom prst="rect">
          <a:avLst/>
        </a:prstGeom>
        <a:noFill/>
        <a:ln>
          <a:solidFill>
            <a:schemeClr val="tx1"/>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1</xdr:rowOff>
    </xdr:from>
    <xdr:to>
      <xdr:col>3</xdr:col>
      <xdr:colOff>1032165</xdr:colOff>
      <xdr:row>2</xdr:row>
      <xdr:rowOff>152401</xdr:rowOff>
    </xdr:to>
    <xdr:pic>
      <xdr:nvPicPr>
        <xdr:cNvPr id="2" name="Imagem 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
          <a:ext cx="103216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487103</xdr:colOff>
      <xdr:row>14</xdr:row>
      <xdr:rowOff>95250</xdr:rowOff>
    </xdr:to>
    <xdr:pic>
      <xdr:nvPicPr>
        <xdr:cNvPr id="3" name="Imagem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stretch>
          <a:fillRect/>
        </a:stretch>
      </xdr:blipFill>
      <xdr:spPr>
        <a:xfrm>
          <a:off x="0" y="0"/>
          <a:ext cx="5363903" cy="2762250"/>
        </a:xfrm>
        <a:prstGeom prst="rect">
          <a:avLst/>
        </a:prstGeom>
        <a:ln>
          <a:solidFill>
            <a:sysClr val="windowText" lastClr="000000"/>
          </a:solidFill>
        </a:ln>
      </xdr:spPr>
    </xdr:pic>
    <xdr:clientData/>
  </xdr:twoCellAnchor>
  <xdr:twoCellAnchor editAs="oneCell">
    <xdr:from>
      <xdr:col>0</xdr:col>
      <xdr:colOff>0</xdr:colOff>
      <xdr:row>14</xdr:row>
      <xdr:rowOff>171450</xdr:rowOff>
    </xdr:from>
    <xdr:to>
      <xdr:col>8</xdr:col>
      <xdr:colOff>485774</xdr:colOff>
      <xdr:row>31</xdr:row>
      <xdr:rowOff>133350</xdr:rowOff>
    </xdr:to>
    <xdr:pic>
      <xdr:nvPicPr>
        <xdr:cNvPr id="6" name="Imagem 5">
          <a:extLst>
            <a:ext uri="{FF2B5EF4-FFF2-40B4-BE49-F238E27FC236}">
              <a16:creationId xmlns:a16="http://schemas.microsoft.com/office/drawing/2014/main" id="{00000000-0008-0000-0F00-000006000000}"/>
            </a:ext>
          </a:extLst>
        </xdr:cNvPr>
        <xdr:cNvPicPr>
          <a:picLocks noChangeAspect="1"/>
        </xdr:cNvPicPr>
      </xdr:nvPicPr>
      <xdr:blipFill>
        <a:blip xmlns:r="http://schemas.openxmlformats.org/officeDocument/2006/relationships" r:embed="rId2"/>
        <a:stretch>
          <a:fillRect/>
        </a:stretch>
      </xdr:blipFill>
      <xdr:spPr>
        <a:xfrm>
          <a:off x="0" y="2838450"/>
          <a:ext cx="5362574" cy="3200400"/>
        </a:xfrm>
        <a:prstGeom prst="rect">
          <a:avLst/>
        </a:prstGeom>
        <a:ln>
          <a:solidFill>
            <a:sysClr val="windowText" lastClr="0000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4</xdr:row>
      <xdr:rowOff>57150</xdr:rowOff>
    </xdr:from>
    <xdr:to>
      <xdr:col>8</xdr:col>
      <xdr:colOff>561975</xdr:colOff>
      <xdr:row>13</xdr:row>
      <xdr:rowOff>161925</xdr:rowOff>
    </xdr:to>
    <xdr:pic>
      <xdr:nvPicPr>
        <xdr:cNvPr id="2" name="Imagem 1">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0" y="1009650"/>
          <a:ext cx="5553075" cy="1819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41</xdr:row>
      <xdr:rowOff>14287</xdr:rowOff>
    </xdr:from>
    <xdr:to>
      <xdr:col>2</xdr:col>
      <xdr:colOff>0</xdr:colOff>
      <xdr:row>51</xdr:row>
      <xdr:rowOff>57150</xdr:rowOff>
    </xdr:to>
    <xdr:graphicFrame macro="">
      <xdr:nvGraphicFramePr>
        <xdr:cNvPr id="6" name="Gráfico 5">
          <a:extLst>
            <a:ext uri="{FF2B5EF4-FFF2-40B4-BE49-F238E27FC236}">
              <a16:creationId xmlns:a16="http://schemas.microsoft.com/office/drawing/2014/main" id="{00000000-0008-0000-1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219075</xdr:colOff>
      <xdr:row>9</xdr:row>
      <xdr:rowOff>166687</xdr:rowOff>
    </xdr:from>
    <xdr:to>
      <xdr:col>34</xdr:col>
      <xdr:colOff>962025</xdr:colOff>
      <xdr:row>22</xdr:row>
      <xdr:rowOff>185737</xdr:rowOff>
    </xdr:to>
    <xdr:graphicFrame macro="">
      <xdr:nvGraphicFramePr>
        <xdr:cNvPr id="2" name="Gráfico 1">
          <a:extLst>
            <a:ext uri="{FF2B5EF4-FFF2-40B4-BE49-F238E27FC236}">
              <a16:creationId xmlns:a16="http://schemas.microsoft.com/office/drawing/2014/main" id="{674B4917-AEDF-80FA-8863-352497FAAB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62</xdr:col>
      <xdr:colOff>523875</xdr:colOff>
      <xdr:row>2</xdr:row>
      <xdr:rowOff>185737</xdr:rowOff>
    </xdr:from>
    <xdr:to>
      <xdr:col>70</xdr:col>
      <xdr:colOff>219075</xdr:colOff>
      <xdr:row>15</xdr:row>
      <xdr:rowOff>204787</xdr:rowOff>
    </xdr:to>
    <xdr:graphicFrame macro="">
      <xdr:nvGraphicFramePr>
        <xdr:cNvPr id="3" name="Gráfico 2">
          <a:extLst>
            <a:ext uri="{FF2B5EF4-FFF2-40B4-BE49-F238E27FC236}">
              <a16:creationId xmlns:a16="http://schemas.microsoft.com/office/drawing/2014/main" id="{99AE36FE-2EC2-BDD9-BC45-25DDFC6A07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190500</xdr:colOff>
          <xdr:row>46</xdr:row>
          <xdr:rowOff>85725</xdr:rowOff>
        </xdr:from>
        <xdr:to>
          <xdr:col>12</xdr:col>
          <xdr:colOff>809625</xdr:colOff>
          <xdr:row>49</xdr:row>
          <xdr:rowOff>19050</xdr:rowOff>
        </xdr:to>
        <xdr:sp macro="" textlink="">
          <xdr:nvSpPr>
            <xdr:cNvPr id="61441" name="CommandButton1" hidden="1">
              <a:extLst>
                <a:ext uri="{63B3BB69-23CF-44E3-9099-C40C66FF867C}">
                  <a14:compatExt spid="_x0000_s61441"/>
                </a:ext>
                <a:ext uri="{FF2B5EF4-FFF2-40B4-BE49-F238E27FC236}">
                  <a16:creationId xmlns:a16="http://schemas.microsoft.com/office/drawing/2014/main" id="{00000000-0008-0000-1900-00000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u%20Drive/VILAR%20CONSULTORIA_G/WINDROSE_2024/Relatorio%20Mercadoria%20-%2020_03_2024%2010_14_49.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G:\Meu%20Drive\VILAR%20CONSULTORIA_G\WINDROSE\EVTEA%20WINDROSE\EVTEA%20WINDROSE_2024_14_Atualizado.xlsm" TargetMode="External"/><Relationship Id="rId1" Type="http://schemas.openxmlformats.org/officeDocument/2006/relationships/externalLinkPath" Target="/Meu%20Drive/VILAR%20CONSULTORIA_G/WINDROSE/EVTEA%20WINDROSE/EVTEA%20WINDROSE_2024_14_Atualizad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rcadoria"/>
      <sheetName val="País_Siscomex"/>
      <sheetName val="Frios_Cong"/>
      <sheetName val="Petrolina"/>
      <sheetName val="dados1"/>
      <sheetName val="Planilha1"/>
      <sheetName val="Planilha2"/>
    </sheetNames>
    <sheetDataSet>
      <sheetData sheetId="0"/>
      <sheetData sheetId="1"/>
      <sheetData sheetId="2"/>
      <sheetData sheetId="3"/>
      <sheetData sheetId="4">
        <row r="62">
          <cell r="Q62">
            <v>114988.50600000001</v>
          </cell>
          <cell r="AK62">
            <v>124582.50700000003</v>
          </cell>
        </row>
        <row r="63">
          <cell r="AA63">
            <v>163260.61999999997</v>
          </cell>
        </row>
        <row r="64">
          <cell r="AU64">
            <v>119695.03400000004</v>
          </cell>
        </row>
        <row r="70">
          <cell r="G70">
            <v>137499.15600000005</v>
          </cell>
        </row>
      </sheetData>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vest"/>
      <sheetName val="Cron.FF &amp; Deprec"/>
      <sheetName val="SH4"/>
      <sheetName val="país_siscomex"/>
      <sheetName val="frios_cong"/>
      <sheetName val="expor_petrolina"/>
      <sheetName val="expor_petrolina1"/>
      <sheetName val="pib_países"/>
      <sheetName val="dados_painel"/>
      <sheetName val="import_frios_cong_RNA"/>
      <sheetName val="base_RNA"/>
      <sheetName val="Import_CG"/>
      <sheetName val="Import_Frios"/>
      <sheetName val="Export_Frutas"/>
      <sheetName val="MOB"/>
      <sheetName val="Tarifas"/>
      <sheetName val="VarCG"/>
      <sheetName val="Faturam_Sim"/>
      <sheetName val="Custos_Desp"/>
      <sheetName val="Custos Ambientais"/>
      <sheetName val="Receitas"/>
      <sheetName val="TMA"/>
      <sheetName val="Receitas_Cen"/>
      <sheetName val="SAC"/>
      <sheetName val="DRE_FC"/>
      <sheetName val="DRE_FC_VP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4">
          <cell r="D4">
            <v>9.5408232773706261E-2</v>
          </cell>
        </row>
      </sheetData>
      <sheetData sheetId="22"/>
      <sheetData sheetId="23"/>
      <sheetData sheetId="24"/>
      <sheetData sheetId="2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C26B385-B675-4324-86F8-C1F98AA48431}" name="Table1" displayName="Table1" ref="A2:D1404" totalsRowShown="0">
  <autoFilter ref="A2:D1404" xr:uid="{C58F9863-27D7-4C62-8B18-8584CAE872D2}"/>
  <tableColumns count="4">
    <tableColumn id="1" xr3:uid="{B17AE3FB-60D2-49EC-BBDE-520E40BF22D5}" name="Código Capítulo SH2"/>
    <tableColumn id="2" xr3:uid="{08C9CA18-06E6-4DF8-B27D-D038196D102C}" name="Descrição Capítulo SH2"/>
    <tableColumn id="3" xr3:uid="{274C5028-B287-4227-8E7C-7F5E453A9D93}" name="Código Posição SH4"/>
    <tableColumn id="4" xr3:uid="{BB2AD351-BDEC-486B-937B-B5269F1D5715}" name="Descrição Posição SH4"/>
  </tableColumns>
  <tableStyleInfo name="TableStyleLight9"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hyperlink" Target="https://www.imf.org/en/Countrie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9.xml"/><Relationship Id="rId4" Type="http://schemas.openxmlformats.org/officeDocument/2006/relationships/image" Target="../media/image40.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7994CC-5236-42EE-B667-5ACB32C99F29}">
  <sheetPr codeName="Planilha2"/>
  <dimension ref="A1:BH64"/>
  <sheetViews>
    <sheetView topLeftCell="F1" zoomScale="90" zoomScaleNormal="90" workbookViewId="0">
      <selection activeCell="N55" sqref="N55"/>
    </sheetView>
  </sheetViews>
  <sheetFormatPr defaultRowHeight="16.5" x14ac:dyDescent="0.3"/>
  <cols>
    <col min="1" max="2" width="3.7109375" style="241" customWidth="1"/>
    <col min="3" max="3" width="55.28515625" style="241" customWidth="1"/>
    <col min="4" max="4" width="20.28515625" style="245" bestFit="1" customWidth="1"/>
    <col min="5" max="5" width="19.28515625" style="241" customWidth="1"/>
    <col min="6" max="6" width="19.5703125" style="241" customWidth="1"/>
    <col min="7" max="7" width="20.42578125" style="241" customWidth="1"/>
    <col min="8" max="9" width="19.85546875" style="241" customWidth="1"/>
    <col min="10" max="10" width="20.28515625" style="241" customWidth="1"/>
    <col min="11" max="12" width="18.42578125" style="241" bestFit="1" customWidth="1"/>
    <col min="13" max="16384" width="9.140625" style="241"/>
  </cols>
  <sheetData>
    <row r="1" spans="3:60" ht="17.25" thickBot="1" x14ac:dyDescent="0.35">
      <c r="D1" s="242"/>
    </row>
    <row r="2" spans="3:60" x14ac:dyDescent="0.3">
      <c r="C2" s="225" t="s">
        <v>4067</v>
      </c>
      <c r="D2" s="226" t="s">
        <v>4068</v>
      </c>
      <c r="E2" s="236" t="s">
        <v>3701</v>
      </c>
      <c r="F2" s="236" t="s">
        <v>3702</v>
      </c>
      <c r="G2" s="236" t="s">
        <v>3703</v>
      </c>
      <c r="H2" s="236" t="s">
        <v>3704</v>
      </c>
      <c r="I2" s="236" t="s">
        <v>3705</v>
      </c>
      <c r="J2" s="227" t="s">
        <v>3262</v>
      </c>
      <c r="L2" s="222"/>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3"/>
      <c r="AR2" s="243"/>
      <c r="AS2" s="243"/>
      <c r="AT2" s="243"/>
      <c r="AU2" s="243"/>
      <c r="AV2" s="243"/>
      <c r="AW2" s="243"/>
      <c r="AX2" s="243"/>
      <c r="AY2" s="243"/>
      <c r="AZ2" s="243"/>
      <c r="BA2" s="243"/>
      <c r="BB2" s="243"/>
      <c r="BC2" s="243"/>
      <c r="BD2" s="243"/>
      <c r="BE2" s="243"/>
      <c r="BF2" s="243"/>
      <c r="BG2" s="243"/>
      <c r="BH2" s="243"/>
    </row>
    <row r="3" spans="3:60" x14ac:dyDescent="0.3">
      <c r="C3" s="237" t="s">
        <v>4211</v>
      </c>
      <c r="D3" s="234">
        <v>800000</v>
      </c>
      <c r="E3" s="235">
        <f>E41</f>
        <v>300000</v>
      </c>
      <c r="F3" s="235">
        <f t="shared" ref="F3:I3" si="0">F41</f>
        <v>500000</v>
      </c>
      <c r="G3" s="234">
        <f t="shared" si="0"/>
        <v>0</v>
      </c>
      <c r="H3" s="234">
        <f t="shared" si="0"/>
        <v>0</v>
      </c>
      <c r="I3" s="234">
        <f t="shared" si="0"/>
        <v>0</v>
      </c>
      <c r="J3" s="238">
        <f>SUM(E3:I3)</f>
        <v>800000</v>
      </c>
      <c r="K3" s="244"/>
      <c r="L3" s="124"/>
    </row>
    <row r="4" spans="3:60" x14ac:dyDescent="0.3">
      <c r="C4" s="237" t="s">
        <v>4212</v>
      </c>
      <c r="D4" s="234">
        <v>1200000</v>
      </c>
      <c r="E4" s="235">
        <f>E42</f>
        <v>200000</v>
      </c>
      <c r="F4" s="235">
        <f t="shared" ref="F4:I4" si="1">F42</f>
        <v>1000000</v>
      </c>
      <c r="G4" s="234">
        <f t="shared" si="1"/>
        <v>0</v>
      </c>
      <c r="H4" s="234">
        <f t="shared" si="1"/>
        <v>0</v>
      </c>
      <c r="I4" s="234">
        <f t="shared" si="1"/>
        <v>0</v>
      </c>
      <c r="J4" s="238">
        <f t="shared" ref="J4:J25" si="2">SUM(E4:I4)</f>
        <v>1200000</v>
      </c>
      <c r="K4" s="244"/>
      <c r="L4" s="124"/>
    </row>
    <row r="5" spans="3:60" x14ac:dyDescent="0.3">
      <c r="C5" s="237" t="s">
        <v>4213</v>
      </c>
      <c r="D5" s="234">
        <v>130000</v>
      </c>
      <c r="E5" s="234">
        <f>E43</f>
        <v>0</v>
      </c>
      <c r="F5" s="234">
        <f t="shared" ref="F5:I5" si="3">F43</f>
        <v>0</v>
      </c>
      <c r="G5" s="235">
        <f t="shared" si="3"/>
        <v>130000</v>
      </c>
      <c r="H5" s="234">
        <f t="shared" si="3"/>
        <v>0</v>
      </c>
      <c r="I5" s="234">
        <f t="shared" si="3"/>
        <v>0</v>
      </c>
      <c r="J5" s="238">
        <f t="shared" si="2"/>
        <v>130000</v>
      </c>
      <c r="K5" s="244"/>
      <c r="L5" s="124"/>
    </row>
    <row r="6" spans="3:60" x14ac:dyDescent="0.3">
      <c r="C6" s="228" t="s">
        <v>3849</v>
      </c>
      <c r="D6" s="223">
        <v>700000</v>
      </c>
      <c r="E6" s="235">
        <f>E36</f>
        <v>700000</v>
      </c>
      <c r="F6" s="234">
        <f t="shared" ref="F6:I6" si="4">F36</f>
        <v>0</v>
      </c>
      <c r="G6" s="234">
        <f t="shared" si="4"/>
        <v>0</v>
      </c>
      <c r="H6" s="234">
        <f t="shared" si="4"/>
        <v>0</v>
      </c>
      <c r="I6" s="234">
        <f t="shared" si="4"/>
        <v>0</v>
      </c>
      <c r="J6" s="238">
        <f t="shared" si="2"/>
        <v>700000</v>
      </c>
      <c r="K6" s="244"/>
      <c r="L6" s="124"/>
    </row>
    <row r="7" spans="3:60" x14ac:dyDescent="0.3">
      <c r="C7" s="228" t="s">
        <v>3854</v>
      </c>
      <c r="D7" s="223">
        <v>500000</v>
      </c>
      <c r="E7" s="235">
        <f>E50</f>
        <v>200000</v>
      </c>
      <c r="F7" s="235">
        <f t="shared" ref="F7:I7" si="5">F50</f>
        <v>300000</v>
      </c>
      <c r="G7" s="234">
        <f t="shared" si="5"/>
        <v>0</v>
      </c>
      <c r="H7" s="234">
        <f t="shared" si="5"/>
        <v>0</v>
      </c>
      <c r="I7" s="234">
        <f t="shared" si="5"/>
        <v>0</v>
      </c>
      <c r="J7" s="238">
        <f t="shared" si="2"/>
        <v>500000</v>
      </c>
      <c r="K7" s="244"/>
      <c r="L7" s="124"/>
    </row>
    <row r="8" spans="3:60" x14ac:dyDescent="0.3">
      <c r="C8" s="237" t="s">
        <v>3850</v>
      </c>
      <c r="D8" s="234">
        <v>5000000</v>
      </c>
      <c r="E8" s="234">
        <f>E37</f>
        <v>0</v>
      </c>
      <c r="F8" s="234">
        <f t="shared" ref="F8:I8" si="6">F37</f>
        <v>0</v>
      </c>
      <c r="G8" s="235">
        <f t="shared" si="6"/>
        <v>1700000</v>
      </c>
      <c r="H8" s="235">
        <f t="shared" si="6"/>
        <v>1700000</v>
      </c>
      <c r="I8" s="235">
        <f t="shared" si="6"/>
        <v>1600000</v>
      </c>
      <c r="J8" s="238">
        <f t="shared" si="2"/>
        <v>5000000</v>
      </c>
      <c r="K8" s="244"/>
      <c r="L8" s="124"/>
    </row>
    <row r="9" spans="3:60" x14ac:dyDescent="0.3">
      <c r="C9" s="228" t="s">
        <v>3848</v>
      </c>
      <c r="D9" s="223">
        <v>700000</v>
      </c>
      <c r="E9" s="235">
        <f>E38</f>
        <v>700000</v>
      </c>
      <c r="F9" s="234">
        <f t="shared" ref="F9:I9" si="7">F38</f>
        <v>0</v>
      </c>
      <c r="G9" s="234">
        <f t="shared" si="7"/>
        <v>0</v>
      </c>
      <c r="H9" s="234">
        <f t="shared" si="7"/>
        <v>0</v>
      </c>
      <c r="I9" s="234">
        <f t="shared" si="7"/>
        <v>0</v>
      </c>
      <c r="J9" s="238">
        <f t="shared" si="2"/>
        <v>700000</v>
      </c>
      <c r="K9" s="244"/>
      <c r="L9" s="124"/>
    </row>
    <row r="10" spans="3:60" x14ac:dyDescent="0.3">
      <c r="C10" s="228" t="s">
        <v>3861</v>
      </c>
      <c r="D10" s="223">
        <v>300000</v>
      </c>
      <c r="E10" s="234">
        <f>E51</f>
        <v>0</v>
      </c>
      <c r="F10" s="235">
        <f t="shared" ref="F10:I10" si="8">F51</f>
        <v>300000</v>
      </c>
      <c r="G10" s="234">
        <f t="shared" si="8"/>
        <v>0</v>
      </c>
      <c r="H10" s="234">
        <f t="shared" si="8"/>
        <v>0</v>
      </c>
      <c r="I10" s="234">
        <f t="shared" si="8"/>
        <v>0</v>
      </c>
      <c r="J10" s="238">
        <f t="shared" si="2"/>
        <v>300000</v>
      </c>
      <c r="K10" s="244"/>
      <c r="L10" s="124"/>
    </row>
    <row r="11" spans="3:60" x14ac:dyDescent="0.3">
      <c r="C11" s="237" t="s">
        <v>3855</v>
      </c>
      <c r="D11" s="234">
        <v>700000</v>
      </c>
      <c r="E11" s="234">
        <f>E39</f>
        <v>0</v>
      </c>
      <c r="F11" s="235">
        <f t="shared" ref="F11:I11" si="9">F39</f>
        <v>700000</v>
      </c>
      <c r="G11" s="234">
        <f t="shared" si="9"/>
        <v>0</v>
      </c>
      <c r="H11" s="234">
        <f t="shared" si="9"/>
        <v>0</v>
      </c>
      <c r="I11" s="234">
        <f t="shared" si="9"/>
        <v>0</v>
      </c>
      <c r="J11" s="238">
        <f t="shared" si="2"/>
        <v>700000</v>
      </c>
      <c r="K11" s="244"/>
      <c r="L11" s="124"/>
    </row>
    <row r="12" spans="3:60" x14ac:dyDescent="0.3">
      <c r="C12" s="237" t="s">
        <v>3853</v>
      </c>
      <c r="D12" s="234">
        <v>6500000</v>
      </c>
      <c r="E12" s="235">
        <f>E40</f>
        <v>600000</v>
      </c>
      <c r="F12" s="235">
        <f t="shared" ref="F12:I12" si="10">F40</f>
        <v>1475000</v>
      </c>
      <c r="G12" s="235">
        <f t="shared" si="10"/>
        <v>1800000</v>
      </c>
      <c r="H12" s="235">
        <f t="shared" si="10"/>
        <v>1312500</v>
      </c>
      <c r="I12" s="235">
        <f t="shared" si="10"/>
        <v>1312500</v>
      </c>
      <c r="J12" s="238">
        <f t="shared" si="2"/>
        <v>6500000</v>
      </c>
      <c r="K12" s="244"/>
      <c r="L12" s="124"/>
    </row>
    <row r="13" spans="3:60" x14ac:dyDescent="0.3">
      <c r="C13" s="228" t="s">
        <v>3852</v>
      </c>
      <c r="D13" s="223">
        <v>1800000</v>
      </c>
      <c r="E13" s="234">
        <f>E52</f>
        <v>0</v>
      </c>
      <c r="F13" s="234">
        <f t="shared" ref="F13:I13" si="11">F52</f>
        <v>0</v>
      </c>
      <c r="G13" s="234">
        <f t="shared" si="11"/>
        <v>0</v>
      </c>
      <c r="H13" s="235">
        <f t="shared" si="11"/>
        <v>900000</v>
      </c>
      <c r="I13" s="235">
        <f t="shared" si="11"/>
        <v>900000</v>
      </c>
      <c r="J13" s="238">
        <f t="shared" si="2"/>
        <v>1800000</v>
      </c>
      <c r="K13" s="244"/>
      <c r="L13" s="124"/>
    </row>
    <row r="14" spans="3:60" x14ac:dyDescent="0.3">
      <c r="C14" s="228" t="s">
        <v>3856</v>
      </c>
      <c r="D14" s="223">
        <v>180000</v>
      </c>
      <c r="E14" s="234">
        <f>E53</f>
        <v>0</v>
      </c>
      <c r="F14" s="234">
        <f t="shared" ref="F14:I14" si="12">F53</f>
        <v>0</v>
      </c>
      <c r="G14" s="235">
        <f t="shared" si="12"/>
        <v>180000</v>
      </c>
      <c r="H14" s="234">
        <f t="shared" si="12"/>
        <v>0</v>
      </c>
      <c r="I14" s="234">
        <f t="shared" si="12"/>
        <v>0</v>
      </c>
      <c r="J14" s="238">
        <f t="shared" si="2"/>
        <v>180000</v>
      </c>
      <c r="K14" s="244"/>
      <c r="L14" s="124"/>
    </row>
    <row r="15" spans="3:60" x14ac:dyDescent="0.3">
      <c r="C15" s="228" t="s">
        <v>3866</v>
      </c>
      <c r="D15" s="223">
        <v>900000</v>
      </c>
      <c r="E15" s="234">
        <f>E54</f>
        <v>0</v>
      </c>
      <c r="F15" s="235">
        <f t="shared" ref="F15:I15" si="13">F54</f>
        <v>900000</v>
      </c>
      <c r="G15" s="234">
        <f t="shared" si="13"/>
        <v>0</v>
      </c>
      <c r="H15" s="234">
        <f t="shared" si="13"/>
        <v>0</v>
      </c>
      <c r="I15" s="234">
        <f t="shared" si="13"/>
        <v>0</v>
      </c>
      <c r="J15" s="238">
        <f t="shared" si="2"/>
        <v>900000</v>
      </c>
      <c r="K15" s="244"/>
      <c r="L15" s="124"/>
    </row>
    <row r="16" spans="3:60" x14ac:dyDescent="0.3">
      <c r="C16" s="228" t="s">
        <v>4214</v>
      </c>
      <c r="D16" s="223">
        <v>180000</v>
      </c>
      <c r="E16" s="234">
        <f>E44</f>
        <v>0</v>
      </c>
      <c r="F16" s="234">
        <f t="shared" ref="F16:I16" si="14">F44</f>
        <v>0</v>
      </c>
      <c r="G16" s="235">
        <f t="shared" si="14"/>
        <v>180000</v>
      </c>
      <c r="H16" s="234">
        <f t="shared" si="14"/>
        <v>0</v>
      </c>
      <c r="I16" s="234">
        <f t="shared" si="14"/>
        <v>0</v>
      </c>
      <c r="J16" s="238">
        <f t="shared" si="2"/>
        <v>180000</v>
      </c>
      <c r="K16" s="244"/>
      <c r="L16" s="124"/>
    </row>
    <row r="17" spans="1:12" x14ac:dyDescent="0.3">
      <c r="C17" s="228" t="s">
        <v>3847</v>
      </c>
      <c r="D17" s="223">
        <v>700000</v>
      </c>
      <c r="E17" s="234">
        <f>E45</f>
        <v>0</v>
      </c>
      <c r="F17" s="234">
        <f t="shared" ref="F17:I17" si="15">F45</f>
        <v>0</v>
      </c>
      <c r="G17" s="235">
        <f t="shared" si="15"/>
        <v>700000</v>
      </c>
      <c r="H17" s="234">
        <f t="shared" si="15"/>
        <v>0</v>
      </c>
      <c r="I17" s="234">
        <f t="shared" si="15"/>
        <v>0</v>
      </c>
      <c r="J17" s="238">
        <f t="shared" si="2"/>
        <v>700000</v>
      </c>
      <c r="K17" s="244"/>
      <c r="L17" s="124"/>
    </row>
    <row r="18" spans="1:12" x14ac:dyDescent="0.3">
      <c r="C18" s="228" t="s">
        <v>3851</v>
      </c>
      <c r="D18" s="223">
        <v>11500000</v>
      </c>
      <c r="E18" s="234">
        <f>E46</f>
        <v>0</v>
      </c>
      <c r="F18" s="234">
        <f t="shared" ref="F18:I18" si="16">F46</f>
        <v>0</v>
      </c>
      <c r="G18" s="234">
        <f t="shared" si="16"/>
        <v>0</v>
      </c>
      <c r="H18" s="235">
        <f t="shared" si="16"/>
        <v>5750000</v>
      </c>
      <c r="I18" s="235">
        <f t="shared" si="16"/>
        <v>5750000</v>
      </c>
      <c r="J18" s="238">
        <f t="shared" si="2"/>
        <v>11500000</v>
      </c>
      <c r="K18" s="244"/>
      <c r="L18" s="124"/>
    </row>
    <row r="19" spans="1:12" x14ac:dyDescent="0.3">
      <c r="C19" s="228" t="s">
        <v>3859</v>
      </c>
      <c r="D19" s="223">
        <v>750000</v>
      </c>
      <c r="E19" s="234">
        <f t="shared" ref="E19:E25" si="17">E55</f>
        <v>0</v>
      </c>
      <c r="F19" s="234">
        <f t="shared" ref="F19:I19" si="18">F55</f>
        <v>0</v>
      </c>
      <c r="G19" s="234">
        <f t="shared" si="18"/>
        <v>0</v>
      </c>
      <c r="H19" s="234">
        <f t="shared" si="18"/>
        <v>0</v>
      </c>
      <c r="I19" s="235">
        <f t="shared" si="18"/>
        <v>750000</v>
      </c>
      <c r="J19" s="238">
        <f t="shared" si="2"/>
        <v>750000</v>
      </c>
      <c r="K19" s="244"/>
      <c r="L19" s="124"/>
    </row>
    <row r="20" spans="1:12" x14ac:dyDescent="0.3">
      <c r="C20" s="228" t="s">
        <v>3860</v>
      </c>
      <c r="D20" s="223">
        <v>900000</v>
      </c>
      <c r="E20" s="234">
        <f t="shared" si="17"/>
        <v>0</v>
      </c>
      <c r="F20" s="235">
        <f t="shared" ref="F20:I20" si="19">F56</f>
        <v>300000</v>
      </c>
      <c r="G20" s="234">
        <f t="shared" si="19"/>
        <v>0</v>
      </c>
      <c r="H20" s="235">
        <f t="shared" si="19"/>
        <v>300000</v>
      </c>
      <c r="I20" s="235">
        <f t="shared" si="19"/>
        <v>300000</v>
      </c>
      <c r="J20" s="238">
        <f t="shared" si="2"/>
        <v>900000</v>
      </c>
      <c r="K20" s="244"/>
      <c r="L20" s="124"/>
    </row>
    <row r="21" spans="1:12" x14ac:dyDescent="0.3">
      <c r="C21" s="228" t="s">
        <v>3862</v>
      </c>
      <c r="D21" s="223">
        <v>180000</v>
      </c>
      <c r="E21" s="235">
        <f t="shared" si="17"/>
        <v>30000</v>
      </c>
      <c r="F21" s="234">
        <f t="shared" ref="F21:I21" si="20">F57</f>
        <v>0</v>
      </c>
      <c r="G21" s="235">
        <f t="shared" si="20"/>
        <v>150000</v>
      </c>
      <c r="H21" s="234">
        <f t="shared" si="20"/>
        <v>0</v>
      </c>
      <c r="I21" s="234">
        <f t="shared" si="20"/>
        <v>0</v>
      </c>
      <c r="J21" s="238">
        <f t="shared" si="2"/>
        <v>180000</v>
      </c>
      <c r="K21" s="244"/>
      <c r="L21" s="124"/>
    </row>
    <row r="22" spans="1:12" x14ac:dyDescent="0.3">
      <c r="C22" s="228" t="s">
        <v>3863</v>
      </c>
      <c r="D22" s="223">
        <v>180000</v>
      </c>
      <c r="E22" s="234">
        <f t="shared" si="17"/>
        <v>0</v>
      </c>
      <c r="F22" s="235">
        <f t="shared" ref="F22:I22" si="21">F58</f>
        <v>90000</v>
      </c>
      <c r="G22" s="235">
        <f t="shared" si="21"/>
        <v>90000</v>
      </c>
      <c r="H22" s="234">
        <f t="shared" si="21"/>
        <v>0</v>
      </c>
      <c r="I22" s="234">
        <f t="shared" si="21"/>
        <v>0</v>
      </c>
      <c r="J22" s="238">
        <f t="shared" si="2"/>
        <v>180000</v>
      </c>
      <c r="K22" s="244"/>
      <c r="L22" s="124"/>
    </row>
    <row r="23" spans="1:12" x14ac:dyDescent="0.3">
      <c r="C23" s="228" t="s">
        <v>3857</v>
      </c>
      <c r="D23" s="223">
        <v>8000000</v>
      </c>
      <c r="E23" s="234">
        <f t="shared" si="17"/>
        <v>0</v>
      </c>
      <c r="F23" s="234">
        <f t="shared" ref="F23:I23" si="22">F59</f>
        <v>0</v>
      </c>
      <c r="G23" s="234">
        <f t="shared" si="22"/>
        <v>0</v>
      </c>
      <c r="H23" s="235">
        <f t="shared" si="22"/>
        <v>4000000</v>
      </c>
      <c r="I23" s="235">
        <f t="shared" si="22"/>
        <v>4000000</v>
      </c>
      <c r="J23" s="238">
        <f t="shared" si="2"/>
        <v>8000000</v>
      </c>
      <c r="K23" s="244"/>
      <c r="L23" s="124"/>
    </row>
    <row r="24" spans="1:12" x14ac:dyDescent="0.3">
      <c r="C24" s="228" t="s">
        <v>3858</v>
      </c>
      <c r="D24" s="223">
        <v>8500000</v>
      </c>
      <c r="E24" s="234">
        <f t="shared" si="17"/>
        <v>0</v>
      </c>
      <c r="F24" s="234">
        <f t="shared" ref="F24:I24" si="23">F60</f>
        <v>0</v>
      </c>
      <c r="G24" s="234">
        <f t="shared" si="23"/>
        <v>0</v>
      </c>
      <c r="H24" s="235">
        <f t="shared" si="23"/>
        <v>4250000</v>
      </c>
      <c r="I24" s="235">
        <f t="shared" si="23"/>
        <v>4250000</v>
      </c>
      <c r="J24" s="238">
        <f t="shared" si="2"/>
        <v>8500000</v>
      </c>
      <c r="K24" s="244"/>
      <c r="L24" s="124"/>
    </row>
    <row r="25" spans="1:12" x14ac:dyDescent="0.3">
      <c r="C25" s="228" t="s">
        <v>3864</v>
      </c>
      <c r="D25" s="223">
        <v>280000</v>
      </c>
      <c r="E25" s="234">
        <f t="shared" si="17"/>
        <v>0</v>
      </c>
      <c r="F25" s="234">
        <f t="shared" ref="F25:I25" si="24">F61</f>
        <v>0</v>
      </c>
      <c r="G25" s="235">
        <f>G61</f>
        <v>140000</v>
      </c>
      <c r="H25" s="235">
        <f t="shared" si="24"/>
        <v>140000</v>
      </c>
      <c r="I25" s="234">
        <f t="shared" si="24"/>
        <v>0</v>
      </c>
      <c r="J25" s="238">
        <f t="shared" si="2"/>
        <v>280000</v>
      </c>
      <c r="K25" s="244"/>
      <c r="L25" s="124"/>
    </row>
    <row r="26" spans="1:12" ht="17.25" thickBot="1" x14ac:dyDescent="0.35">
      <c r="C26" s="230" t="s">
        <v>3262</v>
      </c>
      <c r="D26" s="231">
        <f t="shared" ref="D26:I26" si="25">SUM(D3:D25)</f>
        <v>50580000</v>
      </c>
      <c r="E26" s="239">
        <f t="shared" si="25"/>
        <v>2730000</v>
      </c>
      <c r="F26" s="239">
        <f t="shared" si="25"/>
        <v>5565000</v>
      </c>
      <c r="G26" s="239">
        <f t="shared" si="25"/>
        <v>5070000</v>
      </c>
      <c r="H26" s="239">
        <f t="shared" si="25"/>
        <v>18352500</v>
      </c>
      <c r="I26" s="239">
        <f t="shared" si="25"/>
        <v>18862500</v>
      </c>
      <c r="J26" s="240">
        <f>SUM(J3:J25)</f>
        <v>50580000</v>
      </c>
    </row>
    <row r="27" spans="1:12" ht="17.25" thickBot="1" x14ac:dyDescent="0.35">
      <c r="E27" s="244"/>
    </row>
    <row r="28" spans="1:12" x14ac:dyDescent="0.3">
      <c r="A28" s="417">
        <v>1</v>
      </c>
      <c r="B28" s="417"/>
      <c r="C28" s="225" t="s">
        <v>4070</v>
      </c>
      <c r="D28" s="226" t="s">
        <v>4068</v>
      </c>
      <c r="E28" s="236" t="s">
        <v>3701</v>
      </c>
      <c r="F28" s="236" t="s">
        <v>3702</v>
      </c>
      <c r="G28" s="236" t="s">
        <v>3703</v>
      </c>
      <c r="H28" s="236" t="s">
        <v>3704</v>
      </c>
      <c r="I28" s="236" t="s">
        <v>3705</v>
      </c>
      <c r="J28" s="227" t="s">
        <v>3262</v>
      </c>
    </row>
    <row r="29" spans="1:12" x14ac:dyDescent="0.3">
      <c r="C29" s="237" t="s">
        <v>4211</v>
      </c>
      <c r="D29" s="234">
        <v>800000</v>
      </c>
      <c r="E29" s="234">
        <v>0</v>
      </c>
      <c r="F29" s="234">
        <v>0</v>
      </c>
      <c r="G29" s="235">
        <f>D29/2</f>
        <v>400000</v>
      </c>
      <c r="H29" s="235">
        <f>D29/2</f>
        <v>400000</v>
      </c>
      <c r="I29" s="234">
        <v>0</v>
      </c>
      <c r="J29" s="238">
        <f>SUM(E29:I29)</f>
        <v>800000</v>
      </c>
    </row>
    <row r="30" spans="1:12" x14ac:dyDescent="0.3">
      <c r="C30" s="237" t="s">
        <v>4212</v>
      </c>
      <c r="D30" s="234">
        <v>1200000</v>
      </c>
      <c r="E30" s="234">
        <v>0</v>
      </c>
      <c r="F30" s="234">
        <v>0</v>
      </c>
      <c r="G30" s="235">
        <f>D30/2</f>
        <v>600000</v>
      </c>
      <c r="H30" s="235">
        <f>D30/2</f>
        <v>600000</v>
      </c>
      <c r="I30" s="234">
        <v>0</v>
      </c>
      <c r="J30" s="238">
        <f t="shared" ref="J30:J32" si="26">SUM(E30:I30)</f>
        <v>1200000</v>
      </c>
    </row>
    <row r="31" spans="1:12" x14ac:dyDescent="0.3">
      <c r="C31" s="237" t="s">
        <v>4213</v>
      </c>
      <c r="D31" s="234">
        <v>130000</v>
      </c>
      <c r="E31" s="234">
        <v>0</v>
      </c>
      <c r="F31" s="234">
        <v>0</v>
      </c>
      <c r="G31" s="235">
        <f>D31/2</f>
        <v>65000</v>
      </c>
      <c r="H31" s="235">
        <f>D31/2</f>
        <v>65000</v>
      </c>
      <c r="I31" s="234">
        <v>0</v>
      </c>
      <c r="J31" s="238">
        <f t="shared" si="26"/>
        <v>130000</v>
      </c>
    </row>
    <row r="32" spans="1:12" x14ac:dyDescent="0.3">
      <c r="C32" s="228" t="s">
        <v>4214</v>
      </c>
      <c r="D32" s="223">
        <v>180000</v>
      </c>
      <c r="E32" s="234">
        <v>0</v>
      </c>
      <c r="F32" s="234">
        <v>0</v>
      </c>
      <c r="G32" s="234">
        <v>0</v>
      </c>
      <c r="H32" s="235">
        <f>D32</f>
        <v>180000</v>
      </c>
      <c r="I32" s="234">
        <v>0</v>
      </c>
      <c r="J32" s="238">
        <f t="shared" si="26"/>
        <v>180000</v>
      </c>
    </row>
    <row r="33" spans="1:12" ht="17.25" thickBot="1" x14ac:dyDescent="0.35">
      <c r="C33" s="230" t="s">
        <v>3262</v>
      </c>
      <c r="D33" s="231">
        <f t="shared" ref="D33:I33" si="27">SUM(D29:D32)</f>
        <v>2310000</v>
      </c>
      <c r="E33" s="231">
        <f t="shared" si="27"/>
        <v>0</v>
      </c>
      <c r="F33" s="231">
        <f t="shared" si="27"/>
        <v>0</v>
      </c>
      <c r="G33" s="231">
        <f t="shared" si="27"/>
        <v>1065000</v>
      </c>
      <c r="H33" s="231">
        <f t="shared" si="27"/>
        <v>1245000</v>
      </c>
      <c r="I33" s="231">
        <f t="shared" si="27"/>
        <v>0</v>
      </c>
      <c r="J33" s="240">
        <f>SUM(J29:J32)</f>
        <v>2310000</v>
      </c>
      <c r="L33" s="244">
        <f>J47+J62</f>
        <v>50580000</v>
      </c>
    </row>
    <row r="34" spans="1:12" ht="17.25" thickBot="1" x14ac:dyDescent="0.35">
      <c r="B34" s="422"/>
      <c r="C34" s="422"/>
      <c r="D34" s="424"/>
      <c r="E34" s="422"/>
      <c r="F34" s="422"/>
      <c r="G34" s="422"/>
      <c r="H34" s="422"/>
      <c r="I34" s="422"/>
      <c r="J34" s="422"/>
      <c r="K34" s="422"/>
    </row>
    <row r="35" spans="1:12" x14ac:dyDescent="0.3">
      <c r="A35" s="417">
        <v>2</v>
      </c>
      <c r="B35" s="423"/>
      <c r="C35" s="225" t="s">
        <v>4069</v>
      </c>
      <c r="D35" s="226" t="s">
        <v>4068</v>
      </c>
      <c r="E35" s="236" t="s">
        <v>3701</v>
      </c>
      <c r="F35" s="236" t="s">
        <v>3702</v>
      </c>
      <c r="G35" s="236" t="s">
        <v>3703</v>
      </c>
      <c r="H35" s="236" t="s">
        <v>3704</v>
      </c>
      <c r="I35" s="236" t="s">
        <v>3705</v>
      </c>
      <c r="J35" s="227" t="s">
        <v>3262</v>
      </c>
      <c r="K35" s="422"/>
    </row>
    <row r="36" spans="1:12" x14ac:dyDescent="0.3">
      <c r="B36" s="422"/>
      <c r="C36" s="228" t="s">
        <v>3849</v>
      </c>
      <c r="D36" s="223">
        <v>700000</v>
      </c>
      <c r="E36" s="235">
        <f>$D36</f>
        <v>700000</v>
      </c>
      <c r="F36" s="234">
        <v>0</v>
      </c>
      <c r="G36" s="234">
        <v>0</v>
      </c>
      <c r="H36" s="234">
        <v>0</v>
      </c>
      <c r="I36" s="234">
        <v>0</v>
      </c>
      <c r="J36" s="238">
        <f t="shared" ref="J36:J39" si="28">SUM(E36:I36)</f>
        <v>700000</v>
      </c>
      <c r="K36" s="422"/>
    </row>
    <row r="37" spans="1:12" x14ac:dyDescent="0.3">
      <c r="B37" s="422"/>
      <c r="C37" s="237" t="s">
        <v>3850</v>
      </c>
      <c r="D37" s="234">
        <v>5000000</v>
      </c>
      <c r="E37" s="234">
        <v>0</v>
      </c>
      <c r="F37" s="234">
        <v>0</v>
      </c>
      <c r="G37" s="235">
        <v>1700000</v>
      </c>
      <c r="H37" s="235">
        <v>1700000</v>
      </c>
      <c r="I37" s="235">
        <v>1600000</v>
      </c>
      <c r="J37" s="238">
        <f>SUM(E37:I37)</f>
        <v>5000000</v>
      </c>
      <c r="K37" s="422"/>
    </row>
    <row r="38" spans="1:12" x14ac:dyDescent="0.3">
      <c r="B38" s="422"/>
      <c r="C38" s="228" t="s">
        <v>3848</v>
      </c>
      <c r="D38" s="223">
        <v>700000</v>
      </c>
      <c r="E38" s="235">
        <f>D38</f>
        <v>700000</v>
      </c>
      <c r="F38" s="234">
        <v>0</v>
      </c>
      <c r="G38" s="234">
        <v>0</v>
      </c>
      <c r="H38" s="234">
        <v>0</v>
      </c>
      <c r="I38" s="234">
        <v>0</v>
      </c>
      <c r="J38" s="238">
        <f t="shared" si="28"/>
        <v>700000</v>
      </c>
      <c r="K38" s="422"/>
    </row>
    <row r="39" spans="1:12" x14ac:dyDescent="0.3">
      <c r="B39" s="422"/>
      <c r="C39" s="237" t="s">
        <v>3855</v>
      </c>
      <c r="D39" s="234">
        <v>700000</v>
      </c>
      <c r="E39" s="234">
        <v>0</v>
      </c>
      <c r="F39" s="235">
        <f>$D39</f>
        <v>700000</v>
      </c>
      <c r="G39" s="234">
        <v>0</v>
      </c>
      <c r="H39" s="234">
        <v>0</v>
      </c>
      <c r="I39" s="234">
        <v>0</v>
      </c>
      <c r="J39" s="238">
        <f t="shared" si="28"/>
        <v>700000</v>
      </c>
      <c r="K39" s="422"/>
    </row>
    <row r="40" spans="1:12" x14ac:dyDescent="0.3">
      <c r="B40" s="422"/>
      <c r="C40" s="237" t="s">
        <v>3853</v>
      </c>
      <c r="D40" s="234">
        <v>6500000</v>
      </c>
      <c r="E40" s="235">
        <v>600000</v>
      </c>
      <c r="F40" s="235">
        <v>1475000</v>
      </c>
      <c r="G40" s="235">
        <v>1800000</v>
      </c>
      <c r="H40" s="235">
        <v>1312500</v>
      </c>
      <c r="I40" s="235">
        <v>1312500</v>
      </c>
      <c r="J40" s="238">
        <f>SUM(E40:I40)</f>
        <v>6500000</v>
      </c>
      <c r="K40" s="422"/>
    </row>
    <row r="41" spans="1:12" x14ac:dyDescent="0.3">
      <c r="B41" s="422"/>
      <c r="C41" s="237" t="s">
        <v>4211</v>
      </c>
      <c r="D41" s="234">
        <v>800000</v>
      </c>
      <c r="E41" s="235">
        <v>300000</v>
      </c>
      <c r="F41" s="235">
        <v>500000</v>
      </c>
      <c r="G41" s="234">
        <v>0</v>
      </c>
      <c r="H41" s="234">
        <v>0</v>
      </c>
      <c r="I41" s="234">
        <v>0</v>
      </c>
      <c r="J41" s="238">
        <f t="shared" ref="J41:J46" si="29">SUM(E41:I41)</f>
        <v>800000</v>
      </c>
      <c r="K41" s="422"/>
    </row>
    <row r="42" spans="1:12" x14ac:dyDescent="0.3">
      <c r="B42" s="422"/>
      <c r="C42" s="237" t="s">
        <v>4212</v>
      </c>
      <c r="D42" s="234">
        <v>1200000</v>
      </c>
      <c r="E42" s="234">
        <v>200000</v>
      </c>
      <c r="F42" s="234">
        <v>1000000</v>
      </c>
      <c r="G42" s="234">
        <v>0</v>
      </c>
      <c r="H42" s="234">
        <v>0</v>
      </c>
      <c r="I42" s="234">
        <v>0</v>
      </c>
      <c r="J42" s="238">
        <f>SUM(E42:I42)</f>
        <v>1200000</v>
      </c>
      <c r="K42" s="422"/>
    </row>
    <row r="43" spans="1:12" x14ac:dyDescent="0.3">
      <c r="B43" s="422"/>
      <c r="C43" s="237" t="s">
        <v>4222</v>
      </c>
      <c r="D43" s="234">
        <v>130000</v>
      </c>
      <c r="E43" s="234">
        <v>0</v>
      </c>
      <c r="F43" s="234">
        <v>0</v>
      </c>
      <c r="G43" s="235">
        <v>130000</v>
      </c>
      <c r="H43" s="234">
        <v>0</v>
      </c>
      <c r="I43" s="234">
        <v>0</v>
      </c>
      <c r="J43" s="238">
        <f>SUM(E43:I43)</f>
        <v>130000</v>
      </c>
      <c r="K43" s="422"/>
    </row>
    <row r="44" spans="1:12" x14ac:dyDescent="0.3">
      <c r="B44" s="422"/>
      <c r="C44" s="228" t="s">
        <v>4223</v>
      </c>
      <c r="D44" s="223">
        <v>180000</v>
      </c>
      <c r="E44" s="234">
        <v>0</v>
      </c>
      <c r="F44" s="234">
        <v>0</v>
      </c>
      <c r="G44" s="235">
        <v>180000</v>
      </c>
      <c r="H44" s="234">
        <v>0</v>
      </c>
      <c r="I44" s="234">
        <v>0</v>
      </c>
      <c r="J44" s="238">
        <f>SUM(E44:I44)</f>
        <v>180000</v>
      </c>
      <c r="K44" s="422"/>
    </row>
    <row r="45" spans="1:12" x14ac:dyDescent="0.3">
      <c r="B45" s="422"/>
      <c r="C45" s="228" t="s">
        <v>3847</v>
      </c>
      <c r="D45" s="223">
        <v>700000</v>
      </c>
      <c r="E45" s="234">
        <v>0</v>
      </c>
      <c r="F45" s="234">
        <v>0</v>
      </c>
      <c r="G45" s="235">
        <v>700000</v>
      </c>
      <c r="H45" s="234">
        <v>0</v>
      </c>
      <c r="I45" s="234">
        <v>0</v>
      </c>
      <c r="J45" s="238">
        <f t="shared" si="29"/>
        <v>700000</v>
      </c>
      <c r="K45" s="422"/>
    </row>
    <row r="46" spans="1:12" x14ac:dyDescent="0.3">
      <c r="B46" s="422"/>
      <c r="C46" s="228" t="s">
        <v>3851</v>
      </c>
      <c r="D46" s="223">
        <v>11500000</v>
      </c>
      <c r="E46" s="234">
        <v>0</v>
      </c>
      <c r="F46" s="234">
        <v>0</v>
      </c>
      <c r="G46" s="234">
        <v>0</v>
      </c>
      <c r="H46" s="235">
        <f>$D46/2</f>
        <v>5750000</v>
      </c>
      <c r="I46" s="430">
        <f>D46/2</f>
        <v>5750000</v>
      </c>
      <c r="J46" s="238">
        <f t="shared" si="29"/>
        <v>11500000</v>
      </c>
      <c r="K46" s="422"/>
    </row>
    <row r="47" spans="1:12" ht="17.25" thickBot="1" x14ac:dyDescent="0.35">
      <c r="B47" s="422"/>
      <c r="C47" s="230" t="s">
        <v>3262</v>
      </c>
      <c r="D47" s="231">
        <f t="shared" ref="D47:H47" si="30">SUM(D36:D46)</f>
        <v>28110000</v>
      </c>
      <c r="E47" s="239">
        <f t="shared" si="30"/>
        <v>2500000</v>
      </c>
      <c r="F47" s="239">
        <f t="shared" si="30"/>
        <v>3675000</v>
      </c>
      <c r="G47" s="239">
        <f t="shared" si="30"/>
        <v>4510000</v>
      </c>
      <c r="H47" s="239">
        <f t="shared" si="30"/>
        <v>8762500</v>
      </c>
      <c r="I47" s="431"/>
      <c r="J47" s="240">
        <f>SUM(J36:J46)</f>
        <v>28110000</v>
      </c>
      <c r="K47" s="425">
        <f>J47/J64</f>
        <v>0.55575326215895615</v>
      </c>
    </row>
    <row r="48" spans="1:12" ht="17.25" thickBot="1" x14ac:dyDescent="0.35">
      <c r="B48" s="422"/>
      <c r="C48" s="422"/>
      <c r="D48" s="424"/>
      <c r="E48" s="422"/>
      <c r="F48" s="422"/>
      <c r="G48" s="422"/>
      <c r="H48" s="422"/>
      <c r="I48" s="422"/>
      <c r="J48" s="422"/>
      <c r="K48" s="422"/>
    </row>
    <row r="49" spans="1:11" x14ac:dyDescent="0.3">
      <c r="A49" s="417">
        <v>3</v>
      </c>
      <c r="B49" s="423"/>
      <c r="C49" s="225" t="s">
        <v>4071</v>
      </c>
      <c r="D49" s="226" t="s">
        <v>4068</v>
      </c>
      <c r="E49" s="236" t="s">
        <v>3701</v>
      </c>
      <c r="F49" s="236" t="s">
        <v>3702</v>
      </c>
      <c r="G49" s="236" t="s">
        <v>3703</v>
      </c>
      <c r="H49" s="236" t="s">
        <v>3704</v>
      </c>
      <c r="I49" s="236" t="s">
        <v>3705</v>
      </c>
      <c r="J49" s="227" t="s">
        <v>3262</v>
      </c>
      <c r="K49" s="422"/>
    </row>
    <row r="50" spans="1:11" x14ac:dyDescent="0.3">
      <c r="B50" s="422"/>
      <c r="C50" s="228" t="s">
        <v>3854</v>
      </c>
      <c r="D50" s="223">
        <v>500000</v>
      </c>
      <c r="E50" s="235">
        <v>200000</v>
      </c>
      <c r="F50" s="235">
        <v>300000</v>
      </c>
      <c r="G50" s="234">
        <v>0</v>
      </c>
      <c r="H50" s="234">
        <v>0</v>
      </c>
      <c r="I50" s="234">
        <v>0</v>
      </c>
      <c r="J50" s="238">
        <f>SUM(E50:I50)</f>
        <v>500000</v>
      </c>
      <c r="K50" s="422"/>
    </row>
    <row r="51" spans="1:11" x14ac:dyDescent="0.3">
      <c r="B51" s="422"/>
      <c r="C51" s="228" t="s">
        <v>3861</v>
      </c>
      <c r="D51" s="223">
        <v>300000</v>
      </c>
      <c r="E51" s="234">
        <v>0</v>
      </c>
      <c r="F51" s="235">
        <f>D51</f>
        <v>300000</v>
      </c>
      <c r="G51" s="234">
        <v>0</v>
      </c>
      <c r="H51" s="234">
        <v>0</v>
      </c>
      <c r="I51" s="234">
        <v>0</v>
      </c>
      <c r="J51" s="238">
        <f t="shared" ref="J51:J61" si="31">SUM(E51:I51)</f>
        <v>300000</v>
      </c>
      <c r="K51" s="422"/>
    </row>
    <row r="52" spans="1:11" x14ac:dyDescent="0.3">
      <c r="B52" s="422"/>
      <c r="C52" s="228" t="s">
        <v>3852</v>
      </c>
      <c r="D52" s="223">
        <v>1800000</v>
      </c>
      <c r="E52" s="234">
        <v>0</v>
      </c>
      <c r="F52" s="234">
        <v>0</v>
      </c>
      <c r="G52" s="234">
        <v>0</v>
      </c>
      <c r="H52" s="235">
        <f>D52/2</f>
        <v>900000</v>
      </c>
      <c r="I52" s="235">
        <f>D52/2</f>
        <v>900000</v>
      </c>
      <c r="J52" s="238">
        <f t="shared" si="31"/>
        <v>1800000</v>
      </c>
      <c r="K52" s="422"/>
    </row>
    <row r="53" spans="1:11" x14ac:dyDescent="0.3">
      <c r="B53" s="422"/>
      <c r="C53" s="228" t="s">
        <v>3856</v>
      </c>
      <c r="D53" s="223">
        <v>180000</v>
      </c>
      <c r="E53" s="234">
        <v>0</v>
      </c>
      <c r="F53" s="234">
        <v>0</v>
      </c>
      <c r="G53" s="235">
        <f>D53</f>
        <v>180000</v>
      </c>
      <c r="H53" s="234">
        <v>0</v>
      </c>
      <c r="I53" s="234">
        <v>0</v>
      </c>
      <c r="J53" s="238">
        <f>SUM(E53:I53)</f>
        <v>180000</v>
      </c>
      <c r="K53" s="422"/>
    </row>
    <row r="54" spans="1:11" x14ac:dyDescent="0.3">
      <c r="B54" s="422"/>
      <c r="C54" s="228" t="s">
        <v>3866</v>
      </c>
      <c r="D54" s="223">
        <v>900000</v>
      </c>
      <c r="E54" s="234">
        <v>0</v>
      </c>
      <c r="F54" s="235">
        <v>900000</v>
      </c>
      <c r="G54" s="234">
        <v>0</v>
      </c>
      <c r="H54" s="234">
        <v>0</v>
      </c>
      <c r="I54" s="234">
        <v>0</v>
      </c>
      <c r="J54" s="238">
        <f t="shared" si="31"/>
        <v>900000</v>
      </c>
      <c r="K54" s="422"/>
    </row>
    <row r="55" spans="1:11" x14ac:dyDescent="0.3">
      <c r="B55" s="422"/>
      <c r="C55" s="228" t="s">
        <v>3859</v>
      </c>
      <c r="D55" s="223">
        <v>750000</v>
      </c>
      <c r="E55" s="234">
        <v>0</v>
      </c>
      <c r="F55" s="234">
        <v>0</v>
      </c>
      <c r="G55" s="234">
        <v>0</v>
      </c>
      <c r="H55" s="234">
        <v>0</v>
      </c>
      <c r="I55" s="430">
        <v>750000</v>
      </c>
      <c r="J55" s="238">
        <f>SUM(E55:I55)</f>
        <v>750000</v>
      </c>
      <c r="K55" s="422"/>
    </row>
    <row r="56" spans="1:11" x14ac:dyDescent="0.3">
      <c r="B56" s="422"/>
      <c r="C56" s="228" t="s">
        <v>3860</v>
      </c>
      <c r="D56" s="223">
        <v>900000</v>
      </c>
      <c r="E56" s="234">
        <v>0</v>
      </c>
      <c r="F56" s="235">
        <v>300000</v>
      </c>
      <c r="G56" s="234">
        <v>0</v>
      </c>
      <c r="H56" s="235">
        <v>300000</v>
      </c>
      <c r="I56" s="430">
        <v>300000</v>
      </c>
      <c r="J56" s="238">
        <f t="shared" si="31"/>
        <v>900000</v>
      </c>
      <c r="K56" s="422"/>
    </row>
    <row r="57" spans="1:11" x14ac:dyDescent="0.3">
      <c r="B57" s="422"/>
      <c r="C57" s="228" t="s">
        <v>3862</v>
      </c>
      <c r="D57" s="223">
        <v>180000</v>
      </c>
      <c r="E57" s="235">
        <v>30000</v>
      </c>
      <c r="F57" s="234">
        <v>0</v>
      </c>
      <c r="G57" s="235">
        <v>150000</v>
      </c>
      <c r="H57" s="234">
        <v>0</v>
      </c>
      <c r="I57" s="234">
        <v>0</v>
      </c>
      <c r="J57" s="238">
        <f t="shared" si="31"/>
        <v>180000</v>
      </c>
      <c r="K57" s="422"/>
    </row>
    <row r="58" spans="1:11" x14ac:dyDescent="0.3">
      <c r="B58" s="422"/>
      <c r="C58" s="228" t="s">
        <v>3863</v>
      </c>
      <c r="D58" s="223">
        <v>180000</v>
      </c>
      <c r="E58" s="234">
        <v>0</v>
      </c>
      <c r="F58" s="235">
        <v>90000</v>
      </c>
      <c r="G58" s="235">
        <f t="shared" ref="G58" si="32">$D58/2</f>
        <v>90000</v>
      </c>
      <c r="H58" s="234">
        <v>0</v>
      </c>
      <c r="I58" s="234">
        <v>0</v>
      </c>
      <c r="J58" s="238">
        <f>SUM(E58:I58)</f>
        <v>180000</v>
      </c>
      <c r="K58" s="422"/>
    </row>
    <row r="59" spans="1:11" x14ac:dyDescent="0.3">
      <c r="B59" s="422"/>
      <c r="C59" s="228" t="s">
        <v>3857</v>
      </c>
      <c r="D59" s="223">
        <v>8000000</v>
      </c>
      <c r="E59" s="234">
        <v>0</v>
      </c>
      <c r="F59" s="234">
        <v>0</v>
      </c>
      <c r="G59" s="234">
        <v>0</v>
      </c>
      <c r="H59" s="235">
        <v>4000000</v>
      </c>
      <c r="I59" s="430">
        <v>4000000</v>
      </c>
      <c r="J59" s="238">
        <f t="shared" si="31"/>
        <v>8000000</v>
      </c>
      <c r="K59" s="422"/>
    </row>
    <row r="60" spans="1:11" x14ac:dyDescent="0.3">
      <c r="B60" s="422"/>
      <c r="C60" s="228" t="s">
        <v>3858</v>
      </c>
      <c r="D60" s="223">
        <v>8500000</v>
      </c>
      <c r="E60" s="234">
        <v>0</v>
      </c>
      <c r="F60" s="234">
        <v>0</v>
      </c>
      <c r="G60" s="234">
        <v>0</v>
      </c>
      <c r="H60" s="235">
        <v>4250000</v>
      </c>
      <c r="I60" s="235">
        <v>4250000</v>
      </c>
      <c r="J60" s="238">
        <f>SUM(E60:I60)</f>
        <v>8500000</v>
      </c>
      <c r="K60" s="422"/>
    </row>
    <row r="61" spans="1:11" x14ac:dyDescent="0.3">
      <c r="B61" s="422"/>
      <c r="C61" s="228" t="s">
        <v>3864</v>
      </c>
      <c r="D61" s="223">
        <v>280000</v>
      </c>
      <c r="E61" s="234">
        <v>0</v>
      </c>
      <c r="F61" s="234">
        <v>0</v>
      </c>
      <c r="G61" s="235">
        <v>140000</v>
      </c>
      <c r="H61" s="235">
        <v>140000</v>
      </c>
      <c r="I61" s="234">
        <v>0</v>
      </c>
      <c r="J61" s="238">
        <f t="shared" si="31"/>
        <v>280000</v>
      </c>
      <c r="K61" s="422"/>
    </row>
    <row r="62" spans="1:11" ht="17.25" thickBot="1" x14ac:dyDescent="0.35">
      <c r="B62" s="422"/>
      <c r="C62" s="230" t="s">
        <v>3262</v>
      </c>
      <c r="D62" s="231">
        <f t="shared" ref="D62:J62" si="33">SUM(D50:D61)</f>
        <v>22470000</v>
      </c>
      <c r="E62" s="239">
        <f t="shared" si="33"/>
        <v>230000</v>
      </c>
      <c r="F62" s="239">
        <f t="shared" si="33"/>
        <v>1890000</v>
      </c>
      <c r="G62" s="239">
        <f>SUM(G50:G61)</f>
        <v>560000</v>
      </c>
      <c r="H62" s="239">
        <f t="shared" si="33"/>
        <v>9590000</v>
      </c>
      <c r="I62" s="431"/>
      <c r="J62" s="240">
        <f t="shared" si="33"/>
        <v>22470000</v>
      </c>
      <c r="K62" s="425">
        <f>J62/J64</f>
        <v>0.4442467378410439</v>
      </c>
    </row>
    <row r="63" spans="1:11" x14ac:dyDescent="0.3">
      <c r="B63" s="422"/>
      <c r="C63" s="422"/>
      <c r="D63" s="424"/>
      <c r="E63" s="422"/>
      <c r="F63" s="422"/>
      <c r="G63" s="422"/>
      <c r="H63" s="422"/>
      <c r="I63" s="422"/>
      <c r="J63" s="422"/>
      <c r="K63" s="422"/>
    </row>
    <row r="64" spans="1:11" ht="18" x14ac:dyDescent="0.35">
      <c r="J64" s="434">
        <f>J47+J62</f>
        <v>50580000</v>
      </c>
      <c r="K64" s="244">
        <f>70%*J64</f>
        <v>35406000</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8451A-C668-4D87-BA71-45CE11CAE0EA}">
  <sheetPr codeName="Planilha3"/>
  <dimension ref="A1:AW158"/>
  <sheetViews>
    <sheetView topLeftCell="A34" zoomScaleNormal="100" workbookViewId="0">
      <selection activeCell="G24" sqref="G24:H24"/>
    </sheetView>
  </sheetViews>
  <sheetFormatPr defaultRowHeight="16.5" x14ac:dyDescent="0.3"/>
  <cols>
    <col min="1" max="1" width="3.140625" style="241" customWidth="1"/>
    <col min="2" max="2" width="30.7109375" style="241" customWidth="1"/>
    <col min="3" max="3" width="20.28515625" style="241" bestFit="1" customWidth="1"/>
    <col min="4" max="4" width="21.28515625" style="241" bestFit="1" customWidth="1"/>
    <col min="5" max="5" width="19" style="241" bestFit="1" customWidth="1"/>
    <col min="6" max="8" width="20.28515625" style="241" bestFit="1" customWidth="1"/>
    <col min="9" max="9" width="19.7109375" style="241" customWidth="1"/>
    <col min="10" max="29" width="19" style="241" bestFit="1" customWidth="1"/>
    <col min="30" max="33" width="15.140625" style="241" bestFit="1" customWidth="1"/>
    <col min="34" max="39" width="9.28515625" style="241" bestFit="1" customWidth="1"/>
    <col min="40" max="40" width="20.28515625" style="241" bestFit="1" customWidth="1"/>
    <col min="41" max="16384" width="9.140625" style="241"/>
  </cols>
  <sheetData>
    <row r="1" spans="1:49" ht="17.25" thickBot="1" x14ac:dyDescent="0.35"/>
    <row r="2" spans="1:49" x14ac:dyDescent="0.3">
      <c r="B2" s="418" t="s">
        <v>4067</v>
      </c>
      <c r="C2" s="226" t="s">
        <v>4068</v>
      </c>
      <c r="D2" s="226" t="s">
        <v>3701</v>
      </c>
      <c r="E2" s="226" t="s">
        <v>3702</v>
      </c>
      <c r="F2" s="226" t="s">
        <v>3703</v>
      </c>
      <c r="G2" s="226" t="s">
        <v>3704</v>
      </c>
      <c r="H2" s="226" t="s">
        <v>3705</v>
      </c>
      <c r="I2" s="227" t="s">
        <v>3262</v>
      </c>
      <c r="J2" s="246"/>
      <c r="K2" s="246"/>
      <c r="L2" s="246"/>
      <c r="M2" s="246"/>
      <c r="N2" s="246"/>
      <c r="O2" s="246"/>
      <c r="P2" s="246"/>
      <c r="Q2" s="246"/>
      <c r="R2" s="246"/>
      <c r="S2" s="246"/>
      <c r="T2" s="246"/>
      <c r="U2" s="246"/>
      <c r="V2" s="246"/>
      <c r="W2" s="246"/>
      <c r="X2" s="246"/>
      <c r="Y2" s="246"/>
      <c r="Z2" s="246"/>
      <c r="AA2" s="246"/>
      <c r="AB2" s="246"/>
      <c r="AC2" s="246"/>
      <c r="AD2" s="246"/>
      <c r="AE2" s="246"/>
      <c r="AF2" s="246"/>
      <c r="AG2" s="246"/>
      <c r="AH2" s="246"/>
      <c r="AI2" s="246"/>
      <c r="AJ2" s="246"/>
      <c r="AK2" s="246"/>
      <c r="AL2" s="246"/>
      <c r="AM2" s="246"/>
      <c r="AN2" s="246"/>
      <c r="AO2" s="246"/>
      <c r="AP2" s="246"/>
      <c r="AQ2" s="246"/>
      <c r="AR2" s="246"/>
      <c r="AS2" s="246"/>
      <c r="AT2" s="246"/>
      <c r="AU2" s="246"/>
      <c r="AV2" s="246"/>
      <c r="AW2" s="246"/>
    </row>
    <row r="3" spans="1:49" x14ac:dyDescent="0.3">
      <c r="B3" s="419" t="s">
        <v>4211</v>
      </c>
      <c r="C3" s="224">
        <v>800000</v>
      </c>
      <c r="D3" s="224">
        <f>Invest!E3</f>
        <v>300000</v>
      </c>
      <c r="E3" s="224">
        <f>Invest!F3</f>
        <v>500000</v>
      </c>
      <c r="F3" s="223">
        <f>Invest!G3</f>
        <v>0</v>
      </c>
      <c r="G3" s="223">
        <f>Invest!H3</f>
        <v>0</v>
      </c>
      <c r="H3" s="223">
        <f>Invest!I3</f>
        <v>0</v>
      </c>
      <c r="I3" s="229">
        <f>SUM(D3:H3)</f>
        <v>800000</v>
      </c>
    </row>
    <row r="4" spans="1:49" x14ac:dyDescent="0.3">
      <c r="B4" s="419" t="s">
        <v>4212</v>
      </c>
      <c r="C4" s="224">
        <v>1200000</v>
      </c>
      <c r="D4" s="224">
        <f>Invest!E4</f>
        <v>200000</v>
      </c>
      <c r="E4" s="224">
        <f>Invest!F4</f>
        <v>1000000</v>
      </c>
      <c r="F4" s="223">
        <f>Invest!G4</f>
        <v>0</v>
      </c>
      <c r="G4" s="223">
        <f>Invest!H4</f>
        <v>0</v>
      </c>
      <c r="H4" s="223">
        <f>Invest!I4</f>
        <v>0</v>
      </c>
      <c r="I4" s="229">
        <f t="shared" ref="I4:I25" si="0">SUM(D4:H4)</f>
        <v>1200000</v>
      </c>
      <c r="J4" s="244"/>
      <c r="K4" s="244"/>
    </row>
    <row r="5" spans="1:49" x14ac:dyDescent="0.3">
      <c r="B5" s="419" t="s">
        <v>4213</v>
      </c>
      <c r="C5" s="224">
        <v>130000</v>
      </c>
      <c r="D5" s="223">
        <f>Invest!E5</f>
        <v>0</v>
      </c>
      <c r="E5" s="223">
        <f>Invest!F5</f>
        <v>0</v>
      </c>
      <c r="F5" s="224">
        <f>Invest!G5</f>
        <v>130000</v>
      </c>
      <c r="G5" s="223">
        <f>Invest!H5</f>
        <v>0</v>
      </c>
      <c r="H5" s="223">
        <f>Invest!I5</f>
        <v>0</v>
      </c>
      <c r="I5" s="229">
        <f t="shared" si="0"/>
        <v>130000</v>
      </c>
    </row>
    <row r="6" spans="1:49" x14ac:dyDescent="0.3">
      <c r="B6" s="419" t="s">
        <v>3849</v>
      </c>
      <c r="C6" s="224">
        <v>700000</v>
      </c>
      <c r="D6" s="224">
        <f>Invest!E6</f>
        <v>700000</v>
      </c>
      <c r="E6" s="223">
        <f>Invest!F6</f>
        <v>0</v>
      </c>
      <c r="F6" s="223">
        <f>Invest!G6</f>
        <v>0</v>
      </c>
      <c r="G6" s="223">
        <f>Invest!H6</f>
        <v>0</v>
      </c>
      <c r="H6" s="223">
        <f>Invest!I6</f>
        <v>0</v>
      </c>
      <c r="I6" s="229">
        <f t="shared" si="0"/>
        <v>700000</v>
      </c>
      <c r="K6" s="244"/>
      <c r="L6" s="244"/>
      <c r="M6" s="244"/>
      <c r="N6" s="244"/>
      <c r="O6" s="244"/>
      <c r="P6" s="244"/>
    </row>
    <row r="7" spans="1:49" x14ac:dyDescent="0.3">
      <c r="A7" s="421"/>
      <c r="B7" s="419" t="s">
        <v>3854</v>
      </c>
      <c r="C7" s="224">
        <v>500000</v>
      </c>
      <c r="D7" s="224">
        <f>Invest!E7</f>
        <v>200000</v>
      </c>
      <c r="E7" s="224">
        <f>Invest!F7</f>
        <v>300000</v>
      </c>
      <c r="F7" s="223">
        <f>Invest!G7</f>
        <v>0</v>
      </c>
      <c r="G7" s="223">
        <f>Invest!H7</f>
        <v>0</v>
      </c>
      <c r="H7" s="223">
        <f>Invest!I7</f>
        <v>0</v>
      </c>
      <c r="I7" s="229">
        <f t="shared" si="0"/>
        <v>500000</v>
      </c>
      <c r="J7" s="244"/>
      <c r="K7" s="244"/>
      <c r="L7" s="244"/>
      <c r="M7" s="244"/>
      <c r="N7" s="244"/>
      <c r="O7" s="244"/>
      <c r="P7" s="244"/>
      <c r="Q7" s="244"/>
      <c r="R7" s="244"/>
      <c r="S7" s="244"/>
    </row>
    <row r="8" spans="1:49" x14ac:dyDescent="0.3">
      <c r="B8" s="419" t="s">
        <v>3850</v>
      </c>
      <c r="C8" s="224">
        <v>5000000</v>
      </c>
      <c r="D8" s="223">
        <f>Invest!E8</f>
        <v>0</v>
      </c>
      <c r="E8" s="223">
        <f>Invest!F8</f>
        <v>0</v>
      </c>
      <c r="F8" s="224">
        <f>Invest!G8</f>
        <v>1700000</v>
      </c>
      <c r="G8" s="224">
        <f>Invest!H8</f>
        <v>1700000</v>
      </c>
      <c r="H8" s="224">
        <f>Invest!I8</f>
        <v>1600000</v>
      </c>
      <c r="I8" s="229">
        <f t="shared" si="0"/>
        <v>5000000</v>
      </c>
      <c r="J8" s="244"/>
      <c r="K8" s="244"/>
      <c r="L8" s="244"/>
      <c r="M8" s="244"/>
      <c r="N8" s="244"/>
      <c r="O8" s="244"/>
      <c r="P8" s="244"/>
      <c r="Q8" s="244"/>
      <c r="R8" s="244"/>
      <c r="S8" s="244"/>
      <c r="T8" s="244"/>
      <c r="U8" s="244"/>
      <c r="V8" s="244"/>
      <c r="W8" s="244"/>
      <c r="X8" s="244"/>
      <c r="Y8" s="244"/>
      <c r="Z8" s="244"/>
      <c r="AA8" s="244"/>
      <c r="AB8" s="244"/>
      <c r="AC8" s="244"/>
      <c r="AD8" s="244"/>
      <c r="AE8" s="244"/>
    </row>
    <row r="9" spans="1:49" x14ac:dyDescent="0.3">
      <c r="B9" s="419" t="s">
        <v>3848</v>
      </c>
      <c r="C9" s="224">
        <v>700000</v>
      </c>
      <c r="D9" s="224">
        <f>Invest!E9</f>
        <v>700000</v>
      </c>
      <c r="E9" s="223">
        <f>Invest!F9</f>
        <v>0</v>
      </c>
      <c r="F9" s="223">
        <f>Invest!G9</f>
        <v>0</v>
      </c>
      <c r="G9" s="223">
        <f>Invest!H9</f>
        <v>0</v>
      </c>
      <c r="H9" s="223">
        <f>Invest!I9</f>
        <v>0</v>
      </c>
      <c r="I9" s="229">
        <f t="shared" si="0"/>
        <v>700000</v>
      </c>
    </row>
    <row r="10" spans="1:49" x14ac:dyDescent="0.3">
      <c r="B10" s="419" t="s">
        <v>3861</v>
      </c>
      <c r="C10" s="224">
        <v>300000</v>
      </c>
      <c r="D10" s="223">
        <f>Invest!E10</f>
        <v>0</v>
      </c>
      <c r="E10" s="224">
        <f>Invest!F10</f>
        <v>300000</v>
      </c>
      <c r="F10" s="223">
        <f>Invest!G10</f>
        <v>0</v>
      </c>
      <c r="G10" s="223">
        <f>Invest!H10</f>
        <v>0</v>
      </c>
      <c r="H10" s="223">
        <f>Invest!I10</f>
        <v>0</v>
      </c>
      <c r="I10" s="229">
        <f t="shared" si="0"/>
        <v>300000</v>
      </c>
    </row>
    <row r="11" spans="1:49" x14ac:dyDescent="0.3">
      <c r="B11" s="419" t="s">
        <v>3855</v>
      </c>
      <c r="C11" s="224">
        <v>700000</v>
      </c>
      <c r="D11" s="223">
        <f>Invest!E11</f>
        <v>0</v>
      </c>
      <c r="E11" s="224">
        <f>Invest!F11</f>
        <v>700000</v>
      </c>
      <c r="F11" s="223">
        <f>Invest!G11</f>
        <v>0</v>
      </c>
      <c r="G11" s="223">
        <f>Invest!H11</f>
        <v>0</v>
      </c>
      <c r="H11" s="223">
        <f>Invest!I11</f>
        <v>0</v>
      </c>
      <c r="I11" s="229">
        <f t="shared" si="0"/>
        <v>700000</v>
      </c>
    </row>
    <row r="12" spans="1:49" x14ac:dyDescent="0.3">
      <c r="B12" s="419" t="s">
        <v>3853</v>
      </c>
      <c r="C12" s="224">
        <v>6500000</v>
      </c>
      <c r="D12" s="224">
        <f>Invest!E12</f>
        <v>600000</v>
      </c>
      <c r="E12" s="224">
        <f>Invest!F12</f>
        <v>1475000</v>
      </c>
      <c r="F12" s="224">
        <f>Invest!G12</f>
        <v>1800000</v>
      </c>
      <c r="G12" s="224">
        <f>Invest!H12</f>
        <v>1312500</v>
      </c>
      <c r="H12" s="224">
        <f>Invest!I12</f>
        <v>1312500</v>
      </c>
      <c r="I12" s="229">
        <f t="shared" si="0"/>
        <v>6500000</v>
      </c>
    </row>
    <row r="13" spans="1:49" x14ac:dyDescent="0.3">
      <c r="B13" s="419" t="s">
        <v>3852</v>
      </c>
      <c r="C13" s="224">
        <v>1800000</v>
      </c>
      <c r="D13" s="223">
        <f>Invest!E13</f>
        <v>0</v>
      </c>
      <c r="E13" s="223">
        <f>Invest!F13</f>
        <v>0</v>
      </c>
      <c r="F13" s="223">
        <f>Invest!G13</f>
        <v>0</v>
      </c>
      <c r="G13" s="224">
        <f>Invest!H13</f>
        <v>900000</v>
      </c>
      <c r="H13" s="224">
        <f>Invest!I13</f>
        <v>900000</v>
      </c>
      <c r="I13" s="229">
        <f t="shared" si="0"/>
        <v>1800000</v>
      </c>
    </row>
    <row r="14" spans="1:49" x14ac:dyDescent="0.3">
      <c r="B14" s="419" t="s">
        <v>3856</v>
      </c>
      <c r="C14" s="224">
        <v>180000</v>
      </c>
      <c r="D14" s="223">
        <f>Invest!E14</f>
        <v>0</v>
      </c>
      <c r="E14" s="223">
        <f>Invest!F14</f>
        <v>0</v>
      </c>
      <c r="F14" s="224">
        <f>Invest!G14</f>
        <v>180000</v>
      </c>
      <c r="G14" s="223">
        <f>Invest!H14</f>
        <v>0</v>
      </c>
      <c r="H14" s="223">
        <f>Invest!I14</f>
        <v>0</v>
      </c>
      <c r="I14" s="229">
        <f t="shared" si="0"/>
        <v>180000</v>
      </c>
    </row>
    <row r="15" spans="1:49" x14ac:dyDescent="0.3">
      <c r="B15" s="419" t="s">
        <v>3866</v>
      </c>
      <c r="C15" s="224">
        <v>900000</v>
      </c>
      <c r="D15" s="223">
        <f>Invest!E15</f>
        <v>0</v>
      </c>
      <c r="E15" s="224">
        <f>Invest!F15</f>
        <v>900000</v>
      </c>
      <c r="F15" s="223">
        <f>Invest!G15</f>
        <v>0</v>
      </c>
      <c r="G15" s="223">
        <f>Invest!H15</f>
        <v>0</v>
      </c>
      <c r="H15" s="223">
        <f>Invest!I15</f>
        <v>0</v>
      </c>
      <c r="I15" s="229">
        <f t="shared" si="0"/>
        <v>900000</v>
      </c>
    </row>
    <row r="16" spans="1:49" x14ac:dyDescent="0.3">
      <c r="B16" s="419" t="s">
        <v>4214</v>
      </c>
      <c r="C16" s="224">
        <v>180000</v>
      </c>
      <c r="D16" s="223">
        <f>Invest!E16</f>
        <v>0</v>
      </c>
      <c r="E16" s="223">
        <f>Invest!F16</f>
        <v>0</v>
      </c>
      <c r="F16" s="224">
        <f>Invest!G16</f>
        <v>180000</v>
      </c>
      <c r="G16" s="223">
        <f>Invest!H16</f>
        <v>0</v>
      </c>
      <c r="H16" s="223">
        <f>Invest!I16</f>
        <v>0</v>
      </c>
      <c r="I16" s="229">
        <f t="shared" si="0"/>
        <v>180000</v>
      </c>
    </row>
    <row r="17" spans="2:40" x14ac:dyDescent="0.3">
      <c r="B17" s="419" t="s">
        <v>3847</v>
      </c>
      <c r="C17" s="224">
        <v>700000</v>
      </c>
      <c r="D17" s="223">
        <f>Invest!E17</f>
        <v>0</v>
      </c>
      <c r="E17" s="223">
        <f>Invest!F17</f>
        <v>0</v>
      </c>
      <c r="F17" s="224">
        <f>Invest!G17</f>
        <v>700000</v>
      </c>
      <c r="G17" s="223">
        <f>Invest!H17</f>
        <v>0</v>
      </c>
      <c r="H17" s="223">
        <f>Invest!I17</f>
        <v>0</v>
      </c>
      <c r="I17" s="229">
        <f t="shared" si="0"/>
        <v>700000</v>
      </c>
    </row>
    <row r="18" spans="2:40" x14ac:dyDescent="0.3">
      <c r="B18" s="419" t="s">
        <v>3851</v>
      </c>
      <c r="C18" s="224">
        <v>11500000</v>
      </c>
      <c r="D18" s="223">
        <f>Invest!E18</f>
        <v>0</v>
      </c>
      <c r="E18" s="223">
        <f>Invest!F18</f>
        <v>0</v>
      </c>
      <c r="F18" s="223">
        <f>Invest!G18</f>
        <v>0</v>
      </c>
      <c r="G18" s="224">
        <f>Invest!H18</f>
        <v>5750000</v>
      </c>
      <c r="H18" s="224">
        <f>Invest!I18</f>
        <v>5750000</v>
      </c>
      <c r="I18" s="229">
        <f>SUM(D18:H18)</f>
        <v>11500000</v>
      </c>
    </row>
    <row r="19" spans="2:40" x14ac:dyDescent="0.3">
      <c r="B19" s="419" t="s">
        <v>3859</v>
      </c>
      <c r="C19" s="224">
        <v>750000</v>
      </c>
      <c r="D19" s="223">
        <f>Invest!E19</f>
        <v>0</v>
      </c>
      <c r="E19" s="223">
        <f>Invest!F19</f>
        <v>0</v>
      </c>
      <c r="F19" s="223">
        <f>Invest!G19</f>
        <v>0</v>
      </c>
      <c r="G19" s="223">
        <f>Invest!H19</f>
        <v>0</v>
      </c>
      <c r="H19" s="224">
        <f>Invest!I19</f>
        <v>750000</v>
      </c>
      <c r="I19" s="229">
        <f t="shared" si="0"/>
        <v>750000</v>
      </c>
    </row>
    <row r="20" spans="2:40" x14ac:dyDescent="0.3">
      <c r="B20" s="419" t="s">
        <v>3860</v>
      </c>
      <c r="C20" s="224">
        <v>900000</v>
      </c>
      <c r="D20" s="223">
        <f>Invest!E20</f>
        <v>0</v>
      </c>
      <c r="E20" s="224">
        <f>Invest!F20</f>
        <v>300000</v>
      </c>
      <c r="F20" s="223">
        <f>Invest!G20</f>
        <v>0</v>
      </c>
      <c r="G20" s="224">
        <f>Invest!H20</f>
        <v>300000</v>
      </c>
      <c r="H20" s="224">
        <f>Invest!I20</f>
        <v>300000</v>
      </c>
      <c r="I20" s="229">
        <f t="shared" si="0"/>
        <v>900000</v>
      </c>
    </row>
    <row r="21" spans="2:40" x14ac:dyDescent="0.3">
      <c r="B21" s="419" t="s">
        <v>3862</v>
      </c>
      <c r="C21" s="224">
        <v>180000</v>
      </c>
      <c r="D21" s="224">
        <f>Invest!E21</f>
        <v>30000</v>
      </c>
      <c r="E21" s="223">
        <f>Invest!F21</f>
        <v>0</v>
      </c>
      <c r="F21" s="224">
        <f>Invest!G21</f>
        <v>150000</v>
      </c>
      <c r="G21" s="223">
        <f>Invest!H21</f>
        <v>0</v>
      </c>
      <c r="H21" s="223">
        <f>Invest!I21</f>
        <v>0</v>
      </c>
      <c r="I21" s="229">
        <f t="shared" si="0"/>
        <v>180000</v>
      </c>
    </row>
    <row r="22" spans="2:40" x14ac:dyDescent="0.3">
      <c r="B22" s="419" t="s">
        <v>3863</v>
      </c>
      <c r="C22" s="224">
        <v>180000</v>
      </c>
      <c r="D22" s="223">
        <f>Invest!E22</f>
        <v>0</v>
      </c>
      <c r="E22" s="224">
        <f>Invest!F22</f>
        <v>90000</v>
      </c>
      <c r="F22" s="224">
        <f>Invest!G22</f>
        <v>90000</v>
      </c>
      <c r="G22" s="223">
        <f>Invest!H22</f>
        <v>0</v>
      </c>
      <c r="H22" s="223">
        <f>Invest!I22</f>
        <v>0</v>
      </c>
      <c r="I22" s="229">
        <f>SUM(D22:H22)</f>
        <v>180000</v>
      </c>
    </row>
    <row r="23" spans="2:40" x14ac:dyDescent="0.3">
      <c r="B23" s="419" t="s">
        <v>3857</v>
      </c>
      <c r="C23" s="224">
        <v>8000000</v>
      </c>
      <c r="D23" s="223">
        <f>Invest!E23</f>
        <v>0</v>
      </c>
      <c r="E23" s="223">
        <f>Invest!F23</f>
        <v>0</v>
      </c>
      <c r="F23" s="223">
        <f>Invest!G23</f>
        <v>0</v>
      </c>
      <c r="G23" s="224">
        <f>Invest!H23</f>
        <v>4000000</v>
      </c>
      <c r="H23" s="224">
        <f>Invest!I23</f>
        <v>4000000</v>
      </c>
      <c r="I23" s="229">
        <f t="shared" si="0"/>
        <v>8000000</v>
      </c>
    </row>
    <row r="24" spans="2:40" x14ac:dyDescent="0.3">
      <c r="B24" s="419" t="s">
        <v>3858</v>
      </c>
      <c r="C24" s="224">
        <v>8500000</v>
      </c>
      <c r="D24" s="223">
        <f>Invest!E24</f>
        <v>0</v>
      </c>
      <c r="E24" s="223">
        <f>Invest!F24</f>
        <v>0</v>
      </c>
      <c r="F24" s="223">
        <f>Invest!G24</f>
        <v>0</v>
      </c>
      <c r="G24" s="224">
        <f>Invest!H24</f>
        <v>4250000</v>
      </c>
      <c r="H24" s="224">
        <f>Invest!I24</f>
        <v>4250000</v>
      </c>
      <c r="I24" s="229">
        <f t="shared" si="0"/>
        <v>8500000</v>
      </c>
    </row>
    <row r="25" spans="2:40" x14ac:dyDescent="0.3">
      <c r="B25" s="419" t="s">
        <v>3864</v>
      </c>
      <c r="C25" s="224">
        <v>280000</v>
      </c>
      <c r="D25" s="223">
        <f>Invest!E25</f>
        <v>0</v>
      </c>
      <c r="E25" s="223">
        <f>Invest!F25</f>
        <v>0</v>
      </c>
      <c r="F25" s="224">
        <f>Invest!G25</f>
        <v>140000</v>
      </c>
      <c r="G25" s="224">
        <f>Invest!H25</f>
        <v>140000</v>
      </c>
      <c r="H25" s="223">
        <f>Invest!I25</f>
        <v>0</v>
      </c>
      <c r="I25" s="229">
        <f t="shared" si="0"/>
        <v>280000</v>
      </c>
    </row>
    <row r="26" spans="2:40" ht="17.25" thickBot="1" x14ac:dyDescent="0.35">
      <c r="B26" s="420" t="s">
        <v>3262</v>
      </c>
      <c r="C26" s="231">
        <f t="shared" ref="C26:H26" si="1">SUM(C3:C25)</f>
        <v>50580000</v>
      </c>
      <c r="D26" s="231">
        <f t="shared" si="1"/>
        <v>2730000</v>
      </c>
      <c r="E26" s="231">
        <f t="shared" si="1"/>
        <v>5565000</v>
      </c>
      <c r="F26" s="231">
        <f t="shared" si="1"/>
        <v>5070000</v>
      </c>
      <c r="G26" s="231">
        <f t="shared" si="1"/>
        <v>18352500</v>
      </c>
      <c r="H26" s="231">
        <f t="shared" si="1"/>
        <v>18862500</v>
      </c>
      <c r="I26" s="232">
        <f>SUM(I3:I25)</f>
        <v>50580000</v>
      </c>
    </row>
    <row r="27" spans="2:40" x14ac:dyDescent="0.3">
      <c r="B27" s="250"/>
      <c r="C27" s="251"/>
      <c r="D27" s="252"/>
    </row>
    <row r="28" spans="2:40" x14ac:dyDescent="0.3">
      <c r="B28" s="429" t="s">
        <v>4035</v>
      </c>
      <c r="C28" s="490">
        <v>0.04</v>
      </c>
      <c r="D28" s="488" t="s">
        <v>3701</v>
      </c>
      <c r="E28" s="488" t="s">
        <v>3702</v>
      </c>
      <c r="F28" s="488" t="s">
        <v>3703</v>
      </c>
      <c r="G28" s="488" t="s">
        <v>3704</v>
      </c>
      <c r="H28" s="488" t="s">
        <v>3705</v>
      </c>
      <c r="I28" s="488" t="s">
        <v>3706</v>
      </c>
      <c r="J28" s="488" t="s">
        <v>3707</v>
      </c>
      <c r="K28" s="488" t="s">
        <v>3708</v>
      </c>
      <c r="L28" s="488" t="s">
        <v>3709</v>
      </c>
      <c r="M28" s="488" t="s">
        <v>3710</v>
      </c>
      <c r="N28" s="488" t="s">
        <v>3711</v>
      </c>
      <c r="O28" s="488" t="s">
        <v>3712</v>
      </c>
      <c r="P28" s="488" t="s">
        <v>3713</v>
      </c>
      <c r="Q28" s="488" t="s">
        <v>3714</v>
      </c>
      <c r="R28" s="488" t="s">
        <v>3715</v>
      </c>
      <c r="S28" s="488" t="s">
        <v>3716</v>
      </c>
      <c r="T28" s="488" t="s">
        <v>3717</v>
      </c>
      <c r="U28" s="488" t="s">
        <v>3718</v>
      </c>
      <c r="V28" s="488" t="s">
        <v>3719</v>
      </c>
      <c r="W28" s="488" t="s">
        <v>3720</v>
      </c>
      <c r="X28" s="488" t="s">
        <v>3721</v>
      </c>
      <c r="Y28" s="488" t="s">
        <v>3722</v>
      </c>
      <c r="Z28" s="488" t="s">
        <v>3723</v>
      </c>
      <c r="AA28" s="488" t="s">
        <v>3724</v>
      </c>
      <c r="AB28" s="488" t="s">
        <v>3725</v>
      </c>
      <c r="AC28" s="488" t="s">
        <v>3726</v>
      </c>
      <c r="AD28" s="488" t="s">
        <v>3727</v>
      </c>
      <c r="AE28" s="488" t="s">
        <v>3728</v>
      </c>
      <c r="AF28" s="488" t="s">
        <v>3729</v>
      </c>
      <c r="AG28" s="488" t="s">
        <v>3730</v>
      </c>
      <c r="AH28" s="488" t="s">
        <v>3731</v>
      </c>
      <c r="AI28" s="488" t="s">
        <v>3732</v>
      </c>
      <c r="AJ28" s="488" t="s">
        <v>3733</v>
      </c>
      <c r="AK28" s="488" t="s">
        <v>3734</v>
      </c>
      <c r="AL28" s="488" t="s">
        <v>3735</v>
      </c>
    </row>
    <row r="29" spans="2:40" x14ac:dyDescent="0.3">
      <c r="B29" s="432" t="s">
        <v>3849</v>
      </c>
      <c r="C29" s="488"/>
      <c r="D29" s="488"/>
      <c r="E29" s="488"/>
      <c r="F29" s="488"/>
      <c r="G29" s="488"/>
      <c r="H29" s="488"/>
      <c r="I29" s="488"/>
      <c r="J29" s="488"/>
      <c r="K29" s="488"/>
      <c r="L29" s="488"/>
      <c r="M29" s="488"/>
      <c r="N29" s="488"/>
      <c r="O29" s="488"/>
      <c r="P29" s="488"/>
      <c r="Q29" s="488"/>
      <c r="R29" s="488"/>
      <c r="S29" s="488"/>
      <c r="T29" s="488"/>
      <c r="U29" s="488"/>
      <c r="V29" s="488"/>
      <c r="W29" s="488"/>
      <c r="X29" s="488"/>
      <c r="Y29" s="488"/>
      <c r="Z29" s="488"/>
      <c r="AA29" s="488"/>
      <c r="AB29" s="488"/>
      <c r="AC29" s="488"/>
      <c r="AD29" s="488"/>
      <c r="AE29" s="488"/>
      <c r="AF29" s="488"/>
      <c r="AG29" s="488"/>
      <c r="AH29" s="488"/>
      <c r="AI29" s="488"/>
      <c r="AJ29" s="488"/>
      <c r="AK29" s="488"/>
      <c r="AL29" s="488"/>
    </row>
    <row r="30" spans="2:40" x14ac:dyDescent="0.3">
      <c r="B30" s="254" t="s">
        <v>3701</v>
      </c>
      <c r="C30" s="244">
        <f>D6</f>
        <v>700000</v>
      </c>
      <c r="D30" s="244">
        <v>0</v>
      </c>
      <c r="E30" s="244">
        <f>$C28*$C30</f>
        <v>28000</v>
      </c>
      <c r="F30" s="244">
        <f t="shared" ref="F30:AC30" si="2">$C28*$C30</f>
        <v>28000</v>
      </c>
      <c r="G30" s="244">
        <f t="shared" si="2"/>
        <v>28000</v>
      </c>
      <c r="H30" s="244">
        <f t="shared" si="2"/>
        <v>28000</v>
      </c>
      <c r="I30" s="244">
        <f t="shared" si="2"/>
        <v>28000</v>
      </c>
      <c r="J30" s="244">
        <f t="shared" si="2"/>
        <v>28000</v>
      </c>
      <c r="K30" s="244">
        <f t="shared" si="2"/>
        <v>28000</v>
      </c>
      <c r="L30" s="244">
        <f t="shared" si="2"/>
        <v>28000</v>
      </c>
      <c r="M30" s="244">
        <f t="shared" si="2"/>
        <v>28000</v>
      </c>
      <c r="N30" s="244">
        <f t="shared" si="2"/>
        <v>28000</v>
      </c>
      <c r="O30" s="244">
        <f t="shared" si="2"/>
        <v>28000</v>
      </c>
      <c r="P30" s="244">
        <f t="shared" si="2"/>
        <v>28000</v>
      </c>
      <c r="Q30" s="244">
        <f t="shared" si="2"/>
        <v>28000</v>
      </c>
      <c r="R30" s="244">
        <f t="shared" si="2"/>
        <v>28000</v>
      </c>
      <c r="S30" s="244">
        <f t="shared" si="2"/>
        <v>28000</v>
      </c>
      <c r="T30" s="244">
        <f t="shared" si="2"/>
        <v>28000</v>
      </c>
      <c r="U30" s="244">
        <f t="shared" si="2"/>
        <v>28000</v>
      </c>
      <c r="V30" s="244">
        <f t="shared" si="2"/>
        <v>28000</v>
      </c>
      <c r="W30" s="244">
        <f t="shared" si="2"/>
        <v>28000</v>
      </c>
      <c r="X30" s="244">
        <f t="shared" si="2"/>
        <v>28000</v>
      </c>
      <c r="Y30" s="244">
        <f t="shared" si="2"/>
        <v>28000</v>
      </c>
      <c r="Z30" s="244">
        <f t="shared" si="2"/>
        <v>28000</v>
      </c>
      <c r="AA30" s="244">
        <f t="shared" si="2"/>
        <v>28000</v>
      </c>
      <c r="AB30" s="244">
        <f t="shared" si="2"/>
        <v>28000</v>
      </c>
      <c r="AC30" s="244">
        <f t="shared" si="2"/>
        <v>28000</v>
      </c>
      <c r="AD30" s="244">
        <v>0</v>
      </c>
      <c r="AE30" s="244">
        <v>0</v>
      </c>
      <c r="AF30" s="244">
        <v>0</v>
      </c>
      <c r="AG30" s="244">
        <v>0</v>
      </c>
      <c r="AH30" s="244">
        <v>0</v>
      </c>
      <c r="AI30" s="244">
        <v>0</v>
      </c>
      <c r="AJ30" s="244">
        <v>0</v>
      </c>
      <c r="AK30" s="244">
        <v>0</v>
      </c>
      <c r="AL30" s="244">
        <v>0</v>
      </c>
    </row>
    <row r="31" spans="2:40" x14ac:dyDescent="0.3">
      <c r="B31" s="489" t="s">
        <v>4075</v>
      </c>
      <c r="C31" s="489"/>
      <c r="D31" s="253">
        <f>SUM(D30:D30)</f>
        <v>0</v>
      </c>
      <c r="E31" s="253">
        <f t="shared" ref="E31:AL31" si="3">SUM(E30:E30)</f>
        <v>28000</v>
      </c>
      <c r="F31" s="253">
        <f t="shared" si="3"/>
        <v>28000</v>
      </c>
      <c r="G31" s="253">
        <f t="shared" si="3"/>
        <v>28000</v>
      </c>
      <c r="H31" s="253">
        <f t="shared" si="3"/>
        <v>28000</v>
      </c>
      <c r="I31" s="253">
        <f t="shared" si="3"/>
        <v>28000</v>
      </c>
      <c r="J31" s="253">
        <f t="shared" si="3"/>
        <v>28000</v>
      </c>
      <c r="K31" s="253">
        <f t="shared" si="3"/>
        <v>28000</v>
      </c>
      <c r="L31" s="253">
        <f t="shared" si="3"/>
        <v>28000</v>
      </c>
      <c r="M31" s="253">
        <f t="shared" si="3"/>
        <v>28000</v>
      </c>
      <c r="N31" s="253">
        <f t="shared" si="3"/>
        <v>28000</v>
      </c>
      <c r="O31" s="253">
        <f t="shared" si="3"/>
        <v>28000</v>
      </c>
      <c r="P31" s="253">
        <f t="shared" si="3"/>
        <v>28000</v>
      </c>
      <c r="Q31" s="253">
        <f t="shared" si="3"/>
        <v>28000</v>
      </c>
      <c r="R31" s="253">
        <f t="shared" si="3"/>
        <v>28000</v>
      </c>
      <c r="S31" s="253">
        <f t="shared" si="3"/>
        <v>28000</v>
      </c>
      <c r="T31" s="253">
        <f t="shared" si="3"/>
        <v>28000</v>
      </c>
      <c r="U31" s="253">
        <f t="shared" si="3"/>
        <v>28000</v>
      </c>
      <c r="V31" s="253">
        <f t="shared" si="3"/>
        <v>28000</v>
      </c>
      <c r="W31" s="253">
        <f t="shared" si="3"/>
        <v>28000</v>
      </c>
      <c r="X31" s="253">
        <f t="shared" si="3"/>
        <v>28000</v>
      </c>
      <c r="Y31" s="253">
        <f t="shared" si="3"/>
        <v>28000</v>
      </c>
      <c r="Z31" s="253">
        <f t="shared" si="3"/>
        <v>28000</v>
      </c>
      <c r="AA31" s="253">
        <f t="shared" si="3"/>
        <v>28000</v>
      </c>
      <c r="AB31" s="253">
        <f t="shared" si="3"/>
        <v>28000</v>
      </c>
      <c r="AC31" s="253">
        <f t="shared" si="3"/>
        <v>28000</v>
      </c>
      <c r="AD31" s="253">
        <f t="shared" si="3"/>
        <v>0</v>
      </c>
      <c r="AE31" s="253">
        <f t="shared" si="3"/>
        <v>0</v>
      </c>
      <c r="AF31" s="253">
        <f t="shared" si="3"/>
        <v>0</v>
      </c>
      <c r="AG31" s="253">
        <f t="shared" si="3"/>
        <v>0</v>
      </c>
      <c r="AH31" s="253">
        <f t="shared" si="3"/>
        <v>0</v>
      </c>
      <c r="AI31" s="253">
        <f t="shared" si="3"/>
        <v>0</v>
      </c>
      <c r="AJ31" s="253">
        <f t="shared" si="3"/>
        <v>0</v>
      </c>
      <c r="AK31" s="253">
        <f t="shared" si="3"/>
        <v>0</v>
      </c>
      <c r="AL31" s="253">
        <f t="shared" si="3"/>
        <v>0</v>
      </c>
      <c r="AN31" s="244">
        <f>SUM(D31:AL31)</f>
        <v>700000</v>
      </c>
    </row>
    <row r="33" spans="2:40" x14ac:dyDescent="0.3">
      <c r="B33" s="429" t="s">
        <v>4035</v>
      </c>
      <c r="C33" s="490">
        <v>0.04</v>
      </c>
      <c r="D33" s="488" t="s">
        <v>3701</v>
      </c>
      <c r="E33" s="488" t="s">
        <v>3702</v>
      </c>
      <c r="F33" s="488" t="s">
        <v>3703</v>
      </c>
      <c r="G33" s="488" t="s">
        <v>3704</v>
      </c>
      <c r="H33" s="488" t="s">
        <v>3705</v>
      </c>
      <c r="I33" s="488" t="s">
        <v>3706</v>
      </c>
      <c r="J33" s="488" t="s">
        <v>3707</v>
      </c>
      <c r="K33" s="488" t="s">
        <v>3708</v>
      </c>
      <c r="L33" s="488" t="s">
        <v>3709</v>
      </c>
      <c r="M33" s="488" t="s">
        <v>3710</v>
      </c>
      <c r="N33" s="488" t="s">
        <v>3711</v>
      </c>
      <c r="O33" s="488" t="s">
        <v>3712</v>
      </c>
      <c r="P33" s="488" t="s">
        <v>3713</v>
      </c>
      <c r="Q33" s="488" t="s">
        <v>3714</v>
      </c>
      <c r="R33" s="488" t="s">
        <v>3715</v>
      </c>
      <c r="S33" s="488" t="s">
        <v>3716</v>
      </c>
      <c r="T33" s="488" t="s">
        <v>3717</v>
      </c>
      <c r="U33" s="488" t="s">
        <v>3718</v>
      </c>
      <c r="V33" s="488" t="s">
        <v>3719</v>
      </c>
      <c r="W33" s="488" t="s">
        <v>3720</v>
      </c>
      <c r="X33" s="488" t="s">
        <v>3721</v>
      </c>
      <c r="Y33" s="488" t="s">
        <v>3722</v>
      </c>
      <c r="Z33" s="488" t="s">
        <v>3723</v>
      </c>
      <c r="AA33" s="488" t="s">
        <v>3724</v>
      </c>
      <c r="AB33" s="488" t="s">
        <v>3725</v>
      </c>
      <c r="AC33" s="488" t="s">
        <v>3726</v>
      </c>
      <c r="AD33" s="488" t="s">
        <v>3727</v>
      </c>
      <c r="AE33" s="488" t="s">
        <v>3728</v>
      </c>
      <c r="AF33" s="488" t="s">
        <v>3729</v>
      </c>
      <c r="AG33" s="488" t="s">
        <v>3730</v>
      </c>
      <c r="AH33" s="488" t="s">
        <v>3731</v>
      </c>
      <c r="AI33" s="488" t="s">
        <v>3732</v>
      </c>
      <c r="AJ33" s="488" t="s">
        <v>3733</v>
      </c>
      <c r="AK33" s="488" t="s">
        <v>3734</v>
      </c>
      <c r="AL33" s="488" t="s">
        <v>3735</v>
      </c>
    </row>
    <row r="34" spans="2:40" x14ac:dyDescent="0.3">
      <c r="B34" s="433" t="s">
        <v>3850</v>
      </c>
      <c r="C34" s="488"/>
      <c r="D34" s="488"/>
      <c r="E34" s="488"/>
      <c r="F34" s="488"/>
      <c r="G34" s="488"/>
      <c r="H34" s="488"/>
      <c r="I34" s="488"/>
      <c r="J34" s="488"/>
      <c r="K34" s="488"/>
      <c r="L34" s="488"/>
      <c r="M34" s="488"/>
      <c r="N34" s="488"/>
      <c r="O34" s="488"/>
      <c r="P34" s="488"/>
      <c r="Q34" s="488"/>
      <c r="R34" s="488"/>
      <c r="S34" s="488"/>
      <c r="T34" s="488"/>
      <c r="U34" s="488"/>
      <c r="V34" s="488"/>
      <c r="W34" s="488"/>
      <c r="X34" s="488"/>
      <c r="Y34" s="488"/>
      <c r="Z34" s="488"/>
      <c r="AA34" s="488"/>
      <c r="AB34" s="488"/>
      <c r="AC34" s="488"/>
      <c r="AD34" s="488"/>
      <c r="AE34" s="488"/>
      <c r="AF34" s="488"/>
      <c r="AG34" s="488"/>
      <c r="AH34" s="488"/>
      <c r="AI34" s="488"/>
      <c r="AJ34" s="488"/>
      <c r="AK34" s="488"/>
      <c r="AL34" s="488"/>
    </row>
    <row r="35" spans="2:40" x14ac:dyDescent="0.3">
      <c r="B35" s="254" t="s">
        <v>3703</v>
      </c>
      <c r="C35" s="255">
        <v>1700000</v>
      </c>
      <c r="D35" s="244">
        <v>0</v>
      </c>
      <c r="E35" s="244">
        <v>0</v>
      </c>
      <c r="F35" s="244">
        <v>0</v>
      </c>
      <c r="G35" s="244">
        <f>$C33*$C35</f>
        <v>68000</v>
      </c>
      <c r="H35" s="244">
        <f t="shared" ref="H35:AE35" si="4">$C33*$C35</f>
        <v>68000</v>
      </c>
      <c r="I35" s="244">
        <f t="shared" si="4"/>
        <v>68000</v>
      </c>
      <c r="J35" s="244">
        <f t="shared" si="4"/>
        <v>68000</v>
      </c>
      <c r="K35" s="244">
        <f t="shared" si="4"/>
        <v>68000</v>
      </c>
      <c r="L35" s="244">
        <f t="shared" si="4"/>
        <v>68000</v>
      </c>
      <c r="M35" s="244">
        <f t="shared" si="4"/>
        <v>68000</v>
      </c>
      <c r="N35" s="244">
        <f t="shared" si="4"/>
        <v>68000</v>
      </c>
      <c r="O35" s="244">
        <f t="shared" si="4"/>
        <v>68000</v>
      </c>
      <c r="P35" s="244">
        <f t="shared" si="4"/>
        <v>68000</v>
      </c>
      <c r="Q35" s="244">
        <f t="shared" si="4"/>
        <v>68000</v>
      </c>
      <c r="R35" s="244">
        <f t="shared" si="4"/>
        <v>68000</v>
      </c>
      <c r="S35" s="244">
        <f t="shared" si="4"/>
        <v>68000</v>
      </c>
      <c r="T35" s="244">
        <f t="shared" si="4"/>
        <v>68000</v>
      </c>
      <c r="U35" s="244">
        <f t="shared" si="4"/>
        <v>68000</v>
      </c>
      <c r="V35" s="244">
        <f t="shared" si="4"/>
        <v>68000</v>
      </c>
      <c r="W35" s="244">
        <f t="shared" si="4"/>
        <v>68000</v>
      </c>
      <c r="X35" s="244">
        <f t="shared" si="4"/>
        <v>68000</v>
      </c>
      <c r="Y35" s="244">
        <f t="shared" si="4"/>
        <v>68000</v>
      </c>
      <c r="Z35" s="244">
        <f t="shared" si="4"/>
        <v>68000</v>
      </c>
      <c r="AA35" s="244">
        <f t="shared" si="4"/>
        <v>68000</v>
      </c>
      <c r="AB35" s="244">
        <f t="shared" si="4"/>
        <v>68000</v>
      </c>
      <c r="AC35" s="244">
        <f t="shared" si="4"/>
        <v>68000</v>
      </c>
      <c r="AD35" s="244">
        <f t="shared" si="4"/>
        <v>68000</v>
      </c>
      <c r="AE35" s="244">
        <f t="shared" si="4"/>
        <v>68000</v>
      </c>
      <c r="AF35" s="244">
        <v>0</v>
      </c>
      <c r="AG35" s="244">
        <v>0</v>
      </c>
      <c r="AH35" s="244">
        <v>0</v>
      </c>
      <c r="AI35" s="244">
        <v>0</v>
      </c>
      <c r="AJ35" s="244">
        <v>0</v>
      </c>
      <c r="AK35" s="244">
        <v>0</v>
      </c>
      <c r="AL35" s="244">
        <v>0</v>
      </c>
    </row>
    <row r="36" spans="2:40" x14ac:dyDescent="0.3">
      <c r="B36" s="254" t="s">
        <v>3704</v>
      </c>
      <c r="C36" s="244">
        <v>1700000</v>
      </c>
      <c r="D36" s="244">
        <v>0</v>
      </c>
      <c r="E36" s="244">
        <v>0</v>
      </c>
      <c r="F36" s="244">
        <v>0</v>
      </c>
      <c r="G36" s="244">
        <v>0</v>
      </c>
      <c r="H36" s="244">
        <f>$C33*$C36</f>
        <v>68000</v>
      </c>
      <c r="I36" s="244">
        <f t="shared" ref="I36:AF36" si="5">$C33*$C36</f>
        <v>68000</v>
      </c>
      <c r="J36" s="244">
        <f t="shared" si="5"/>
        <v>68000</v>
      </c>
      <c r="K36" s="244">
        <f t="shared" si="5"/>
        <v>68000</v>
      </c>
      <c r="L36" s="244">
        <f t="shared" si="5"/>
        <v>68000</v>
      </c>
      <c r="M36" s="244">
        <f t="shared" si="5"/>
        <v>68000</v>
      </c>
      <c r="N36" s="244">
        <f t="shared" si="5"/>
        <v>68000</v>
      </c>
      <c r="O36" s="244">
        <f t="shared" si="5"/>
        <v>68000</v>
      </c>
      <c r="P36" s="244">
        <f t="shared" si="5"/>
        <v>68000</v>
      </c>
      <c r="Q36" s="244">
        <f t="shared" si="5"/>
        <v>68000</v>
      </c>
      <c r="R36" s="244">
        <f t="shared" si="5"/>
        <v>68000</v>
      </c>
      <c r="S36" s="244">
        <f t="shared" si="5"/>
        <v>68000</v>
      </c>
      <c r="T36" s="244">
        <f t="shared" si="5"/>
        <v>68000</v>
      </c>
      <c r="U36" s="244">
        <f t="shared" si="5"/>
        <v>68000</v>
      </c>
      <c r="V36" s="244">
        <f t="shared" si="5"/>
        <v>68000</v>
      </c>
      <c r="W36" s="244">
        <f t="shared" si="5"/>
        <v>68000</v>
      </c>
      <c r="X36" s="244">
        <f t="shared" si="5"/>
        <v>68000</v>
      </c>
      <c r="Y36" s="244">
        <f t="shared" si="5"/>
        <v>68000</v>
      </c>
      <c r="Z36" s="244">
        <f t="shared" si="5"/>
        <v>68000</v>
      </c>
      <c r="AA36" s="244">
        <f t="shared" si="5"/>
        <v>68000</v>
      </c>
      <c r="AB36" s="244">
        <f t="shared" si="5"/>
        <v>68000</v>
      </c>
      <c r="AC36" s="244">
        <f t="shared" si="5"/>
        <v>68000</v>
      </c>
      <c r="AD36" s="244">
        <f t="shared" si="5"/>
        <v>68000</v>
      </c>
      <c r="AE36" s="244">
        <f t="shared" si="5"/>
        <v>68000</v>
      </c>
      <c r="AF36" s="244">
        <f t="shared" si="5"/>
        <v>68000</v>
      </c>
      <c r="AG36" s="244">
        <v>0</v>
      </c>
      <c r="AH36" s="244">
        <v>0</v>
      </c>
      <c r="AI36" s="244">
        <v>0</v>
      </c>
      <c r="AJ36" s="244">
        <v>0</v>
      </c>
      <c r="AK36" s="244">
        <v>0</v>
      </c>
      <c r="AL36" s="244">
        <v>0</v>
      </c>
    </row>
    <row r="37" spans="2:40" x14ac:dyDescent="0.3">
      <c r="B37" s="254" t="s">
        <v>3705</v>
      </c>
      <c r="C37" s="244">
        <v>1600000</v>
      </c>
      <c r="D37" s="244">
        <v>0</v>
      </c>
      <c r="E37" s="244">
        <v>0</v>
      </c>
      <c r="F37" s="244">
        <v>0</v>
      </c>
      <c r="G37" s="244">
        <v>0</v>
      </c>
      <c r="H37" s="244">
        <v>0</v>
      </c>
      <c r="I37" s="244">
        <f>$C33*$C37</f>
        <v>64000</v>
      </c>
      <c r="J37" s="244">
        <f t="shared" ref="J37:AG37" si="6">$C33*$C37</f>
        <v>64000</v>
      </c>
      <c r="K37" s="244">
        <f t="shared" si="6"/>
        <v>64000</v>
      </c>
      <c r="L37" s="244">
        <f t="shared" si="6"/>
        <v>64000</v>
      </c>
      <c r="M37" s="244">
        <f t="shared" si="6"/>
        <v>64000</v>
      </c>
      <c r="N37" s="244">
        <f t="shared" si="6"/>
        <v>64000</v>
      </c>
      <c r="O37" s="244">
        <f t="shared" si="6"/>
        <v>64000</v>
      </c>
      <c r="P37" s="244">
        <f t="shared" si="6"/>
        <v>64000</v>
      </c>
      <c r="Q37" s="244">
        <f t="shared" si="6"/>
        <v>64000</v>
      </c>
      <c r="R37" s="244">
        <f t="shared" si="6"/>
        <v>64000</v>
      </c>
      <c r="S37" s="244">
        <f t="shared" si="6"/>
        <v>64000</v>
      </c>
      <c r="T37" s="244">
        <f t="shared" si="6"/>
        <v>64000</v>
      </c>
      <c r="U37" s="244">
        <f t="shared" si="6"/>
        <v>64000</v>
      </c>
      <c r="V37" s="244">
        <f t="shared" si="6"/>
        <v>64000</v>
      </c>
      <c r="W37" s="244">
        <f t="shared" si="6"/>
        <v>64000</v>
      </c>
      <c r="X37" s="244">
        <f t="shared" si="6"/>
        <v>64000</v>
      </c>
      <c r="Y37" s="244">
        <f t="shared" si="6"/>
        <v>64000</v>
      </c>
      <c r="Z37" s="244">
        <f t="shared" si="6"/>
        <v>64000</v>
      </c>
      <c r="AA37" s="244">
        <f t="shared" si="6"/>
        <v>64000</v>
      </c>
      <c r="AB37" s="244">
        <f t="shared" si="6"/>
        <v>64000</v>
      </c>
      <c r="AC37" s="244">
        <f t="shared" si="6"/>
        <v>64000</v>
      </c>
      <c r="AD37" s="244">
        <f t="shared" si="6"/>
        <v>64000</v>
      </c>
      <c r="AE37" s="244">
        <f t="shared" si="6"/>
        <v>64000</v>
      </c>
      <c r="AF37" s="244">
        <f t="shared" si="6"/>
        <v>64000</v>
      </c>
      <c r="AG37" s="244">
        <f t="shared" si="6"/>
        <v>64000</v>
      </c>
      <c r="AH37" s="244">
        <v>0</v>
      </c>
      <c r="AI37" s="244">
        <v>0</v>
      </c>
      <c r="AJ37" s="244">
        <v>0</v>
      </c>
      <c r="AK37" s="244">
        <v>0</v>
      </c>
      <c r="AL37" s="244">
        <v>0</v>
      </c>
    </row>
    <row r="38" spans="2:40" x14ac:dyDescent="0.3">
      <c r="B38" s="489" t="s">
        <v>4075</v>
      </c>
      <c r="C38" s="489"/>
      <c r="D38" s="253">
        <f>SUM(D35:D37)</f>
        <v>0</v>
      </c>
      <c r="E38" s="253">
        <f t="shared" ref="E38:AL38" si="7">SUM(E35:E37)</f>
        <v>0</v>
      </c>
      <c r="F38" s="253">
        <f t="shared" si="7"/>
        <v>0</v>
      </c>
      <c r="G38" s="253">
        <f t="shared" si="7"/>
        <v>68000</v>
      </c>
      <c r="H38" s="253">
        <f t="shared" si="7"/>
        <v>136000</v>
      </c>
      <c r="I38" s="253">
        <f t="shared" si="7"/>
        <v>200000</v>
      </c>
      <c r="J38" s="253">
        <f t="shared" si="7"/>
        <v>200000</v>
      </c>
      <c r="K38" s="253">
        <f t="shared" si="7"/>
        <v>200000</v>
      </c>
      <c r="L38" s="253">
        <f t="shared" si="7"/>
        <v>200000</v>
      </c>
      <c r="M38" s="253">
        <f t="shared" si="7"/>
        <v>200000</v>
      </c>
      <c r="N38" s="253">
        <f t="shared" si="7"/>
        <v>200000</v>
      </c>
      <c r="O38" s="253">
        <f t="shared" si="7"/>
        <v>200000</v>
      </c>
      <c r="P38" s="253">
        <f t="shared" si="7"/>
        <v>200000</v>
      </c>
      <c r="Q38" s="253">
        <f t="shared" si="7"/>
        <v>200000</v>
      </c>
      <c r="R38" s="253">
        <f t="shared" si="7"/>
        <v>200000</v>
      </c>
      <c r="S38" s="253">
        <f t="shared" si="7"/>
        <v>200000</v>
      </c>
      <c r="T38" s="253">
        <f t="shared" si="7"/>
        <v>200000</v>
      </c>
      <c r="U38" s="253">
        <f t="shared" si="7"/>
        <v>200000</v>
      </c>
      <c r="V38" s="253">
        <f t="shared" si="7"/>
        <v>200000</v>
      </c>
      <c r="W38" s="253">
        <f t="shared" si="7"/>
        <v>200000</v>
      </c>
      <c r="X38" s="253">
        <f t="shared" si="7"/>
        <v>200000</v>
      </c>
      <c r="Y38" s="253">
        <f t="shared" si="7"/>
        <v>200000</v>
      </c>
      <c r="Z38" s="253">
        <f t="shared" si="7"/>
        <v>200000</v>
      </c>
      <c r="AA38" s="253">
        <f t="shared" si="7"/>
        <v>200000</v>
      </c>
      <c r="AB38" s="253">
        <f t="shared" si="7"/>
        <v>200000</v>
      </c>
      <c r="AC38" s="253">
        <f t="shared" si="7"/>
        <v>200000</v>
      </c>
      <c r="AD38" s="253">
        <f t="shared" si="7"/>
        <v>200000</v>
      </c>
      <c r="AE38" s="253">
        <f t="shared" si="7"/>
        <v>200000</v>
      </c>
      <c r="AF38" s="253">
        <f t="shared" si="7"/>
        <v>132000</v>
      </c>
      <c r="AG38" s="253">
        <f t="shared" si="7"/>
        <v>64000</v>
      </c>
      <c r="AH38" s="253">
        <f t="shared" si="7"/>
        <v>0</v>
      </c>
      <c r="AI38" s="253">
        <f t="shared" si="7"/>
        <v>0</v>
      </c>
      <c r="AJ38" s="253">
        <f t="shared" si="7"/>
        <v>0</v>
      </c>
      <c r="AK38" s="253">
        <f t="shared" si="7"/>
        <v>0</v>
      </c>
      <c r="AL38" s="253">
        <f t="shared" si="7"/>
        <v>0</v>
      </c>
      <c r="AN38" s="244">
        <f>SUM(D38:AL38)</f>
        <v>5000000</v>
      </c>
    </row>
    <row r="40" spans="2:40" x14ac:dyDescent="0.3">
      <c r="B40" s="429" t="s">
        <v>4035</v>
      </c>
      <c r="C40" s="490">
        <v>0.04</v>
      </c>
      <c r="D40" s="488" t="s">
        <v>3701</v>
      </c>
      <c r="E40" s="488" t="s">
        <v>3702</v>
      </c>
      <c r="F40" s="488" t="s">
        <v>3703</v>
      </c>
      <c r="G40" s="488" t="s">
        <v>3704</v>
      </c>
      <c r="H40" s="488" t="s">
        <v>3705</v>
      </c>
      <c r="I40" s="488" t="s">
        <v>3706</v>
      </c>
      <c r="J40" s="488" t="s">
        <v>3707</v>
      </c>
      <c r="K40" s="488" t="s">
        <v>3708</v>
      </c>
      <c r="L40" s="488" t="s">
        <v>3709</v>
      </c>
      <c r="M40" s="488" t="s">
        <v>3710</v>
      </c>
      <c r="N40" s="488" t="s">
        <v>3711</v>
      </c>
      <c r="O40" s="488" t="s">
        <v>3712</v>
      </c>
      <c r="P40" s="488" t="s">
        <v>3713</v>
      </c>
      <c r="Q40" s="488" t="s">
        <v>3714</v>
      </c>
      <c r="R40" s="488" t="s">
        <v>3715</v>
      </c>
      <c r="S40" s="488" t="s">
        <v>3716</v>
      </c>
      <c r="T40" s="488" t="s">
        <v>3717</v>
      </c>
      <c r="U40" s="488" t="s">
        <v>3718</v>
      </c>
      <c r="V40" s="488" t="s">
        <v>3719</v>
      </c>
      <c r="W40" s="488" t="s">
        <v>3720</v>
      </c>
      <c r="X40" s="488" t="s">
        <v>3721</v>
      </c>
      <c r="Y40" s="488" t="s">
        <v>3722</v>
      </c>
      <c r="Z40" s="488" t="s">
        <v>3723</v>
      </c>
      <c r="AA40" s="488" t="s">
        <v>3724</v>
      </c>
      <c r="AB40" s="488" t="s">
        <v>3725</v>
      </c>
      <c r="AC40" s="488" t="s">
        <v>3726</v>
      </c>
      <c r="AD40" s="488" t="s">
        <v>3727</v>
      </c>
      <c r="AE40" s="488" t="s">
        <v>3728</v>
      </c>
      <c r="AF40" s="488" t="s">
        <v>3729</v>
      </c>
      <c r="AG40" s="488" t="s">
        <v>3730</v>
      </c>
      <c r="AH40" s="488" t="s">
        <v>3731</v>
      </c>
      <c r="AI40" s="488" t="s">
        <v>3732</v>
      </c>
      <c r="AJ40" s="488" t="s">
        <v>3733</v>
      </c>
      <c r="AK40" s="488" t="s">
        <v>3734</v>
      </c>
      <c r="AL40" s="488" t="s">
        <v>3735</v>
      </c>
    </row>
    <row r="41" spans="2:40" x14ac:dyDescent="0.3">
      <c r="B41" s="433" t="s">
        <v>3848</v>
      </c>
      <c r="C41" s="488"/>
      <c r="D41" s="488"/>
      <c r="E41" s="488"/>
      <c r="F41" s="488"/>
      <c r="G41" s="488"/>
      <c r="H41" s="488"/>
      <c r="I41" s="488"/>
      <c r="J41" s="488"/>
      <c r="K41" s="488"/>
      <c r="L41" s="488"/>
      <c r="M41" s="488"/>
      <c r="N41" s="488"/>
      <c r="O41" s="488"/>
      <c r="P41" s="488"/>
      <c r="Q41" s="488"/>
      <c r="R41" s="488"/>
      <c r="S41" s="488"/>
      <c r="T41" s="488"/>
      <c r="U41" s="488"/>
      <c r="V41" s="488"/>
      <c r="W41" s="488"/>
      <c r="X41" s="488"/>
      <c r="Y41" s="488"/>
      <c r="Z41" s="488"/>
      <c r="AA41" s="488"/>
      <c r="AB41" s="488"/>
      <c r="AC41" s="488"/>
      <c r="AD41" s="488"/>
      <c r="AE41" s="488"/>
      <c r="AF41" s="488"/>
      <c r="AG41" s="488"/>
      <c r="AH41" s="488"/>
      <c r="AI41" s="488"/>
      <c r="AJ41" s="488"/>
      <c r="AK41" s="488"/>
      <c r="AL41" s="488"/>
    </row>
    <row r="42" spans="2:40" x14ac:dyDescent="0.3">
      <c r="B42" s="254" t="s">
        <v>3701</v>
      </c>
      <c r="C42" s="244">
        <v>700000</v>
      </c>
      <c r="D42" s="244">
        <v>0</v>
      </c>
      <c r="E42" s="244">
        <f>$C40*$C42</f>
        <v>28000</v>
      </c>
      <c r="F42" s="244">
        <f t="shared" ref="F42:AC42" si="8">$C40*$C42</f>
        <v>28000</v>
      </c>
      <c r="G42" s="244">
        <f t="shared" si="8"/>
        <v>28000</v>
      </c>
      <c r="H42" s="244">
        <f t="shared" si="8"/>
        <v>28000</v>
      </c>
      <c r="I42" s="244">
        <f t="shared" si="8"/>
        <v>28000</v>
      </c>
      <c r="J42" s="244">
        <f t="shared" si="8"/>
        <v>28000</v>
      </c>
      <c r="K42" s="244">
        <f t="shared" si="8"/>
        <v>28000</v>
      </c>
      <c r="L42" s="244">
        <f t="shared" si="8"/>
        <v>28000</v>
      </c>
      <c r="M42" s="244">
        <f t="shared" si="8"/>
        <v>28000</v>
      </c>
      <c r="N42" s="244">
        <f t="shared" si="8"/>
        <v>28000</v>
      </c>
      <c r="O42" s="244">
        <f t="shared" si="8"/>
        <v>28000</v>
      </c>
      <c r="P42" s="244">
        <f t="shared" si="8"/>
        <v>28000</v>
      </c>
      <c r="Q42" s="244">
        <f t="shared" si="8"/>
        <v>28000</v>
      </c>
      <c r="R42" s="244">
        <f t="shared" si="8"/>
        <v>28000</v>
      </c>
      <c r="S42" s="244">
        <f t="shared" si="8"/>
        <v>28000</v>
      </c>
      <c r="T42" s="244">
        <f t="shared" si="8"/>
        <v>28000</v>
      </c>
      <c r="U42" s="244">
        <f t="shared" si="8"/>
        <v>28000</v>
      </c>
      <c r="V42" s="244">
        <f t="shared" si="8"/>
        <v>28000</v>
      </c>
      <c r="W42" s="244">
        <f t="shared" si="8"/>
        <v>28000</v>
      </c>
      <c r="X42" s="244">
        <f t="shared" si="8"/>
        <v>28000</v>
      </c>
      <c r="Y42" s="244">
        <f t="shared" si="8"/>
        <v>28000</v>
      </c>
      <c r="Z42" s="244">
        <f t="shared" si="8"/>
        <v>28000</v>
      </c>
      <c r="AA42" s="244">
        <f t="shared" si="8"/>
        <v>28000</v>
      </c>
      <c r="AB42" s="244">
        <f t="shared" si="8"/>
        <v>28000</v>
      </c>
      <c r="AC42" s="244">
        <f t="shared" si="8"/>
        <v>28000</v>
      </c>
      <c r="AD42" s="244">
        <v>0</v>
      </c>
      <c r="AE42" s="244">
        <v>0</v>
      </c>
      <c r="AF42" s="244">
        <v>0</v>
      </c>
      <c r="AG42" s="244">
        <v>0</v>
      </c>
      <c r="AH42" s="244">
        <v>0</v>
      </c>
      <c r="AI42" s="244">
        <v>0</v>
      </c>
      <c r="AJ42" s="244">
        <v>0</v>
      </c>
      <c r="AK42" s="244">
        <v>0</v>
      </c>
      <c r="AL42" s="244">
        <v>0</v>
      </c>
    </row>
    <row r="43" spans="2:40" x14ac:dyDescent="0.3">
      <c r="B43" s="489" t="s">
        <v>4075</v>
      </c>
      <c r="C43" s="489"/>
      <c r="D43" s="253">
        <f>SUM(D42)</f>
        <v>0</v>
      </c>
      <c r="E43" s="253">
        <f t="shared" ref="E43:I43" si="9">SUM(E42)</f>
        <v>28000</v>
      </c>
      <c r="F43" s="253">
        <f t="shared" si="9"/>
        <v>28000</v>
      </c>
      <c r="G43" s="253">
        <f t="shared" si="9"/>
        <v>28000</v>
      </c>
      <c r="H43" s="253">
        <f t="shared" si="9"/>
        <v>28000</v>
      </c>
      <c r="I43" s="253">
        <f t="shared" si="9"/>
        <v>28000</v>
      </c>
      <c r="J43" s="253">
        <f t="shared" ref="J43" si="10">SUM(J42)</f>
        <v>28000</v>
      </c>
      <c r="K43" s="253">
        <f t="shared" ref="K43" si="11">SUM(K42)</f>
        <v>28000</v>
      </c>
      <c r="L43" s="253">
        <f t="shared" ref="L43" si="12">SUM(L42)</f>
        <v>28000</v>
      </c>
      <c r="M43" s="253">
        <f t="shared" ref="M43:N43" si="13">SUM(M42)</f>
        <v>28000</v>
      </c>
      <c r="N43" s="253">
        <f t="shared" si="13"/>
        <v>28000</v>
      </c>
      <c r="O43" s="253">
        <f t="shared" ref="O43" si="14">SUM(O42)</f>
        <v>28000</v>
      </c>
      <c r="P43" s="253">
        <f t="shared" ref="P43" si="15">SUM(P42)</f>
        <v>28000</v>
      </c>
      <c r="Q43" s="253">
        <f t="shared" ref="Q43" si="16">SUM(Q42)</f>
        <v>28000</v>
      </c>
      <c r="R43" s="253">
        <f t="shared" ref="R43:S43" si="17">SUM(R42)</f>
        <v>28000</v>
      </c>
      <c r="S43" s="253">
        <f t="shared" si="17"/>
        <v>28000</v>
      </c>
      <c r="T43" s="253">
        <f t="shared" ref="T43" si="18">SUM(T42)</f>
        <v>28000</v>
      </c>
      <c r="U43" s="253">
        <f t="shared" ref="U43" si="19">SUM(U42)</f>
        <v>28000</v>
      </c>
      <c r="V43" s="253">
        <f t="shared" ref="V43" si="20">SUM(V42)</f>
        <v>28000</v>
      </c>
      <c r="W43" s="253">
        <f t="shared" ref="W43:X43" si="21">SUM(W42)</f>
        <v>28000</v>
      </c>
      <c r="X43" s="253">
        <f t="shared" si="21"/>
        <v>28000</v>
      </c>
      <c r="Y43" s="253">
        <f t="shared" ref="Y43" si="22">SUM(Y42)</f>
        <v>28000</v>
      </c>
      <c r="Z43" s="253">
        <f t="shared" ref="Z43" si="23">SUM(Z42)</f>
        <v>28000</v>
      </c>
      <c r="AA43" s="253">
        <f t="shared" ref="AA43" si="24">SUM(AA42)</f>
        <v>28000</v>
      </c>
      <c r="AB43" s="253">
        <f t="shared" ref="AB43:AC43" si="25">SUM(AB42)</f>
        <v>28000</v>
      </c>
      <c r="AC43" s="253">
        <f t="shared" si="25"/>
        <v>28000</v>
      </c>
      <c r="AD43" s="253">
        <f t="shared" ref="AD43" si="26">SUM(AD42)</f>
        <v>0</v>
      </c>
      <c r="AE43" s="253">
        <f t="shared" ref="AE43" si="27">SUM(AE42)</f>
        <v>0</v>
      </c>
      <c r="AF43" s="253">
        <f t="shared" ref="AF43" si="28">SUM(AF42)</f>
        <v>0</v>
      </c>
      <c r="AG43" s="253">
        <f t="shared" ref="AG43:AH43" si="29">SUM(AG42)</f>
        <v>0</v>
      </c>
      <c r="AH43" s="253">
        <f t="shared" si="29"/>
        <v>0</v>
      </c>
      <c r="AI43" s="253">
        <f t="shared" ref="AI43" si="30">SUM(AI42)</f>
        <v>0</v>
      </c>
      <c r="AJ43" s="253">
        <f t="shared" ref="AJ43" si="31">SUM(AJ42)</f>
        <v>0</v>
      </c>
      <c r="AK43" s="253">
        <f t="shared" ref="AK43" si="32">SUM(AK42)</f>
        <v>0</v>
      </c>
      <c r="AL43" s="253">
        <f>SUM(AL42)</f>
        <v>0</v>
      </c>
      <c r="AN43" s="244">
        <f>SUM(D43:AL43)</f>
        <v>700000</v>
      </c>
    </row>
    <row r="45" spans="2:40" x14ac:dyDescent="0.3">
      <c r="B45" s="429" t="s">
        <v>4035</v>
      </c>
      <c r="C45" s="490">
        <v>0.05</v>
      </c>
      <c r="D45" s="488" t="s">
        <v>3701</v>
      </c>
      <c r="E45" s="488" t="s">
        <v>3702</v>
      </c>
      <c r="F45" s="488" t="s">
        <v>3703</v>
      </c>
      <c r="G45" s="488" t="s">
        <v>3704</v>
      </c>
      <c r="H45" s="488" t="s">
        <v>3705</v>
      </c>
      <c r="I45" s="488" t="s">
        <v>3706</v>
      </c>
      <c r="J45" s="488" t="s">
        <v>3707</v>
      </c>
      <c r="K45" s="488" t="s">
        <v>3708</v>
      </c>
      <c r="L45" s="488" t="s">
        <v>3709</v>
      </c>
      <c r="M45" s="488" t="s">
        <v>3710</v>
      </c>
      <c r="N45" s="488" t="s">
        <v>3711</v>
      </c>
      <c r="O45" s="488" t="s">
        <v>3712</v>
      </c>
      <c r="P45" s="488" t="s">
        <v>3713</v>
      </c>
      <c r="Q45" s="488" t="s">
        <v>3714</v>
      </c>
      <c r="R45" s="488" t="s">
        <v>3715</v>
      </c>
      <c r="S45" s="488" t="s">
        <v>3716</v>
      </c>
      <c r="T45" s="488" t="s">
        <v>3717</v>
      </c>
      <c r="U45" s="488" t="s">
        <v>3718</v>
      </c>
      <c r="V45" s="488" t="s">
        <v>3719</v>
      </c>
      <c r="W45" s="488" t="s">
        <v>3720</v>
      </c>
      <c r="X45" s="488" t="s">
        <v>3721</v>
      </c>
      <c r="Y45" s="488" t="s">
        <v>3722</v>
      </c>
      <c r="Z45" s="488" t="s">
        <v>3723</v>
      </c>
      <c r="AA45" s="488" t="s">
        <v>3724</v>
      </c>
      <c r="AB45" s="488" t="s">
        <v>3725</v>
      </c>
      <c r="AC45" s="488" t="s">
        <v>3726</v>
      </c>
      <c r="AD45" s="488" t="s">
        <v>3727</v>
      </c>
      <c r="AE45" s="488" t="s">
        <v>3728</v>
      </c>
      <c r="AF45" s="488" t="s">
        <v>3729</v>
      </c>
      <c r="AG45" s="488" t="s">
        <v>3730</v>
      </c>
      <c r="AH45" s="488" t="s">
        <v>3731</v>
      </c>
      <c r="AI45" s="488" t="s">
        <v>3732</v>
      </c>
      <c r="AJ45" s="488" t="s">
        <v>3733</v>
      </c>
      <c r="AK45" s="488" t="s">
        <v>3734</v>
      </c>
      <c r="AL45" s="488" t="s">
        <v>3735</v>
      </c>
    </row>
    <row r="46" spans="2:40" x14ac:dyDescent="0.3">
      <c r="B46" s="433" t="s">
        <v>3855</v>
      </c>
      <c r="C46" s="488"/>
      <c r="D46" s="488"/>
      <c r="E46" s="488"/>
      <c r="F46" s="488"/>
      <c r="G46" s="488"/>
      <c r="H46" s="488"/>
      <c r="I46" s="488"/>
      <c r="J46" s="488"/>
      <c r="K46" s="488"/>
      <c r="L46" s="488"/>
      <c r="M46" s="488"/>
      <c r="N46" s="488"/>
      <c r="O46" s="488"/>
      <c r="P46" s="488"/>
      <c r="Q46" s="488"/>
      <c r="R46" s="488"/>
      <c r="S46" s="488"/>
      <c r="T46" s="488"/>
      <c r="U46" s="488"/>
      <c r="V46" s="488"/>
      <c r="W46" s="488"/>
      <c r="X46" s="488"/>
      <c r="Y46" s="488"/>
      <c r="Z46" s="488"/>
      <c r="AA46" s="488"/>
      <c r="AB46" s="488"/>
      <c r="AC46" s="488"/>
      <c r="AD46" s="488"/>
      <c r="AE46" s="488"/>
      <c r="AF46" s="488"/>
      <c r="AG46" s="488"/>
      <c r="AH46" s="488"/>
      <c r="AI46" s="488"/>
      <c r="AJ46" s="488"/>
      <c r="AK46" s="488"/>
      <c r="AL46" s="488"/>
    </row>
    <row r="47" spans="2:40" x14ac:dyDescent="0.3">
      <c r="B47" s="254" t="s">
        <v>3703</v>
      </c>
      <c r="C47" s="244">
        <v>700000</v>
      </c>
      <c r="D47" s="244">
        <v>0</v>
      </c>
      <c r="E47" s="244">
        <v>0</v>
      </c>
      <c r="F47" s="244">
        <v>0</v>
      </c>
      <c r="G47" s="244">
        <f t="shared" ref="G47:Z47" si="33">$C45*$C47</f>
        <v>35000</v>
      </c>
      <c r="H47" s="244">
        <f t="shared" si="33"/>
        <v>35000</v>
      </c>
      <c r="I47" s="244">
        <f t="shared" si="33"/>
        <v>35000</v>
      </c>
      <c r="J47" s="244">
        <f t="shared" si="33"/>
        <v>35000</v>
      </c>
      <c r="K47" s="244">
        <f t="shared" si="33"/>
        <v>35000</v>
      </c>
      <c r="L47" s="244">
        <f t="shared" si="33"/>
        <v>35000</v>
      </c>
      <c r="M47" s="244">
        <f t="shared" si="33"/>
        <v>35000</v>
      </c>
      <c r="N47" s="244">
        <f t="shared" si="33"/>
        <v>35000</v>
      </c>
      <c r="O47" s="244">
        <f t="shared" si="33"/>
        <v>35000</v>
      </c>
      <c r="P47" s="244">
        <f t="shared" si="33"/>
        <v>35000</v>
      </c>
      <c r="Q47" s="244">
        <f t="shared" si="33"/>
        <v>35000</v>
      </c>
      <c r="R47" s="244">
        <f t="shared" si="33"/>
        <v>35000</v>
      </c>
      <c r="S47" s="244">
        <f t="shared" si="33"/>
        <v>35000</v>
      </c>
      <c r="T47" s="244">
        <f t="shared" si="33"/>
        <v>35000</v>
      </c>
      <c r="U47" s="244">
        <f t="shared" si="33"/>
        <v>35000</v>
      </c>
      <c r="V47" s="244">
        <f t="shared" si="33"/>
        <v>35000</v>
      </c>
      <c r="W47" s="244">
        <f t="shared" si="33"/>
        <v>35000</v>
      </c>
      <c r="X47" s="244">
        <f t="shared" si="33"/>
        <v>35000</v>
      </c>
      <c r="Y47" s="244">
        <f t="shared" si="33"/>
        <v>35000</v>
      </c>
      <c r="Z47" s="244">
        <f t="shared" si="33"/>
        <v>35000</v>
      </c>
      <c r="AA47" s="244">
        <v>0</v>
      </c>
      <c r="AB47" s="244">
        <v>0</v>
      </c>
      <c r="AC47" s="244">
        <v>0</v>
      </c>
      <c r="AD47" s="244">
        <v>0</v>
      </c>
      <c r="AE47" s="244">
        <v>0</v>
      </c>
      <c r="AF47" s="244">
        <v>0</v>
      </c>
      <c r="AG47" s="244">
        <v>0</v>
      </c>
      <c r="AH47" s="244">
        <v>0</v>
      </c>
      <c r="AI47" s="244">
        <v>0</v>
      </c>
      <c r="AJ47" s="244">
        <v>0</v>
      </c>
      <c r="AK47" s="244">
        <v>0</v>
      </c>
      <c r="AL47" s="244">
        <v>0</v>
      </c>
    </row>
    <row r="48" spans="2:40" x14ac:dyDescent="0.3">
      <c r="B48" s="489" t="s">
        <v>4075</v>
      </c>
      <c r="C48" s="489"/>
      <c r="D48" s="253">
        <f>SUM(D47:D47)</f>
        <v>0</v>
      </c>
      <c r="E48" s="253">
        <f t="shared" ref="E48:AL48" si="34">SUM(E47:E47)</f>
        <v>0</v>
      </c>
      <c r="F48" s="253">
        <f t="shared" si="34"/>
        <v>0</v>
      </c>
      <c r="G48" s="253">
        <f t="shared" si="34"/>
        <v>35000</v>
      </c>
      <c r="H48" s="253">
        <f t="shared" si="34"/>
        <v>35000</v>
      </c>
      <c r="I48" s="253">
        <f t="shared" si="34"/>
        <v>35000</v>
      </c>
      <c r="J48" s="253">
        <f t="shared" si="34"/>
        <v>35000</v>
      </c>
      <c r="K48" s="253">
        <f t="shared" si="34"/>
        <v>35000</v>
      </c>
      <c r="L48" s="253">
        <f t="shared" si="34"/>
        <v>35000</v>
      </c>
      <c r="M48" s="253">
        <f>SUM(M47:M47)</f>
        <v>35000</v>
      </c>
      <c r="N48" s="253">
        <f t="shared" si="34"/>
        <v>35000</v>
      </c>
      <c r="O48" s="253">
        <f t="shared" si="34"/>
        <v>35000</v>
      </c>
      <c r="P48" s="253">
        <f t="shared" si="34"/>
        <v>35000</v>
      </c>
      <c r="Q48" s="253">
        <f t="shared" si="34"/>
        <v>35000</v>
      </c>
      <c r="R48" s="253">
        <f t="shared" si="34"/>
        <v>35000</v>
      </c>
      <c r="S48" s="253">
        <f t="shared" si="34"/>
        <v>35000</v>
      </c>
      <c r="T48" s="253">
        <f t="shared" si="34"/>
        <v>35000</v>
      </c>
      <c r="U48" s="253">
        <f t="shared" si="34"/>
        <v>35000</v>
      </c>
      <c r="V48" s="253">
        <f t="shared" si="34"/>
        <v>35000</v>
      </c>
      <c r="W48" s="253">
        <f t="shared" si="34"/>
        <v>35000</v>
      </c>
      <c r="X48" s="253">
        <f t="shared" si="34"/>
        <v>35000</v>
      </c>
      <c r="Y48" s="253">
        <f t="shared" si="34"/>
        <v>35000</v>
      </c>
      <c r="Z48" s="253">
        <f t="shared" si="34"/>
        <v>35000</v>
      </c>
      <c r="AA48" s="253">
        <f t="shared" si="34"/>
        <v>0</v>
      </c>
      <c r="AB48" s="253">
        <f t="shared" si="34"/>
        <v>0</v>
      </c>
      <c r="AC48" s="253">
        <f t="shared" si="34"/>
        <v>0</v>
      </c>
      <c r="AD48" s="253">
        <f t="shared" si="34"/>
        <v>0</v>
      </c>
      <c r="AE48" s="253">
        <f t="shared" si="34"/>
        <v>0</v>
      </c>
      <c r="AF48" s="253">
        <f t="shared" si="34"/>
        <v>0</v>
      </c>
      <c r="AG48" s="253">
        <f t="shared" si="34"/>
        <v>0</v>
      </c>
      <c r="AH48" s="253">
        <f t="shared" si="34"/>
        <v>0</v>
      </c>
      <c r="AI48" s="253">
        <f t="shared" si="34"/>
        <v>0</v>
      </c>
      <c r="AJ48" s="253">
        <f t="shared" si="34"/>
        <v>0</v>
      </c>
      <c r="AK48" s="253">
        <f t="shared" si="34"/>
        <v>0</v>
      </c>
      <c r="AL48" s="253">
        <f t="shared" si="34"/>
        <v>0</v>
      </c>
      <c r="AN48" s="244">
        <f>SUM(D48:AL48)</f>
        <v>700000</v>
      </c>
    </row>
    <row r="50" spans="2:40" x14ac:dyDescent="0.3">
      <c r="B50" s="429" t="s">
        <v>4035</v>
      </c>
      <c r="C50" s="490">
        <v>0.04</v>
      </c>
      <c r="D50" s="488" t="s">
        <v>3701</v>
      </c>
      <c r="E50" s="488" t="s">
        <v>3702</v>
      </c>
      <c r="F50" s="488" t="s">
        <v>3703</v>
      </c>
      <c r="G50" s="488" t="s">
        <v>3704</v>
      </c>
      <c r="H50" s="488" t="s">
        <v>3705</v>
      </c>
      <c r="I50" s="488" t="s">
        <v>3706</v>
      </c>
      <c r="J50" s="488" t="s">
        <v>3707</v>
      </c>
      <c r="K50" s="488" t="s">
        <v>3708</v>
      </c>
      <c r="L50" s="488" t="s">
        <v>3709</v>
      </c>
      <c r="M50" s="488" t="s">
        <v>3710</v>
      </c>
      <c r="N50" s="488" t="s">
        <v>3711</v>
      </c>
      <c r="O50" s="488" t="s">
        <v>3712</v>
      </c>
      <c r="P50" s="488" t="s">
        <v>3713</v>
      </c>
      <c r="Q50" s="488" t="s">
        <v>3714</v>
      </c>
      <c r="R50" s="488" t="s">
        <v>3715</v>
      </c>
      <c r="S50" s="488" t="s">
        <v>3716</v>
      </c>
      <c r="T50" s="488" t="s">
        <v>3717</v>
      </c>
      <c r="U50" s="488" t="s">
        <v>3718</v>
      </c>
      <c r="V50" s="488" t="s">
        <v>3719</v>
      </c>
      <c r="W50" s="488" t="s">
        <v>3720</v>
      </c>
      <c r="X50" s="488" t="s">
        <v>3721</v>
      </c>
      <c r="Y50" s="488" t="s">
        <v>3722</v>
      </c>
      <c r="Z50" s="488" t="s">
        <v>3723</v>
      </c>
      <c r="AA50" s="488" t="s">
        <v>3724</v>
      </c>
      <c r="AB50" s="488" t="s">
        <v>3725</v>
      </c>
      <c r="AC50" s="488" t="s">
        <v>3726</v>
      </c>
      <c r="AD50" s="488" t="s">
        <v>3727</v>
      </c>
      <c r="AE50" s="488" t="s">
        <v>3728</v>
      </c>
      <c r="AF50" s="488" t="s">
        <v>3729</v>
      </c>
      <c r="AG50" s="488" t="s">
        <v>3730</v>
      </c>
      <c r="AH50" s="488" t="s">
        <v>3731</v>
      </c>
      <c r="AI50" s="488" t="s">
        <v>3732</v>
      </c>
      <c r="AJ50" s="488" t="s">
        <v>3733</v>
      </c>
      <c r="AK50" s="488" t="s">
        <v>3734</v>
      </c>
      <c r="AL50" s="488" t="s">
        <v>3735</v>
      </c>
    </row>
    <row r="51" spans="2:40" x14ac:dyDescent="0.3">
      <c r="B51" s="433" t="s">
        <v>3853</v>
      </c>
      <c r="C51" s="488"/>
      <c r="D51" s="488"/>
      <c r="E51" s="488"/>
      <c r="F51" s="488"/>
      <c r="G51" s="488"/>
      <c r="H51" s="488"/>
      <c r="I51" s="488"/>
      <c r="J51" s="488"/>
      <c r="K51" s="488"/>
      <c r="L51" s="488"/>
      <c r="M51" s="488"/>
      <c r="N51" s="488"/>
      <c r="O51" s="488"/>
      <c r="P51" s="488"/>
      <c r="Q51" s="488"/>
      <c r="R51" s="488"/>
      <c r="S51" s="488"/>
      <c r="T51" s="488"/>
      <c r="U51" s="488"/>
      <c r="V51" s="488"/>
      <c r="W51" s="488"/>
      <c r="X51" s="488"/>
      <c r="Y51" s="488"/>
      <c r="Z51" s="488"/>
      <c r="AA51" s="488"/>
      <c r="AB51" s="488"/>
      <c r="AC51" s="488"/>
      <c r="AD51" s="488"/>
      <c r="AE51" s="488"/>
      <c r="AF51" s="488"/>
      <c r="AG51" s="488"/>
      <c r="AH51" s="488"/>
      <c r="AI51" s="488"/>
      <c r="AJ51" s="488"/>
      <c r="AK51" s="488"/>
      <c r="AL51" s="488"/>
    </row>
    <row r="52" spans="2:40" x14ac:dyDescent="0.3">
      <c r="B52" s="254" t="s">
        <v>3701</v>
      </c>
      <c r="C52" s="255">
        <v>600000</v>
      </c>
      <c r="D52" s="244">
        <v>0</v>
      </c>
      <c r="E52" s="244">
        <f>$C50*$C52</f>
        <v>24000</v>
      </c>
      <c r="F52" s="244">
        <f t="shared" ref="F52:AC52" si="35">$C50*$C52</f>
        <v>24000</v>
      </c>
      <c r="G52" s="244">
        <f t="shared" si="35"/>
        <v>24000</v>
      </c>
      <c r="H52" s="244">
        <f t="shared" si="35"/>
        <v>24000</v>
      </c>
      <c r="I52" s="244">
        <f t="shared" si="35"/>
        <v>24000</v>
      </c>
      <c r="J52" s="244">
        <f t="shared" si="35"/>
        <v>24000</v>
      </c>
      <c r="K52" s="244">
        <f t="shared" si="35"/>
        <v>24000</v>
      </c>
      <c r="L52" s="244">
        <f t="shared" si="35"/>
        <v>24000</v>
      </c>
      <c r="M52" s="244">
        <f t="shared" si="35"/>
        <v>24000</v>
      </c>
      <c r="N52" s="244">
        <f t="shared" si="35"/>
        <v>24000</v>
      </c>
      <c r="O52" s="244">
        <f t="shared" si="35"/>
        <v>24000</v>
      </c>
      <c r="P52" s="244">
        <f t="shared" si="35"/>
        <v>24000</v>
      </c>
      <c r="Q52" s="244">
        <f t="shared" si="35"/>
        <v>24000</v>
      </c>
      <c r="R52" s="244">
        <f t="shared" si="35"/>
        <v>24000</v>
      </c>
      <c r="S52" s="244">
        <f t="shared" si="35"/>
        <v>24000</v>
      </c>
      <c r="T52" s="244">
        <f t="shared" si="35"/>
        <v>24000</v>
      </c>
      <c r="U52" s="244">
        <f t="shared" si="35"/>
        <v>24000</v>
      </c>
      <c r="V52" s="244">
        <f t="shared" si="35"/>
        <v>24000</v>
      </c>
      <c r="W52" s="244">
        <f t="shared" si="35"/>
        <v>24000</v>
      </c>
      <c r="X52" s="244">
        <f t="shared" si="35"/>
        <v>24000</v>
      </c>
      <c r="Y52" s="244">
        <f t="shared" si="35"/>
        <v>24000</v>
      </c>
      <c r="Z52" s="244">
        <f t="shared" si="35"/>
        <v>24000</v>
      </c>
      <c r="AA52" s="244">
        <f t="shared" si="35"/>
        <v>24000</v>
      </c>
      <c r="AB52" s="244">
        <f t="shared" si="35"/>
        <v>24000</v>
      </c>
      <c r="AC52" s="244">
        <f t="shared" si="35"/>
        <v>24000</v>
      </c>
      <c r="AD52" s="244">
        <v>0</v>
      </c>
      <c r="AE52" s="244">
        <v>0</v>
      </c>
      <c r="AF52" s="244">
        <v>0</v>
      </c>
      <c r="AG52" s="244">
        <v>0</v>
      </c>
      <c r="AH52" s="244">
        <v>0</v>
      </c>
      <c r="AI52" s="244">
        <v>0</v>
      </c>
      <c r="AJ52" s="244">
        <v>0</v>
      </c>
      <c r="AK52" s="244">
        <v>0</v>
      </c>
      <c r="AL52" s="244">
        <v>0</v>
      </c>
    </row>
    <row r="53" spans="2:40" x14ac:dyDescent="0.3">
      <c r="B53" s="254" t="s">
        <v>3702</v>
      </c>
      <c r="C53" s="255">
        <v>1475000</v>
      </c>
      <c r="D53" s="244">
        <v>0</v>
      </c>
      <c r="E53" s="244">
        <v>0</v>
      </c>
      <c r="F53" s="244">
        <f>$C50*$C53</f>
        <v>59000</v>
      </c>
      <c r="G53" s="244">
        <f t="shared" ref="G53:AD53" si="36">$C50*$C53</f>
        <v>59000</v>
      </c>
      <c r="H53" s="244">
        <f t="shared" si="36"/>
        <v>59000</v>
      </c>
      <c r="I53" s="244">
        <f t="shared" si="36"/>
        <v>59000</v>
      </c>
      <c r="J53" s="244">
        <f t="shared" si="36"/>
        <v>59000</v>
      </c>
      <c r="K53" s="244">
        <f t="shared" si="36"/>
        <v>59000</v>
      </c>
      <c r="L53" s="244">
        <f t="shared" si="36"/>
        <v>59000</v>
      </c>
      <c r="M53" s="244">
        <f t="shared" si="36"/>
        <v>59000</v>
      </c>
      <c r="N53" s="244">
        <f t="shared" si="36"/>
        <v>59000</v>
      </c>
      <c r="O53" s="244">
        <f t="shared" si="36"/>
        <v>59000</v>
      </c>
      <c r="P53" s="244">
        <f t="shared" si="36"/>
        <v>59000</v>
      </c>
      <c r="Q53" s="244">
        <f t="shared" si="36"/>
        <v>59000</v>
      </c>
      <c r="R53" s="244">
        <f t="shared" si="36"/>
        <v>59000</v>
      </c>
      <c r="S53" s="244">
        <f t="shared" si="36"/>
        <v>59000</v>
      </c>
      <c r="T53" s="244">
        <f t="shared" si="36"/>
        <v>59000</v>
      </c>
      <c r="U53" s="244">
        <f t="shared" si="36"/>
        <v>59000</v>
      </c>
      <c r="V53" s="244">
        <f t="shared" si="36"/>
        <v>59000</v>
      </c>
      <c r="W53" s="244">
        <f t="shared" si="36"/>
        <v>59000</v>
      </c>
      <c r="X53" s="244">
        <f t="shared" si="36"/>
        <v>59000</v>
      </c>
      <c r="Y53" s="244">
        <f t="shared" si="36"/>
        <v>59000</v>
      </c>
      <c r="Z53" s="244">
        <f t="shared" si="36"/>
        <v>59000</v>
      </c>
      <c r="AA53" s="244">
        <f t="shared" si="36"/>
        <v>59000</v>
      </c>
      <c r="AB53" s="244">
        <f t="shared" si="36"/>
        <v>59000</v>
      </c>
      <c r="AC53" s="244">
        <f t="shared" si="36"/>
        <v>59000</v>
      </c>
      <c r="AD53" s="244">
        <f t="shared" si="36"/>
        <v>59000</v>
      </c>
      <c r="AE53" s="244">
        <v>0</v>
      </c>
      <c r="AF53" s="244">
        <v>0</v>
      </c>
      <c r="AG53" s="244">
        <v>0</v>
      </c>
      <c r="AH53" s="244">
        <v>0</v>
      </c>
      <c r="AI53" s="244">
        <v>0</v>
      </c>
      <c r="AJ53" s="244">
        <v>0</v>
      </c>
      <c r="AK53" s="244">
        <v>0</v>
      </c>
      <c r="AL53" s="244">
        <v>0</v>
      </c>
    </row>
    <row r="54" spans="2:40" x14ac:dyDescent="0.3">
      <c r="B54" s="254" t="s">
        <v>3703</v>
      </c>
      <c r="C54" s="255">
        <v>1800000</v>
      </c>
      <c r="D54" s="244">
        <v>0</v>
      </c>
      <c r="E54" s="244">
        <v>0</v>
      </c>
      <c r="F54" s="244">
        <v>0</v>
      </c>
      <c r="G54" s="244">
        <f>$C50*$C54</f>
        <v>72000</v>
      </c>
      <c r="H54" s="244">
        <f t="shared" ref="H54:AE54" si="37">$C50*$C54</f>
        <v>72000</v>
      </c>
      <c r="I54" s="244">
        <f t="shared" si="37"/>
        <v>72000</v>
      </c>
      <c r="J54" s="244">
        <f t="shared" si="37"/>
        <v>72000</v>
      </c>
      <c r="K54" s="244">
        <f t="shared" si="37"/>
        <v>72000</v>
      </c>
      <c r="L54" s="244">
        <f t="shared" si="37"/>
        <v>72000</v>
      </c>
      <c r="M54" s="244">
        <f t="shared" si="37"/>
        <v>72000</v>
      </c>
      <c r="N54" s="244">
        <f t="shared" si="37"/>
        <v>72000</v>
      </c>
      <c r="O54" s="244">
        <f t="shared" si="37"/>
        <v>72000</v>
      </c>
      <c r="P54" s="244">
        <f t="shared" si="37"/>
        <v>72000</v>
      </c>
      <c r="Q54" s="244">
        <f t="shared" si="37"/>
        <v>72000</v>
      </c>
      <c r="R54" s="244">
        <f t="shared" si="37"/>
        <v>72000</v>
      </c>
      <c r="S54" s="244">
        <f t="shared" si="37"/>
        <v>72000</v>
      </c>
      <c r="T54" s="244">
        <f t="shared" si="37"/>
        <v>72000</v>
      </c>
      <c r="U54" s="244">
        <f t="shared" si="37"/>
        <v>72000</v>
      </c>
      <c r="V54" s="244">
        <f t="shared" si="37"/>
        <v>72000</v>
      </c>
      <c r="W54" s="244">
        <f t="shared" si="37"/>
        <v>72000</v>
      </c>
      <c r="X54" s="244">
        <f t="shared" si="37"/>
        <v>72000</v>
      </c>
      <c r="Y54" s="244">
        <f t="shared" si="37"/>
        <v>72000</v>
      </c>
      <c r="Z54" s="244">
        <f t="shared" si="37"/>
        <v>72000</v>
      </c>
      <c r="AA54" s="244">
        <f t="shared" si="37"/>
        <v>72000</v>
      </c>
      <c r="AB54" s="244">
        <f t="shared" si="37"/>
        <v>72000</v>
      </c>
      <c r="AC54" s="244">
        <f t="shared" si="37"/>
        <v>72000</v>
      </c>
      <c r="AD54" s="244">
        <f t="shared" si="37"/>
        <v>72000</v>
      </c>
      <c r="AE54" s="244">
        <f t="shared" si="37"/>
        <v>72000</v>
      </c>
      <c r="AF54" s="244">
        <v>0</v>
      </c>
      <c r="AG54" s="244">
        <v>0</v>
      </c>
      <c r="AH54" s="244">
        <v>0</v>
      </c>
      <c r="AI54" s="244">
        <v>0</v>
      </c>
      <c r="AJ54" s="244">
        <v>0</v>
      </c>
      <c r="AK54" s="244">
        <v>0</v>
      </c>
      <c r="AL54" s="244">
        <v>0</v>
      </c>
    </row>
    <row r="55" spans="2:40" x14ac:dyDescent="0.3">
      <c r="B55" s="254" t="s">
        <v>3704</v>
      </c>
      <c r="C55" s="244">
        <v>1312500</v>
      </c>
      <c r="D55" s="244">
        <v>0</v>
      </c>
      <c r="E55" s="244">
        <v>0</v>
      </c>
      <c r="F55" s="244">
        <v>0</v>
      </c>
      <c r="G55" s="244">
        <v>0</v>
      </c>
      <c r="H55" s="244">
        <f>$C50*$C55</f>
        <v>52500</v>
      </c>
      <c r="I55" s="244">
        <f t="shared" ref="I55:AF55" si="38">$C50*$C55</f>
        <v>52500</v>
      </c>
      <c r="J55" s="244">
        <f t="shared" si="38"/>
        <v>52500</v>
      </c>
      <c r="K55" s="244">
        <f t="shared" si="38"/>
        <v>52500</v>
      </c>
      <c r="L55" s="244">
        <f t="shared" si="38"/>
        <v>52500</v>
      </c>
      <c r="M55" s="244">
        <f t="shared" si="38"/>
        <v>52500</v>
      </c>
      <c r="N55" s="244">
        <f t="shared" si="38"/>
        <v>52500</v>
      </c>
      <c r="O55" s="244">
        <f t="shared" si="38"/>
        <v>52500</v>
      </c>
      <c r="P55" s="244">
        <f t="shared" si="38"/>
        <v>52500</v>
      </c>
      <c r="Q55" s="244">
        <f t="shared" si="38"/>
        <v>52500</v>
      </c>
      <c r="R55" s="244">
        <f t="shared" si="38"/>
        <v>52500</v>
      </c>
      <c r="S55" s="244">
        <f t="shared" si="38"/>
        <v>52500</v>
      </c>
      <c r="T55" s="244">
        <f t="shared" si="38"/>
        <v>52500</v>
      </c>
      <c r="U55" s="244">
        <f t="shared" si="38"/>
        <v>52500</v>
      </c>
      <c r="V55" s="244">
        <f t="shared" si="38"/>
        <v>52500</v>
      </c>
      <c r="W55" s="244">
        <f t="shared" si="38"/>
        <v>52500</v>
      </c>
      <c r="X55" s="244">
        <f t="shared" si="38"/>
        <v>52500</v>
      </c>
      <c r="Y55" s="244">
        <f t="shared" si="38"/>
        <v>52500</v>
      </c>
      <c r="Z55" s="244">
        <f t="shared" si="38"/>
        <v>52500</v>
      </c>
      <c r="AA55" s="244">
        <f t="shared" si="38"/>
        <v>52500</v>
      </c>
      <c r="AB55" s="244">
        <f t="shared" si="38"/>
        <v>52500</v>
      </c>
      <c r="AC55" s="244">
        <f t="shared" si="38"/>
        <v>52500</v>
      </c>
      <c r="AD55" s="244">
        <f t="shared" si="38"/>
        <v>52500</v>
      </c>
      <c r="AE55" s="244">
        <f t="shared" si="38"/>
        <v>52500</v>
      </c>
      <c r="AF55" s="244">
        <f t="shared" si="38"/>
        <v>52500</v>
      </c>
      <c r="AG55" s="244">
        <v>0</v>
      </c>
      <c r="AH55" s="244">
        <v>0</v>
      </c>
      <c r="AI55" s="244">
        <v>0</v>
      </c>
      <c r="AJ55" s="244">
        <v>0</v>
      </c>
      <c r="AK55" s="244">
        <v>0</v>
      </c>
      <c r="AL55" s="244">
        <v>0</v>
      </c>
    </row>
    <row r="56" spans="2:40" x14ac:dyDescent="0.3">
      <c r="B56" s="254" t="s">
        <v>3705</v>
      </c>
      <c r="C56" s="244">
        <v>1312500</v>
      </c>
      <c r="D56" s="244">
        <v>0</v>
      </c>
      <c r="E56" s="244">
        <v>0</v>
      </c>
      <c r="F56" s="244">
        <v>0</v>
      </c>
      <c r="G56" s="244">
        <v>0</v>
      </c>
      <c r="H56" s="244">
        <v>0</v>
      </c>
      <c r="I56" s="244">
        <f>$C50*$C56</f>
        <v>52500</v>
      </c>
      <c r="J56" s="244">
        <f t="shared" ref="J56:AG56" si="39">$C50*$C56</f>
        <v>52500</v>
      </c>
      <c r="K56" s="244">
        <f t="shared" si="39"/>
        <v>52500</v>
      </c>
      <c r="L56" s="244">
        <f t="shared" si="39"/>
        <v>52500</v>
      </c>
      <c r="M56" s="244">
        <f t="shared" si="39"/>
        <v>52500</v>
      </c>
      <c r="N56" s="244">
        <f t="shared" si="39"/>
        <v>52500</v>
      </c>
      <c r="O56" s="244">
        <f t="shared" si="39"/>
        <v>52500</v>
      </c>
      <c r="P56" s="244">
        <f t="shared" si="39"/>
        <v>52500</v>
      </c>
      <c r="Q56" s="244">
        <f t="shared" si="39"/>
        <v>52500</v>
      </c>
      <c r="R56" s="244">
        <f t="shared" si="39"/>
        <v>52500</v>
      </c>
      <c r="S56" s="244">
        <f t="shared" si="39"/>
        <v>52500</v>
      </c>
      <c r="T56" s="244">
        <f t="shared" si="39"/>
        <v>52500</v>
      </c>
      <c r="U56" s="244">
        <f t="shared" si="39"/>
        <v>52500</v>
      </c>
      <c r="V56" s="244">
        <f t="shared" si="39"/>
        <v>52500</v>
      </c>
      <c r="W56" s="244">
        <f t="shared" si="39"/>
        <v>52500</v>
      </c>
      <c r="X56" s="244">
        <f t="shared" si="39"/>
        <v>52500</v>
      </c>
      <c r="Y56" s="244">
        <f t="shared" si="39"/>
        <v>52500</v>
      </c>
      <c r="Z56" s="244">
        <f t="shared" si="39"/>
        <v>52500</v>
      </c>
      <c r="AA56" s="244">
        <f t="shared" si="39"/>
        <v>52500</v>
      </c>
      <c r="AB56" s="244">
        <f t="shared" si="39"/>
        <v>52500</v>
      </c>
      <c r="AC56" s="244">
        <f t="shared" si="39"/>
        <v>52500</v>
      </c>
      <c r="AD56" s="244">
        <f t="shared" si="39"/>
        <v>52500</v>
      </c>
      <c r="AE56" s="244">
        <f t="shared" si="39"/>
        <v>52500</v>
      </c>
      <c r="AF56" s="244">
        <f t="shared" si="39"/>
        <v>52500</v>
      </c>
      <c r="AG56" s="244">
        <f t="shared" si="39"/>
        <v>52500</v>
      </c>
      <c r="AH56" s="244">
        <v>0</v>
      </c>
      <c r="AI56" s="244">
        <v>0</v>
      </c>
      <c r="AJ56" s="244">
        <v>0</v>
      </c>
      <c r="AK56" s="244">
        <v>0</v>
      </c>
      <c r="AL56" s="244">
        <v>0</v>
      </c>
    </row>
    <row r="57" spans="2:40" x14ac:dyDescent="0.3">
      <c r="B57" s="489" t="s">
        <v>4075</v>
      </c>
      <c r="C57" s="489"/>
      <c r="D57" s="253">
        <f>SUM(D52:D56)</f>
        <v>0</v>
      </c>
      <c r="E57" s="253">
        <f>SUM(E52:E56)</f>
        <v>24000</v>
      </c>
      <c r="F57" s="253">
        <f t="shared" ref="F57:AK57" si="40">SUM(F52:F56)</f>
        <v>83000</v>
      </c>
      <c r="G57" s="253">
        <f t="shared" si="40"/>
        <v>155000</v>
      </c>
      <c r="H57" s="253">
        <f t="shared" si="40"/>
        <v>207500</v>
      </c>
      <c r="I57" s="253">
        <f t="shared" si="40"/>
        <v>260000</v>
      </c>
      <c r="J57" s="253">
        <f t="shared" si="40"/>
        <v>260000</v>
      </c>
      <c r="K57" s="253">
        <f t="shared" si="40"/>
        <v>260000</v>
      </c>
      <c r="L57" s="253">
        <f t="shared" si="40"/>
        <v>260000</v>
      </c>
      <c r="M57" s="253">
        <f t="shared" si="40"/>
        <v>260000</v>
      </c>
      <c r="N57" s="253">
        <f t="shared" si="40"/>
        <v>260000</v>
      </c>
      <c r="O57" s="253">
        <f t="shared" si="40"/>
        <v>260000</v>
      </c>
      <c r="P57" s="253">
        <f t="shared" si="40"/>
        <v>260000</v>
      </c>
      <c r="Q57" s="253">
        <f t="shared" si="40"/>
        <v>260000</v>
      </c>
      <c r="R57" s="253">
        <f t="shared" si="40"/>
        <v>260000</v>
      </c>
      <c r="S57" s="253">
        <f t="shared" si="40"/>
        <v>260000</v>
      </c>
      <c r="T57" s="253">
        <f t="shared" si="40"/>
        <v>260000</v>
      </c>
      <c r="U57" s="253">
        <f t="shared" si="40"/>
        <v>260000</v>
      </c>
      <c r="V57" s="253">
        <f t="shared" si="40"/>
        <v>260000</v>
      </c>
      <c r="W57" s="253">
        <f t="shared" si="40"/>
        <v>260000</v>
      </c>
      <c r="X57" s="253">
        <f t="shared" si="40"/>
        <v>260000</v>
      </c>
      <c r="Y57" s="253">
        <f t="shared" si="40"/>
        <v>260000</v>
      </c>
      <c r="Z57" s="253">
        <f t="shared" si="40"/>
        <v>260000</v>
      </c>
      <c r="AA57" s="253">
        <f t="shared" si="40"/>
        <v>260000</v>
      </c>
      <c r="AB57" s="253">
        <f t="shared" si="40"/>
        <v>260000</v>
      </c>
      <c r="AC57" s="253">
        <f t="shared" si="40"/>
        <v>260000</v>
      </c>
      <c r="AD57" s="253">
        <f t="shared" si="40"/>
        <v>236000</v>
      </c>
      <c r="AE57" s="253">
        <f t="shared" si="40"/>
        <v>177000</v>
      </c>
      <c r="AF57" s="253">
        <f t="shared" si="40"/>
        <v>105000</v>
      </c>
      <c r="AG57" s="253">
        <f t="shared" si="40"/>
        <v>52500</v>
      </c>
      <c r="AH57" s="253">
        <f t="shared" si="40"/>
        <v>0</v>
      </c>
      <c r="AI57" s="253">
        <f t="shared" si="40"/>
        <v>0</v>
      </c>
      <c r="AJ57" s="253">
        <f t="shared" si="40"/>
        <v>0</v>
      </c>
      <c r="AK57" s="253">
        <f t="shared" si="40"/>
        <v>0</v>
      </c>
      <c r="AL57" s="253">
        <f>SUM(AL52:AL56)</f>
        <v>0</v>
      </c>
      <c r="AN57" s="244">
        <f>SUM(D57:AL57)</f>
        <v>6500000</v>
      </c>
    </row>
    <row r="59" spans="2:40" x14ac:dyDescent="0.3">
      <c r="B59" s="429" t="s">
        <v>4035</v>
      </c>
      <c r="C59" s="490">
        <v>0.1</v>
      </c>
      <c r="D59" s="488" t="s">
        <v>3701</v>
      </c>
      <c r="E59" s="488" t="s">
        <v>3702</v>
      </c>
      <c r="F59" s="488" t="s">
        <v>3703</v>
      </c>
      <c r="G59" s="488" t="s">
        <v>3704</v>
      </c>
      <c r="H59" s="488" t="s">
        <v>3705</v>
      </c>
      <c r="I59" s="488" t="s">
        <v>3706</v>
      </c>
      <c r="J59" s="488" t="s">
        <v>3707</v>
      </c>
      <c r="K59" s="488" t="s">
        <v>3708</v>
      </c>
      <c r="L59" s="488" t="s">
        <v>3709</v>
      </c>
      <c r="M59" s="488" t="s">
        <v>3710</v>
      </c>
      <c r="N59" s="488" t="s">
        <v>3711</v>
      </c>
      <c r="O59" s="488" t="s">
        <v>3712</v>
      </c>
      <c r="P59" s="488" t="s">
        <v>3713</v>
      </c>
      <c r="Q59" s="488" t="s">
        <v>3714</v>
      </c>
      <c r="R59" s="488" t="s">
        <v>3715</v>
      </c>
      <c r="S59" s="488" t="s">
        <v>3716</v>
      </c>
      <c r="T59" s="488" t="s">
        <v>3717</v>
      </c>
      <c r="U59" s="488" t="s">
        <v>3718</v>
      </c>
      <c r="V59" s="488" t="s">
        <v>3719</v>
      </c>
      <c r="W59" s="488" t="s">
        <v>3720</v>
      </c>
      <c r="X59" s="488" t="s">
        <v>3721</v>
      </c>
      <c r="Y59" s="488" t="s">
        <v>3722</v>
      </c>
      <c r="Z59" s="488" t="s">
        <v>3723</v>
      </c>
      <c r="AA59" s="488" t="s">
        <v>3724</v>
      </c>
      <c r="AB59" s="488" t="s">
        <v>3725</v>
      </c>
      <c r="AC59" s="488" t="s">
        <v>3726</v>
      </c>
      <c r="AD59" s="488" t="s">
        <v>3727</v>
      </c>
      <c r="AE59" s="488" t="s">
        <v>3728</v>
      </c>
      <c r="AF59" s="488" t="s">
        <v>3729</v>
      </c>
      <c r="AG59" s="488" t="s">
        <v>3730</v>
      </c>
      <c r="AH59" s="488" t="s">
        <v>3731</v>
      </c>
      <c r="AI59" s="488" t="s">
        <v>3732</v>
      </c>
      <c r="AJ59" s="488" t="s">
        <v>3733</v>
      </c>
      <c r="AK59" s="488" t="s">
        <v>3734</v>
      </c>
      <c r="AL59" s="488" t="s">
        <v>3735</v>
      </c>
    </row>
    <row r="60" spans="2:40" x14ac:dyDescent="0.3">
      <c r="B60" s="433" t="s">
        <v>3852</v>
      </c>
      <c r="C60" s="488"/>
      <c r="D60" s="488"/>
      <c r="E60" s="488"/>
      <c r="F60" s="488"/>
      <c r="G60" s="488"/>
      <c r="H60" s="488"/>
      <c r="I60" s="488"/>
      <c r="J60" s="488"/>
      <c r="K60" s="488"/>
      <c r="L60" s="488"/>
      <c r="M60" s="488"/>
      <c r="N60" s="488"/>
      <c r="O60" s="488"/>
      <c r="P60" s="488"/>
      <c r="Q60" s="488"/>
      <c r="R60" s="488"/>
      <c r="S60" s="488"/>
      <c r="T60" s="488"/>
      <c r="U60" s="488"/>
      <c r="V60" s="488"/>
      <c r="W60" s="488"/>
      <c r="X60" s="488"/>
      <c r="Y60" s="488"/>
      <c r="Z60" s="488"/>
      <c r="AA60" s="488"/>
      <c r="AB60" s="488"/>
      <c r="AC60" s="488"/>
      <c r="AD60" s="488"/>
      <c r="AE60" s="488"/>
      <c r="AF60" s="488"/>
      <c r="AG60" s="488"/>
      <c r="AH60" s="488"/>
      <c r="AI60" s="488"/>
      <c r="AJ60" s="488"/>
      <c r="AK60" s="488"/>
      <c r="AL60" s="488"/>
    </row>
    <row r="61" spans="2:40" x14ac:dyDescent="0.3">
      <c r="B61" s="254" t="s">
        <v>3704</v>
      </c>
      <c r="C61" s="244">
        <v>900000</v>
      </c>
      <c r="D61" s="244">
        <v>0</v>
      </c>
      <c r="E61" s="244">
        <v>0</v>
      </c>
      <c r="F61" s="244">
        <v>0</v>
      </c>
      <c r="G61" s="244">
        <v>0</v>
      </c>
      <c r="H61" s="244">
        <f>$C59*$C61</f>
        <v>90000</v>
      </c>
      <c r="I61" s="244">
        <f t="shared" ref="I61:Q61" si="41">$C59*$C61</f>
        <v>90000</v>
      </c>
      <c r="J61" s="244">
        <f t="shared" si="41"/>
        <v>90000</v>
      </c>
      <c r="K61" s="244">
        <f t="shared" si="41"/>
        <v>90000</v>
      </c>
      <c r="L61" s="244">
        <f t="shared" si="41"/>
        <v>90000</v>
      </c>
      <c r="M61" s="244">
        <f t="shared" si="41"/>
        <v>90000</v>
      </c>
      <c r="N61" s="244">
        <f t="shared" si="41"/>
        <v>90000</v>
      </c>
      <c r="O61" s="244">
        <f t="shared" si="41"/>
        <v>90000</v>
      </c>
      <c r="P61" s="244">
        <f t="shared" si="41"/>
        <v>90000</v>
      </c>
      <c r="Q61" s="244">
        <f t="shared" si="41"/>
        <v>90000</v>
      </c>
      <c r="R61" s="244">
        <v>0</v>
      </c>
      <c r="S61" s="244">
        <v>0</v>
      </c>
      <c r="T61" s="244">
        <v>0</v>
      </c>
      <c r="U61" s="244">
        <v>0</v>
      </c>
      <c r="V61" s="244">
        <v>0</v>
      </c>
      <c r="W61" s="244">
        <v>0</v>
      </c>
      <c r="X61" s="244">
        <v>0</v>
      </c>
      <c r="Y61" s="244">
        <v>0</v>
      </c>
      <c r="Z61" s="244">
        <v>0</v>
      </c>
      <c r="AA61" s="244">
        <v>0</v>
      </c>
      <c r="AB61" s="244">
        <v>0</v>
      </c>
      <c r="AC61" s="244">
        <v>0</v>
      </c>
      <c r="AD61" s="244">
        <v>0</v>
      </c>
      <c r="AE61" s="244">
        <v>0</v>
      </c>
      <c r="AF61" s="244">
        <v>0</v>
      </c>
      <c r="AG61" s="244">
        <v>0</v>
      </c>
      <c r="AH61" s="244">
        <v>0</v>
      </c>
      <c r="AI61" s="244">
        <v>0</v>
      </c>
      <c r="AJ61" s="244">
        <v>0</v>
      </c>
      <c r="AK61" s="244">
        <v>0</v>
      </c>
      <c r="AL61" s="244">
        <v>0</v>
      </c>
    </row>
    <row r="62" spans="2:40" x14ac:dyDescent="0.3">
      <c r="B62" s="254" t="s">
        <v>3705</v>
      </c>
      <c r="C62" s="244">
        <v>900000</v>
      </c>
      <c r="D62" s="244">
        <v>0</v>
      </c>
      <c r="E62" s="244">
        <v>0</v>
      </c>
      <c r="F62" s="244">
        <v>0</v>
      </c>
      <c r="G62" s="244">
        <v>0</v>
      </c>
      <c r="H62" s="244">
        <v>0</v>
      </c>
      <c r="I62" s="244">
        <f>$C59*$C62</f>
        <v>90000</v>
      </c>
      <c r="J62" s="244">
        <f t="shared" ref="J62:R62" si="42">$C59*$C62</f>
        <v>90000</v>
      </c>
      <c r="K62" s="244">
        <f t="shared" si="42"/>
        <v>90000</v>
      </c>
      <c r="L62" s="244">
        <f t="shared" si="42"/>
        <v>90000</v>
      </c>
      <c r="M62" s="244">
        <f t="shared" si="42"/>
        <v>90000</v>
      </c>
      <c r="N62" s="244">
        <f t="shared" si="42"/>
        <v>90000</v>
      </c>
      <c r="O62" s="244">
        <f>$C59*$C62</f>
        <v>90000</v>
      </c>
      <c r="P62" s="244">
        <f t="shared" si="42"/>
        <v>90000</v>
      </c>
      <c r="Q62" s="244">
        <f t="shared" si="42"/>
        <v>90000</v>
      </c>
      <c r="R62" s="244">
        <f t="shared" si="42"/>
        <v>90000</v>
      </c>
      <c r="S62" s="244">
        <v>0</v>
      </c>
      <c r="T62" s="244">
        <v>0</v>
      </c>
      <c r="U62" s="244">
        <v>0</v>
      </c>
      <c r="V62" s="244">
        <v>0</v>
      </c>
      <c r="W62" s="244">
        <v>0</v>
      </c>
      <c r="X62" s="244">
        <v>0</v>
      </c>
      <c r="Y62" s="244">
        <v>0</v>
      </c>
      <c r="Z62" s="244">
        <v>0</v>
      </c>
      <c r="AA62" s="244">
        <v>0</v>
      </c>
      <c r="AB62" s="244">
        <v>0</v>
      </c>
      <c r="AC62" s="244">
        <v>0</v>
      </c>
      <c r="AD62" s="244">
        <v>0</v>
      </c>
      <c r="AE62" s="244">
        <v>0</v>
      </c>
      <c r="AF62" s="244">
        <v>0</v>
      </c>
      <c r="AG62" s="244">
        <v>0</v>
      </c>
      <c r="AH62" s="244">
        <v>0</v>
      </c>
      <c r="AI62" s="244">
        <v>0</v>
      </c>
      <c r="AJ62" s="244">
        <v>0</v>
      </c>
      <c r="AK62" s="244">
        <v>0</v>
      </c>
      <c r="AL62" s="244">
        <v>0</v>
      </c>
    </row>
    <row r="63" spans="2:40" x14ac:dyDescent="0.3">
      <c r="B63" s="489" t="s">
        <v>4075</v>
      </c>
      <c r="C63" s="489"/>
      <c r="D63" s="253">
        <f>SUM(D61:D62)</f>
        <v>0</v>
      </c>
      <c r="E63" s="253">
        <f t="shared" ref="E63:AK63" si="43">SUM(E61:E62)</f>
        <v>0</v>
      </c>
      <c r="F63" s="253">
        <f t="shared" si="43"/>
        <v>0</v>
      </c>
      <c r="G63" s="253">
        <f t="shared" si="43"/>
        <v>0</v>
      </c>
      <c r="H63" s="253">
        <f t="shared" si="43"/>
        <v>90000</v>
      </c>
      <c r="I63" s="253">
        <f t="shared" si="43"/>
        <v>180000</v>
      </c>
      <c r="J63" s="253">
        <f t="shared" si="43"/>
        <v>180000</v>
      </c>
      <c r="K63" s="253">
        <f t="shared" si="43"/>
        <v>180000</v>
      </c>
      <c r="L63" s="253">
        <f t="shared" si="43"/>
        <v>180000</v>
      </c>
      <c r="M63" s="253">
        <f t="shared" si="43"/>
        <v>180000</v>
      </c>
      <c r="N63" s="253">
        <f t="shared" si="43"/>
        <v>180000</v>
      </c>
      <c r="O63" s="253">
        <f t="shared" si="43"/>
        <v>180000</v>
      </c>
      <c r="P63" s="253">
        <f t="shared" si="43"/>
        <v>180000</v>
      </c>
      <c r="Q63" s="253">
        <f t="shared" si="43"/>
        <v>180000</v>
      </c>
      <c r="R63" s="253">
        <f t="shared" si="43"/>
        <v>90000</v>
      </c>
      <c r="S63" s="253">
        <f t="shared" si="43"/>
        <v>0</v>
      </c>
      <c r="T63" s="253">
        <f t="shared" si="43"/>
        <v>0</v>
      </c>
      <c r="U63" s="253">
        <f t="shared" si="43"/>
        <v>0</v>
      </c>
      <c r="V63" s="253">
        <f t="shared" si="43"/>
        <v>0</v>
      </c>
      <c r="W63" s="253">
        <f t="shared" si="43"/>
        <v>0</v>
      </c>
      <c r="X63" s="253">
        <f t="shared" si="43"/>
        <v>0</v>
      </c>
      <c r="Y63" s="253">
        <f t="shared" si="43"/>
        <v>0</v>
      </c>
      <c r="Z63" s="253">
        <f t="shared" si="43"/>
        <v>0</v>
      </c>
      <c r="AA63" s="253">
        <f t="shared" si="43"/>
        <v>0</v>
      </c>
      <c r="AB63" s="253">
        <f t="shared" si="43"/>
        <v>0</v>
      </c>
      <c r="AC63" s="253">
        <f t="shared" si="43"/>
        <v>0</v>
      </c>
      <c r="AD63" s="253">
        <f t="shared" si="43"/>
        <v>0</v>
      </c>
      <c r="AE63" s="253">
        <f t="shared" si="43"/>
        <v>0</v>
      </c>
      <c r="AF63" s="253">
        <f t="shared" si="43"/>
        <v>0</v>
      </c>
      <c r="AG63" s="253">
        <f t="shared" si="43"/>
        <v>0</v>
      </c>
      <c r="AH63" s="253">
        <f t="shared" si="43"/>
        <v>0</v>
      </c>
      <c r="AI63" s="253">
        <f t="shared" si="43"/>
        <v>0</v>
      </c>
      <c r="AJ63" s="253">
        <f t="shared" si="43"/>
        <v>0</v>
      </c>
      <c r="AK63" s="253">
        <f t="shared" si="43"/>
        <v>0</v>
      </c>
      <c r="AL63" s="253">
        <f>SUM(AL61:AL62)</f>
        <v>0</v>
      </c>
      <c r="AN63" s="244">
        <f>SUM(D63:AL63)</f>
        <v>1800000</v>
      </c>
    </row>
    <row r="65" spans="2:40" x14ac:dyDescent="0.3">
      <c r="B65" s="429" t="s">
        <v>4035</v>
      </c>
      <c r="C65" s="490">
        <v>0.1</v>
      </c>
      <c r="D65" s="488" t="s">
        <v>3701</v>
      </c>
      <c r="E65" s="488" t="s">
        <v>3702</v>
      </c>
      <c r="F65" s="488" t="s">
        <v>3703</v>
      </c>
      <c r="G65" s="488" t="s">
        <v>3704</v>
      </c>
      <c r="H65" s="488" t="s">
        <v>3705</v>
      </c>
      <c r="I65" s="488" t="s">
        <v>3706</v>
      </c>
      <c r="J65" s="488" t="s">
        <v>3707</v>
      </c>
      <c r="K65" s="488" t="s">
        <v>3708</v>
      </c>
      <c r="L65" s="488" t="s">
        <v>3709</v>
      </c>
      <c r="M65" s="488" t="s">
        <v>3710</v>
      </c>
      <c r="N65" s="488" t="s">
        <v>3711</v>
      </c>
      <c r="O65" s="488" t="s">
        <v>3712</v>
      </c>
      <c r="P65" s="488" t="s">
        <v>3713</v>
      </c>
      <c r="Q65" s="488" t="s">
        <v>3714</v>
      </c>
      <c r="R65" s="488" t="s">
        <v>3715</v>
      </c>
      <c r="S65" s="488" t="s">
        <v>3716</v>
      </c>
      <c r="T65" s="488" t="s">
        <v>3717</v>
      </c>
      <c r="U65" s="488" t="s">
        <v>3718</v>
      </c>
      <c r="V65" s="488" t="s">
        <v>3719</v>
      </c>
      <c r="W65" s="488" t="s">
        <v>3720</v>
      </c>
      <c r="X65" s="488" t="s">
        <v>3721</v>
      </c>
      <c r="Y65" s="488" t="s">
        <v>3722</v>
      </c>
      <c r="Z65" s="488" t="s">
        <v>3723</v>
      </c>
      <c r="AA65" s="488" t="s">
        <v>3724</v>
      </c>
      <c r="AB65" s="488" t="s">
        <v>3725</v>
      </c>
      <c r="AC65" s="488" t="s">
        <v>3726</v>
      </c>
      <c r="AD65" s="488" t="s">
        <v>3727</v>
      </c>
      <c r="AE65" s="488" t="s">
        <v>3728</v>
      </c>
      <c r="AF65" s="488" t="s">
        <v>3729</v>
      </c>
      <c r="AG65" s="488" t="s">
        <v>3730</v>
      </c>
      <c r="AH65" s="488" t="s">
        <v>3731</v>
      </c>
      <c r="AI65" s="488" t="s">
        <v>3732</v>
      </c>
      <c r="AJ65" s="488" t="s">
        <v>3733</v>
      </c>
      <c r="AK65" s="488" t="s">
        <v>3734</v>
      </c>
      <c r="AL65" s="488" t="s">
        <v>3735</v>
      </c>
    </row>
    <row r="66" spans="2:40" x14ac:dyDescent="0.3">
      <c r="B66" s="433" t="s">
        <v>3856</v>
      </c>
      <c r="C66" s="488"/>
      <c r="D66" s="488"/>
      <c r="E66" s="488"/>
      <c r="F66" s="488"/>
      <c r="G66" s="488"/>
      <c r="H66" s="488"/>
      <c r="I66" s="488"/>
      <c r="J66" s="488"/>
      <c r="K66" s="488"/>
      <c r="L66" s="488"/>
      <c r="M66" s="488"/>
      <c r="N66" s="488"/>
      <c r="O66" s="488"/>
      <c r="P66" s="488"/>
      <c r="Q66" s="488"/>
      <c r="R66" s="488"/>
      <c r="S66" s="488"/>
      <c r="T66" s="488"/>
      <c r="U66" s="488"/>
      <c r="V66" s="488"/>
      <c r="W66" s="488"/>
      <c r="X66" s="488"/>
      <c r="Y66" s="488"/>
      <c r="Z66" s="488"/>
      <c r="AA66" s="488"/>
      <c r="AB66" s="488"/>
      <c r="AC66" s="488"/>
      <c r="AD66" s="488"/>
      <c r="AE66" s="488"/>
      <c r="AF66" s="488"/>
      <c r="AG66" s="488"/>
      <c r="AH66" s="488"/>
      <c r="AI66" s="488"/>
      <c r="AJ66" s="488"/>
      <c r="AK66" s="488"/>
      <c r="AL66" s="488"/>
    </row>
    <row r="67" spans="2:40" x14ac:dyDescent="0.3">
      <c r="B67" s="254" t="s">
        <v>3703</v>
      </c>
      <c r="C67" s="244">
        <f>F14</f>
        <v>180000</v>
      </c>
      <c r="D67" s="244">
        <v>0</v>
      </c>
      <c r="E67" s="244">
        <v>0</v>
      </c>
      <c r="F67" s="244">
        <v>0</v>
      </c>
      <c r="G67" s="244">
        <f>$C65*$C67</f>
        <v>18000</v>
      </c>
      <c r="H67" s="244">
        <f t="shared" ref="H67:P67" si="44">$C65*$C67</f>
        <v>18000</v>
      </c>
      <c r="I67" s="244">
        <f t="shared" si="44"/>
        <v>18000</v>
      </c>
      <c r="J67" s="244">
        <f t="shared" si="44"/>
        <v>18000</v>
      </c>
      <c r="K67" s="244">
        <f t="shared" si="44"/>
        <v>18000</v>
      </c>
      <c r="L67" s="244">
        <f t="shared" si="44"/>
        <v>18000</v>
      </c>
      <c r="M67" s="244">
        <f t="shared" si="44"/>
        <v>18000</v>
      </c>
      <c r="N67" s="244">
        <f t="shared" si="44"/>
        <v>18000</v>
      </c>
      <c r="O67" s="244">
        <f t="shared" si="44"/>
        <v>18000</v>
      </c>
      <c r="P67" s="244">
        <f t="shared" si="44"/>
        <v>18000</v>
      </c>
      <c r="Q67" s="244">
        <v>0</v>
      </c>
      <c r="R67" s="244">
        <v>0</v>
      </c>
      <c r="S67" s="244">
        <v>0</v>
      </c>
      <c r="T67" s="244">
        <v>0</v>
      </c>
      <c r="U67" s="244">
        <v>0</v>
      </c>
      <c r="V67" s="244">
        <v>0</v>
      </c>
      <c r="W67" s="244">
        <v>0</v>
      </c>
      <c r="X67" s="244">
        <v>0</v>
      </c>
      <c r="Y67" s="244">
        <v>0</v>
      </c>
      <c r="Z67" s="244">
        <v>0</v>
      </c>
      <c r="AA67" s="244">
        <v>0</v>
      </c>
      <c r="AB67" s="244">
        <v>0</v>
      </c>
      <c r="AC67" s="244">
        <v>0</v>
      </c>
      <c r="AD67" s="244">
        <v>0</v>
      </c>
      <c r="AE67" s="244">
        <v>0</v>
      </c>
      <c r="AF67" s="244">
        <v>0</v>
      </c>
      <c r="AG67" s="244">
        <v>0</v>
      </c>
      <c r="AH67" s="244">
        <v>0</v>
      </c>
      <c r="AI67" s="244">
        <v>0</v>
      </c>
      <c r="AJ67" s="244">
        <v>0</v>
      </c>
      <c r="AK67" s="244">
        <v>0</v>
      </c>
      <c r="AL67" s="244">
        <v>0</v>
      </c>
    </row>
    <row r="68" spans="2:40" x14ac:dyDescent="0.3">
      <c r="B68" s="489" t="s">
        <v>4075</v>
      </c>
      <c r="C68" s="489"/>
      <c r="D68" s="253">
        <f>SUM(D67)</f>
        <v>0</v>
      </c>
      <c r="E68" s="253">
        <f t="shared" ref="E68:AK68" si="45">SUM(E67)</f>
        <v>0</v>
      </c>
      <c r="F68" s="253">
        <f t="shared" si="45"/>
        <v>0</v>
      </c>
      <c r="G68" s="253">
        <f t="shared" si="45"/>
        <v>18000</v>
      </c>
      <c r="H68" s="253">
        <f t="shared" si="45"/>
        <v>18000</v>
      </c>
      <c r="I68" s="253">
        <f t="shared" si="45"/>
        <v>18000</v>
      </c>
      <c r="J68" s="253">
        <f t="shared" si="45"/>
        <v>18000</v>
      </c>
      <c r="K68" s="253">
        <f t="shared" si="45"/>
        <v>18000</v>
      </c>
      <c r="L68" s="253">
        <f t="shared" si="45"/>
        <v>18000</v>
      </c>
      <c r="M68" s="253">
        <f t="shared" si="45"/>
        <v>18000</v>
      </c>
      <c r="N68" s="253">
        <f t="shared" si="45"/>
        <v>18000</v>
      </c>
      <c r="O68" s="253">
        <f t="shared" si="45"/>
        <v>18000</v>
      </c>
      <c r="P68" s="253">
        <f t="shared" si="45"/>
        <v>18000</v>
      </c>
      <c r="Q68" s="253">
        <f t="shared" si="45"/>
        <v>0</v>
      </c>
      <c r="R68" s="253">
        <f t="shared" si="45"/>
        <v>0</v>
      </c>
      <c r="S68" s="253">
        <f t="shared" si="45"/>
        <v>0</v>
      </c>
      <c r="T68" s="253">
        <f t="shared" si="45"/>
        <v>0</v>
      </c>
      <c r="U68" s="253">
        <f t="shared" si="45"/>
        <v>0</v>
      </c>
      <c r="V68" s="253">
        <f t="shared" si="45"/>
        <v>0</v>
      </c>
      <c r="W68" s="253">
        <f t="shared" si="45"/>
        <v>0</v>
      </c>
      <c r="X68" s="253">
        <f t="shared" si="45"/>
        <v>0</v>
      </c>
      <c r="Y68" s="253">
        <f t="shared" si="45"/>
        <v>0</v>
      </c>
      <c r="Z68" s="253">
        <f t="shared" si="45"/>
        <v>0</v>
      </c>
      <c r="AA68" s="253">
        <f t="shared" si="45"/>
        <v>0</v>
      </c>
      <c r="AB68" s="253">
        <f t="shared" si="45"/>
        <v>0</v>
      </c>
      <c r="AC68" s="253">
        <f t="shared" si="45"/>
        <v>0</v>
      </c>
      <c r="AD68" s="253">
        <f t="shared" si="45"/>
        <v>0</v>
      </c>
      <c r="AE68" s="253">
        <f t="shared" si="45"/>
        <v>0</v>
      </c>
      <c r="AF68" s="253">
        <f t="shared" si="45"/>
        <v>0</v>
      </c>
      <c r="AG68" s="253">
        <f t="shared" si="45"/>
        <v>0</v>
      </c>
      <c r="AH68" s="253">
        <f t="shared" si="45"/>
        <v>0</v>
      </c>
      <c r="AI68" s="253">
        <f t="shared" si="45"/>
        <v>0</v>
      </c>
      <c r="AJ68" s="253">
        <f t="shared" si="45"/>
        <v>0</v>
      </c>
      <c r="AK68" s="253">
        <f t="shared" si="45"/>
        <v>0</v>
      </c>
      <c r="AL68" s="253">
        <f>SUM(AL67)</f>
        <v>0</v>
      </c>
      <c r="AN68" s="244">
        <f>SUM(D68:AL68)</f>
        <v>180000</v>
      </c>
    </row>
    <row r="70" spans="2:40" x14ac:dyDescent="0.3">
      <c r="B70" s="429" t="s">
        <v>4035</v>
      </c>
      <c r="C70" s="490">
        <v>0.2</v>
      </c>
      <c r="D70" s="488" t="s">
        <v>3701</v>
      </c>
      <c r="E70" s="488" t="s">
        <v>3702</v>
      </c>
      <c r="F70" s="488" t="s">
        <v>3703</v>
      </c>
      <c r="G70" s="488" t="s">
        <v>3704</v>
      </c>
      <c r="H70" s="488" t="s">
        <v>3705</v>
      </c>
      <c r="I70" s="488" t="s">
        <v>3706</v>
      </c>
      <c r="J70" s="488" t="s">
        <v>3707</v>
      </c>
      <c r="K70" s="488" t="s">
        <v>3708</v>
      </c>
      <c r="L70" s="488" t="s">
        <v>3709</v>
      </c>
      <c r="M70" s="488" t="s">
        <v>3710</v>
      </c>
      <c r="N70" s="488" t="s">
        <v>3711</v>
      </c>
      <c r="O70" s="488" t="s">
        <v>3712</v>
      </c>
      <c r="P70" s="488" t="s">
        <v>3713</v>
      </c>
      <c r="Q70" s="488" t="s">
        <v>3714</v>
      </c>
      <c r="R70" s="488" t="s">
        <v>3715</v>
      </c>
      <c r="S70" s="488" t="s">
        <v>3716</v>
      </c>
      <c r="T70" s="488" t="s">
        <v>3717</v>
      </c>
      <c r="U70" s="488" t="s">
        <v>3718</v>
      </c>
      <c r="V70" s="488" t="s">
        <v>3719</v>
      </c>
      <c r="W70" s="488" t="s">
        <v>3720</v>
      </c>
      <c r="X70" s="488" t="s">
        <v>3721</v>
      </c>
      <c r="Y70" s="488" t="s">
        <v>3722</v>
      </c>
      <c r="Z70" s="488" t="s">
        <v>3723</v>
      </c>
      <c r="AA70" s="488" t="s">
        <v>3724</v>
      </c>
      <c r="AB70" s="488" t="s">
        <v>3725</v>
      </c>
      <c r="AC70" s="488" t="s">
        <v>3726</v>
      </c>
      <c r="AD70" s="488" t="s">
        <v>3727</v>
      </c>
      <c r="AE70" s="488" t="s">
        <v>3728</v>
      </c>
      <c r="AF70" s="488" t="s">
        <v>3729</v>
      </c>
      <c r="AG70" s="488" t="s">
        <v>3730</v>
      </c>
      <c r="AH70" s="488" t="s">
        <v>3731</v>
      </c>
      <c r="AI70" s="488" t="s">
        <v>3732</v>
      </c>
      <c r="AJ70" s="488" t="s">
        <v>3733</v>
      </c>
      <c r="AK70" s="488" t="s">
        <v>3734</v>
      </c>
      <c r="AL70" s="488" t="s">
        <v>3735</v>
      </c>
    </row>
    <row r="71" spans="2:40" x14ac:dyDescent="0.3">
      <c r="B71" s="433" t="s">
        <v>4076</v>
      </c>
      <c r="C71" s="488"/>
      <c r="D71" s="488"/>
      <c r="E71" s="488"/>
      <c r="F71" s="488"/>
      <c r="G71" s="488"/>
      <c r="H71" s="488"/>
      <c r="I71" s="488"/>
      <c r="J71" s="488"/>
      <c r="K71" s="488"/>
      <c r="L71" s="488"/>
      <c r="M71" s="488"/>
      <c r="N71" s="488"/>
      <c r="O71" s="488"/>
      <c r="P71" s="488"/>
      <c r="Q71" s="488"/>
      <c r="R71" s="488"/>
      <c r="S71" s="488"/>
      <c r="T71" s="488"/>
      <c r="U71" s="488"/>
      <c r="V71" s="488"/>
      <c r="W71" s="488"/>
      <c r="X71" s="488"/>
      <c r="Y71" s="488"/>
      <c r="Z71" s="488"/>
      <c r="AA71" s="488"/>
      <c r="AB71" s="488"/>
      <c r="AC71" s="488"/>
      <c r="AD71" s="488"/>
      <c r="AE71" s="488"/>
      <c r="AF71" s="488"/>
      <c r="AG71" s="488"/>
      <c r="AH71" s="488"/>
      <c r="AI71" s="488"/>
      <c r="AJ71" s="488"/>
      <c r="AK71" s="488"/>
      <c r="AL71" s="488"/>
    </row>
    <row r="72" spans="2:40" x14ac:dyDescent="0.3">
      <c r="B72" s="254" t="s">
        <v>3702</v>
      </c>
      <c r="C72" s="244">
        <v>900000</v>
      </c>
      <c r="D72" s="244">
        <v>0</v>
      </c>
      <c r="E72" s="244">
        <v>0</v>
      </c>
      <c r="F72" s="244">
        <f>$C70*$C72</f>
        <v>180000</v>
      </c>
      <c r="G72" s="244">
        <f>$C70*$C72</f>
        <v>180000</v>
      </c>
      <c r="H72" s="244">
        <f>$C70*$C72</f>
        <v>180000</v>
      </c>
      <c r="I72" s="244">
        <f>$C70*$C72</f>
        <v>180000</v>
      </c>
      <c r="J72" s="244">
        <f>$C70*$C72</f>
        <v>180000</v>
      </c>
      <c r="K72" s="244">
        <v>0</v>
      </c>
      <c r="L72" s="244">
        <v>0</v>
      </c>
      <c r="M72" s="244">
        <v>0</v>
      </c>
      <c r="N72" s="244">
        <v>0</v>
      </c>
      <c r="O72" s="244">
        <v>0</v>
      </c>
      <c r="P72" s="244">
        <v>0</v>
      </c>
      <c r="Q72" s="244">
        <v>0</v>
      </c>
      <c r="R72" s="244">
        <v>0</v>
      </c>
      <c r="S72" s="244">
        <v>0</v>
      </c>
      <c r="T72" s="244">
        <v>0</v>
      </c>
      <c r="U72" s="244">
        <v>0</v>
      </c>
      <c r="V72" s="244">
        <v>0</v>
      </c>
      <c r="W72" s="244">
        <v>0</v>
      </c>
      <c r="X72" s="244">
        <v>0</v>
      </c>
      <c r="Y72" s="244">
        <v>0</v>
      </c>
      <c r="Z72" s="244">
        <v>0</v>
      </c>
      <c r="AA72" s="244">
        <v>0</v>
      </c>
      <c r="AB72" s="244">
        <v>0</v>
      </c>
      <c r="AC72" s="244">
        <v>0</v>
      </c>
      <c r="AD72" s="244">
        <v>0</v>
      </c>
      <c r="AE72" s="244">
        <v>0</v>
      </c>
      <c r="AF72" s="244">
        <v>0</v>
      </c>
      <c r="AG72" s="244">
        <v>0</v>
      </c>
      <c r="AH72" s="244">
        <v>0</v>
      </c>
      <c r="AI72" s="244">
        <v>0</v>
      </c>
      <c r="AJ72" s="244">
        <v>0</v>
      </c>
      <c r="AK72" s="244">
        <v>0</v>
      </c>
      <c r="AL72" s="244">
        <v>0</v>
      </c>
    </row>
    <row r="73" spans="2:40" x14ac:dyDescent="0.3">
      <c r="B73" s="489" t="s">
        <v>4075</v>
      </c>
      <c r="C73" s="489"/>
      <c r="D73" s="253">
        <f>SUM(D72)</f>
        <v>0</v>
      </c>
      <c r="E73" s="253">
        <f t="shared" ref="E73:AK73" si="46">SUM(E72)</f>
        <v>0</v>
      </c>
      <c r="F73" s="253">
        <f>SUM(F72)</f>
        <v>180000</v>
      </c>
      <c r="G73" s="253">
        <f t="shared" si="46"/>
        <v>180000</v>
      </c>
      <c r="H73" s="253">
        <f>SUM(H72)</f>
        <v>180000</v>
      </c>
      <c r="I73" s="253">
        <f t="shared" si="46"/>
        <v>180000</v>
      </c>
      <c r="J73" s="253">
        <f t="shared" si="46"/>
        <v>180000</v>
      </c>
      <c r="K73" s="253">
        <f t="shared" si="46"/>
        <v>0</v>
      </c>
      <c r="L73" s="253">
        <f t="shared" si="46"/>
        <v>0</v>
      </c>
      <c r="M73" s="253">
        <f t="shared" si="46"/>
        <v>0</v>
      </c>
      <c r="N73" s="253">
        <f t="shared" si="46"/>
        <v>0</v>
      </c>
      <c r="O73" s="253">
        <f t="shared" si="46"/>
        <v>0</v>
      </c>
      <c r="P73" s="253">
        <f t="shared" si="46"/>
        <v>0</v>
      </c>
      <c r="Q73" s="253">
        <f t="shared" si="46"/>
        <v>0</v>
      </c>
      <c r="R73" s="253">
        <f t="shared" si="46"/>
        <v>0</v>
      </c>
      <c r="S73" s="253">
        <f t="shared" si="46"/>
        <v>0</v>
      </c>
      <c r="T73" s="253">
        <f t="shared" si="46"/>
        <v>0</v>
      </c>
      <c r="U73" s="253">
        <f t="shared" si="46"/>
        <v>0</v>
      </c>
      <c r="V73" s="253">
        <f t="shared" si="46"/>
        <v>0</v>
      </c>
      <c r="W73" s="253">
        <f t="shared" si="46"/>
        <v>0</v>
      </c>
      <c r="X73" s="253">
        <f t="shared" si="46"/>
        <v>0</v>
      </c>
      <c r="Y73" s="253">
        <f t="shared" si="46"/>
        <v>0</v>
      </c>
      <c r="Z73" s="253">
        <f t="shared" si="46"/>
        <v>0</v>
      </c>
      <c r="AA73" s="253">
        <f t="shared" si="46"/>
        <v>0</v>
      </c>
      <c r="AB73" s="253">
        <f t="shared" si="46"/>
        <v>0</v>
      </c>
      <c r="AC73" s="253">
        <f t="shared" si="46"/>
        <v>0</v>
      </c>
      <c r="AD73" s="253">
        <f t="shared" si="46"/>
        <v>0</v>
      </c>
      <c r="AE73" s="253">
        <f t="shared" si="46"/>
        <v>0</v>
      </c>
      <c r="AF73" s="253">
        <f t="shared" si="46"/>
        <v>0</v>
      </c>
      <c r="AG73" s="253">
        <f t="shared" si="46"/>
        <v>0</v>
      </c>
      <c r="AH73" s="253">
        <f t="shared" si="46"/>
        <v>0</v>
      </c>
      <c r="AI73" s="253">
        <f t="shared" si="46"/>
        <v>0</v>
      </c>
      <c r="AJ73" s="253">
        <f t="shared" si="46"/>
        <v>0</v>
      </c>
      <c r="AK73" s="253">
        <f t="shared" si="46"/>
        <v>0</v>
      </c>
      <c r="AL73" s="253">
        <f>SUM(AL72)</f>
        <v>0</v>
      </c>
      <c r="AN73" s="244">
        <f>SUM(D73:AL73)</f>
        <v>900000</v>
      </c>
    </row>
    <row r="75" spans="2:40" x14ac:dyDescent="0.3">
      <c r="B75" s="429" t="s">
        <v>4035</v>
      </c>
      <c r="C75" s="490">
        <v>0.04</v>
      </c>
      <c r="D75" s="488" t="s">
        <v>3701</v>
      </c>
      <c r="E75" s="488" t="s">
        <v>3702</v>
      </c>
      <c r="F75" s="488" t="s">
        <v>3703</v>
      </c>
      <c r="G75" s="488" t="s">
        <v>3704</v>
      </c>
      <c r="H75" s="488" t="s">
        <v>3705</v>
      </c>
      <c r="I75" s="488" t="s">
        <v>3706</v>
      </c>
      <c r="J75" s="488" t="s">
        <v>3707</v>
      </c>
      <c r="K75" s="488" t="s">
        <v>3708</v>
      </c>
      <c r="L75" s="488" t="s">
        <v>3709</v>
      </c>
      <c r="M75" s="488" t="s">
        <v>3710</v>
      </c>
      <c r="N75" s="488" t="s">
        <v>3711</v>
      </c>
      <c r="O75" s="488" t="s">
        <v>3712</v>
      </c>
      <c r="P75" s="488" t="s">
        <v>3713</v>
      </c>
      <c r="Q75" s="488" t="s">
        <v>3714</v>
      </c>
      <c r="R75" s="488" t="s">
        <v>3715</v>
      </c>
      <c r="S75" s="488" t="s">
        <v>3716</v>
      </c>
      <c r="T75" s="488" t="s">
        <v>3717</v>
      </c>
      <c r="U75" s="488" t="s">
        <v>3718</v>
      </c>
      <c r="V75" s="488" t="s">
        <v>3719</v>
      </c>
      <c r="W75" s="488" t="s">
        <v>3720</v>
      </c>
      <c r="X75" s="488" t="s">
        <v>3721</v>
      </c>
      <c r="Y75" s="488" t="s">
        <v>3722</v>
      </c>
      <c r="Z75" s="488" t="s">
        <v>3723</v>
      </c>
      <c r="AA75" s="488" t="s">
        <v>3724</v>
      </c>
      <c r="AB75" s="488" t="s">
        <v>3725</v>
      </c>
      <c r="AC75" s="488" t="s">
        <v>3726</v>
      </c>
      <c r="AD75" s="488" t="s">
        <v>3727</v>
      </c>
      <c r="AE75" s="488" t="s">
        <v>3728</v>
      </c>
      <c r="AF75" s="488" t="s">
        <v>3729</v>
      </c>
      <c r="AG75" s="488" t="s">
        <v>3730</v>
      </c>
      <c r="AH75" s="488" t="s">
        <v>3731</v>
      </c>
      <c r="AI75" s="488" t="s">
        <v>3732</v>
      </c>
      <c r="AJ75" s="488" t="s">
        <v>3733</v>
      </c>
      <c r="AK75" s="488" t="s">
        <v>3734</v>
      </c>
      <c r="AL75" s="488" t="s">
        <v>3735</v>
      </c>
    </row>
    <row r="76" spans="2:40" x14ac:dyDescent="0.3">
      <c r="B76" s="433" t="s">
        <v>3847</v>
      </c>
      <c r="C76" s="488"/>
      <c r="D76" s="488"/>
      <c r="E76" s="488"/>
      <c r="F76" s="488"/>
      <c r="G76" s="488"/>
      <c r="H76" s="488"/>
      <c r="I76" s="488"/>
      <c r="J76" s="488"/>
      <c r="K76" s="488"/>
      <c r="L76" s="488"/>
      <c r="M76" s="488"/>
      <c r="N76" s="488"/>
      <c r="O76" s="488"/>
      <c r="P76" s="488"/>
      <c r="Q76" s="488"/>
      <c r="R76" s="488"/>
      <c r="S76" s="488"/>
      <c r="T76" s="488"/>
      <c r="U76" s="488"/>
      <c r="V76" s="488"/>
      <c r="W76" s="488"/>
      <c r="X76" s="488"/>
      <c r="Y76" s="488"/>
      <c r="Z76" s="488"/>
      <c r="AA76" s="488"/>
      <c r="AB76" s="488"/>
      <c r="AC76" s="488"/>
      <c r="AD76" s="488"/>
      <c r="AE76" s="488"/>
      <c r="AF76" s="488"/>
      <c r="AG76" s="488"/>
      <c r="AH76" s="488"/>
      <c r="AI76" s="488"/>
      <c r="AJ76" s="488"/>
      <c r="AK76" s="488"/>
      <c r="AL76" s="488"/>
    </row>
    <row r="77" spans="2:40" x14ac:dyDescent="0.3">
      <c r="B77" s="254" t="s">
        <v>3703</v>
      </c>
      <c r="C77" s="244">
        <v>700000</v>
      </c>
      <c r="D77" s="244">
        <v>0</v>
      </c>
      <c r="E77" s="244">
        <v>0</v>
      </c>
      <c r="F77" s="244">
        <v>0</v>
      </c>
      <c r="G77" s="244">
        <f t="shared" ref="G77:AE77" si="47">$C75*$C77</f>
        <v>28000</v>
      </c>
      <c r="H77" s="244">
        <f t="shared" si="47"/>
        <v>28000</v>
      </c>
      <c r="I77" s="244">
        <f t="shared" si="47"/>
        <v>28000</v>
      </c>
      <c r="J77" s="244">
        <f t="shared" si="47"/>
        <v>28000</v>
      </c>
      <c r="K77" s="244">
        <f t="shared" si="47"/>
        <v>28000</v>
      </c>
      <c r="L77" s="244">
        <f t="shared" si="47"/>
        <v>28000</v>
      </c>
      <c r="M77" s="244">
        <f t="shared" si="47"/>
        <v>28000</v>
      </c>
      <c r="N77" s="244">
        <f t="shared" si="47"/>
        <v>28000</v>
      </c>
      <c r="O77" s="244">
        <f t="shared" si="47"/>
        <v>28000</v>
      </c>
      <c r="P77" s="244">
        <f t="shared" si="47"/>
        <v>28000</v>
      </c>
      <c r="Q77" s="244">
        <f t="shared" si="47"/>
        <v>28000</v>
      </c>
      <c r="R77" s="244">
        <f t="shared" si="47"/>
        <v>28000</v>
      </c>
      <c r="S77" s="244">
        <f t="shared" si="47"/>
        <v>28000</v>
      </c>
      <c r="T77" s="244">
        <f t="shared" si="47"/>
        <v>28000</v>
      </c>
      <c r="U77" s="244">
        <f t="shared" si="47"/>
        <v>28000</v>
      </c>
      <c r="V77" s="244">
        <f t="shared" si="47"/>
        <v>28000</v>
      </c>
      <c r="W77" s="244">
        <f t="shared" si="47"/>
        <v>28000</v>
      </c>
      <c r="X77" s="244">
        <f t="shared" si="47"/>
        <v>28000</v>
      </c>
      <c r="Y77" s="244">
        <f t="shared" si="47"/>
        <v>28000</v>
      </c>
      <c r="Z77" s="244">
        <f t="shared" si="47"/>
        <v>28000</v>
      </c>
      <c r="AA77" s="244">
        <f t="shared" si="47"/>
        <v>28000</v>
      </c>
      <c r="AB77" s="244">
        <f t="shared" si="47"/>
        <v>28000</v>
      </c>
      <c r="AC77" s="244">
        <f t="shared" si="47"/>
        <v>28000</v>
      </c>
      <c r="AD77" s="244">
        <f t="shared" si="47"/>
        <v>28000</v>
      </c>
      <c r="AE77" s="244">
        <f t="shared" si="47"/>
        <v>28000</v>
      </c>
      <c r="AF77" s="244">
        <v>0</v>
      </c>
      <c r="AG77" s="244">
        <v>0</v>
      </c>
      <c r="AH77" s="244">
        <v>0</v>
      </c>
      <c r="AI77" s="244">
        <v>0</v>
      </c>
      <c r="AJ77" s="244">
        <v>0</v>
      </c>
      <c r="AK77" s="244">
        <v>0</v>
      </c>
      <c r="AL77" s="244">
        <v>0</v>
      </c>
    </row>
    <row r="78" spans="2:40" x14ac:dyDescent="0.3">
      <c r="B78" s="489" t="s">
        <v>4075</v>
      </c>
      <c r="C78" s="489"/>
      <c r="D78" s="253">
        <f t="shared" ref="D78:AL78" si="48">SUM(D77:D77)</f>
        <v>0</v>
      </c>
      <c r="E78" s="253">
        <f t="shared" si="48"/>
        <v>0</v>
      </c>
      <c r="F78" s="253">
        <f t="shared" si="48"/>
        <v>0</v>
      </c>
      <c r="G78" s="253">
        <f t="shared" si="48"/>
        <v>28000</v>
      </c>
      <c r="H78" s="253">
        <f t="shared" si="48"/>
        <v>28000</v>
      </c>
      <c r="I78" s="253">
        <f t="shared" si="48"/>
        <v>28000</v>
      </c>
      <c r="J78" s="253">
        <f t="shared" si="48"/>
        <v>28000</v>
      </c>
      <c r="K78" s="253">
        <f t="shared" si="48"/>
        <v>28000</v>
      </c>
      <c r="L78" s="253">
        <f t="shared" si="48"/>
        <v>28000</v>
      </c>
      <c r="M78" s="253">
        <f t="shared" si="48"/>
        <v>28000</v>
      </c>
      <c r="N78" s="253">
        <f t="shared" si="48"/>
        <v>28000</v>
      </c>
      <c r="O78" s="253">
        <f t="shared" si="48"/>
        <v>28000</v>
      </c>
      <c r="P78" s="253">
        <f t="shared" si="48"/>
        <v>28000</v>
      </c>
      <c r="Q78" s="253">
        <f t="shared" si="48"/>
        <v>28000</v>
      </c>
      <c r="R78" s="253">
        <f t="shared" si="48"/>
        <v>28000</v>
      </c>
      <c r="S78" s="253">
        <f t="shared" si="48"/>
        <v>28000</v>
      </c>
      <c r="T78" s="253">
        <f t="shared" si="48"/>
        <v>28000</v>
      </c>
      <c r="U78" s="253">
        <f t="shared" si="48"/>
        <v>28000</v>
      </c>
      <c r="V78" s="253">
        <f t="shared" si="48"/>
        <v>28000</v>
      </c>
      <c r="W78" s="253">
        <f t="shared" si="48"/>
        <v>28000</v>
      </c>
      <c r="X78" s="253">
        <f t="shared" si="48"/>
        <v>28000</v>
      </c>
      <c r="Y78" s="253">
        <f t="shared" si="48"/>
        <v>28000</v>
      </c>
      <c r="Z78" s="253">
        <f t="shared" si="48"/>
        <v>28000</v>
      </c>
      <c r="AA78" s="253">
        <f t="shared" si="48"/>
        <v>28000</v>
      </c>
      <c r="AB78" s="253">
        <f t="shared" si="48"/>
        <v>28000</v>
      </c>
      <c r="AC78" s="253">
        <f t="shared" si="48"/>
        <v>28000</v>
      </c>
      <c r="AD78" s="253">
        <f t="shared" si="48"/>
        <v>28000</v>
      </c>
      <c r="AE78" s="253">
        <f t="shared" si="48"/>
        <v>28000</v>
      </c>
      <c r="AF78" s="253">
        <f t="shared" si="48"/>
        <v>0</v>
      </c>
      <c r="AG78" s="253">
        <f t="shared" si="48"/>
        <v>0</v>
      </c>
      <c r="AH78" s="253">
        <f t="shared" si="48"/>
        <v>0</v>
      </c>
      <c r="AI78" s="253">
        <f t="shared" si="48"/>
        <v>0</v>
      </c>
      <c r="AJ78" s="253">
        <f t="shared" si="48"/>
        <v>0</v>
      </c>
      <c r="AK78" s="253">
        <f t="shared" si="48"/>
        <v>0</v>
      </c>
      <c r="AL78" s="253">
        <f t="shared" si="48"/>
        <v>0</v>
      </c>
      <c r="AN78" s="244">
        <f>SUM(D78:AL78)</f>
        <v>700000</v>
      </c>
    </row>
    <row r="80" spans="2:40" x14ac:dyDescent="0.3">
      <c r="B80" s="429" t="s">
        <v>4035</v>
      </c>
      <c r="C80" s="490">
        <v>0.04</v>
      </c>
      <c r="D80" s="488" t="s">
        <v>3701</v>
      </c>
      <c r="E80" s="488" t="s">
        <v>3702</v>
      </c>
      <c r="F80" s="488" t="s">
        <v>3703</v>
      </c>
      <c r="G80" s="488" t="s">
        <v>3704</v>
      </c>
      <c r="H80" s="488" t="s">
        <v>3705</v>
      </c>
      <c r="I80" s="488" t="s">
        <v>3706</v>
      </c>
      <c r="J80" s="488" t="s">
        <v>3707</v>
      </c>
      <c r="K80" s="488" t="s">
        <v>3708</v>
      </c>
      <c r="L80" s="488" t="s">
        <v>3709</v>
      </c>
      <c r="M80" s="488" t="s">
        <v>3710</v>
      </c>
      <c r="N80" s="488" t="s">
        <v>3711</v>
      </c>
      <c r="O80" s="488" t="s">
        <v>3712</v>
      </c>
      <c r="P80" s="488" t="s">
        <v>3713</v>
      </c>
      <c r="Q80" s="488" t="s">
        <v>3714</v>
      </c>
      <c r="R80" s="488" t="s">
        <v>3715</v>
      </c>
      <c r="S80" s="488" t="s">
        <v>3716</v>
      </c>
      <c r="T80" s="488" t="s">
        <v>3717</v>
      </c>
      <c r="U80" s="488" t="s">
        <v>3718</v>
      </c>
      <c r="V80" s="488" t="s">
        <v>3719</v>
      </c>
      <c r="W80" s="488" t="s">
        <v>3720</v>
      </c>
      <c r="X80" s="488" t="s">
        <v>3721</v>
      </c>
      <c r="Y80" s="488" t="s">
        <v>3722</v>
      </c>
      <c r="Z80" s="488" t="s">
        <v>3723</v>
      </c>
      <c r="AA80" s="488" t="s">
        <v>3724</v>
      </c>
      <c r="AB80" s="488" t="s">
        <v>3725</v>
      </c>
      <c r="AC80" s="488" t="s">
        <v>3726</v>
      </c>
      <c r="AD80" s="488" t="s">
        <v>3727</v>
      </c>
      <c r="AE80" s="488" t="s">
        <v>3728</v>
      </c>
      <c r="AF80" s="488" t="s">
        <v>3729</v>
      </c>
      <c r="AG80" s="488" t="s">
        <v>3730</v>
      </c>
      <c r="AH80" s="488" t="s">
        <v>3731</v>
      </c>
      <c r="AI80" s="488" t="s">
        <v>3732</v>
      </c>
      <c r="AJ80" s="488" t="s">
        <v>3733</v>
      </c>
      <c r="AK80" s="488" t="s">
        <v>3734</v>
      </c>
      <c r="AL80" s="488" t="s">
        <v>3735</v>
      </c>
    </row>
    <row r="81" spans="2:40" x14ac:dyDescent="0.3">
      <c r="B81" s="433" t="s">
        <v>3851</v>
      </c>
      <c r="C81" s="488"/>
      <c r="D81" s="488"/>
      <c r="E81" s="488"/>
      <c r="F81" s="488"/>
      <c r="G81" s="488"/>
      <c r="H81" s="488"/>
      <c r="I81" s="488"/>
      <c r="J81" s="488"/>
      <c r="K81" s="488"/>
      <c r="L81" s="488"/>
      <c r="M81" s="488"/>
      <c r="N81" s="488"/>
      <c r="O81" s="488"/>
      <c r="P81" s="488"/>
      <c r="Q81" s="488"/>
      <c r="R81" s="488"/>
      <c r="S81" s="488"/>
      <c r="T81" s="488"/>
      <c r="U81" s="488"/>
      <c r="V81" s="488"/>
      <c r="W81" s="488"/>
      <c r="X81" s="488"/>
      <c r="Y81" s="488"/>
      <c r="Z81" s="488"/>
      <c r="AA81" s="488"/>
      <c r="AB81" s="488"/>
      <c r="AC81" s="488"/>
      <c r="AD81" s="488"/>
      <c r="AE81" s="488"/>
      <c r="AF81" s="488"/>
      <c r="AG81" s="488"/>
      <c r="AH81" s="488"/>
      <c r="AI81" s="488"/>
      <c r="AJ81" s="488"/>
      <c r="AK81" s="488"/>
      <c r="AL81" s="488"/>
    </row>
    <row r="82" spans="2:40" x14ac:dyDescent="0.3">
      <c r="B82" s="254" t="s">
        <v>3704</v>
      </c>
      <c r="C82" s="244">
        <v>5750000</v>
      </c>
      <c r="D82" s="244">
        <v>0</v>
      </c>
      <c r="E82" s="244">
        <v>0</v>
      </c>
      <c r="F82" s="244">
        <v>0</v>
      </c>
      <c r="G82" s="244">
        <v>0</v>
      </c>
      <c r="H82" s="244">
        <f t="shared" ref="H82:AF82" si="49">$C80*$C82</f>
        <v>230000</v>
      </c>
      <c r="I82" s="244">
        <f t="shared" si="49"/>
        <v>230000</v>
      </c>
      <c r="J82" s="244">
        <f t="shared" si="49"/>
        <v>230000</v>
      </c>
      <c r="K82" s="244">
        <f t="shared" si="49"/>
        <v>230000</v>
      </c>
      <c r="L82" s="244">
        <f t="shared" si="49"/>
        <v>230000</v>
      </c>
      <c r="M82" s="244">
        <f t="shared" si="49"/>
        <v>230000</v>
      </c>
      <c r="N82" s="244">
        <f t="shared" si="49"/>
        <v>230000</v>
      </c>
      <c r="O82" s="244">
        <f t="shared" si="49"/>
        <v>230000</v>
      </c>
      <c r="P82" s="244">
        <f t="shared" si="49"/>
        <v>230000</v>
      </c>
      <c r="Q82" s="244">
        <f t="shared" si="49"/>
        <v>230000</v>
      </c>
      <c r="R82" s="244">
        <f t="shared" si="49"/>
        <v>230000</v>
      </c>
      <c r="S82" s="244">
        <f t="shared" si="49"/>
        <v>230000</v>
      </c>
      <c r="T82" s="244">
        <f t="shared" si="49"/>
        <v>230000</v>
      </c>
      <c r="U82" s="244">
        <f t="shared" si="49"/>
        <v>230000</v>
      </c>
      <c r="V82" s="244">
        <f t="shared" si="49"/>
        <v>230000</v>
      </c>
      <c r="W82" s="244">
        <f t="shared" si="49"/>
        <v>230000</v>
      </c>
      <c r="X82" s="244">
        <f t="shared" si="49"/>
        <v>230000</v>
      </c>
      <c r="Y82" s="244">
        <f t="shared" si="49"/>
        <v>230000</v>
      </c>
      <c r="Z82" s="244">
        <f t="shared" si="49"/>
        <v>230000</v>
      </c>
      <c r="AA82" s="244">
        <f t="shared" si="49"/>
        <v>230000</v>
      </c>
      <c r="AB82" s="244">
        <f t="shared" si="49"/>
        <v>230000</v>
      </c>
      <c r="AC82" s="244">
        <f t="shared" si="49"/>
        <v>230000</v>
      </c>
      <c r="AD82" s="244">
        <f t="shared" si="49"/>
        <v>230000</v>
      </c>
      <c r="AE82" s="244">
        <f t="shared" si="49"/>
        <v>230000</v>
      </c>
      <c r="AF82" s="244">
        <f t="shared" si="49"/>
        <v>230000</v>
      </c>
      <c r="AG82" s="244">
        <v>0</v>
      </c>
      <c r="AH82" s="244">
        <v>0</v>
      </c>
      <c r="AI82" s="244">
        <v>0</v>
      </c>
      <c r="AJ82" s="244">
        <v>0</v>
      </c>
      <c r="AK82" s="244">
        <v>0</v>
      </c>
      <c r="AL82" s="244">
        <v>0</v>
      </c>
    </row>
    <row r="83" spans="2:40" x14ac:dyDescent="0.3">
      <c r="B83" s="254" t="s">
        <v>3705</v>
      </c>
      <c r="C83" s="244">
        <v>5750000</v>
      </c>
      <c r="D83" s="244">
        <v>0</v>
      </c>
      <c r="E83" s="244">
        <v>0</v>
      </c>
      <c r="F83" s="244">
        <v>0</v>
      </c>
      <c r="G83" s="244">
        <v>0</v>
      </c>
      <c r="H83" s="244">
        <v>0</v>
      </c>
      <c r="I83" s="244">
        <f t="shared" ref="I83:AG83" si="50">$C80*$C83</f>
        <v>230000</v>
      </c>
      <c r="J83" s="244">
        <f t="shared" si="50"/>
        <v>230000</v>
      </c>
      <c r="K83" s="244">
        <f t="shared" si="50"/>
        <v>230000</v>
      </c>
      <c r="L83" s="244">
        <f t="shared" si="50"/>
        <v>230000</v>
      </c>
      <c r="M83" s="244">
        <f t="shared" si="50"/>
        <v>230000</v>
      </c>
      <c r="N83" s="244">
        <f t="shared" si="50"/>
        <v>230000</v>
      </c>
      <c r="O83" s="244">
        <f t="shared" si="50"/>
        <v>230000</v>
      </c>
      <c r="P83" s="244">
        <f t="shared" si="50"/>
        <v>230000</v>
      </c>
      <c r="Q83" s="244">
        <f t="shared" si="50"/>
        <v>230000</v>
      </c>
      <c r="R83" s="244">
        <f t="shared" si="50"/>
        <v>230000</v>
      </c>
      <c r="S83" s="244">
        <f t="shared" si="50"/>
        <v>230000</v>
      </c>
      <c r="T83" s="244">
        <f t="shared" si="50"/>
        <v>230000</v>
      </c>
      <c r="U83" s="244">
        <f t="shared" si="50"/>
        <v>230000</v>
      </c>
      <c r="V83" s="244">
        <f t="shared" si="50"/>
        <v>230000</v>
      </c>
      <c r="W83" s="244">
        <f t="shared" si="50"/>
        <v>230000</v>
      </c>
      <c r="X83" s="244">
        <f t="shared" si="50"/>
        <v>230000</v>
      </c>
      <c r="Y83" s="244">
        <f t="shared" si="50"/>
        <v>230000</v>
      </c>
      <c r="Z83" s="244">
        <f t="shared" si="50"/>
        <v>230000</v>
      </c>
      <c r="AA83" s="244">
        <f t="shared" si="50"/>
        <v>230000</v>
      </c>
      <c r="AB83" s="244">
        <f t="shared" si="50"/>
        <v>230000</v>
      </c>
      <c r="AC83" s="244">
        <f t="shared" si="50"/>
        <v>230000</v>
      </c>
      <c r="AD83" s="244">
        <f t="shared" si="50"/>
        <v>230000</v>
      </c>
      <c r="AE83" s="244">
        <f t="shared" si="50"/>
        <v>230000</v>
      </c>
      <c r="AF83" s="244">
        <f t="shared" si="50"/>
        <v>230000</v>
      </c>
      <c r="AG83" s="244">
        <f t="shared" si="50"/>
        <v>230000</v>
      </c>
      <c r="AH83" s="244">
        <v>0</v>
      </c>
      <c r="AI83" s="244">
        <v>0</v>
      </c>
      <c r="AJ83" s="244">
        <v>0</v>
      </c>
      <c r="AK83" s="244">
        <v>0</v>
      </c>
      <c r="AL83" s="244">
        <v>0</v>
      </c>
    </row>
    <row r="84" spans="2:40" x14ac:dyDescent="0.3">
      <c r="B84" s="489" t="s">
        <v>4075</v>
      </c>
      <c r="C84" s="489"/>
      <c r="D84" s="253">
        <f>SUM(D82:D83)</f>
        <v>0</v>
      </c>
      <c r="E84" s="253">
        <f>SUM(E82:E83)</f>
        <v>0</v>
      </c>
      <c r="F84" s="253">
        <f>SUM(F82:F83)</f>
        <v>0</v>
      </c>
      <c r="G84" s="253">
        <f>SUM(G82:G83)</f>
        <v>0</v>
      </c>
      <c r="H84" s="253">
        <f t="shared" ref="H84:AK84" si="51">SUM(H82:H83)</f>
        <v>230000</v>
      </c>
      <c r="I84" s="253">
        <f>SUM(I82:I83)</f>
        <v>460000</v>
      </c>
      <c r="J84" s="253">
        <f t="shared" si="51"/>
        <v>460000</v>
      </c>
      <c r="K84" s="253">
        <f t="shared" si="51"/>
        <v>460000</v>
      </c>
      <c r="L84" s="253">
        <f t="shared" si="51"/>
        <v>460000</v>
      </c>
      <c r="M84" s="253">
        <f t="shared" si="51"/>
        <v>460000</v>
      </c>
      <c r="N84" s="253">
        <f t="shared" si="51"/>
        <v>460000</v>
      </c>
      <c r="O84" s="253">
        <f t="shared" si="51"/>
        <v>460000</v>
      </c>
      <c r="P84" s="253">
        <f t="shared" si="51"/>
        <v>460000</v>
      </c>
      <c r="Q84" s="253">
        <f>SUM(Q82:Q83)</f>
        <v>460000</v>
      </c>
      <c r="R84" s="253">
        <f>SUM(R82:R83)</f>
        <v>460000</v>
      </c>
      <c r="S84" s="253">
        <f t="shared" si="51"/>
        <v>460000</v>
      </c>
      <c r="T84" s="253">
        <f t="shared" si="51"/>
        <v>460000</v>
      </c>
      <c r="U84" s="253">
        <f t="shared" si="51"/>
        <v>460000</v>
      </c>
      <c r="V84" s="253">
        <f t="shared" si="51"/>
        <v>460000</v>
      </c>
      <c r="W84" s="253">
        <f t="shared" si="51"/>
        <v>460000</v>
      </c>
      <c r="X84" s="253">
        <f t="shared" si="51"/>
        <v>460000</v>
      </c>
      <c r="Y84" s="253">
        <f t="shared" si="51"/>
        <v>460000</v>
      </c>
      <c r="Z84" s="253">
        <f t="shared" si="51"/>
        <v>460000</v>
      </c>
      <c r="AA84" s="253">
        <f t="shared" si="51"/>
        <v>460000</v>
      </c>
      <c r="AB84" s="253">
        <f t="shared" si="51"/>
        <v>460000</v>
      </c>
      <c r="AC84" s="253">
        <f t="shared" si="51"/>
        <v>460000</v>
      </c>
      <c r="AD84" s="253">
        <f t="shared" si="51"/>
        <v>460000</v>
      </c>
      <c r="AE84" s="253">
        <f t="shared" si="51"/>
        <v>460000</v>
      </c>
      <c r="AF84" s="253">
        <f t="shared" si="51"/>
        <v>460000</v>
      </c>
      <c r="AG84" s="253">
        <f t="shared" si="51"/>
        <v>230000</v>
      </c>
      <c r="AH84" s="253">
        <f t="shared" si="51"/>
        <v>0</v>
      </c>
      <c r="AI84" s="253">
        <f t="shared" si="51"/>
        <v>0</v>
      </c>
      <c r="AJ84" s="253">
        <f t="shared" si="51"/>
        <v>0</v>
      </c>
      <c r="AK84" s="253">
        <f t="shared" si="51"/>
        <v>0</v>
      </c>
      <c r="AL84" s="253">
        <f>SUM(AL82:AL83)</f>
        <v>0</v>
      </c>
      <c r="AN84" s="244">
        <f>SUM(D84:AL84)</f>
        <v>11500000</v>
      </c>
    </row>
    <row r="86" spans="2:40" x14ac:dyDescent="0.3">
      <c r="B86" s="429" t="s">
        <v>4035</v>
      </c>
      <c r="C86" s="490">
        <v>0.1</v>
      </c>
      <c r="D86" s="488" t="s">
        <v>3701</v>
      </c>
      <c r="E86" s="488" t="s">
        <v>3702</v>
      </c>
      <c r="F86" s="488" t="s">
        <v>3703</v>
      </c>
      <c r="G86" s="488" t="s">
        <v>3704</v>
      </c>
      <c r="H86" s="488" t="s">
        <v>3705</v>
      </c>
      <c r="I86" s="488" t="s">
        <v>3706</v>
      </c>
      <c r="J86" s="488" t="s">
        <v>3707</v>
      </c>
      <c r="K86" s="488" t="s">
        <v>3708</v>
      </c>
      <c r="L86" s="488" t="s">
        <v>3709</v>
      </c>
      <c r="M86" s="488" t="s">
        <v>3710</v>
      </c>
      <c r="N86" s="488" t="s">
        <v>3711</v>
      </c>
      <c r="O86" s="488" t="s">
        <v>3712</v>
      </c>
      <c r="P86" s="488" t="s">
        <v>3713</v>
      </c>
      <c r="Q86" s="488" t="s">
        <v>3714</v>
      </c>
      <c r="R86" s="488" t="s">
        <v>3715</v>
      </c>
      <c r="S86" s="488" t="s">
        <v>3716</v>
      </c>
      <c r="T86" s="488" t="s">
        <v>3717</v>
      </c>
      <c r="U86" s="488" t="s">
        <v>3718</v>
      </c>
      <c r="V86" s="488" t="s">
        <v>3719</v>
      </c>
      <c r="W86" s="488" t="s">
        <v>3720</v>
      </c>
      <c r="X86" s="488" t="s">
        <v>3721</v>
      </c>
      <c r="Y86" s="488" t="s">
        <v>3722</v>
      </c>
      <c r="Z86" s="488" t="s">
        <v>3723</v>
      </c>
      <c r="AA86" s="488" t="s">
        <v>3724</v>
      </c>
      <c r="AB86" s="488" t="s">
        <v>3725</v>
      </c>
      <c r="AC86" s="488" t="s">
        <v>3726</v>
      </c>
      <c r="AD86" s="488" t="s">
        <v>3727</v>
      </c>
      <c r="AE86" s="488" t="s">
        <v>3728</v>
      </c>
      <c r="AF86" s="488" t="s">
        <v>3729</v>
      </c>
      <c r="AG86" s="488" t="s">
        <v>3730</v>
      </c>
      <c r="AH86" s="488" t="s">
        <v>3731</v>
      </c>
      <c r="AI86" s="488" t="s">
        <v>3732</v>
      </c>
      <c r="AJ86" s="488" t="s">
        <v>3733</v>
      </c>
      <c r="AK86" s="488" t="s">
        <v>3734</v>
      </c>
      <c r="AL86" s="488" t="s">
        <v>3735</v>
      </c>
    </row>
    <row r="87" spans="2:40" x14ac:dyDescent="0.3">
      <c r="B87" s="433" t="s">
        <v>3859</v>
      </c>
      <c r="C87" s="488"/>
      <c r="D87" s="488"/>
      <c r="E87" s="488"/>
      <c r="F87" s="488"/>
      <c r="G87" s="488"/>
      <c r="H87" s="488"/>
      <c r="I87" s="488"/>
      <c r="J87" s="488"/>
      <c r="K87" s="488"/>
      <c r="L87" s="488"/>
      <c r="M87" s="488"/>
      <c r="N87" s="488"/>
      <c r="O87" s="488"/>
      <c r="P87" s="488"/>
      <c r="Q87" s="488"/>
      <c r="R87" s="488"/>
      <c r="S87" s="488"/>
      <c r="T87" s="488"/>
      <c r="U87" s="488"/>
      <c r="V87" s="488"/>
      <c r="W87" s="488"/>
      <c r="X87" s="488"/>
      <c r="Y87" s="488"/>
      <c r="Z87" s="488"/>
      <c r="AA87" s="488"/>
      <c r="AB87" s="488"/>
      <c r="AC87" s="488"/>
      <c r="AD87" s="488"/>
      <c r="AE87" s="488"/>
      <c r="AF87" s="488"/>
      <c r="AG87" s="488"/>
      <c r="AH87" s="488"/>
      <c r="AI87" s="488"/>
      <c r="AJ87" s="488"/>
      <c r="AK87" s="488"/>
      <c r="AL87" s="488"/>
    </row>
    <row r="88" spans="2:40" x14ac:dyDescent="0.3">
      <c r="B88" s="254" t="s">
        <v>3705</v>
      </c>
      <c r="C88" s="244">
        <v>750000</v>
      </c>
      <c r="D88" s="244">
        <v>0</v>
      </c>
      <c r="E88" s="244">
        <v>0</v>
      </c>
      <c r="F88" s="244">
        <v>0</v>
      </c>
      <c r="G88" s="244">
        <v>0</v>
      </c>
      <c r="H88" s="244">
        <f t="shared" ref="H88:Q88" si="52">$C86*$C88</f>
        <v>75000</v>
      </c>
      <c r="I88" s="244">
        <f t="shared" si="52"/>
        <v>75000</v>
      </c>
      <c r="J88" s="244">
        <f t="shared" si="52"/>
        <v>75000</v>
      </c>
      <c r="K88" s="244">
        <f t="shared" si="52"/>
        <v>75000</v>
      </c>
      <c r="L88" s="244">
        <f t="shared" si="52"/>
        <v>75000</v>
      </c>
      <c r="M88" s="244">
        <f t="shared" si="52"/>
        <v>75000</v>
      </c>
      <c r="N88" s="244">
        <f t="shared" si="52"/>
        <v>75000</v>
      </c>
      <c r="O88" s="244">
        <f t="shared" si="52"/>
        <v>75000</v>
      </c>
      <c r="P88" s="244">
        <f t="shared" si="52"/>
        <v>75000</v>
      </c>
      <c r="Q88" s="244">
        <f t="shared" si="52"/>
        <v>75000</v>
      </c>
      <c r="R88" s="244">
        <v>0</v>
      </c>
      <c r="S88" s="244">
        <v>0</v>
      </c>
      <c r="T88" s="244">
        <v>0</v>
      </c>
      <c r="U88" s="244">
        <v>0</v>
      </c>
      <c r="V88" s="244">
        <v>0</v>
      </c>
      <c r="W88" s="244">
        <v>0</v>
      </c>
      <c r="X88" s="244">
        <v>0</v>
      </c>
      <c r="Y88" s="244">
        <v>0</v>
      </c>
      <c r="Z88" s="244">
        <v>0</v>
      </c>
      <c r="AA88" s="244">
        <v>0</v>
      </c>
      <c r="AB88" s="244">
        <v>0</v>
      </c>
      <c r="AC88" s="244">
        <v>0</v>
      </c>
      <c r="AD88" s="244">
        <v>0</v>
      </c>
      <c r="AE88" s="244">
        <v>0</v>
      </c>
      <c r="AF88" s="244">
        <v>0</v>
      </c>
      <c r="AG88" s="244">
        <v>0</v>
      </c>
      <c r="AH88" s="244">
        <v>0</v>
      </c>
      <c r="AI88" s="244">
        <v>0</v>
      </c>
      <c r="AJ88" s="244">
        <v>0</v>
      </c>
      <c r="AK88" s="244">
        <v>0</v>
      </c>
      <c r="AL88" s="244">
        <v>0</v>
      </c>
    </row>
    <row r="89" spans="2:40" x14ac:dyDescent="0.3">
      <c r="B89" s="489" t="s">
        <v>4075</v>
      </c>
      <c r="C89" s="489"/>
      <c r="D89" s="253">
        <f t="shared" ref="D89:AL89" si="53">SUM(D88:D88)</f>
        <v>0</v>
      </c>
      <c r="E89" s="253">
        <f t="shared" si="53"/>
        <v>0</v>
      </c>
      <c r="F89" s="253">
        <f t="shared" si="53"/>
        <v>0</v>
      </c>
      <c r="G89" s="253">
        <f t="shared" si="53"/>
        <v>0</v>
      </c>
      <c r="H89" s="253">
        <f t="shared" si="53"/>
        <v>75000</v>
      </c>
      <c r="I89" s="253">
        <f t="shared" si="53"/>
        <v>75000</v>
      </c>
      <c r="J89" s="253">
        <f t="shared" si="53"/>
        <v>75000</v>
      </c>
      <c r="K89" s="253">
        <f t="shared" si="53"/>
        <v>75000</v>
      </c>
      <c r="L89" s="253">
        <f t="shared" si="53"/>
        <v>75000</v>
      </c>
      <c r="M89" s="253">
        <f t="shared" si="53"/>
        <v>75000</v>
      </c>
      <c r="N89" s="253">
        <f t="shared" si="53"/>
        <v>75000</v>
      </c>
      <c r="O89" s="253">
        <f t="shared" si="53"/>
        <v>75000</v>
      </c>
      <c r="P89" s="253">
        <f t="shared" si="53"/>
        <v>75000</v>
      </c>
      <c r="Q89" s="253">
        <f t="shared" si="53"/>
        <v>75000</v>
      </c>
      <c r="R89" s="253">
        <f t="shared" si="53"/>
        <v>0</v>
      </c>
      <c r="S89" s="253">
        <f t="shared" si="53"/>
        <v>0</v>
      </c>
      <c r="T89" s="253">
        <f t="shared" si="53"/>
        <v>0</v>
      </c>
      <c r="U89" s="253">
        <f t="shared" si="53"/>
        <v>0</v>
      </c>
      <c r="V89" s="253">
        <f t="shared" si="53"/>
        <v>0</v>
      </c>
      <c r="W89" s="253">
        <f t="shared" si="53"/>
        <v>0</v>
      </c>
      <c r="X89" s="253">
        <f t="shared" si="53"/>
        <v>0</v>
      </c>
      <c r="Y89" s="253">
        <f t="shared" si="53"/>
        <v>0</v>
      </c>
      <c r="Z89" s="253">
        <f t="shared" si="53"/>
        <v>0</v>
      </c>
      <c r="AA89" s="253">
        <f t="shared" si="53"/>
        <v>0</v>
      </c>
      <c r="AB89" s="253">
        <f t="shared" si="53"/>
        <v>0</v>
      </c>
      <c r="AC89" s="253">
        <f t="shared" si="53"/>
        <v>0</v>
      </c>
      <c r="AD89" s="253">
        <f t="shared" si="53"/>
        <v>0</v>
      </c>
      <c r="AE89" s="253">
        <f t="shared" si="53"/>
        <v>0</v>
      </c>
      <c r="AF89" s="253">
        <f t="shared" si="53"/>
        <v>0</v>
      </c>
      <c r="AG89" s="253">
        <f t="shared" si="53"/>
        <v>0</v>
      </c>
      <c r="AH89" s="253">
        <f t="shared" si="53"/>
        <v>0</v>
      </c>
      <c r="AI89" s="253">
        <f t="shared" si="53"/>
        <v>0</v>
      </c>
      <c r="AJ89" s="253">
        <f t="shared" si="53"/>
        <v>0</v>
      </c>
      <c r="AK89" s="253">
        <f t="shared" si="53"/>
        <v>0</v>
      </c>
      <c r="AL89" s="253">
        <f t="shared" si="53"/>
        <v>0</v>
      </c>
      <c r="AN89" s="244">
        <f>SUM(D89:AL89)</f>
        <v>750000</v>
      </c>
    </row>
    <row r="91" spans="2:40" x14ac:dyDescent="0.3">
      <c r="B91" s="429" t="s">
        <v>4035</v>
      </c>
      <c r="C91" s="490">
        <v>0.1</v>
      </c>
      <c r="D91" s="488" t="s">
        <v>3701</v>
      </c>
      <c r="E91" s="488" t="s">
        <v>3702</v>
      </c>
      <c r="F91" s="488" t="s">
        <v>3703</v>
      </c>
      <c r="G91" s="488" t="s">
        <v>3704</v>
      </c>
      <c r="H91" s="488" t="s">
        <v>3705</v>
      </c>
      <c r="I91" s="488" t="s">
        <v>3706</v>
      </c>
      <c r="J91" s="488" t="s">
        <v>3707</v>
      </c>
      <c r="K91" s="488" t="s">
        <v>3708</v>
      </c>
      <c r="L91" s="488" t="s">
        <v>3709</v>
      </c>
      <c r="M91" s="488" t="s">
        <v>3710</v>
      </c>
      <c r="N91" s="488" t="s">
        <v>3711</v>
      </c>
      <c r="O91" s="488" t="s">
        <v>3712</v>
      </c>
      <c r="P91" s="488" t="s">
        <v>3713</v>
      </c>
      <c r="Q91" s="488" t="s">
        <v>3714</v>
      </c>
      <c r="R91" s="488" t="s">
        <v>3715</v>
      </c>
      <c r="S91" s="488" t="s">
        <v>3716</v>
      </c>
      <c r="T91" s="488" t="s">
        <v>3717</v>
      </c>
      <c r="U91" s="488" t="s">
        <v>3718</v>
      </c>
      <c r="V91" s="488" t="s">
        <v>3719</v>
      </c>
      <c r="W91" s="488" t="s">
        <v>3720</v>
      </c>
      <c r="X91" s="488" t="s">
        <v>3721</v>
      </c>
      <c r="Y91" s="488" t="s">
        <v>3722</v>
      </c>
      <c r="Z91" s="488" t="s">
        <v>3723</v>
      </c>
      <c r="AA91" s="488" t="s">
        <v>3724</v>
      </c>
      <c r="AB91" s="488" t="s">
        <v>3725</v>
      </c>
      <c r="AC91" s="488" t="s">
        <v>3726</v>
      </c>
      <c r="AD91" s="488" t="s">
        <v>3727</v>
      </c>
      <c r="AE91" s="488" t="s">
        <v>3728</v>
      </c>
      <c r="AF91" s="488" t="s">
        <v>3729</v>
      </c>
      <c r="AG91" s="488" t="s">
        <v>3730</v>
      </c>
      <c r="AH91" s="488" t="s">
        <v>3731</v>
      </c>
      <c r="AI91" s="488" t="s">
        <v>3732</v>
      </c>
      <c r="AJ91" s="488" t="s">
        <v>3733</v>
      </c>
      <c r="AK91" s="488" t="s">
        <v>3734</v>
      </c>
      <c r="AL91" s="488" t="s">
        <v>3735</v>
      </c>
    </row>
    <row r="92" spans="2:40" x14ac:dyDescent="0.3">
      <c r="B92" s="433" t="s">
        <v>3860</v>
      </c>
      <c r="C92" s="488"/>
      <c r="D92" s="488"/>
      <c r="E92" s="488"/>
      <c r="F92" s="488"/>
      <c r="G92" s="488"/>
      <c r="H92" s="488"/>
      <c r="I92" s="488"/>
      <c r="J92" s="488"/>
      <c r="K92" s="488"/>
      <c r="L92" s="488"/>
      <c r="M92" s="488"/>
      <c r="N92" s="488"/>
      <c r="O92" s="488"/>
      <c r="P92" s="488"/>
      <c r="Q92" s="488"/>
      <c r="R92" s="488"/>
      <c r="S92" s="488"/>
      <c r="T92" s="488"/>
      <c r="U92" s="488"/>
      <c r="V92" s="488"/>
      <c r="W92" s="488"/>
      <c r="X92" s="488"/>
      <c r="Y92" s="488"/>
      <c r="Z92" s="488"/>
      <c r="AA92" s="488"/>
      <c r="AB92" s="488"/>
      <c r="AC92" s="488"/>
      <c r="AD92" s="488"/>
      <c r="AE92" s="488"/>
      <c r="AF92" s="488"/>
      <c r="AG92" s="488"/>
      <c r="AH92" s="488"/>
      <c r="AI92" s="488"/>
      <c r="AJ92" s="488"/>
      <c r="AK92" s="488"/>
      <c r="AL92" s="488"/>
    </row>
    <row r="93" spans="2:40" x14ac:dyDescent="0.3">
      <c r="B93" s="254" t="s">
        <v>3702</v>
      </c>
      <c r="C93" s="244">
        <v>300000</v>
      </c>
      <c r="D93" s="244">
        <v>0</v>
      </c>
      <c r="E93" s="244">
        <v>0</v>
      </c>
      <c r="F93" s="244">
        <f t="shared" ref="F93:O93" si="54">$C91*$C93</f>
        <v>30000</v>
      </c>
      <c r="G93" s="244">
        <f t="shared" si="54"/>
        <v>30000</v>
      </c>
      <c r="H93" s="244">
        <f t="shared" si="54"/>
        <v>30000</v>
      </c>
      <c r="I93" s="244">
        <f t="shared" si="54"/>
        <v>30000</v>
      </c>
      <c r="J93" s="244">
        <f t="shared" si="54"/>
        <v>30000</v>
      </c>
      <c r="K93" s="244">
        <f t="shared" si="54"/>
        <v>30000</v>
      </c>
      <c r="L93" s="244">
        <f t="shared" si="54"/>
        <v>30000</v>
      </c>
      <c r="M93" s="244">
        <f t="shared" si="54"/>
        <v>30000</v>
      </c>
      <c r="N93" s="244">
        <f t="shared" si="54"/>
        <v>30000</v>
      </c>
      <c r="O93" s="244">
        <f t="shared" si="54"/>
        <v>30000</v>
      </c>
      <c r="P93" s="244">
        <v>0</v>
      </c>
      <c r="Q93" s="244">
        <v>0</v>
      </c>
      <c r="R93" s="244">
        <v>0</v>
      </c>
      <c r="S93" s="244">
        <v>0</v>
      </c>
      <c r="T93" s="244">
        <v>0</v>
      </c>
      <c r="U93" s="244">
        <v>0</v>
      </c>
      <c r="V93" s="244">
        <v>0</v>
      </c>
      <c r="W93" s="244">
        <v>0</v>
      </c>
      <c r="X93" s="244">
        <v>0</v>
      </c>
      <c r="Y93" s="244">
        <v>0</v>
      </c>
      <c r="Z93" s="244">
        <v>0</v>
      </c>
      <c r="AA93" s="244">
        <v>0</v>
      </c>
      <c r="AB93" s="244">
        <v>0</v>
      </c>
      <c r="AC93" s="244">
        <v>0</v>
      </c>
      <c r="AD93" s="244">
        <v>0</v>
      </c>
      <c r="AE93" s="244">
        <v>0</v>
      </c>
      <c r="AF93" s="244">
        <v>0</v>
      </c>
      <c r="AG93" s="244">
        <v>0</v>
      </c>
      <c r="AH93" s="244">
        <v>0</v>
      </c>
      <c r="AI93" s="244">
        <v>0</v>
      </c>
      <c r="AJ93" s="244">
        <v>0</v>
      </c>
      <c r="AK93" s="244">
        <v>0</v>
      </c>
      <c r="AL93" s="244">
        <v>0</v>
      </c>
    </row>
    <row r="94" spans="2:40" x14ac:dyDescent="0.3">
      <c r="B94" s="254" t="s">
        <v>3704</v>
      </c>
      <c r="C94" s="244">
        <v>300000</v>
      </c>
      <c r="D94" s="244">
        <v>0</v>
      </c>
      <c r="E94" s="244">
        <v>0</v>
      </c>
      <c r="F94" s="244">
        <v>0</v>
      </c>
      <c r="G94" s="244">
        <v>0</v>
      </c>
      <c r="H94" s="244">
        <f>$C91*$C94</f>
        <v>30000</v>
      </c>
      <c r="I94" s="244">
        <f t="shared" ref="I94:Q94" si="55">$C91*$C94</f>
        <v>30000</v>
      </c>
      <c r="J94" s="244">
        <f t="shared" si="55"/>
        <v>30000</v>
      </c>
      <c r="K94" s="244">
        <f t="shared" si="55"/>
        <v>30000</v>
      </c>
      <c r="L94" s="244">
        <f t="shared" si="55"/>
        <v>30000</v>
      </c>
      <c r="M94" s="244">
        <f t="shared" si="55"/>
        <v>30000</v>
      </c>
      <c r="N94" s="244">
        <f t="shared" si="55"/>
        <v>30000</v>
      </c>
      <c r="O94" s="244">
        <f t="shared" si="55"/>
        <v>30000</v>
      </c>
      <c r="P94" s="244">
        <f t="shared" si="55"/>
        <v>30000</v>
      </c>
      <c r="Q94" s="244">
        <f t="shared" si="55"/>
        <v>30000</v>
      </c>
      <c r="R94" s="244">
        <v>0</v>
      </c>
      <c r="S94" s="244">
        <v>0</v>
      </c>
      <c r="T94" s="244">
        <v>0</v>
      </c>
      <c r="U94" s="244">
        <v>0</v>
      </c>
      <c r="V94" s="244">
        <v>0</v>
      </c>
      <c r="W94" s="244">
        <v>0</v>
      </c>
      <c r="X94" s="244">
        <v>0</v>
      </c>
      <c r="Y94" s="244">
        <v>0</v>
      </c>
      <c r="Z94" s="244">
        <v>0</v>
      </c>
      <c r="AA94" s="244">
        <v>0</v>
      </c>
      <c r="AB94" s="244">
        <v>0</v>
      </c>
      <c r="AC94" s="244">
        <v>0</v>
      </c>
      <c r="AD94" s="244">
        <v>0</v>
      </c>
      <c r="AE94" s="244">
        <v>0</v>
      </c>
      <c r="AF94" s="244">
        <v>0</v>
      </c>
      <c r="AG94" s="244">
        <v>0</v>
      </c>
      <c r="AH94" s="244">
        <v>0</v>
      </c>
      <c r="AI94" s="244">
        <v>0</v>
      </c>
      <c r="AJ94" s="244">
        <v>0</v>
      </c>
      <c r="AK94" s="244">
        <v>0</v>
      </c>
      <c r="AL94" s="244">
        <v>0</v>
      </c>
    </row>
    <row r="95" spans="2:40" x14ac:dyDescent="0.3">
      <c r="B95" s="254" t="s">
        <v>3705</v>
      </c>
      <c r="C95" s="244">
        <v>300000</v>
      </c>
      <c r="D95" s="244">
        <v>0</v>
      </c>
      <c r="E95" s="244">
        <v>0</v>
      </c>
      <c r="F95" s="244">
        <v>0</v>
      </c>
      <c r="G95" s="244">
        <v>0</v>
      </c>
      <c r="H95" s="244">
        <v>0</v>
      </c>
      <c r="I95" s="244">
        <f t="shared" ref="I95:R95" si="56">$C91*$C95</f>
        <v>30000</v>
      </c>
      <c r="J95" s="244">
        <f t="shared" si="56"/>
        <v>30000</v>
      </c>
      <c r="K95" s="244">
        <f t="shared" si="56"/>
        <v>30000</v>
      </c>
      <c r="L95" s="244">
        <f t="shared" si="56"/>
        <v>30000</v>
      </c>
      <c r="M95" s="244">
        <f t="shared" si="56"/>
        <v>30000</v>
      </c>
      <c r="N95" s="244">
        <f t="shared" si="56"/>
        <v>30000</v>
      </c>
      <c r="O95" s="244">
        <f t="shared" si="56"/>
        <v>30000</v>
      </c>
      <c r="P95" s="244">
        <f t="shared" si="56"/>
        <v>30000</v>
      </c>
      <c r="Q95" s="244">
        <f t="shared" si="56"/>
        <v>30000</v>
      </c>
      <c r="R95" s="244">
        <f t="shared" si="56"/>
        <v>30000</v>
      </c>
      <c r="S95" s="244">
        <v>0</v>
      </c>
      <c r="T95" s="244">
        <v>0</v>
      </c>
      <c r="U95" s="244">
        <v>0</v>
      </c>
      <c r="V95" s="244">
        <v>0</v>
      </c>
      <c r="W95" s="244">
        <v>0</v>
      </c>
      <c r="X95" s="244">
        <v>0</v>
      </c>
      <c r="Y95" s="244">
        <v>0</v>
      </c>
      <c r="Z95" s="244">
        <v>0</v>
      </c>
      <c r="AA95" s="244">
        <v>0</v>
      </c>
      <c r="AB95" s="244">
        <v>0</v>
      </c>
      <c r="AC95" s="244">
        <v>0</v>
      </c>
      <c r="AD95" s="244">
        <v>0</v>
      </c>
      <c r="AE95" s="244">
        <v>0</v>
      </c>
      <c r="AF95" s="244">
        <v>0</v>
      </c>
      <c r="AG95" s="244">
        <v>0</v>
      </c>
      <c r="AH95" s="244">
        <v>0</v>
      </c>
      <c r="AI95" s="244">
        <v>0</v>
      </c>
      <c r="AJ95" s="244">
        <v>0</v>
      </c>
      <c r="AK95" s="244">
        <v>0</v>
      </c>
      <c r="AL95" s="244">
        <v>0</v>
      </c>
    </row>
    <row r="96" spans="2:40" x14ac:dyDescent="0.3">
      <c r="B96" s="489" t="s">
        <v>4075</v>
      </c>
      <c r="C96" s="489"/>
      <c r="D96" s="253">
        <f>SUM(D93:D95)</f>
        <v>0</v>
      </c>
      <c r="E96" s="253">
        <f>SUM(E93:E95)</f>
        <v>0</v>
      </c>
      <c r="F96" s="253">
        <f>SUM(F93:F95)</f>
        <v>30000</v>
      </c>
      <c r="G96" s="253">
        <f>SUM(G93:G95)</f>
        <v>30000</v>
      </c>
      <c r="H96" s="253">
        <f t="shared" ref="H96:AK96" si="57">SUM(H93:H95)</f>
        <v>60000</v>
      </c>
      <c r="I96" s="253">
        <f t="shared" si="57"/>
        <v>90000</v>
      </c>
      <c r="J96" s="253">
        <f t="shared" si="57"/>
        <v>90000</v>
      </c>
      <c r="K96" s="253">
        <f t="shared" si="57"/>
        <v>90000</v>
      </c>
      <c r="L96" s="253">
        <f t="shared" si="57"/>
        <v>90000</v>
      </c>
      <c r="M96" s="253">
        <f t="shared" si="57"/>
        <v>90000</v>
      </c>
      <c r="N96" s="253">
        <f t="shared" si="57"/>
        <v>90000</v>
      </c>
      <c r="O96" s="253">
        <f t="shared" si="57"/>
        <v>90000</v>
      </c>
      <c r="P96" s="253">
        <f t="shared" si="57"/>
        <v>60000</v>
      </c>
      <c r="Q96" s="253">
        <f t="shared" si="57"/>
        <v>60000</v>
      </c>
      <c r="R96" s="253">
        <f t="shared" si="57"/>
        <v>30000</v>
      </c>
      <c r="S96" s="253">
        <f t="shared" si="57"/>
        <v>0</v>
      </c>
      <c r="T96" s="253">
        <f t="shared" si="57"/>
        <v>0</v>
      </c>
      <c r="U96" s="253">
        <f t="shared" si="57"/>
        <v>0</v>
      </c>
      <c r="V96" s="253">
        <f t="shared" si="57"/>
        <v>0</v>
      </c>
      <c r="W96" s="253">
        <f t="shared" si="57"/>
        <v>0</v>
      </c>
      <c r="X96" s="253">
        <f t="shared" si="57"/>
        <v>0</v>
      </c>
      <c r="Y96" s="253">
        <f t="shared" si="57"/>
        <v>0</v>
      </c>
      <c r="Z96" s="253">
        <f t="shared" si="57"/>
        <v>0</v>
      </c>
      <c r="AA96" s="253">
        <f t="shared" si="57"/>
        <v>0</v>
      </c>
      <c r="AB96" s="253">
        <f t="shared" si="57"/>
        <v>0</v>
      </c>
      <c r="AC96" s="253">
        <f t="shared" si="57"/>
        <v>0</v>
      </c>
      <c r="AD96" s="253">
        <f t="shared" si="57"/>
        <v>0</v>
      </c>
      <c r="AE96" s="253">
        <f t="shared" si="57"/>
        <v>0</v>
      </c>
      <c r="AF96" s="253">
        <f t="shared" si="57"/>
        <v>0</v>
      </c>
      <c r="AG96" s="253">
        <f t="shared" si="57"/>
        <v>0</v>
      </c>
      <c r="AH96" s="253">
        <f t="shared" si="57"/>
        <v>0</v>
      </c>
      <c r="AI96" s="253">
        <f t="shared" si="57"/>
        <v>0</v>
      </c>
      <c r="AJ96" s="253">
        <f t="shared" si="57"/>
        <v>0</v>
      </c>
      <c r="AK96" s="253">
        <f t="shared" si="57"/>
        <v>0</v>
      </c>
      <c r="AL96" s="253">
        <f>SUM(AL93:AL95)</f>
        <v>0</v>
      </c>
      <c r="AN96" s="244">
        <f>SUM(D96:AL96)</f>
        <v>900000</v>
      </c>
    </row>
    <row r="98" spans="2:40" x14ac:dyDescent="0.3">
      <c r="B98" s="429" t="s">
        <v>4035</v>
      </c>
      <c r="C98" s="490">
        <v>0.1</v>
      </c>
      <c r="D98" s="488" t="s">
        <v>3701</v>
      </c>
      <c r="E98" s="488" t="s">
        <v>3702</v>
      </c>
      <c r="F98" s="488" t="s">
        <v>3703</v>
      </c>
      <c r="G98" s="488" t="s">
        <v>3704</v>
      </c>
      <c r="H98" s="488" t="s">
        <v>3705</v>
      </c>
      <c r="I98" s="488" t="s">
        <v>3706</v>
      </c>
      <c r="J98" s="488" t="s">
        <v>3707</v>
      </c>
      <c r="K98" s="488" t="s">
        <v>3708</v>
      </c>
      <c r="L98" s="488" t="s">
        <v>3709</v>
      </c>
      <c r="M98" s="488" t="s">
        <v>3710</v>
      </c>
      <c r="N98" s="488" t="s">
        <v>3711</v>
      </c>
      <c r="O98" s="488" t="s">
        <v>3712</v>
      </c>
      <c r="P98" s="488" t="s">
        <v>3713</v>
      </c>
      <c r="Q98" s="488" t="s">
        <v>3714</v>
      </c>
      <c r="R98" s="488" t="s">
        <v>3715</v>
      </c>
      <c r="S98" s="488" t="s">
        <v>3716</v>
      </c>
      <c r="T98" s="488" t="s">
        <v>3717</v>
      </c>
      <c r="U98" s="488" t="s">
        <v>3718</v>
      </c>
      <c r="V98" s="488" t="s">
        <v>3719</v>
      </c>
      <c r="W98" s="488" t="s">
        <v>3720</v>
      </c>
      <c r="X98" s="488" t="s">
        <v>3721</v>
      </c>
      <c r="Y98" s="488" t="s">
        <v>3722</v>
      </c>
      <c r="Z98" s="488" t="s">
        <v>3723</v>
      </c>
      <c r="AA98" s="488" t="s">
        <v>3724</v>
      </c>
      <c r="AB98" s="488" t="s">
        <v>3725</v>
      </c>
      <c r="AC98" s="488" t="s">
        <v>3726</v>
      </c>
      <c r="AD98" s="488" t="s">
        <v>3727</v>
      </c>
      <c r="AE98" s="488" t="s">
        <v>3728</v>
      </c>
      <c r="AF98" s="488" t="s">
        <v>3729</v>
      </c>
      <c r="AG98" s="488" t="s">
        <v>3730</v>
      </c>
      <c r="AH98" s="488" t="s">
        <v>3731</v>
      </c>
      <c r="AI98" s="488" t="s">
        <v>3732</v>
      </c>
      <c r="AJ98" s="488" t="s">
        <v>3733</v>
      </c>
      <c r="AK98" s="488" t="s">
        <v>3734</v>
      </c>
      <c r="AL98" s="488" t="s">
        <v>3735</v>
      </c>
    </row>
    <row r="99" spans="2:40" x14ac:dyDescent="0.3">
      <c r="B99" s="433" t="s">
        <v>3862</v>
      </c>
      <c r="C99" s="488"/>
      <c r="D99" s="488"/>
      <c r="E99" s="488"/>
      <c r="F99" s="488"/>
      <c r="G99" s="488"/>
      <c r="H99" s="488"/>
      <c r="I99" s="488"/>
      <c r="J99" s="488"/>
      <c r="K99" s="488"/>
      <c r="L99" s="488"/>
      <c r="M99" s="488"/>
      <c r="N99" s="488"/>
      <c r="O99" s="488"/>
      <c r="P99" s="488"/>
      <c r="Q99" s="488"/>
      <c r="R99" s="488"/>
      <c r="S99" s="488"/>
      <c r="T99" s="488"/>
      <c r="U99" s="488"/>
      <c r="V99" s="488"/>
      <c r="W99" s="488"/>
      <c r="X99" s="488"/>
      <c r="Y99" s="488"/>
      <c r="Z99" s="488"/>
      <c r="AA99" s="488"/>
      <c r="AB99" s="488"/>
      <c r="AC99" s="488"/>
      <c r="AD99" s="488"/>
      <c r="AE99" s="488"/>
      <c r="AF99" s="488"/>
      <c r="AG99" s="488"/>
      <c r="AH99" s="488"/>
      <c r="AI99" s="488"/>
      <c r="AJ99" s="488"/>
      <c r="AK99" s="488"/>
      <c r="AL99" s="488"/>
    </row>
    <row r="100" spans="2:40" x14ac:dyDescent="0.3">
      <c r="B100" s="254" t="s">
        <v>3701</v>
      </c>
      <c r="C100" s="244">
        <v>30000</v>
      </c>
      <c r="D100" s="244">
        <v>0</v>
      </c>
      <c r="E100" s="244">
        <f t="shared" ref="E100:N100" si="58">$C98*$C100</f>
        <v>3000</v>
      </c>
      <c r="F100" s="244">
        <f t="shared" si="58"/>
        <v>3000</v>
      </c>
      <c r="G100" s="244">
        <f t="shared" si="58"/>
        <v>3000</v>
      </c>
      <c r="H100" s="244">
        <f t="shared" si="58"/>
        <v>3000</v>
      </c>
      <c r="I100" s="244">
        <f t="shared" si="58"/>
        <v>3000</v>
      </c>
      <c r="J100" s="244">
        <f t="shared" si="58"/>
        <v>3000</v>
      </c>
      <c r="K100" s="244">
        <f t="shared" si="58"/>
        <v>3000</v>
      </c>
      <c r="L100" s="244">
        <f t="shared" si="58"/>
        <v>3000</v>
      </c>
      <c r="M100" s="244">
        <f t="shared" si="58"/>
        <v>3000</v>
      </c>
      <c r="N100" s="244">
        <f t="shared" si="58"/>
        <v>3000</v>
      </c>
      <c r="O100" s="244">
        <v>0</v>
      </c>
      <c r="P100" s="244">
        <v>0</v>
      </c>
      <c r="Q100" s="244">
        <v>0</v>
      </c>
      <c r="R100" s="244">
        <v>0</v>
      </c>
      <c r="S100" s="244">
        <v>0</v>
      </c>
      <c r="T100" s="244">
        <v>0</v>
      </c>
      <c r="U100" s="244">
        <v>0</v>
      </c>
      <c r="V100" s="244">
        <v>0</v>
      </c>
      <c r="W100" s="244">
        <v>0</v>
      </c>
      <c r="X100" s="244">
        <v>0</v>
      </c>
      <c r="Y100" s="244">
        <v>0</v>
      </c>
      <c r="Z100" s="244">
        <v>0</v>
      </c>
      <c r="AA100" s="244">
        <v>0</v>
      </c>
      <c r="AB100" s="244">
        <v>0</v>
      </c>
      <c r="AC100" s="244">
        <v>0</v>
      </c>
      <c r="AD100" s="244">
        <v>0</v>
      </c>
      <c r="AE100" s="244">
        <v>0</v>
      </c>
      <c r="AF100" s="244">
        <v>0</v>
      </c>
      <c r="AG100" s="244">
        <v>0</v>
      </c>
      <c r="AH100" s="244">
        <v>0</v>
      </c>
      <c r="AI100" s="244">
        <v>0</v>
      </c>
      <c r="AJ100" s="244">
        <v>0</v>
      </c>
      <c r="AK100" s="244">
        <v>0</v>
      </c>
      <c r="AL100" s="244">
        <v>0</v>
      </c>
    </row>
    <row r="101" spans="2:40" x14ac:dyDescent="0.3">
      <c r="B101" s="254" t="s">
        <v>3703</v>
      </c>
      <c r="C101" s="244">
        <v>150000</v>
      </c>
      <c r="D101" s="244">
        <v>0</v>
      </c>
      <c r="E101" s="244">
        <v>0</v>
      </c>
      <c r="F101" s="244">
        <v>0</v>
      </c>
      <c r="G101" s="244">
        <f t="shared" ref="G101:P101" si="59">$C98*$C101</f>
        <v>15000</v>
      </c>
      <c r="H101" s="244">
        <f t="shared" si="59"/>
        <v>15000</v>
      </c>
      <c r="I101" s="244">
        <f t="shared" si="59"/>
        <v>15000</v>
      </c>
      <c r="J101" s="244">
        <f t="shared" si="59"/>
        <v>15000</v>
      </c>
      <c r="K101" s="244">
        <f t="shared" si="59"/>
        <v>15000</v>
      </c>
      <c r="L101" s="244">
        <f t="shared" si="59"/>
        <v>15000</v>
      </c>
      <c r="M101" s="244">
        <f t="shared" si="59"/>
        <v>15000</v>
      </c>
      <c r="N101" s="244">
        <f t="shared" si="59"/>
        <v>15000</v>
      </c>
      <c r="O101" s="244">
        <f t="shared" si="59"/>
        <v>15000</v>
      </c>
      <c r="P101" s="244">
        <f t="shared" si="59"/>
        <v>15000</v>
      </c>
      <c r="Q101" s="244">
        <v>0</v>
      </c>
      <c r="R101" s="244">
        <v>0</v>
      </c>
      <c r="S101" s="244">
        <v>0</v>
      </c>
      <c r="T101" s="244">
        <v>0</v>
      </c>
      <c r="U101" s="244">
        <v>0</v>
      </c>
      <c r="V101" s="244">
        <v>0</v>
      </c>
      <c r="W101" s="244">
        <v>0</v>
      </c>
      <c r="X101" s="244">
        <v>0</v>
      </c>
      <c r="Y101" s="244">
        <v>0</v>
      </c>
      <c r="Z101" s="244">
        <v>0</v>
      </c>
      <c r="AA101" s="244">
        <v>0</v>
      </c>
      <c r="AB101" s="244">
        <v>0</v>
      </c>
      <c r="AC101" s="244">
        <v>0</v>
      </c>
      <c r="AD101" s="244">
        <v>0</v>
      </c>
      <c r="AE101" s="244">
        <v>0</v>
      </c>
      <c r="AF101" s="244">
        <v>0</v>
      </c>
      <c r="AG101" s="244">
        <v>0</v>
      </c>
      <c r="AH101" s="244">
        <v>0</v>
      </c>
      <c r="AI101" s="244">
        <v>0</v>
      </c>
      <c r="AJ101" s="244">
        <v>0</v>
      </c>
      <c r="AK101" s="244">
        <v>0</v>
      </c>
      <c r="AL101" s="244">
        <v>0</v>
      </c>
    </row>
    <row r="102" spans="2:40" x14ac:dyDescent="0.3">
      <c r="B102" s="489" t="s">
        <v>4075</v>
      </c>
      <c r="C102" s="489"/>
      <c r="D102" s="253">
        <f>SUM(D100:D101)</f>
        <v>0</v>
      </c>
      <c r="E102" s="253">
        <f>SUM(E100:E101)</f>
        <v>3000</v>
      </c>
      <c r="F102" s="253">
        <f>SUM(F100:F101)</f>
        <v>3000</v>
      </c>
      <c r="G102" s="253">
        <f>SUM(G100:G101)</f>
        <v>18000</v>
      </c>
      <c r="H102" s="253">
        <f t="shared" ref="H102:AK102" si="60">SUM(H100:H101)</f>
        <v>18000</v>
      </c>
      <c r="I102" s="253">
        <f t="shared" si="60"/>
        <v>18000</v>
      </c>
      <c r="J102" s="253">
        <f t="shared" si="60"/>
        <v>18000</v>
      </c>
      <c r="K102" s="253">
        <f t="shared" si="60"/>
        <v>18000</v>
      </c>
      <c r="L102" s="253">
        <f t="shared" si="60"/>
        <v>18000</v>
      </c>
      <c r="M102" s="253">
        <f t="shared" si="60"/>
        <v>18000</v>
      </c>
      <c r="N102" s="253">
        <f t="shared" si="60"/>
        <v>18000</v>
      </c>
      <c r="O102" s="253">
        <f t="shared" si="60"/>
        <v>15000</v>
      </c>
      <c r="P102" s="253">
        <f t="shared" si="60"/>
        <v>15000</v>
      </c>
      <c r="Q102" s="253">
        <f t="shared" si="60"/>
        <v>0</v>
      </c>
      <c r="R102" s="253">
        <f t="shared" si="60"/>
        <v>0</v>
      </c>
      <c r="S102" s="253">
        <f t="shared" si="60"/>
        <v>0</v>
      </c>
      <c r="T102" s="253">
        <f t="shared" si="60"/>
        <v>0</v>
      </c>
      <c r="U102" s="253">
        <f t="shared" si="60"/>
        <v>0</v>
      </c>
      <c r="V102" s="253">
        <f t="shared" si="60"/>
        <v>0</v>
      </c>
      <c r="W102" s="253">
        <f t="shared" si="60"/>
        <v>0</v>
      </c>
      <c r="X102" s="253">
        <f t="shared" si="60"/>
        <v>0</v>
      </c>
      <c r="Y102" s="253">
        <f t="shared" si="60"/>
        <v>0</v>
      </c>
      <c r="Z102" s="253">
        <f t="shared" si="60"/>
        <v>0</v>
      </c>
      <c r="AA102" s="253">
        <f t="shared" si="60"/>
        <v>0</v>
      </c>
      <c r="AB102" s="253">
        <f t="shared" si="60"/>
        <v>0</v>
      </c>
      <c r="AC102" s="253">
        <f t="shared" si="60"/>
        <v>0</v>
      </c>
      <c r="AD102" s="253">
        <f t="shared" si="60"/>
        <v>0</v>
      </c>
      <c r="AE102" s="253">
        <f t="shared" si="60"/>
        <v>0</v>
      </c>
      <c r="AF102" s="253">
        <f t="shared" si="60"/>
        <v>0</v>
      </c>
      <c r="AG102" s="253">
        <f t="shared" si="60"/>
        <v>0</v>
      </c>
      <c r="AH102" s="253">
        <f t="shared" si="60"/>
        <v>0</v>
      </c>
      <c r="AI102" s="253">
        <f t="shared" si="60"/>
        <v>0</v>
      </c>
      <c r="AJ102" s="253">
        <f t="shared" si="60"/>
        <v>0</v>
      </c>
      <c r="AK102" s="253">
        <f t="shared" si="60"/>
        <v>0</v>
      </c>
      <c r="AL102" s="253">
        <f>SUM(AL100:AL101)</f>
        <v>0</v>
      </c>
      <c r="AN102" s="244">
        <f>SUM(D102:AL102)</f>
        <v>180000</v>
      </c>
    </row>
    <row r="104" spans="2:40" x14ac:dyDescent="0.3">
      <c r="B104" s="429" t="s">
        <v>4035</v>
      </c>
      <c r="C104" s="490">
        <v>0.1</v>
      </c>
      <c r="D104" s="488" t="s">
        <v>3701</v>
      </c>
      <c r="E104" s="488" t="s">
        <v>3702</v>
      </c>
      <c r="F104" s="488" t="s">
        <v>3703</v>
      </c>
      <c r="G104" s="488" t="s">
        <v>3704</v>
      </c>
      <c r="H104" s="488" t="s">
        <v>3705</v>
      </c>
      <c r="I104" s="488" t="s">
        <v>3706</v>
      </c>
      <c r="J104" s="488" t="s">
        <v>3707</v>
      </c>
      <c r="K104" s="488" t="s">
        <v>3708</v>
      </c>
      <c r="L104" s="488" t="s">
        <v>3709</v>
      </c>
      <c r="M104" s="488" t="s">
        <v>3710</v>
      </c>
      <c r="N104" s="488" t="s">
        <v>3711</v>
      </c>
      <c r="O104" s="488" t="s">
        <v>3712</v>
      </c>
      <c r="P104" s="488" t="s">
        <v>3713</v>
      </c>
      <c r="Q104" s="488" t="s">
        <v>3714</v>
      </c>
      <c r="R104" s="488" t="s">
        <v>3715</v>
      </c>
      <c r="S104" s="488" t="s">
        <v>3716</v>
      </c>
      <c r="T104" s="488" t="s">
        <v>3717</v>
      </c>
      <c r="U104" s="488" t="s">
        <v>3718</v>
      </c>
      <c r="V104" s="488" t="s">
        <v>3719</v>
      </c>
      <c r="W104" s="488" t="s">
        <v>3720</v>
      </c>
      <c r="X104" s="488" t="s">
        <v>3721</v>
      </c>
      <c r="Y104" s="488" t="s">
        <v>3722</v>
      </c>
      <c r="Z104" s="488" t="s">
        <v>3723</v>
      </c>
      <c r="AA104" s="488" t="s">
        <v>3724</v>
      </c>
      <c r="AB104" s="488" t="s">
        <v>3725</v>
      </c>
      <c r="AC104" s="488" t="s">
        <v>3726</v>
      </c>
      <c r="AD104" s="488" t="s">
        <v>3727</v>
      </c>
      <c r="AE104" s="488" t="s">
        <v>3728</v>
      </c>
      <c r="AF104" s="488" t="s">
        <v>3729</v>
      </c>
      <c r="AG104" s="488" t="s">
        <v>3730</v>
      </c>
      <c r="AH104" s="488" t="s">
        <v>3731</v>
      </c>
      <c r="AI104" s="488" t="s">
        <v>3732</v>
      </c>
      <c r="AJ104" s="488" t="s">
        <v>3733</v>
      </c>
      <c r="AK104" s="488" t="s">
        <v>3734</v>
      </c>
      <c r="AL104" s="488" t="s">
        <v>3735</v>
      </c>
    </row>
    <row r="105" spans="2:40" x14ac:dyDescent="0.3">
      <c r="B105" s="433" t="s">
        <v>3863</v>
      </c>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row>
    <row r="106" spans="2:40" x14ac:dyDescent="0.3">
      <c r="B106" s="254" t="s">
        <v>3702</v>
      </c>
      <c r="C106" s="244">
        <v>90000</v>
      </c>
      <c r="D106" s="244">
        <v>0</v>
      </c>
      <c r="E106" s="244">
        <v>0</v>
      </c>
      <c r="F106" s="244">
        <f t="shared" ref="F106:O106" si="61">$C104*$C106</f>
        <v>9000</v>
      </c>
      <c r="G106" s="244">
        <f t="shared" si="61"/>
        <v>9000</v>
      </c>
      <c r="H106" s="244">
        <f t="shared" si="61"/>
        <v>9000</v>
      </c>
      <c r="I106" s="244">
        <f t="shared" si="61"/>
        <v>9000</v>
      </c>
      <c r="J106" s="244">
        <f t="shared" si="61"/>
        <v>9000</v>
      </c>
      <c r="K106" s="244">
        <f t="shared" si="61"/>
        <v>9000</v>
      </c>
      <c r="L106" s="244">
        <f t="shared" si="61"/>
        <v>9000</v>
      </c>
      <c r="M106" s="244">
        <f t="shared" si="61"/>
        <v>9000</v>
      </c>
      <c r="N106" s="244">
        <f t="shared" si="61"/>
        <v>9000</v>
      </c>
      <c r="O106" s="244">
        <f t="shared" si="61"/>
        <v>9000</v>
      </c>
      <c r="P106" s="244">
        <v>0</v>
      </c>
      <c r="Q106" s="244">
        <v>0</v>
      </c>
      <c r="R106" s="244">
        <v>0</v>
      </c>
      <c r="S106" s="244">
        <v>0</v>
      </c>
      <c r="T106" s="244">
        <v>0</v>
      </c>
      <c r="U106" s="244">
        <v>0</v>
      </c>
      <c r="V106" s="244">
        <v>0</v>
      </c>
      <c r="W106" s="244">
        <v>0</v>
      </c>
      <c r="X106" s="244">
        <v>0</v>
      </c>
      <c r="Y106" s="244">
        <v>0</v>
      </c>
      <c r="Z106" s="244">
        <v>0</v>
      </c>
      <c r="AA106" s="244">
        <v>0</v>
      </c>
      <c r="AB106" s="244">
        <v>0</v>
      </c>
      <c r="AC106" s="244">
        <v>0</v>
      </c>
      <c r="AD106" s="244">
        <v>0</v>
      </c>
      <c r="AE106" s="244">
        <v>0</v>
      </c>
      <c r="AF106" s="244">
        <v>0</v>
      </c>
      <c r="AG106" s="244">
        <v>0</v>
      </c>
      <c r="AH106" s="244">
        <v>0</v>
      </c>
      <c r="AI106" s="244">
        <v>0</v>
      </c>
      <c r="AJ106" s="244">
        <v>0</v>
      </c>
      <c r="AK106" s="244">
        <v>0</v>
      </c>
      <c r="AL106" s="244">
        <v>0</v>
      </c>
    </row>
    <row r="107" spans="2:40" x14ac:dyDescent="0.3">
      <c r="B107" s="254" t="s">
        <v>3703</v>
      </c>
      <c r="C107" s="244">
        <v>90000</v>
      </c>
      <c r="D107" s="244">
        <v>0</v>
      </c>
      <c r="E107" s="244">
        <v>0</v>
      </c>
      <c r="F107" s="244">
        <v>0</v>
      </c>
      <c r="G107" s="244">
        <f t="shared" ref="G107:P107" si="62">$C104*$C107</f>
        <v>9000</v>
      </c>
      <c r="H107" s="244">
        <f t="shared" si="62"/>
        <v>9000</v>
      </c>
      <c r="I107" s="244">
        <f t="shared" si="62"/>
        <v>9000</v>
      </c>
      <c r="J107" s="244">
        <f t="shared" si="62"/>
        <v>9000</v>
      </c>
      <c r="K107" s="244">
        <f t="shared" si="62"/>
        <v>9000</v>
      </c>
      <c r="L107" s="244">
        <f t="shared" si="62"/>
        <v>9000</v>
      </c>
      <c r="M107" s="244">
        <f t="shared" si="62"/>
        <v>9000</v>
      </c>
      <c r="N107" s="244">
        <f t="shared" si="62"/>
        <v>9000</v>
      </c>
      <c r="O107" s="244">
        <f t="shared" si="62"/>
        <v>9000</v>
      </c>
      <c r="P107" s="244">
        <f t="shared" si="62"/>
        <v>9000</v>
      </c>
      <c r="Q107" s="244">
        <v>0</v>
      </c>
      <c r="R107" s="244">
        <v>0</v>
      </c>
      <c r="S107" s="244">
        <v>0</v>
      </c>
      <c r="T107" s="244">
        <v>0</v>
      </c>
      <c r="U107" s="244">
        <v>0</v>
      </c>
      <c r="V107" s="244">
        <v>0</v>
      </c>
      <c r="W107" s="244">
        <v>0</v>
      </c>
      <c r="X107" s="244">
        <v>0</v>
      </c>
      <c r="Y107" s="244">
        <v>0</v>
      </c>
      <c r="Z107" s="244">
        <v>0</v>
      </c>
      <c r="AA107" s="244">
        <v>0</v>
      </c>
      <c r="AB107" s="244">
        <v>0</v>
      </c>
      <c r="AC107" s="244">
        <v>0</v>
      </c>
      <c r="AD107" s="244">
        <v>0</v>
      </c>
      <c r="AE107" s="244">
        <v>0</v>
      </c>
      <c r="AF107" s="244">
        <v>0</v>
      </c>
      <c r="AG107" s="244">
        <v>0</v>
      </c>
      <c r="AH107" s="244">
        <v>0</v>
      </c>
      <c r="AI107" s="244">
        <v>0</v>
      </c>
      <c r="AJ107" s="244">
        <v>0</v>
      </c>
      <c r="AK107" s="244">
        <v>0</v>
      </c>
      <c r="AL107" s="244">
        <v>0</v>
      </c>
    </row>
    <row r="108" spans="2:40" x14ac:dyDescent="0.3">
      <c r="B108" s="489" t="s">
        <v>4075</v>
      </c>
      <c r="C108" s="489"/>
      <c r="D108" s="253">
        <f>SUM(D106:D107)</f>
        <v>0</v>
      </c>
      <c r="E108" s="253">
        <f>SUM(E106:E107)</f>
        <v>0</v>
      </c>
      <c r="F108" s="253">
        <f>SUM(F106:F107)</f>
        <v>9000</v>
      </c>
      <c r="G108" s="253">
        <f>SUM(G106:G107)</f>
        <v>18000</v>
      </c>
      <c r="H108" s="253">
        <f t="shared" ref="H108:AK108" si="63">SUM(H106:H107)</f>
        <v>18000</v>
      </c>
      <c r="I108" s="253">
        <f t="shared" si="63"/>
        <v>18000</v>
      </c>
      <c r="J108" s="253">
        <f t="shared" si="63"/>
        <v>18000</v>
      </c>
      <c r="K108" s="253">
        <f t="shared" si="63"/>
        <v>18000</v>
      </c>
      <c r="L108" s="253">
        <f t="shared" si="63"/>
        <v>18000</v>
      </c>
      <c r="M108" s="253">
        <f t="shared" si="63"/>
        <v>18000</v>
      </c>
      <c r="N108" s="253">
        <f t="shared" si="63"/>
        <v>18000</v>
      </c>
      <c r="O108" s="253">
        <f t="shared" si="63"/>
        <v>18000</v>
      </c>
      <c r="P108" s="253">
        <f t="shared" si="63"/>
        <v>9000</v>
      </c>
      <c r="Q108" s="253">
        <f t="shared" si="63"/>
        <v>0</v>
      </c>
      <c r="R108" s="253">
        <f t="shared" si="63"/>
        <v>0</v>
      </c>
      <c r="S108" s="253">
        <f t="shared" si="63"/>
        <v>0</v>
      </c>
      <c r="T108" s="253">
        <f t="shared" si="63"/>
        <v>0</v>
      </c>
      <c r="U108" s="253">
        <f t="shared" si="63"/>
        <v>0</v>
      </c>
      <c r="V108" s="253">
        <f t="shared" si="63"/>
        <v>0</v>
      </c>
      <c r="W108" s="253">
        <f t="shared" si="63"/>
        <v>0</v>
      </c>
      <c r="X108" s="253">
        <f t="shared" si="63"/>
        <v>0</v>
      </c>
      <c r="Y108" s="253">
        <f t="shared" si="63"/>
        <v>0</v>
      </c>
      <c r="Z108" s="253">
        <f t="shared" si="63"/>
        <v>0</v>
      </c>
      <c r="AA108" s="253">
        <f t="shared" si="63"/>
        <v>0</v>
      </c>
      <c r="AB108" s="253">
        <f t="shared" si="63"/>
        <v>0</v>
      </c>
      <c r="AC108" s="253">
        <f t="shared" si="63"/>
        <v>0</v>
      </c>
      <c r="AD108" s="253">
        <f t="shared" si="63"/>
        <v>0</v>
      </c>
      <c r="AE108" s="253">
        <f t="shared" si="63"/>
        <v>0</v>
      </c>
      <c r="AF108" s="253">
        <f t="shared" si="63"/>
        <v>0</v>
      </c>
      <c r="AG108" s="253">
        <f t="shared" si="63"/>
        <v>0</v>
      </c>
      <c r="AH108" s="253">
        <f t="shared" si="63"/>
        <v>0</v>
      </c>
      <c r="AI108" s="253">
        <f t="shared" si="63"/>
        <v>0</v>
      </c>
      <c r="AJ108" s="253">
        <f t="shared" si="63"/>
        <v>0</v>
      </c>
      <c r="AK108" s="253">
        <f t="shared" si="63"/>
        <v>0</v>
      </c>
      <c r="AL108" s="253">
        <f>SUM(AL106:AL107)</f>
        <v>0</v>
      </c>
      <c r="AN108" s="244">
        <f>SUM(D108:AL108)</f>
        <v>180000</v>
      </c>
    </row>
    <row r="110" spans="2:40" x14ac:dyDescent="0.3">
      <c r="B110" s="429" t="s">
        <v>4035</v>
      </c>
      <c r="C110" s="490">
        <v>0.2</v>
      </c>
      <c r="D110" s="488" t="s">
        <v>3701</v>
      </c>
      <c r="E110" s="488" t="s">
        <v>3702</v>
      </c>
      <c r="F110" s="488" t="s">
        <v>3703</v>
      </c>
      <c r="G110" s="488" t="s">
        <v>3704</v>
      </c>
      <c r="H110" s="488" t="s">
        <v>3705</v>
      </c>
      <c r="I110" s="488" t="s">
        <v>3706</v>
      </c>
      <c r="J110" s="488" t="s">
        <v>3707</v>
      </c>
      <c r="K110" s="488" t="s">
        <v>3708</v>
      </c>
      <c r="L110" s="488" t="s">
        <v>3709</v>
      </c>
      <c r="M110" s="488" t="s">
        <v>3710</v>
      </c>
      <c r="N110" s="488" t="s">
        <v>3711</v>
      </c>
      <c r="O110" s="488" t="s">
        <v>3712</v>
      </c>
      <c r="P110" s="488" t="s">
        <v>3713</v>
      </c>
      <c r="Q110" s="488" t="s">
        <v>3714</v>
      </c>
      <c r="R110" s="488" t="s">
        <v>3715</v>
      </c>
      <c r="S110" s="488" t="s">
        <v>3716</v>
      </c>
      <c r="T110" s="488" t="s">
        <v>3717</v>
      </c>
      <c r="U110" s="488" t="s">
        <v>3718</v>
      </c>
      <c r="V110" s="488" t="s">
        <v>3719</v>
      </c>
      <c r="W110" s="488" t="s">
        <v>3720</v>
      </c>
      <c r="X110" s="488" t="s">
        <v>3721</v>
      </c>
      <c r="Y110" s="488" t="s">
        <v>3722</v>
      </c>
      <c r="Z110" s="488" t="s">
        <v>3723</v>
      </c>
      <c r="AA110" s="488" t="s">
        <v>3724</v>
      </c>
      <c r="AB110" s="488" t="s">
        <v>3725</v>
      </c>
      <c r="AC110" s="488" t="s">
        <v>3726</v>
      </c>
      <c r="AD110" s="488" t="s">
        <v>3727</v>
      </c>
      <c r="AE110" s="488" t="s">
        <v>3728</v>
      </c>
      <c r="AF110" s="488" t="s">
        <v>3729</v>
      </c>
      <c r="AG110" s="488" t="s">
        <v>3730</v>
      </c>
      <c r="AH110" s="488" t="s">
        <v>3731</v>
      </c>
      <c r="AI110" s="488" t="s">
        <v>3732</v>
      </c>
      <c r="AJ110" s="488" t="s">
        <v>3733</v>
      </c>
      <c r="AK110" s="488" t="s">
        <v>3734</v>
      </c>
      <c r="AL110" s="488" t="s">
        <v>3735</v>
      </c>
    </row>
    <row r="111" spans="2:40" x14ac:dyDescent="0.3">
      <c r="B111" s="433" t="s">
        <v>3857</v>
      </c>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row>
    <row r="112" spans="2:40" x14ac:dyDescent="0.3">
      <c r="B112" s="254" t="s">
        <v>3704</v>
      </c>
      <c r="C112" s="244">
        <v>4000000</v>
      </c>
      <c r="D112" s="244">
        <v>0</v>
      </c>
      <c r="E112" s="244">
        <v>0</v>
      </c>
      <c r="F112" s="244">
        <v>0</v>
      </c>
      <c r="G112" s="244">
        <v>0</v>
      </c>
      <c r="H112" s="244">
        <f>$C110*$C112</f>
        <v>800000</v>
      </c>
      <c r="I112" s="244">
        <f>$C110*$C112</f>
        <v>800000</v>
      </c>
      <c r="J112" s="244">
        <f>$C110*$C112</f>
        <v>800000</v>
      </c>
      <c r="K112" s="244">
        <f>$C110*$C112</f>
        <v>800000</v>
      </c>
      <c r="L112" s="244">
        <f>$C110*$C112</f>
        <v>800000</v>
      </c>
      <c r="M112" s="244">
        <v>0</v>
      </c>
      <c r="N112" s="244">
        <v>0</v>
      </c>
      <c r="O112" s="244">
        <v>0</v>
      </c>
      <c r="P112" s="244">
        <v>0</v>
      </c>
      <c r="Q112" s="244">
        <v>0</v>
      </c>
      <c r="R112" s="244">
        <v>0</v>
      </c>
      <c r="S112" s="244">
        <v>0</v>
      </c>
      <c r="T112" s="244">
        <v>0</v>
      </c>
      <c r="U112" s="244">
        <v>0</v>
      </c>
      <c r="V112" s="244">
        <v>0</v>
      </c>
      <c r="W112" s="244">
        <v>0</v>
      </c>
      <c r="X112" s="244">
        <v>0</v>
      </c>
      <c r="Y112" s="244">
        <v>0</v>
      </c>
      <c r="Z112" s="244">
        <v>0</v>
      </c>
      <c r="AA112" s="244">
        <v>0</v>
      </c>
      <c r="AB112" s="244">
        <v>0</v>
      </c>
      <c r="AC112" s="244">
        <v>0</v>
      </c>
      <c r="AD112" s="244">
        <v>0</v>
      </c>
      <c r="AE112" s="244">
        <v>0</v>
      </c>
      <c r="AF112" s="244">
        <v>0</v>
      </c>
      <c r="AG112" s="244">
        <v>0</v>
      </c>
      <c r="AH112" s="244">
        <v>0</v>
      </c>
      <c r="AI112" s="244">
        <v>0</v>
      </c>
      <c r="AJ112" s="244">
        <v>0</v>
      </c>
      <c r="AK112" s="244">
        <v>0</v>
      </c>
      <c r="AL112" s="244">
        <v>0</v>
      </c>
    </row>
    <row r="113" spans="2:40" x14ac:dyDescent="0.3">
      <c r="B113" s="254" t="s">
        <v>3705</v>
      </c>
      <c r="C113" s="244">
        <v>4000000</v>
      </c>
      <c r="D113" s="244">
        <v>0</v>
      </c>
      <c r="E113" s="244">
        <v>0</v>
      </c>
      <c r="F113" s="244">
        <v>0</v>
      </c>
      <c r="G113" s="244">
        <v>0</v>
      </c>
      <c r="H113" s="244">
        <v>0</v>
      </c>
      <c r="I113" s="244">
        <f>$C110*$C113</f>
        <v>800000</v>
      </c>
      <c r="J113" s="244">
        <f t="shared" ref="J113:M113" si="64">$C110*$C113</f>
        <v>800000</v>
      </c>
      <c r="K113" s="244">
        <f t="shared" si="64"/>
        <v>800000</v>
      </c>
      <c r="L113" s="244">
        <f t="shared" si="64"/>
        <v>800000</v>
      </c>
      <c r="M113" s="244">
        <f t="shared" si="64"/>
        <v>800000</v>
      </c>
      <c r="N113" s="244">
        <v>0</v>
      </c>
      <c r="O113" s="244">
        <v>0</v>
      </c>
      <c r="P113" s="244">
        <v>0</v>
      </c>
      <c r="Q113" s="244">
        <v>0</v>
      </c>
      <c r="R113" s="244">
        <v>0</v>
      </c>
      <c r="S113" s="244">
        <v>0</v>
      </c>
      <c r="T113" s="244">
        <v>0</v>
      </c>
      <c r="U113" s="244">
        <v>0</v>
      </c>
      <c r="V113" s="244">
        <v>0</v>
      </c>
      <c r="W113" s="244">
        <v>0</v>
      </c>
      <c r="X113" s="244">
        <v>0</v>
      </c>
      <c r="Y113" s="244">
        <v>0</v>
      </c>
      <c r="Z113" s="244">
        <v>0</v>
      </c>
      <c r="AA113" s="244">
        <v>0</v>
      </c>
      <c r="AB113" s="244">
        <v>0</v>
      </c>
      <c r="AC113" s="244">
        <v>0</v>
      </c>
      <c r="AD113" s="244">
        <v>0</v>
      </c>
      <c r="AE113" s="244">
        <v>0</v>
      </c>
      <c r="AF113" s="244">
        <v>0</v>
      </c>
      <c r="AG113" s="244">
        <v>0</v>
      </c>
      <c r="AH113" s="244">
        <v>0</v>
      </c>
      <c r="AI113" s="244">
        <v>0</v>
      </c>
      <c r="AJ113" s="244">
        <v>0</v>
      </c>
      <c r="AK113" s="244">
        <v>0</v>
      </c>
      <c r="AL113" s="244">
        <v>0</v>
      </c>
    </row>
    <row r="114" spans="2:40" x14ac:dyDescent="0.3">
      <c r="B114" s="489" t="s">
        <v>4075</v>
      </c>
      <c r="C114" s="489"/>
      <c r="D114" s="253">
        <f>SUM(D112:D113)</f>
        <v>0</v>
      </c>
      <c r="E114" s="253">
        <f t="shared" ref="E114:J114" si="65">SUM(E112:E113)</f>
        <v>0</v>
      </c>
      <c r="F114" s="253">
        <f>SUM(F112:F113)</f>
        <v>0</v>
      </c>
      <c r="G114" s="253">
        <f t="shared" si="65"/>
        <v>0</v>
      </c>
      <c r="H114" s="253">
        <f t="shared" si="65"/>
        <v>800000</v>
      </c>
      <c r="I114" s="253">
        <f t="shared" si="65"/>
        <v>1600000</v>
      </c>
      <c r="J114" s="253">
        <f t="shared" si="65"/>
        <v>1600000</v>
      </c>
      <c r="K114" s="253">
        <f t="shared" ref="K114" si="66">SUM(K112:K113)</f>
        <v>1600000</v>
      </c>
      <c r="L114" s="253">
        <f t="shared" ref="L114" si="67">SUM(L112:L113)</f>
        <v>1600000</v>
      </c>
      <c r="M114" s="253">
        <f t="shared" ref="M114" si="68">SUM(M112:M113)</f>
        <v>800000</v>
      </c>
      <c r="N114" s="253">
        <f t="shared" ref="N114" si="69">SUM(N112:N113)</f>
        <v>0</v>
      </c>
      <c r="O114" s="253">
        <f t="shared" ref="O114:P114" si="70">SUM(O112:O113)</f>
        <v>0</v>
      </c>
      <c r="P114" s="253">
        <f t="shared" si="70"/>
        <v>0</v>
      </c>
      <c r="Q114" s="253">
        <f t="shared" ref="Q114" si="71">SUM(Q112:Q113)</f>
        <v>0</v>
      </c>
      <c r="R114" s="253">
        <f t="shared" ref="R114" si="72">SUM(R112:R113)</f>
        <v>0</v>
      </c>
      <c r="S114" s="253">
        <f t="shared" ref="S114" si="73">SUM(S112:S113)</f>
        <v>0</v>
      </c>
      <c r="T114" s="253">
        <f t="shared" ref="T114" si="74">SUM(T112:T113)</f>
        <v>0</v>
      </c>
      <c r="U114" s="253">
        <f t="shared" ref="U114:V114" si="75">SUM(U112:U113)</f>
        <v>0</v>
      </c>
      <c r="V114" s="253">
        <f t="shared" si="75"/>
        <v>0</v>
      </c>
      <c r="W114" s="253">
        <f t="shared" ref="W114" si="76">SUM(W112:W113)</f>
        <v>0</v>
      </c>
      <c r="X114" s="253">
        <f t="shared" ref="X114" si="77">SUM(X112:X113)</f>
        <v>0</v>
      </c>
      <c r="Y114" s="253">
        <f t="shared" ref="Y114" si="78">SUM(Y112:Y113)</f>
        <v>0</v>
      </c>
      <c r="Z114" s="253">
        <f t="shared" ref="Z114" si="79">SUM(Z112:Z113)</f>
        <v>0</v>
      </c>
      <c r="AA114" s="253">
        <f t="shared" ref="AA114:AB114" si="80">SUM(AA112:AA113)</f>
        <v>0</v>
      </c>
      <c r="AB114" s="253">
        <f t="shared" si="80"/>
        <v>0</v>
      </c>
      <c r="AC114" s="253">
        <f t="shared" ref="AC114" si="81">SUM(AC112:AC113)</f>
        <v>0</v>
      </c>
      <c r="AD114" s="253">
        <f t="shared" ref="AD114" si="82">SUM(AD112:AD113)</f>
        <v>0</v>
      </c>
      <c r="AE114" s="253">
        <f t="shared" ref="AE114" si="83">SUM(AE112:AE113)</f>
        <v>0</v>
      </c>
      <c r="AF114" s="253">
        <f t="shared" ref="AF114" si="84">SUM(AF112:AF113)</f>
        <v>0</v>
      </c>
      <c r="AG114" s="253">
        <f t="shared" ref="AG114:AH114" si="85">SUM(AG112:AG113)</f>
        <v>0</v>
      </c>
      <c r="AH114" s="253">
        <f t="shared" si="85"/>
        <v>0</v>
      </c>
      <c r="AI114" s="253">
        <f t="shared" ref="AI114" si="86">SUM(AI112:AI113)</f>
        <v>0</v>
      </c>
      <c r="AJ114" s="253">
        <f t="shared" ref="AJ114" si="87">SUM(AJ112:AJ113)</f>
        <v>0</v>
      </c>
      <c r="AK114" s="253">
        <f t="shared" ref="AK114" si="88">SUM(AK112:AK113)</f>
        <v>0</v>
      </c>
      <c r="AL114" s="253">
        <f t="shared" ref="AL114" si="89">SUM(AL112:AL113)</f>
        <v>0</v>
      </c>
      <c r="AN114" s="244">
        <f>SUM(D114:AL114)</f>
        <v>8000000</v>
      </c>
    </row>
    <row r="116" spans="2:40" x14ac:dyDescent="0.3">
      <c r="B116" s="429" t="s">
        <v>4035</v>
      </c>
      <c r="C116" s="490">
        <v>0.1</v>
      </c>
      <c r="D116" s="488" t="s">
        <v>3701</v>
      </c>
      <c r="E116" s="488" t="s">
        <v>3702</v>
      </c>
      <c r="F116" s="488" t="s">
        <v>3703</v>
      </c>
      <c r="G116" s="488" t="s">
        <v>3704</v>
      </c>
      <c r="H116" s="488" t="s">
        <v>3705</v>
      </c>
      <c r="I116" s="488" t="s">
        <v>3706</v>
      </c>
      <c r="J116" s="488" t="s">
        <v>3707</v>
      </c>
      <c r="K116" s="488" t="s">
        <v>3708</v>
      </c>
      <c r="L116" s="488" t="s">
        <v>3709</v>
      </c>
      <c r="M116" s="488" t="s">
        <v>3710</v>
      </c>
      <c r="N116" s="488" t="s">
        <v>3711</v>
      </c>
      <c r="O116" s="488" t="s">
        <v>3712</v>
      </c>
      <c r="P116" s="488" t="s">
        <v>3713</v>
      </c>
      <c r="Q116" s="488" t="s">
        <v>3714</v>
      </c>
      <c r="R116" s="488" t="s">
        <v>3715</v>
      </c>
      <c r="S116" s="488" t="s">
        <v>3716</v>
      </c>
      <c r="T116" s="488" t="s">
        <v>3717</v>
      </c>
      <c r="U116" s="488" t="s">
        <v>3718</v>
      </c>
      <c r="V116" s="488" t="s">
        <v>3719</v>
      </c>
      <c r="W116" s="488" t="s">
        <v>3720</v>
      </c>
      <c r="X116" s="488" t="s">
        <v>3721</v>
      </c>
      <c r="Y116" s="488" t="s">
        <v>3722</v>
      </c>
      <c r="Z116" s="488" t="s">
        <v>3723</v>
      </c>
      <c r="AA116" s="488" t="s">
        <v>3724</v>
      </c>
      <c r="AB116" s="488" t="s">
        <v>3725</v>
      </c>
      <c r="AC116" s="488" t="s">
        <v>3726</v>
      </c>
      <c r="AD116" s="488" t="s">
        <v>3727</v>
      </c>
      <c r="AE116" s="488" t="s">
        <v>3728</v>
      </c>
      <c r="AF116" s="488" t="s">
        <v>3729</v>
      </c>
      <c r="AG116" s="488" t="s">
        <v>3730</v>
      </c>
      <c r="AH116" s="488" t="s">
        <v>3731</v>
      </c>
      <c r="AI116" s="488" t="s">
        <v>3732</v>
      </c>
      <c r="AJ116" s="488" t="s">
        <v>3733</v>
      </c>
      <c r="AK116" s="488" t="s">
        <v>3734</v>
      </c>
      <c r="AL116" s="488" t="s">
        <v>3735</v>
      </c>
    </row>
    <row r="117" spans="2:40" x14ac:dyDescent="0.3">
      <c r="B117" s="433" t="s">
        <v>3858</v>
      </c>
      <c r="C117" s="488"/>
      <c r="D117" s="488"/>
      <c r="E117" s="488"/>
      <c r="F117" s="488"/>
      <c r="G117" s="488"/>
      <c r="H117" s="488"/>
      <c r="I117" s="488"/>
      <c r="J117" s="488"/>
      <c r="K117" s="488"/>
      <c r="L117" s="488"/>
      <c r="M117" s="488"/>
      <c r="N117" s="488"/>
      <c r="O117" s="488"/>
      <c r="P117" s="488"/>
      <c r="Q117" s="488"/>
      <c r="R117" s="488"/>
      <c r="S117" s="488"/>
      <c r="T117" s="488"/>
      <c r="U117" s="488"/>
      <c r="V117" s="488"/>
      <c r="W117" s="488"/>
      <c r="X117" s="488"/>
      <c r="Y117" s="488"/>
      <c r="Z117" s="488"/>
      <c r="AA117" s="488"/>
      <c r="AB117" s="488"/>
      <c r="AC117" s="488"/>
      <c r="AD117" s="488"/>
      <c r="AE117" s="488"/>
      <c r="AF117" s="488"/>
      <c r="AG117" s="488"/>
      <c r="AH117" s="488"/>
      <c r="AI117" s="488"/>
      <c r="AJ117" s="488"/>
      <c r="AK117" s="488"/>
      <c r="AL117" s="488"/>
    </row>
    <row r="118" spans="2:40" x14ac:dyDescent="0.3">
      <c r="B118" s="254" t="s">
        <v>3704</v>
      </c>
      <c r="C118" s="244">
        <v>4250000</v>
      </c>
      <c r="D118" s="244">
        <v>0</v>
      </c>
      <c r="E118" s="244">
        <v>0</v>
      </c>
      <c r="F118" s="244">
        <v>0</v>
      </c>
      <c r="G118" s="244">
        <v>0</v>
      </c>
      <c r="H118" s="244">
        <f>$C116*$C118</f>
        <v>425000</v>
      </c>
      <c r="I118" s="244">
        <f t="shared" ref="I118:Q118" si="90">$C116*$C118</f>
        <v>425000</v>
      </c>
      <c r="J118" s="244">
        <f t="shared" si="90"/>
        <v>425000</v>
      </c>
      <c r="K118" s="244">
        <f t="shared" si="90"/>
        <v>425000</v>
      </c>
      <c r="L118" s="244">
        <f t="shared" si="90"/>
        <v>425000</v>
      </c>
      <c r="M118" s="244">
        <f t="shared" si="90"/>
        <v>425000</v>
      </c>
      <c r="N118" s="244">
        <f t="shared" si="90"/>
        <v>425000</v>
      </c>
      <c r="O118" s="244">
        <f t="shared" si="90"/>
        <v>425000</v>
      </c>
      <c r="P118" s="244">
        <f t="shared" si="90"/>
        <v>425000</v>
      </c>
      <c r="Q118" s="244">
        <f t="shared" si="90"/>
        <v>425000</v>
      </c>
      <c r="R118" s="244">
        <v>0</v>
      </c>
      <c r="S118" s="244">
        <v>0</v>
      </c>
      <c r="T118" s="244">
        <v>0</v>
      </c>
      <c r="U118" s="244">
        <v>0</v>
      </c>
      <c r="V118" s="244">
        <v>0</v>
      </c>
      <c r="W118" s="244">
        <v>0</v>
      </c>
      <c r="X118" s="244">
        <v>0</v>
      </c>
      <c r="Y118" s="244">
        <v>0</v>
      </c>
      <c r="Z118" s="244">
        <v>0</v>
      </c>
      <c r="AA118" s="244">
        <v>0</v>
      </c>
      <c r="AB118" s="244">
        <v>0</v>
      </c>
      <c r="AC118" s="244">
        <v>0</v>
      </c>
      <c r="AD118" s="244">
        <v>0</v>
      </c>
      <c r="AE118" s="244">
        <v>0</v>
      </c>
      <c r="AF118" s="244">
        <v>0</v>
      </c>
      <c r="AG118" s="244">
        <v>0</v>
      </c>
      <c r="AH118" s="244">
        <v>0</v>
      </c>
      <c r="AI118" s="244">
        <v>0</v>
      </c>
      <c r="AJ118" s="244">
        <v>0</v>
      </c>
      <c r="AK118" s="244">
        <v>0</v>
      </c>
      <c r="AL118" s="244">
        <v>0</v>
      </c>
    </row>
    <row r="119" spans="2:40" x14ac:dyDescent="0.3">
      <c r="B119" s="254" t="s">
        <v>3705</v>
      </c>
      <c r="C119" s="244">
        <v>4250000</v>
      </c>
      <c r="D119" s="244">
        <v>0</v>
      </c>
      <c r="E119" s="244">
        <v>0</v>
      </c>
      <c r="F119" s="244">
        <v>0</v>
      </c>
      <c r="G119" s="244">
        <v>0</v>
      </c>
      <c r="H119" s="244">
        <v>0</v>
      </c>
      <c r="I119" s="244">
        <f>$C116*$C119</f>
        <v>425000</v>
      </c>
      <c r="J119" s="244">
        <f t="shared" ref="J119:R119" si="91">$C116*$C119</f>
        <v>425000</v>
      </c>
      <c r="K119" s="244">
        <f t="shared" si="91"/>
        <v>425000</v>
      </c>
      <c r="L119" s="244">
        <f t="shared" si="91"/>
        <v>425000</v>
      </c>
      <c r="M119" s="244">
        <f t="shared" si="91"/>
        <v>425000</v>
      </c>
      <c r="N119" s="244">
        <f t="shared" si="91"/>
        <v>425000</v>
      </c>
      <c r="O119" s="244">
        <f t="shared" si="91"/>
        <v>425000</v>
      </c>
      <c r="P119" s="244">
        <f t="shared" si="91"/>
        <v>425000</v>
      </c>
      <c r="Q119" s="244">
        <f t="shared" si="91"/>
        <v>425000</v>
      </c>
      <c r="R119" s="244">
        <f t="shared" si="91"/>
        <v>425000</v>
      </c>
      <c r="S119" s="244">
        <v>0</v>
      </c>
      <c r="T119" s="244">
        <v>0</v>
      </c>
      <c r="U119" s="244">
        <v>0</v>
      </c>
      <c r="V119" s="244">
        <v>0</v>
      </c>
      <c r="W119" s="244">
        <v>0</v>
      </c>
      <c r="X119" s="244">
        <v>0</v>
      </c>
      <c r="Y119" s="244">
        <v>0</v>
      </c>
      <c r="Z119" s="244">
        <v>0</v>
      </c>
      <c r="AA119" s="244">
        <v>0</v>
      </c>
      <c r="AB119" s="244">
        <v>0</v>
      </c>
      <c r="AC119" s="244">
        <v>0</v>
      </c>
      <c r="AD119" s="244">
        <v>0</v>
      </c>
      <c r="AE119" s="244">
        <v>0</v>
      </c>
      <c r="AF119" s="244">
        <v>0</v>
      </c>
      <c r="AG119" s="244">
        <v>0</v>
      </c>
      <c r="AH119" s="244">
        <v>0</v>
      </c>
      <c r="AI119" s="244">
        <v>0</v>
      </c>
      <c r="AJ119" s="244">
        <v>0</v>
      </c>
      <c r="AK119" s="244">
        <v>0</v>
      </c>
      <c r="AL119" s="244">
        <v>0</v>
      </c>
    </row>
    <row r="120" spans="2:40" x14ac:dyDescent="0.3">
      <c r="B120" s="489" t="s">
        <v>4075</v>
      </c>
      <c r="C120" s="489"/>
      <c r="D120" s="253">
        <f>SUM(D117:D118)</f>
        <v>0</v>
      </c>
      <c r="E120" s="253">
        <f>SUM(E117:E118)</f>
        <v>0</v>
      </c>
      <c r="F120" s="253">
        <f>SUM(F118)</f>
        <v>0</v>
      </c>
      <c r="G120" s="253">
        <f t="shared" ref="G120:AK120" si="92">SUM(G118)</f>
        <v>0</v>
      </c>
      <c r="H120" s="253">
        <f t="shared" si="92"/>
        <v>425000</v>
      </c>
      <c r="I120" s="253">
        <f t="shared" si="92"/>
        <v>425000</v>
      </c>
      <c r="J120" s="253">
        <f t="shared" si="92"/>
        <v>425000</v>
      </c>
      <c r="K120" s="253">
        <f t="shared" si="92"/>
        <v>425000</v>
      </c>
      <c r="L120" s="253">
        <f t="shared" si="92"/>
        <v>425000</v>
      </c>
      <c r="M120" s="253">
        <f t="shared" si="92"/>
        <v>425000</v>
      </c>
      <c r="N120" s="253">
        <f t="shared" si="92"/>
        <v>425000</v>
      </c>
      <c r="O120" s="253">
        <f t="shared" si="92"/>
        <v>425000</v>
      </c>
      <c r="P120" s="253">
        <f t="shared" si="92"/>
        <v>425000</v>
      </c>
      <c r="Q120" s="253">
        <f t="shared" si="92"/>
        <v>425000</v>
      </c>
      <c r="R120" s="253">
        <f t="shared" si="92"/>
        <v>0</v>
      </c>
      <c r="S120" s="253">
        <f t="shared" si="92"/>
        <v>0</v>
      </c>
      <c r="T120" s="253">
        <f t="shared" si="92"/>
        <v>0</v>
      </c>
      <c r="U120" s="253">
        <f t="shared" si="92"/>
        <v>0</v>
      </c>
      <c r="V120" s="253">
        <f t="shared" si="92"/>
        <v>0</v>
      </c>
      <c r="W120" s="253">
        <f t="shared" si="92"/>
        <v>0</v>
      </c>
      <c r="X120" s="253">
        <f t="shared" si="92"/>
        <v>0</v>
      </c>
      <c r="Y120" s="253">
        <f t="shared" si="92"/>
        <v>0</v>
      </c>
      <c r="Z120" s="253">
        <f t="shared" si="92"/>
        <v>0</v>
      </c>
      <c r="AA120" s="253">
        <f t="shared" si="92"/>
        <v>0</v>
      </c>
      <c r="AB120" s="253">
        <f t="shared" si="92"/>
        <v>0</v>
      </c>
      <c r="AC120" s="253">
        <f t="shared" si="92"/>
        <v>0</v>
      </c>
      <c r="AD120" s="253">
        <f t="shared" si="92"/>
        <v>0</v>
      </c>
      <c r="AE120" s="253">
        <f t="shared" si="92"/>
        <v>0</v>
      </c>
      <c r="AF120" s="253">
        <f t="shared" si="92"/>
        <v>0</v>
      </c>
      <c r="AG120" s="253">
        <f t="shared" si="92"/>
        <v>0</v>
      </c>
      <c r="AH120" s="253">
        <f t="shared" si="92"/>
        <v>0</v>
      </c>
      <c r="AI120" s="253">
        <f t="shared" si="92"/>
        <v>0</v>
      </c>
      <c r="AJ120" s="253">
        <f t="shared" si="92"/>
        <v>0</v>
      </c>
      <c r="AK120" s="253">
        <f t="shared" si="92"/>
        <v>0</v>
      </c>
      <c r="AL120" s="253">
        <f>SUM(AL118)</f>
        <v>0</v>
      </c>
      <c r="AN120" s="244">
        <f>SUM(D120:AL120)</f>
        <v>4250000</v>
      </c>
    </row>
    <row r="122" spans="2:40" x14ac:dyDescent="0.3">
      <c r="B122" s="429" t="s">
        <v>4035</v>
      </c>
      <c r="C122" s="490">
        <v>0.2</v>
      </c>
      <c r="D122" s="488" t="s">
        <v>3701</v>
      </c>
      <c r="E122" s="488" t="s">
        <v>3702</v>
      </c>
      <c r="F122" s="488" t="s">
        <v>3703</v>
      </c>
      <c r="G122" s="488" t="s">
        <v>3704</v>
      </c>
      <c r="H122" s="488" t="s">
        <v>3705</v>
      </c>
      <c r="I122" s="488" t="s">
        <v>3706</v>
      </c>
      <c r="J122" s="488" t="s">
        <v>3707</v>
      </c>
      <c r="K122" s="488" t="s">
        <v>3708</v>
      </c>
      <c r="L122" s="488" t="s">
        <v>3709</v>
      </c>
      <c r="M122" s="488" t="s">
        <v>3710</v>
      </c>
      <c r="N122" s="488" t="s">
        <v>3711</v>
      </c>
      <c r="O122" s="488" t="s">
        <v>3712</v>
      </c>
      <c r="P122" s="488" t="s">
        <v>3713</v>
      </c>
      <c r="Q122" s="488" t="s">
        <v>3714</v>
      </c>
      <c r="R122" s="488" t="s">
        <v>3715</v>
      </c>
      <c r="S122" s="488" t="s">
        <v>3716</v>
      </c>
      <c r="T122" s="488" t="s">
        <v>3717</v>
      </c>
      <c r="U122" s="488" t="s">
        <v>3718</v>
      </c>
      <c r="V122" s="488" t="s">
        <v>3719</v>
      </c>
      <c r="W122" s="488" t="s">
        <v>3720</v>
      </c>
      <c r="X122" s="488" t="s">
        <v>3721</v>
      </c>
      <c r="Y122" s="488" t="s">
        <v>3722</v>
      </c>
      <c r="Z122" s="488" t="s">
        <v>3723</v>
      </c>
      <c r="AA122" s="488" t="s">
        <v>3724</v>
      </c>
      <c r="AB122" s="488" t="s">
        <v>3725</v>
      </c>
      <c r="AC122" s="488" t="s">
        <v>3726</v>
      </c>
      <c r="AD122" s="488" t="s">
        <v>3727</v>
      </c>
      <c r="AE122" s="488" t="s">
        <v>3728</v>
      </c>
      <c r="AF122" s="488" t="s">
        <v>3729</v>
      </c>
      <c r="AG122" s="488" t="s">
        <v>3730</v>
      </c>
      <c r="AH122" s="488" t="s">
        <v>3731</v>
      </c>
      <c r="AI122" s="488" t="s">
        <v>3732</v>
      </c>
      <c r="AJ122" s="488" t="s">
        <v>3733</v>
      </c>
      <c r="AK122" s="488" t="s">
        <v>3734</v>
      </c>
      <c r="AL122" s="488" t="s">
        <v>3735</v>
      </c>
    </row>
    <row r="123" spans="2:40" x14ac:dyDescent="0.3">
      <c r="B123" s="433" t="s">
        <v>3864</v>
      </c>
      <c r="C123" s="488"/>
      <c r="D123" s="488"/>
      <c r="E123" s="488"/>
      <c r="F123" s="488"/>
      <c r="G123" s="488"/>
      <c r="H123" s="488"/>
      <c r="I123" s="488"/>
      <c r="J123" s="488"/>
      <c r="K123" s="488"/>
      <c r="L123" s="488"/>
      <c r="M123" s="488"/>
      <c r="N123" s="488"/>
      <c r="O123" s="488"/>
      <c r="P123" s="488"/>
      <c r="Q123" s="488"/>
      <c r="R123" s="488"/>
      <c r="S123" s="488"/>
      <c r="T123" s="488"/>
      <c r="U123" s="488"/>
      <c r="V123" s="488"/>
      <c r="W123" s="488"/>
      <c r="X123" s="488"/>
      <c r="Y123" s="488"/>
      <c r="Z123" s="488"/>
      <c r="AA123" s="488"/>
      <c r="AB123" s="488"/>
      <c r="AC123" s="488"/>
      <c r="AD123" s="488"/>
      <c r="AE123" s="488"/>
      <c r="AF123" s="488"/>
      <c r="AG123" s="488"/>
      <c r="AH123" s="488"/>
      <c r="AI123" s="488"/>
      <c r="AJ123" s="488"/>
      <c r="AK123" s="488"/>
      <c r="AL123" s="488"/>
    </row>
    <row r="124" spans="2:40" x14ac:dyDescent="0.3">
      <c r="B124" s="254" t="s">
        <v>3703</v>
      </c>
      <c r="C124" s="244">
        <v>140000</v>
      </c>
      <c r="D124" s="244">
        <v>0</v>
      </c>
      <c r="E124" s="244">
        <v>0</v>
      </c>
      <c r="F124" s="244">
        <v>0</v>
      </c>
      <c r="G124" s="244">
        <f>$C122*$C124</f>
        <v>28000</v>
      </c>
      <c r="H124" s="244">
        <f>$C122*$C124</f>
        <v>28000</v>
      </c>
      <c r="I124" s="244">
        <f>$C122*$C124</f>
        <v>28000</v>
      </c>
      <c r="J124" s="244">
        <f>$C122*$C124</f>
        <v>28000</v>
      </c>
      <c r="K124" s="244">
        <f>$C122*$C124</f>
        <v>28000</v>
      </c>
      <c r="L124" s="244">
        <v>0</v>
      </c>
      <c r="M124" s="244">
        <v>0</v>
      </c>
      <c r="N124" s="244">
        <v>0</v>
      </c>
      <c r="O124" s="244">
        <v>0</v>
      </c>
      <c r="P124" s="244">
        <v>0</v>
      </c>
      <c r="Q124" s="244">
        <v>0</v>
      </c>
      <c r="R124" s="244">
        <v>0</v>
      </c>
      <c r="S124" s="244">
        <v>0</v>
      </c>
      <c r="T124" s="244">
        <v>0</v>
      </c>
      <c r="U124" s="244">
        <v>0</v>
      </c>
      <c r="V124" s="244">
        <v>0</v>
      </c>
      <c r="W124" s="244">
        <v>0</v>
      </c>
      <c r="X124" s="244">
        <v>0</v>
      </c>
      <c r="Y124" s="244">
        <v>0</v>
      </c>
      <c r="Z124" s="244">
        <v>0</v>
      </c>
      <c r="AA124" s="244">
        <v>0</v>
      </c>
      <c r="AB124" s="244">
        <v>0</v>
      </c>
      <c r="AC124" s="244">
        <v>0</v>
      </c>
      <c r="AD124" s="244">
        <v>0</v>
      </c>
      <c r="AE124" s="244">
        <v>0</v>
      </c>
      <c r="AF124" s="244">
        <v>0</v>
      </c>
      <c r="AG124" s="244">
        <v>0</v>
      </c>
      <c r="AH124" s="244">
        <v>0</v>
      </c>
      <c r="AI124" s="244">
        <v>0</v>
      </c>
      <c r="AJ124" s="244">
        <v>0</v>
      </c>
      <c r="AK124" s="244">
        <v>0</v>
      </c>
      <c r="AL124" s="244">
        <v>0</v>
      </c>
    </row>
    <row r="125" spans="2:40" x14ac:dyDescent="0.3">
      <c r="B125" s="254" t="s">
        <v>3704</v>
      </c>
      <c r="C125" s="244">
        <v>140000</v>
      </c>
      <c r="D125" s="244">
        <v>0</v>
      </c>
      <c r="E125" s="244">
        <v>0</v>
      </c>
      <c r="F125" s="244">
        <v>0</v>
      </c>
      <c r="G125" s="244">
        <v>0</v>
      </c>
      <c r="H125" s="244">
        <f>$C122*$C125</f>
        <v>28000</v>
      </c>
      <c r="I125" s="244">
        <f t="shared" ref="I125:L125" si="93">$C122*$C125</f>
        <v>28000</v>
      </c>
      <c r="J125" s="244">
        <f t="shared" si="93"/>
        <v>28000</v>
      </c>
      <c r="K125" s="244">
        <f t="shared" si="93"/>
        <v>28000</v>
      </c>
      <c r="L125" s="244">
        <f t="shared" si="93"/>
        <v>28000</v>
      </c>
      <c r="M125" s="244">
        <v>0</v>
      </c>
      <c r="N125" s="244">
        <v>0</v>
      </c>
      <c r="O125" s="244">
        <v>0</v>
      </c>
      <c r="P125" s="244">
        <v>0</v>
      </c>
      <c r="Q125" s="244">
        <v>0</v>
      </c>
      <c r="R125" s="244">
        <v>0</v>
      </c>
      <c r="S125" s="244">
        <v>0</v>
      </c>
      <c r="T125" s="244">
        <v>0</v>
      </c>
      <c r="U125" s="244">
        <v>0</v>
      </c>
      <c r="V125" s="244">
        <v>0</v>
      </c>
      <c r="W125" s="244">
        <v>0</v>
      </c>
      <c r="X125" s="244">
        <v>0</v>
      </c>
      <c r="Y125" s="244">
        <v>0</v>
      </c>
      <c r="Z125" s="244">
        <v>0</v>
      </c>
      <c r="AA125" s="244">
        <v>0</v>
      </c>
      <c r="AB125" s="244">
        <v>0</v>
      </c>
      <c r="AC125" s="244">
        <v>0</v>
      </c>
      <c r="AD125" s="244">
        <v>0</v>
      </c>
      <c r="AE125" s="244">
        <v>0</v>
      </c>
      <c r="AF125" s="244">
        <v>0</v>
      </c>
      <c r="AG125" s="244">
        <v>0</v>
      </c>
      <c r="AH125" s="244">
        <v>0</v>
      </c>
      <c r="AI125" s="244">
        <v>0</v>
      </c>
      <c r="AJ125" s="244">
        <v>0</v>
      </c>
      <c r="AK125" s="244">
        <v>0</v>
      </c>
      <c r="AL125" s="244">
        <v>0</v>
      </c>
    </row>
    <row r="126" spans="2:40" x14ac:dyDescent="0.3">
      <c r="B126" s="489" t="s">
        <v>4075</v>
      </c>
      <c r="C126" s="489"/>
      <c r="D126" s="253">
        <f>SUM(D124:D125)</f>
        <v>0</v>
      </c>
      <c r="E126" s="253">
        <f t="shared" ref="E126:AL126" si="94">SUM(E124:E125)</f>
        <v>0</v>
      </c>
      <c r="F126" s="253">
        <f t="shared" si="94"/>
        <v>0</v>
      </c>
      <c r="G126" s="253">
        <f t="shared" si="94"/>
        <v>28000</v>
      </c>
      <c r="H126" s="253">
        <f t="shared" si="94"/>
        <v>56000</v>
      </c>
      <c r="I126" s="253">
        <f t="shared" si="94"/>
        <v>56000</v>
      </c>
      <c r="J126" s="253">
        <f t="shared" si="94"/>
        <v>56000</v>
      </c>
      <c r="K126" s="253">
        <f t="shared" si="94"/>
        <v>56000</v>
      </c>
      <c r="L126" s="253">
        <f t="shared" si="94"/>
        <v>28000</v>
      </c>
      <c r="M126" s="253">
        <f t="shared" si="94"/>
        <v>0</v>
      </c>
      <c r="N126" s="253">
        <f t="shared" si="94"/>
        <v>0</v>
      </c>
      <c r="O126" s="253">
        <f t="shared" si="94"/>
        <v>0</v>
      </c>
      <c r="P126" s="253">
        <f t="shared" si="94"/>
        <v>0</v>
      </c>
      <c r="Q126" s="253">
        <f t="shared" si="94"/>
        <v>0</v>
      </c>
      <c r="R126" s="253">
        <f t="shared" si="94"/>
        <v>0</v>
      </c>
      <c r="S126" s="253">
        <f t="shared" si="94"/>
        <v>0</v>
      </c>
      <c r="T126" s="253">
        <f t="shared" si="94"/>
        <v>0</v>
      </c>
      <c r="U126" s="253">
        <f t="shared" si="94"/>
        <v>0</v>
      </c>
      <c r="V126" s="253">
        <f t="shared" si="94"/>
        <v>0</v>
      </c>
      <c r="W126" s="253">
        <f t="shared" si="94"/>
        <v>0</v>
      </c>
      <c r="X126" s="253">
        <f t="shared" si="94"/>
        <v>0</v>
      </c>
      <c r="Y126" s="253">
        <f t="shared" si="94"/>
        <v>0</v>
      </c>
      <c r="Z126" s="253">
        <f t="shared" si="94"/>
        <v>0</v>
      </c>
      <c r="AA126" s="253">
        <f t="shared" si="94"/>
        <v>0</v>
      </c>
      <c r="AB126" s="253">
        <f t="shared" si="94"/>
        <v>0</v>
      </c>
      <c r="AC126" s="253">
        <f t="shared" si="94"/>
        <v>0</v>
      </c>
      <c r="AD126" s="253">
        <f t="shared" si="94"/>
        <v>0</v>
      </c>
      <c r="AE126" s="253">
        <f t="shared" si="94"/>
        <v>0</v>
      </c>
      <c r="AF126" s="253">
        <f t="shared" si="94"/>
        <v>0</v>
      </c>
      <c r="AG126" s="253">
        <f t="shared" si="94"/>
        <v>0</v>
      </c>
      <c r="AH126" s="253">
        <f t="shared" si="94"/>
        <v>0</v>
      </c>
      <c r="AI126" s="253">
        <f t="shared" si="94"/>
        <v>0</v>
      </c>
      <c r="AJ126" s="253">
        <f t="shared" si="94"/>
        <v>0</v>
      </c>
      <c r="AK126" s="253">
        <f t="shared" si="94"/>
        <v>0</v>
      </c>
      <c r="AL126" s="253">
        <f t="shared" si="94"/>
        <v>0</v>
      </c>
      <c r="AN126" s="244">
        <f>SUM(D126:AL126)</f>
        <v>280000</v>
      </c>
    </row>
    <row r="128" spans="2:40" x14ac:dyDescent="0.3">
      <c r="B128" s="429" t="s">
        <v>4035</v>
      </c>
      <c r="C128" s="490">
        <v>0.1</v>
      </c>
      <c r="D128" s="488" t="s">
        <v>3701</v>
      </c>
      <c r="E128" s="488" t="s">
        <v>3702</v>
      </c>
      <c r="F128" s="488" t="s">
        <v>3703</v>
      </c>
      <c r="G128" s="488" t="s">
        <v>3704</v>
      </c>
      <c r="H128" s="488" t="s">
        <v>3705</v>
      </c>
      <c r="I128" s="488" t="s">
        <v>3706</v>
      </c>
      <c r="J128" s="488" t="s">
        <v>3707</v>
      </c>
      <c r="K128" s="488" t="s">
        <v>3708</v>
      </c>
      <c r="L128" s="488" t="s">
        <v>3709</v>
      </c>
      <c r="M128" s="488" t="s">
        <v>3710</v>
      </c>
      <c r="N128" s="488" t="s">
        <v>3711</v>
      </c>
      <c r="O128" s="488" t="s">
        <v>3712</v>
      </c>
      <c r="P128" s="488" t="s">
        <v>3713</v>
      </c>
      <c r="Q128" s="488" t="s">
        <v>3714</v>
      </c>
      <c r="R128" s="488" t="s">
        <v>3715</v>
      </c>
      <c r="S128" s="488" t="s">
        <v>3716</v>
      </c>
      <c r="T128" s="488" t="s">
        <v>3717</v>
      </c>
      <c r="U128" s="488" t="s">
        <v>3718</v>
      </c>
      <c r="V128" s="488" t="s">
        <v>3719</v>
      </c>
      <c r="W128" s="488" t="s">
        <v>3720</v>
      </c>
      <c r="X128" s="488" t="s">
        <v>3721</v>
      </c>
      <c r="Y128" s="488" t="s">
        <v>3722</v>
      </c>
      <c r="Z128" s="488" t="s">
        <v>3723</v>
      </c>
      <c r="AA128" s="488" t="s">
        <v>3724</v>
      </c>
      <c r="AB128" s="488" t="s">
        <v>3725</v>
      </c>
      <c r="AC128" s="488" t="s">
        <v>3726</v>
      </c>
      <c r="AD128" s="488" t="s">
        <v>3727</v>
      </c>
      <c r="AE128" s="488" t="s">
        <v>3728</v>
      </c>
      <c r="AF128" s="488" t="s">
        <v>3729</v>
      </c>
      <c r="AG128" s="488" t="s">
        <v>3730</v>
      </c>
      <c r="AH128" s="488" t="s">
        <v>3731</v>
      </c>
      <c r="AI128" s="488" t="s">
        <v>3732</v>
      </c>
      <c r="AJ128" s="488" t="s">
        <v>3733</v>
      </c>
      <c r="AK128" s="488" t="s">
        <v>3734</v>
      </c>
      <c r="AL128" s="488" t="s">
        <v>3735</v>
      </c>
    </row>
    <row r="129" spans="2:40" x14ac:dyDescent="0.3">
      <c r="B129" s="433" t="s">
        <v>4211</v>
      </c>
      <c r="C129" s="488"/>
      <c r="D129" s="488"/>
      <c r="E129" s="488"/>
      <c r="F129" s="488"/>
      <c r="G129" s="488"/>
      <c r="H129" s="488"/>
      <c r="I129" s="488"/>
      <c r="J129" s="488"/>
      <c r="K129" s="488"/>
      <c r="L129" s="488"/>
      <c r="M129" s="488"/>
      <c r="N129" s="488"/>
      <c r="O129" s="488"/>
      <c r="P129" s="488"/>
      <c r="Q129" s="488"/>
      <c r="R129" s="488"/>
      <c r="S129" s="488"/>
      <c r="T129" s="488"/>
      <c r="U129" s="488"/>
      <c r="V129" s="488"/>
      <c r="W129" s="488"/>
      <c r="X129" s="488"/>
      <c r="Y129" s="488"/>
      <c r="Z129" s="488"/>
      <c r="AA129" s="488"/>
      <c r="AB129" s="488"/>
      <c r="AC129" s="488"/>
      <c r="AD129" s="488"/>
      <c r="AE129" s="488"/>
      <c r="AF129" s="488"/>
      <c r="AG129" s="488"/>
      <c r="AH129" s="488"/>
      <c r="AI129" s="488"/>
      <c r="AJ129" s="488"/>
      <c r="AK129" s="488"/>
      <c r="AL129" s="488"/>
    </row>
    <row r="130" spans="2:40" x14ac:dyDescent="0.3">
      <c r="B130" s="254" t="s">
        <v>3701</v>
      </c>
      <c r="C130" s="244">
        <v>300000</v>
      </c>
      <c r="D130" s="244">
        <v>0</v>
      </c>
      <c r="E130" s="244">
        <f t="shared" ref="E130:G131" si="95">$C130/10</f>
        <v>30000</v>
      </c>
      <c r="F130" s="244">
        <f t="shared" si="95"/>
        <v>30000</v>
      </c>
      <c r="G130" s="244">
        <f>$C130/10</f>
        <v>30000</v>
      </c>
      <c r="H130" s="244">
        <f t="shared" ref="H130:O131" si="96">$C130/10</f>
        <v>30000</v>
      </c>
      <c r="I130" s="244">
        <f t="shared" si="96"/>
        <v>30000</v>
      </c>
      <c r="J130" s="244">
        <f t="shared" si="96"/>
        <v>30000</v>
      </c>
      <c r="K130" s="244">
        <f t="shared" si="96"/>
        <v>30000</v>
      </c>
      <c r="L130" s="244">
        <f t="shared" si="96"/>
        <v>30000</v>
      </c>
      <c r="M130" s="244">
        <f t="shared" si="96"/>
        <v>30000</v>
      </c>
      <c r="N130" s="244">
        <f t="shared" si="96"/>
        <v>30000</v>
      </c>
      <c r="O130" s="244">
        <v>0</v>
      </c>
      <c r="P130" s="244">
        <v>0</v>
      </c>
      <c r="Q130" s="244">
        <v>0</v>
      </c>
      <c r="R130" s="244">
        <v>0</v>
      </c>
      <c r="S130" s="244">
        <v>0</v>
      </c>
      <c r="T130" s="244">
        <v>0</v>
      </c>
      <c r="U130" s="244">
        <v>0</v>
      </c>
      <c r="V130" s="244">
        <v>0</v>
      </c>
      <c r="W130" s="244">
        <v>0</v>
      </c>
      <c r="X130" s="244">
        <v>0</v>
      </c>
      <c r="Y130" s="244">
        <v>0</v>
      </c>
      <c r="Z130" s="244">
        <v>0</v>
      </c>
      <c r="AA130" s="244">
        <v>0</v>
      </c>
      <c r="AB130" s="244">
        <v>0</v>
      </c>
      <c r="AC130" s="244">
        <v>0</v>
      </c>
      <c r="AD130" s="244">
        <v>0</v>
      </c>
      <c r="AE130" s="244">
        <v>0</v>
      </c>
      <c r="AF130" s="244">
        <v>0</v>
      </c>
      <c r="AG130" s="244">
        <v>0</v>
      </c>
      <c r="AH130" s="244">
        <v>0</v>
      </c>
      <c r="AI130" s="244">
        <v>0</v>
      </c>
      <c r="AJ130" s="244">
        <v>0</v>
      </c>
      <c r="AK130" s="244">
        <v>0</v>
      </c>
      <c r="AL130" s="244">
        <v>0</v>
      </c>
    </row>
    <row r="131" spans="2:40" x14ac:dyDescent="0.3">
      <c r="B131" s="254" t="s">
        <v>3702</v>
      </c>
      <c r="C131" s="244">
        <v>500000</v>
      </c>
      <c r="D131" s="244">
        <v>0</v>
      </c>
      <c r="E131" s="244">
        <v>0</v>
      </c>
      <c r="F131" s="244">
        <f t="shared" si="95"/>
        <v>50000</v>
      </c>
      <c r="G131" s="244">
        <f t="shared" si="95"/>
        <v>50000</v>
      </c>
      <c r="H131" s="244">
        <f>$C131/10</f>
        <v>50000</v>
      </c>
      <c r="I131" s="244">
        <f t="shared" si="96"/>
        <v>50000</v>
      </c>
      <c r="J131" s="244">
        <f t="shared" si="96"/>
        <v>50000</v>
      </c>
      <c r="K131" s="244">
        <f t="shared" si="96"/>
        <v>50000</v>
      </c>
      <c r="L131" s="244">
        <f t="shared" si="96"/>
        <v>50000</v>
      </c>
      <c r="M131" s="244">
        <f>$C131/10</f>
        <v>50000</v>
      </c>
      <c r="N131" s="244">
        <f t="shared" si="96"/>
        <v>50000</v>
      </c>
      <c r="O131" s="244">
        <f t="shared" si="96"/>
        <v>50000</v>
      </c>
      <c r="P131" s="244">
        <v>0</v>
      </c>
      <c r="Q131" s="244">
        <v>0</v>
      </c>
      <c r="R131" s="244">
        <v>0</v>
      </c>
      <c r="S131" s="244">
        <v>0</v>
      </c>
      <c r="T131" s="244">
        <v>0</v>
      </c>
      <c r="U131" s="244">
        <v>0</v>
      </c>
      <c r="V131" s="244">
        <v>0</v>
      </c>
      <c r="W131" s="244">
        <v>0</v>
      </c>
      <c r="X131" s="244">
        <v>0</v>
      </c>
      <c r="Y131" s="244">
        <v>0</v>
      </c>
      <c r="Z131" s="244">
        <v>0</v>
      </c>
      <c r="AA131" s="244">
        <v>0</v>
      </c>
      <c r="AB131" s="244">
        <v>0</v>
      </c>
      <c r="AC131" s="244">
        <v>0</v>
      </c>
      <c r="AD131" s="244">
        <v>0</v>
      </c>
      <c r="AE131" s="244">
        <v>0</v>
      </c>
      <c r="AF131" s="244">
        <v>0</v>
      </c>
      <c r="AG131" s="244">
        <v>0</v>
      </c>
      <c r="AH131" s="244">
        <v>0</v>
      </c>
      <c r="AI131" s="244">
        <v>0</v>
      </c>
      <c r="AJ131" s="244">
        <v>0</v>
      </c>
      <c r="AK131" s="244">
        <v>0</v>
      </c>
      <c r="AL131" s="244">
        <v>0</v>
      </c>
    </row>
    <row r="132" spans="2:40" x14ac:dyDescent="0.3">
      <c r="B132" s="489" t="s">
        <v>4075</v>
      </c>
      <c r="C132" s="489"/>
      <c r="D132" s="253">
        <f t="shared" ref="D132:Q132" si="97">SUM(D130:D131)</f>
        <v>0</v>
      </c>
      <c r="E132" s="253">
        <f t="shared" si="97"/>
        <v>30000</v>
      </c>
      <c r="F132" s="253">
        <f t="shared" si="97"/>
        <v>80000</v>
      </c>
      <c r="G132" s="253">
        <f t="shared" si="97"/>
        <v>80000</v>
      </c>
      <c r="H132" s="253">
        <f t="shared" si="97"/>
        <v>80000</v>
      </c>
      <c r="I132" s="253">
        <f t="shared" si="97"/>
        <v>80000</v>
      </c>
      <c r="J132" s="253">
        <f t="shared" si="97"/>
        <v>80000</v>
      </c>
      <c r="K132" s="253">
        <f t="shared" si="97"/>
        <v>80000</v>
      </c>
      <c r="L132" s="253">
        <f t="shared" si="97"/>
        <v>80000</v>
      </c>
      <c r="M132" s="253">
        <f t="shared" si="97"/>
        <v>80000</v>
      </c>
      <c r="N132" s="253">
        <f t="shared" si="97"/>
        <v>80000</v>
      </c>
      <c r="O132" s="253">
        <f t="shared" si="97"/>
        <v>50000</v>
      </c>
      <c r="P132" s="253">
        <f t="shared" si="97"/>
        <v>0</v>
      </c>
      <c r="Q132" s="253">
        <f t="shared" si="97"/>
        <v>0</v>
      </c>
      <c r="R132" s="253">
        <f t="shared" ref="R132:AK132" si="98">SUM(R130:R131)</f>
        <v>0</v>
      </c>
      <c r="S132" s="253">
        <f t="shared" si="98"/>
        <v>0</v>
      </c>
      <c r="T132" s="253">
        <f t="shared" si="98"/>
        <v>0</v>
      </c>
      <c r="U132" s="253">
        <f t="shared" si="98"/>
        <v>0</v>
      </c>
      <c r="V132" s="253">
        <f t="shared" si="98"/>
        <v>0</v>
      </c>
      <c r="W132" s="253">
        <f t="shared" si="98"/>
        <v>0</v>
      </c>
      <c r="X132" s="253">
        <f t="shared" si="98"/>
        <v>0</v>
      </c>
      <c r="Y132" s="253">
        <f t="shared" si="98"/>
        <v>0</v>
      </c>
      <c r="Z132" s="253">
        <f t="shared" si="98"/>
        <v>0</v>
      </c>
      <c r="AA132" s="253">
        <f t="shared" si="98"/>
        <v>0</v>
      </c>
      <c r="AB132" s="253">
        <f t="shared" si="98"/>
        <v>0</v>
      </c>
      <c r="AC132" s="253">
        <f t="shared" si="98"/>
        <v>0</v>
      </c>
      <c r="AD132" s="253">
        <f t="shared" si="98"/>
        <v>0</v>
      </c>
      <c r="AE132" s="253">
        <f t="shared" si="98"/>
        <v>0</v>
      </c>
      <c r="AF132" s="253">
        <f t="shared" si="98"/>
        <v>0</v>
      </c>
      <c r="AG132" s="253">
        <f t="shared" si="98"/>
        <v>0</v>
      </c>
      <c r="AH132" s="253">
        <f t="shared" si="98"/>
        <v>0</v>
      </c>
      <c r="AI132" s="253">
        <f t="shared" si="98"/>
        <v>0</v>
      </c>
      <c r="AJ132" s="253">
        <f t="shared" si="98"/>
        <v>0</v>
      </c>
      <c r="AK132" s="253">
        <f t="shared" si="98"/>
        <v>0</v>
      </c>
      <c r="AL132" s="253">
        <f>SUM(AL130:AL131)</f>
        <v>0</v>
      </c>
      <c r="AN132" s="244">
        <f>SUM(D132:AL132)</f>
        <v>800000</v>
      </c>
    </row>
    <row r="134" spans="2:40" x14ac:dyDescent="0.3">
      <c r="B134" s="429" t="s">
        <v>4035</v>
      </c>
      <c r="C134" s="490">
        <v>0.1</v>
      </c>
      <c r="D134" s="488" t="s">
        <v>3701</v>
      </c>
      <c r="E134" s="488" t="s">
        <v>3702</v>
      </c>
      <c r="F134" s="488" t="s">
        <v>3703</v>
      </c>
      <c r="G134" s="488" t="s">
        <v>3704</v>
      </c>
      <c r="H134" s="488" t="s">
        <v>3705</v>
      </c>
      <c r="I134" s="488" t="s">
        <v>3706</v>
      </c>
      <c r="J134" s="488" t="s">
        <v>3707</v>
      </c>
      <c r="K134" s="488" t="s">
        <v>3708</v>
      </c>
      <c r="L134" s="488" t="s">
        <v>3709</v>
      </c>
      <c r="M134" s="488" t="s">
        <v>3710</v>
      </c>
      <c r="N134" s="488" t="s">
        <v>3711</v>
      </c>
      <c r="O134" s="488" t="s">
        <v>3712</v>
      </c>
      <c r="P134" s="488" t="s">
        <v>3713</v>
      </c>
      <c r="Q134" s="488" t="s">
        <v>3714</v>
      </c>
      <c r="R134" s="488" t="s">
        <v>3715</v>
      </c>
      <c r="S134" s="488" t="s">
        <v>3716</v>
      </c>
      <c r="T134" s="488" t="s">
        <v>3717</v>
      </c>
      <c r="U134" s="488" t="s">
        <v>3718</v>
      </c>
      <c r="V134" s="488" t="s">
        <v>3719</v>
      </c>
      <c r="W134" s="488" t="s">
        <v>3720</v>
      </c>
      <c r="X134" s="488" t="s">
        <v>3721</v>
      </c>
      <c r="Y134" s="488" t="s">
        <v>3722</v>
      </c>
      <c r="Z134" s="488" t="s">
        <v>3723</v>
      </c>
      <c r="AA134" s="488" t="s">
        <v>3724</v>
      </c>
      <c r="AB134" s="488" t="s">
        <v>3725</v>
      </c>
      <c r="AC134" s="488" t="s">
        <v>3726</v>
      </c>
      <c r="AD134" s="488" t="s">
        <v>3727</v>
      </c>
      <c r="AE134" s="488" t="s">
        <v>3728</v>
      </c>
      <c r="AF134" s="488" t="s">
        <v>3729</v>
      </c>
      <c r="AG134" s="488" t="s">
        <v>3730</v>
      </c>
      <c r="AH134" s="488" t="s">
        <v>3731</v>
      </c>
      <c r="AI134" s="488" t="s">
        <v>3732</v>
      </c>
      <c r="AJ134" s="488" t="s">
        <v>3733</v>
      </c>
      <c r="AK134" s="488" t="s">
        <v>3734</v>
      </c>
      <c r="AL134" s="488" t="s">
        <v>3735</v>
      </c>
    </row>
    <row r="135" spans="2:40" x14ac:dyDescent="0.3">
      <c r="B135" s="433" t="s">
        <v>4212</v>
      </c>
      <c r="C135" s="488"/>
      <c r="D135" s="488"/>
      <c r="E135" s="488"/>
      <c r="F135" s="488"/>
      <c r="G135" s="488"/>
      <c r="H135" s="488"/>
      <c r="I135" s="488"/>
      <c r="J135" s="488"/>
      <c r="K135" s="488"/>
      <c r="L135" s="488"/>
      <c r="M135" s="488"/>
      <c r="N135" s="488"/>
      <c r="O135" s="488"/>
      <c r="P135" s="488"/>
      <c r="Q135" s="488"/>
      <c r="R135" s="488"/>
      <c r="S135" s="488"/>
      <c r="T135" s="488"/>
      <c r="U135" s="488"/>
      <c r="V135" s="488"/>
      <c r="W135" s="488"/>
      <c r="X135" s="488"/>
      <c r="Y135" s="488"/>
      <c r="Z135" s="488"/>
      <c r="AA135" s="488"/>
      <c r="AB135" s="488"/>
      <c r="AC135" s="488"/>
      <c r="AD135" s="488"/>
      <c r="AE135" s="488"/>
      <c r="AF135" s="488"/>
      <c r="AG135" s="488"/>
      <c r="AH135" s="488"/>
      <c r="AI135" s="488"/>
      <c r="AJ135" s="488"/>
      <c r="AK135" s="488"/>
      <c r="AL135" s="488"/>
    </row>
    <row r="136" spans="2:40" x14ac:dyDescent="0.3">
      <c r="B136" s="254" t="s">
        <v>3701</v>
      </c>
      <c r="C136" s="244">
        <v>200000</v>
      </c>
      <c r="D136" s="244">
        <v>0</v>
      </c>
      <c r="E136" s="244">
        <f>$C134*$C136</f>
        <v>20000</v>
      </c>
      <c r="F136" s="244">
        <f t="shared" ref="F136:N136" si="99">$C134*$C136</f>
        <v>20000</v>
      </c>
      <c r="G136" s="244">
        <f t="shared" si="99"/>
        <v>20000</v>
      </c>
      <c r="H136" s="244">
        <f t="shared" si="99"/>
        <v>20000</v>
      </c>
      <c r="I136" s="244">
        <f t="shared" si="99"/>
        <v>20000</v>
      </c>
      <c r="J136" s="244">
        <f t="shared" si="99"/>
        <v>20000</v>
      </c>
      <c r="K136" s="244">
        <f t="shared" si="99"/>
        <v>20000</v>
      </c>
      <c r="L136" s="244">
        <f t="shared" si="99"/>
        <v>20000</v>
      </c>
      <c r="M136" s="244">
        <f t="shared" si="99"/>
        <v>20000</v>
      </c>
      <c r="N136" s="244">
        <f t="shared" si="99"/>
        <v>20000</v>
      </c>
      <c r="O136" s="244">
        <v>0</v>
      </c>
      <c r="P136" s="244">
        <v>0</v>
      </c>
      <c r="Q136" s="244">
        <v>0</v>
      </c>
      <c r="R136" s="244">
        <v>0</v>
      </c>
      <c r="S136" s="244">
        <v>0</v>
      </c>
      <c r="T136" s="244">
        <v>0</v>
      </c>
      <c r="U136" s="244">
        <v>0</v>
      </c>
      <c r="V136" s="244">
        <v>0</v>
      </c>
      <c r="W136" s="244">
        <v>0</v>
      </c>
      <c r="X136" s="244">
        <v>0</v>
      </c>
      <c r="Y136" s="244">
        <v>0</v>
      </c>
      <c r="Z136" s="244">
        <v>0</v>
      </c>
      <c r="AA136" s="244">
        <v>0</v>
      </c>
      <c r="AB136" s="244">
        <v>0</v>
      </c>
      <c r="AC136" s="244">
        <v>0</v>
      </c>
      <c r="AD136" s="244">
        <v>0</v>
      </c>
      <c r="AE136" s="244">
        <v>0</v>
      </c>
      <c r="AF136" s="244">
        <v>0</v>
      </c>
      <c r="AG136" s="244">
        <v>0</v>
      </c>
      <c r="AH136" s="244">
        <v>0</v>
      </c>
      <c r="AI136" s="244">
        <v>0</v>
      </c>
      <c r="AJ136" s="244">
        <v>0</v>
      </c>
      <c r="AK136" s="244">
        <v>0</v>
      </c>
      <c r="AL136" s="244">
        <v>0</v>
      </c>
    </row>
    <row r="137" spans="2:40" x14ac:dyDescent="0.3">
      <c r="B137" s="254" t="s">
        <v>3702</v>
      </c>
      <c r="C137" s="244">
        <v>1000000</v>
      </c>
      <c r="D137" s="244">
        <v>0</v>
      </c>
      <c r="E137" s="244">
        <v>0</v>
      </c>
      <c r="F137" s="244">
        <f>$C134*$C137</f>
        <v>100000</v>
      </c>
      <c r="G137" s="244">
        <f t="shared" ref="G137:O137" si="100">$C134*$C137</f>
        <v>100000</v>
      </c>
      <c r="H137" s="244">
        <f t="shared" si="100"/>
        <v>100000</v>
      </c>
      <c r="I137" s="244">
        <f t="shared" si="100"/>
        <v>100000</v>
      </c>
      <c r="J137" s="244">
        <f t="shared" si="100"/>
        <v>100000</v>
      </c>
      <c r="K137" s="244">
        <f t="shared" si="100"/>
        <v>100000</v>
      </c>
      <c r="L137" s="244">
        <f t="shared" si="100"/>
        <v>100000</v>
      </c>
      <c r="M137" s="244">
        <f t="shared" si="100"/>
        <v>100000</v>
      </c>
      <c r="N137" s="244">
        <f t="shared" si="100"/>
        <v>100000</v>
      </c>
      <c r="O137" s="244">
        <f t="shared" si="100"/>
        <v>100000</v>
      </c>
      <c r="P137" s="244">
        <v>0</v>
      </c>
      <c r="Q137" s="244">
        <v>0</v>
      </c>
      <c r="R137" s="244">
        <v>0</v>
      </c>
      <c r="S137" s="244">
        <v>0</v>
      </c>
      <c r="T137" s="244">
        <v>0</v>
      </c>
      <c r="U137" s="244">
        <v>0</v>
      </c>
      <c r="V137" s="244">
        <v>0</v>
      </c>
      <c r="W137" s="244">
        <v>0</v>
      </c>
      <c r="X137" s="244">
        <v>0</v>
      </c>
      <c r="Y137" s="244">
        <v>0</v>
      </c>
      <c r="Z137" s="244">
        <v>0</v>
      </c>
      <c r="AA137" s="244">
        <v>0</v>
      </c>
      <c r="AB137" s="244">
        <v>0</v>
      </c>
      <c r="AC137" s="244">
        <v>0</v>
      </c>
      <c r="AD137" s="244">
        <v>0</v>
      </c>
      <c r="AE137" s="244">
        <v>0</v>
      </c>
      <c r="AF137" s="244">
        <v>0</v>
      </c>
      <c r="AG137" s="244">
        <v>0</v>
      </c>
      <c r="AH137" s="244">
        <v>0</v>
      </c>
      <c r="AI137" s="244">
        <v>0</v>
      </c>
      <c r="AJ137" s="244">
        <v>0</v>
      </c>
      <c r="AK137" s="244">
        <v>0</v>
      </c>
      <c r="AL137" s="244">
        <v>0</v>
      </c>
    </row>
    <row r="138" spans="2:40" x14ac:dyDescent="0.3">
      <c r="B138" s="489" t="s">
        <v>4075</v>
      </c>
      <c r="C138" s="489"/>
      <c r="D138" s="253">
        <f t="shared" ref="D138:I138" si="101">SUM(D136:D137)</f>
        <v>0</v>
      </c>
      <c r="E138" s="253">
        <f t="shared" si="101"/>
        <v>20000</v>
      </c>
      <c r="F138" s="253">
        <f t="shared" si="101"/>
        <v>120000</v>
      </c>
      <c r="G138" s="253">
        <f t="shared" si="101"/>
        <v>120000</v>
      </c>
      <c r="H138" s="253">
        <f t="shared" si="101"/>
        <v>120000</v>
      </c>
      <c r="I138" s="253">
        <f t="shared" si="101"/>
        <v>120000</v>
      </c>
      <c r="J138" s="253">
        <f t="shared" ref="J138:AK138" si="102">SUM(J136:J137)</f>
        <v>120000</v>
      </c>
      <c r="K138" s="253">
        <f t="shared" si="102"/>
        <v>120000</v>
      </c>
      <c r="L138" s="253">
        <f t="shared" si="102"/>
        <v>120000</v>
      </c>
      <c r="M138" s="253">
        <f t="shared" si="102"/>
        <v>120000</v>
      </c>
      <c r="N138" s="253">
        <f t="shared" si="102"/>
        <v>120000</v>
      </c>
      <c r="O138" s="253">
        <f t="shared" si="102"/>
        <v>100000</v>
      </c>
      <c r="P138" s="253">
        <f t="shared" si="102"/>
        <v>0</v>
      </c>
      <c r="Q138" s="253">
        <f t="shared" si="102"/>
        <v>0</v>
      </c>
      <c r="R138" s="253">
        <f t="shared" si="102"/>
        <v>0</v>
      </c>
      <c r="S138" s="253">
        <f t="shared" si="102"/>
        <v>0</v>
      </c>
      <c r="T138" s="253">
        <f t="shared" si="102"/>
        <v>0</v>
      </c>
      <c r="U138" s="253">
        <f t="shared" si="102"/>
        <v>0</v>
      </c>
      <c r="V138" s="253">
        <f t="shared" si="102"/>
        <v>0</v>
      </c>
      <c r="W138" s="253">
        <f t="shared" si="102"/>
        <v>0</v>
      </c>
      <c r="X138" s="253">
        <f t="shared" si="102"/>
        <v>0</v>
      </c>
      <c r="Y138" s="253">
        <f t="shared" si="102"/>
        <v>0</v>
      </c>
      <c r="Z138" s="253">
        <f t="shared" si="102"/>
        <v>0</v>
      </c>
      <c r="AA138" s="253">
        <f t="shared" si="102"/>
        <v>0</v>
      </c>
      <c r="AB138" s="253">
        <f t="shared" si="102"/>
        <v>0</v>
      </c>
      <c r="AC138" s="253">
        <f t="shared" si="102"/>
        <v>0</v>
      </c>
      <c r="AD138" s="253">
        <f t="shared" si="102"/>
        <v>0</v>
      </c>
      <c r="AE138" s="253">
        <f t="shared" si="102"/>
        <v>0</v>
      </c>
      <c r="AF138" s="253">
        <f t="shared" si="102"/>
        <v>0</v>
      </c>
      <c r="AG138" s="253">
        <f t="shared" si="102"/>
        <v>0</v>
      </c>
      <c r="AH138" s="253">
        <f t="shared" si="102"/>
        <v>0</v>
      </c>
      <c r="AI138" s="253">
        <f t="shared" si="102"/>
        <v>0</v>
      </c>
      <c r="AJ138" s="253">
        <f t="shared" si="102"/>
        <v>0</v>
      </c>
      <c r="AK138" s="253">
        <f t="shared" si="102"/>
        <v>0</v>
      </c>
      <c r="AL138" s="253">
        <f>SUM(AL136:AL137)</f>
        <v>0</v>
      </c>
      <c r="AN138" s="244">
        <f>SUM(D138:AL138)</f>
        <v>1200000</v>
      </c>
    </row>
    <row r="140" spans="2:40" x14ac:dyDescent="0.3">
      <c r="B140" s="429" t="s">
        <v>4035</v>
      </c>
      <c r="C140" s="490">
        <v>0.1</v>
      </c>
      <c r="D140" s="488" t="s">
        <v>3701</v>
      </c>
      <c r="E140" s="488" t="s">
        <v>3702</v>
      </c>
      <c r="F140" s="488" t="s">
        <v>3703</v>
      </c>
      <c r="G140" s="488" t="s">
        <v>3704</v>
      </c>
      <c r="H140" s="488" t="s">
        <v>3705</v>
      </c>
      <c r="I140" s="488" t="s">
        <v>3706</v>
      </c>
      <c r="J140" s="488" t="s">
        <v>3707</v>
      </c>
      <c r="K140" s="488" t="s">
        <v>3708</v>
      </c>
      <c r="L140" s="488" t="s">
        <v>3709</v>
      </c>
      <c r="M140" s="488" t="s">
        <v>3710</v>
      </c>
      <c r="N140" s="488" t="s">
        <v>3711</v>
      </c>
      <c r="O140" s="488" t="s">
        <v>3712</v>
      </c>
      <c r="P140" s="488" t="s">
        <v>3713</v>
      </c>
      <c r="Q140" s="488" t="s">
        <v>3714</v>
      </c>
      <c r="R140" s="488" t="s">
        <v>3715</v>
      </c>
      <c r="S140" s="488" t="s">
        <v>3716</v>
      </c>
      <c r="T140" s="488" t="s">
        <v>3717</v>
      </c>
      <c r="U140" s="488" t="s">
        <v>3718</v>
      </c>
      <c r="V140" s="488" t="s">
        <v>3719</v>
      </c>
      <c r="W140" s="488" t="s">
        <v>3720</v>
      </c>
      <c r="X140" s="488" t="s">
        <v>3721</v>
      </c>
      <c r="Y140" s="488" t="s">
        <v>3722</v>
      </c>
      <c r="Z140" s="488" t="s">
        <v>3723</v>
      </c>
      <c r="AA140" s="488" t="s">
        <v>3724</v>
      </c>
      <c r="AB140" s="488" t="s">
        <v>3725</v>
      </c>
      <c r="AC140" s="488" t="s">
        <v>3726</v>
      </c>
      <c r="AD140" s="488" t="s">
        <v>3727</v>
      </c>
      <c r="AE140" s="488" t="s">
        <v>3728</v>
      </c>
      <c r="AF140" s="488" t="s">
        <v>3729</v>
      </c>
      <c r="AG140" s="488" t="s">
        <v>3730</v>
      </c>
      <c r="AH140" s="488" t="s">
        <v>3731</v>
      </c>
      <c r="AI140" s="488" t="s">
        <v>3732</v>
      </c>
      <c r="AJ140" s="488" t="s">
        <v>3733</v>
      </c>
      <c r="AK140" s="488" t="s">
        <v>3734</v>
      </c>
      <c r="AL140" s="488" t="s">
        <v>3735</v>
      </c>
    </row>
    <row r="141" spans="2:40" x14ac:dyDescent="0.3">
      <c r="B141" s="433" t="s">
        <v>4213</v>
      </c>
      <c r="C141" s="488"/>
      <c r="D141" s="488"/>
      <c r="E141" s="488"/>
      <c r="F141" s="488"/>
      <c r="G141" s="488"/>
      <c r="H141" s="488"/>
      <c r="I141" s="488"/>
      <c r="J141" s="488"/>
      <c r="K141" s="488"/>
      <c r="L141" s="488"/>
      <c r="M141" s="488"/>
      <c r="N141" s="488"/>
      <c r="O141" s="488"/>
      <c r="P141" s="488"/>
      <c r="Q141" s="488"/>
      <c r="R141" s="488"/>
      <c r="S141" s="488"/>
      <c r="T141" s="488"/>
      <c r="U141" s="488"/>
      <c r="V141" s="488"/>
      <c r="W141" s="488"/>
      <c r="X141" s="488"/>
      <c r="Y141" s="488"/>
      <c r="Z141" s="488"/>
      <c r="AA141" s="488"/>
      <c r="AB141" s="488"/>
      <c r="AC141" s="488"/>
      <c r="AD141" s="488"/>
      <c r="AE141" s="488"/>
      <c r="AF141" s="488"/>
      <c r="AG141" s="488"/>
      <c r="AH141" s="488"/>
      <c r="AI141" s="488"/>
      <c r="AJ141" s="488"/>
      <c r="AK141" s="488"/>
      <c r="AL141" s="488"/>
    </row>
    <row r="142" spans="2:40" x14ac:dyDescent="0.3">
      <c r="B142" s="254" t="s">
        <v>3703</v>
      </c>
      <c r="C142" s="244">
        <f>F5</f>
        <v>130000</v>
      </c>
      <c r="D142" s="244">
        <v>0</v>
      </c>
      <c r="E142" s="244">
        <v>0</v>
      </c>
      <c r="F142" s="244">
        <v>0</v>
      </c>
      <c r="G142" s="244">
        <f>$C142/10</f>
        <v>13000</v>
      </c>
      <c r="H142" s="244">
        <f t="shared" ref="H142:P142" si="103">$C142/10</f>
        <v>13000</v>
      </c>
      <c r="I142" s="244">
        <f t="shared" si="103"/>
        <v>13000</v>
      </c>
      <c r="J142" s="244">
        <f t="shared" si="103"/>
        <v>13000</v>
      </c>
      <c r="K142" s="244">
        <f t="shared" si="103"/>
        <v>13000</v>
      </c>
      <c r="L142" s="244">
        <f t="shared" si="103"/>
        <v>13000</v>
      </c>
      <c r="M142" s="244">
        <f t="shared" si="103"/>
        <v>13000</v>
      </c>
      <c r="N142" s="244">
        <f t="shared" si="103"/>
        <v>13000</v>
      </c>
      <c r="O142" s="244">
        <f t="shared" si="103"/>
        <v>13000</v>
      </c>
      <c r="P142" s="244">
        <f t="shared" si="103"/>
        <v>13000</v>
      </c>
      <c r="Q142" s="244">
        <v>0</v>
      </c>
      <c r="R142" s="244">
        <v>0</v>
      </c>
      <c r="S142" s="244">
        <v>0</v>
      </c>
      <c r="T142" s="244">
        <v>0</v>
      </c>
      <c r="U142" s="244">
        <v>0</v>
      </c>
      <c r="V142" s="244">
        <v>0</v>
      </c>
      <c r="W142" s="244">
        <v>0</v>
      </c>
      <c r="X142" s="244">
        <v>0</v>
      </c>
      <c r="Y142" s="244">
        <v>0</v>
      </c>
      <c r="Z142" s="244">
        <v>0</v>
      </c>
      <c r="AA142" s="244">
        <v>0</v>
      </c>
      <c r="AB142" s="244">
        <v>0</v>
      </c>
      <c r="AC142" s="244">
        <v>0</v>
      </c>
      <c r="AD142" s="244">
        <v>0</v>
      </c>
      <c r="AE142" s="244">
        <v>0</v>
      </c>
      <c r="AF142" s="244">
        <v>0</v>
      </c>
      <c r="AG142" s="244">
        <v>0</v>
      </c>
      <c r="AH142" s="244">
        <v>0</v>
      </c>
      <c r="AI142" s="244">
        <v>0</v>
      </c>
      <c r="AJ142" s="244">
        <v>0</v>
      </c>
      <c r="AK142" s="244">
        <v>0</v>
      </c>
      <c r="AL142" s="244">
        <v>0</v>
      </c>
    </row>
    <row r="143" spans="2:40" x14ac:dyDescent="0.3">
      <c r="B143" s="489" t="s">
        <v>4075</v>
      </c>
      <c r="C143" s="489"/>
      <c r="D143" s="253">
        <f t="shared" ref="D143:AL143" si="104">SUM(D142:D142)</f>
        <v>0</v>
      </c>
      <c r="E143" s="253">
        <f t="shared" si="104"/>
        <v>0</v>
      </c>
      <c r="F143" s="253">
        <f t="shared" si="104"/>
        <v>0</v>
      </c>
      <c r="G143" s="253">
        <f t="shared" si="104"/>
        <v>13000</v>
      </c>
      <c r="H143" s="253">
        <f t="shared" si="104"/>
        <v>13000</v>
      </c>
      <c r="I143" s="253">
        <f t="shared" si="104"/>
        <v>13000</v>
      </c>
      <c r="J143" s="253">
        <f t="shared" si="104"/>
        <v>13000</v>
      </c>
      <c r="K143" s="253">
        <f t="shared" si="104"/>
        <v>13000</v>
      </c>
      <c r="L143" s="253">
        <f t="shared" si="104"/>
        <v>13000</v>
      </c>
      <c r="M143" s="253">
        <f t="shared" si="104"/>
        <v>13000</v>
      </c>
      <c r="N143" s="253">
        <f t="shared" si="104"/>
        <v>13000</v>
      </c>
      <c r="O143" s="253">
        <f t="shared" si="104"/>
        <v>13000</v>
      </c>
      <c r="P143" s="253">
        <f t="shared" si="104"/>
        <v>13000</v>
      </c>
      <c r="Q143" s="253">
        <f t="shared" si="104"/>
        <v>0</v>
      </c>
      <c r="R143" s="253">
        <f t="shared" si="104"/>
        <v>0</v>
      </c>
      <c r="S143" s="253">
        <f t="shared" si="104"/>
        <v>0</v>
      </c>
      <c r="T143" s="253">
        <f t="shared" si="104"/>
        <v>0</v>
      </c>
      <c r="U143" s="253">
        <f t="shared" si="104"/>
        <v>0</v>
      </c>
      <c r="V143" s="253">
        <f t="shared" si="104"/>
        <v>0</v>
      </c>
      <c r="W143" s="253">
        <f t="shared" si="104"/>
        <v>0</v>
      </c>
      <c r="X143" s="253">
        <f t="shared" si="104"/>
        <v>0</v>
      </c>
      <c r="Y143" s="253">
        <f t="shared" si="104"/>
        <v>0</v>
      </c>
      <c r="Z143" s="253">
        <f t="shared" si="104"/>
        <v>0</v>
      </c>
      <c r="AA143" s="253">
        <f t="shared" si="104"/>
        <v>0</v>
      </c>
      <c r="AB143" s="253">
        <f t="shared" si="104"/>
        <v>0</v>
      </c>
      <c r="AC143" s="253">
        <f t="shared" si="104"/>
        <v>0</v>
      </c>
      <c r="AD143" s="253">
        <f t="shared" si="104"/>
        <v>0</v>
      </c>
      <c r="AE143" s="253">
        <f t="shared" si="104"/>
        <v>0</v>
      </c>
      <c r="AF143" s="253">
        <f t="shared" si="104"/>
        <v>0</v>
      </c>
      <c r="AG143" s="253">
        <f t="shared" si="104"/>
        <v>0</v>
      </c>
      <c r="AH143" s="253">
        <f t="shared" si="104"/>
        <v>0</v>
      </c>
      <c r="AI143" s="253">
        <f t="shared" si="104"/>
        <v>0</v>
      </c>
      <c r="AJ143" s="253">
        <f t="shared" si="104"/>
        <v>0</v>
      </c>
      <c r="AK143" s="253">
        <f t="shared" si="104"/>
        <v>0</v>
      </c>
      <c r="AL143" s="253">
        <f t="shared" si="104"/>
        <v>0</v>
      </c>
      <c r="AN143" s="244">
        <f>SUM(D143:AL143)</f>
        <v>130000</v>
      </c>
    </row>
    <row r="145" spans="2:40" x14ac:dyDescent="0.3">
      <c r="B145" s="429" t="s">
        <v>4035</v>
      </c>
      <c r="C145" s="490">
        <v>0.2</v>
      </c>
      <c r="D145" s="488" t="s">
        <v>3701</v>
      </c>
      <c r="E145" s="488" t="s">
        <v>3702</v>
      </c>
      <c r="F145" s="488" t="s">
        <v>3703</v>
      </c>
      <c r="G145" s="488" t="s">
        <v>3704</v>
      </c>
      <c r="H145" s="488" t="s">
        <v>3705</v>
      </c>
      <c r="I145" s="488" t="s">
        <v>3706</v>
      </c>
      <c r="J145" s="488" t="s">
        <v>3707</v>
      </c>
      <c r="K145" s="488" t="s">
        <v>3708</v>
      </c>
      <c r="L145" s="488" t="s">
        <v>3709</v>
      </c>
      <c r="M145" s="488" t="s">
        <v>3710</v>
      </c>
      <c r="N145" s="488" t="s">
        <v>3711</v>
      </c>
      <c r="O145" s="488" t="s">
        <v>3712</v>
      </c>
      <c r="P145" s="488" t="s">
        <v>3713</v>
      </c>
      <c r="Q145" s="488" t="s">
        <v>3714</v>
      </c>
      <c r="R145" s="488" t="s">
        <v>3715</v>
      </c>
      <c r="S145" s="488" t="s">
        <v>3716</v>
      </c>
      <c r="T145" s="488" t="s">
        <v>3717</v>
      </c>
      <c r="U145" s="488" t="s">
        <v>3718</v>
      </c>
      <c r="V145" s="488" t="s">
        <v>3719</v>
      </c>
      <c r="W145" s="488" t="s">
        <v>3720</v>
      </c>
      <c r="X145" s="488" t="s">
        <v>3721</v>
      </c>
      <c r="Y145" s="488" t="s">
        <v>3722</v>
      </c>
      <c r="Z145" s="488" t="s">
        <v>3723</v>
      </c>
      <c r="AA145" s="488" t="s">
        <v>3724</v>
      </c>
      <c r="AB145" s="488" t="s">
        <v>3725</v>
      </c>
      <c r="AC145" s="488" t="s">
        <v>3726</v>
      </c>
      <c r="AD145" s="488" t="s">
        <v>3727</v>
      </c>
      <c r="AE145" s="488" t="s">
        <v>3728</v>
      </c>
      <c r="AF145" s="488" t="s">
        <v>3729</v>
      </c>
      <c r="AG145" s="488" t="s">
        <v>3730</v>
      </c>
      <c r="AH145" s="488" t="s">
        <v>3731</v>
      </c>
      <c r="AI145" s="488" t="s">
        <v>3732</v>
      </c>
      <c r="AJ145" s="488" t="s">
        <v>3733</v>
      </c>
      <c r="AK145" s="488" t="s">
        <v>3734</v>
      </c>
      <c r="AL145" s="488" t="s">
        <v>3735</v>
      </c>
    </row>
    <row r="146" spans="2:40" x14ac:dyDescent="0.3">
      <c r="B146" s="433" t="s">
        <v>4214</v>
      </c>
      <c r="C146" s="488"/>
      <c r="D146" s="488"/>
      <c r="E146" s="488"/>
      <c r="F146" s="488"/>
      <c r="G146" s="488"/>
      <c r="H146" s="488"/>
      <c r="I146" s="488"/>
      <c r="J146" s="488"/>
      <c r="K146" s="488"/>
      <c r="L146" s="488"/>
      <c r="M146" s="488"/>
      <c r="N146" s="488"/>
      <c r="O146" s="488"/>
      <c r="P146" s="488"/>
      <c r="Q146" s="488"/>
      <c r="R146" s="488"/>
      <c r="S146" s="488"/>
      <c r="T146" s="488"/>
      <c r="U146" s="488"/>
      <c r="V146" s="488"/>
      <c r="W146" s="488"/>
      <c r="X146" s="488"/>
      <c r="Y146" s="488"/>
      <c r="Z146" s="488"/>
      <c r="AA146" s="488"/>
      <c r="AB146" s="488"/>
      <c r="AC146" s="488"/>
      <c r="AD146" s="488"/>
      <c r="AE146" s="488"/>
      <c r="AF146" s="488"/>
      <c r="AG146" s="488"/>
      <c r="AH146" s="488"/>
      <c r="AI146" s="488"/>
      <c r="AJ146" s="488"/>
      <c r="AK146" s="488"/>
      <c r="AL146" s="488"/>
    </row>
    <row r="147" spans="2:40" x14ac:dyDescent="0.3">
      <c r="B147" s="254" t="s">
        <v>3703</v>
      </c>
      <c r="C147" s="244">
        <f>C16</f>
        <v>180000</v>
      </c>
      <c r="D147" s="244">
        <v>0</v>
      </c>
      <c r="E147" s="244">
        <v>0</v>
      </c>
      <c r="F147" s="244">
        <v>0</v>
      </c>
      <c r="G147" s="244">
        <f>$C145*$C147</f>
        <v>36000</v>
      </c>
      <c r="H147" s="244">
        <f t="shared" ref="H147:K147" si="105">$C145*$C147</f>
        <v>36000</v>
      </c>
      <c r="I147" s="244">
        <f t="shared" si="105"/>
        <v>36000</v>
      </c>
      <c r="J147" s="244">
        <f t="shared" si="105"/>
        <v>36000</v>
      </c>
      <c r="K147" s="244">
        <f t="shared" si="105"/>
        <v>36000</v>
      </c>
      <c r="L147" s="244">
        <v>0</v>
      </c>
      <c r="M147" s="244">
        <v>0</v>
      </c>
      <c r="N147" s="244">
        <v>0</v>
      </c>
      <c r="O147" s="244">
        <v>0</v>
      </c>
      <c r="P147" s="244">
        <v>0</v>
      </c>
      <c r="Q147" s="244">
        <v>0</v>
      </c>
      <c r="R147" s="244">
        <v>0</v>
      </c>
      <c r="S147" s="244">
        <v>0</v>
      </c>
      <c r="T147" s="244">
        <v>0</v>
      </c>
      <c r="U147" s="244">
        <v>0</v>
      </c>
      <c r="V147" s="244">
        <v>0</v>
      </c>
      <c r="W147" s="244">
        <v>0</v>
      </c>
      <c r="X147" s="244">
        <v>0</v>
      </c>
      <c r="Y147" s="244">
        <v>0</v>
      </c>
      <c r="Z147" s="244">
        <v>0</v>
      </c>
      <c r="AA147" s="244">
        <v>0</v>
      </c>
      <c r="AB147" s="244">
        <v>0</v>
      </c>
      <c r="AC147" s="244">
        <v>0</v>
      </c>
      <c r="AD147" s="244">
        <v>0</v>
      </c>
      <c r="AE147" s="244">
        <v>0</v>
      </c>
      <c r="AF147" s="244">
        <v>0</v>
      </c>
      <c r="AG147" s="244">
        <v>0</v>
      </c>
      <c r="AH147" s="244">
        <v>0</v>
      </c>
      <c r="AI147" s="244">
        <v>0</v>
      </c>
      <c r="AJ147" s="244">
        <v>0</v>
      </c>
      <c r="AK147" s="244">
        <v>0</v>
      </c>
      <c r="AL147" s="244">
        <v>0</v>
      </c>
    </row>
    <row r="148" spans="2:40" x14ac:dyDescent="0.3">
      <c r="B148" s="489" t="s">
        <v>4075</v>
      </c>
      <c r="C148" s="489"/>
      <c r="D148" s="253">
        <f>SUM(D146:D147)</f>
        <v>0</v>
      </c>
      <c r="E148" s="253">
        <f>SUM(E146:E147)</f>
        <v>0</v>
      </c>
      <c r="F148" s="253">
        <f>SUM(F147)</f>
        <v>0</v>
      </c>
      <c r="G148" s="253">
        <f t="shared" ref="G148:AK148" si="106">SUM(G147)</f>
        <v>36000</v>
      </c>
      <c r="H148" s="253">
        <f t="shared" si="106"/>
        <v>36000</v>
      </c>
      <c r="I148" s="253">
        <f t="shared" si="106"/>
        <v>36000</v>
      </c>
      <c r="J148" s="253">
        <f t="shared" si="106"/>
        <v>36000</v>
      </c>
      <c r="K148" s="253">
        <f t="shared" si="106"/>
        <v>36000</v>
      </c>
      <c r="L148" s="253">
        <f t="shared" si="106"/>
        <v>0</v>
      </c>
      <c r="M148" s="253">
        <f t="shared" si="106"/>
        <v>0</v>
      </c>
      <c r="N148" s="253">
        <f t="shared" si="106"/>
        <v>0</v>
      </c>
      <c r="O148" s="253">
        <f t="shared" si="106"/>
        <v>0</v>
      </c>
      <c r="P148" s="253">
        <f t="shared" si="106"/>
        <v>0</v>
      </c>
      <c r="Q148" s="253">
        <f t="shared" si="106"/>
        <v>0</v>
      </c>
      <c r="R148" s="253">
        <f t="shared" si="106"/>
        <v>0</v>
      </c>
      <c r="S148" s="253">
        <f t="shared" si="106"/>
        <v>0</v>
      </c>
      <c r="T148" s="253">
        <f t="shared" si="106"/>
        <v>0</v>
      </c>
      <c r="U148" s="253">
        <f t="shared" si="106"/>
        <v>0</v>
      </c>
      <c r="V148" s="253">
        <f t="shared" si="106"/>
        <v>0</v>
      </c>
      <c r="W148" s="253">
        <f t="shared" si="106"/>
        <v>0</v>
      </c>
      <c r="X148" s="253">
        <f t="shared" si="106"/>
        <v>0</v>
      </c>
      <c r="Y148" s="253">
        <f t="shared" si="106"/>
        <v>0</v>
      </c>
      <c r="Z148" s="253">
        <f t="shared" si="106"/>
        <v>0</v>
      </c>
      <c r="AA148" s="253">
        <f t="shared" si="106"/>
        <v>0</v>
      </c>
      <c r="AB148" s="253">
        <f t="shared" si="106"/>
        <v>0</v>
      </c>
      <c r="AC148" s="253">
        <f t="shared" si="106"/>
        <v>0</v>
      </c>
      <c r="AD148" s="253">
        <f t="shared" si="106"/>
        <v>0</v>
      </c>
      <c r="AE148" s="253">
        <f t="shared" si="106"/>
        <v>0</v>
      </c>
      <c r="AF148" s="253">
        <f t="shared" si="106"/>
        <v>0</v>
      </c>
      <c r="AG148" s="253">
        <f t="shared" si="106"/>
        <v>0</v>
      </c>
      <c r="AH148" s="253">
        <f t="shared" si="106"/>
        <v>0</v>
      </c>
      <c r="AI148" s="253">
        <f t="shared" si="106"/>
        <v>0</v>
      </c>
      <c r="AJ148" s="253">
        <f t="shared" si="106"/>
        <v>0</v>
      </c>
      <c r="AK148" s="253">
        <f t="shared" si="106"/>
        <v>0</v>
      </c>
      <c r="AL148" s="253">
        <f>SUM(AL147)</f>
        <v>0</v>
      </c>
      <c r="AN148" s="244">
        <f>SUM(D148:AL148)</f>
        <v>180000</v>
      </c>
    </row>
    <row r="150" spans="2:40" x14ac:dyDescent="0.3">
      <c r="B150" s="257" t="s">
        <v>4035</v>
      </c>
      <c r="C150" s="490">
        <v>0.2</v>
      </c>
      <c r="D150" s="488" t="s">
        <v>3701</v>
      </c>
      <c r="E150" s="488" t="s">
        <v>3702</v>
      </c>
      <c r="F150" s="488" t="s">
        <v>3703</v>
      </c>
      <c r="G150" s="488" t="s">
        <v>3704</v>
      </c>
      <c r="H150" s="488" t="s">
        <v>3705</v>
      </c>
      <c r="I150" s="488" t="s">
        <v>3706</v>
      </c>
      <c r="J150" s="488" t="s">
        <v>3707</v>
      </c>
      <c r="K150" s="488" t="s">
        <v>3708</v>
      </c>
      <c r="L150" s="488" t="s">
        <v>3709</v>
      </c>
      <c r="M150" s="488" t="s">
        <v>3710</v>
      </c>
      <c r="N150" s="488" t="s">
        <v>3711</v>
      </c>
      <c r="O150" s="488" t="s">
        <v>3712</v>
      </c>
      <c r="P150" s="488" t="s">
        <v>3713</v>
      </c>
      <c r="Q150" s="488" t="s">
        <v>3714</v>
      </c>
      <c r="R150" s="488" t="s">
        <v>3715</v>
      </c>
      <c r="S150" s="488" t="s">
        <v>3716</v>
      </c>
      <c r="T150" s="488" t="s">
        <v>3717</v>
      </c>
      <c r="U150" s="488" t="s">
        <v>3718</v>
      </c>
      <c r="V150" s="488" t="s">
        <v>3719</v>
      </c>
      <c r="W150" s="488" t="s">
        <v>3720</v>
      </c>
      <c r="X150" s="488" t="s">
        <v>3721</v>
      </c>
      <c r="Y150" s="488" t="s">
        <v>3722</v>
      </c>
      <c r="Z150" s="488" t="s">
        <v>3723</v>
      </c>
      <c r="AA150" s="488" t="s">
        <v>3724</v>
      </c>
      <c r="AB150" s="488" t="s">
        <v>3725</v>
      </c>
      <c r="AC150" s="488" t="s">
        <v>3726</v>
      </c>
      <c r="AD150" s="488" t="s">
        <v>3727</v>
      </c>
      <c r="AE150" s="488" t="s">
        <v>3728</v>
      </c>
      <c r="AF150" s="488" t="s">
        <v>3729</v>
      </c>
      <c r="AG150" s="488" t="s">
        <v>3730</v>
      </c>
      <c r="AH150" s="488" t="s">
        <v>3731</v>
      </c>
      <c r="AI150" s="488" t="s">
        <v>3732</v>
      </c>
      <c r="AJ150" s="488" t="s">
        <v>3733</v>
      </c>
      <c r="AK150" s="488" t="s">
        <v>3734</v>
      </c>
      <c r="AL150" s="488" t="s">
        <v>3735</v>
      </c>
    </row>
    <row r="151" spans="2:40" x14ac:dyDescent="0.3">
      <c r="B151" s="256" t="s">
        <v>3861</v>
      </c>
      <c r="C151" s="488"/>
      <c r="D151" s="488"/>
      <c r="E151" s="488"/>
      <c r="F151" s="488"/>
      <c r="G151" s="488"/>
      <c r="H151" s="488"/>
      <c r="I151" s="488"/>
      <c r="J151" s="488"/>
      <c r="K151" s="488"/>
      <c r="L151" s="488"/>
      <c r="M151" s="488"/>
      <c r="N151" s="488"/>
      <c r="O151" s="488"/>
      <c r="P151" s="488"/>
      <c r="Q151" s="488"/>
      <c r="R151" s="488"/>
      <c r="S151" s="488"/>
      <c r="T151" s="488"/>
      <c r="U151" s="488"/>
      <c r="V151" s="488"/>
      <c r="W151" s="488"/>
      <c r="X151" s="488"/>
      <c r="Y151" s="488"/>
      <c r="Z151" s="488"/>
      <c r="AA151" s="488"/>
      <c r="AB151" s="488"/>
      <c r="AC151" s="488"/>
      <c r="AD151" s="488"/>
      <c r="AE151" s="488"/>
      <c r="AF151" s="488"/>
      <c r="AG151" s="488"/>
      <c r="AH151" s="488"/>
      <c r="AI151" s="488"/>
      <c r="AJ151" s="488"/>
      <c r="AK151" s="488"/>
      <c r="AL151" s="488"/>
    </row>
    <row r="152" spans="2:40" x14ac:dyDescent="0.3">
      <c r="B152" s="254" t="s">
        <v>3702</v>
      </c>
      <c r="C152" s="244">
        <v>300000</v>
      </c>
      <c r="F152" s="244">
        <f>$C152/10</f>
        <v>30000</v>
      </c>
      <c r="G152" s="244">
        <f t="shared" ref="G152:O152" si="107">$C152/10</f>
        <v>30000</v>
      </c>
      <c r="H152" s="244">
        <f t="shared" si="107"/>
        <v>30000</v>
      </c>
      <c r="I152" s="244">
        <f t="shared" si="107"/>
        <v>30000</v>
      </c>
      <c r="J152" s="244">
        <f t="shared" si="107"/>
        <v>30000</v>
      </c>
      <c r="K152" s="244">
        <f t="shared" si="107"/>
        <v>30000</v>
      </c>
      <c r="L152" s="244">
        <f t="shared" si="107"/>
        <v>30000</v>
      </c>
      <c r="M152" s="244">
        <f t="shared" si="107"/>
        <v>30000</v>
      </c>
      <c r="N152" s="244">
        <f t="shared" si="107"/>
        <v>30000</v>
      </c>
      <c r="O152" s="244">
        <f t="shared" si="107"/>
        <v>30000</v>
      </c>
      <c r="P152" s="244"/>
      <c r="Q152" s="244"/>
      <c r="R152" s="244"/>
      <c r="S152" s="244"/>
      <c r="T152" s="244"/>
      <c r="U152" s="244"/>
      <c r="V152" s="244"/>
      <c r="W152" s="244"/>
      <c r="X152" s="244"/>
      <c r="Y152" s="244"/>
      <c r="Z152" s="244"/>
      <c r="AA152" s="244"/>
      <c r="AB152" s="244"/>
      <c r="AC152" s="244"/>
      <c r="AD152" s="244"/>
      <c r="AE152" s="244"/>
    </row>
    <row r="153" spans="2:40" x14ac:dyDescent="0.3">
      <c r="B153" s="489" t="s">
        <v>4075</v>
      </c>
      <c r="C153" s="489"/>
      <c r="D153" s="253">
        <f>SUM(D151:D152)</f>
        <v>0</v>
      </c>
      <c r="E153" s="253">
        <f>SUM(E151:E152)</f>
        <v>0</v>
      </c>
      <c r="F153" s="253">
        <f>SUM(F152)</f>
        <v>30000</v>
      </c>
      <c r="G153" s="253">
        <f t="shared" ref="G153:AK153" si="108">SUM(G152)</f>
        <v>30000</v>
      </c>
      <c r="H153" s="253">
        <f t="shared" si="108"/>
        <v>30000</v>
      </c>
      <c r="I153" s="253">
        <f t="shared" si="108"/>
        <v>30000</v>
      </c>
      <c r="J153" s="253">
        <f t="shared" si="108"/>
        <v>30000</v>
      </c>
      <c r="K153" s="253">
        <f t="shared" si="108"/>
        <v>30000</v>
      </c>
      <c r="L153" s="253">
        <f t="shared" si="108"/>
        <v>30000</v>
      </c>
      <c r="M153" s="253">
        <f t="shared" si="108"/>
        <v>30000</v>
      </c>
      <c r="N153" s="253">
        <f t="shared" si="108"/>
        <v>30000</v>
      </c>
      <c r="O153" s="253">
        <f t="shared" si="108"/>
        <v>30000</v>
      </c>
      <c r="P153" s="253">
        <f t="shared" si="108"/>
        <v>0</v>
      </c>
      <c r="Q153" s="253">
        <f t="shared" si="108"/>
        <v>0</v>
      </c>
      <c r="R153" s="253">
        <f t="shared" si="108"/>
        <v>0</v>
      </c>
      <c r="S153" s="253">
        <f t="shared" si="108"/>
        <v>0</v>
      </c>
      <c r="T153" s="253">
        <f t="shared" si="108"/>
        <v>0</v>
      </c>
      <c r="U153" s="253">
        <f t="shared" si="108"/>
        <v>0</v>
      </c>
      <c r="V153" s="253">
        <f t="shared" si="108"/>
        <v>0</v>
      </c>
      <c r="W153" s="253">
        <f t="shared" si="108"/>
        <v>0</v>
      </c>
      <c r="X153" s="253">
        <f t="shared" si="108"/>
        <v>0</v>
      </c>
      <c r="Y153" s="253">
        <f t="shared" si="108"/>
        <v>0</v>
      </c>
      <c r="Z153" s="253">
        <f t="shared" si="108"/>
        <v>0</v>
      </c>
      <c r="AA153" s="253">
        <f t="shared" si="108"/>
        <v>0</v>
      </c>
      <c r="AB153" s="253">
        <f t="shared" si="108"/>
        <v>0</v>
      </c>
      <c r="AC153" s="253">
        <f t="shared" si="108"/>
        <v>0</v>
      </c>
      <c r="AD153" s="253">
        <f t="shared" si="108"/>
        <v>0</v>
      </c>
      <c r="AE153" s="253">
        <f t="shared" si="108"/>
        <v>0</v>
      </c>
      <c r="AF153" s="253">
        <f t="shared" si="108"/>
        <v>0</v>
      </c>
      <c r="AG153" s="253">
        <f t="shared" si="108"/>
        <v>0</v>
      </c>
      <c r="AH153" s="253">
        <f t="shared" si="108"/>
        <v>0</v>
      </c>
      <c r="AI153" s="253">
        <f t="shared" si="108"/>
        <v>0</v>
      </c>
      <c r="AJ153" s="253">
        <f t="shared" si="108"/>
        <v>0</v>
      </c>
      <c r="AK153" s="253">
        <f t="shared" si="108"/>
        <v>0</v>
      </c>
      <c r="AL153" s="253">
        <f>SUM(AL152)</f>
        <v>0</v>
      </c>
      <c r="AN153" s="244">
        <f>SUM(D153:AL153)</f>
        <v>300000</v>
      </c>
    </row>
    <row r="155" spans="2:40" x14ac:dyDescent="0.3">
      <c r="B155" s="489" t="s">
        <v>4035</v>
      </c>
      <c r="C155" s="489"/>
      <c r="D155" s="259" t="s">
        <v>3701</v>
      </c>
      <c r="E155" s="259" t="s">
        <v>3702</v>
      </c>
      <c r="F155" s="259" t="s">
        <v>3703</v>
      </c>
      <c r="G155" s="259" t="s">
        <v>3704</v>
      </c>
      <c r="H155" s="259" t="s">
        <v>3705</v>
      </c>
      <c r="I155" s="259" t="s">
        <v>3706</v>
      </c>
      <c r="J155" s="259" t="s">
        <v>3707</v>
      </c>
      <c r="K155" s="259" t="s">
        <v>3708</v>
      </c>
      <c r="L155" s="259" t="s">
        <v>3709</v>
      </c>
      <c r="M155" s="259" t="s">
        <v>3710</v>
      </c>
      <c r="N155" s="259" t="s">
        <v>3711</v>
      </c>
      <c r="O155" s="259" t="s">
        <v>3712</v>
      </c>
      <c r="P155" s="259" t="s">
        <v>3713</v>
      </c>
      <c r="Q155" s="259" t="s">
        <v>3714</v>
      </c>
      <c r="R155" s="259" t="s">
        <v>3715</v>
      </c>
      <c r="S155" s="259" t="s">
        <v>3716</v>
      </c>
      <c r="T155" s="259" t="s">
        <v>3717</v>
      </c>
      <c r="U155" s="259" t="s">
        <v>3718</v>
      </c>
      <c r="V155" s="259" t="s">
        <v>3719</v>
      </c>
      <c r="W155" s="259" t="s">
        <v>3720</v>
      </c>
      <c r="X155" s="259" t="s">
        <v>3721</v>
      </c>
      <c r="Y155" s="259" t="s">
        <v>3722</v>
      </c>
      <c r="Z155" s="259" t="s">
        <v>3723</v>
      </c>
      <c r="AA155" s="259" t="s">
        <v>3724</v>
      </c>
      <c r="AB155" s="259" t="s">
        <v>3725</v>
      </c>
      <c r="AC155" s="259" t="s">
        <v>3726</v>
      </c>
      <c r="AD155" s="259" t="s">
        <v>3727</v>
      </c>
      <c r="AE155" s="259" t="s">
        <v>3728</v>
      </c>
      <c r="AF155" s="259" t="s">
        <v>3729</v>
      </c>
      <c r="AG155" s="259" t="s">
        <v>3730</v>
      </c>
      <c r="AH155" s="259" t="s">
        <v>3731</v>
      </c>
      <c r="AI155" s="259" t="s">
        <v>3732</v>
      </c>
      <c r="AJ155" s="259" t="s">
        <v>3733</v>
      </c>
      <c r="AK155" s="259" t="s">
        <v>3734</v>
      </c>
      <c r="AL155" s="259" t="s">
        <v>3735</v>
      </c>
      <c r="AN155" s="258">
        <f>SUM(AN31:AN153)</f>
        <v>45830000</v>
      </c>
    </row>
    <row r="156" spans="2:40" x14ac:dyDescent="0.3">
      <c r="B156" s="489" t="s">
        <v>4075</v>
      </c>
      <c r="C156" s="489"/>
      <c r="D156" s="253">
        <f t="shared" ref="D156:AL156" si="109">D31+D38+D43+D48+D57+D63+D68+D73+D78+D84+D89+D96+D102+D108+D114+D120+D126+D132+D138+D143+D148+D153</f>
        <v>0</v>
      </c>
      <c r="E156" s="253">
        <f t="shared" si="109"/>
        <v>133000</v>
      </c>
      <c r="F156" s="253">
        <f t="shared" si="109"/>
        <v>591000</v>
      </c>
      <c r="G156" s="253">
        <f t="shared" si="109"/>
        <v>913000</v>
      </c>
      <c r="H156" s="253">
        <f t="shared" si="109"/>
        <v>2711500</v>
      </c>
      <c r="I156" s="253">
        <f t="shared" si="109"/>
        <v>3978000</v>
      </c>
      <c r="J156" s="253">
        <f t="shared" si="109"/>
        <v>3978000</v>
      </c>
      <c r="K156" s="253">
        <f t="shared" si="109"/>
        <v>3798000</v>
      </c>
      <c r="L156" s="253">
        <f t="shared" si="109"/>
        <v>3734000</v>
      </c>
      <c r="M156" s="253">
        <f t="shared" si="109"/>
        <v>2906000</v>
      </c>
      <c r="N156" s="253">
        <f t="shared" si="109"/>
        <v>2106000</v>
      </c>
      <c r="O156" s="253">
        <f t="shared" si="109"/>
        <v>2053000</v>
      </c>
      <c r="P156" s="253">
        <f t="shared" si="109"/>
        <v>1834000</v>
      </c>
      <c r="Q156" s="253">
        <f t="shared" si="109"/>
        <v>1779000</v>
      </c>
      <c r="R156" s="253">
        <f t="shared" si="109"/>
        <v>1159000</v>
      </c>
      <c r="S156" s="253">
        <f t="shared" si="109"/>
        <v>1039000</v>
      </c>
      <c r="T156" s="253">
        <f t="shared" si="109"/>
        <v>1039000</v>
      </c>
      <c r="U156" s="253">
        <f t="shared" si="109"/>
        <v>1039000</v>
      </c>
      <c r="V156" s="253">
        <f t="shared" si="109"/>
        <v>1039000</v>
      </c>
      <c r="W156" s="253">
        <f t="shared" si="109"/>
        <v>1039000</v>
      </c>
      <c r="X156" s="253">
        <f t="shared" si="109"/>
        <v>1039000</v>
      </c>
      <c r="Y156" s="253">
        <f t="shared" si="109"/>
        <v>1039000</v>
      </c>
      <c r="Z156" s="253">
        <f t="shared" si="109"/>
        <v>1039000</v>
      </c>
      <c r="AA156" s="253">
        <f t="shared" si="109"/>
        <v>1004000</v>
      </c>
      <c r="AB156" s="253">
        <f t="shared" si="109"/>
        <v>1004000</v>
      </c>
      <c r="AC156" s="253">
        <f t="shared" si="109"/>
        <v>1004000</v>
      </c>
      <c r="AD156" s="253">
        <f t="shared" si="109"/>
        <v>924000</v>
      </c>
      <c r="AE156" s="253">
        <f t="shared" si="109"/>
        <v>865000</v>
      </c>
      <c r="AF156" s="253">
        <f t="shared" si="109"/>
        <v>697000</v>
      </c>
      <c r="AG156" s="253">
        <f t="shared" si="109"/>
        <v>346500</v>
      </c>
      <c r="AH156" s="253">
        <f t="shared" si="109"/>
        <v>0</v>
      </c>
      <c r="AI156" s="253">
        <f t="shared" si="109"/>
        <v>0</v>
      </c>
      <c r="AJ156" s="253">
        <f t="shared" si="109"/>
        <v>0</v>
      </c>
      <c r="AK156" s="253">
        <f t="shared" si="109"/>
        <v>0</v>
      </c>
      <c r="AL156" s="253">
        <f t="shared" si="109"/>
        <v>0</v>
      </c>
    </row>
    <row r="158" spans="2:40" x14ac:dyDescent="0.3">
      <c r="D158" s="244">
        <f>SUM(D156:AL156)</f>
        <v>45830000</v>
      </c>
    </row>
  </sheetData>
  <mergeCells count="816">
    <mergeCell ref="B43:C43"/>
    <mergeCell ref="AF40:AF41"/>
    <mergeCell ref="AG40:AG41"/>
    <mergeCell ref="AH40:AH41"/>
    <mergeCell ref="AI40:AI41"/>
    <mergeCell ref="AJ40:AJ41"/>
    <mergeCell ref="AK40:AK41"/>
    <mergeCell ref="Z40:Z41"/>
    <mergeCell ref="AA40:AA41"/>
    <mergeCell ref="AB40:AB41"/>
    <mergeCell ref="AC40:AC41"/>
    <mergeCell ref="AD40:AD41"/>
    <mergeCell ref="AE40:AE41"/>
    <mergeCell ref="T40:T41"/>
    <mergeCell ref="U40:U41"/>
    <mergeCell ref="V40:V41"/>
    <mergeCell ref="W40:W41"/>
    <mergeCell ref="X40:X41"/>
    <mergeCell ref="Y40:Y41"/>
    <mergeCell ref="N40:N41"/>
    <mergeCell ref="O40:O41"/>
    <mergeCell ref="P40:P41"/>
    <mergeCell ref="Q40:Q41"/>
    <mergeCell ref="H40:H41"/>
    <mergeCell ref="I40:I41"/>
    <mergeCell ref="J40:J41"/>
    <mergeCell ref="K40:K41"/>
    <mergeCell ref="L40:L41"/>
    <mergeCell ref="M40:M41"/>
    <mergeCell ref="B38:C38"/>
    <mergeCell ref="C40:C41"/>
    <mergeCell ref="D40:D41"/>
    <mergeCell ref="E40:E41"/>
    <mergeCell ref="F40:F41"/>
    <mergeCell ref="G40:G41"/>
    <mergeCell ref="AL33:AL34"/>
    <mergeCell ref="AA33:AA34"/>
    <mergeCell ref="AB33:AB34"/>
    <mergeCell ref="AC33:AC34"/>
    <mergeCell ref="AD33:AD34"/>
    <mergeCell ref="AE33:AE34"/>
    <mergeCell ref="AF33:AF34"/>
    <mergeCell ref="R40:R41"/>
    <mergeCell ref="S40:S41"/>
    <mergeCell ref="AL40:AL41"/>
    <mergeCell ref="Q33:Q34"/>
    <mergeCell ref="R33:R34"/>
    <mergeCell ref="S33:S34"/>
    <mergeCell ref="T33:T34"/>
    <mergeCell ref="AG33:AG34"/>
    <mergeCell ref="AH33:AH34"/>
    <mergeCell ref="AI33:AI34"/>
    <mergeCell ref="AJ33:AJ34"/>
    <mergeCell ref="AK33:AK34"/>
    <mergeCell ref="I33:I34"/>
    <mergeCell ref="J33:J34"/>
    <mergeCell ref="K33:K34"/>
    <mergeCell ref="L33:L34"/>
    <mergeCell ref="M33:M34"/>
    <mergeCell ref="N33:N34"/>
    <mergeCell ref="AJ28:AJ29"/>
    <mergeCell ref="AK28:AK29"/>
    <mergeCell ref="AL28:AL29"/>
    <mergeCell ref="AF28:AF29"/>
    <mergeCell ref="AG28:AG29"/>
    <mergeCell ref="AH28:AH29"/>
    <mergeCell ref="AI28:AI29"/>
    <mergeCell ref="O28:O29"/>
    <mergeCell ref="P28:P29"/>
    <mergeCell ref="Q28:Q29"/>
    <mergeCell ref="U33:U34"/>
    <mergeCell ref="V33:V34"/>
    <mergeCell ref="W33:W34"/>
    <mergeCell ref="X33:X34"/>
    <mergeCell ref="Y33:Y34"/>
    <mergeCell ref="Z33:Z34"/>
    <mergeCell ref="O33:O34"/>
    <mergeCell ref="P33:P34"/>
    <mergeCell ref="B31:C31"/>
    <mergeCell ref="C33:C34"/>
    <mergeCell ref="D33:D34"/>
    <mergeCell ref="E33:E34"/>
    <mergeCell ref="F33:F34"/>
    <mergeCell ref="G33:G34"/>
    <mergeCell ref="H33:H34"/>
    <mergeCell ref="AD28:AD29"/>
    <mergeCell ref="AE28:AE29"/>
    <mergeCell ref="X28:X29"/>
    <mergeCell ref="Y28:Y29"/>
    <mergeCell ref="Z28:Z29"/>
    <mergeCell ref="AA28:AA29"/>
    <mergeCell ref="AB28:AB29"/>
    <mergeCell ref="AC28:AC29"/>
    <mergeCell ref="R28:R29"/>
    <mergeCell ref="S28:S29"/>
    <mergeCell ref="T28:T29"/>
    <mergeCell ref="U28:U29"/>
    <mergeCell ref="V28:V29"/>
    <mergeCell ref="W28:W29"/>
    <mergeCell ref="L28:L29"/>
    <mergeCell ref="M28:M29"/>
    <mergeCell ref="N28:N29"/>
    <mergeCell ref="F28:F29"/>
    <mergeCell ref="G28:G29"/>
    <mergeCell ref="H28:H29"/>
    <mergeCell ref="I28:I29"/>
    <mergeCell ref="J28:J29"/>
    <mergeCell ref="K28:K29"/>
    <mergeCell ref="C28:C29"/>
    <mergeCell ref="D28:D29"/>
    <mergeCell ref="E28:E29"/>
    <mergeCell ref="C45:C46"/>
    <mergeCell ref="D45:D46"/>
    <mergeCell ref="E45:E46"/>
    <mergeCell ref="F45:F46"/>
    <mergeCell ref="G45:G46"/>
    <mergeCell ref="H45:H46"/>
    <mergeCell ref="I45:I46"/>
    <mergeCell ref="J45:J46"/>
    <mergeCell ref="K45:K46"/>
    <mergeCell ref="L45:L46"/>
    <mergeCell ref="M45:M46"/>
    <mergeCell ref="N45:N46"/>
    <mergeCell ref="O45:O46"/>
    <mergeCell ref="P45:P46"/>
    <mergeCell ref="Q45:Q46"/>
    <mergeCell ref="R45:R46"/>
    <mergeCell ref="S45:S46"/>
    <mergeCell ref="T45:T46"/>
    <mergeCell ref="U45:U46"/>
    <mergeCell ref="V45:V46"/>
    <mergeCell ref="W45:W46"/>
    <mergeCell ref="X45:X46"/>
    <mergeCell ref="Y45:Y46"/>
    <mergeCell ref="Z45:Z46"/>
    <mergeCell ref="AA45:AA46"/>
    <mergeCell ref="AB45:AB46"/>
    <mergeCell ref="AC45:AC46"/>
    <mergeCell ref="AD45:AD46"/>
    <mergeCell ref="AE45:AE46"/>
    <mergeCell ref="AF45:AF46"/>
    <mergeCell ref="AG45:AG46"/>
    <mergeCell ref="AH45:AH46"/>
    <mergeCell ref="AI45:AI46"/>
    <mergeCell ref="AJ45:AJ46"/>
    <mergeCell ref="AK45:AK46"/>
    <mergeCell ref="AL45:AL46"/>
    <mergeCell ref="B48:C48"/>
    <mergeCell ref="C50:C51"/>
    <mergeCell ref="D50:D51"/>
    <mergeCell ref="E50:E51"/>
    <mergeCell ref="F50:F51"/>
    <mergeCell ref="G50:G51"/>
    <mergeCell ref="H50:H51"/>
    <mergeCell ref="I50:I51"/>
    <mergeCell ref="J50:J51"/>
    <mergeCell ref="K50:K51"/>
    <mergeCell ref="L50:L51"/>
    <mergeCell ref="M50:M51"/>
    <mergeCell ref="N50:N51"/>
    <mergeCell ref="O50:O51"/>
    <mergeCell ref="P50:P51"/>
    <mergeCell ref="Q50:Q51"/>
    <mergeCell ref="R50:R51"/>
    <mergeCell ref="S50:S51"/>
    <mergeCell ref="T50:T51"/>
    <mergeCell ref="U50:U51"/>
    <mergeCell ref="V50:V51"/>
    <mergeCell ref="W50:W51"/>
    <mergeCell ref="X50:X51"/>
    <mergeCell ref="Y50:Y51"/>
    <mergeCell ref="Z50:Z51"/>
    <mergeCell ref="AA50:AA51"/>
    <mergeCell ref="AB50:AB51"/>
    <mergeCell ref="AC50:AC51"/>
    <mergeCell ref="AD50:AD51"/>
    <mergeCell ref="AE50:AE51"/>
    <mergeCell ref="AF50:AF51"/>
    <mergeCell ref="AG50:AG51"/>
    <mergeCell ref="AH50:AH51"/>
    <mergeCell ref="AI50:AI51"/>
    <mergeCell ref="AJ50:AJ51"/>
    <mergeCell ref="AK50:AK51"/>
    <mergeCell ref="AL50:AL51"/>
    <mergeCell ref="B57:C57"/>
    <mergeCell ref="C59:C60"/>
    <mergeCell ref="D59:D60"/>
    <mergeCell ref="E59:E60"/>
    <mergeCell ref="F59:F60"/>
    <mergeCell ref="G59:G60"/>
    <mergeCell ref="H59:H60"/>
    <mergeCell ref="I59:I60"/>
    <mergeCell ref="J59:J60"/>
    <mergeCell ref="K59:K60"/>
    <mergeCell ref="L59:L60"/>
    <mergeCell ref="M59:M60"/>
    <mergeCell ref="N59:N60"/>
    <mergeCell ref="O59:O60"/>
    <mergeCell ref="P59:P60"/>
    <mergeCell ref="Q59:Q60"/>
    <mergeCell ref="R59:R60"/>
    <mergeCell ref="S59:S60"/>
    <mergeCell ref="T59:T60"/>
    <mergeCell ref="U59:U60"/>
    <mergeCell ref="V59:V60"/>
    <mergeCell ref="W59:W60"/>
    <mergeCell ref="X59:X60"/>
    <mergeCell ref="Y59:Y60"/>
    <mergeCell ref="Z59:Z60"/>
    <mergeCell ref="AA59:AA60"/>
    <mergeCell ref="AB59:AB60"/>
    <mergeCell ref="AC59:AC60"/>
    <mergeCell ref="AD59:AD60"/>
    <mergeCell ref="AE59:AE60"/>
    <mergeCell ref="AF59:AF60"/>
    <mergeCell ref="AG59:AG60"/>
    <mergeCell ref="AH59:AH60"/>
    <mergeCell ref="AI59:AI60"/>
    <mergeCell ref="AJ59:AJ60"/>
    <mergeCell ref="AK59:AK60"/>
    <mergeCell ref="AL59:AL60"/>
    <mergeCell ref="B63:C63"/>
    <mergeCell ref="C65:C66"/>
    <mergeCell ref="D65:D66"/>
    <mergeCell ref="E65:E66"/>
    <mergeCell ref="F65:F66"/>
    <mergeCell ref="G65:G66"/>
    <mergeCell ref="H65:H66"/>
    <mergeCell ref="I65:I66"/>
    <mergeCell ref="J65:J66"/>
    <mergeCell ref="K65:K66"/>
    <mergeCell ref="L65:L66"/>
    <mergeCell ref="M65:M66"/>
    <mergeCell ref="N65:N66"/>
    <mergeCell ref="O65:O66"/>
    <mergeCell ref="P65:P66"/>
    <mergeCell ref="Q65:Q66"/>
    <mergeCell ref="R65:R66"/>
    <mergeCell ref="S65:S66"/>
    <mergeCell ref="T65:T66"/>
    <mergeCell ref="U65:U66"/>
    <mergeCell ref="V65:V66"/>
    <mergeCell ref="W65:W66"/>
    <mergeCell ref="X65:X66"/>
    <mergeCell ref="Y65:Y66"/>
    <mergeCell ref="Z65:Z66"/>
    <mergeCell ref="AA65:AA66"/>
    <mergeCell ref="AB65:AB66"/>
    <mergeCell ref="AC65:AC66"/>
    <mergeCell ref="AD65:AD66"/>
    <mergeCell ref="AE65:AE66"/>
    <mergeCell ref="AF65:AF66"/>
    <mergeCell ref="AG65:AG66"/>
    <mergeCell ref="AH65:AH66"/>
    <mergeCell ref="AI65:AI66"/>
    <mergeCell ref="AJ65:AJ66"/>
    <mergeCell ref="AK65:AK66"/>
    <mergeCell ref="AL65:AL66"/>
    <mergeCell ref="B68:C68"/>
    <mergeCell ref="C70:C71"/>
    <mergeCell ref="D70:D71"/>
    <mergeCell ref="E70:E71"/>
    <mergeCell ref="F70:F71"/>
    <mergeCell ref="G70:G71"/>
    <mergeCell ref="H70:H71"/>
    <mergeCell ref="I70:I71"/>
    <mergeCell ref="J70:J71"/>
    <mergeCell ref="K70:K71"/>
    <mergeCell ref="L70:L71"/>
    <mergeCell ref="M70:M71"/>
    <mergeCell ref="N70:N71"/>
    <mergeCell ref="O70:O71"/>
    <mergeCell ref="P70:P71"/>
    <mergeCell ref="Q70:Q71"/>
    <mergeCell ref="R70:R71"/>
    <mergeCell ref="S70:S71"/>
    <mergeCell ref="T70:T71"/>
    <mergeCell ref="U70:U71"/>
    <mergeCell ref="V70:V71"/>
    <mergeCell ref="W70:W71"/>
    <mergeCell ref="X70:X71"/>
    <mergeCell ref="Y70:Y71"/>
    <mergeCell ref="Z70:Z71"/>
    <mergeCell ref="AA70:AA71"/>
    <mergeCell ref="AB70:AB71"/>
    <mergeCell ref="AC70:AC71"/>
    <mergeCell ref="AD70:AD71"/>
    <mergeCell ref="AE70:AE71"/>
    <mergeCell ref="AF70:AF71"/>
    <mergeCell ref="AG70:AG71"/>
    <mergeCell ref="AH70:AH71"/>
    <mergeCell ref="AI70:AI71"/>
    <mergeCell ref="AJ70:AJ71"/>
    <mergeCell ref="AK70:AK71"/>
    <mergeCell ref="AL70:AL71"/>
    <mergeCell ref="B73:C73"/>
    <mergeCell ref="C75:C76"/>
    <mergeCell ref="D75:D76"/>
    <mergeCell ref="E75:E76"/>
    <mergeCell ref="F75:F76"/>
    <mergeCell ref="G75:G76"/>
    <mergeCell ref="H75:H76"/>
    <mergeCell ref="I75:I76"/>
    <mergeCell ref="J75:J76"/>
    <mergeCell ref="K75:K76"/>
    <mergeCell ref="L75:L76"/>
    <mergeCell ref="M75:M76"/>
    <mergeCell ref="N75:N76"/>
    <mergeCell ref="O75:O76"/>
    <mergeCell ref="P75:P76"/>
    <mergeCell ref="Q75:Q76"/>
    <mergeCell ref="R75:R76"/>
    <mergeCell ref="S75:S76"/>
    <mergeCell ref="T75:T76"/>
    <mergeCell ref="U75:U76"/>
    <mergeCell ref="V75:V76"/>
    <mergeCell ref="W75:W76"/>
    <mergeCell ref="X75:X76"/>
    <mergeCell ref="AH75:AH76"/>
    <mergeCell ref="AI75:AI76"/>
    <mergeCell ref="AJ75:AJ76"/>
    <mergeCell ref="AK75:AK76"/>
    <mergeCell ref="AL75:AL76"/>
    <mergeCell ref="B78:C78"/>
    <mergeCell ref="Y75:Y76"/>
    <mergeCell ref="Z75:Z76"/>
    <mergeCell ref="AA75:AA76"/>
    <mergeCell ref="AB75:AB76"/>
    <mergeCell ref="AC75:AC76"/>
    <mergeCell ref="AD75:AD76"/>
    <mergeCell ref="AE75:AE76"/>
    <mergeCell ref="AF75:AF76"/>
    <mergeCell ref="AG75:AG76"/>
    <mergeCell ref="U80:U81"/>
    <mergeCell ref="V80:V81"/>
    <mergeCell ref="W80:W81"/>
    <mergeCell ref="X80:X81"/>
    <mergeCell ref="Y80:Y81"/>
    <mergeCell ref="Z80:Z81"/>
    <mergeCell ref="AA80:AA81"/>
    <mergeCell ref="AB80:AB81"/>
    <mergeCell ref="AC80:AC81"/>
    <mergeCell ref="AD80:AD81"/>
    <mergeCell ref="AE80:AE81"/>
    <mergeCell ref="AF80:AF81"/>
    <mergeCell ref="AG80:AG81"/>
    <mergeCell ref="AH80:AH81"/>
    <mergeCell ref="AI80:AI81"/>
    <mergeCell ref="AJ80:AJ81"/>
    <mergeCell ref="AK80:AK81"/>
    <mergeCell ref="AL80:AL81"/>
    <mergeCell ref="P80:P81"/>
    <mergeCell ref="Q80:Q81"/>
    <mergeCell ref="R80:R81"/>
    <mergeCell ref="S80:S81"/>
    <mergeCell ref="B84:C84"/>
    <mergeCell ref="C80:C81"/>
    <mergeCell ref="D80:D81"/>
    <mergeCell ref="E80:E81"/>
    <mergeCell ref="F80:F81"/>
    <mergeCell ref="G80:G81"/>
    <mergeCell ref="H80:H81"/>
    <mergeCell ref="I80:I81"/>
    <mergeCell ref="J80:J81"/>
    <mergeCell ref="T80:T81"/>
    <mergeCell ref="C86:C87"/>
    <mergeCell ref="D86:D87"/>
    <mergeCell ref="E86:E87"/>
    <mergeCell ref="F86:F87"/>
    <mergeCell ref="G86:G87"/>
    <mergeCell ref="H86:H87"/>
    <mergeCell ref="I86:I87"/>
    <mergeCell ref="J86:J87"/>
    <mergeCell ref="K86:K87"/>
    <mergeCell ref="L86:L87"/>
    <mergeCell ref="M86:M87"/>
    <mergeCell ref="N86:N87"/>
    <mergeCell ref="O86:O87"/>
    <mergeCell ref="P86:P87"/>
    <mergeCell ref="Q86:Q87"/>
    <mergeCell ref="R86:R87"/>
    <mergeCell ref="S86:S87"/>
    <mergeCell ref="T86:T87"/>
    <mergeCell ref="K80:K81"/>
    <mergeCell ref="L80:L81"/>
    <mergeCell ref="M80:M81"/>
    <mergeCell ref="N80:N81"/>
    <mergeCell ref="O80:O81"/>
    <mergeCell ref="U86:U87"/>
    <mergeCell ref="V86:V87"/>
    <mergeCell ref="W86:W87"/>
    <mergeCell ref="X86:X87"/>
    <mergeCell ref="Y86:Y87"/>
    <mergeCell ref="Z86:Z87"/>
    <mergeCell ref="AA86:AA87"/>
    <mergeCell ref="AB86:AB87"/>
    <mergeCell ref="AC86:AC87"/>
    <mergeCell ref="AD86:AD87"/>
    <mergeCell ref="AE86:AE87"/>
    <mergeCell ref="AF86:AF87"/>
    <mergeCell ref="AG86:AG87"/>
    <mergeCell ref="AH86:AH87"/>
    <mergeCell ref="AI86:AI87"/>
    <mergeCell ref="AJ86:AJ87"/>
    <mergeCell ref="AK86:AK87"/>
    <mergeCell ref="AL86:AL87"/>
    <mergeCell ref="B89:C89"/>
    <mergeCell ref="C91:C92"/>
    <mergeCell ref="D91:D92"/>
    <mergeCell ref="E91:E92"/>
    <mergeCell ref="F91:F92"/>
    <mergeCell ref="G91:G92"/>
    <mergeCell ref="H91:H92"/>
    <mergeCell ref="I91:I92"/>
    <mergeCell ref="J91:J92"/>
    <mergeCell ref="K91:K92"/>
    <mergeCell ref="L91:L92"/>
    <mergeCell ref="M91:M92"/>
    <mergeCell ref="N91:N92"/>
    <mergeCell ref="O91:O92"/>
    <mergeCell ref="P91:P92"/>
    <mergeCell ref="Q91:Q92"/>
    <mergeCell ref="R91:R92"/>
    <mergeCell ref="S91:S92"/>
    <mergeCell ref="T91:T92"/>
    <mergeCell ref="U91:U92"/>
    <mergeCell ref="V91:V92"/>
    <mergeCell ref="W91:W92"/>
    <mergeCell ref="X91:X92"/>
    <mergeCell ref="Y91:Y92"/>
    <mergeCell ref="Z91:Z92"/>
    <mergeCell ref="AA91:AA92"/>
    <mergeCell ref="AB91:AB92"/>
    <mergeCell ref="AC91:AC92"/>
    <mergeCell ref="AD91:AD92"/>
    <mergeCell ref="AE91:AE92"/>
    <mergeCell ref="AF91:AF92"/>
    <mergeCell ref="AG91:AG92"/>
    <mergeCell ref="AH91:AH92"/>
    <mergeCell ref="AI91:AI92"/>
    <mergeCell ref="AJ91:AJ92"/>
    <mergeCell ref="AK91:AK92"/>
    <mergeCell ref="AL91:AL92"/>
    <mergeCell ref="B96:C96"/>
    <mergeCell ref="C98:C99"/>
    <mergeCell ref="D98:D99"/>
    <mergeCell ref="E98:E99"/>
    <mergeCell ref="F98:F99"/>
    <mergeCell ref="G98:G99"/>
    <mergeCell ref="H98:H99"/>
    <mergeCell ref="I98:I99"/>
    <mergeCell ref="J98:J99"/>
    <mergeCell ref="K98:K99"/>
    <mergeCell ref="L98:L99"/>
    <mergeCell ref="M98:M99"/>
    <mergeCell ref="N98:N99"/>
    <mergeCell ref="O98:O99"/>
    <mergeCell ref="P98:P99"/>
    <mergeCell ref="Q98:Q99"/>
    <mergeCell ref="R98:R99"/>
    <mergeCell ref="S98:S99"/>
    <mergeCell ref="T98:T99"/>
    <mergeCell ref="U98:U99"/>
    <mergeCell ref="V98:V99"/>
    <mergeCell ref="W98:W99"/>
    <mergeCell ref="X98:X99"/>
    <mergeCell ref="Y98:Y99"/>
    <mergeCell ref="Z98:Z99"/>
    <mergeCell ref="AA98:AA99"/>
    <mergeCell ref="AB98:AB99"/>
    <mergeCell ref="AC98:AC99"/>
    <mergeCell ref="AD98:AD99"/>
    <mergeCell ref="AE98:AE99"/>
    <mergeCell ref="AF98:AF99"/>
    <mergeCell ref="AG98:AG99"/>
    <mergeCell ref="AH98:AH99"/>
    <mergeCell ref="AI98:AI99"/>
    <mergeCell ref="AJ98:AJ99"/>
    <mergeCell ref="AK98:AK99"/>
    <mergeCell ref="AL98:AL99"/>
    <mergeCell ref="B102:C102"/>
    <mergeCell ref="C104:C105"/>
    <mergeCell ref="D104:D105"/>
    <mergeCell ref="E104:E105"/>
    <mergeCell ref="F104:F105"/>
    <mergeCell ref="G104:G105"/>
    <mergeCell ref="H104:H105"/>
    <mergeCell ref="I104:I105"/>
    <mergeCell ref="J104:J105"/>
    <mergeCell ref="K104:K105"/>
    <mergeCell ref="L104:L105"/>
    <mergeCell ref="M104:M105"/>
    <mergeCell ref="N104:N105"/>
    <mergeCell ref="O104:O105"/>
    <mergeCell ref="P104:P105"/>
    <mergeCell ref="Q104:Q105"/>
    <mergeCell ref="R104:R105"/>
    <mergeCell ref="S104:S105"/>
    <mergeCell ref="T104:T105"/>
    <mergeCell ref="AL104:AL105"/>
    <mergeCell ref="U104:U105"/>
    <mergeCell ref="V104:V105"/>
    <mergeCell ref="W104:W105"/>
    <mergeCell ref="X104:X105"/>
    <mergeCell ref="Y104:Y105"/>
    <mergeCell ref="Z104:Z105"/>
    <mergeCell ref="AA104:AA105"/>
    <mergeCell ref="AB104:AB105"/>
    <mergeCell ref="AC104:AC105"/>
    <mergeCell ref="B108:C108"/>
    <mergeCell ref="AD104:AD105"/>
    <mergeCell ref="AE104:AE105"/>
    <mergeCell ref="AF104:AF105"/>
    <mergeCell ref="AG104:AG105"/>
    <mergeCell ref="AH104:AH105"/>
    <mergeCell ref="AI104:AI105"/>
    <mergeCell ref="AJ104:AJ105"/>
    <mergeCell ref="AK104:AK105"/>
    <mergeCell ref="Y110:Y111"/>
    <mergeCell ref="Z110:Z111"/>
    <mergeCell ref="AA110:AA111"/>
    <mergeCell ref="AB110:AB111"/>
    <mergeCell ref="K110:K111"/>
    <mergeCell ref="L110:L111"/>
    <mergeCell ref="M110:M111"/>
    <mergeCell ref="N110:N111"/>
    <mergeCell ref="O110:O111"/>
    <mergeCell ref="P110:P111"/>
    <mergeCell ref="Q110:Q111"/>
    <mergeCell ref="R110:R111"/>
    <mergeCell ref="S110:S111"/>
    <mergeCell ref="AL110:AL111"/>
    <mergeCell ref="B114:C114"/>
    <mergeCell ref="C110:C111"/>
    <mergeCell ref="D110:D111"/>
    <mergeCell ref="E110:E111"/>
    <mergeCell ref="F110:F111"/>
    <mergeCell ref="G110:G111"/>
    <mergeCell ref="H110:H111"/>
    <mergeCell ref="I110:I111"/>
    <mergeCell ref="J110:J111"/>
    <mergeCell ref="AC110:AC111"/>
    <mergeCell ref="AD110:AD111"/>
    <mergeCell ref="AE110:AE111"/>
    <mergeCell ref="AF110:AF111"/>
    <mergeCell ref="AG110:AG111"/>
    <mergeCell ref="AH110:AH111"/>
    <mergeCell ref="AI110:AI111"/>
    <mergeCell ref="AJ110:AJ111"/>
    <mergeCell ref="AK110:AK111"/>
    <mergeCell ref="T110:T111"/>
    <mergeCell ref="U110:U111"/>
    <mergeCell ref="V110:V111"/>
    <mergeCell ref="W110:W111"/>
    <mergeCell ref="X110:X111"/>
    <mergeCell ref="C116:C117"/>
    <mergeCell ref="D116:D117"/>
    <mergeCell ref="E116:E117"/>
    <mergeCell ref="F116:F117"/>
    <mergeCell ref="G116:G117"/>
    <mergeCell ref="H116:H117"/>
    <mergeCell ref="I116:I117"/>
    <mergeCell ref="J116:J117"/>
    <mergeCell ref="K116:K117"/>
    <mergeCell ref="L116:L117"/>
    <mergeCell ref="M116:M117"/>
    <mergeCell ref="N116:N117"/>
    <mergeCell ref="O116:O117"/>
    <mergeCell ref="P116:P117"/>
    <mergeCell ref="Q116:Q117"/>
    <mergeCell ref="R116:R117"/>
    <mergeCell ref="S116:S117"/>
    <mergeCell ref="T116:T117"/>
    <mergeCell ref="U116:U117"/>
    <mergeCell ref="V116:V117"/>
    <mergeCell ref="W116:W117"/>
    <mergeCell ref="X116:X117"/>
    <mergeCell ref="Y116:Y117"/>
    <mergeCell ref="Z116:Z117"/>
    <mergeCell ref="AA116:AA117"/>
    <mergeCell ref="AB116:AB117"/>
    <mergeCell ref="AC116:AC117"/>
    <mergeCell ref="AD116:AD117"/>
    <mergeCell ref="AE116:AE117"/>
    <mergeCell ref="AF116:AF117"/>
    <mergeCell ref="AG116:AG117"/>
    <mergeCell ref="AH116:AH117"/>
    <mergeCell ref="AI116:AI117"/>
    <mergeCell ref="AJ116:AJ117"/>
    <mergeCell ref="AK116:AK117"/>
    <mergeCell ref="AL116:AL117"/>
    <mergeCell ref="M122:M123"/>
    <mergeCell ref="N122:N123"/>
    <mergeCell ref="O122:O123"/>
    <mergeCell ref="P122:P123"/>
    <mergeCell ref="Q122:Q123"/>
    <mergeCell ref="R122:R123"/>
    <mergeCell ref="S122:S123"/>
    <mergeCell ref="B120:C120"/>
    <mergeCell ref="C122:C123"/>
    <mergeCell ref="D122:D123"/>
    <mergeCell ref="E122:E123"/>
    <mergeCell ref="F122:F123"/>
    <mergeCell ref="G122:G123"/>
    <mergeCell ref="H122:H123"/>
    <mergeCell ref="I122:I123"/>
    <mergeCell ref="J122:J123"/>
    <mergeCell ref="AL122:AL123"/>
    <mergeCell ref="B126:C126"/>
    <mergeCell ref="B156:C156"/>
    <mergeCell ref="B155:C155"/>
    <mergeCell ref="AC122:AC123"/>
    <mergeCell ref="AD122:AD123"/>
    <mergeCell ref="AE122:AE123"/>
    <mergeCell ref="AF122:AF123"/>
    <mergeCell ref="AG122:AG123"/>
    <mergeCell ref="AH122:AH123"/>
    <mergeCell ref="AI122:AI123"/>
    <mergeCell ref="AJ122:AJ123"/>
    <mergeCell ref="AK122:AK123"/>
    <mergeCell ref="T122:T123"/>
    <mergeCell ref="U122:U123"/>
    <mergeCell ref="V122:V123"/>
    <mergeCell ref="W122:W123"/>
    <mergeCell ref="X122:X123"/>
    <mergeCell ref="Y122:Y123"/>
    <mergeCell ref="Z122:Z123"/>
    <mergeCell ref="AA122:AA123"/>
    <mergeCell ref="AB122:AB123"/>
    <mergeCell ref="K122:K123"/>
    <mergeCell ref="L122:L123"/>
    <mergeCell ref="C128:C129"/>
    <mergeCell ref="D128:D129"/>
    <mergeCell ref="E128:E129"/>
    <mergeCell ref="F128:F129"/>
    <mergeCell ref="G128:G129"/>
    <mergeCell ref="H128:H129"/>
    <mergeCell ref="I128:I129"/>
    <mergeCell ref="J128:J129"/>
    <mergeCell ref="K128:K129"/>
    <mergeCell ref="L128:L129"/>
    <mergeCell ref="M128:M129"/>
    <mergeCell ref="N128:N129"/>
    <mergeCell ref="O128:O129"/>
    <mergeCell ref="P128:P129"/>
    <mergeCell ref="Q128:Q129"/>
    <mergeCell ref="R128:R129"/>
    <mergeCell ref="S128:S129"/>
    <mergeCell ref="T128:T129"/>
    <mergeCell ref="U128:U129"/>
    <mergeCell ref="V128:V129"/>
    <mergeCell ref="W128:W129"/>
    <mergeCell ref="X128:X129"/>
    <mergeCell ref="Y128:Y129"/>
    <mergeCell ref="Z128:Z129"/>
    <mergeCell ref="AA128:AA129"/>
    <mergeCell ref="AB128:AB129"/>
    <mergeCell ref="AC128:AC129"/>
    <mergeCell ref="AD128:AD129"/>
    <mergeCell ref="AE128:AE129"/>
    <mergeCell ref="AF128:AF129"/>
    <mergeCell ref="AG128:AG129"/>
    <mergeCell ref="AH128:AH129"/>
    <mergeCell ref="AI128:AI129"/>
    <mergeCell ref="AJ128:AJ129"/>
    <mergeCell ref="AK128:AK129"/>
    <mergeCell ref="AL128:AL129"/>
    <mergeCell ref="O134:O135"/>
    <mergeCell ref="P134:P135"/>
    <mergeCell ref="Q134:Q135"/>
    <mergeCell ref="R134:R135"/>
    <mergeCell ref="S134:S135"/>
    <mergeCell ref="B132:C132"/>
    <mergeCell ref="C134:C135"/>
    <mergeCell ref="D134:D135"/>
    <mergeCell ref="E134:E135"/>
    <mergeCell ref="F134:F135"/>
    <mergeCell ref="G134:G135"/>
    <mergeCell ref="H134:H135"/>
    <mergeCell ref="I134:I135"/>
    <mergeCell ref="J134:J135"/>
    <mergeCell ref="AL134:AL135"/>
    <mergeCell ref="B138:C138"/>
    <mergeCell ref="AC134:AC135"/>
    <mergeCell ref="AD134:AD135"/>
    <mergeCell ref="AE134:AE135"/>
    <mergeCell ref="AF134:AF135"/>
    <mergeCell ref="AG134:AG135"/>
    <mergeCell ref="AH134:AH135"/>
    <mergeCell ref="AI134:AI135"/>
    <mergeCell ref="AJ134:AJ135"/>
    <mergeCell ref="AK134:AK135"/>
    <mergeCell ref="T134:T135"/>
    <mergeCell ref="U134:U135"/>
    <mergeCell ref="V134:V135"/>
    <mergeCell ref="W134:W135"/>
    <mergeCell ref="X134:X135"/>
    <mergeCell ref="Y134:Y135"/>
    <mergeCell ref="Z134:Z135"/>
    <mergeCell ref="AA134:AA135"/>
    <mergeCell ref="AB134:AB135"/>
    <mergeCell ref="K134:K135"/>
    <mergeCell ref="L134:L135"/>
    <mergeCell ref="M134:M135"/>
    <mergeCell ref="N134:N135"/>
    <mergeCell ref="Y140:Y141"/>
    <mergeCell ref="Z140:Z141"/>
    <mergeCell ref="AA140:AA141"/>
    <mergeCell ref="AB140:AB141"/>
    <mergeCell ref="AC140:AC141"/>
    <mergeCell ref="AD140:AD141"/>
    <mergeCell ref="AE140:AE141"/>
    <mergeCell ref="AF140:AF141"/>
    <mergeCell ref="AG140:AG141"/>
    <mergeCell ref="AH140:AH141"/>
    <mergeCell ref="AI140:AI141"/>
    <mergeCell ref="AJ140:AJ141"/>
    <mergeCell ref="AK140:AK141"/>
    <mergeCell ref="AL140:AL141"/>
    <mergeCell ref="B143:C143"/>
    <mergeCell ref="C140:C141"/>
    <mergeCell ref="D140:D141"/>
    <mergeCell ref="E140:E141"/>
    <mergeCell ref="F140:F141"/>
    <mergeCell ref="G140:G141"/>
    <mergeCell ref="H140:H141"/>
    <mergeCell ref="I140:I141"/>
    <mergeCell ref="J140:J141"/>
    <mergeCell ref="K140:K141"/>
    <mergeCell ref="L140:L141"/>
    <mergeCell ref="M140:M141"/>
    <mergeCell ref="N140:N141"/>
    <mergeCell ref="O140:O141"/>
    <mergeCell ref="P140:P141"/>
    <mergeCell ref="Q140:Q141"/>
    <mergeCell ref="R140:R141"/>
    <mergeCell ref="S140:S141"/>
    <mergeCell ref="T140:T141"/>
    <mergeCell ref="U140:U141"/>
    <mergeCell ref="V140:V141"/>
    <mergeCell ref="W140:W141"/>
    <mergeCell ref="X140:X141"/>
    <mergeCell ref="C145:C146"/>
    <mergeCell ref="D145:D146"/>
    <mergeCell ref="E145:E146"/>
    <mergeCell ref="F145:F146"/>
    <mergeCell ref="G145:G146"/>
    <mergeCell ref="H145:H146"/>
    <mergeCell ref="I145:I146"/>
    <mergeCell ref="J145:J146"/>
    <mergeCell ref="K145:K146"/>
    <mergeCell ref="L145:L146"/>
    <mergeCell ref="M145:M146"/>
    <mergeCell ref="N145:N146"/>
    <mergeCell ref="O145:O146"/>
    <mergeCell ref="P145:P146"/>
    <mergeCell ref="Q145:Q146"/>
    <mergeCell ref="R145:R146"/>
    <mergeCell ref="S145:S146"/>
    <mergeCell ref="T145:T146"/>
    <mergeCell ref="U145:U146"/>
    <mergeCell ref="V145:V146"/>
    <mergeCell ref="W145:W146"/>
    <mergeCell ref="X145:X146"/>
    <mergeCell ref="Y145:Y146"/>
    <mergeCell ref="Z145:Z146"/>
    <mergeCell ref="AA145:AA146"/>
    <mergeCell ref="AB145:AB146"/>
    <mergeCell ref="AC145:AC146"/>
    <mergeCell ref="AD145:AD146"/>
    <mergeCell ref="AE145:AE146"/>
    <mergeCell ref="AF145:AF146"/>
    <mergeCell ref="AG145:AG146"/>
    <mergeCell ref="AH145:AH146"/>
    <mergeCell ref="AI145:AI146"/>
    <mergeCell ref="AJ145:AJ146"/>
    <mergeCell ref="AK145:AK146"/>
    <mergeCell ref="AL145:AL146"/>
    <mergeCell ref="B148:C148"/>
    <mergeCell ref="C150:C151"/>
    <mergeCell ref="D150:D151"/>
    <mergeCell ref="E150:E151"/>
    <mergeCell ref="F150:F151"/>
    <mergeCell ref="G150:G151"/>
    <mergeCell ref="H150:H151"/>
    <mergeCell ref="I150:I151"/>
    <mergeCell ref="J150:J151"/>
    <mergeCell ref="K150:K151"/>
    <mergeCell ref="L150:L151"/>
    <mergeCell ref="M150:M151"/>
    <mergeCell ref="N150:N151"/>
    <mergeCell ref="O150:O151"/>
    <mergeCell ref="P150:P151"/>
    <mergeCell ref="Q150:Q151"/>
    <mergeCell ref="R150:R151"/>
    <mergeCell ref="AK150:AK151"/>
    <mergeCell ref="AL150:AL151"/>
    <mergeCell ref="B153:C153"/>
    <mergeCell ref="AB150:AB151"/>
    <mergeCell ref="AC150:AC151"/>
    <mergeCell ref="AD150:AD151"/>
    <mergeCell ref="AE150:AE151"/>
    <mergeCell ref="AF150:AF151"/>
    <mergeCell ref="AG150:AG151"/>
    <mergeCell ref="AH150:AH151"/>
    <mergeCell ref="AI150:AI151"/>
    <mergeCell ref="AJ150:AJ151"/>
    <mergeCell ref="S150:S151"/>
    <mergeCell ref="T150:T151"/>
    <mergeCell ref="U150:U151"/>
    <mergeCell ref="V150:V151"/>
    <mergeCell ref="W150:W151"/>
    <mergeCell ref="X150:X151"/>
    <mergeCell ref="Y150:Y151"/>
    <mergeCell ref="Z150:Z151"/>
    <mergeCell ref="AA150:AA151"/>
  </mergeCells>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6FBD4-A2A6-4A4F-A9DF-22A36D623172}">
  <sheetPr codeName="Planilha4"/>
  <dimension ref="A1:D1404"/>
  <sheetViews>
    <sheetView topLeftCell="A109" workbookViewId="0">
      <selection activeCell="D41" sqref="A41:D41"/>
    </sheetView>
  </sheetViews>
  <sheetFormatPr defaultRowHeight="15" x14ac:dyDescent="0.25"/>
  <cols>
    <col min="1" max="1" width="19.140625" customWidth="1"/>
    <col min="2" max="2" width="123.42578125" customWidth="1"/>
    <col min="3" max="3" width="24" customWidth="1"/>
    <col min="4" max="4" width="229.5703125" customWidth="1"/>
  </cols>
  <sheetData>
    <row r="1" spans="1:4" ht="15.75" x14ac:dyDescent="0.25">
      <c r="A1" s="61" t="s">
        <v>3747</v>
      </c>
    </row>
    <row r="2" spans="1:4" x14ac:dyDescent="0.25">
      <c r="A2" t="s">
        <v>0</v>
      </c>
      <c r="B2" t="s">
        <v>1</v>
      </c>
      <c r="C2" t="s">
        <v>2</v>
      </c>
      <c r="D2" t="s">
        <v>3</v>
      </c>
    </row>
    <row r="3" spans="1:4" x14ac:dyDescent="0.25">
      <c r="A3" t="s">
        <v>4</v>
      </c>
      <c r="B3" t="s">
        <v>5</v>
      </c>
      <c r="C3" t="s">
        <v>6</v>
      </c>
      <c r="D3" t="s">
        <v>7</v>
      </c>
    </row>
    <row r="4" spans="1:4" x14ac:dyDescent="0.25">
      <c r="A4" t="s">
        <v>4</v>
      </c>
      <c r="B4" t="s">
        <v>5</v>
      </c>
      <c r="C4" t="s">
        <v>8</v>
      </c>
      <c r="D4" t="s">
        <v>9</v>
      </c>
    </row>
    <row r="5" spans="1:4" x14ac:dyDescent="0.25">
      <c r="A5" t="s">
        <v>4</v>
      </c>
      <c r="B5" t="s">
        <v>5</v>
      </c>
      <c r="C5" t="s">
        <v>10</v>
      </c>
      <c r="D5" t="s">
        <v>11</v>
      </c>
    </row>
    <row r="6" spans="1:4" x14ac:dyDescent="0.25">
      <c r="A6" t="s">
        <v>4</v>
      </c>
      <c r="B6" t="s">
        <v>5</v>
      </c>
      <c r="C6" t="s">
        <v>12</v>
      </c>
      <c r="D6" t="s">
        <v>13</v>
      </c>
    </row>
    <row r="7" spans="1:4" x14ac:dyDescent="0.25">
      <c r="A7" t="s">
        <v>4</v>
      </c>
      <c r="B7" t="s">
        <v>5</v>
      </c>
      <c r="C7" t="s">
        <v>14</v>
      </c>
      <c r="D7" t="s">
        <v>15</v>
      </c>
    </row>
    <row r="8" spans="1:4" x14ac:dyDescent="0.25">
      <c r="A8" t="s">
        <v>4</v>
      </c>
      <c r="B8" t="s">
        <v>5</v>
      </c>
      <c r="C8" t="s">
        <v>16</v>
      </c>
      <c r="D8" t="s">
        <v>17</v>
      </c>
    </row>
    <row r="9" spans="1:4" x14ac:dyDescent="0.25">
      <c r="A9" t="s">
        <v>18</v>
      </c>
      <c r="B9" t="s">
        <v>19</v>
      </c>
      <c r="C9" t="s">
        <v>20</v>
      </c>
      <c r="D9" t="s">
        <v>21</v>
      </c>
    </row>
    <row r="10" spans="1:4" x14ac:dyDescent="0.25">
      <c r="A10" t="s">
        <v>18</v>
      </c>
      <c r="B10" t="s">
        <v>19</v>
      </c>
      <c r="C10" t="s">
        <v>22</v>
      </c>
      <c r="D10" t="s">
        <v>23</v>
      </c>
    </row>
    <row r="11" spans="1:4" x14ac:dyDescent="0.25">
      <c r="A11" t="s">
        <v>18</v>
      </c>
      <c r="B11" t="s">
        <v>19</v>
      </c>
      <c r="C11" t="s">
        <v>24</v>
      </c>
      <c r="D11" t="s">
        <v>25</v>
      </c>
    </row>
    <row r="12" spans="1:4" x14ac:dyDescent="0.25">
      <c r="A12" t="s">
        <v>18</v>
      </c>
      <c r="B12" t="s">
        <v>19</v>
      </c>
      <c r="C12" t="s">
        <v>26</v>
      </c>
      <c r="D12" t="s">
        <v>27</v>
      </c>
    </row>
    <row r="13" spans="1:4" x14ac:dyDescent="0.25">
      <c r="A13" t="s">
        <v>18</v>
      </c>
      <c r="B13" t="s">
        <v>19</v>
      </c>
      <c r="C13" t="s">
        <v>28</v>
      </c>
      <c r="D13" t="s">
        <v>29</v>
      </c>
    </row>
    <row r="14" spans="1:4" x14ac:dyDescent="0.25">
      <c r="A14" t="s">
        <v>18</v>
      </c>
      <c r="B14" t="s">
        <v>19</v>
      </c>
      <c r="C14" t="s">
        <v>30</v>
      </c>
      <c r="D14" t="s">
        <v>31</v>
      </c>
    </row>
    <row r="15" spans="1:4" x14ac:dyDescent="0.25">
      <c r="A15" t="s">
        <v>18</v>
      </c>
      <c r="B15" t="s">
        <v>19</v>
      </c>
      <c r="C15" t="s">
        <v>32</v>
      </c>
      <c r="D15" t="s">
        <v>33</v>
      </c>
    </row>
    <row r="16" spans="1:4" x14ac:dyDescent="0.25">
      <c r="A16" t="s">
        <v>18</v>
      </c>
      <c r="B16" t="s">
        <v>19</v>
      </c>
      <c r="C16" t="s">
        <v>34</v>
      </c>
      <c r="D16" t="s">
        <v>35</v>
      </c>
    </row>
    <row r="17" spans="1:4" x14ac:dyDescent="0.25">
      <c r="A17" t="s">
        <v>18</v>
      </c>
      <c r="B17" t="s">
        <v>19</v>
      </c>
      <c r="C17" t="s">
        <v>36</v>
      </c>
      <c r="D17" t="s">
        <v>37</v>
      </c>
    </row>
    <row r="18" spans="1:4" x14ac:dyDescent="0.25">
      <c r="A18" t="s">
        <v>18</v>
      </c>
      <c r="B18" t="s">
        <v>19</v>
      </c>
      <c r="C18" t="s">
        <v>38</v>
      </c>
      <c r="D18" t="s">
        <v>39</v>
      </c>
    </row>
    <row r="19" spans="1:4" x14ac:dyDescent="0.25">
      <c r="A19" t="s">
        <v>40</v>
      </c>
      <c r="B19" t="s">
        <v>41</v>
      </c>
      <c r="C19" t="s">
        <v>42</v>
      </c>
      <c r="D19" t="s">
        <v>43</v>
      </c>
    </row>
    <row r="20" spans="1:4" x14ac:dyDescent="0.25">
      <c r="A20" t="s">
        <v>40</v>
      </c>
      <c r="B20" t="s">
        <v>41</v>
      </c>
      <c r="C20" t="s">
        <v>44</v>
      </c>
      <c r="D20" t="s">
        <v>45</v>
      </c>
    </row>
    <row r="21" spans="1:4" x14ac:dyDescent="0.25">
      <c r="A21" t="s">
        <v>40</v>
      </c>
      <c r="B21" t="s">
        <v>41</v>
      </c>
      <c r="C21" t="s">
        <v>46</v>
      </c>
      <c r="D21" t="s">
        <v>47</v>
      </c>
    </row>
    <row r="22" spans="1:4" x14ac:dyDescent="0.25">
      <c r="A22" t="s">
        <v>40</v>
      </c>
      <c r="B22" t="s">
        <v>41</v>
      </c>
      <c r="C22" t="s">
        <v>48</v>
      </c>
      <c r="D22" t="s">
        <v>49</v>
      </c>
    </row>
    <row r="23" spans="1:4" x14ac:dyDescent="0.25">
      <c r="A23" t="s">
        <v>40</v>
      </c>
      <c r="B23" t="s">
        <v>41</v>
      </c>
      <c r="C23" t="s">
        <v>50</v>
      </c>
      <c r="D23" t="s">
        <v>51</v>
      </c>
    </row>
    <row r="24" spans="1:4" x14ac:dyDescent="0.25">
      <c r="A24" t="s">
        <v>40</v>
      </c>
      <c r="B24" t="s">
        <v>41</v>
      </c>
      <c r="C24" t="s">
        <v>52</v>
      </c>
      <c r="D24" t="s">
        <v>53</v>
      </c>
    </row>
    <row r="25" spans="1:4" x14ac:dyDescent="0.25">
      <c r="A25" t="s">
        <v>40</v>
      </c>
      <c r="B25" t="s">
        <v>41</v>
      </c>
      <c r="C25" t="s">
        <v>54</v>
      </c>
      <c r="D25" t="s">
        <v>55</v>
      </c>
    </row>
    <row r="26" spans="1:4" x14ac:dyDescent="0.25">
      <c r="A26" t="s">
        <v>40</v>
      </c>
      <c r="B26" t="s">
        <v>41</v>
      </c>
      <c r="C26" t="s">
        <v>56</v>
      </c>
      <c r="D26" t="s">
        <v>57</v>
      </c>
    </row>
    <row r="27" spans="1:4" x14ac:dyDescent="0.25">
      <c r="A27" t="s">
        <v>40</v>
      </c>
      <c r="B27" t="s">
        <v>41</v>
      </c>
      <c r="C27" t="s">
        <v>58</v>
      </c>
      <c r="D27" t="s">
        <v>59</v>
      </c>
    </row>
    <row r="28" spans="1:4" x14ac:dyDescent="0.25">
      <c r="A28" t="s">
        <v>60</v>
      </c>
      <c r="B28" t="s">
        <v>61</v>
      </c>
      <c r="C28" t="s">
        <v>62</v>
      </c>
      <c r="D28" t="s">
        <v>63</v>
      </c>
    </row>
    <row r="29" spans="1:4" x14ac:dyDescent="0.25">
      <c r="A29" t="s">
        <v>60</v>
      </c>
      <c r="B29" t="s">
        <v>61</v>
      </c>
      <c r="C29" t="s">
        <v>64</v>
      </c>
      <c r="D29" t="s">
        <v>65</v>
      </c>
    </row>
    <row r="30" spans="1:4" x14ac:dyDescent="0.25">
      <c r="A30" t="s">
        <v>60</v>
      </c>
      <c r="B30" t="s">
        <v>61</v>
      </c>
      <c r="C30" t="s">
        <v>66</v>
      </c>
      <c r="D30" t="s">
        <v>67</v>
      </c>
    </row>
    <row r="31" spans="1:4" x14ac:dyDescent="0.25">
      <c r="A31" t="s">
        <v>60</v>
      </c>
      <c r="B31" t="s">
        <v>61</v>
      </c>
      <c r="C31" t="s">
        <v>68</v>
      </c>
      <c r="D31" t="s">
        <v>69</v>
      </c>
    </row>
    <row r="32" spans="1:4" x14ac:dyDescent="0.25">
      <c r="A32" t="s">
        <v>60</v>
      </c>
      <c r="B32" t="s">
        <v>61</v>
      </c>
      <c r="C32" t="s">
        <v>70</v>
      </c>
      <c r="D32" t="s">
        <v>71</v>
      </c>
    </row>
    <row r="33" spans="1:4" x14ac:dyDescent="0.25">
      <c r="A33" t="s">
        <v>60</v>
      </c>
      <c r="B33" t="s">
        <v>61</v>
      </c>
      <c r="C33" t="s">
        <v>72</v>
      </c>
      <c r="D33" t="s">
        <v>73</v>
      </c>
    </row>
    <row r="34" spans="1:4" x14ac:dyDescent="0.25">
      <c r="A34" t="s">
        <v>60</v>
      </c>
      <c r="B34" t="s">
        <v>61</v>
      </c>
      <c r="C34" t="s">
        <v>74</v>
      </c>
      <c r="D34" t="s">
        <v>75</v>
      </c>
    </row>
    <row r="35" spans="1:4" x14ac:dyDescent="0.25">
      <c r="A35" t="s">
        <v>60</v>
      </c>
      <c r="B35" t="s">
        <v>61</v>
      </c>
      <c r="C35" t="s">
        <v>76</v>
      </c>
      <c r="D35" t="s">
        <v>77</v>
      </c>
    </row>
    <row r="36" spans="1:4" x14ac:dyDescent="0.25">
      <c r="A36" t="s">
        <v>60</v>
      </c>
      <c r="B36" t="s">
        <v>61</v>
      </c>
      <c r="C36" t="s">
        <v>78</v>
      </c>
      <c r="D36" t="s">
        <v>79</v>
      </c>
    </row>
    <row r="37" spans="1:4" x14ac:dyDescent="0.25">
      <c r="A37" t="s">
        <v>60</v>
      </c>
      <c r="B37" t="s">
        <v>61</v>
      </c>
      <c r="C37" t="s">
        <v>80</v>
      </c>
      <c r="D37" t="s">
        <v>81</v>
      </c>
    </row>
    <row r="38" spans="1:4" x14ac:dyDescent="0.25">
      <c r="A38" t="s">
        <v>82</v>
      </c>
      <c r="B38" t="s">
        <v>83</v>
      </c>
      <c r="C38" t="s">
        <v>84</v>
      </c>
      <c r="D38" t="s">
        <v>85</v>
      </c>
    </row>
    <row r="39" spans="1:4" x14ac:dyDescent="0.25">
      <c r="A39" t="s">
        <v>82</v>
      </c>
      <c r="B39" t="s">
        <v>83</v>
      </c>
      <c r="C39" t="s">
        <v>86</v>
      </c>
      <c r="D39" t="s">
        <v>87</v>
      </c>
    </row>
    <row r="40" spans="1:4" x14ac:dyDescent="0.25">
      <c r="A40" t="s">
        <v>82</v>
      </c>
      <c r="B40" t="s">
        <v>83</v>
      </c>
      <c r="C40" t="s">
        <v>88</v>
      </c>
      <c r="D40" t="s">
        <v>89</v>
      </c>
    </row>
    <row r="41" spans="1:4" x14ac:dyDescent="0.25">
      <c r="A41" t="s">
        <v>82</v>
      </c>
      <c r="B41" t="s">
        <v>83</v>
      </c>
      <c r="C41" t="s">
        <v>90</v>
      </c>
      <c r="D41" t="s">
        <v>91</v>
      </c>
    </row>
    <row r="42" spans="1:4" x14ac:dyDescent="0.25">
      <c r="A42" t="s">
        <v>82</v>
      </c>
      <c r="B42" t="s">
        <v>83</v>
      </c>
      <c r="C42" t="s">
        <v>92</v>
      </c>
      <c r="D42" t="s">
        <v>93</v>
      </c>
    </row>
    <row r="43" spans="1:4" x14ac:dyDescent="0.25">
      <c r="A43" t="s">
        <v>82</v>
      </c>
      <c r="B43" t="s">
        <v>83</v>
      </c>
      <c r="C43" t="s">
        <v>94</v>
      </c>
      <c r="D43" t="s">
        <v>95</v>
      </c>
    </row>
    <row r="44" spans="1:4" x14ac:dyDescent="0.25">
      <c r="A44" t="s">
        <v>82</v>
      </c>
      <c r="B44" t="s">
        <v>83</v>
      </c>
      <c r="C44" t="s">
        <v>96</v>
      </c>
      <c r="D44" t="s">
        <v>97</v>
      </c>
    </row>
    <row r="45" spans="1:4" x14ac:dyDescent="0.25">
      <c r="A45" t="s">
        <v>82</v>
      </c>
      <c r="B45" t="s">
        <v>83</v>
      </c>
      <c r="C45" t="s">
        <v>98</v>
      </c>
      <c r="D45" t="s">
        <v>99</v>
      </c>
    </row>
    <row r="46" spans="1:4" x14ac:dyDescent="0.25">
      <c r="A46" t="s">
        <v>82</v>
      </c>
      <c r="B46" t="s">
        <v>83</v>
      </c>
      <c r="C46" t="s">
        <v>100</v>
      </c>
      <c r="D46" t="s">
        <v>101</v>
      </c>
    </row>
    <row r="47" spans="1:4" x14ac:dyDescent="0.25">
      <c r="A47" t="s">
        <v>82</v>
      </c>
      <c r="B47" t="s">
        <v>83</v>
      </c>
      <c r="C47" t="s">
        <v>102</v>
      </c>
      <c r="D47" t="s">
        <v>103</v>
      </c>
    </row>
    <row r="48" spans="1:4" x14ac:dyDescent="0.25">
      <c r="A48" t="s">
        <v>82</v>
      </c>
      <c r="B48" t="s">
        <v>83</v>
      </c>
      <c r="C48" t="s">
        <v>104</v>
      </c>
      <c r="D48" t="s">
        <v>105</v>
      </c>
    </row>
    <row r="49" spans="1:4" x14ac:dyDescent="0.25">
      <c r="A49" t="s">
        <v>106</v>
      </c>
      <c r="B49" t="s">
        <v>107</v>
      </c>
      <c r="C49" t="s">
        <v>108</v>
      </c>
      <c r="D49" t="s">
        <v>109</v>
      </c>
    </row>
    <row r="50" spans="1:4" x14ac:dyDescent="0.25">
      <c r="A50" t="s">
        <v>106</v>
      </c>
      <c r="B50" t="s">
        <v>107</v>
      </c>
      <c r="C50" t="s">
        <v>110</v>
      </c>
      <c r="D50" t="s">
        <v>111</v>
      </c>
    </row>
    <row r="51" spans="1:4" x14ac:dyDescent="0.25">
      <c r="A51" t="s">
        <v>106</v>
      </c>
      <c r="B51" t="s">
        <v>107</v>
      </c>
      <c r="C51" t="s">
        <v>112</v>
      </c>
      <c r="D51" t="s">
        <v>113</v>
      </c>
    </row>
    <row r="52" spans="1:4" x14ac:dyDescent="0.25">
      <c r="A52" t="s">
        <v>106</v>
      </c>
      <c r="B52" t="s">
        <v>107</v>
      </c>
      <c r="C52" t="s">
        <v>114</v>
      </c>
      <c r="D52" t="s">
        <v>115</v>
      </c>
    </row>
    <row r="53" spans="1:4" x14ac:dyDescent="0.25">
      <c r="A53" t="s">
        <v>116</v>
      </c>
      <c r="B53" t="s">
        <v>117</v>
      </c>
      <c r="C53" t="s">
        <v>118</v>
      </c>
      <c r="D53" t="s">
        <v>119</v>
      </c>
    </row>
    <row r="54" spans="1:4" x14ac:dyDescent="0.25">
      <c r="A54" t="s">
        <v>116</v>
      </c>
      <c r="B54" t="s">
        <v>117</v>
      </c>
      <c r="C54" t="s">
        <v>120</v>
      </c>
      <c r="D54" t="s">
        <v>121</v>
      </c>
    </row>
    <row r="55" spans="1:4" x14ac:dyDescent="0.25">
      <c r="A55" t="s">
        <v>116</v>
      </c>
      <c r="B55" t="s">
        <v>117</v>
      </c>
      <c r="C55" t="s">
        <v>122</v>
      </c>
      <c r="D55" t="s">
        <v>123</v>
      </c>
    </row>
    <row r="56" spans="1:4" x14ac:dyDescent="0.25">
      <c r="A56" t="s">
        <v>116</v>
      </c>
      <c r="B56" t="s">
        <v>117</v>
      </c>
      <c r="C56" t="s">
        <v>124</v>
      </c>
      <c r="D56" t="s">
        <v>125</v>
      </c>
    </row>
    <row r="57" spans="1:4" x14ac:dyDescent="0.25">
      <c r="A57" t="s">
        <v>116</v>
      </c>
      <c r="B57" t="s">
        <v>117</v>
      </c>
      <c r="C57" t="s">
        <v>126</v>
      </c>
      <c r="D57" t="s">
        <v>127</v>
      </c>
    </row>
    <row r="58" spans="1:4" x14ac:dyDescent="0.25">
      <c r="A58" t="s">
        <v>116</v>
      </c>
      <c r="B58" t="s">
        <v>117</v>
      </c>
      <c r="C58" t="s">
        <v>128</v>
      </c>
      <c r="D58" t="s">
        <v>129</v>
      </c>
    </row>
    <row r="59" spans="1:4" x14ac:dyDescent="0.25">
      <c r="A59" t="s">
        <v>116</v>
      </c>
      <c r="B59" t="s">
        <v>117</v>
      </c>
      <c r="C59" t="s">
        <v>130</v>
      </c>
      <c r="D59" t="s">
        <v>131</v>
      </c>
    </row>
    <row r="60" spans="1:4" x14ac:dyDescent="0.25">
      <c r="A60" t="s">
        <v>116</v>
      </c>
      <c r="B60" t="s">
        <v>117</v>
      </c>
      <c r="C60" t="s">
        <v>132</v>
      </c>
      <c r="D60" t="s">
        <v>133</v>
      </c>
    </row>
    <row r="61" spans="1:4" x14ac:dyDescent="0.25">
      <c r="A61" t="s">
        <v>116</v>
      </c>
      <c r="B61" t="s">
        <v>117</v>
      </c>
      <c r="C61" t="s">
        <v>134</v>
      </c>
      <c r="D61" t="s">
        <v>135</v>
      </c>
    </row>
    <row r="62" spans="1:4" x14ac:dyDescent="0.25">
      <c r="A62" t="s">
        <v>116</v>
      </c>
      <c r="B62" t="s">
        <v>117</v>
      </c>
      <c r="C62" t="s">
        <v>136</v>
      </c>
      <c r="D62" t="s">
        <v>137</v>
      </c>
    </row>
    <row r="63" spans="1:4" x14ac:dyDescent="0.25">
      <c r="A63" t="s">
        <v>116</v>
      </c>
      <c r="B63" t="s">
        <v>117</v>
      </c>
      <c r="C63" t="s">
        <v>138</v>
      </c>
      <c r="D63" t="s">
        <v>139</v>
      </c>
    </row>
    <row r="64" spans="1:4" x14ac:dyDescent="0.25">
      <c r="A64" t="s">
        <v>116</v>
      </c>
      <c r="B64" t="s">
        <v>117</v>
      </c>
      <c r="C64" t="s">
        <v>140</v>
      </c>
      <c r="D64" t="s">
        <v>141</v>
      </c>
    </row>
    <row r="65" spans="1:4" x14ac:dyDescent="0.25">
      <c r="A65" t="s">
        <v>116</v>
      </c>
      <c r="B65" t="s">
        <v>117</v>
      </c>
      <c r="C65" t="s">
        <v>142</v>
      </c>
      <c r="D65" t="s">
        <v>143</v>
      </c>
    </row>
    <row r="66" spans="1:4" x14ac:dyDescent="0.25">
      <c r="A66" t="s">
        <v>116</v>
      </c>
      <c r="B66" t="s">
        <v>117</v>
      </c>
      <c r="C66" t="s">
        <v>144</v>
      </c>
      <c r="D66" t="s">
        <v>145</v>
      </c>
    </row>
    <row r="67" spans="1:4" x14ac:dyDescent="0.25">
      <c r="A67" t="s">
        <v>146</v>
      </c>
      <c r="B67" t="s">
        <v>147</v>
      </c>
      <c r="C67" t="s">
        <v>148</v>
      </c>
      <c r="D67" t="s">
        <v>149</v>
      </c>
    </row>
    <row r="68" spans="1:4" x14ac:dyDescent="0.25">
      <c r="A68" t="s">
        <v>146</v>
      </c>
      <c r="B68" t="s">
        <v>147</v>
      </c>
      <c r="C68" t="s">
        <v>150</v>
      </c>
      <c r="D68" t="s">
        <v>151</v>
      </c>
    </row>
    <row r="69" spans="1:4" x14ac:dyDescent="0.25">
      <c r="A69" t="s">
        <v>146</v>
      </c>
      <c r="B69" t="s">
        <v>147</v>
      </c>
      <c r="C69" t="s">
        <v>152</v>
      </c>
      <c r="D69" t="s">
        <v>153</v>
      </c>
    </row>
    <row r="70" spans="1:4" x14ac:dyDescent="0.25">
      <c r="A70" t="s">
        <v>146</v>
      </c>
      <c r="B70" t="s">
        <v>147</v>
      </c>
      <c r="C70" t="s">
        <v>154</v>
      </c>
      <c r="D70" t="s">
        <v>155</v>
      </c>
    </row>
    <row r="71" spans="1:4" x14ac:dyDescent="0.25">
      <c r="A71" t="s">
        <v>146</v>
      </c>
      <c r="B71" t="s">
        <v>147</v>
      </c>
      <c r="C71" t="s">
        <v>156</v>
      </c>
      <c r="D71" t="s">
        <v>157</v>
      </c>
    </row>
    <row r="72" spans="1:4" x14ac:dyDescent="0.25">
      <c r="A72" t="s">
        <v>146</v>
      </c>
      <c r="B72" t="s">
        <v>147</v>
      </c>
      <c r="C72" t="s">
        <v>158</v>
      </c>
      <c r="D72" t="s">
        <v>159</v>
      </c>
    </row>
    <row r="73" spans="1:4" x14ac:dyDescent="0.25">
      <c r="A73" t="s">
        <v>146</v>
      </c>
      <c r="B73" t="s">
        <v>147</v>
      </c>
      <c r="C73" t="s">
        <v>160</v>
      </c>
      <c r="D73" t="s">
        <v>161</v>
      </c>
    </row>
    <row r="74" spans="1:4" x14ac:dyDescent="0.25">
      <c r="A74" t="s">
        <v>146</v>
      </c>
      <c r="B74" t="s">
        <v>147</v>
      </c>
      <c r="C74" t="s">
        <v>162</v>
      </c>
      <c r="D74" t="s">
        <v>163</v>
      </c>
    </row>
    <row r="75" spans="1:4" x14ac:dyDescent="0.25">
      <c r="A75" t="s">
        <v>146</v>
      </c>
      <c r="B75" t="s">
        <v>147</v>
      </c>
      <c r="C75" t="s">
        <v>164</v>
      </c>
      <c r="D75" t="s">
        <v>165</v>
      </c>
    </row>
    <row r="76" spans="1:4" x14ac:dyDescent="0.25">
      <c r="A76" t="s">
        <v>146</v>
      </c>
      <c r="B76" t="s">
        <v>147</v>
      </c>
      <c r="C76" t="s">
        <v>166</v>
      </c>
      <c r="D76" t="s">
        <v>167</v>
      </c>
    </row>
    <row r="77" spans="1:4" x14ac:dyDescent="0.25">
      <c r="A77" t="s">
        <v>146</v>
      </c>
      <c r="B77" t="s">
        <v>147</v>
      </c>
      <c r="C77" t="s">
        <v>168</v>
      </c>
      <c r="D77" t="s">
        <v>169</v>
      </c>
    </row>
    <row r="78" spans="1:4" x14ac:dyDescent="0.25">
      <c r="A78" t="s">
        <v>146</v>
      </c>
      <c r="B78" t="s">
        <v>147</v>
      </c>
      <c r="C78" t="s">
        <v>170</v>
      </c>
      <c r="D78" t="s">
        <v>171</v>
      </c>
    </row>
    <row r="79" spans="1:4" x14ac:dyDescent="0.25">
      <c r="A79" t="s">
        <v>146</v>
      </c>
      <c r="B79" t="s">
        <v>147</v>
      </c>
      <c r="C79" t="s">
        <v>172</v>
      </c>
      <c r="D79" t="s">
        <v>173</v>
      </c>
    </row>
    <row r="80" spans="1:4" x14ac:dyDescent="0.25">
      <c r="A80" t="s">
        <v>146</v>
      </c>
      <c r="B80" t="s">
        <v>147</v>
      </c>
      <c r="C80" t="s">
        <v>174</v>
      </c>
      <c r="D80" t="s">
        <v>175</v>
      </c>
    </row>
    <row r="81" spans="1:4" x14ac:dyDescent="0.25">
      <c r="A81" t="s">
        <v>176</v>
      </c>
      <c r="B81" t="s">
        <v>177</v>
      </c>
      <c r="C81" t="s">
        <v>178</v>
      </c>
      <c r="D81" t="s">
        <v>179</v>
      </c>
    </row>
    <row r="82" spans="1:4" x14ac:dyDescent="0.25">
      <c r="A82" t="s">
        <v>176</v>
      </c>
      <c r="B82" t="s">
        <v>177</v>
      </c>
      <c r="C82" t="s">
        <v>180</v>
      </c>
      <c r="D82" t="s">
        <v>181</v>
      </c>
    </row>
    <row r="83" spans="1:4" x14ac:dyDescent="0.25">
      <c r="A83" t="s">
        <v>176</v>
      </c>
      <c r="B83" t="s">
        <v>177</v>
      </c>
      <c r="C83" t="s">
        <v>182</v>
      </c>
      <c r="D83" t="s">
        <v>183</v>
      </c>
    </row>
    <row r="84" spans="1:4" x14ac:dyDescent="0.25">
      <c r="A84" t="s">
        <v>176</v>
      </c>
      <c r="B84" t="s">
        <v>177</v>
      </c>
      <c r="C84" t="s">
        <v>184</v>
      </c>
      <c r="D84" t="s">
        <v>185</v>
      </c>
    </row>
    <row r="85" spans="1:4" x14ac:dyDescent="0.25">
      <c r="A85" t="s">
        <v>176</v>
      </c>
      <c r="B85" t="s">
        <v>177</v>
      </c>
      <c r="C85" t="s">
        <v>186</v>
      </c>
      <c r="D85" t="s">
        <v>187</v>
      </c>
    </row>
    <row r="86" spans="1:4" x14ac:dyDescent="0.25">
      <c r="A86" t="s">
        <v>176</v>
      </c>
      <c r="B86" t="s">
        <v>177</v>
      </c>
      <c r="C86" t="s">
        <v>188</v>
      </c>
      <c r="D86" t="s">
        <v>189</v>
      </c>
    </row>
    <row r="87" spans="1:4" x14ac:dyDescent="0.25">
      <c r="A87" t="s">
        <v>176</v>
      </c>
      <c r="B87" t="s">
        <v>177</v>
      </c>
      <c r="C87" t="s">
        <v>190</v>
      </c>
      <c r="D87" t="s">
        <v>191</v>
      </c>
    </row>
    <row r="88" spans="1:4" x14ac:dyDescent="0.25">
      <c r="A88" t="s">
        <v>176</v>
      </c>
      <c r="B88" t="s">
        <v>177</v>
      </c>
      <c r="C88" t="s">
        <v>192</v>
      </c>
      <c r="D88" t="s">
        <v>193</v>
      </c>
    </row>
    <row r="89" spans="1:4" x14ac:dyDescent="0.25">
      <c r="A89" t="s">
        <v>176</v>
      </c>
      <c r="B89" t="s">
        <v>177</v>
      </c>
      <c r="C89" t="s">
        <v>194</v>
      </c>
      <c r="D89" t="s">
        <v>195</v>
      </c>
    </row>
    <row r="90" spans="1:4" x14ac:dyDescent="0.25">
      <c r="A90" t="s">
        <v>176</v>
      </c>
      <c r="B90" t="s">
        <v>177</v>
      </c>
      <c r="C90" t="s">
        <v>196</v>
      </c>
      <c r="D90" t="s">
        <v>197</v>
      </c>
    </row>
    <row r="91" spans="1:4" x14ac:dyDescent="0.25">
      <c r="A91" t="s">
        <v>198</v>
      </c>
      <c r="B91" t="s">
        <v>199</v>
      </c>
      <c r="C91" t="s">
        <v>200</v>
      </c>
      <c r="D91" t="s">
        <v>201</v>
      </c>
    </row>
    <row r="92" spans="1:4" x14ac:dyDescent="0.25">
      <c r="A92" t="s">
        <v>198</v>
      </c>
      <c r="B92" t="s">
        <v>199</v>
      </c>
      <c r="C92" t="s">
        <v>202</v>
      </c>
      <c r="D92" t="s">
        <v>203</v>
      </c>
    </row>
    <row r="93" spans="1:4" x14ac:dyDescent="0.25">
      <c r="A93" t="s">
        <v>198</v>
      </c>
      <c r="B93" t="s">
        <v>199</v>
      </c>
      <c r="C93" t="s">
        <v>204</v>
      </c>
      <c r="D93" t="s">
        <v>205</v>
      </c>
    </row>
    <row r="94" spans="1:4" x14ac:dyDescent="0.25">
      <c r="A94" t="s">
        <v>198</v>
      </c>
      <c r="B94" t="s">
        <v>199</v>
      </c>
      <c r="C94" t="s">
        <v>206</v>
      </c>
      <c r="D94" t="s">
        <v>207</v>
      </c>
    </row>
    <row r="95" spans="1:4" x14ac:dyDescent="0.25">
      <c r="A95" t="s">
        <v>198</v>
      </c>
      <c r="B95" t="s">
        <v>199</v>
      </c>
      <c r="C95" t="s">
        <v>208</v>
      </c>
      <c r="D95" t="s">
        <v>209</v>
      </c>
    </row>
    <row r="96" spans="1:4" x14ac:dyDescent="0.25">
      <c r="A96" t="s">
        <v>198</v>
      </c>
      <c r="B96" t="s">
        <v>199</v>
      </c>
      <c r="C96" t="s">
        <v>210</v>
      </c>
      <c r="D96" t="s">
        <v>211</v>
      </c>
    </row>
    <row r="97" spans="1:4" x14ac:dyDescent="0.25">
      <c r="A97" t="s">
        <v>198</v>
      </c>
      <c r="B97" t="s">
        <v>199</v>
      </c>
      <c r="C97" t="s">
        <v>212</v>
      </c>
      <c r="D97" t="s">
        <v>213</v>
      </c>
    </row>
    <row r="98" spans="1:4" x14ac:dyDescent="0.25">
      <c r="A98" t="s">
        <v>198</v>
      </c>
      <c r="B98" t="s">
        <v>199</v>
      </c>
      <c r="C98" t="s">
        <v>214</v>
      </c>
      <c r="D98" t="s">
        <v>215</v>
      </c>
    </row>
    <row r="99" spans="1:4" x14ac:dyDescent="0.25">
      <c r="A99" t="s">
        <v>216</v>
      </c>
      <c r="B99" t="s">
        <v>217</v>
      </c>
      <c r="C99" t="s">
        <v>218</v>
      </c>
      <c r="D99" t="s">
        <v>219</v>
      </c>
    </row>
    <row r="100" spans="1:4" x14ac:dyDescent="0.25">
      <c r="A100" t="s">
        <v>216</v>
      </c>
      <c r="B100" t="s">
        <v>217</v>
      </c>
      <c r="C100" t="s">
        <v>220</v>
      </c>
      <c r="D100" t="s">
        <v>221</v>
      </c>
    </row>
    <row r="101" spans="1:4" x14ac:dyDescent="0.25">
      <c r="A101" t="s">
        <v>216</v>
      </c>
      <c r="B101" t="s">
        <v>217</v>
      </c>
      <c r="C101" t="s">
        <v>222</v>
      </c>
      <c r="D101" t="s">
        <v>223</v>
      </c>
    </row>
    <row r="102" spans="1:4" x14ac:dyDescent="0.25">
      <c r="A102" t="s">
        <v>216</v>
      </c>
      <c r="B102" t="s">
        <v>217</v>
      </c>
      <c r="C102" t="s">
        <v>224</v>
      </c>
      <c r="D102" t="s">
        <v>225</v>
      </c>
    </row>
    <row r="103" spans="1:4" x14ac:dyDescent="0.25">
      <c r="A103" t="s">
        <v>216</v>
      </c>
      <c r="B103" t="s">
        <v>217</v>
      </c>
      <c r="C103" t="s">
        <v>226</v>
      </c>
      <c r="D103" t="s">
        <v>227</v>
      </c>
    </row>
    <row r="104" spans="1:4" x14ac:dyDescent="0.25">
      <c r="A104" t="s">
        <v>216</v>
      </c>
      <c r="B104" t="s">
        <v>217</v>
      </c>
      <c r="C104" t="s">
        <v>228</v>
      </c>
      <c r="D104" t="s">
        <v>229</v>
      </c>
    </row>
    <row r="105" spans="1:4" x14ac:dyDescent="0.25">
      <c r="A105" t="s">
        <v>216</v>
      </c>
      <c r="B105" t="s">
        <v>217</v>
      </c>
      <c r="C105" t="s">
        <v>230</v>
      </c>
      <c r="D105" t="s">
        <v>231</v>
      </c>
    </row>
    <row r="106" spans="1:4" x14ac:dyDescent="0.25">
      <c r="A106" t="s">
        <v>216</v>
      </c>
      <c r="B106" t="s">
        <v>217</v>
      </c>
      <c r="C106" t="s">
        <v>232</v>
      </c>
      <c r="D106" t="s">
        <v>233</v>
      </c>
    </row>
    <row r="107" spans="1:4" x14ac:dyDescent="0.25">
      <c r="A107" t="s">
        <v>216</v>
      </c>
      <c r="B107" t="s">
        <v>217</v>
      </c>
      <c r="C107" t="s">
        <v>234</v>
      </c>
      <c r="D107" t="s">
        <v>235</v>
      </c>
    </row>
    <row r="108" spans="1:4" x14ac:dyDescent="0.25">
      <c r="A108" t="s">
        <v>236</v>
      </c>
      <c r="B108" t="s">
        <v>237</v>
      </c>
      <c r="C108" t="s">
        <v>238</v>
      </c>
      <c r="D108" t="s">
        <v>239</v>
      </c>
    </row>
    <row r="109" spans="1:4" x14ac:dyDescent="0.25">
      <c r="A109" t="s">
        <v>236</v>
      </c>
      <c r="B109" t="s">
        <v>237</v>
      </c>
      <c r="C109" t="s">
        <v>240</v>
      </c>
      <c r="D109" t="s">
        <v>241</v>
      </c>
    </row>
    <row r="110" spans="1:4" x14ac:dyDescent="0.25">
      <c r="A110" t="s">
        <v>236</v>
      </c>
      <c r="B110" t="s">
        <v>237</v>
      </c>
      <c r="C110" t="s">
        <v>242</v>
      </c>
      <c r="D110" t="s">
        <v>243</v>
      </c>
    </row>
    <row r="111" spans="1:4" x14ac:dyDescent="0.25">
      <c r="A111" t="s">
        <v>236</v>
      </c>
      <c r="B111" t="s">
        <v>237</v>
      </c>
      <c r="C111" t="s">
        <v>244</v>
      </c>
      <c r="D111" t="s">
        <v>245</v>
      </c>
    </row>
    <row r="112" spans="1:4" x14ac:dyDescent="0.25">
      <c r="A112" t="s">
        <v>236</v>
      </c>
      <c r="B112" t="s">
        <v>237</v>
      </c>
      <c r="C112" t="s">
        <v>246</v>
      </c>
      <c r="D112" t="s">
        <v>247</v>
      </c>
    </row>
    <row r="113" spans="1:4" x14ac:dyDescent="0.25">
      <c r="A113" t="s">
        <v>236</v>
      </c>
      <c r="B113" t="s">
        <v>237</v>
      </c>
      <c r="C113" t="s">
        <v>248</v>
      </c>
      <c r="D113" t="s">
        <v>249</v>
      </c>
    </row>
    <row r="114" spans="1:4" x14ac:dyDescent="0.25">
      <c r="A114" t="s">
        <v>236</v>
      </c>
      <c r="B114" t="s">
        <v>237</v>
      </c>
      <c r="C114" t="s">
        <v>250</v>
      </c>
      <c r="D114" t="s">
        <v>251</v>
      </c>
    </row>
    <row r="115" spans="1:4" x14ac:dyDescent="0.25">
      <c r="A115" t="s">
        <v>236</v>
      </c>
      <c r="B115" t="s">
        <v>237</v>
      </c>
      <c r="C115" t="s">
        <v>252</v>
      </c>
      <c r="D115" t="s">
        <v>253</v>
      </c>
    </row>
    <row r="116" spans="1:4" x14ac:dyDescent="0.25">
      <c r="A116" t="s">
        <v>236</v>
      </c>
      <c r="B116" t="s">
        <v>237</v>
      </c>
      <c r="C116" t="s">
        <v>254</v>
      </c>
      <c r="D116" t="s">
        <v>255</v>
      </c>
    </row>
    <row r="117" spans="1:4" x14ac:dyDescent="0.25">
      <c r="A117" t="s">
        <v>236</v>
      </c>
      <c r="B117" t="s">
        <v>237</v>
      </c>
      <c r="C117" t="s">
        <v>256</v>
      </c>
      <c r="D117" t="s">
        <v>257</v>
      </c>
    </row>
    <row r="118" spans="1:4" x14ac:dyDescent="0.25">
      <c r="A118" t="s">
        <v>236</v>
      </c>
      <c r="B118" t="s">
        <v>237</v>
      </c>
      <c r="C118" t="s">
        <v>258</v>
      </c>
      <c r="D118" t="s">
        <v>259</v>
      </c>
    </row>
    <row r="119" spans="1:4" x14ac:dyDescent="0.25">
      <c r="A119" t="s">
        <v>236</v>
      </c>
      <c r="B119" t="s">
        <v>237</v>
      </c>
      <c r="C119" t="s">
        <v>260</v>
      </c>
      <c r="D119" t="s">
        <v>261</v>
      </c>
    </row>
    <row r="120" spans="1:4" x14ac:dyDescent="0.25">
      <c r="A120" t="s">
        <v>236</v>
      </c>
      <c r="B120" t="s">
        <v>237</v>
      </c>
      <c r="C120" t="s">
        <v>262</v>
      </c>
      <c r="D120" t="s">
        <v>263</v>
      </c>
    </row>
    <row r="121" spans="1:4" x14ac:dyDescent="0.25">
      <c r="A121" t="s">
        <v>236</v>
      </c>
      <c r="B121" t="s">
        <v>237</v>
      </c>
      <c r="C121" t="s">
        <v>264</v>
      </c>
      <c r="D121" t="s">
        <v>265</v>
      </c>
    </row>
    <row r="122" spans="1:4" x14ac:dyDescent="0.25">
      <c r="A122" t="s">
        <v>266</v>
      </c>
      <c r="B122" t="s">
        <v>267</v>
      </c>
      <c r="C122" t="s">
        <v>268</v>
      </c>
      <c r="D122" t="s">
        <v>269</v>
      </c>
    </row>
    <row r="123" spans="1:4" x14ac:dyDescent="0.25">
      <c r="A123" t="s">
        <v>266</v>
      </c>
      <c r="B123" t="s">
        <v>267</v>
      </c>
      <c r="C123" t="s">
        <v>270</v>
      </c>
      <c r="D123" t="s">
        <v>271</v>
      </c>
    </row>
    <row r="124" spans="1:4" x14ac:dyDescent="0.25">
      <c r="A124" t="s">
        <v>272</v>
      </c>
      <c r="B124" t="s">
        <v>273</v>
      </c>
      <c r="C124" t="s">
        <v>274</v>
      </c>
      <c r="D124" t="s">
        <v>275</v>
      </c>
    </row>
    <row r="125" spans="1:4" x14ac:dyDescent="0.25">
      <c r="A125" t="s">
        <v>272</v>
      </c>
      <c r="B125" t="s">
        <v>273</v>
      </c>
      <c r="C125" t="s">
        <v>276</v>
      </c>
      <c r="D125" t="s">
        <v>277</v>
      </c>
    </row>
    <row r="126" spans="1:4" x14ac:dyDescent="0.25">
      <c r="A126" t="s">
        <v>272</v>
      </c>
      <c r="B126" t="s">
        <v>273</v>
      </c>
      <c r="C126" t="s">
        <v>278</v>
      </c>
      <c r="D126" t="s">
        <v>279</v>
      </c>
    </row>
    <row r="127" spans="1:4" x14ac:dyDescent="0.25">
      <c r="A127" t="s">
        <v>272</v>
      </c>
      <c r="B127" t="s">
        <v>273</v>
      </c>
      <c r="C127" t="s">
        <v>280</v>
      </c>
      <c r="D127" t="s">
        <v>281</v>
      </c>
    </row>
    <row r="128" spans="1:4" x14ac:dyDescent="0.25">
      <c r="A128" t="s">
        <v>282</v>
      </c>
      <c r="B128" t="s">
        <v>283</v>
      </c>
      <c r="C128" t="s">
        <v>284</v>
      </c>
      <c r="D128" t="s">
        <v>285</v>
      </c>
    </row>
    <row r="129" spans="1:4" x14ac:dyDescent="0.25">
      <c r="A129" t="s">
        <v>282</v>
      </c>
      <c r="B129" t="s">
        <v>283</v>
      </c>
      <c r="C129" t="s">
        <v>286</v>
      </c>
      <c r="D129" t="s">
        <v>287</v>
      </c>
    </row>
    <row r="130" spans="1:4" x14ac:dyDescent="0.25">
      <c r="A130" t="s">
        <v>282</v>
      </c>
      <c r="B130" t="s">
        <v>283</v>
      </c>
      <c r="C130" t="s">
        <v>288</v>
      </c>
      <c r="D130" t="s">
        <v>289</v>
      </c>
    </row>
    <row r="131" spans="1:4" x14ac:dyDescent="0.25">
      <c r="A131" t="s">
        <v>282</v>
      </c>
      <c r="B131" t="s">
        <v>283</v>
      </c>
      <c r="C131" t="s">
        <v>290</v>
      </c>
      <c r="D131" t="s">
        <v>291</v>
      </c>
    </row>
    <row r="132" spans="1:4" x14ac:dyDescent="0.25">
      <c r="A132" t="s">
        <v>282</v>
      </c>
      <c r="B132" t="s">
        <v>283</v>
      </c>
      <c r="C132" t="s">
        <v>292</v>
      </c>
      <c r="D132" t="s">
        <v>293</v>
      </c>
    </row>
    <row r="133" spans="1:4" x14ac:dyDescent="0.25">
      <c r="A133" t="s">
        <v>282</v>
      </c>
      <c r="B133" t="s">
        <v>283</v>
      </c>
      <c r="C133" t="s">
        <v>294</v>
      </c>
      <c r="D133" t="s">
        <v>295</v>
      </c>
    </row>
    <row r="134" spans="1:4" x14ac:dyDescent="0.25">
      <c r="A134" t="s">
        <v>282</v>
      </c>
      <c r="B134" t="s">
        <v>283</v>
      </c>
      <c r="C134" t="s">
        <v>296</v>
      </c>
      <c r="D134" t="s">
        <v>297</v>
      </c>
    </row>
    <row r="135" spans="1:4" x14ac:dyDescent="0.25">
      <c r="A135" t="s">
        <v>282</v>
      </c>
      <c r="B135" t="s">
        <v>283</v>
      </c>
      <c r="C135" t="s">
        <v>298</v>
      </c>
      <c r="D135" t="s">
        <v>299</v>
      </c>
    </row>
    <row r="136" spans="1:4" x14ac:dyDescent="0.25">
      <c r="A136" t="s">
        <v>282</v>
      </c>
      <c r="B136" t="s">
        <v>283</v>
      </c>
      <c r="C136" t="s">
        <v>300</v>
      </c>
      <c r="D136" t="s">
        <v>301</v>
      </c>
    </row>
    <row r="137" spans="1:4" x14ac:dyDescent="0.25">
      <c r="A137" t="s">
        <v>282</v>
      </c>
      <c r="B137" t="s">
        <v>283</v>
      </c>
      <c r="C137" t="s">
        <v>302</v>
      </c>
      <c r="D137" t="s">
        <v>303</v>
      </c>
    </row>
    <row r="138" spans="1:4" x14ac:dyDescent="0.25">
      <c r="A138" t="s">
        <v>282</v>
      </c>
      <c r="B138" t="s">
        <v>283</v>
      </c>
      <c r="C138" t="s">
        <v>304</v>
      </c>
      <c r="D138" t="s">
        <v>305</v>
      </c>
    </row>
    <row r="139" spans="1:4" x14ac:dyDescent="0.25">
      <c r="A139" t="s">
        <v>282</v>
      </c>
      <c r="B139" t="s">
        <v>283</v>
      </c>
      <c r="C139" t="s">
        <v>306</v>
      </c>
      <c r="D139" t="s">
        <v>307</v>
      </c>
    </row>
    <row r="140" spans="1:4" x14ac:dyDescent="0.25">
      <c r="A140" t="s">
        <v>282</v>
      </c>
      <c r="B140" t="s">
        <v>283</v>
      </c>
      <c r="C140" t="s">
        <v>308</v>
      </c>
      <c r="D140" t="s">
        <v>309</v>
      </c>
    </row>
    <row r="141" spans="1:4" x14ac:dyDescent="0.25">
      <c r="A141" t="s">
        <v>282</v>
      </c>
      <c r="B141" t="s">
        <v>283</v>
      </c>
      <c r="C141" t="s">
        <v>310</v>
      </c>
      <c r="D141" t="s">
        <v>311</v>
      </c>
    </row>
    <row r="142" spans="1:4" x14ac:dyDescent="0.25">
      <c r="A142" t="s">
        <v>282</v>
      </c>
      <c r="B142" t="s">
        <v>283</v>
      </c>
      <c r="C142" t="s">
        <v>312</v>
      </c>
      <c r="D142" t="s">
        <v>313</v>
      </c>
    </row>
    <row r="143" spans="1:4" x14ac:dyDescent="0.25">
      <c r="A143" t="s">
        <v>282</v>
      </c>
      <c r="B143" t="s">
        <v>283</v>
      </c>
      <c r="C143" t="s">
        <v>314</v>
      </c>
      <c r="D143" t="s">
        <v>315</v>
      </c>
    </row>
    <row r="144" spans="1:4" x14ac:dyDescent="0.25">
      <c r="A144" t="s">
        <v>282</v>
      </c>
      <c r="B144" t="s">
        <v>283</v>
      </c>
      <c r="C144" t="s">
        <v>316</v>
      </c>
      <c r="D144" t="s">
        <v>317</v>
      </c>
    </row>
    <row r="145" spans="1:4" x14ac:dyDescent="0.25">
      <c r="A145" t="s">
        <v>282</v>
      </c>
      <c r="B145" t="s">
        <v>283</v>
      </c>
      <c r="C145" t="s">
        <v>318</v>
      </c>
      <c r="D145" t="s">
        <v>319</v>
      </c>
    </row>
    <row r="146" spans="1:4" x14ac:dyDescent="0.25">
      <c r="A146" t="s">
        <v>282</v>
      </c>
      <c r="B146" t="s">
        <v>283</v>
      </c>
      <c r="C146" t="s">
        <v>320</v>
      </c>
      <c r="D146" t="s">
        <v>321</v>
      </c>
    </row>
    <row r="147" spans="1:4" x14ac:dyDescent="0.25">
      <c r="A147" t="s">
        <v>282</v>
      </c>
      <c r="B147" t="s">
        <v>283</v>
      </c>
      <c r="C147" t="s">
        <v>322</v>
      </c>
      <c r="D147" t="s">
        <v>323</v>
      </c>
    </row>
    <row r="148" spans="1:4" x14ac:dyDescent="0.25">
      <c r="A148" t="s">
        <v>282</v>
      </c>
      <c r="B148" t="s">
        <v>283</v>
      </c>
      <c r="C148" t="s">
        <v>324</v>
      </c>
      <c r="D148" t="s">
        <v>325</v>
      </c>
    </row>
    <row r="149" spans="1:4" x14ac:dyDescent="0.25">
      <c r="A149" t="s">
        <v>326</v>
      </c>
      <c r="B149" t="s">
        <v>327</v>
      </c>
      <c r="C149" t="s">
        <v>328</v>
      </c>
      <c r="D149" t="s">
        <v>329</v>
      </c>
    </row>
    <row r="150" spans="1:4" x14ac:dyDescent="0.25">
      <c r="A150" t="s">
        <v>326</v>
      </c>
      <c r="B150" t="s">
        <v>327</v>
      </c>
      <c r="C150" t="s">
        <v>330</v>
      </c>
      <c r="D150" t="s">
        <v>331</v>
      </c>
    </row>
    <row r="151" spans="1:4" x14ac:dyDescent="0.25">
      <c r="A151" t="s">
        <v>326</v>
      </c>
      <c r="B151" t="s">
        <v>327</v>
      </c>
      <c r="C151" t="s">
        <v>332</v>
      </c>
      <c r="D151" t="s">
        <v>333</v>
      </c>
    </row>
    <row r="152" spans="1:4" x14ac:dyDescent="0.25">
      <c r="A152" t="s">
        <v>326</v>
      </c>
      <c r="B152" t="s">
        <v>327</v>
      </c>
      <c r="C152" t="s">
        <v>334</v>
      </c>
      <c r="D152" t="s">
        <v>335</v>
      </c>
    </row>
    <row r="153" spans="1:4" x14ac:dyDescent="0.25">
      <c r="A153" t="s">
        <v>326</v>
      </c>
      <c r="B153" t="s">
        <v>327</v>
      </c>
      <c r="C153" t="s">
        <v>336</v>
      </c>
      <c r="D153" t="s">
        <v>337</v>
      </c>
    </row>
    <row r="154" spans="1:4" x14ac:dyDescent="0.25">
      <c r="A154" t="s">
        <v>338</v>
      </c>
      <c r="B154" t="s">
        <v>339</v>
      </c>
      <c r="C154" t="s">
        <v>340</v>
      </c>
      <c r="D154" t="s">
        <v>341</v>
      </c>
    </row>
    <row r="155" spans="1:4" x14ac:dyDescent="0.25">
      <c r="A155" t="s">
        <v>338</v>
      </c>
      <c r="B155" t="s">
        <v>339</v>
      </c>
      <c r="C155" t="s">
        <v>342</v>
      </c>
      <c r="D155" t="s">
        <v>343</v>
      </c>
    </row>
    <row r="156" spans="1:4" x14ac:dyDescent="0.25">
      <c r="A156" t="s">
        <v>338</v>
      </c>
      <c r="B156" t="s">
        <v>339</v>
      </c>
      <c r="C156" t="s">
        <v>344</v>
      </c>
      <c r="D156" t="s">
        <v>345</v>
      </c>
    </row>
    <row r="157" spans="1:4" x14ac:dyDescent="0.25">
      <c r="A157" t="s">
        <v>338</v>
      </c>
      <c r="B157" t="s">
        <v>339</v>
      </c>
      <c r="C157" t="s">
        <v>346</v>
      </c>
      <c r="D157" t="s">
        <v>347</v>
      </c>
    </row>
    <row r="158" spans="1:4" x14ac:dyDescent="0.25">
      <c r="A158" t="s">
        <v>348</v>
      </c>
      <c r="B158" t="s">
        <v>349</v>
      </c>
      <c r="C158" t="s">
        <v>350</v>
      </c>
      <c r="D158" t="s">
        <v>351</v>
      </c>
    </row>
    <row r="159" spans="1:4" x14ac:dyDescent="0.25">
      <c r="A159" t="s">
        <v>348</v>
      </c>
      <c r="B159" t="s">
        <v>349</v>
      </c>
      <c r="C159" t="s">
        <v>352</v>
      </c>
      <c r="D159" t="s">
        <v>353</v>
      </c>
    </row>
    <row r="160" spans="1:4" x14ac:dyDescent="0.25">
      <c r="A160" t="s">
        <v>348</v>
      </c>
      <c r="B160" t="s">
        <v>349</v>
      </c>
      <c r="C160" t="s">
        <v>354</v>
      </c>
      <c r="D160" t="s">
        <v>355</v>
      </c>
    </row>
    <row r="161" spans="1:4" x14ac:dyDescent="0.25">
      <c r="A161" t="s">
        <v>348</v>
      </c>
      <c r="B161" t="s">
        <v>349</v>
      </c>
      <c r="C161" t="s">
        <v>356</v>
      </c>
      <c r="D161" t="s">
        <v>357</v>
      </c>
    </row>
    <row r="162" spans="1:4" x14ac:dyDescent="0.25">
      <c r="A162" t="s">
        <v>348</v>
      </c>
      <c r="B162" t="s">
        <v>349</v>
      </c>
      <c r="C162" t="s">
        <v>358</v>
      </c>
      <c r="D162" t="s">
        <v>359</v>
      </c>
    </row>
    <row r="163" spans="1:4" x14ac:dyDescent="0.25">
      <c r="A163" t="s">
        <v>348</v>
      </c>
      <c r="B163" t="s">
        <v>349</v>
      </c>
      <c r="C163" t="s">
        <v>360</v>
      </c>
      <c r="D163" t="s">
        <v>361</v>
      </c>
    </row>
    <row r="164" spans="1:4" x14ac:dyDescent="0.25">
      <c r="A164" t="s">
        <v>362</v>
      </c>
      <c r="B164" t="s">
        <v>363</v>
      </c>
      <c r="C164" t="s">
        <v>364</v>
      </c>
      <c r="D164" t="s">
        <v>365</v>
      </c>
    </row>
    <row r="165" spans="1:4" x14ac:dyDescent="0.25">
      <c r="A165" t="s">
        <v>362</v>
      </c>
      <c r="B165" t="s">
        <v>363</v>
      </c>
      <c r="C165" t="s">
        <v>366</v>
      </c>
      <c r="D165" t="s">
        <v>367</v>
      </c>
    </row>
    <row r="166" spans="1:4" x14ac:dyDescent="0.25">
      <c r="A166" t="s">
        <v>362</v>
      </c>
      <c r="B166" t="s">
        <v>363</v>
      </c>
      <c r="C166" t="s">
        <v>368</v>
      </c>
      <c r="D166" t="s">
        <v>369</v>
      </c>
    </row>
    <row r="167" spans="1:4" x14ac:dyDescent="0.25">
      <c r="A167" t="s">
        <v>362</v>
      </c>
      <c r="B167" t="s">
        <v>363</v>
      </c>
      <c r="C167" t="s">
        <v>370</v>
      </c>
      <c r="D167" t="s">
        <v>371</v>
      </c>
    </row>
    <row r="168" spans="1:4" x14ac:dyDescent="0.25">
      <c r="A168" t="s">
        <v>362</v>
      </c>
      <c r="B168" t="s">
        <v>363</v>
      </c>
      <c r="C168" t="s">
        <v>372</v>
      </c>
      <c r="D168" t="s">
        <v>373</v>
      </c>
    </row>
    <row r="169" spans="1:4" x14ac:dyDescent="0.25">
      <c r="A169" t="s">
        <v>374</v>
      </c>
      <c r="B169" t="s">
        <v>375</v>
      </c>
      <c r="C169" t="s">
        <v>376</v>
      </c>
      <c r="D169" t="s">
        <v>377</v>
      </c>
    </row>
    <row r="170" spans="1:4" x14ac:dyDescent="0.25">
      <c r="A170" t="s">
        <v>374</v>
      </c>
      <c r="B170" t="s">
        <v>375</v>
      </c>
      <c r="C170" t="s">
        <v>378</v>
      </c>
      <c r="D170" t="s">
        <v>379</v>
      </c>
    </row>
    <row r="171" spans="1:4" x14ac:dyDescent="0.25">
      <c r="A171" t="s">
        <v>374</v>
      </c>
      <c r="B171" t="s">
        <v>375</v>
      </c>
      <c r="C171" t="s">
        <v>380</v>
      </c>
      <c r="D171" t="s">
        <v>381</v>
      </c>
    </row>
    <row r="172" spans="1:4" x14ac:dyDescent="0.25">
      <c r="A172" t="s">
        <v>374</v>
      </c>
      <c r="B172" t="s">
        <v>375</v>
      </c>
      <c r="C172" t="s">
        <v>382</v>
      </c>
      <c r="D172" t="s">
        <v>383</v>
      </c>
    </row>
    <row r="173" spans="1:4" x14ac:dyDescent="0.25">
      <c r="A173" t="s">
        <v>374</v>
      </c>
      <c r="B173" t="s">
        <v>375</v>
      </c>
      <c r="C173" t="s">
        <v>384</v>
      </c>
      <c r="D173" t="s">
        <v>385</v>
      </c>
    </row>
    <row r="174" spans="1:4" x14ac:dyDescent="0.25">
      <c r="A174" t="s">
        <v>374</v>
      </c>
      <c r="B174" t="s">
        <v>375</v>
      </c>
      <c r="C174" t="s">
        <v>386</v>
      </c>
      <c r="D174" t="s">
        <v>387</v>
      </c>
    </row>
    <row r="175" spans="1:4" x14ac:dyDescent="0.25">
      <c r="A175" t="s">
        <v>374</v>
      </c>
      <c r="B175" t="s">
        <v>375</v>
      </c>
      <c r="C175" t="s">
        <v>388</v>
      </c>
      <c r="D175" t="s">
        <v>389</v>
      </c>
    </row>
    <row r="176" spans="1:4" x14ac:dyDescent="0.25">
      <c r="A176" t="s">
        <v>374</v>
      </c>
      <c r="B176" t="s">
        <v>375</v>
      </c>
      <c r="C176" t="s">
        <v>390</v>
      </c>
      <c r="D176" t="s">
        <v>391</v>
      </c>
    </row>
    <row r="177" spans="1:4" x14ac:dyDescent="0.25">
      <c r="A177" t="s">
        <v>374</v>
      </c>
      <c r="B177" t="s">
        <v>375</v>
      </c>
      <c r="C177" t="s">
        <v>392</v>
      </c>
      <c r="D177" t="s">
        <v>393</v>
      </c>
    </row>
    <row r="178" spans="1:4" x14ac:dyDescent="0.25">
      <c r="A178" t="s">
        <v>394</v>
      </c>
      <c r="B178" t="s">
        <v>395</v>
      </c>
      <c r="C178" t="s">
        <v>396</v>
      </c>
      <c r="D178" t="s">
        <v>397</v>
      </c>
    </row>
    <row r="179" spans="1:4" x14ac:dyDescent="0.25">
      <c r="A179" t="s">
        <v>394</v>
      </c>
      <c r="B179" t="s">
        <v>395</v>
      </c>
      <c r="C179" t="s">
        <v>398</v>
      </c>
      <c r="D179" t="s">
        <v>399</v>
      </c>
    </row>
    <row r="180" spans="1:4" x14ac:dyDescent="0.25">
      <c r="A180" t="s">
        <v>394</v>
      </c>
      <c r="B180" t="s">
        <v>395</v>
      </c>
      <c r="C180" t="s">
        <v>400</v>
      </c>
      <c r="D180" t="s">
        <v>401</v>
      </c>
    </row>
    <row r="181" spans="1:4" x14ac:dyDescent="0.25">
      <c r="A181" t="s">
        <v>394</v>
      </c>
      <c r="B181" t="s">
        <v>395</v>
      </c>
      <c r="C181" t="s">
        <v>402</v>
      </c>
      <c r="D181" t="s">
        <v>403</v>
      </c>
    </row>
    <row r="182" spans="1:4" x14ac:dyDescent="0.25">
      <c r="A182" t="s">
        <v>394</v>
      </c>
      <c r="B182" t="s">
        <v>395</v>
      </c>
      <c r="C182" t="s">
        <v>404</v>
      </c>
      <c r="D182" t="s">
        <v>405</v>
      </c>
    </row>
    <row r="183" spans="1:4" x14ac:dyDescent="0.25">
      <c r="A183" t="s">
        <v>394</v>
      </c>
      <c r="B183" t="s">
        <v>395</v>
      </c>
      <c r="C183" t="s">
        <v>406</v>
      </c>
      <c r="D183" t="s">
        <v>407</v>
      </c>
    </row>
    <row r="184" spans="1:4" x14ac:dyDescent="0.25">
      <c r="A184" t="s">
        <v>408</v>
      </c>
      <c r="B184" t="s">
        <v>409</v>
      </c>
      <c r="C184" t="s">
        <v>410</v>
      </c>
      <c r="D184" t="s">
        <v>411</v>
      </c>
    </row>
    <row r="185" spans="1:4" x14ac:dyDescent="0.25">
      <c r="A185" t="s">
        <v>408</v>
      </c>
      <c r="B185" t="s">
        <v>409</v>
      </c>
      <c r="C185" t="s">
        <v>412</v>
      </c>
      <c r="D185" t="s">
        <v>413</v>
      </c>
    </row>
    <row r="186" spans="1:4" x14ac:dyDescent="0.25">
      <c r="A186" t="s">
        <v>408</v>
      </c>
      <c r="B186" t="s">
        <v>409</v>
      </c>
      <c r="C186" t="s">
        <v>414</v>
      </c>
      <c r="D186" t="s">
        <v>415</v>
      </c>
    </row>
    <row r="187" spans="1:4" x14ac:dyDescent="0.25">
      <c r="A187" t="s">
        <v>408</v>
      </c>
      <c r="B187" t="s">
        <v>409</v>
      </c>
      <c r="C187" t="s">
        <v>416</v>
      </c>
      <c r="D187" t="s">
        <v>417</v>
      </c>
    </row>
    <row r="188" spans="1:4" x14ac:dyDescent="0.25">
      <c r="A188" t="s">
        <v>408</v>
      </c>
      <c r="B188" t="s">
        <v>409</v>
      </c>
      <c r="C188" t="s">
        <v>418</v>
      </c>
      <c r="D188" t="s">
        <v>419</v>
      </c>
    </row>
    <row r="189" spans="1:4" x14ac:dyDescent="0.25">
      <c r="A189" t="s">
        <v>408</v>
      </c>
      <c r="B189" t="s">
        <v>409</v>
      </c>
      <c r="C189" t="s">
        <v>420</v>
      </c>
      <c r="D189" t="s">
        <v>421</v>
      </c>
    </row>
    <row r="190" spans="1:4" x14ac:dyDescent="0.25">
      <c r="A190" t="s">
        <v>408</v>
      </c>
      <c r="B190" t="s">
        <v>409</v>
      </c>
      <c r="C190" t="s">
        <v>422</v>
      </c>
      <c r="D190" t="s">
        <v>423</v>
      </c>
    </row>
    <row r="191" spans="1:4" x14ac:dyDescent="0.25">
      <c r="A191" t="s">
        <v>408</v>
      </c>
      <c r="B191" t="s">
        <v>409</v>
      </c>
      <c r="C191" t="s">
        <v>424</v>
      </c>
      <c r="D191" t="s">
        <v>425</v>
      </c>
    </row>
    <row r="192" spans="1:4" x14ac:dyDescent="0.25">
      <c r="A192" t="s">
        <v>408</v>
      </c>
      <c r="B192" t="s">
        <v>409</v>
      </c>
      <c r="C192" t="s">
        <v>426</v>
      </c>
      <c r="D192" t="s">
        <v>427</v>
      </c>
    </row>
    <row r="193" spans="1:4" x14ac:dyDescent="0.25">
      <c r="A193" t="s">
        <v>428</v>
      </c>
      <c r="B193" t="s">
        <v>429</v>
      </c>
      <c r="C193" t="s">
        <v>430</v>
      </c>
      <c r="D193" t="s">
        <v>431</v>
      </c>
    </row>
    <row r="194" spans="1:4" x14ac:dyDescent="0.25">
      <c r="A194" t="s">
        <v>428</v>
      </c>
      <c r="B194" t="s">
        <v>429</v>
      </c>
      <c r="C194" t="s">
        <v>432</v>
      </c>
      <c r="D194" t="s">
        <v>433</v>
      </c>
    </row>
    <row r="195" spans="1:4" x14ac:dyDescent="0.25">
      <c r="A195" t="s">
        <v>428</v>
      </c>
      <c r="B195" t="s">
        <v>429</v>
      </c>
      <c r="C195" t="s">
        <v>434</v>
      </c>
      <c r="D195" t="s">
        <v>435</v>
      </c>
    </row>
    <row r="196" spans="1:4" x14ac:dyDescent="0.25">
      <c r="A196" t="s">
        <v>428</v>
      </c>
      <c r="B196" t="s">
        <v>429</v>
      </c>
      <c r="C196" t="s">
        <v>436</v>
      </c>
      <c r="D196" t="s">
        <v>437</v>
      </c>
    </row>
    <row r="197" spans="1:4" x14ac:dyDescent="0.25">
      <c r="A197" t="s">
        <v>428</v>
      </c>
      <c r="B197" t="s">
        <v>429</v>
      </c>
      <c r="C197" t="s">
        <v>438</v>
      </c>
      <c r="D197" t="s">
        <v>439</v>
      </c>
    </row>
    <row r="198" spans="1:4" x14ac:dyDescent="0.25">
      <c r="A198" t="s">
        <v>428</v>
      </c>
      <c r="B198" t="s">
        <v>429</v>
      </c>
      <c r="C198" t="s">
        <v>440</v>
      </c>
      <c r="D198" t="s">
        <v>441</v>
      </c>
    </row>
    <row r="199" spans="1:4" x14ac:dyDescent="0.25">
      <c r="A199" t="s">
        <v>428</v>
      </c>
      <c r="B199" t="s">
        <v>429</v>
      </c>
      <c r="C199" t="s">
        <v>442</v>
      </c>
      <c r="D199" t="s">
        <v>443</v>
      </c>
    </row>
    <row r="200" spans="1:4" x14ac:dyDescent="0.25">
      <c r="A200" t="s">
        <v>428</v>
      </c>
      <c r="B200" t="s">
        <v>429</v>
      </c>
      <c r="C200" t="s">
        <v>444</v>
      </c>
      <c r="D200" t="s">
        <v>445</v>
      </c>
    </row>
    <row r="201" spans="1:4" x14ac:dyDescent="0.25">
      <c r="A201" t="s">
        <v>428</v>
      </c>
      <c r="B201" t="s">
        <v>429</v>
      </c>
      <c r="C201" t="s">
        <v>446</v>
      </c>
      <c r="D201" t="s">
        <v>447</v>
      </c>
    </row>
    <row r="202" spans="1:4" x14ac:dyDescent="0.25">
      <c r="A202" t="s">
        <v>448</v>
      </c>
      <c r="B202" t="s">
        <v>449</v>
      </c>
      <c r="C202" t="s">
        <v>450</v>
      </c>
      <c r="D202" t="s">
        <v>451</v>
      </c>
    </row>
    <row r="203" spans="1:4" x14ac:dyDescent="0.25">
      <c r="A203" t="s">
        <v>448</v>
      </c>
      <c r="B203" t="s">
        <v>449</v>
      </c>
      <c r="C203" t="s">
        <v>452</v>
      </c>
      <c r="D203" t="s">
        <v>453</v>
      </c>
    </row>
    <row r="204" spans="1:4" x14ac:dyDescent="0.25">
      <c r="A204" t="s">
        <v>448</v>
      </c>
      <c r="B204" t="s">
        <v>449</v>
      </c>
      <c r="C204" t="s">
        <v>454</v>
      </c>
      <c r="D204" t="s">
        <v>455</v>
      </c>
    </row>
    <row r="205" spans="1:4" x14ac:dyDescent="0.25">
      <c r="A205" t="s">
        <v>448</v>
      </c>
      <c r="B205" t="s">
        <v>449</v>
      </c>
      <c r="C205" t="s">
        <v>456</v>
      </c>
      <c r="D205" t="s">
        <v>457</v>
      </c>
    </row>
    <row r="206" spans="1:4" x14ac:dyDescent="0.25">
      <c r="A206" t="s">
        <v>458</v>
      </c>
      <c r="B206" t="s">
        <v>459</v>
      </c>
      <c r="C206" t="s">
        <v>460</v>
      </c>
      <c r="D206" t="s">
        <v>461</v>
      </c>
    </row>
    <row r="207" spans="1:4" x14ac:dyDescent="0.25">
      <c r="A207" t="s">
        <v>458</v>
      </c>
      <c r="B207" t="s">
        <v>459</v>
      </c>
      <c r="C207" t="s">
        <v>462</v>
      </c>
      <c r="D207" t="s">
        <v>463</v>
      </c>
    </row>
    <row r="208" spans="1:4" x14ac:dyDescent="0.25">
      <c r="A208" t="s">
        <v>458</v>
      </c>
      <c r="B208" t="s">
        <v>459</v>
      </c>
      <c r="C208" t="s">
        <v>464</v>
      </c>
      <c r="D208" t="s">
        <v>465</v>
      </c>
    </row>
    <row r="209" spans="1:4" x14ac:dyDescent="0.25">
      <c r="A209" t="s">
        <v>458</v>
      </c>
      <c r="B209" t="s">
        <v>459</v>
      </c>
      <c r="C209" t="s">
        <v>466</v>
      </c>
      <c r="D209" t="s">
        <v>467</v>
      </c>
    </row>
    <row r="210" spans="1:4" x14ac:dyDescent="0.25">
      <c r="A210" t="s">
        <v>458</v>
      </c>
      <c r="B210" t="s">
        <v>459</v>
      </c>
      <c r="C210" t="s">
        <v>468</v>
      </c>
      <c r="D210" t="s">
        <v>469</v>
      </c>
    </row>
    <row r="211" spans="1:4" x14ac:dyDescent="0.25">
      <c r="A211" t="s">
        <v>458</v>
      </c>
      <c r="B211" t="s">
        <v>459</v>
      </c>
      <c r="C211" t="s">
        <v>470</v>
      </c>
      <c r="D211" t="s">
        <v>471</v>
      </c>
    </row>
    <row r="212" spans="1:4" x14ac:dyDescent="0.25">
      <c r="A212" t="s">
        <v>458</v>
      </c>
      <c r="B212" t="s">
        <v>459</v>
      </c>
      <c r="C212" t="s">
        <v>472</v>
      </c>
      <c r="D212" t="s">
        <v>473</v>
      </c>
    </row>
    <row r="213" spans="1:4" x14ac:dyDescent="0.25">
      <c r="A213" t="s">
        <v>458</v>
      </c>
      <c r="B213" t="s">
        <v>459</v>
      </c>
      <c r="C213" t="s">
        <v>474</v>
      </c>
      <c r="D213" t="s">
        <v>475</v>
      </c>
    </row>
    <row r="214" spans="1:4" x14ac:dyDescent="0.25">
      <c r="A214" t="s">
        <v>458</v>
      </c>
      <c r="B214" t="s">
        <v>459</v>
      </c>
      <c r="C214" t="s">
        <v>476</v>
      </c>
      <c r="D214" t="s">
        <v>477</v>
      </c>
    </row>
    <row r="215" spans="1:4" x14ac:dyDescent="0.25">
      <c r="A215" t="s">
        <v>458</v>
      </c>
      <c r="B215" t="s">
        <v>459</v>
      </c>
      <c r="C215" t="s">
        <v>478</v>
      </c>
      <c r="D215" t="s">
        <v>479</v>
      </c>
    </row>
    <row r="216" spans="1:4" x14ac:dyDescent="0.25">
      <c r="A216" t="s">
        <v>458</v>
      </c>
      <c r="B216" t="s">
        <v>459</v>
      </c>
      <c r="C216" t="s">
        <v>480</v>
      </c>
      <c r="D216" t="s">
        <v>481</v>
      </c>
    </row>
    <row r="217" spans="1:4" x14ac:dyDescent="0.25">
      <c r="A217" t="s">
        <v>458</v>
      </c>
      <c r="B217" t="s">
        <v>459</v>
      </c>
      <c r="C217" t="s">
        <v>482</v>
      </c>
      <c r="D217" t="s">
        <v>483</v>
      </c>
    </row>
    <row r="218" spans="1:4" x14ac:dyDescent="0.25">
      <c r="A218" t="s">
        <v>458</v>
      </c>
      <c r="B218" t="s">
        <v>459</v>
      </c>
      <c r="C218" t="s">
        <v>484</v>
      </c>
      <c r="D218" t="s">
        <v>485</v>
      </c>
    </row>
    <row r="219" spans="1:4" x14ac:dyDescent="0.25">
      <c r="A219" t="s">
        <v>458</v>
      </c>
      <c r="B219" t="s">
        <v>459</v>
      </c>
      <c r="C219" t="s">
        <v>486</v>
      </c>
      <c r="D219" t="s">
        <v>487</v>
      </c>
    </row>
    <row r="220" spans="1:4" x14ac:dyDescent="0.25">
      <c r="A220" t="s">
        <v>458</v>
      </c>
      <c r="B220" t="s">
        <v>459</v>
      </c>
      <c r="C220" t="s">
        <v>488</v>
      </c>
      <c r="D220" t="s">
        <v>489</v>
      </c>
    </row>
    <row r="221" spans="1:4" x14ac:dyDescent="0.25">
      <c r="A221" t="s">
        <v>458</v>
      </c>
      <c r="B221" t="s">
        <v>459</v>
      </c>
      <c r="C221" t="s">
        <v>490</v>
      </c>
      <c r="D221" t="s">
        <v>491</v>
      </c>
    </row>
    <row r="222" spans="1:4" x14ac:dyDescent="0.25">
      <c r="A222" t="s">
        <v>458</v>
      </c>
      <c r="B222" t="s">
        <v>459</v>
      </c>
      <c r="C222" t="s">
        <v>492</v>
      </c>
      <c r="D222" t="s">
        <v>493</v>
      </c>
    </row>
    <row r="223" spans="1:4" x14ac:dyDescent="0.25">
      <c r="A223" t="s">
        <v>458</v>
      </c>
      <c r="B223" t="s">
        <v>459</v>
      </c>
      <c r="C223" t="s">
        <v>494</v>
      </c>
      <c r="D223" t="s">
        <v>495</v>
      </c>
    </row>
    <row r="224" spans="1:4" x14ac:dyDescent="0.25">
      <c r="A224" t="s">
        <v>458</v>
      </c>
      <c r="B224" t="s">
        <v>459</v>
      </c>
      <c r="C224" t="s">
        <v>496</v>
      </c>
      <c r="D224" t="s">
        <v>497</v>
      </c>
    </row>
    <row r="225" spans="1:4" x14ac:dyDescent="0.25">
      <c r="A225" t="s">
        <v>458</v>
      </c>
      <c r="B225" t="s">
        <v>459</v>
      </c>
      <c r="C225" t="s">
        <v>498</v>
      </c>
      <c r="D225" t="s">
        <v>499</v>
      </c>
    </row>
    <row r="226" spans="1:4" x14ac:dyDescent="0.25">
      <c r="A226" t="s">
        <v>458</v>
      </c>
      <c r="B226" t="s">
        <v>459</v>
      </c>
      <c r="C226" t="s">
        <v>500</v>
      </c>
      <c r="D226" t="s">
        <v>501</v>
      </c>
    </row>
    <row r="227" spans="1:4" x14ac:dyDescent="0.25">
      <c r="A227" t="s">
        <v>458</v>
      </c>
      <c r="B227" t="s">
        <v>459</v>
      </c>
      <c r="C227" t="s">
        <v>502</v>
      </c>
      <c r="D227" t="s">
        <v>503</v>
      </c>
    </row>
    <row r="228" spans="1:4" x14ac:dyDescent="0.25">
      <c r="A228" t="s">
        <v>458</v>
      </c>
      <c r="B228" t="s">
        <v>459</v>
      </c>
      <c r="C228" t="s">
        <v>504</v>
      </c>
      <c r="D228" t="s">
        <v>505</v>
      </c>
    </row>
    <row r="229" spans="1:4" x14ac:dyDescent="0.25">
      <c r="A229" t="s">
        <v>458</v>
      </c>
      <c r="B229" t="s">
        <v>459</v>
      </c>
      <c r="C229" t="s">
        <v>506</v>
      </c>
      <c r="D229" t="s">
        <v>507</v>
      </c>
    </row>
    <row r="230" spans="1:4" x14ac:dyDescent="0.25">
      <c r="A230" t="s">
        <v>458</v>
      </c>
      <c r="B230" t="s">
        <v>459</v>
      </c>
      <c r="C230" t="s">
        <v>508</v>
      </c>
      <c r="D230" t="s">
        <v>509</v>
      </c>
    </row>
    <row r="231" spans="1:4" x14ac:dyDescent="0.25">
      <c r="A231" t="s">
        <v>458</v>
      </c>
      <c r="B231" t="s">
        <v>459</v>
      </c>
      <c r="C231" t="s">
        <v>510</v>
      </c>
      <c r="D231" t="s">
        <v>511</v>
      </c>
    </row>
    <row r="232" spans="1:4" x14ac:dyDescent="0.25">
      <c r="A232" t="s">
        <v>458</v>
      </c>
      <c r="B232" t="s">
        <v>459</v>
      </c>
      <c r="C232" t="s">
        <v>512</v>
      </c>
      <c r="D232" t="s">
        <v>513</v>
      </c>
    </row>
    <row r="233" spans="1:4" x14ac:dyDescent="0.25">
      <c r="A233" t="s">
        <v>458</v>
      </c>
      <c r="B233" t="s">
        <v>459</v>
      </c>
      <c r="C233" t="s">
        <v>514</v>
      </c>
      <c r="D233" t="s">
        <v>515</v>
      </c>
    </row>
    <row r="234" spans="1:4" x14ac:dyDescent="0.25">
      <c r="A234" t="s">
        <v>458</v>
      </c>
      <c r="B234" t="s">
        <v>459</v>
      </c>
      <c r="C234" t="s">
        <v>516</v>
      </c>
      <c r="D234" t="s">
        <v>517</v>
      </c>
    </row>
    <row r="235" spans="1:4" x14ac:dyDescent="0.25">
      <c r="A235" t="s">
        <v>458</v>
      </c>
      <c r="B235" t="s">
        <v>459</v>
      </c>
      <c r="C235" t="s">
        <v>518</v>
      </c>
      <c r="D235" t="s">
        <v>519</v>
      </c>
    </row>
    <row r="236" spans="1:4" x14ac:dyDescent="0.25">
      <c r="A236" t="s">
        <v>520</v>
      </c>
      <c r="B236" t="s">
        <v>521</v>
      </c>
      <c r="C236" t="s">
        <v>522</v>
      </c>
      <c r="D236" t="s">
        <v>523</v>
      </c>
    </row>
    <row r="237" spans="1:4" x14ac:dyDescent="0.25">
      <c r="A237" t="s">
        <v>520</v>
      </c>
      <c r="B237" t="s">
        <v>521</v>
      </c>
      <c r="C237" t="s">
        <v>524</v>
      </c>
      <c r="D237" t="s">
        <v>525</v>
      </c>
    </row>
    <row r="238" spans="1:4" x14ac:dyDescent="0.25">
      <c r="A238" t="s">
        <v>520</v>
      </c>
      <c r="B238" t="s">
        <v>521</v>
      </c>
      <c r="C238" t="s">
        <v>526</v>
      </c>
      <c r="D238" t="s">
        <v>527</v>
      </c>
    </row>
    <row r="239" spans="1:4" x14ac:dyDescent="0.25">
      <c r="A239" t="s">
        <v>520</v>
      </c>
      <c r="B239" t="s">
        <v>521</v>
      </c>
      <c r="C239" t="s">
        <v>528</v>
      </c>
      <c r="D239" t="s">
        <v>529</v>
      </c>
    </row>
    <row r="240" spans="1:4" x14ac:dyDescent="0.25">
      <c r="A240" t="s">
        <v>520</v>
      </c>
      <c r="B240" t="s">
        <v>521</v>
      </c>
      <c r="C240" t="s">
        <v>530</v>
      </c>
      <c r="D240" t="s">
        <v>531</v>
      </c>
    </row>
    <row r="241" spans="1:4" x14ac:dyDescent="0.25">
      <c r="A241" t="s">
        <v>520</v>
      </c>
      <c r="B241" t="s">
        <v>521</v>
      </c>
      <c r="C241" t="s">
        <v>532</v>
      </c>
      <c r="D241" t="s">
        <v>533</v>
      </c>
    </row>
    <row r="242" spans="1:4" x14ac:dyDescent="0.25">
      <c r="A242" t="s">
        <v>520</v>
      </c>
      <c r="B242" t="s">
        <v>521</v>
      </c>
      <c r="C242" t="s">
        <v>534</v>
      </c>
      <c r="D242" t="s">
        <v>535</v>
      </c>
    </row>
    <row r="243" spans="1:4" x14ac:dyDescent="0.25">
      <c r="A243" t="s">
        <v>520</v>
      </c>
      <c r="B243" t="s">
        <v>521</v>
      </c>
      <c r="C243" t="s">
        <v>536</v>
      </c>
      <c r="D243" t="s">
        <v>537</v>
      </c>
    </row>
    <row r="244" spans="1:4" x14ac:dyDescent="0.25">
      <c r="A244" t="s">
        <v>520</v>
      </c>
      <c r="B244" t="s">
        <v>521</v>
      </c>
      <c r="C244" t="s">
        <v>538</v>
      </c>
      <c r="D244" t="s">
        <v>539</v>
      </c>
    </row>
    <row r="245" spans="1:4" x14ac:dyDescent="0.25">
      <c r="A245" t="s">
        <v>520</v>
      </c>
      <c r="B245" t="s">
        <v>521</v>
      </c>
      <c r="C245" t="s">
        <v>540</v>
      </c>
      <c r="D245" t="s">
        <v>541</v>
      </c>
    </row>
    <row r="246" spans="1:4" x14ac:dyDescent="0.25">
      <c r="A246" t="s">
        <v>520</v>
      </c>
      <c r="B246" t="s">
        <v>521</v>
      </c>
      <c r="C246" t="s">
        <v>542</v>
      </c>
      <c r="D246" t="s">
        <v>543</v>
      </c>
    </row>
    <row r="247" spans="1:4" x14ac:dyDescent="0.25">
      <c r="A247" t="s">
        <v>520</v>
      </c>
      <c r="B247" t="s">
        <v>521</v>
      </c>
      <c r="C247" t="s">
        <v>544</v>
      </c>
      <c r="D247" t="s">
        <v>545</v>
      </c>
    </row>
    <row r="248" spans="1:4" x14ac:dyDescent="0.25">
      <c r="A248" t="s">
        <v>520</v>
      </c>
      <c r="B248" t="s">
        <v>521</v>
      </c>
      <c r="C248" t="s">
        <v>546</v>
      </c>
      <c r="D248" t="s">
        <v>547</v>
      </c>
    </row>
    <row r="249" spans="1:4" x14ac:dyDescent="0.25">
      <c r="A249" t="s">
        <v>520</v>
      </c>
      <c r="B249" t="s">
        <v>521</v>
      </c>
      <c r="C249" t="s">
        <v>548</v>
      </c>
      <c r="D249" t="s">
        <v>549</v>
      </c>
    </row>
    <row r="250" spans="1:4" x14ac:dyDescent="0.25">
      <c r="A250" t="s">
        <v>520</v>
      </c>
      <c r="B250" t="s">
        <v>521</v>
      </c>
      <c r="C250" t="s">
        <v>550</v>
      </c>
      <c r="D250" t="s">
        <v>551</v>
      </c>
    </row>
    <row r="251" spans="1:4" x14ac:dyDescent="0.25">
      <c r="A251" t="s">
        <v>520</v>
      </c>
      <c r="B251" t="s">
        <v>521</v>
      </c>
      <c r="C251" t="s">
        <v>552</v>
      </c>
      <c r="D251" t="s">
        <v>553</v>
      </c>
    </row>
    <row r="252" spans="1:4" x14ac:dyDescent="0.25">
      <c r="A252" t="s">
        <v>520</v>
      </c>
      <c r="B252" t="s">
        <v>521</v>
      </c>
      <c r="C252" t="s">
        <v>554</v>
      </c>
      <c r="D252" t="s">
        <v>555</v>
      </c>
    </row>
    <row r="253" spans="1:4" x14ac:dyDescent="0.25">
      <c r="A253" t="s">
        <v>520</v>
      </c>
      <c r="B253" t="s">
        <v>521</v>
      </c>
      <c r="C253" t="s">
        <v>556</v>
      </c>
      <c r="D253" t="s">
        <v>557</v>
      </c>
    </row>
    <row r="254" spans="1:4" x14ac:dyDescent="0.25">
      <c r="A254" t="s">
        <v>520</v>
      </c>
      <c r="B254" t="s">
        <v>521</v>
      </c>
      <c r="C254" t="s">
        <v>558</v>
      </c>
      <c r="D254" t="s">
        <v>559</v>
      </c>
    </row>
    <row r="255" spans="1:4" x14ac:dyDescent="0.25">
      <c r="A255" t="s">
        <v>520</v>
      </c>
      <c r="B255" t="s">
        <v>521</v>
      </c>
      <c r="C255" t="s">
        <v>560</v>
      </c>
      <c r="D255" t="s">
        <v>561</v>
      </c>
    </row>
    <row r="256" spans="1:4" x14ac:dyDescent="0.25">
      <c r="A256" t="s">
        <v>520</v>
      </c>
      <c r="B256" t="s">
        <v>521</v>
      </c>
      <c r="C256" t="s">
        <v>562</v>
      </c>
      <c r="D256" t="s">
        <v>563</v>
      </c>
    </row>
    <row r="257" spans="1:4" x14ac:dyDescent="0.25">
      <c r="A257" t="s">
        <v>564</v>
      </c>
      <c r="B257" t="s">
        <v>565</v>
      </c>
      <c r="C257" t="s">
        <v>566</v>
      </c>
      <c r="D257" t="s">
        <v>567</v>
      </c>
    </row>
    <row r="258" spans="1:4" x14ac:dyDescent="0.25">
      <c r="A258" t="s">
        <v>564</v>
      </c>
      <c r="B258" t="s">
        <v>565</v>
      </c>
      <c r="C258" t="s">
        <v>568</v>
      </c>
      <c r="D258" t="s">
        <v>569</v>
      </c>
    </row>
    <row r="259" spans="1:4" x14ac:dyDescent="0.25">
      <c r="A259" t="s">
        <v>564</v>
      </c>
      <c r="B259" t="s">
        <v>565</v>
      </c>
      <c r="C259" t="s">
        <v>570</v>
      </c>
      <c r="D259" t="s">
        <v>571</v>
      </c>
    </row>
    <row r="260" spans="1:4" x14ac:dyDescent="0.25">
      <c r="A260" t="s">
        <v>564</v>
      </c>
      <c r="B260" t="s">
        <v>565</v>
      </c>
      <c r="C260" t="s">
        <v>572</v>
      </c>
      <c r="D260" t="s">
        <v>573</v>
      </c>
    </row>
    <row r="261" spans="1:4" x14ac:dyDescent="0.25">
      <c r="A261" t="s">
        <v>564</v>
      </c>
      <c r="B261" t="s">
        <v>565</v>
      </c>
      <c r="C261" t="s">
        <v>574</v>
      </c>
      <c r="D261" t="s">
        <v>575</v>
      </c>
    </row>
    <row r="262" spans="1:4" x14ac:dyDescent="0.25">
      <c r="A262" t="s">
        <v>564</v>
      </c>
      <c r="B262" t="s">
        <v>565</v>
      </c>
      <c r="C262" t="s">
        <v>576</v>
      </c>
      <c r="D262" t="s">
        <v>577</v>
      </c>
    </row>
    <row r="263" spans="1:4" x14ac:dyDescent="0.25">
      <c r="A263" t="s">
        <v>564</v>
      </c>
      <c r="B263" t="s">
        <v>565</v>
      </c>
      <c r="C263" t="s">
        <v>578</v>
      </c>
      <c r="D263" t="s">
        <v>579</v>
      </c>
    </row>
    <row r="264" spans="1:4" x14ac:dyDescent="0.25">
      <c r="A264" t="s">
        <v>564</v>
      </c>
      <c r="B264" t="s">
        <v>565</v>
      </c>
      <c r="C264" t="s">
        <v>580</v>
      </c>
      <c r="D264" t="s">
        <v>581</v>
      </c>
    </row>
    <row r="265" spans="1:4" x14ac:dyDescent="0.25">
      <c r="A265" t="s">
        <v>564</v>
      </c>
      <c r="B265" t="s">
        <v>565</v>
      </c>
      <c r="C265" t="s">
        <v>582</v>
      </c>
      <c r="D265" t="s">
        <v>583</v>
      </c>
    </row>
    <row r="266" spans="1:4" x14ac:dyDescent="0.25">
      <c r="A266" t="s">
        <v>564</v>
      </c>
      <c r="B266" t="s">
        <v>565</v>
      </c>
      <c r="C266" t="s">
        <v>584</v>
      </c>
      <c r="D266" t="s">
        <v>585</v>
      </c>
    </row>
    <row r="267" spans="1:4" x14ac:dyDescent="0.25">
      <c r="A267" t="s">
        <v>564</v>
      </c>
      <c r="B267" t="s">
        <v>565</v>
      </c>
      <c r="C267" t="s">
        <v>586</v>
      </c>
      <c r="D267" t="s">
        <v>587</v>
      </c>
    </row>
    <row r="268" spans="1:4" x14ac:dyDescent="0.25">
      <c r="A268" t="s">
        <v>564</v>
      </c>
      <c r="B268" t="s">
        <v>565</v>
      </c>
      <c r="C268" t="s">
        <v>588</v>
      </c>
      <c r="D268" t="s">
        <v>589</v>
      </c>
    </row>
    <row r="269" spans="1:4" x14ac:dyDescent="0.25">
      <c r="A269" t="s">
        <v>564</v>
      </c>
      <c r="B269" t="s">
        <v>565</v>
      </c>
      <c r="C269" t="s">
        <v>590</v>
      </c>
      <c r="D269" t="s">
        <v>591</v>
      </c>
    </row>
    <row r="270" spans="1:4" x14ac:dyDescent="0.25">
      <c r="A270" t="s">
        <v>564</v>
      </c>
      <c r="B270" t="s">
        <v>565</v>
      </c>
      <c r="C270" t="s">
        <v>592</v>
      </c>
      <c r="D270" t="s">
        <v>593</v>
      </c>
    </row>
    <row r="271" spans="1:4" x14ac:dyDescent="0.25">
      <c r="A271" t="s">
        <v>564</v>
      </c>
      <c r="B271" t="s">
        <v>565</v>
      </c>
      <c r="C271" t="s">
        <v>594</v>
      </c>
      <c r="D271" t="s">
        <v>595</v>
      </c>
    </row>
    <row r="272" spans="1:4" x14ac:dyDescent="0.25">
      <c r="A272" t="s">
        <v>564</v>
      </c>
      <c r="B272" t="s">
        <v>565</v>
      </c>
      <c r="C272" t="s">
        <v>596</v>
      </c>
      <c r="D272" t="s">
        <v>597</v>
      </c>
    </row>
    <row r="273" spans="1:4" x14ac:dyDescent="0.25">
      <c r="A273" t="s">
        <v>598</v>
      </c>
      <c r="B273" t="s">
        <v>599</v>
      </c>
      <c r="C273" t="s">
        <v>600</v>
      </c>
      <c r="D273" t="s">
        <v>601</v>
      </c>
    </row>
    <row r="274" spans="1:4" x14ac:dyDescent="0.25">
      <c r="A274" t="s">
        <v>598</v>
      </c>
      <c r="B274" t="s">
        <v>599</v>
      </c>
      <c r="C274" t="s">
        <v>602</v>
      </c>
      <c r="D274" t="s">
        <v>603</v>
      </c>
    </row>
    <row r="275" spans="1:4" x14ac:dyDescent="0.25">
      <c r="A275" t="s">
        <v>598</v>
      </c>
      <c r="B275" t="s">
        <v>599</v>
      </c>
      <c r="C275" t="s">
        <v>604</v>
      </c>
      <c r="D275" t="s">
        <v>605</v>
      </c>
    </row>
    <row r="276" spans="1:4" x14ac:dyDescent="0.25">
      <c r="A276" t="s">
        <v>598</v>
      </c>
      <c r="B276" t="s">
        <v>599</v>
      </c>
      <c r="C276" t="s">
        <v>606</v>
      </c>
      <c r="D276" t="s">
        <v>607</v>
      </c>
    </row>
    <row r="277" spans="1:4" x14ac:dyDescent="0.25">
      <c r="A277" t="s">
        <v>598</v>
      </c>
      <c r="B277" t="s">
        <v>599</v>
      </c>
      <c r="C277" t="s">
        <v>608</v>
      </c>
      <c r="D277" t="s">
        <v>609</v>
      </c>
    </row>
    <row r="278" spans="1:4" x14ac:dyDescent="0.25">
      <c r="A278" t="s">
        <v>598</v>
      </c>
      <c r="B278" t="s">
        <v>599</v>
      </c>
      <c r="C278" t="s">
        <v>610</v>
      </c>
      <c r="D278" t="s">
        <v>611</v>
      </c>
    </row>
    <row r="279" spans="1:4" x14ac:dyDescent="0.25">
      <c r="A279" t="s">
        <v>598</v>
      </c>
      <c r="B279" t="s">
        <v>599</v>
      </c>
      <c r="C279" t="s">
        <v>612</v>
      </c>
      <c r="D279" t="s">
        <v>613</v>
      </c>
    </row>
    <row r="280" spans="1:4" x14ac:dyDescent="0.25">
      <c r="A280" t="s">
        <v>598</v>
      </c>
      <c r="B280" t="s">
        <v>599</v>
      </c>
      <c r="C280" t="s">
        <v>614</v>
      </c>
      <c r="D280" t="s">
        <v>615</v>
      </c>
    </row>
    <row r="281" spans="1:4" x14ac:dyDescent="0.25">
      <c r="A281" t="s">
        <v>598</v>
      </c>
      <c r="B281" t="s">
        <v>599</v>
      </c>
      <c r="C281" t="s">
        <v>616</v>
      </c>
      <c r="D281" t="s">
        <v>617</v>
      </c>
    </row>
    <row r="282" spans="1:4" x14ac:dyDescent="0.25">
      <c r="A282" t="s">
        <v>598</v>
      </c>
      <c r="B282" t="s">
        <v>599</v>
      </c>
      <c r="C282" t="s">
        <v>618</v>
      </c>
      <c r="D282" t="s">
        <v>619</v>
      </c>
    </row>
    <row r="283" spans="1:4" x14ac:dyDescent="0.25">
      <c r="A283" t="s">
        <v>598</v>
      </c>
      <c r="B283" t="s">
        <v>599</v>
      </c>
      <c r="C283" t="s">
        <v>620</v>
      </c>
      <c r="D283" t="s">
        <v>621</v>
      </c>
    </row>
    <row r="284" spans="1:4" x14ac:dyDescent="0.25">
      <c r="A284" t="s">
        <v>598</v>
      </c>
      <c r="B284" t="s">
        <v>599</v>
      </c>
      <c r="C284" t="s">
        <v>622</v>
      </c>
      <c r="D284" t="s">
        <v>623</v>
      </c>
    </row>
    <row r="285" spans="1:4" x14ac:dyDescent="0.25">
      <c r="A285" t="s">
        <v>598</v>
      </c>
      <c r="B285" t="s">
        <v>599</v>
      </c>
      <c r="C285" t="s">
        <v>624</v>
      </c>
      <c r="D285" t="s">
        <v>625</v>
      </c>
    </row>
    <row r="286" spans="1:4" x14ac:dyDescent="0.25">
      <c r="A286" t="s">
        <v>598</v>
      </c>
      <c r="B286" t="s">
        <v>599</v>
      </c>
      <c r="C286" t="s">
        <v>626</v>
      </c>
      <c r="D286" t="s">
        <v>627</v>
      </c>
    </row>
    <row r="287" spans="1:4" x14ac:dyDescent="0.25">
      <c r="A287" t="s">
        <v>598</v>
      </c>
      <c r="B287" t="s">
        <v>599</v>
      </c>
      <c r="C287" t="s">
        <v>628</v>
      </c>
      <c r="D287" t="s">
        <v>629</v>
      </c>
    </row>
    <row r="288" spans="1:4" x14ac:dyDescent="0.25">
      <c r="A288" t="s">
        <v>598</v>
      </c>
      <c r="B288" t="s">
        <v>599</v>
      </c>
      <c r="C288" t="s">
        <v>630</v>
      </c>
      <c r="D288" t="s">
        <v>631</v>
      </c>
    </row>
    <row r="289" spans="1:4" x14ac:dyDescent="0.25">
      <c r="A289" t="s">
        <v>598</v>
      </c>
      <c r="B289" t="s">
        <v>599</v>
      </c>
      <c r="C289" t="s">
        <v>632</v>
      </c>
      <c r="D289" t="s">
        <v>633</v>
      </c>
    </row>
    <row r="290" spans="1:4" x14ac:dyDescent="0.25">
      <c r="A290" t="s">
        <v>598</v>
      </c>
      <c r="B290" t="s">
        <v>599</v>
      </c>
      <c r="C290" t="s">
        <v>634</v>
      </c>
      <c r="D290" t="s">
        <v>635</v>
      </c>
    </row>
    <row r="291" spans="1:4" x14ac:dyDescent="0.25">
      <c r="A291" t="s">
        <v>598</v>
      </c>
      <c r="B291" t="s">
        <v>599</v>
      </c>
      <c r="C291" t="s">
        <v>636</v>
      </c>
      <c r="D291" t="s">
        <v>637</v>
      </c>
    </row>
    <row r="292" spans="1:4" x14ac:dyDescent="0.25">
      <c r="A292" t="s">
        <v>598</v>
      </c>
      <c r="B292" t="s">
        <v>599</v>
      </c>
      <c r="C292" t="s">
        <v>638</v>
      </c>
      <c r="D292" t="s">
        <v>639</v>
      </c>
    </row>
    <row r="293" spans="1:4" x14ac:dyDescent="0.25">
      <c r="A293" t="s">
        <v>598</v>
      </c>
      <c r="B293" t="s">
        <v>599</v>
      </c>
      <c r="C293" t="s">
        <v>640</v>
      </c>
      <c r="D293" t="s">
        <v>641</v>
      </c>
    </row>
    <row r="294" spans="1:4" x14ac:dyDescent="0.25">
      <c r="A294" t="s">
        <v>598</v>
      </c>
      <c r="B294" t="s">
        <v>599</v>
      </c>
      <c r="C294" t="s">
        <v>642</v>
      </c>
      <c r="D294" t="s">
        <v>643</v>
      </c>
    </row>
    <row r="295" spans="1:4" x14ac:dyDescent="0.25">
      <c r="A295" t="s">
        <v>598</v>
      </c>
      <c r="B295" t="s">
        <v>599</v>
      </c>
      <c r="C295" t="s">
        <v>644</v>
      </c>
      <c r="D295" t="s">
        <v>645</v>
      </c>
    </row>
    <row r="296" spans="1:4" x14ac:dyDescent="0.25">
      <c r="A296" t="s">
        <v>598</v>
      </c>
      <c r="B296" t="s">
        <v>599</v>
      </c>
      <c r="C296" t="s">
        <v>646</v>
      </c>
      <c r="D296" t="s">
        <v>647</v>
      </c>
    </row>
    <row r="297" spans="1:4" x14ac:dyDescent="0.25">
      <c r="A297" t="s">
        <v>598</v>
      </c>
      <c r="B297" t="s">
        <v>599</v>
      </c>
      <c r="C297" t="s">
        <v>648</v>
      </c>
      <c r="D297" t="s">
        <v>649</v>
      </c>
    </row>
    <row r="298" spans="1:4" x14ac:dyDescent="0.25">
      <c r="A298" t="s">
        <v>598</v>
      </c>
      <c r="B298" t="s">
        <v>599</v>
      </c>
      <c r="C298" t="s">
        <v>650</v>
      </c>
      <c r="D298" t="s">
        <v>651</v>
      </c>
    </row>
    <row r="299" spans="1:4" x14ac:dyDescent="0.25">
      <c r="A299" t="s">
        <v>598</v>
      </c>
      <c r="B299" t="s">
        <v>599</v>
      </c>
      <c r="C299" t="s">
        <v>652</v>
      </c>
      <c r="D299" t="s">
        <v>653</v>
      </c>
    </row>
    <row r="300" spans="1:4" x14ac:dyDescent="0.25">
      <c r="A300" t="s">
        <v>598</v>
      </c>
      <c r="B300" t="s">
        <v>599</v>
      </c>
      <c r="C300" t="s">
        <v>654</v>
      </c>
      <c r="D300" t="s">
        <v>655</v>
      </c>
    </row>
    <row r="301" spans="1:4" x14ac:dyDescent="0.25">
      <c r="A301" t="s">
        <v>598</v>
      </c>
      <c r="B301" t="s">
        <v>599</v>
      </c>
      <c r="C301" t="s">
        <v>656</v>
      </c>
      <c r="D301" t="s">
        <v>657</v>
      </c>
    </row>
    <row r="302" spans="1:4" x14ac:dyDescent="0.25">
      <c r="A302" t="s">
        <v>598</v>
      </c>
      <c r="B302" t="s">
        <v>599</v>
      </c>
      <c r="C302" t="s">
        <v>658</v>
      </c>
      <c r="D302" t="s">
        <v>659</v>
      </c>
    </row>
    <row r="303" spans="1:4" x14ac:dyDescent="0.25">
      <c r="A303" t="s">
        <v>598</v>
      </c>
      <c r="B303" t="s">
        <v>599</v>
      </c>
      <c r="C303" t="s">
        <v>660</v>
      </c>
      <c r="D303" t="s">
        <v>661</v>
      </c>
    </row>
    <row r="304" spans="1:4" x14ac:dyDescent="0.25">
      <c r="A304" t="s">
        <v>598</v>
      </c>
      <c r="B304" t="s">
        <v>599</v>
      </c>
      <c r="C304" t="s">
        <v>662</v>
      </c>
      <c r="D304" t="s">
        <v>663</v>
      </c>
    </row>
    <row r="305" spans="1:4" x14ac:dyDescent="0.25">
      <c r="A305" t="s">
        <v>598</v>
      </c>
      <c r="B305" t="s">
        <v>599</v>
      </c>
      <c r="C305" t="s">
        <v>664</v>
      </c>
      <c r="D305" t="s">
        <v>665</v>
      </c>
    </row>
    <row r="306" spans="1:4" x14ac:dyDescent="0.25">
      <c r="A306" t="s">
        <v>598</v>
      </c>
      <c r="B306" t="s">
        <v>599</v>
      </c>
      <c r="C306" t="s">
        <v>666</v>
      </c>
      <c r="D306" t="s">
        <v>667</v>
      </c>
    </row>
    <row r="307" spans="1:4" x14ac:dyDescent="0.25">
      <c r="A307" t="s">
        <v>598</v>
      </c>
      <c r="B307" t="s">
        <v>599</v>
      </c>
      <c r="C307" t="s">
        <v>668</v>
      </c>
      <c r="D307" t="s">
        <v>669</v>
      </c>
    </row>
    <row r="308" spans="1:4" x14ac:dyDescent="0.25">
      <c r="A308" t="s">
        <v>598</v>
      </c>
      <c r="B308" t="s">
        <v>599</v>
      </c>
      <c r="C308" t="s">
        <v>670</v>
      </c>
      <c r="D308" t="s">
        <v>671</v>
      </c>
    </row>
    <row r="309" spans="1:4" x14ac:dyDescent="0.25">
      <c r="A309" t="s">
        <v>598</v>
      </c>
      <c r="B309" t="s">
        <v>599</v>
      </c>
      <c r="C309" t="s">
        <v>672</v>
      </c>
      <c r="D309" t="s">
        <v>673</v>
      </c>
    </row>
    <row r="310" spans="1:4" x14ac:dyDescent="0.25">
      <c r="A310" t="s">
        <v>598</v>
      </c>
      <c r="B310" t="s">
        <v>599</v>
      </c>
      <c r="C310" t="s">
        <v>674</v>
      </c>
      <c r="D310" t="s">
        <v>675</v>
      </c>
    </row>
    <row r="311" spans="1:4" x14ac:dyDescent="0.25">
      <c r="A311" t="s">
        <v>598</v>
      </c>
      <c r="B311" t="s">
        <v>599</v>
      </c>
      <c r="C311" t="s">
        <v>676</v>
      </c>
      <c r="D311" t="s">
        <v>677</v>
      </c>
    </row>
    <row r="312" spans="1:4" x14ac:dyDescent="0.25">
      <c r="A312" t="s">
        <v>598</v>
      </c>
      <c r="B312" t="s">
        <v>599</v>
      </c>
      <c r="C312" t="s">
        <v>678</v>
      </c>
      <c r="D312" t="s">
        <v>679</v>
      </c>
    </row>
    <row r="313" spans="1:4" x14ac:dyDescent="0.25">
      <c r="A313" t="s">
        <v>598</v>
      </c>
      <c r="B313" t="s">
        <v>599</v>
      </c>
      <c r="C313" t="s">
        <v>680</v>
      </c>
      <c r="D313" t="s">
        <v>681</v>
      </c>
    </row>
    <row r="314" spans="1:4" x14ac:dyDescent="0.25">
      <c r="A314" t="s">
        <v>598</v>
      </c>
      <c r="B314" t="s">
        <v>599</v>
      </c>
      <c r="C314" t="s">
        <v>682</v>
      </c>
      <c r="D314" t="s">
        <v>683</v>
      </c>
    </row>
    <row r="315" spans="1:4" x14ac:dyDescent="0.25">
      <c r="A315" t="s">
        <v>598</v>
      </c>
      <c r="B315" t="s">
        <v>599</v>
      </c>
      <c r="C315" t="s">
        <v>684</v>
      </c>
      <c r="D315" t="s">
        <v>685</v>
      </c>
    </row>
    <row r="316" spans="1:4" x14ac:dyDescent="0.25">
      <c r="A316" t="s">
        <v>598</v>
      </c>
      <c r="B316" t="s">
        <v>599</v>
      </c>
      <c r="C316" t="s">
        <v>686</v>
      </c>
      <c r="D316" t="s">
        <v>687</v>
      </c>
    </row>
    <row r="317" spans="1:4" x14ac:dyDescent="0.25">
      <c r="A317" t="s">
        <v>598</v>
      </c>
      <c r="B317" t="s">
        <v>599</v>
      </c>
      <c r="C317" t="s">
        <v>688</v>
      </c>
      <c r="D317" t="s">
        <v>689</v>
      </c>
    </row>
    <row r="318" spans="1:4" x14ac:dyDescent="0.25">
      <c r="A318" t="s">
        <v>598</v>
      </c>
      <c r="B318" t="s">
        <v>599</v>
      </c>
      <c r="C318" t="s">
        <v>690</v>
      </c>
      <c r="D318" t="s">
        <v>691</v>
      </c>
    </row>
    <row r="319" spans="1:4" x14ac:dyDescent="0.25">
      <c r="A319" t="s">
        <v>598</v>
      </c>
      <c r="B319" t="s">
        <v>599</v>
      </c>
      <c r="C319" t="s">
        <v>692</v>
      </c>
      <c r="D319" t="s">
        <v>693</v>
      </c>
    </row>
    <row r="320" spans="1:4" x14ac:dyDescent="0.25">
      <c r="A320" t="s">
        <v>598</v>
      </c>
      <c r="B320" t="s">
        <v>599</v>
      </c>
      <c r="C320" t="s">
        <v>694</v>
      </c>
      <c r="D320" t="s">
        <v>695</v>
      </c>
    </row>
    <row r="321" spans="1:4" x14ac:dyDescent="0.25">
      <c r="A321" t="s">
        <v>598</v>
      </c>
      <c r="B321" t="s">
        <v>599</v>
      </c>
      <c r="C321" t="s">
        <v>696</v>
      </c>
      <c r="D321" t="s">
        <v>697</v>
      </c>
    </row>
    <row r="322" spans="1:4" x14ac:dyDescent="0.25">
      <c r="A322" t="s">
        <v>598</v>
      </c>
      <c r="B322" t="s">
        <v>599</v>
      </c>
      <c r="C322" t="s">
        <v>698</v>
      </c>
      <c r="D322" t="s">
        <v>699</v>
      </c>
    </row>
    <row r="323" spans="1:4" x14ac:dyDescent="0.25">
      <c r="A323" t="s">
        <v>598</v>
      </c>
      <c r="B323" t="s">
        <v>599</v>
      </c>
      <c r="C323" t="s">
        <v>700</v>
      </c>
      <c r="D323" t="s">
        <v>701</v>
      </c>
    </row>
    <row r="324" spans="1:4" x14ac:dyDescent="0.25">
      <c r="A324" t="s">
        <v>598</v>
      </c>
      <c r="B324" t="s">
        <v>599</v>
      </c>
      <c r="C324" t="s">
        <v>702</v>
      </c>
      <c r="D324" t="s">
        <v>703</v>
      </c>
    </row>
    <row r="325" spans="1:4" x14ac:dyDescent="0.25">
      <c r="A325" t="s">
        <v>598</v>
      </c>
      <c r="B325" t="s">
        <v>599</v>
      </c>
      <c r="C325" t="s">
        <v>704</v>
      </c>
      <c r="D325" t="s">
        <v>705</v>
      </c>
    </row>
    <row r="326" spans="1:4" x14ac:dyDescent="0.25">
      <c r="A326" t="s">
        <v>706</v>
      </c>
      <c r="B326" t="s">
        <v>707</v>
      </c>
      <c r="C326" t="s">
        <v>708</v>
      </c>
      <c r="D326" t="s">
        <v>709</v>
      </c>
    </row>
    <row r="327" spans="1:4" x14ac:dyDescent="0.25">
      <c r="A327" t="s">
        <v>706</v>
      </c>
      <c r="B327" t="s">
        <v>707</v>
      </c>
      <c r="C327" t="s">
        <v>710</v>
      </c>
      <c r="D327" t="s">
        <v>711</v>
      </c>
    </row>
    <row r="328" spans="1:4" x14ac:dyDescent="0.25">
      <c r="A328" t="s">
        <v>706</v>
      </c>
      <c r="B328" t="s">
        <v>707</v>
      </c>
      <c r="C328" t="s">
        <v>712</v>
      </c>
      <c r="D328" t="s">
        <v>713</v>
      </c>
    </row>
    <row r="329" spans="1:4" x14ac:dyDescent="0.25">
      <c r="A329" t="s">
        <v>706</v>
      </c>
      <c r="B329" t="s">
        <v>707</v>
      </c>
      <c r="C329" t="s">
        <v>714</v>
      </c>
      <c r="D329" t="s">
        <v>715</v>
      </c>
    </row>
    <row r="330" spans="1:4" x14ac:dyDescent="0.25">
      <c r="A330" t="s">
        <v>706</v>
      </c>
      <c r="B330" t="s">
        <v>707</v>
      </c>
      <c r="C330" t="s">
        <v>716</v>
      </c>
      <c r="D330" t="s">
        <v>717</v>
      </c>
    </row>
    <row r="331" spans="1:4" x14ac:dyDescent="0.25">
      <c r="A331" t="s">
        <v>706</v>
      </c>
      <c r="B331" t="s">
        <v>707</v>
      </c>
      <c r="C331" t="s">
        <v>718</v>
      </c>
      <c r="D331" t="s">
        <v>719</v>
      </c>
    </row>
    <row r="332" spans="1:4" x14ac:dyDescent="0.25">
      <c r="A332" t="s">
        <v>706</v>
      </c>
      <c r="B332" t="s">
        <v>707</v>
      </c>
      <c r="C332" t="s">
        <v>720</v>
      </c>
      <c r="D332" t="s">
        <v>721</v>
      </c>
    </row>
    <row r="333" spans="1:4" x14ac:dyDescent="0.25">
      <c r="A333" t="s">
        <v>706</v>
      </c>
      <c r="B333" t="s">
        <v>707</v>
      </c>
      <c r="C333" t="s">
        <v>722</v>
      </c>
      <c r="D333" t="s">
        <v>723</v>
      </c>
    </row>
    <row r="334" spans="1:4" x14ac:dyDescent="0.25">
      <c r="A334" t="s">
        <v>706</v>
      </c>
      <c r="B334" t="s">
        <v>707</v>
      </c>
      <c r="C334" t="s">
        <v>724</v>
      </c>
      <c r="D334" t="s">
        <v>725</v>
      </c>
    </row>
    <row r="335" spans="1:4" x14ac:dyDescent="0.25">
      <c r="A335" t="s">
        <v>706</v>
      </c>
      <c r="B335" t="s">
        <v>707</v>
      </c>
      <c r="C335" t="s">
        <v>726</v>
      </c>
      <c r="D335" t="s">
        <v>727</v>
      </c>
    </row>
    <row r="336" spans="1:4" x14ac:dyDescent="0.25">
      <c r="A336" t="s">
        <v>706</v>
      </c>
      <c r="B336" t="s">
        <v>707</v>
      </c>
      <c r="C336" t="s">
        <v>728</v>
      </c>
      <c r="D336" t="s">
        <v>729</v>
      </c>
    </row>
    <row r="337" spans="1:4" x14ac:dyDescent="0.25">
      <c r="A337" t="s">
        <v>706</v>
      </c>
      <c r="B337" t="s">
        <v>707</v>
      </c>
      <c r="C337" t="s">
        <v>730</v>
      </c>
      <c r="D337" t="s">
        <v>731</v>
      </c>
    </row>
    <row r="338" spans="1:4" x14ac:dyDescent="0.25">
      <c r="A338" t="s">
        <v>706</v>
      </c>
      <c r="B338" t="s">
        <v>707</v>
      </c>
      <c r="C338" t="s">
        <v>732</v>
      </c>
      <c r="D338" t="s">
        <v>733</v>
      </c>
    </row>
    <row r="339" spans="1:4" x14ac:dyDescent="0.25">
      <c r="A339" t="s">
        <v>706</v>
      </c>
      <c r="B339" t="s">
        <v>707</v>
      </c>
      <c r="C339" t="s">
        <v>734</v>
      </c>
      <c r="D339" t="s">
        <v>735</v>
      </c>
    </row>
    <row r="340" spans="1:4" x14ac:dyDescent="0.25">
      <c r="A340" t="s">
        <v>706</v>
      </c>
      <c r="B340" t="s">
        <v>707</v>
      </c>
      <c r="C340" t="s">
        <v>736</v>
      </c>
      <c r="D340" t="s">
        <v>737</v>
      </c>
    </row>
    <row r="341" spans="1:4" x14ac:dyDescent="0.25">
      <c r="A341" t="s">
        <v>706</v>
      </c>
      <c r="B341" t="s">
        <v>707</v>
      </c>
      <c r="C341" t="s">
        <v>738</v>
      </c>
      <c r="D341" t="s">
        <v>739</v>
      </c>
    </row>
    <row r="342" spans="1:4" x14ac:dyDescent="0.25">
      <c r="A342" t="s">
        <v>706</v>
      </c>
      <c r="B342" t="s">
        <v>707</v>
      </c>
      <c r="C342" t="s">
        <v>740</v>
      </c>
      <c r="D342" t="s">
        <v>741</v>
      </c>
    </row>
    <row r="343" spans="1:4" x14ac:dyDescent="0.25">
      <c r="A343" t="s">
        <v>706</v>
      </c>
      <c r="B343" t="s">
        <v>707</v>
      </c>
      <c r="C343" t="s">
        <v>742</v>
      </c>
      <c r="D343" t="s">
        <v>743</v>
      </c>
    </row>
    <row r="344" spans="1:4" x14ac:dyDescent="0.25">
      <c r="A344" t="s">
        <v>706</v>
      </c>
      <c r="B344" t="s">
        <v>707</v>
      </c>
      <c r="C344" t="s">
        <v>744</v>
      </c>
      <c r="D344" t="s">
        <v>745</v>
      </c>
    </row>
    <row r="345" spans="1:4" x14ac:dyDescent="0.25">
      <c r="A345" t="s">
        <v>706</v>
      </c>
      <c r="B345" t="s">
        <v>707</v>
      </c>
      <c r="C345" t="s">
        <v>746</v>
      </c>
      <c r="D345" t="s">
        <v>747</v>
      </c>
    </row>
    <row r="346" spans="1:4" x14ac:dyDescent="0.25">
      <c r="A346" t="s">
        <v>706</v>
      </c>
      <c r="B346" t="s">
        <v>707</v>
      </c>
      <c r="C346" t="s">
        <v>748</v>
      </c>
      <c r="D346" t="s">
        <v>749</v>
      </c>
    </row>
    <row r="347" spans="1:4" x14ac:dyDescent="0.25">
      <c r="A347" t="s">
        <v>706</v>
      </c>
      <c r="B347" t="s">
        <v>707</v>
      </c>
      <c r="C347" t="s">
        <v>750</v>
      </c>
      <c r="D347" t="s">
        <v>751</v>
      </c>
    </row>
    <row r="348" spans="1:4" x14ac:dyDescent="0.25">
      <c r="A348" t="s">
        <v>706</v>
      </c>
      <c r="B348" t="s">
        <v>707</v>
      </c>
      <c r="C348" t="s">
        <v>752</v>
      </c>
      <c r="D348" t="s">
        <v>753</v>
      </c>
    </row>
    <row r="349" spans="1:4" x14ac:dyDescent="0.25">
      <c r="A349" t="s">
        <v>706</v>
      </c>
      <c r="B349" t="s">
        <v>707</v>
      </c>
      <c r="C349" t="s">
        <v>754</v>
      </c>
      <c r="D349" t="s">
        <v>755</v>
      </c>
    </row>
    <row r="350" spans="1:4" x14ac:dyDescent="0.25">
      <c r="A350" t="s">
        <v>706</v>
      </c>
      <c r="B350" t="s">
        <v>707</v>
      </c>
      <c r="C350" t="s">
        <v>756</v>
      </c>
      <c r="D350" t="s">
        <v>757</v>
      </c>
    </row>
    <row r="351" spans="1:4" x14ac:dyDescent="0.25">
      <c r="A351" t="s">
        <v>706</v>
      </c>
      <c r="B351" t="s">
        <v>707</v>
      </c>
      <c r="C351" t="s">
        <v>758</v>
      </c>
      <c r="D351" t="s">
        <v>759</v>
      </c>
    </row>
    <row r="352" spans="1:4" x14ac:dyDescent="0.25">
      <c r="A352" t="s">
        <v>706</v>
      </c>
      <c r="B352" t="s">
        <v>707</v>
      </c>
      <c r="C352" t="s">
        <v>760</v>
      </c>
      <c r="D352" t="s">
        <v>761</v>
      </c>
    </row>
    <row r="353" spans="1:4" x14ac:dyDescent="0.25">
      <c r="A353" t="s">
        <v>706</v>
      </c>
      <c r="B353" t="s">
        <v>707</v>
      </c>
      <c r="C353" t="s">
        <v>762</v>
      </c>
      <c r="D353" t="s">
        <v>763</v>
      </c>
    </row>
    <row r="354" spans="1:4" x14ac:dyDescent="0.25">
      <c r="A354" t="s">
        <v>706</v>
      </c>
      <c r="B354" t="s">
        <v>707</v>
      </c>
      <c r="C354" t="s">
        <v>764</v>
      </c>
      <c r="D354" t="s">
        <v>765</v>
      </c>
    </row>
    <row r="355" spans="1:4" x14ac:dyDescent="0.25">
      <c r="A355" t="s">
        <v>706</v>
      </c>
      <c r="B355" t="s">
        <v>707</v>
      </c>
      <c r="C355" t="s">
        <v>766</v>
      </c>
      <c r="D355" t="s">
        <v>767</v>
      </c>
    </row>
    <row r="356" spans="1:4" x14ac:dyDescent="0.25">
      <c r="A356" t="s">
        <v>706</v>
      </c>
      <c r="B356" t="s">
        <v>707</v>
      </c>
      <c r="C356" t="s">
        <v>768</v>
      </c>
      <c r="D356" t="s">
        <v>769</v>
      </c>
    </row>
    <row r="357" spans="1:4" x14ac:dyDescent="0.25">
      <c r="A357" t="s">
        <v>706</v>
      </c>
      <c r="B357" t="s">
        <v>707</v>
      </c>
      <c r="C357" t="s">
        <v>770</v>
      </c>
      <c r="D357" t="s">
        <v>771</v>
      </c>
    </row>
    <row r="358" spans="1:4" x14ac:dyDescent="0.25">
      <c r="A358" t="s">
        <v>706</v>
      </c>
      <c r="B358" t="s">
        <v>707</v>
      </c>
      <c r="C358" t="s">
        <v>772</v>
      </c>
      <c r="D358" t="s">
        <v>773</v>
      </c>
    </row>
    <row r="359" spans="1:4" x14ac:dyDescent="0.25">
      <c r="A359" t="s">
        <v>706</v>
      </c>
      <c r="B359" t="s">
        <v>707</v>
      </c>
      <c r="C359" t="s">
        <v>774</v>
      </c>
      <c r="D359" t="s">
        <v>775</v>
      </c>
    </row>
    <row r="360" spans="1:4" x14ac:dyDescent="0.25">
      <c r="A360" t="s">
        <v>706</v>
      </c>
      <c r="B360" t="s">
        <v>707</v>
      </c>
      <c r="C360" t="s">
        <v>776</v>
      </c>
      <c r="D360" t="s">
        <v>777</v>
      </c>
    </row>
    <row r="361" spans="1:4" x14ac:dyDescent="0.25">
      <c r="A361" t="s">
        <v>706</v>
      </c>
      <c r="B361" t="s">
        <v>707</v>
      </c>
      <c r="C361" t="s">
        <v>778</v>
      </c>
      <c r="D361" t="s">
        <v>779</v>
      </c>
    </row>
    <row r="362" spans="1:4" x14ac:dyDescent="0.25">
      <c r="A362" t="s">
        <v>706</v>
      </c>
      <c r="B362" t="s">
        <v>707</v>
      </c>
      <c r="C362" t="s">
        <v>780</v>
      </c>
      <c r="D362" t="s">
        <v>781</v>
      </c>
    </row>
    <row r="363" spans="1:4" x14ac:dyDescent="0.25">
      <c r="A363" t="s">
        <v>706</v>
      </c>
      <c r="B363" t="s">
        <v>707</v>
      </c>
      <c r="C363" t="s">
        <v>782</v>
      </c>
      <c r="D363" t="s">
        <v>783</v>
      </c>
    </row>
    <row r="364" spans="1:4" x14ac:dyDescent="0.25">
      <c r="A364" t="s">
        <v>706</v>
      </c>
      <c r="B364" t="s">
        <v>707</v>
      </c>
      <c r="C364" t="s">
        <v>784</v>
      </c>
      <c r="D364" t="s">
        <v>785</v>
      </c>
    </row>
    <row r="365" spans="1:4" x14ac:dyDescent="0.25">
      <c r="A365" t="s">
        <v>706</v>
      </c>
      <c r="B365" t="s">
        <v>707</v>
      </c>
      <c r="C365" t="s">
        <v>786</v>
      </c>
      <c r="D365" t="s">
        <v>787</v>
      </c>
    </row>
    <row r="366" spans="1:4" x14ac:dyDescent="0.25">
      <c r="A366" t="s">
        <v>706</v>
      </c>
      <c r="B366" t="s">
        <v>707</v>
      </c>
      <c r="C366" t="s">
        <v>788</v>
      </c>
      <c r="D366" t="s">
        <v>789</v>
      </c>
    </row>
    <row r="367" spans="1:4" x14ac:dyDescent="0.25">
      <c r="A367" t="s">
        <v>706</v>
      </c>
      <c r="B367" t="s">
        <v>707</v>
      </c>
      <c r="C367" t="s">
        <v>790</v>
      </c>
      <c r="D367" t="s">
        <v>791</v>
      </c>
    </row>
    <row r="368" spans="1:4" x14ac:dyDescent="0.25">
      <c r="A368" t="s">
        <v>792</v>
      </c>
      <c r="B368" t="s">
        <v>793</v>
      </c>
      <c r="C368" t="s">
        <v>794</v>
      </c>
      <c r="D368" t="s">
        <v>795</v>
      </c>
    </row>
    <row r="369" spans="1:4" x14ac:dyDescent="0.25">
      <c r="A369" t="s">
        <v>792</v>
      </c>
      <c r="B369" t="s">
        <v>793</v>
      </c>
      <c r="C369" t="s">
        <v>796</v>
      </c>
      <c r="D369" t="s">
        <v>797</v>
      </c>
    </row>
    <row r="370" spans="1:4" x14ac:dyDescent="0.25">
      <c r="A370" t="s">
        <v>792</v>
      </c>
      <c r="B370" t="s">
        <v>793</v>
      </c>
      <c r="C370" t="s">
        <v>798</v>
      </c>
      <c r="D370" t="s">
        <v>799</v>
      </c>
    </row>
    <row r="371" spans="1:4" x14ac:dyDescent="0.25">
      <c r="A371" t="s">
        <v>792</v>
      </c>
      <c r="B371" t="s">
        <v>793</v>
      </c>
      <c r="C371" t="s">
        <v>800</v>
      </c>
      <c r="D371" t="s">
        <v>801</v>
      </c>
    </row>
    <row r="372" spans="1:4" x14ac:dyDescent="0.25">
      <c r="A372" t="s">
        <v>792</v>
      </c>
      <c r="B372" t="s">
        <v>793</v>
      </c>
      <c r="C372" t="s">
        <v>802</v>
      </c>
      <c r="D372" t="s">
        <v>803</v>
      </c>
    </row>
    <row r="373" spans="1:4" x14ac:dyDescent="0.25">
      <c r="A373" t="s">
        <v>792</v>
      </c>
      <c r="B373" t="s">
        <v>793</v>
      </c>
      <c r="C373" t="s">
        <v>804</v>
      </c>
      <c r="D373" t="s">
        <v>805</v>
      </c>
    </row>
    <row r="374" spans="1:4" x14ac:dyDescent="0.25">
      <c r="A374" t="s">
        <v>806</v>
      </c>
      <c r="B374" t="s">
        <v>807</v>
      </c>
      <c r="C374" t="s">
        <v>808</v>
      </c>
      <c r="D374" t="s">
        <v>809</v>
      </c>
    </row>
    <row r="375" spans="1:4" x14ac:dyDescent="0.25">
      <c r="A375" t="s">
        <v>806</v>
      </c>
      <c r="B375" t="s">
        <v>807</v>
      </c>
      <c r="C375" t="s">
        <v>810</v>
      </c>
      <c r="D375" t="s">
        <v>811</v>
      </c>
    </row>
    <row r="376" spans="1:4" x14ac:dyDescent="0.25">
      <c r="A376" t="s">
        <v>806</v>
      </c>
      <c r="B376" t="s">
        <v>807</v>
      </c>
      <c r="C376" t="s">
        <v>812</v>
      </c>
      <c r="D376" t="s">
        <v>813</v>
      </c>
    </row>
    <row r="377" spans="1:4" x14ac:dyDescent="0.25">
      <c r="A377" t="s">
        <v>806</v>
      </c>
      <c r="B377" t="s">
        <v>807</v>
      </c>
      <c r="C377" t="s">
        <v>814</v>
      </c>
      <c r="D377" t="s">
        <v>815</v>
      </c>
    </row>
    <row r="378" spans="1:4" x14ac:dyDescent="0.25">
      <c r="A378" t="s">
        <v>806</v>
      </c>
      <c r="B378" t="s">
        <v>807</v>
      </c>
      <c r="C378" t="s">
        <v>816</v>
      </c>
      <c r="D378" t="s">
        <v>817</v>
      </c>
    </row>
    <row r="379" spans="1:4" x14ac:dyDescent="0.25">
      <c r="A379" t="s">
        <v>818</v>
      </c>
      <c r="B379" t="s">
        <v>819</v>
      </c>
      <c r="C379" t="s">
        <v>820</v>
      </c>
      <c r="D379" t="s">
        <v>821</v>
      </c>
    </row>
    <row r="380" spans="1:4" x14ac:dyDescent="0.25">
      <c r="A380" t="s">
        <v>818</v>
      </c>
      <c r="B380" t="s">
        <v>819</v>
      </c>
      <c r="C380" t="s">
        <v>822</v>
      </c>
      <c r="D380" t="s">
        <v>823</v>
      </c>
    </row>
    <row r="381" spans="1:4" x14ac:dyDescent="0.25">
      <c r="A381" t="s">
        <v>818</v>
      </c>
      <c r="B381" t="s">
        <v>819</v>
      </c>
      <c r="C381" t="s">
        <v>824</v>
      </c>
      <c r="D381" t="s">
        <v>825</v>
      </c>
    </row>
    <row r="382" spans="1:4" x14ac:dyDescent="0.25">
      <c r="A382" t="s">
        <v>818</v>
      </c>
      <c r="B382" t="s">
        <v>819</v>
      </c>
      <c r="C382" t="s">
        <v>826</v>
      </c>
      <c r="D382" t="s">
        <v>827</v>
      </c>
    </row>
    <row r="383" spans="1:4" x14ac:dyDescent="0.25">
      <c r="A383" t="s">
        <v>818</v>
      </c>
      <c r="B383" t="s">
        <v>819</v>
      </c>
      <c r="C383" t="s">
        <v>828</v>
      </c>
      <c r="D383" t="s">
        <v>829</v>
      </c>
    </row>
    <row r="384" spans="1:4" x14ac:dyDescent="0.25">
      <c r="A384" t="s">
        <v>818</v>
      </c>
      <c r="B384" t="s">
        <v>819</v>
      </c>
      <c r="C384" t="s">
        <v>830</v>
      </c>
      <c r="D384" t="s">
        <v>831</v>
      </c>
    </row>
    <row r="385" spans="1:4" x14ac:dyDescent="0.25">
      <c r="A385" t="s">
        <v>818</v>
      </c>
      <c r="B385" t="s">
        <v>819</v>
      </c>
      <c r="C385" t="s">
        <v>832</v>
      </c>
      <c r="D385" t="s">
        <v>833</v>
      </c>
    </row>
    <row r="386" spans="1:4" x14ac:dyDescent="0.25">
      <c r="A386" t="s">
        <v>818</v>
      </c>
      <c r="B386" t="s">
        <v>819</v>
      </c>
      <c r="C386" t="s">
        <v>834</v>
      </c>
      <c r="D386" t="s">
        <v>835</v>
      </c>
    </row>
    <row r="387" spans="1:4" x14ac:dyDescent="0.25">
      <c r="A387" t="s">
        <v>818</v>
      </c>
      <c r="B387" t="s">
        <v>819</v>
      </c>
      <c r="C387" t="s">
        <v>836</v>
      </c>
      <c r="D387" t="s">
        <v>837</v>
      </c>
    </row>
    <row r="388" spans="1:4" x14ac:dyDescent="0.25">
      <c r="A388" t="s">
        <v>818</v>
      </c>
      <c r="B388" t="s">
        <v>819</v>
      </c>
      <c r="C388" t="s">
        <v>838</v>
      </c>
      <c r="D388" t="s">
        <v>839</v>
      </c>
    </row>
    <row r="389" spans="1:4" x14ac:dyDescent="0.25">
      <c r="A389" t="s">
        <v>818</v>
      </c>
      <c r="B389" t="s">
        <v>819</v>
      </c>
      <c r="C389" t="s">
        <v>840</v>
      </c>
      <c r="D389" t="s">
        <v>841</v>
      </c>
    </row>
    <row r="390" spans="1:4" x14ac:dyDescent="0.25">
      <c r="A390" t="s">
        <v>818</v>
      </c>
      <c r="B390" t="s">
        <v>819</v>
      </c>
      <c r="C390" t="s">
        <v>842</v>
      </c>
      <c r="D390" t="s">
        <v>843</v>
      </c>
    </row>
    <row r="391" spans="1:4" x14ac:dyDescent="0.25">
      <c r="A391" t="s">
        <v>818</v>
      </c>
      <c r="B391" t="s">
        <v>819</v>
      </c>
      <c r="C391" t="s">
        <v>844</v>
      </c>
      <c r="D391" t="s">
        <v>845</v>
      </c>
    </row>
    <row r="392" spans="1:4" x14ac:dyDescent="0.25">
      <c r="A392" t="s">
        <v>818</v>
      </c>
      <c r="B392" t="s">
        <v>819</v>
      </c>
      <c r="C392" t="s">
        <v>846</v>
      </c>
      <c r="D392" t="s">
        <v>847</v>
      </c>
    </row>
    <row r="393" spans="1:4" x14ac:dyDescent="0.25">
      <c r="A393" t="s">
        <v>818</v>
      </c>
      <c r="B393" t="s">
        <v>819</v>
      </c>
      <c r="C393" t="s">
        <v>848</v>
      </c>
      <c r="D393" t="s">
        <v>849</v>
      </c>
    </row>
    <row r="394" spans="1:4" x14ac:dyDescent="0.25">
      <c r="A394" t="s">
        <v>850</v>
      </c>
      <c r="B394" t="s">
        <v>851</v>
      </c>
      <c r="C394" t="s">
        <v>852</v>
      </c>
      <c r="D394" t="s">
        <v>853</v>
      </c>
    </row>
    <row r="395" spans="1:4" x14ac:dyDescent="0.25">
      <c r="A395" t="s">
        <v>850</v>
      </c>
      <c r="B395" t="s">
        <v>851</v>
      </c>
      <c r="C395" t="s">
        <v>854</v>
      </c>
      <c r="D395" t="s">
        <v>855</v>
      </c>
    </row>
    <row r="396" spans="1:4" x14ac:dyDescent="0.25">
      <c r="A396" t="s">
        <v>850</v>
      </c>
      <c r="B396" t="s">
        <v>851</v>
      </c>
      <c r="C396" t="s">
        <v>856</v>
      </c>
      <c r="D396" t="s">
        <v>857</v>
      </c>
    </row>
    <row r="397" spans="1:4" x14ac:dyDescent="0.25">
      <c r="A397" t="s">
        <v>850</v>
      </c>
      <c r="B397" t="s">
        <v>851</v>
      </c>
      <c r="C397" t="s">
        <v>858</v>
      </c>
      <c r="D397" t="s">
        <v>859</v>
      </c>
    </row>
    <row r="398" spans="1:4" x14ac:dyDescent="0.25">
      <c r="A398" t="s">
        <v>850</v>
      </c>
      <c r="B398" t="s">
        <v>851</v>
      </c>
      <c r="C398" t="s">
        <v>860</v>
      </c>
      <c r="D398" t="s">
        <v>861</v>
      </c>
    </row>
    <row r="399" spans="1:4" x14ac:dyDescent="0.25">
      <c r="A399" t="s">
        <v>850</v>
      </c>
      <c r="B399" t="s">
        <v>851</v>
      </c>
      <c r="C399" t="s">
        <v>862</v>
      </c>
      <c r="D399" t="s">
        <v>863</v>
      </c>
    </row>
    <row r="400" spans="1:4" x14ac:dyDescent="0.25">
      <c r="A400" t="s">
        <v>850</v>
      </c>
      <c r="B400" t="s">
        <v>851</v>
      </c>
      <c r="C400" t="s">
        <v>864</v>
      </c>
      <c r="D400" t="s">
        <v>865</v>
      </c>
    </row>
    <row r="401" spans="1:4" x14ac:dyDescent="0.25">
      <c r="A401" t="s">
        <v>866</v>
      </c>
      <c r="B401" t="s">
        <v>867</v>
      </c>
      <c r="C401" t="s">
        <v>868</v>
      </c>
      <c r="D401" t="s">
        <v>869</v>
      </c>
    </row>
    <row r="402" spans="1:4" x14ac:dyDescent="0.25">
      <c r="A402" t="s">
        <v>866</v>
      </c>
      <c r="B402" t="s">
        <v>867</v>
      </c>
      <c r="C402" t="s">
        <v>870</v>
      </c>
      <c r="D402" t="s">
        <v>871</v>
      </c>
    </row>
    <row r="403" spans="1:4" x14ac:dyDescent="0.25">
      <c r="A403" t="s">
        <v>866</v>
      </c>
      <c r="B403" t="s">
        <v>867</v>
      </c>
      <c r="C403" t="s">
        <v>872</v>
      </c>
      <c r="D403" t="s">
        <v>873</v>
      </c>
    </row>
    <row r="404" spans="1:4" x14ac:dyDescent="0.25">
      <c r="A404" t="s">
        <v>866</v>
      </c>
      <c r="B404" t="s">
        <v>867</v>
      </c>
      <c r="C404" t="s">
        <v>874</v>
      </c>
      <c r="D404" t="s">
        <v>875</v>
      </c>
    </row>
    <row r="405" spans="1:4" x14ac:dyDescent="0.25">
      <c r="A405" t="s">
        <v>866</v>
      </c>
      <c r="B405" t="s">
        <v>867</v>
      </c>
      <c r="C405" t="s">
        <v>876</v>
      </c>
      <c r="D405" t="s">
        <v>877</v>
      </c>
    </row>
    <row r="406" spans="1:4" x14ac:dyDescent="0.25">
      <c r="A406" t="s">
        <v>866</v>
      </c>
      <c r="B406" t="s">
        <v>867</v>
      </c>
      <c r="C406" t="s">
        <v>878</v>
      </c>
      <c r="D406" t="s">
        <v>879</v>
      </c>
    </row>
    <row r="407" spans="1:4" x14ac:dyDescent="0.25">
      <c r="A407" t="s">
        <v>866</v>
      </c>
      <c r="B407" t="s">
        <v>867</v>
      </c>
      <c r="C407" t="s">
        <v>880</v>
      </c>
      <c r="D407" t="s">
        <v>881</v>
      </c>
    </row>
    <row r="408" spans="1:4" x14ac:dyDescent="0.25">
      <c r="A408" t="s">
        <v>882</v>
      </c>
      <c r="B408" t="s">
        <v>883</v>
      </c>
      <c r="C408" t="s">
        <v>884</v>
      </c>
      <c r="D408" t="s">
        <v>885</v>
      </c>
    </row>
    <row r="409" spans="1:4" x14ac:dyDescent="0.25">
      <c r="A409" t="s">
        <v>882</v>
      </c>
      <c r="B409" t="s">
        <v>883</v>
      </c>
      <c r="C409" t="s">
        <v>886</v>
      </c>
      <c r="D409" t="s">
        <v>887</v>
      </c>
    </row>
    <row r="410" spans="1:4" x14ac:dyDescent="0.25">
      <c r="A410" t="s">
        <v>882</v>
      </c>
      <c r="B410" t="s">
        <v>883</v>
      </c>
      <c r="C410" t="s">
        <v>888</v>
      </c>
      <c r="D410" t="s">
        <v>889</v>
      </c>
    </row>
    <row r="411" spans="1:4" x14ac:dyDescent="0.25">
      <c r="A411" t="s">
        <v>882</v>
      </c>
      <c r="B411" t="s">
        <v>883</v>
      </c>
      <c r="C411" t="s">
        <v>890</v>
      </c>
      <c r="D411" t="s">
        <v>891</v>
      </c>
    </row>
    <row r="412" spans="1:4" x14ac:dyDescent="0.25">
      <c r="A412" t="s">
        <v>882</v>
      </c>
      <c r="B412" t="s">
        <v>883</v>
      </c>
      <c r="C412" t="s">
        <v>892</v>
      </c>
      <c r="D412" t="s">
        <v>893</v>
      </c>
    </row>
    <row r="413" spans="1:4" x14ac:dyDescent="0.25">
      <c r="A413" t="s">
        <v>882</v>
      </c>
      <c r="B413" t="s">
        <v>883</v>
      </c>
      <c r="C413" t="s">
        <v>894</v>
      </c>
      <c r="D413" t="s">
        <v>895</v>
      </c>
    </row>
    <row r="414" spans="1:4" x14ac:dyDescent="0.25">
      <c r="A414" t="s">
        <v>882</v>
      </c>
      <c r="B414" t="s">
        <v>883</v>
      </c>
      <c r="C414" t="s">
        <v>896</v>
      </c>
      <c r="D414" t="s">
        <v>897</v>
      </c>
    </row>
    <row r="415" spans="1:4" x14ac:dyDescent="0.25">
      <c r="A415" t="s">
        <v>898</v>
      </c>
      <c r="B415" t="s">
        <v>899</v>
      </c>
      <c r="C415" t="s">
        <v>900</v>
      </c>
      <c r="D415" t="s">
        <v>901</v>
      </c>
    </row>
    <row r="416" spans="1:4" x14ac:dyDescent="0.25">
      <c r="A416" t="s">
        <v>898</v>
      </c>
      <c r="B416" t="s">
        <v>899</v>
      </c>
      <c r="C416" t="s">
        <v>902</v>
      </c>
      <c r="D416" t="s">
        <v>903</v>
      </c>
    </row>
    <row r="417" spans="1:4" x14ac:dyDescent="0.25">
      <c r="A417" t="s">
        <v>898</v>
      </c>
      <c r="B417" t="s">
        <v>899</v>
      </c>
      <c r="C417" t="s">
        <v>904</v>
      </c>
      <c r="D417" t="s">
        <v>905</v>
      </c>
    </row>
    <row r="418" spans="1:4" x14ac:dyDescent="0.25">
      <c r="A418" t="s">
        <v>898</v>
      </c>
      <c r="B418" t="s">
        <v>899</v>
      </c>
      <c r="C418" t="s">
        <v>906</v>
      </c>
      <c r="D418" t="s">
        <v>907</v>
      </c>
    </row>
    <row r="419" spans="1:4" x14ac:dyDescent="0.25">
      <c r="A419" t="s">
        <v>898</v>
      </c>
      <c r="B419" t="s">
        <v>899</v>
      </c>
      <c r="C419" t="s">
        <v>908</v>
      </c>
      <c r="D419" t="s">
        <v>909</v>
      </c>
    </row>
    <row r="420" spans="1:4" x14ac:dyDescent="0.25">
      <c r="A420" t="s">
        <v>898</v>
      </c>
      <c r="B420" t="s">
        <v>899</v>
      </c>
      <c r="C420" t="s">
        <v>910</v>
      </c>
      <c r="D420" t="s">
        <v>911</v>
      </c>
    </row>
    <row r="421" spans="1:4" x14ac:dyDescent="0.25">
      <c r="A421" t="s">
        <v>912</v>
      </c>
      <c r="B421" t="s">
        <v>913</v>
      </c>
      <c r="C421" t="s">
        <v>914</v>
      </c>
      <c r="D421" t="s">
        <v>915</v>
      </c>
    </row>
    <row r="422" spans="1:4" x14ac:dyDescent="0.25">
      <c r="A422" t="s">
        <v>912</v>
      </c>
      <c r="B422" t="s">
        <v>913</v>
      </c>
      <c r="C422" t="s">
        <v>916</v>
      </c>
      <c r="D422" t="s">
        <v>917</v>
      </c>
    </row>
    <row r="423" spans="1:4" x14ac:dyDescent="0.25">
      <c r="A423" t="s">
        <v>912</v>
      </c>
      <c r="B423" t="s">
        <v>913</v>
      </c>
      <c r="C423" t="s">
        <v>918</v>
      </c>
      <c r="D423" t="s">
        <v>919</v>
      </c>
    </row>
    <row r="424" spans="1:4" x14ac:dyDescent="0.25">
      <c r="A424" t="s">
        <v>912</v>
      </c>
      <c r="B424" t="s">
        <v>913</v>
      </c>
      <c r="C424" t="s">
        <v>920</v>
      </c>
      <c r="D424" t="s">
        <v>921</v>
      </c>
    </row>
    <row r="425" spans="1:4" x14ac:dyDescent="0.25">
      <c r="A425" t="s">
        <v>912</v>
      </c>
      <c r="B425" t="s">
        <v>913</v>
      </c>
      <c r="C425" t="s">
        <v>922</v>
      </c>
      <c r="D425" t="s">
        <v>923</v>
      </c>
    </row>
    <row r="426" spans="1:4" x14ac:dyDescent="0.25">
      <c r="A426" t="s">
        <v>912</v>
      </c>
      <c r="B426" t="s">
        <v>913</v>
      </c>
      <c r="C426" t="s">
        <v>924</v>
      </c>
      <c r="D426" t="s">
        <v>925</v>
      </c>
    </row>
    <row r="427" spans="1:4" x14ac:dyDescent="0.25">
      <c r="A427" t="s">
        <v>912</v>
      </c>
      <c r="B427" t="s">
        <v>913</v>
      </c>
      <c r="C427" t="s">
        <v>926</v>
      </c>
      <c r="D427" t="s">
        <v>927</v>
      </c>
    </row>
    <row r="428" spans="1:4" x14ac:dyDescent="0.25">
      <c r="A428" t="s">
        <v>928</v>
      </c>
      <c r="B428" t="s">
        <v>929</v>
      </c>
      <c r="C428" t="s">
        <v>930</v>
      </c>
      <c r="D428" t="s">
        <v>931</v>
      </c>
    </row>
    <row r="429" spans="1:4" x14ac:dyDescent="0.25">
      <c r="A429" t="s">
        <v>928</v>
      </c>
      <c r="B429" t="s">
        <v>929</v>
      </c>
      <c r="C429" t="s">
        <v>932</v>
      </c>
      <c r="D429" t="s">
        <v>933</v>
      </c>
    </row>
    <row r="430" spans="1:4" x14ac:dyDescent="0.25">
      <c r="A430" t="s">
        <v>928</v>
      </c>
      <c r="B430" t="s">
        <v>929</v>
      </c>
      <c r="C430" t="s">
        <v>934</v>
      </c>
      <c r="D430" t="s">
        <v>935</v>
      </c>
    </row>
    <row r="431" spans="1:4" x14ac:dyDescent="0.25">
      <c r="A431" t="s">
        <v>928</v>
      </c>
      <c r="B431" t="s">
        <v>929</v>
      </c>
      <c r="C431" t="s">
        <v>936</v>
      </c>
      <c r="D431" t="s">
        <v>937</v>
      </c>
    </row>
    <row r="432" spans="1:4" x14ac:dyDescent="0.25">
      <c r="A432" t="s">
        <v>928</v>
      </c>
      <c r="B432" t="s">
        <v>929</v>
      </c>
      <c r="C432" t="s">
        <v>938</v>
      </c>
      <c r="D432" t="s">
        <v>939</v>
      </c>
    </row>
    <row r="433" spans="1:4" x14ac:dyDescent="0.25">
      <c r="A433" t="s">
        <v>928</v>
      </c>
      <c r="B433" t="s">
        <v>929</v>
      </c>
      <c r="C433" t="s">
        <v>940</v>
      </c>
      <c r="D433" t="s">
        <v>941</v>
      </c>
    </row>
    <row r="434" spans="1:4" x14ac:dyDescent="0.25">
      <c r="A434" t="s">
        <v>928</v>
      </c>
      <c r="B434" t="s">
        <v>929</v>
      </c>
      <c r="C434" t="s">
        <v>942</v>
      </c>
      <c r="D434" t="s">
        <v>943</v>
      </c>
    </row>
    <row r="435" spans="1:4" x14ac:dyDescent="0.25">
      <c r="A435" t="s">
        <v>928</v>
      </c>
      <c r="B435" t="s">
        <v>929</v>
      </c>
      <c r="C435" t="s">
        <v>944</v>
      </c>
      <c r="D435" t="s">
        <v>945</v>
      </c>
    </row>
    <row r="436" spans="1:4" x14ac:dyDescent="0.25">
      <c r="A436" t="s">
        <v>928</v>
      </c>
      <c r="B436" t="s">
        <v>929</v>
      </c>
      <c r="C436" t="s">
        <v>946</v>
      </c>
      <c r="D436" t="s">
        <v>947</v>
      </c>
    </row>
    <row r="437" spans="1:4" x14ac:dyDescent="0.25">
      <c r="A437" t="s">
        <v>928</v>
      </c>
      <c r="B437" t="s">
        <v>929</v>
      </c>
      <c r="C437" t="s">
        <v>948</v>
      </c>
      <c r="D437" t="s">
        <v>949</v>
      </c>
    </row>
    <row r="438" spans="1:4" x14ac:dyDescent="0.25">
      <c r="A438" t="s">
        <v>928</v>
      </c>
      <c r="B438" t="s">
        <v>929</v>
      </c>
      <c r="C438" t="s">
        <v>950</v>
      </c>
      <c r="D438" t="s">
        <v>951</v>
      </c>
    </row>
    <row r="439" spans="1:4" x14ac:dyDescent="0.25">
      <c r="A439" t="s">
        <v>928</v>
      </c>
      <c r="B439" t="s">
        <v>929</v>
      </c>
      <c r="C439" t="s">
        <v>952</v>
      </c>
      <c r="D439" t="s">
        <v>953</v>
      </c>
    </row>
    <row r="440" spans="1:4" x14ac:dyDescent="0.25">
      <c r="A440" t="s">
        <v>928</v>
      </c>
      <c r="B440" t="s">
        <v>929</v>
      </c>
      <c r="C440" t="s">
        <v>954</v>
      </c>
      <c r="D440" t="s">
        <v>955</v>
      </c>
    </row>
    <row r="441" spans="1:4" x14ac:dyDescent="0.25">
      <c r="A441" t="s">
        <v>928</v>
      </c>
      <c r="B441" t="s">
        <v>929</v>
      </c>
      <c r="C441" t="s">
        <v>956</v>
      </c>
      <c r="D441" t="s">
        <v>957</v>
      </c>
    </row>
    <row r="442" spans="1:4" x14ac:dyDescent="0.25">
      <c r="A442" t="s">
        <v>928</v>
      </c>
      <c r="B442" t="s">
        <v>929</v>
      </c>
      <c r="C442" t="s">
        <v>958</v>
      </c>
      <c r="D442" t="s">
        <v>959</v>
      </c>
    </row>
    <row r="443" spans="1:4" x14ac:dyDescent="0.25">
      <c r="A443" t="s">
        <v>928</v>
      </c>
      <c r="B443" t="s">
        <v>929</v>
      </c>
      <c r="C443" t="s">
        <v>960</v>
      </c>
      <c r="D443" t="s">
        <v>961</v>
      </c>
    </row>
    <row r="444" spans="1:4" x14ac:dyDescent="0.25">
      <c r="A444" t="s">
        <v>928</v>
      </c>
      <c r="B444" t="s">
        <v>929</v>
      </c>
      <c r="C444" t="s">
        <v>962</v>
      </c>
      <c r="D444" t="s">
        <v>963</v>
      </c>
    </row>
    <row r="445" spans="1:4" x14ac:dyDescent="0.25">
      <c r="A445" t="s">
        <v>928</v>
      </c>
      <c r="B445" t="s">
        <v>929</v>
      </c>
      <c r="C445" t="s">
        <v>964</v>
      </c>
      <c r="D445" t="s">
        <v>965</v>
      </c>
    </row>
    <row r="446" spans="1:4" x14ac:dyDescent="0.25">
      <c r="A446" t="s">
        <v>928</v>
      </c>
      <c r="B446" t="s">
        <v>929</v>
      </c>
      <c r="C446" t="s">
        <v>966</v>
      </c>
      <c r="D446" t="s">
        <v>967</v>
      </c>
    </row>
    <row r="447" spans="1:4" x14ac:dyDescent="0.25">
      <c r="A447" t="s">
        <v>928</v>
      </c>
      <c r="B447" t="s">
        <v>929</v>
      </c>
      <c r="C447" t="s">
        <v>968</v>
      </c>
      <c r="D447" t="s">
        <v>969</v>
      </c>
    </row>
    <row r="448" spans="1:4" x14ac:dyDescent="0.25">
      <c r="A448" t="s">
        <v>928</v>
      </c>
      <c r="B448" t="s">
        <v>929</v>
      </c>
      <c r="C448" t="s">
        <v>970</v>
      </c>
      <c r="D448" t="s">
        <v>971</v>
      </c>
    </row>
    <row r="449" spans="1:4" x14ac:dyDescent="0.25">
      <c r="A449" t="s">
        <v>928</v>
      </c>
      <c r="B449" t="s">
        <v>929</v>
      </c>
      <c r="C449" t="s">
        <v>972</v>
      </c>
      <c r="D449" t="s">
        <v>973</v>
      </c>
    </row>
    <row r="450" spans="1:4" x14ac:dyDescent="0.25">
      <c r="A450" t="s">
        <v>928</v>
      </c>
      <c r="B450" t="s">
        <v>929</v>
      </c>
      <c r="C450" t="s">
        <v>974</v>
      </c>
      <c r="D450" t="s">
        <v>975</v>
      </c>
    </row>
    <row r="451" spans="1:4" x14ac:dyDescent="0.25">
      <c r="A451" t="s">
        <v>928</v>
      </c>
      <c r="B451" t="s">
        <v>929</v>
      </c>
      <c r="C451" t="s">
        <v>976</v>
      </c>
      <c r="D451" t="s">
        <v>977</v>
      </c>
    </row>
    <row r="452" spans="1:4" x14ac:dyDescent="0.25">
      <c r="A452" t="s">
        <v>928</v>
      </c>
      <c r="B452" t="s">
        <v>929</v>
      </c>
      <c r="C452" t="s">
        <v>978</v>
      </c>
      <c r="D452" t="s">
        <v>979</v>
      </c>
    </row>
    <row r="453" spans="1:4" x14ac:dyDescent="0.25">
      <c r="A453" t="s">
        <v>928</v>
      </c>
      <c r="B453" t="s">
        <v>929</v>
      </c>
      <c r="C453" t="s">
        <v>980</v>
      </c>
      <c r="D453" t="s">
        <v>981</v>
      </c>
    </row>
    <row r="454" spans="1:4" x14ac:dyDescent="0.25">
      <c r="A454" t="s">
        <v>928</v>
      </c>
      <c r="B454" t="s">
        <v>929</v>
      </c>
      <c r="C454" t="s">
        <v>982</v>
      </c>
      <c r="D454" t="s">
        <v>983</v>
      </c>
    </row>
    <row r="455" spans="1:4" x14ac:dyDescent="0.25">
      <c r="A455" t="s">
        <v>984</v>
      </c>
      <c r="B455" t="s">
        <v>985</v>
      </c>
      <c r="C455" t="s">
        <v>986</v>
      </c>
      <c r="D455" t="s">
        <v>987</v>
      </c>
    </row>
    <row r="456" spans="1:4" x14ac:dyDescent="0.25">
      <c r="A456" t="s">
        <v>984</v>
      </c>
      <c r="B456" t="s">
        <v>985</v>
      </c>
      <c r="C456" t="s">
        <v>988</v>
      </c>
      <c r="D456" t="s">
        <v>989</v>
      </c>
    </row>
    <row r="457" spans="1:4" x14ac:dyDescent="0.25">
      <c r="A457" t="s">
        <v>984</v>
      </c>
      <c r="B457" t="s">
        <v>985</v>
      </c>
      <c r="C457" t="s">
        <v>990</v>
      </c>
      <c r="D457" t="s">
        <v>991</v>
      </c>
    </row>
    <row r="458" spans="1:4" x14ac:dyDescent="0.25">
      <c r="A458" t="s">
        <v>984</v>
      </c>
      <c r="B458" t="s">
        <v>985</v>
      </c>
      <c r="C458" t="s">
        <v>992</v>
      </c>
      <c r="D458" t="s">
        <v>993</v>
      </c>
    </row>
    <row r="459" spans="1:4" x14ac:dyDescent="0.25">
      <c r="A459" t="s">
        <v>984</v>
      </c>
      <c r="B459" t="s">
        <v>985</v>
      </c>
      <c r="C459" t="s">
        <v>994</v>
      </c>
      <c r="D459" t="s">
        <v>995</v>
      </c>
    </row>
    <row r="460" spans="1:4" x14ac:dyDescent="0.25">
      <c r="A460" t="s">
        <v>984</v>
      </c>
      <c r="B460" t="s">
        <v>985</v>
      </c>
      <c r="C460" t="s">
        <v>996</v>
      </c>
      <c r="D460" t="s">
        <v>997</v>
      </c>
    </row>
    <row r="461" spans="1:4" x14ac:dyDescent="0.25">
      <c r="A461" t="s">
        <v>984</v>
      </c>
      <c r="B461" t="s">
        <v>985</v>
      </c>
      <c r="C461" t="s">
        <v>998</v>
      </c>
      <c r="D461" t="s">
        <v>999</v>
      </c>
    </row>
    <row r="462" spans="1:4" x14ac:dyDescent="0.25">
      <c r="A462" t="s">
        <v>984</v>
      </c>
      <c r="B462" t="s">
        <v>985</v>
      </c>
      <c r="C462" t="s">
        <v>1000</v>
      </c>
      <c r="D462" t="s">
        <v>1001</v>
      </c>
    </row>
    <row r="463" spans="1:4" x14ac:dyDescent="0.25">
      <c r="A463" t="s">
        <v>984</v>
      </c>
      <c r="B463" t="s">
        <v>985</v>
      </c>
      <c r="C463" t="s">
        <v>1002</v>
      </c>
      <c r="D463" t="s">
        <v>1003</v>
      </c>
    </row>
    <row r="464" spans="1:4" x14ac:dyDescent="0.25">
      <c r="A464" t="s">
        <v>984</v>
      </c>
      <c r="B464" t="s">
        <v>985</v>
      </c>
      <c r="C464" t="s">
        <v>1004</v>
      </c>
      <c r="D464" t="s">
        <v>1005</v>
      </c>
    </row>
    <row r="465" spans="1:4" x14ac:dyDescent="0.25">
      <c r="A465" t="s">
        <v>984</v>
      </c>
      <c r="B465" t="s">
        <v>985</v>
      </c>
      <c r="C465" t="s">
        <v>1006</v>
      </c>
      <c r="D465" t="s">
        <v>1007</v>
      </c>
    </row>
    <row r="466" spans="1:4" x14ac:dyDescent="0.25">
      <c r="A466" t="s">
        <v>984</v>
      </c>
      <c r="B466" t="s">
        <v>985</v>
      </c>
      <c r="C466" t="s">
        <v>1008</v>
      </c>
      <c r="D466" t="s">
        <v>1009</v>
      </c>
    </row>
    <row r="467" spans="1:4" x14ac:dyDescent="0.25">
      <c r="A467" t="s">
        <v>984</v>
      </c>
      <c r="B467" t="s">
        <v>985</v>
      </c>
      <c r="C467" t="s">
        <v>1010</v>
      </c>
      <c r="D467" t="s">
        <v>1011</v>
      </c>
    </row>
    <row r="468" spans="1:4" x14ac:dyDescent="0.25">
      <c r="A468" t="s">
        <v>984</v>
      </c>
      <c r="B468" t="s">
        <v>985</v>
      </c>
      <c r="C468" t="s">
        <v>1012</v>
      </c>
      <c r="D468" t="s">
        <v>1013</v>
      </c>
    </row>
    <row r="469" spans="1:4" x14ac:dyDescent="0.25">
      <c r="A469" t="s">
        <v>984</v>
      </c>
      <c r="B469" t="s">
        <v>985</v>
      </c>
      <c r="C469" t="s">
        <v>1014</v>
      </c>
      <c r="D469" t="s">
        <v>1015</v>
      </c>
    </row>
    <row r="470" spans="1:4" x14ac:dyDescent="0.25">
      <c r="A470" t="s">
        <v>984</v>
      </c>
      <c r="B470" t="s">
        <v>985</v>
      </c>
      <c r="C470" t="s">
        <v>1016</v>
      </c>
      <c r="D470" t="s">
        <v>1017</v>
      </c>
    </row>
    <row r="471" spans="1:4" x14ac:dyDescent="0.25">
      <c r="A471" t="s">
        <v>984</v>
      </c>
      <c r="B471" t="s">
        <v>985</v>
      </c>
      <c r="C471" t="s">
        <v>1018</v>
      </c>
      <c r="D471" t="s">
        <v>1019</v>
      </c>
    </row>
    <row r="472" spans="1:4" x14ac:dyDescent="0.25">
      <c r="A472" t="s">
        <v>984</v>
      </c>
      <c r="B472" t="s">
        <v>985</v>
      </c>
      <c r="C472" t="s">
        <v>1020</v>
      </c>
      <c r="D472" t="s">
        <v>1021</v>
      </c>
    </row>
    <row r="473" spans="1:4" x14ac:dyDescent="0.25">
      <c r="A473" t="s">
        <v>984</v>
      </c>
      <c r="B473" t="s">
        <v>985</v>
      </c>
      <c r="C473" t="s">
        <v>1022</v>
      </c>
      <c r="D473" t="s">
        <v>1023</v>
      </c>
    </row>
    <row r="474" spans="1:4" x14ac:dyDescent="0.25">
      <c r="A474" t="s">
        <v>984</v>
      </c>
      <c r="B474" t="s">
        <v>985</v>
      </c>
      <c r="C474" t="s">
        <v>1024</v>
      </c>
      <c r="D474" t="s">
        <v>1025</v>
      </c>
    </row>
    <row r="475" spans="1:4" x14ac:dyDescent="0.25">
      <c r="A475" t="s">
        <v>984</v>
      </c>
      <c r="B475" t="s">
        <v>985</v>
      </c>
      <c r="C475" t="s">
        <v>1026</v>
      </c>
      <c r="D475" t="s">
        <v>1027</v>
      </c>
    </row>
    <row r="476" spans="1:4" x14ac:dyDescent="0.25">
      <c r="A476" t="s">
        <v>984</v>
      </c>
      <c r="B476" t="s">
        <v>985</v>
      </c>
      <c r="C476" t="s">
        <v>1028</v>
      </c>
      <c r="D476" t="s">
        <v>1029</v>
      </c>
    </row>
    <row r="477" spans="1:4" x14ac:dyDescent="0.25">
      <c r="A477" t="s">
        <v>984</v>
      </c>
      <c r="B477" t="s">
        <v>985</v>
      </c>
      <c r="C477" t="s">
        <v>1030</v>
      </c>
      <c r="D477" t="s">
        <v>1031</v>
      </c>
    </row>
    <row r="478" spans="1:4" x14ac:dyDescent="0.25">
      <c r="A478" t="s">
        <v>984</v>
      </c>
      <c r="B478" t="s">
        <v>985</v>
      </c>
      <c r="C478" t="s">
        <v>1032</v>
      </c>
      <c r="D478" t="s">
        <v>1033</v>
      </c>
    </row>
    <row r="479" spans="1:4" x14ac:dyDescent="0.25">
      <c r="A479" t="s">
        <v>984</v>
      </c>
      <c r="B479" t="s">
        <v>985</v>
      </c>
      <c r="C479" t="s">
        <v>1034</v>
      </c>
      <c r="D479" t="s">
        <v>1035</v>
      </c>
    </row>
    <row r="480" spans="1:4" x14ac:dyDescent="0.25">
      <c r="A480" t="s">
        <v>984</v>
      </c>
      <c r="B480" t="s">
        <v>985</v>
      </c>
      <c r="C480" t="s">
        <v>1036</v>
      </c>
      <c r="D480" t="s">
        <v>1037</v>
      </c>
    </row>
    <row r="481" spans="1:4" x14ac:dyDescent="0.25">
      <c r="A481" t="s">
        <v>1038</v>
      </c>
      <c r="B481" t="s">
        <v>1039</v>
      </c>
      <c r="C481" t="s">
        <v>1040</v>
      </c>
      <c r="D481" t="s">
        <v>1041</v>
      </c>
    </row>
    <row r="482" spans="1:4" x14ac:dyDescent="0.25">
      <c r="A482" t="s">
        <v>1038</v>
      </c>
      <c r="B482" t="s">
        <v>1039</v>
      </c>
      <c r="C482" t="s">
        <v>1042</v>
      </c>
      <c r="D482" t="s">
        <v>1043</v>
      </c>
    </row>
    <row r="483" spans="1:4" x14ac:dyDescent="0.25">
      <c r="A483" t="s">
        <v>1038</v>
      </c>
      <c r="B483" t="s">
        <v>1039</v>
      </c>
      <c r="C483" t="s">
        <v>1044</v>
      </c>
      <c r="D483" t="s">
        <v>1045</v>
      </c>
    </row>
    <row r="484" spans="1:4" x14ac:dyDescent="0.25">
      <c r="A484" t="s">
        <v>1038</v>
      </c>
      <c r="B484" t="s">
        <v>1039</v>
      </c>
      <c r="C484" t="s">
        <v>1046</v>
      </c>
      <c r="D484" t="s">
        <v>1047</v>
      </c>
    </row>
    <row r="485" spans="1:4" x14ac:dyDescent="0.25">
      <c r="A485" t="s">
        <v>1038</v>
      </c>
      <c r="B485" t="s">
        <v>1039</v>
      </c>
      <c r="C485" t="s">
        <v>1048</v>
      </c>
      <c r="D485" t="s">
        <v>1049</v>
      </c>
    </row>
    <row r="486" spans="1:4" x14ac:dyDescent="0.25">
      <c r="A486" t="s">
        <v>1038</v>
      </c>
      <c r="B486" t="s">
        <v>1039</v>
      </c>
      <c r="C486" t="s">
        <v>1050</v>
      </c>
      <c r="D486" t="s">
        <v>1051</v>
      </c>
    </row>
    <row r="487" spans="1:4" x14ac:dyDescent="0.25">
      <c r="A487" t="s">
        <v>1038</v>
      </c>
      <c r="B487" t="s">
        <v>1039</v>
      </c>
      <c r="C487" t="s">
        <v>1052</v>
      </c>
      <c r="D487" t="s">
        <v>1053</v>
      </c>
    </row>
    <row r="488" spans="1:4" x14ac:dyDescent="0.25">
      <c r="A488" t="s">
        <v>1038</v>
      </c>
      <c r="B488" t="s">
        <v>1039</v>
      </c>
      <c r="C488" t="s">
        <v>1054</v>
      </c>
      <c r="D488" t="s">
        <v>1055</v>
      </c>
    </row>
    <row r="489" spans="1:4" x14ac:dyDescent="0.25">
      <c r="A489" t="s">
        <v>1038</v>
      </c>
      <c r="B489" t="s">
        <v>1039</v>
      </c>
      <c r="C489" t="s">
        <v>1056</v>
      </c>
      <c r="D489" t="s">
        <v>1057</v>
      </c>
    </row>
    <row r="490" spans="1:4" x14ac:dyDescent="0.25">
      <c r="A490" t="s">
        <v>1038</v>
      </c>
      <c r="B490" t="s">
        <v>1039</v>
      </c>
      <c r="C490" t="s">
        <v>1058</v>
      </c>
      <c r="D490" t="s">
        <v>1059</v>
      </c>
    </row>
    <row r="491" spans="1:4" x14ac:dyDescent="0.25">
      <c r="A491" t="s">
        <v>1038</v>
      </c>
      <c r="B491" t="s">
        <v>1039</v>
      </c>
      <c r="C491" t="s">
        <v>1060</v>
      </c>
      <c r="D491" t="s">
        <v>1061</v>
      </c>
    </row>
    <row r="492" spans="1:4" x14ac:dyDescent="0.25">
      <c r="A492" t="s">
        <v>1038</v>
      </c>
      <c r="B492" t="s">
        <v>1039</v>
      </c>
      <c r="C492" t="s">
        <v>1062</v>
      </c>
      <c r="D492" t="s">
        <v>1063</v>
      </c>
    </row>
    <row r="493" spans="1:4" x14ac:dyDescent="0.25">
      <c r="A493" t="s">
        <v>1038</v>
      </c>
      <c r="B493" t="s">
        <v>1039</v>
      </c>
      <c r="C493" t="s">
        <v>1064</v>
      </c>
      <c r="D493" t="s">
        <v>1065</v>
      </c>
    </row>
    <row r="494" spans="1:4" x14ac:dyDescent="0.25">
      <c r="A494" t="s">
        <v>1038</v>
      </c>
      <c r="B494" t="s">
        <v>1039</v>
      </c>
      <c r="C494" t="s">
        <v>1066</v>
      </c>
      <c r="D494" t="s">
        <v>1067</v>
      </c>
    </row>
    <row r="495" spans="1:4" x14ac:dyDescent="0.25">
      <c r="A495" t="s">
        <v>1038</v>
      </c>
      <c r="B495" t="s">
        <v>1039</v>
      </c>
      <c r="C495" t="s">
        <v>1068</v>
      </c>
      <c r="D495" t="s">
        <v>1069</v>
      </c>
    </row>
    <row r="496" spans="1:4" x14ac:dyDescent="0.25">
      <c r="A496" t="s">
        <v>1038</v>
      </c>
      <c r="B496" t="s">
        <v>1039</v>
      </c>
      <c r="C496" t="s">
        <v>1070</v>
      </c>
      <c r="D496" t="s">
        <v>1071</v>
      </c>
    </row>
    <row r="497" spans="1:4" x14ac:dyDescent="0.25">
      <c r="A497" t="s">
        <v>1038</v>
      </c>
      <c r="B497" t="s">
        <v>1039</v>
      </c>
      <c r="C497" t="s">
        <v>1072</v>
      </c>
      <c r="D497" t="s">
        <v>1073</v>
      </c>
    </row>
    <row r="498" spans="1:4" x14ac:dyDescent="0.25">
      <c r="A498" t="s">
        <v>1074</v>
      </c>
      <c r="B498" t="s">
        <v>1075</v>
      </c>
      <c r="C498" t="s">
        <v>1076</v>
      </c>
      <c r="D498" t="s">
        <v>1077</v>
      </c>
    </row>
    <row r="499" spans="1:4" x14ac:dyDescent="0.25">
      <c r="A499" t="s">
        <v>1074</v>
      </c>
      <c r="B499" t="s">
        <v>1075</v>
      </c>
      <c r="C499" t="s">
        <v>1078</v>
      </c>
      <c r="D499" t="s">
        <v>1079</v>
      </c>
    </row>
    <row r="500" spans="1:4" x14ac:dyDescent="0.25">
      <c r="A500" t="s">
        <v>1074</v>
      </c>
      <c r="B500" t="s">
        <v>1075</v>
      </c>
      <c r="C500" t="s">
        <v>1080</v>
      </c>
      <c r="D500" t="s">
        <v>1081</v>
      </c>
    </row>
    <row r="501" spans="1:4" x14ac:dyDescent="0.25">
      <c r="A501" t="s">
        <v>1074</v>
      </c>
      <c r="B501" t="s">
        <v>1075</v>
      </c>
      <c r="C501" t="s">
        <v>1082</v>
      </c>
      <c r="D501" t="s">
        <v>1083</v>
      </c>
    </row>
    <row r="502" spans="1:4" x14ac:dyDescent="0.25">
      <c r="A502" t="s">
        <v>1074</v>
      </c>
      <c r="B502" t="s">
        <v>1075</v>
      </c>
      <c r="C502" t="s">
        <v>1084</v>
      </c>
      <c r="D502" t="s">
        <v>1085</v>
      </c>
    </row>
    <row r="503" spans="1:4" x14ac:dyDescent="0.25">
      <c r="A503" t="s">
        <v>1074</v>
      </c>
      <c r="B503" t="s">
        <v>1075</v>
      </c>
      <c r="C503" t="s">
        <v>1086</v>
      </c>
      <c r="D503" t="s">
        <v>1087</v>
      </c>
    </row>
    <row r="504" spans="1:4" x14ac:dyDescent="0.25">
      <c r="A504" t="s">
        <v>1074</v>
      </c>
      <c r="B504" t="s">
        <v>1075</v>
      </c>
      <c r="C504" t="s">
        <v>1088</v>
      </c>
      <c r="D504" t="s">
        <v>1089</v>
      </c>
    </row>
    <row r="505" spans="1:4" x14ac:dyDescent="0.25">
      <c r="A505" t="s">
        <v>1074</v>
      </c>
      <c r="B505" t="s">
        <v>1075</v>
      </c>
      <c r="C505" t="s">
        <v>1090</v>
      </c>
      <c r="D505" t="s">
        <v>1091</v>
      </c>
    </row>
    <row r="506" spans="1:4" x14ac:dyDescent="0.25">
      <c r="A506" t="s">
        <v>1074</v>
      </c>
      <c r="B506" t="s">
        <v>1075</v>
      </c>
      <c r="C506" t="s">
        <v>1092</v>
      </c>
      <c r="D506" t="s">
        <v>1093</v>
      </c>
    </row>
    <row r="507" spans="1:4" x14ac:dyDescent="0.25">
      <c r="A507" t="s">
        <v>1074</v>
      </c>
      <c r="B507" t="s">
        <v>1075</v>
      </c>
      <c r="C507" t="s">
        <v>1094</v>
      </c>
      <c r="D507" t="s">
        <v>1095</v>
      </c>
    </row>
    <row r="508" spans="1:4" x14ac:dyDescent="0.25">
      <c r="A508" t="s">
        <v>1074</v>
      </c>
      <c r="B508" t="s">
        <v>1075</v>
      </c>
      <c r="C508" t="s">
        <v>1096</v>
      </c>
      <c r="D508" t="s">
        <v>1097</v>
      </c>
    </row>
    <row r="509" spans="1:4" x14ac:dyDescent="0.25">
      <c r="A509" t="s">
        <v>1074</v>
      </c>
      <c r="B509" t="s">
        <v>1075</v>
      </c>
      <c r="C509" t="s">
        <v>1098</v>
      </c>
      <c r="D509" t="s">
        <v>1099</v>
      </c>
    </row>
    <row r="510" spans="1:4" x14ac:dyDescent="0.25">
      <c r="A510" t="s">
        <v>1074</v>
      </c>
      <c r="B510" t="s">
        <v>1075</v>
      </c>
      <c r="C510" t="s">
        <v>1100</v>
      </c>
      <c r="D510" t="s">
        <v>1101</v>
      </c>
    </row>
    <row r="511" spans="1:4" x14ac:dyDescent="0.25">
      <c r="A511" t="s">
        <v>1074</v>
      </c>
      <c r="B511" t="s">
        <v>1075</v>
      </c>
      <c r="C511" t="s">
        <v>1102</v>
      </c>
      <c r="D511" t="s">
        <v>1103</v>
      </c>
    </row>
    <row r="512" spans="1:4" x14ac:dyDescent="0.25">
      <c r="A512" t="s">
        <v>1074</v>
      </c>
      <c r="B512" t="s">
        <v>1075</v>
      </c>
      <c r="C512" t="s">
        <v>1104</v>
      </c>
      <c r="D512" t="s">
        <v>1105</v>
      </c>
    </row>
    <row r="513" spans="1:4" x14ac:dyDescent="0.25">
      <c r="A513" t="s">
        <v>1106</v>
      </c>
      <c r="B513" t="s">
        <v>1107</v>
      </c>
      <c r="C513" t="s">
        <v>1108</v>
      </c>
      <c r="D513" t="s">
        <v>1109</v>
      </c>
    </row>
    <row r="514" spans="1:4" x14ac:dyDescent="0.25">
      <c r="A514" t="s">
        <v>1106</v>
      </c>
      <c r="B514" t="s">
        <v>1107</v>
      </c>
      <c r="C514" t="s">
        <v>1110</v>
      </c>
      <c r="D514" t="s">
        <v>1111</v>
      </c>
    </row>
    <row r="515" spans="1:4" x14ac:dyDescent="0.25">
      <c r="A515" t="s">
        <v>1106</v>
      </c>
      <c r="B515" t="s">
        <v>1107</v>
      </c>
      <c r="C515" t="s">
        <v>1112</v>
      </c>
      <c r="D515" t="s">
        <v>1113</v>
      </c>
    </row>
    <row r="516" spans="1:4" x14ac:dyDescent="0.25">
      <c r="A516" t="s">
        <v>1106</v>
      </c>
      <c r="B516" t="s">
        <v>1107</v>
      </c>
      <c r="C516" t="s">
        <v>1114</v>
      </c>
      <c r="D516" t="s">
        <v>1115</v>
      </c>
    </row>
    <row r="517" spans="1:4" x14ac:dyDescent="0.25">
      <c r="A517" t="s">
        <v>1106</v>
      </c>
      <c r="B517" t="s">
        <v>1107</v>
      </c>
      <c r="C517" t="s">
        <v>1116</v>
      </c>
      <c r="D517" t="s">
        <v>1117</v>
      </c>
    </row>
    <row r="518" spans="1:4" x14ac:dyDescent="0.25">
      <c r="A518" t="s">
        <v>1106</v>
      </c>
      <c r="B518" t="s">
        <v>1107</v>
      </c>
      <c r="C518" t="s">
        <v>1118</v>
      </c>
      <c r="D518" t="s">
        <v>1119</v>
      </c>
    </row>
    <row r="519" spans="1:4" x14ac:dyDescent="0.25">
      <c r="A519" t="s">
        <v>1120</v>
      </c>
      <c r="B519" t="s">
        <v>1121</v>
      </c>
      <c r="C519" t="s">
        <v>1122</v>
      </c>
      <c r="D519" t="s">
        <v>1123</v>
      </c>
    </row>
    <row r="520" spans="1:4" x14ac:dyDescent="0.25">
      <c r="A520" t="s">
        <v>1120</v>
      </c>
      <c r="B520" t="s">
        <v>1121</v>
      </c>
      <c r="C520" t="s">
        <v>1124</v>
      </c>
      <c r="D520" t="s">
        <v>1125</v>
      </c>
    </row>
    <row r="521" spans="1:4" x14ac:dyDescent="0.25">
      <c r="A521" t="s">
        <v>1120</v>
      </c>
      <c r="B521" t="s">
        <v>1121</v>
      </c>
      <c r="C521" t="s">
        <v>1126</v>
      </c>
      <c r="D521" t="s">
        <v>1127</v>
      </c>
    </row>
    <row r="522" spans="1:4" x14ac:dyDescent="0.25">
      <c r="A522" t="s">
        <v>1120</v>
      </c>
      <c r="B522" t="s">
        <v>1121</v>
      </c>
      <c r="C522" t="s">
        <v>1128</v>
      </c>
      <c r="D522" t="s">
        <v>1129</v>
      </c>
    </row>
    <row r="523" spans="1:4" x14ac:dyDescent="0.25">
      <c r="A523" t="s">
        <v>1130</v>
      </c>
      <c r="B523" t="s">
        <v>1131</v>
      </c>
      <c r="C523" t="s">
        <v>1132</v>
      </c>
      <c r="D523" t="s">
        <v>1133</v>
      </c>
    </row>
    <row r="524" spans="1:4" x14ac:dyDescent="0.25">
      <c r="A524" t="s">
        <v>1130</v>
      </c>
      <c r="B524" t="s">
        <v>1131</v>
      </c>
      <c r="C524" t="s">
        <v>1134</v>
      </c>
      <c r="D524" t="s">
        <v>1135</v>
      </c>
    </row>
    <row r="525" spans="1:4" x14ac:dyDescent="0.25">
      <c r="A525" t="s">
        <v>1130</v>
      </c>
      <c r="B525" t="s">
        <v>1131</v>
      </c>
      <c r="C525" t="s">
        <v>1136</v>
      </c>
      <c r="D525" t="s">
        <v>1137</v>
      </c>
    </row>
    <row r="526" spans="1:4" x14ac:dyDescent="0.25">
      <c r="A526" t="s">
        <v>1130</v>
      </c>
      <c r="B526" t="s">
        <v>1131</v>
      </c>
      <c r="C526" t="s">
        <v>1138</v>
      </c>
      <c r="D526" t="s">
        <v>1139</v>
      </c>
    </row>
    <row r="527" spans="1:4" x14ac:dyDescent="0.25">
      <c r="A527" t="s">
        <v>1130</v>
      </c>
      <c r="B527" t="s">
        <v>1131</v>
      </c>
      <c r="C527" t="s">
        <v>1140</v>
      </c>
      <c r="D527" t="s">
        <v>1141</v>
      </c>
    </row>
    <row r="528" spans="1:4" x14ac:dyDescent="0.25">
      <c r="A528" t="s">
        <v>1130</v>
      </c>
      <c r="B528" t="s">
        <v>1131</v>
      </c>
      <c r="C528" t="s">
        <v>1142</v>
      </c>
      <c r="D528" t="s">
        <v>1143</v>
      </c>
    </row>
    <row r="529" spans="1:4" x14ac:dyDescent="0.25">
      <c r="A529" t="s">
        <v>1130</v>
      </c>
      <c r="B529" t="s">
        <v>1131</v>
      </c>
      <c r="C529" t="s">
        <v>1144</v>
      </c>
      <c r="D529" t="s">
        <v>1145</v>
      </c>
    </row>
    <row r="530" spans="1:4" x14ac:dyDescent="0.25">
      <c r="A530" t="s">
        <v>1130</v>
      </c>
      <c r="B530" t="s">
        <v>1131</v>
      </c>
      <c r="C530" t="s">
        <v>1146</v>
      </c>
      <c r="D530" t="s">
        <v>1147</v>
      </c>
    </row>
    <row r="531" spans="1:4" x14ac:dyDescent="0.25">
      <c r="A531" t="s">
        <v>1130</v>
      </c>
      <c r="B531" t="s">
        <v>1131</v>
      </c>
      <c r="C531" t="s">
        <v>1148</v>
      </c>
      <c r="D531" t="s">
        <v>1149</v>
      </c>
    </row>
    <row r="532" spans="1:4" x14ac:dyDescent="0.25">
      <c r="A532" t="s">
        <v>1130</v>
      </c>
      <c r="B532" t="s">
        <v>1131</v>
      </c>
      <c r="C532" t="s">
        <v>1150</v>
      </c>
      <c r="D532" t="s">
        <v>1151</v>
      </c>
    </row>
    <row r="533" spans="1:4" x14ac:dyDescent="0.25">
      <c r="A533" t="s">
        <v>1130</v>
      </c>
      <c r="B533" t="s">
        <v>1131</v>
      </c>
      <c r="C533" t="s">
        <v>1152</v>
      </c>
      <c r="D533" t="s">
        <v>1153</v>
      </c>
    </row>
    <row r="534" spans="1:4" x14ac:dyDescent="0.25">
      <c r="A534" t="s">
        <v>1130</v>
      </c>
      <c r="B534" t="s">
        <v>1131</v>
      </c>
      <c r="C534" t="s">
        <v>1154</v>
      </c>
      <c r="D534" t="s">
        <v>1155</v>
      </c>
    </row>
    <row r="535" spans="1:4" x14ac:dyDescent="0.25">
      <c r="A535" t="s">
        <v>1130</v>
      </c>
      <c r="B535" t="s">
        <v>1131</v>
      </c>
      <c r="C535" t="s">
        <v>1156</v>
      </c>
      <c r="D535" t="s">
        <v>1157</v>
      </c>
    </row>
    <row r="536" spans="1:4" x14ac:dyDescent="0.25">
      <c r="A536" t="s">
        <v>1130</v>
      </c>
      <c r="B536" t="s">
        <v>1131</v>
      </c>
      <c r="C536" t="s">
        <v>1158</v>
      </c>
      <c r="D536" t="s">
        <v>1159</v>
      </c>
    </row>
    <row r="537" spans="1:4" x14ac:dyDescent="0.25">
      <c r="A537" t="s">
        <v>1130</v>
      </c>
      <c r="B537" t="s">
        <v>1131</v>
      </c>
      <c r="C537" t="s">
        <v>1160</v>
      </c>
      <c r="D537" t="s">
        <v>1161</v>
      </c>
    </row>
    <row r="538" spans="1:4" x14ac:dyDescent="0.25">
      <c r="A538" t="s">
        <v>1130</v>
      </c>
      <c r="B538" t="s">
        <v>1131</v>
      </c>
      <c r="C538" t="s">
        <v>1162</v>
      </c>
      <c r="D538" t="s">
        <v>1163</v>
      </c>
    </row>
    <row r="539" spans="1:4" x14ac:dyDescent="0.25">
      <c r="A539" t="s">
        <v>1130</v>
      </c>
      <c r="B539" t="s">
        <v>1131</v>
      </c>
      <c r="C539" t="s">
        <v>1164</v>
      </c>
      <c r="D539" t="s">
        <v>1165</v>
      </c>
    </row>
    <row r="540" spans="1:4" x14ac:dyDescent="0.25">
      <c r="A540" t="s">
        <v>1130</v>
      </c>
      <c r="B540" t="s">
        <v>1131</v>
      </c>
      <c r="C540" t="s">
        <v>1166</v>
      </c>
      <c r="D540" t="s">
        <v>1167</v>
      </c>
    </row>
    <row r="541" spans="1:4" x14ac:dyDescent="0.25">
      <c r="A541" t="s">
        <v>1130</v>
      </c>
      <c r="B541" t="s">
        <v>1131</v>
      </c>
      <c r="C541" t="s">
        <v>1168</v>
      </c>
      <c r="D541" t="s">
        <v>1169</v>
      </c>
    </row>
    <row r="542" spans="1:4" x14ac:dyDescent="0.25">
      <c r="A542" t="s">
        <v>1130</v>
      </c>
      <c r="B542" t="s">
        <v>1131</v>
      </c>
      <c r="C542" t="s">
        <v>1170</v>
      </c>
      <c r="D542" t="s">
        <v>1171</v>
      </c>
    </row>
    <row r="543" spans="1:4" x14ac:dyDescent="0.25">
      <c r="A543" t="s">
        <v>1130</v>
      </c>
      <c r="B543" t="s">
        <v>1131</v>
      </c>
      <c r="C543" t="s">
        <v>1172</v>
      </c>
      <c r="D543" t="s">
        <v>1173</v>
      </c>
    </row>
    <row r="544" spans="1:4" x14ac:dyDescent="0.25">
      <c r="A544" t="s">
        <v>1174</v>
      </c>
      <c r="B544" t="s">
        <v>1175</v>
      </c>
      <c r="C544" t="s">
        <v>1176</v>
      </c>
      <c r="D544" t="s">
        <v>1177</v>
      </c>
    </row>
    <row r="545" spans="1:4" x14ac:dyDescent="0.25">
      <c r="A545" t="s">
        <v>1174</v>
      </c>
      <c r="B545" t="s">
        <v>1175</v>
      </c>
      <c r="C545" t="s">
        <v>1178</v>
      </c>
      <c r="D545" t="s">
        <v>1179</v>
      </c>
    </row>
    <row r="546" spans="1:4" x14ac:dyDescent="0.25">
      <c r="A546" t="s">
        <v>1174</v>
      </c>
      <c r="B546" t="s">
        <v>1175</v>
      </c>
      <c r="C546" t="s">
        <v>1180</v>
      </c>
      <c r="D546" t="s">
        <v>1181</v>
      </c>
    </row>
    <row r="547" spans="1:4" x14ac:dyDescent="0.25">
      <c r="A547" t="s">
        <v>1174</v>
      </c>
      <c r="B547" t="s">
        <v>1175</v>
      </c>
      <c r="C547" t="s">
        <v>1182</v>
      </c>
      <c r="D547" t="s">
        <v>1183</v>
      </c>
    </row>
    <row r="548" spans="1:4" x14ac:dyDescent="0.25">
      <c r="A548" t="s">
        <v>1184</v>
      </c>
      <c r="B548" t="s">
        <v>1185</v>
      </c>
      <c r="C548" t="s">
        <v>1186</v>
      </c>
      <c r="D548" t="s">
        <v>1187</v>
      </c>
    </row>
    <row r="549" spans="1:4" x14ac:dyDescent="0.25">
      <c r="A549" t="s">
        <v>1184</v>
      </c>
      <c r="B549" t="s">
        <v>1185</v>
      </c>
      <c r="C549" t="s">
        <v>1188</v>
      </c>
      <c r="D549" t="s">
        <v>1189</v>
      </c>
    </row>
    <row r="550" spans="1:4" x14ac:dyDescent="0.25">
      <c r="A550" t="s">
        <v>1190</v>
      </c>
      <c r="B550" t="s">
        <v>1191</v>
      </c>
      <c r="C550" t="s">
        <v>1192</v>
      </c>
      <c r="D550" t="s">
        <v>1193</v>
      </c>
    </row>
    <row r="551" spans="1:4" x14ac:dyDescent="0.25">
      <c r="A551" t="s">
        <v>1190</v>
      </c>
      <c r="B551" t="s">
        <v>1191</v>
      </c>
      <c r="C551" t="s">
        <v>1194</v>
      </c>
      <c r="D551" t="s">
        <v>1195</v>
      </c>
    </row>
    <row r="552" spans="1:4" x14ac:dyDescent="0.25">
      <c r="A552" t="s">
        <v>1190</v>
      </c>
      <c r="B552" t="s">
        <v>1191</v>
      </c>
      <c r="C552" t="s">
        <v>1196</v>
      </c>
      <c r="D552" t="s">
        <v>1197</v>
      </c>
    </row>
    <row r="553" spans="1:4" x14ac:dyDescent="0.25">
      <c r="A553" t="s">
        <v>1190</v>
      </c>
      <c r="B553" t="s">
        <v>1191</v>
      </c>
      <c r="C553" t="s">
        <v>1198</v>
      </c>
      <c r="D553" t="s">
        <v>1199</v>
      </c>
    </row>
    <row r="554" spans="1:4" x14ac:dyDescent="0.25">
      <c r="A554" t="s">
        <v>1190</v>
      </c>
      <c r="B554" t="s">
        <v>1191</v>
      </c>
      <c r="C554" t="s">
        <v>1200</v>
      </c>
      <c r="D554" t="s">
        <v>1201</v>
      </c>
    </row>
    <row r="555" spans="1:4" x14ac:dyDescent="0.25">
      <c r="A555" t="s">
        <v>1190</v>
      </c>
      <c r="B555" t="s">
        <v>1191</v>
      </c>
      <c r="C555" t="s">
        <v>1202</v>
      </c>
      <c r="D555" t="s">
        <v>1203</v>
      </c>
    </row>
    <row r="556" spans="1:4" x14ac:dyDescent="0.25">
      <c r="A556" t="s">
        <v>1190</v>
      </c>
      <c r="B556" t="s">
        <v>1191</v>
      </c>
      <c r="C556" t="s">
        <v>1204</v>
      </c>
      <c r="D556" t="s">
        <v>1205</v>
      </c>
    </row>
    <row r="557" spans="1:4" x14ac:dyDescent="0.25">
      <c r="A557" t="s">
        <v>1206</v>
      </c>
      <c r="B557" t="s">
        <v>1207</v>
      </c>
      <c r="C557" t="s">
        <v>1208</v>
      </c>
      <c r="D557" t="s">
        <v>1209</v>
      </c>
    </row>
    <row r="558" spans="1:4" x14ac:dyDescent="0.25">
      <c r="A558" t="s">
        <v>1206</v>
      </c>
      <c r="B558" t="s">
        <v>1207</v>
      </c>
      <c r="C558" t="s">
        <v>1210</v>
      </c>
      <c r="D558" t="s">
        <v>1211</v>
      </c>
    </row>
    <row r="559" spans="1:4" x14ac:dyDescent="0.25">
      <c r="A559" t="s">
        <v>1206</v>
      </c>
      <c r="B559" t="s">
        <v>1207</v>
      </c>
      <c r="C559" t="s">
        <v>1212</v>
      </c>
      <c r="D559" t="s">
        <v>1213</v>
      </c>
    </row>
    <row r="560" spans="1:4" x14ac:dyDescent="0.25">
      <c r="A560" t="s">
        <v>1206</v>
      </c>
      <c r="B560" t="s">
        <v>1207</v>
      </c>
      <c r="C560" t="s">
        <v>1214</v>
      </c>
      <c r="D560" t="s">
        <v>1215</v>
      </c>
    </row>
    <row r="561" spans="1:4" x14ac:dyDescent="0.25">
      <c r="A561" t="s">
        <v>1206</v>
      </c>
      <c r="B561" t="s">
        <v>1207</v>
      </c>
      <c r="C561" t="s">
        <v>1216</v>
      </c>
      <c r="D561" t="s">
        <v>1217</v>
      </c>
    </row>
    <row r="562" spans="1:4" x14ac:dyDescent="0.25">
      <c r="A562" t="s">
        <v>1206</v>
      </c>
      <c r="B562" t="s">
        <v>1207</v>
      </c>
      <c r="C562" t="s">
        <v>1218</v>
      </c>
      <c r="D562" t="s">
        <v>1219</v>
      </c>
    </row>
    <row r="563" spans="1:4" x14ac:dyDescent="0.25">
      <c r="A563" t="s">
        <v>1206</v>
      </c>
      <c r="B563" t="s">
        <v>1207</v>
      </c>
      <c r="C563" t="s">
        <v>1220</v>
      </c>
      <c r="D563" t="s">
        <v>1221</v>
      </c>
    </row>
    <row r="564" spans="1:4" x14ac:dyDescent="0.25">
      <c r="A564" t="s">
        <v>1206</v>
      </c>
      <c r="B564" t="s">
        <v>1207</v>
      </c>
      <c r="C564" t="s">
        <v>1222</v>
      </c>
      <c r="D564" t="s">
        <v>1223</v>
      </c>
    </row>
    <row r="565" spans="1:4" x14ac:dyDescent="0.25">
      <c r="A565" t="s">
        <v>1206</v>
      </c>
      <c r="B565" t="s">
        <v>1207</v>
      </c>
      <c r="C565" t="s">
        <v>1224</v>
      </c>
      <c r="D565" t="s">
        <v>1225</v>
      </c>
    </row>
    <row r="566" spans="1:4" x14ac:dyDescent="0.25">
      <c r="A566" t="s">
        <v>1206</v>
      </c>
      <c r="B566" t="s">
        <v>1207</v>
      </c>
      <c r="C566" t="s">
        <v>1226</v>
      </c>
      <c r="D566" t="s">
        <v>1227</v>
      </c>
    </row>
    <row r="567" spans="1:4" x14ac:dyDescent="0.25">
      <c r="A567" t="s">
        <v>1206</v>
      </c>
      <c r="B567" t="s">
        <v>1207</v>
      </c>
      <c r="C567" t="s">
        <v>1228</v>
      </c>
      <c r="D567" t="s">
        <v>1229</v>
      </c>
    </row>
    <row r="568" spans="1:4" x14ac:dyDescent="0.25">
      <c r="A568" t="s">
        <v>1206</v>
      </c>
      <c r="B568" t="s">
        <v>1207</v>
      </c>
      <c r="C568" t="s">
        <v>1230</v>
      </c>
      <c r="D568" t="s">
        <v>1231</v>
      </c>
    </row>
    <row r="569" spans="1:4" x14ac:dyDescent="0.25">
      <c r="A569" t="s">
        <v>1206</v>
      </c>
      <c r="B569" t="s">
        <v>1207</v>
      </c>
      <c r="C569" t="s">
        <v>1232</v>
      </c>
      <c r="D569" t="s">
        <v>1233</v>
      </c>
    </row>
    <row r="570" spans="1:4" x14ac:dyDescent="0.25">
      <c r="A570" t="s">
        <v>1206</v>
      </c>
      <c r="B570" t="s">
        <v>1207</v>
      </c>
      <c r="C570" t="s">
        <v>1234</v>
      </c>
      <c r="D570" t="s">
        <v>1235</v>
      </c>
    </row>
    <row r="571" spans="1:4" x14ac:dyDescent="0.25">
      <c r="A571" t="s">
        <v>1206</v>
      </c>
      <c r="B571" t="s">
        <v>1207</v>
      </c>
      <c r="C571" t="s">
        <v>1236</v>
      </c>
      <c r="D571" t="s">
        <v>1237</v>
      </c>
    </row>
    <row r="572" spans="1:4" x14ac:dyDescent="0.25">
      <c r="A572" t="s">
        <v>1206</v>
      </c>
      <c r="B572" t="s">
        <v>1207</v>
      </c>
      <c r="C572" t="s">
        <v>1238</v>
      </c>
      <c r="D572" t="s">
        <v>1239</v>
      </c>
    </row>
    <row r="573" spans="1:4" x14ac:dyDescent="0.25">
      <c r="A573" t="s">
        <v>1206</v>
      </c>
      <c r="B573" t="s">
        <v>1207</v>
      </c>
      <c r="C573" t="s">
        <v>1240</v>
      </c>
      <c r="D573" t="s">
        <v>1241</v>
      </c>
    </row>
    <row r="574" spans="1:4" x14ac:dyDescent="0.25">
      <c r="A574" t="s">
        <v>1206</v>
      </c>
      <c r="B574" t="s">
        <v>1207</v>
      </c>
      <c r="C574" t="s">
        <v>1242</v>
      </c>
      <c r="D574" t="s">
        <v>1243</v>
      </c>
    </row>
    <row r="575" spans="1:4" x14ac:dyDescent="0.25">
      <c r="A575" t="s">
        <v>1206</v>
      </c>
      <c r="B575" t="s">
        <v>1207</v>
      </c>
      <c r="C575" t="s">
        <v>1244</v>
      </c>
      <c r="D575" t="s">
        <v>1245</v>
      </c>
    </row>
    <row r="576" spans="1:4" x14ac:dyDescent="0.25">
      <c r="A576" t="s">
        <v>1206</v>
      </c>
      <c r="B576" t="s">
        <v>1207</v>
      </c>
      <c r="C576" t="s">
        <v>1246</v>
      </c>
      <c r="D576" t="s">
        <v>1247</v>
      </c>
    </row>
    <row r="577" spans="1:4" x14ac:dyDescent="0.25">
      <c r="A577" t="s">
        <v>1206</v>
      </c>
      <c r="B577" t="s">
        <v>1207</v>
      </c>
      <c r="C577" t="s">
        <v>1248</v>
      </c>
      <c r="D577" t="s">
        <v>1249</v>
      </c>
    </row>
    <row r="578" spans="1:4" x14ac:dyDescent="0.25">
      <c r="A578" t="s">
        <v>1206</v>
      </c>
      <c r="B578" t="s">
        <v>1207</v>
      </c>
      <c r="C578" t="s">
        <v>1250</v>
      </c>
      <c r="D578" t="s">
        <v>1251</v>
      </c>
    </row>
    <row r="579" spans="1:4" x14ac:dyDescent="0.25">
      <c r="A579" t="s">
        <v>1206</v>
      </c>
      <c r="B579" t="s">
        <v>1207</v>
      </c>
      <c r="C579" t="s">
        <v>1252</v>
      </c>
      <c r="D579" t="s">
        <v>1253</v>
      </c>
    </row>
    <row r="580" spans="1:4" x14ac:dyDescent="0.25">
      <c r="A580" t="s">
        <v>1254</v>
      </c>
      <c r="B580" t="s">
        <v>1255</v>
      </c>
      <c r="C580" t="s">
        <v>1256</v>
      </c>
      <c r="D580" t="s">
        <v>1257</v>
      </c>
    </row>
    <row r="581" spans="1:4" x14ac:dyDescent="0.25">
      <c r="A581" t="s">
        <v>1254</v>
      </c>
      <c r="B581" t="s">
        <v>1255</v>
      </c>
      <c r="C581" t="s">
        <v>1258</v>
      </c>
      <c r="D581" t="s">
        <v>1259</v>
      </c>
    </row>
    <row r="582" spans="1:4" x14ac:dyDescent="0.25">
      <c r="A582" t="s">
        <v>1254</v>
      </c>
      <c r="B582" t="s">
        <v>1255</v>
      </c>
      <c r="C582" t="s">
        <v>1260</v>
      </c>
      <c r="D582" t="s">
        <v>1261</v>
      </c>
    </row>
    <row r="583" spans="1:4" x14ac:dyDescent="0.25">
      <c r="A583" t="s">
        <v>1254</v>
      </c>
      <c r="B583" t="s">
        <v>1255</v>
      </c>
      <c r="C583" t="s">
        <v>1262</v>
      </c>
      <c r="D583" t="s">
        <v>1263</v>
      </c>
    </row>
    <row r="584" spans="1:4" x14ac:dyDescent="0.25">
      <c r="A584" t="s">
        <v>1254</v>
      </c>
      <c r="B584" t="s">
        <v>1255</v>
      </c>
      <c r="C584" t="s">
        <v>1264</v>
      </c>
      <c r="D584" t="s">
        <v>1265</v>
      </c>
    </row>
    <row r="585" spans="1:4" x14ac:dyDescent="0.25">
      <c r="A585" t="s">
        <v>1254</v>
      </c>
      <c r="B585" t="s">
        <v>1255</v>
      </c>
      <c r="C585" t="s">
        <v>1266</v>
      </c>
      <c r="D585" t="s">
        <v>1267</v>
      </c>
    </row>
    <row r="586" spans="1:4" x14ac:dyDescent="0.25">
      <c r="A586" t="s">
        <v>1254</v>
      </c>
      <c r="B586" t="s">
        <v>1255</v>
      </c>
      <c r="C586" t="s">
        <v>1268</v>
      </c>
      <c r="D586" t="s">
        <v>1269</v>
      </c>
    </row>
    <row r="587" spans="1:4" x14ac:dyDescent="0.25">
      <c r="A587" t="s">
        <v>1254</v>
      </c>
      <c r="B587" t="s">
        <v>1255</v>
      </c>
      <c r="C587" t="s">
        <v>1270</v>
      </c>
      <c r="D587" t="s">
        <v>1271</v>
      </c>
    </row>
    <row r="588" spans="1:4" x14ac:dyDescent="0.25">
      <c r="A588" t="s">
        <v>1254</v>
      </c>
      <c r="B588" t="s">
        <v>1255</v>
      </c>
      <c r="C588" t="s">
        <v>1272</v>
      </c>
      <c r="D588" t="s">
        <v>1273</v>
      </c>
    </row>
    <row r="589" spans="1:4" x14ac:dyDescent="0.25">
      <c r="A589" t="s">
        <v>1254</v>
      </c>
      <c r="B589" t="s">
        <v>1255</v>
      </c>
      <c r="C589" t="s">
        <v>1274</v>
      </c>
      <c r="D589" t="s">
        <v>1275</v>
      </c>
    </row>
    <row r="590" spans="1:4" x14ac:dyDescent="0.25">
      <c r="A590" t="s">
        <v>1254</v>
      </c>
      <c r="B590" t="s">
        <v>1255</v>
      </c>
      <c r="C590" t="s">
        <v>1276</v>
      </c>
      <c r="D590" t="s">
        <v>1277</v>
      </c>
    </row>
    <row r="591" spans="1:4" x14ac:dyDescent="0.25">
      <c r="A591" t="s">
        <v>1278</v>
      </c>
      <c r="B591" t="s">
        <v>1279</v>
      </c>
      <c r="C591" t="s">
        <v>1280</v>
      </c>
      <c r="D591" t="s">
        <v>1281</v>
      </c>
    </row>
    <row r="592" spans="1:4" x14ac:dyDescent="0.25">
      <c r="A592" t="s">
        <v>1278</v>
      </c>
      <c r="B592" t="s">
        <v>1279</v>
      </c>
      <c r="C592" t="s">
        <v>1282</v>
      </c>
      <c r="D592" t="s">
        <v>1283</v>
      </c>
    </row>
    <row r="593" spans="1:4" x14ac:dyDescent="0.25">
      <c r="A593" t="s">
        <v>1278</v>
      </c>
      <c r="B593" t="s">
        <v>1279</v>
      </c>
      <c r="C593" t="s">
        <v>1284</v>
      </c>
      <c r="D593" t="s">
        <v>1285</v>
      </c>
    </row>
    <row r="594" spans="1:4" x14ac:dyDescent="0.25">
      <c r="A594" t="s">
        <v>1278</v>
      </c>
      <c r="B594" t="s">
        <v>1279</v>
      </c>
      <c r="C594" t="s">
        <v>1286</v>
      </c>
      <c r="D594" t="s">
        <v>1287</v>
      </c>
    </row>
    <row r="595" spans="1:4" x14ac:dyDescent="0.25">
      <c r="A595" t="s">
        <v>1278</v>
      </c>
      <c r="B595" t="s">
        <v>1279</v>
      </c>
      <c r="C595" t="s">
        <v>1288</v>
      </c>
      <c r="D595" t="s">
        <v>1289</v>
      </c>
    </row>
    <row r="596" spans="1:4" x14ac:dyDescent="0.25">
      <c r="A596" t="s">
        <v>1278</v>
      </c>
      <c r="B596" t="s">
        <v>1279</v>
      </c>
      <c r="C596" t="s">
        <v>1290</v>
      </c>
      <c r="D596" t="s">
        <v>1291</v>
      </c>
    </row>
    <row r="597" spans="1:4" x14ac:dyDescent="0.25">
      <c r="A597" t="s">
        <v>1278</v>
      </c>
      <c r="B597" t="s">
        <v>1279</v>
      </c>
      <c r="C597" t="s">
        <v>1292</v>
      </c>
      <c r="D597" t="s">
        <v>1293</v>
      </c>
    </row>
    <row r="598" spans="1:4" x14ac:dyDescent="0.25">
      <c r="A598" t="s">
        <v>1294</v>
      </c>
      <c r="B598" t="s">
        <v>1295</v>
      </c>
      <c r="C598" t="s">
        <v>1296</v>
      </c>
      <c r="D598" t="s">
        <v>1297</v>
      </c>
    </row>
    <row r="599" spans="1:4" x14ac:dyDescent="0.25">
      <c r="A599" t="s">
        <v>1294</v>
      </c>
      <c r="B599" t="s">
        <v>1295</v>
      </c>
      <c r="C599" t="s">
        <v>1298</v>
      </c>
      <c r="D599" t="s">
        <v>1299</v>
      </c>
    </row>
    <row r="600" spans="1:4" x14ac:dyDescent="0.25">
      <c r="A600" t="s">
        <v>1294</v>
      </c>
      <c r="B600" t="s">
        <v>1295</v>
      </c>
      <c r="C600" t="s">
        <v>1300</v>
      </c>
      <c r="D600" t="s">
        <v>1301</v>
      </c>
    </row>
    <row r="601" spans="1:4" x14ac:dyDescent="0.25">
      <c r="A601" t="s">
        <v>1294</v>
      </c>
      <c r="B601" t="s">
        <v>1295</v>
      </c>
      <c r="C601" t="s">
        <v>1302</v>
      </c>
      <c r="D601" t="s">
        <v>1303</v>
      </c>
    </row>
    <row r="602" spans="1:4" x14ac:dyDescent="0.25">
      <c r="A602" t="s">
        <v>1294</v>
      </c>
      <c r="B602" t="s">
        <v>1295</v>
      </c>
      <c r="C602" t="s">
        <v>1304</v>
      </c>
      <c r="D602" t="s">
        <v>1305</v>
      </c>
    </row>
    <row r="603" spans="1:4" x14ac:dyDescent="0.25">
      <c r="A603" t="s">
        <v>1294</v>
      </c>
      <c r="B603" t="s">
        <v>1295</v>
      </c>
      <c r="C603" t="s">
        <v>1306</v>
      </c>
      <c r="D603" t="s">
        <v>1307</v>
      </c>
    </row>
    <row r="604" spans="1:4" x14ac:dyDescent="0.25">
      <c r="A604" t="s">
        <v>1294</v>
      </c>
      <c r="B604" t="s">
        <v>1295</v>
      </c>
      <c r="C604" t="s">
        <v>1308</v>
      </c>
      <c r="D604" t="s">
        <v>1309</v>
      </c>
    </row>
    <row r="605" spans="1:4" x14ac:dyDescent="0.25">
      <c r="A605" t="s">
        <v>1294</v>
      </c>
      <c r="B605" t="s">
        <v>1295</v>
      </c>
      <c r="C605" t="s">
        <v>1310</v>
      </c>
      <c r="D605" t="s">
        <v>1311</v>
      </c>
    </row>
    <row r="606" spans="1:4" x14ac:dyDescent="0.25">
      <c r="A606" t="s">
        <v>1294</v>
      </c>
      <c r="B606" t="s">
        <v>1295</v>
      </c>
      <c r="C606" t="s">
        <v>1312</v>
      </c>
      <c r="D606" t="s">
        <v>1313</v>
      </c>
    </row>
    <row r="607" spans="1:4" x14ac:dyDescent="0.25">
      <c r="A607" t="s">
        <v>1294</v>
      </c>
      <c r="B607" t="s">
        <v>1295</v>
      </c>
      <c r="C607" t="s">
        <v>1314</v>
      </c>
      <c r="D607" t="s">
        <v>1315</v>
      </c>
    </row>
    <row r="608" spans="1:4" x14ac:dyDescent="0.25">
      <c r="A608" t="s">
        <v>1294</v>
      </c>
      <c r="B608" t="s">
        <v>1295</v>
      </c>
      <c r="C608" t="s">
        <v>1316</v>
      </c>
      <c r="D608" t="s">
        <v>1317</v>
      </c>
    </row>
    <row r="609" spans="1:4" x14ac:dyDescent="0.25">
      <c r="A609" t="s">
        <v>1294</v>
      </c>
      <c r="B609" t="s">
        <v>1295</v>
      </c>
      <c r="C609" t="s">
        <v>1318</v>
      </c>
      <c r="D609" t="s">
        <v>1319</v>
      </c>
    </row>
    <row r="610" spans="1:4" x14ac:dyDescent="0.25">
      <c r="A610" t="s">
        <v>1294</v>
      </c>
      <c r="B610" t="s">
        <v>1295</v>
      </c>
      <c r="C610" t="s">
        <v>1320</v>
      </c>
      <c r="D610" t="s">
        <v>1321</v>
      </c>
    </row>
    <row r="611" spans="1:4" x14ac:dyDescent="0.25">
      <c r="A611" t="s">
        <v>1322</v>
      </c>
      <c r="B611" t="s">
        <v>1323</v>
      </c>
      <c r="C611" t="s">
        <v>1324</v>
      </c>
      <c r="D611" t="s">
        <v>1325</v>
      </c>
    </row>
    <row r="612" spans="1:4" x14ac:dyDescent="0.25">
      <c r="A612" t="s">
        <v>1322</v>
      </c>
      <c r="B612" t="s">
        <v>1323</v>
      </c>
      <c r="C612" t="s">
        <v>1326</v>
      </c>
      <c r="D612" t="s">
        <v>1327</v>
      </c>
    </row>
    <row r="613" spans="1:4" x14ac:dyDescent="0.25">
      <c r="A613" t="s">
        <v>1322</v>
      </c>
      <c r="B613" t="s">
        <v>1323</v>
      </c>
      <c r="C613" t="s">
        <v>1328</v>
      </c>
      <c r="D613" t="s">
        <v>1329</v>
      </c>
    </row>
    <row r="614" spans="1:4" x14ac:dyDescent="0.25">
      <c r="A614" t="s">
        <v>1322</v>
      </c>
      <c r="B614" t="s">
        <v>1323</v>
      </c>
      <c r="C614" t="s">
        <v>1330</v>
      </c>
      <c r="D614" t="s">
        <v>1331</v>
      </c>
    </row>
    <row r="615" spans="1:4" x14ac:dyDescent="0.25">
      <c r="A615" t="s">
        <v>1322</v>
      </c>
      <c r="B615" t="s">
        <v>1323</v>
      </c>
      <c r="C615" t="s">
        <v>1332</v>
      </c>
      <c r="D615" t="s">
        <v>1333</v>
      </c>
    </row>
    <row r="616" spans="1:4" x14ac:dyDescent="0.25">
      <c r="A616" t="s">
        <v>1322</v>
      </c>
      <c r="B616" t="s">
        <v>1323</v>
      </c>
      <c r="C616" t="s">
        <v>1334</v>
      </c>
      <c r="D616" t="s">
        <v>1335</v>
      </c>
    </row>
    <row r="617" spans="1:4" x14ac:dyDescent="0.25">
      <c r="A617" t="s">
        <v>1322</v>
      </c>
      <c r="B617" t="s">
        <v>1323</v>
      </c>
      <c r="C617" t="s">
        <v>1336</v>
      </c>
      <c r="D617" t="s">
        <v>1337</v>
      </c>
    </row>
    <row r="618" spans="1:4" x14ac:dyDescent="0.25">
      <c r="A618" t="s">
        <v>1322</v>
      </c>
      <c r="B618" t="s">
        <v>1323</v>
      </c>
      <c r="C618" t="s">
        <v>1338</v>
      </c>
      <c r="D618" t="s">
        <v>1339</v>
      </c>
    </row>
    <row r="619" spans="1:4" x14ac:dyDescent="0.25">
      <c r="A619" t="s">
        <v>1322</v>
      </c>
      <c r="B619" t="s">
        <v>1323</v>
      </c>
      <c r="C619" t="s">
        <v>1340</v>
      </c>
      <c r="D619" t="s">
        <v>1341</v>
      </c>
    </row>
    <row r="620" spans="1:4" x14ac:dyDescent="0.25">
      <c r="A620" t="s">
        <v>1322</v>
      </c>
      <c r="B620" t="s">
        <v>1323</v>
      </c>
      <c r="C620" t="s">
        <v>1342</v>
      </c>
      <c r="D620" t="s">
        <v>1343</v>
      </c>
    </row>
    <row r="621" spans="1:4" x14ac:dyDescent="0.25">
      <c r="A621" t="s">
        <v>1322</v>
      </c>
      <c r="B621" t="s">
        <v>1323</v>
      </c>
      <c r="C621" t="s">
        <v>1344</v>
      </c>
      <c r="D621" t="s">
        <v>1345</v>
      </c>
    </row>
    <row r="622" spans="1:4" x14ac:dyDescent="0.25">
      <c r="A622" t="s">
        <v>1322</v>
      </c>
      <c r="B622" t="s">
        <v>1323</v>
      </c>
      <c r="C622" t="s">
        <v>1346</v>
      </c>
      <c r="D622" t="s">
        <v>1347</v>
      </c>
    </row>
    <row r="623" spans="1:4" x14ac:dyDescent="0.25">
      <c r="A623" t="s">
        <v>1348</v>
      </c>
      <c r="B623" t="s">
        <v>1349</v>
      </c>
      <c r="C623" t="s">
        <v>1350</v>
      </c>
      <c r="D623" t="s">
        <v>1351</v>
      </c>
    </row>
    <row r="624" spans="1:4" x14ac:dyDescent="0.25">
      <c r="A624" t="s">
        <v>1348</v>
      </c>
      <c r="B624" t="s">
        <v>1349</v>
      </c>
      <c r="C624" t="s">
        <v>1352</v>
      </c>
      <c r="D624" t="s">
        <v>1353</v>
      </c>
    </row>
    <row r="625" spans="1:4" x14ac:dyDescent="0.25">
      <c r="A625" t="s">
        <v>1348</v>
      </c>
      <c r="B625" t="s">
        <v>1349</v>
      </c>
      <c r="C625" t="s">
        <v>1354</v>
      </c>
      <c r="D625" t="s">
        <v>1355</v>
      </c>
    </row>
    <row r="626" spans="1:4" x14ac:dyDescent="0.25">
      <c r="A626" t="s">
        <v>1348</v>
      </c>
      <c r="B626" t="s">
        <v>1349</v>
      </c>
      <c r="C626" t="s">
        <v>1356</v>
      </c>
      <c r="D626" t="s">
        <v>1357</v>
      </c>
    </row>
    <row r="627" spans="1:4" x14ac:dyDescent="0.25">
      <c r="A627" t="s">
        <v>1348</v>
      </c>
      <c r="B627" t="s">
        <v>1349</v>
      </c>
      <c r="C627" t="s">
        <v>1358</v>
      </c>
      <c r="D627" t="s">
        <v>1359</v>
      </c>
    </row>
    <row r="628" spans="1:4" x14ac:dyDescent="0.25">
      <c r="A628" t="s">
        <v>1348</v>
      </c>
      <c r="B628" t="s">
        <v>1349</v>
      </c>
      <c r="C628" t="s">
        <v>1360</v>
      </c>
      <c r="D628" t="s">
        <v>1361</v>
      </c>
    </row>
    <row r="629" spans="1:4" x14ac:dyDescent="0.25">
      <c r="A629" t="s">
        <v>1348</v>
      </c>
      <c r="B629" t="s">
        <v>1349</v>
      </c>
      <c r="C629" t="s">
        <v>1362</v>
      </c>
      <c r="D629" t="s">
        <v>1363</v>
      </c>
    </row>
    <row r="630" spans="1:4" x14ac:dyDescent="0.25">
      <c r="A630" t="s">
        <v>1348</v>
      </c>
      <c r="B630" t="s">
        <v>1349</v>
      </c>
      <c r="C630" t="s">
        <v>1364</v>
      </c>
      <c r="D630" t="s">
        <v>1365</v>
      </c>
    </row>
    <row r="631" spans="1:4" x14ac:dyDescent="0.25">
      <c r="A631" t="s">
        <v>1348</v>
      </c>
      <c r="B631" t="s">
        <v>1349</v>
      </c>
      <c r="C631" t="s">
        <v>1366</v>
      </c>
      <c r="D631" t="s">
        <v>1367</v>
      </c>
    </row>
    <row r="632" spans="1:4" x14ac:dyDescent="0.25">
      <c r="A632" t="s">
        <v>1348</v>
      </c>
      <c r="B632" t="s">
        <v>1349</v>
      </c>
      <c r="C632" t="s">
        <v>1368</v>
      </c>
      <c r="D632" t="s">
        <v>1369</v>
      </c>
    </row>
    <row r="633" spans="1:4" x14ac:dyDescent="0.25">
      <c r="A633" t="s">
        <v>1348</v>
      </c>
      <c r="B633" t="s">
        <v>1349</v>
      </c>
      <c r="C633" t="s">
        <v>1370</v>
      </c>
      <c r="D633" t="s">
        <v>1371</v>
      </c>
    </row>
    <row r="634" spans="1:4" x14ac:dyDescent="0.25">
      <c r="A634" t="s">
        <v>1372</v>
      </c>
      <c r="B634" t="s">
        <v>1373</v>
      </c>
      <c r="C634" t="s">
        <v>1374</v>
      </c>
      <c r="D634" t="s">
        <v>1375</v>
      </c>
    </row>
    <row r="635" spans="1:4" x14ac:dyDescent="0.25">
      <c r="A635" t="s">
        <v>1372</v>
      </c>
      <c r="B635" t="s">
        <v>1373</v>
      </c>
      <c r="C635" t="s">
        <v>1376</v>
      </c>
      <c r="D635" t="s">
        <v>1377</v>
      </c>
    </row>
    <row r="636" spans="1:4" x14ac:dyDescent="0.25">
      <c r="A636" t="s">
        <v>1372</v>
      </c>
      <c r="B636" t="s">
        <v>1373</v>
      </c>
      <c r="C636" t="s">
        <v>1378</v>
      </c>
      <c r="D636" t="s">
        <v>1379</v>
      </c>
    </row>
    <row r="637" spans="1:4" x14ac:dyDescent="0.25">
      <c r="A637" t="s">
        <v>1372</v>
      </c>
      <c r="B637" t="s">
        <v>1373</v>
      </c>
      <c r="C637" t="s">
        <v>1380</v>
      </c>
      <c r="D637" t="s">
        <v>1381</v>
      </c>
    </row>
    <row r="638" spans="1:4" x14ac:dyDescent="0.25">
      <c r="A638" t="s">
        <v>1372</v>
      </c>
      <c r="B638" t="s">
        <v>1373</v>
      </c>
      <c r="C638" t="s">
        <v>1382</v>
      </c>
      <c r="D638" t="s">
        <v>1383</v>
      </c>
    </row>
    <row r="639" spans="1:4" x14ac:dyDescent="0.25">
      <c r="A639" t="s">
        <v>1372</v>
      </c>
      <c r="B639" t="s">
        <v>1373</v>
      </c>
      <c r="C639" t="s">
        <v>1384</v>
      </c>
      <c r="D639" t="s">
        <v>1385</v>
      </c>
    </row>
    <row r="640" spans="1:4" x14ac:dyDescent="0.25">
      <c r="A640" t="s">
        <v>1372</v>
      </c>
      <c r="B640" t="s">
        <v>1373</v>
      </c>
      <c r="C640" t="s">
        <v>1386</v>
      </c>
      <c r="D640" t="s">
        <v>1387</v>
      </c>
    </row>
    <row r="641" spans="1:4" x14ac:dyDescent="0.25">
      <c r="A641" t="s">
        <v>1372</v>
      </c>
      <c r="B641" t="s">
        <v>1373</v>
      </c>
      <c r="C641" t="s">
        <v>1388</v>
      </c>
      <c r="D641" t="s">
        <v>1389</v>
      </c>
    </row>
    <row r="642" spans="1:4" x14ac:dyDescent="0.25">
      <c r="A642" t="s">
        <v>1390</v>
      </c>
      <c r="B642" t="s">
        <v>1391</v>
      </c>
      <c r="C642" t="s">
        <v>1392</v>
      </c>
      <c r="D642" t="s">
        <v>1393</v>
      </c>
    </row>
    <row r="643" spans="1:4" x14ac:dyDescent="0.25">
      <c r="A643" t="s">
        <v>1390</v>
      </c>
      <c r="B643" t="s">
        <v>1391</v>
      </c>
      <c r="C643" t="s">
        <v>1394</v>
      </c>
      <c r="D643" t="s">
        <v>1395</v>
      </c>
    </row>
    <row r="644" spans="1:4" x14ac:dyDescent="0.25">
      <c r="A644" t="s">
        <v>1390</v>
      </c>
      <c r="B644" t="s">
        <v>1391</v>
      </c>
      <c r="C644" t="s">
        <v>1396</v>
      </c>
      <c r="D644" t="s">
        <v>1397</v>
      </c>
    </row>
    <row r="645" spans="1:4" x14ac:dyDescent="0.25">
      <c r="A645" t="s">
        <v>1390</v>
      </c>
      <c r="B645" t="s">
        <v>1391</v>
      </c>
      <c r="C645" t="s">
        <v>1398</v>
      </c>
      <c r="D645" t="s">
        <v>1399</v>
      </c>
    </row>
    <row r="646" spans="1:4" x14ac:dyDescent="0.25">
      <c r="A646" t="s">
        <v>1390</v>
      </c>
      <c r="B646" t="s">
        <v>1391</v>
      </c>
      <c r="C646" t="s">
        <v>1400</v>
      </c>
      <c r="D646" t="s">
        <v>1401</v>
      </c>
    </row>
    <row r="647" spans="1:4" x14ac:dyDescent="0.25">
      <c r="A647" t="s">
        <v>1390</v>
      </c>
      <c r="B647" t="s">
        <v>1391</v>
      </c>
      <c r="C647" t="s">
        <v>1402</v>
      </c>
      <c r="D647" t="s">
        <v>1403</v>
      </c>
    </row>
    <row r="648" spans="1:4" x14ac:dyDescent="0.25">
      <c r="A648" t="s">
        <v>1390</v>
      </c>
      <c r="B648" t="s">
        <v>1391</v>
      </c>
      <c r="C648" t="s">
        <v>1404</v>
      </c>
      <c r="D648" t="s">
        <v>1405</v>
      </c>
    </row>
    <row r="649" spans="1:4" x14ac:dyDescent="0.25">
      <c r="A649" t="s">
        <v>1390</v>
      </c>
      <c r="B649" t="s">
        <v>1391</v>
      </c>
      <c r="C649" t="s">
        <v>1406</v>
      </c>
      <c r="D649" t="s">
        <v>1407</v>
      </c>
    </row>
    <row r="650" spans="1:4" x14ac:dyDescent="0.25">
      <c r="A650" t="s">
        <v>1390</v>
      </c>
      <c r="B650" t="s">
        <v>1391</v>
      </c>
      <c r="C650" t="s">
        <v>1408</v>
      </c>
      <c r="D650" t="s">
        <v>1409</v>
      </c>
    </row>
    <row r="651" spans="1:4" x14ac:dyDescent="0.25">
      <c r="A651" t="s">
        <v>1390</v>
      </c>
      <c r="B651" t="s">
        <v>1391</v>
      </c>
      <c r="C651" t="s">
        <v>1410</v>
      </c>
      <c r="D651" t="s">
        <v>1411</v>
      </c>
    </row>
    <row r="652" spans="1:4" x14ac:dyDescent="0.25">
      <c r="A652" t="s">
        <v>1390</v>
      </c>
      <c r="B652" t="s">
        <v>1391</v>
      </c>
      <c r="C652" t="s">
        <v>1412</v>
      </c>
      <c r="D652" t="s">
        <v>1413</v>
      </c>
    </row>
    <row r="653" spans="1:4" x14ac:dyDescent="0.25">
      <c r="A653" t="s">
        <v>1390</v>
      </c>
      <c r="B653" t="s">
        <v>1391</v>
      </c>
      <c r="C653" t="s">
        <v>1414</v>
      </c>
      <c r="D653" t="s">
        <v>1415</v>
      </c>
    </row>
    <row r="654" spans="1:4" x14ac:dyDescent="0.25">
      <c r="A654" t="s">
        <v>1390</v>
      </c>
      <c r="B654" t="s">
        <v>1391</v>
      </c>
      <c r="C654" t="s">
        <v>1416</v>
      </c>
      <c r="D654" t="s">
        <v>1417</v>
      </c>
    </row>
    <row r="655" spans="1:4" x14ac:dyDescent="0.25">
      <c r="A655" t="s">
        <v>1390</v>
      </c>
      <c r="B655" t="s">
        <v>1391</v>
      </c>
      <c r="C655" t="s">
        <v>1418</v>
      </c>
      <c r="D655" t="s">
        <v>1419</v>
      </c>
    </row>
    <row r="656" spans="1:4" x14ac:dyDescent="0.25">
      <c r="A656" t="s">
        <v>1390</v>
      </c>
      <c r="B656" t="s">
        <v>1391</v>
      </c>
      <c r="C656" t="s">
        <v>1420</v>
      </c>
      <c r="D656" t="s">
        <v>1421</v>
      </c>
    </row>
    <row r="657" spans="1:4" x14ac:dyDescent="0.25">
      <c r="A657" t="s">
        <v>1390</v>
      </c>
      <c r="B657" t="s">
        <v>1391</v>
      </c>
      <c r="C657" t="s">
        <v>1422</v>
      </c>
      <c r="D657" t="s">
        <v>1423</v>
      </c>
    </row>
    <row r="658" spans="1:4" x14ac:dyDescent="0.25">
      <c r="A658" t="s">
        <v>1424</v>
      </c>
      <c r="B658" t="s">
        <v>1425</v>
      </c>
      <c r="C658" t="s">
        <v>1426</v>
      </c>
      <c r="D658" t="s">
        <v>1427</v>
      </c>
    </row>
    <row r="659" spans="1:4" x14ac:dyDescent="0.25">
      <c r="A659" t="s">
        <v>1424</v>
      </c>
      <c r="B659" t="s">
        <v>1425</v>
      </c>
      <c r="C659" t="s">
        <v>1428</v>
      </c>
      <c r="D659" t="s">
        <v>1429</v>
      </c>
    </row>
    <row r="660" spans="1:4" x14ac:dyDescent="0.25">
      <c r="A660" t="s">
        <v>1424</v>
      </c>
      <c r="B660" t="s">
        <v>1425</v>
      </c>
      <c r="C660" t="s">
        <v>1430</v>
      </c>
      <c r="D660" t="s">
        <v>1431</v>
      </c>
    </row>
    <row r="661" spans="1:4" x14ac:dyDescent="0.25">
      <c r="A661" t="s">
        <v>1424</v>
      </c>
      <c r="B661" t="s">
        <v>1425</v>
      </c>
      <c r="C661" t="s">
        <v>1432</v>
      </c>
      <c r="D661" t="s">
        <v>1433</v>
      </c>
    </row>
    <row r="662" spans="1:4" x14ac:dyDescent="0.25">
      <c r="A662" t="s">
        <v>1424</v>
      </c>
      <c r="B662" t="s">
        <v>1425</v>
      </c>
      <c r="C662" t="s">
        <v>1434</v>
      </c>
      <c r="D662" t="s">
        <v>1435</v>
      </c>
    </row>
    <row r="663" spans="1:4" x14ac:dyDescent="0.25">
      <c r="A663" t="s">
        <v>1424</v>
      </c>
      <c r="B663" t="s">
        <v>1425</v>
      </c>
      <c r="C663" t="s">
        <v>1436</v>
      </c>
      <c r="D663" t="s">
        <v>1437</v>
      </c>
    </row>
    <row r="664" spans="1:4" x14ac:dyDescent="0.25">
      <c r="A664" t="s">
        <v>1424</v>
      </c>
      <c r="B664" t="s">
        <v>1425</v>
      </c>
      <c r="C664" t="s">
        <v>1438</v>
      </c>
      <c r="D664" t="s">
        <v>1439</v>
      </c>
    </row>
    <row r="665" spans="1:4" x14ac:dyDescent="0.25">
      <c r="A665" t="s">
        <v>1424</v>
      </c>
      <c r="B665" t="s">
        <v>1425</v>
      </c>
      <c r="C665" t="s">
        <v>1440</v>
      </c>
      <c r="D665" t="s">
        <v>1441</v>
      </c>
    </row>
    <row r="666" spans="1:4" x14ac:dyDescent="0.25">
      <c r="A666" t="s">
        <v>1424</v>
      </c>
      <c r="B666" t="s">
        <v>1425</v>
      </c>
      <c r="C666" t="s">
        <v>1442</v>
      </c>
      <c r="D666" t="s">
        <v>1443</v>
      </c>
    </row>
    <row r="667" spans="1:4" x14ac:dyDescent="0.25">
      <c r="A667" t="s">
        <v>1444</v>
      </c>
      <c r="B667" t="s">
        <v>1445</v>
      </c>
      <c r="C667" t="s">
        <v>1446</v>
      </c>
      <c r="D667" t="s">
        <v>1447</v>
      </c>
    </row>
    <row r="668" spans="1:4" x14ac:dyDescent="0.25">
      <c r="A668" t="s">
        <v>1444</v>
      </c>
      <c r="B668" t="s">
        <v>1445</v>
      </c>
      <c r="C668" t="s">
        <v>1448</v>
      </c>
      <c r="D668" t="s">
        <v>1449</v>
      </c>
    </row>
    <row r="669" spans="1:4" x14ac:dyDescent="0.25">
      <c r="A669" t="s">
        <v>1444</v>
      </c>
      <c r="B669" t="s">
        <v>1445</v>
      </c>
      <c r="C669" t="s">
        <v>1450</v>
      </c>
      <c r="D669" t="s">
        <v>1451</v>
      </c>
    </row>
    <row r="670" spans="1:4" x14ac:dyDescent="0.25">
      <c r="A670" t="s">
        <v>1444</v>
      </c>
      <c r="B670" t="s">
        <v>1445</v>
      </c>
      <c r="C670" t="s">
        <v>1452</v>
      </c>
      <c r="D670" t="s">
        <v>1453</v>
      </c>
    </row>
    <row r="671" spans="1:4" x14ac:dyDescent="0.25">
      <c r="A671" t="s">
        <v>1444</v>
      </c>
      <c r="B671" t="s">
        <v>1445</v>
      </c>
      <c r="C671" t="s">
        <v>1454</v>
      </c>
      <c r="D671" t="s">
        <v>1455</v>
      </c>
    </row>
    <row r="672" spans="1:4" x14ac:dyDescent="0.25">
      <c r="A672" t="s">
        <v>1456</v>
      </c>
      <c r="B672" t="s">
        <v>1457</v>
      </c>
      <c r="C672" t="s">
        <v>1458</v>
      </c>
      <c r="D672" t="s">
        <v>1459</v>
      </c>
    </row>
    <row r="673" spans="1:4" x14ac:dyDescent="0.25">
      <c r="A673" t="s">
        <v>1456</v>
      </c>
      <c r="B673" t="s">
        <v>1457</v>
      </c>
      <c r="C673" t="s">
        <v>1460</v>
      </c>
      <c r="D673" t="s">
        <v>1461</v>
      </c>
    </row>
    <row r="674" spans="1:4" x14ac:dyDescent="0.25">
      <c r="A674" t="s">
        <v>1456</v>
      </c>
      <c r="B674" t="s">
        <v>1457</v>
      </c>
      <c r="C674" t="s">
        <v>1462</v>
      </c>
      <c r="D674" t="s">
        <v>1463</v>
      </c>
    </row>
    <row r="675" spans="1:4" x14ac:dyDescent="0.25">
      <c r="A675" t="s">
        <v>1456</v>
      </c>
      <c r="B675" t="s">
        <v>1457</v>
      </c>
      <c r="C675" t="s">
        <v>1464</v>
      </c>
      <c r="D675" t="s">
        <v>1465</v>
      </c>
    </row>
    <row r="676" spans="1:4" x14ac:dyDescent="0.25">
      <c r="A676" t="s">
        <v>1456</v>
      </c>
      <c r="B676" t="s">
        <v>1457</v>
      </c>
      <c r="C676" t="s">
        <v>1466</v>
      </c>
      <c r="D676" t="s">
        <v>1467</v>
      </c>
    </row>
    <row r="677" spans="1:4" x14ac:dyDescent="0.25">
      <c r="A677" t="s">
        <v>1456</v>
      </c>
      <c r="B677" t="s">
        <v>1457</v>
      </c>
      <c r="C677" t="s">
        <v>1468</v>
      </c>
      <c r="D677" t="s">
        <v>1469</v>
      </c>
    </row>
    <row r="678" spans="1:4" x14ac:dyDescent="0.25">
      <c r="A678" t="s">
        <v>1456</v>
      </c>
      <c r="B678" t="s">
        <v>1457</v>
      </c>
      <c r="C678" t="s">
        <v>1470</v>
      </c>
      <c r="D678" t="s">
        <v>1471</v>
      </c>
    </row>
    <row r="679" spans="1:4" x14ac:dyDescent="0.25">
      <c r="A679" t="s">
        <v>1456</v>
      </c>
      <c r="B679" t="s">
        <v>1457</v>
      </c>
      <c r="C679" t="s">
        <v>1472</v>
      </c>
      <c r="D679" t="s">
        <v>1473</v>
      </c>
    </row>
    <row r="680" spans="1:4" x14ac:dyDescent="0.25">
      <c r="A680" t="s">
        <v>1456</v>
      </c>
      <c r="B680" t="s">
        <v>1457</v>
      </c>
      <c r="C680" t="s">
        <v>1474</v>
      </c>
      <c r="D680" t="s">
        <v>1475</v>
      </c>
    </row>
    <row r="681" spans="1:4" x14ac:dyDescent="0.25">
      <c r="A681" t="s">
        <v>1456</v>
      </c>
      <c r="B681" t="s">
        <v>1457</v>
      </c>
      <c r="C681" t="s">
        <v>1476</v>
      </c>
      <c r="D681" t="s">
        <v>1477</v>
      </c>
    </row>
    <row r="682" spans="1:4" x14ac:dyDescent="0.25">
      <c r="A682" t="s">
        <v>1456</v>
      </c>
      <c r="B682" t="s">
        <v>1457</v>
      </c>
      <c r="C682" t="s">
        <v>1478</v>
      </c>
      <c r="D682" t="s">
        <v>1479</v>
      </c>
    </row>
    <row r="683" spans="1:4" x14ac:dyDescent="0.25">
      <c r="A683" t="s">
        <v>1480</v>
      </c>
      <c r="B683" t="s">
        <v>1481</v>
      </c>
      <c r="C683" t="s">
        <v>1482</v>
      </c>
      <c r="D683" t="s">
        <v>1483</v>
      </c>
    </row>
    <row r="684" spans="1:4" x14ac:dyDescent="0.25">
      <c r="A684" t="s">
        <v>1480</v>
      </c>
      <c r="B684" t="s">
        <v>1481</v>
      </c>
      <c r="C684" t="s">
        <v>1484</v>
      </c>
      <c r="D684" t="s">
        <v>1485</v>
      </c>
    </row>
    <row r="685" spans="1:4" x14ac:dyDescent="0.25">
      <c r="A685" t="s">
        <v>1480</v>
      </c>
      <c r="B685" t="s">
        <v>1481</v>
      </c>
      <c r="C685" t="s">
        <v>1486</v>
      </c>
      <c r="D685" t="s">
        <v>1487</v>
      </c>
    </row>
    <row r="686" spans="1:4" x14ac:dyDescent="0.25">
      <c r="A686" t="s">
        <v>1480</v>
      </c>
      <c r="B686" t="s">
        <v>1481</v>
      </c>
      <c r="C686" t="s">
        <v>1488</v>
      </c>
      <c r="D686" t="s">
        <v>1489</v>
      </c>
    </row>
    <row r="687" spans="1:4" x14ac:dyDescent="0.25">
      <c r="A687" t="s">
        <v>1480</v>
      </c>
      <c r="B687" t="s">
        <v>1481</v>
      </c>
      <c r="C687" t="s">
        <v>1490</v>
      </c>
      <c r="D687" t="s">
        <v>1491</v>
      </c>
    </row>
    <row r="688" spans="1:4" x14ac:dyDescent="0.25">
      <c r="A688" t="s">
        <v>1480</v>
      </c>
      <c r="B688" t="s">
        <v>1481</v>
      </c>
      <c r="C688" t="s">
        <v>1492</v>
      </c>
      <c r="D688" t="s">
        <v>1493</v>
      </c>
    </row>
    <row r="689" spans="1:4" x14ac:dyDescent="0.25">
      <c r="A689" t="s">
        <v>1480</v>
      </c>
      <c r="B689" t="s">
        <v>1481</v>
      </c>
      <c r="C689" t="s">
        <v>1494</v>
      </c>
      <c r="D689" t="s">
        <v>1495</v>
      </c>
    </row>
    <row r="690" spans="1:4" x14ac:dyDescent="0.25">
      <c r="A690" t="s">
        <v>1480</v>
      </c>
      <c r="B690" t="s">
        <v>1481</v>
      </c>
      <c r="C690" t="s">
        <v>1496</v>
      </c>
      <c r="D690" t="s">
        <v>1497</v>
      </c>
    </row>
    <row r="691" spans="1:4" x14ac:dyDescent="0.25">
      <c r="A691" t="s">
        <v>1480</v>
      </c>
      <c r="B691" t="s">
        <v>1481</v>
      </c>
      <c r="C691" t="s">
        <v>1498</v>
      </c>
      <c r="D691" t="s">
        <v>1499</v>
      </c>
    </row>
    <row r="692" spans="1:4" x14ac:dyDescent="0.25">
      <c r="A692" t="s">
        <v>1480</v>
      </c>
      <c r="B692" t="s">
        <v>1481</v>
      </c>
      <c r="C692" t="s">
        <v>1500</v>
      </c>
      <c r="D692" t="s">
        <v>1501</v>
      </c>
    </row>
    <row r="693" spans="1:4" x14ac:dyDescent="0.25">
      <c r="A693" t="s">
        <v>1480</v>
      </c>
      <c r="B693" t="s">
        <v>1481</v>
      </c>
      <c r="C693" t="s">
        <v>1502</v>
      </c>
      <c r="D693" t="s">
        <v>1503</v>
      </c>
    </row>
    <row r="694" spans="1:4" x14ac:dyDescent="0.25">
      <c r="A694" t="s">
        <v>1504</v>
      </c>
      <c r="B694" t="s">
        <v>1505</v>
      </c>
      <c r="C694" t="s">
        <v>1506</v>
      </c>
      <c r="D694" t="s">
        <v>1507</v>
      </c>
    </row>
    <row r="695" spans="1:4" x14ac:dyDescent="0.25">
      <c r="A695" t="s">
        <v>1504</v>
      </c>
      <c r="B695" t="s">
        <v>1505</v>
      </c>
      <c r="C695" t="s">
        <v>1508</v>
      </c>
      <c r="D695" t="s">
        <v>1509</v>
      </c>
    </row>
    <row r="696" spans="1:4" x14ac:dyDescent="0.25">
      <c r="A696" t="s">
        <v>1504</v>
      </c>
      <c r="B696" t="s">
        <v>1505</v>
      </c>
      <c r="C696" t="s">
        <v>1510</v>
      </c>
      <c r="D696" t="s">
        <v>1511</v>
      </c>
    </row>
    <row r="697" spans="1:4" x14ac:dyDescent="0.25">
      <c r="A697" t="s">
        <v>1504</v>
      </c>
      <c r="B697" t="s">
        <v>1505</v>
      </c>
      <c r="C697" t="s">
        <v>1512</v>
      </c>
      <c r="D697" t="s">
        <v>1513</v>
      </c>
    </row>
    <row r="698" spans="1:4" x14ac:dyDescent="0.25">
      <c r="A698" t="s">
        <v>1504</v>
      </c>
      <c r="B698" t="s">
        <v>1505</v>
      </c>
      <c r="C698" t="s">
        <v>1514</v>
      </c>
      <c r="D698" t="s">
        <v>1515</v>
      </c>
    </row>
    <row r="699" spans="1:4" x14ac:dyDescent="0.25">
      <c r="A699" t="s">
        <v>1504</v>
      </c>
      <c r="B699" t="s">
        <v>1505</v>
      </c>
      <c r="C699" t="s">
        <v>1516</v>
      </c>
      <c r="D699" t="s">
        <v>1517</v>
      </c>
    </row>
    <row r="700" spans="1:4" x14ac:dyDescent="0.25">
      <c r="A700" t="s">
        <v>1518</v>
      </c>
      <c r="B700" t="s">
        <v>1519</v>
      </c>
      <c r="C700" t="s">
        <v>1520</v>
      </c>
      <c r="D700" t="s">
        <v>1521</v>
      </c>
    </row>
    <row r="701" spans="1:4" x14ac:dyDescent="0.25">
      <c r="A701" t="s">
        <v>1518</v>
      </c>
      <c r="B701" t="s">
        <v>1519</v>
      </c>
      <c r="C701" t="s">
        <v>1522</v>
      </c>
      <c r="D701" t="s">
        <v>1523</v>
      </c>
    </row>
    <row r="702" spans="1:4" x14ac:dyDescent="0.25">
      <c r="A702" t="s">
        <v>1518</v>
      </c>
      <c r="B702" t="s">
        <v>1519</v>
      </c>
      <c r="C702" t="s">
        <v>1524</v>
      </c>
      <c r="D702" t="s">
        <v>1525</v>
      </c>
    </row>
    <row r="703" spans="1:4" x14ac:dyDescent="0.25">
      <c r="A703" t="s">
        <v>1518</v>
      </c>
      <c r="B703" t="s">
        <v>1519</v>
      </c>
      <c r="C703" t="s">
        <v>1526</v>
      </c>
      <c r="D703" t="s">
        <v>1527</v>
      </c>
    </row>
    <row r="704" spans="1:4" x14ac:dyDescent="0.25">
      <c r="A704" t="s">
        <v>1518</v>
      </c>
      <c r="B704" t="s">
        <v>1519</v>
      </c>
      <c r="C704" t="s">
        <v>1528</v>
      </c>
      <c r="D704" t="s">
        <v>1529</v>
      </c>
    </row>
    <row r="705" spans="1:4" x14ac:dyDescent="0.25">
      <c r="A705" t="s">
        <v>1518</v>
      </c>
      <c r="B705" t="s">
        <v>1519</v>
      </c>
      <c r="C705" t="s">
        <v>1530</v>
      </c>
      <c r="D705" t="s">
        <v>1531</v>
      </c>
    </row>
    <row r="706" spans="1:4" x14ac:dyDescent="0.25">
      <c r="A706" t="s">
        <v>1518</v>
      </c>
      <c r="B706" t="s">
        <v>1519</v>
      </c>
      <c r="C706" t="s">
        <v>1532</v>
      </c>
      <c r="D706" t="s">
        <v>1533</v>
      </c>
    </row>
    <row r="707" spans="1:4" x14ac:dyDescent="0.25">
      <c r="A707" t="s">
        <v>1518</v>
      </c>
      <c r="B707" t="s">
        <v>1519</v>
      </c>
      <c r="C707" t="s">
        <v>1534</v>
      </c>
      <c r="D707" t="s">
        <v>1535</v>
      </c>
    </row>
    <row r="708" spans="1:4" x14ac:dyDescent="0.25">
      <c r="A708" t="s">
        <v>1518</v>
      </c>
      <c r="B708" t="s">
        <v>1519</v>
      </c>
      <c r="C708" t="s">
        <v>1536</v>
      </c>
      <c r="D708" t="s">
        <v>1537</v>
      </c>
    </row>
    <row r="709" spans="1:4" x14ac:dyDescent="0.25">
      <c r="A709" t="s">
        <v>1518</v>
      </c>
      <c r="B709" t="s">
        <v>1519</v>
      </c>
      <c r="C709" t="s">
        <v>1538</v>
      </c>
      <c r="D709" t="s">
        <v>1539</v>
      </c>
    </row>
    <row r="710" spans="1:4" x14ac:dyDescent="0.25">
      <c r="A710" t="s">
        <v>1518</v>
      </c>
      <c r="B710" t="s">
        <v>1519</v>
      </c>
      <c r="C710" t="s">
        <v>1540</v>
      </c>
      <c r="D710" t="s">
        <v>1541</v>
      </c>
    </row>
    <row r="711" spans="1:4" x14ac:dyDescent="0.25">
      <c r="A711" t="s">
        <v>1518</v>
      </c>
      <c r="B711" t="s">
        <v>1519</v>
      </c>
      <c r="C711" t="s">
        <v>1542</v>
      </c>
      <c r="D711" t="s">
        <v>1543</v>
      </c>
    </row>
    <row r="712" spans="1:4" x14ac:dyDescent="0.25">
      <c r="A712" t="s">
        <v>1518</v>
      </c>
      <c r="B712" t="s">
        <v>1519</v>
      </c>
      <c r="C712" t="s">
        <v>1544</v>
      </c>
      <c r="D712" t="s">
        <v>1545</v>
      </c>
    </row>
    <row r="713" spans="1:4" x14ac:dyDescent="0.25">
      <c r="A713" t="s">
        <v>1518</v>
      </c>
      <c r="B713" t="s">
        <v>1519</v>
      </c>
      <c r="C713" t="s">
        <v>1546</v>
      </c>
      <c r="D713" t="s">
        <v>1547</v>
      </c>
    </row>
    <row r="714" spans="1:4" x14ac:dyDescent="0.25">
      <c r="A714" t="s">
        <v>1518</v>
      </c>
      <c r="B714" t="s">
        <v>1519</v>
      </c>
      <c r="C714" t="s">
        <v>1548</v>
      </c>
      <c r="D714" t="s">
        <v>1549</v>
      </c>
    </row>
    <row r="715" spans="1:4" x14ac:dyDescent="0.25">
      <c r="A715" t="s">
        <v>1518</v>
      </c>
      <c r="B715" t="s">
        <v>1519</v>
      </c>
      <c r="C715" t="s">
        <v>1550</v>
      </c>
      <c r="D715" t="s">
        <v>1551</v>
      </c>
    </row>
    <row r="716" spans="1:4" x14ac:dyDescent="0.25">
      <c r="A716" t="s">
        <v>1518</v>
      </c>
      <c r="B716" t="s">
        <v>1519</v>
      </c>
      <c r="C716" t="s">
        <v>1552</v>
      </c>
      <c r="D716" t="s">
        <v>1553</v>
      </c>
    </row>
    <row r="717" spans="1:4" x14ac:dyDescent="0.25">
      <c r="A717" t="s">
        <v>1554</v>
      </c>
      <c r="B717" t="s">
        <v>1555</v>
      </c>
      <c r="C717" t="s">
        <v>1556</v>
      </c>
      <c r="D717" t="s">
        <v>1557</v>
      </c>
    </row>
    <row r="718" spans="1:4" x14ac:dyDescent="0.25">
      <c r="A718" t="s">
        <v>1554</v>
      </c>
      <c r="B718" t="s">
        <v>1555</v>
      </c>
      <c r="C718" t="s">
        <v>1558</v>
      </c>
      <c r="D718" t="s">
        <v>1559</v>
      </c>
    </row>
    <row r="719" spans="1:4" x14ac:dyDescent="0.25">
      <c r="A719" t="s">
        <v>1554</v>
      </c>
      <c r="B719" t="s">
        <v>1555</v>
      </c>
      <c r="C719" t="s">
        <v>1560</v>
      </c>
      <c r="D719" t="s">
        <v>1561</v>
      </c>
    </row>
    <row r="720" spans="1:4" x14ac:dyDescent="0.25">
      <c r="A720" t="s">
        <v>1554</v>
      </c>
      <c r="B720" t="s">
        <v>1555</v>
      </c>
      <c r="C720" t="s">
        <v>1562</v>
      </c>
      <c r="D720" t="s">
        <v>1563</v>
      </c>
    </row>
    <row r="721" spans="1:4" x14ac:dyDescent="0.25">
      <c r="A721" t="s">
        <v>1554</v>
      </c>
      <c r="B721" t="s">
        <v>1555</v>
      </c>
      <c r="C721" t="s">
        <v>1564</v>
      </c>
      <c r="D721" t="s">
        <v>1565</v>
      </c>
    </row>
    <row r="722" spans="1:4" x14ac:dyDescent="0.25">
      <c r="A722" t="s">
        <v>1554</v>
      </c>
      <c r="B722" t="s">
        <v>1555</v>
      </c>
      <c r="C722" t="s">
        <v>1566</v>
      </c>
      <c r="D722" t="s">
        <v>1567</v>
      </c>
    </row>
    <row r="723" spans="1:4" x14ac:dyDescent="0.25">
      <c r="A723" t="s">
        <v>1554</v>
      </c>
      <c r="B723" t="s">
        <v>1555</v>
      </c>
      <c r="C723" t="s">
        <v>1568</v>
      </c>
      <c r="D723" t="s">
        <v>1569</v>
      </c>
    </row>
    <row r="724" spans="1:4" x14ac:dyDescent="0.25">
      <c r="A724" t="s">
        <v>1554</v>
      </c>
      <c r="B724" t="s">
        <v>1555</v>
      </c>
      <c r="C724" t="s">
        <v>1570</v>
      </c>
      <c r="D724" t="s">
        <v>1571</v>
      </c>
    </row>
    <row r="725" spans="1:4" x14ac:dyDescent="0.25">
      <c r="A725" t="s">
        <v>1554</v>
      </c>
      <c r="B725" t="s">
        <v>1555</v>
      </c>
      <c r="C725" t="s">
        <v>1572</v>
      </c>
      <c r="D725" t="s">
        <v>1573</v>
      </c>
    </row>
    <row r="726" spans="1:4" x14ac:dyDescent="0.25">
      <c r="A726" t="s">
        <v>1554</v>
      </c>
      <c r="B726" t="s">
        <v>1555</v>
      </c>
      <c r="C726" t="s">
        <v>1574</v>
      </c>
      <c r="D726" t="s">
        <v>1575</v>
      </c>
    </row>
    <row r="727" spans="1:4" x14ac:dyDescent="0.25">
      <c r="A727" t="s">
        <v>1554</v>
      </c>
      <c r="B727" t="s">
        <v>1555</v>
      </c>
      <c r="C727" t="s">
        <v>1576</v>
      </c>
      <c r="D727" t="s">
        <v>1577</v>
      </c>
    </row>
    <row r="728" spans="1:4" x14ac:dyDescent="0.25">
      <c r="A728" t="s">
        <v>1554</v>
      </c>
      <c r="B728" t="s">
        <v>1555</v>
      </c>
      <c r="C728" t="s">
        <v>1578</v>
      </c>
      <c r="D728" t="s">
        <v>1579</v>
      </c>
    </row>
    <row r="729" spans="1:4" x14ac:dyDescent="0.25">
      <c r="A729" t="s">
        <v>1554</v>
      </c>
      <c r="B729" t="s">
        <v>1555</v>
      </c>
      <c r="C729" t="s">
        <v>1580</v>
      </c>
      <c r="D729" t="s">
        <v>1581</v>
      </c>
    </row>
    <row r="730" spans="1:4" x14ac:dyDescent="0.25">
      <c r="A730" t="s">
        <v>1554</v>
      </c>
      <c r="B730" t="s">
        <v>1555</v>
      </c>
      <c r="C730" t="s">
        <v>1582</v>
      </c>
      <c r="D730" t="s">
        <v>1583</v>
      </c>
    </row>
    <row r="731" spans="1:4" x14ac:dyDescent="0.25">
      <c r="A731" t="s">
        <v>1554</v>
      </c>
      <c r="B731" t="s">
        <v>1555</v>
      </c>
      <c r="C731" t="s">
        <v>1584</v>
      </c>
      <c r="D731" t="s">
        <v>1585</v>
      </c>
    </row>
    <row r="732" spans="1:4" x14ac:dyDescent="0.25">
      <c r="A732" t="s">
        <v>1554</v>
      </c>
      <c r="B732" t="s">
        <v>1555</v>
      </c>
      <c r="C732" t="s">
        <v>1586</v>
      </c>
      <c r="D732" t="s">
        <v>1587</v>
      </c>
    </row>
    <row r="733" spans="1:4" x14ac:dyDescent="0.25">
      <c r="A733" t="s">
        <v>1554</v>
      </c>
      <c r="B733" t="s">
        <v>1555</v>
      </c>
      <c r="C733" t="s">
        <v>1588</v>
      </c>
      <c r="D733" t="s">
        <v>1589</v>
      </c>
    </row>
    <row r="734" spans="1:4" x14ac:dyDescent="0.25">
      <c r="A734" t="s">
        <v>1590</v>
      </c>
      <c r="B734" t="s">
        <v>1591</v>
      </c>
      <c r="C734" t="s">
        <v>1592</v>
      </c>
      <c r="D734" t="s">
        <v>1593</v>
      </c>
    </row>
    <row r="735" spans="1:4" x14ac:dyDescent="0.25">
      <c r="A735" t="s">
        <v>1590</v>
      </c>
      <c r="B735" t="s">
        <v>1591</v>
      </c>
      <c r="C735" t="s">
        <v>1594</v>
      </c>
      <c r="D735" t="s">
        <v>1595</v>
      </c>
    </row>
    <row r="736" spans="1:4" x14ac:dyDescent="0.25">
      <c r="A736" t="s">
        <v>1590</v>
      </c>
      <c r="B736" t="s">
        <v>1591</v>
      </c>
      <c r="C736" t="s">
        <v>1596</v>
      </c>
      <c r="D736" t="s">
        <v>1597</v>
      </c>
    </row>
    <row r="737" spans="1:4" x14ac:dyDescent="0.25">
      <c r="A737" t="s">
        <v>1590</v>
      </c>
      <c r="B737" t="s">
        <v>1591</v>
      </c>
      <c r="C737" t="s">
        <v>1598</v>
      </c>
      <c r="D737" t="s">
        <v>1599</v>
      </c>
    </row>
    <row r="738" spans="1:4" x14ac:dyDescent="0.25">
      <c r="A738" t="s">
        <v>1590</v>
      </c>
      <c r="B738" t="s">
        <v>1591</v>
      </c>
      <c r="C738" t="s">
        <v>1600</v>
      </c>
      <c r="D738" t="s">
        <v>1601</v>
      </c>
    </row>
    <row r="739" spans="1:4" x14ac:dyDescent="0.25">
      <c r="A739" t="s">
        <v>1590</v>
      </c>
      <c r="B739" t="s">
        <v>1591</v>
      </c>
      <c r="C739" t="s">
        <v>1602</v>
      </c>
      <c r="D739" t="s">
        <v>1603</v>
      </c>
    </row>
    <row r="740" spans="1:4" x14ac:dyDescent="0.25">
      <c r="A740" t="s">
        <v>1590</v>
      </c>
      <c r="B740" t="s">
        <v>1591</v>
      </c>
      <c r="C740" t="s">
        <v>1604</v>
      </c>
      <c r="D740" t="s">
        <v>1605</v>
      </c>
    </row>
    <row r="741" spans="1:4" x14ac:dyDescent="0.25">
      <c r="A741" t="s">
        <v>1590</v>
      </c>
      <c r="B741" t="s">
        <v>1591</v>
      </c>
      <c r="C741" t="s">
        <v>1606</v>
      </c>
      <c r="D741" t="s">
        <v>1607</v>
      </c>
    </row>
    <row r="742" spans="1:4" x14ac:dyDescent="0.25">
      <c r="A742" t="s">
        <v>1590</v>
      </c>
      <c r="B742" t="s">
        <v>1591</v>
      </c>
      <c r="C742" t="s">
        <v>1608</v>
      </c>
      <c r="D742" t="s">
        <v>1609</v>
      </c>
    </row>
    <row r="743" spans="1:4" x14ac:dyDescent="0.25">
      <c r="A743" t="s">
        <v>1590</v>
      </c>
      <c r="B743" t="s">
        <v>1591</v>
      </c>
      <c r="C743" t="s">
        <v>1610</v>
      </c>
      <c r="D743" t="s">
        <v>1611</v>
      </c>
    </row>
    <row r="744" spans="1:4" x14ac:dyDescent="0.25">
      <c r="A744" t="s">
        <v>1612</v>
      </c>
      <c r="B744" t="s">
        <v>1613</v>
      </c>
      <c r="C744" t="s">
        <v>1614</v>
      </c>
      <c r="D744" t="s">
        <v>1615</v>
      </c>
    </row>
    <row r="745" spans="1:4" x14ac:dyDescent="0.25">
      <c r="A745" t="s">
        <v>1612</v>
      </c>
      <c r="B745" t="s">
        <v>1613</v>
      </c>
      <c r="C745" t="s">
        <v>1616</v>
      </c>
      <c r="D745" t="s">
        <v>1617</v>
      </c>
    </row>
    <row r="746" spans="1:4" x14ac:dyDescent="0.25">
      <c r="A746" t="s">
        <v>1612</v>
      </c>
      <c r="B746" t="s">
        <v>1613</v>
      </c>
      <c r="C746" t="s">
        <v>1618</v>
      </c>
      <c r="D746" t="s">
        <v>1619</v>
      </c>
    </row>
    <row r="747" spans="1:4" x14ac:dyDescent="0.25">
      <c r="A747" t="s">
        <v>1612</v>
      </c>
      <c r="B747" t="s">
        <v>1613</v>
      </c>
      <c r="C747" t="s">
        <v>1620</v>
      </c>
      <c r="D747" t="s">
        <v>1621</v>
      </c>
    </row>
    <row r="748" spans="1:4" x14ac:dyDescent="0.25">
      <c r="A748" t="s">
        <v>1612</v>
      </c>
      <c r="B748" t="s">
        <v>1613</v>
      </c>
      <c r="C748" t="s">
        <v>1622</v>
      </c>
      <c r="D748" t="s">
        <v>1623</v>
      </c>
    </row>
    <row r="749" spans="1:4" x14ac:dyDescent="0.25">
      <c r="A749" t="s">
        <v>1612</v>
      </c>
      <c r="B749" t="s">
        <v>1613</v>
      </c>
      <c r="C749" t="s">
        <v>1624</v>
      </c>
      <c r="D749" t="s">
        <v>1625</v>
      </c>
    </row>
    <row r="750" spans="1:4" x14ac:dyDescent="0.25">
      <c r="A750" t="s">
        <v>1626</v>
      </c>
      <c r="B750" t="s">
        <v>1627</v>
      </c>
      <c r="C750" t="s">
        <v>1628</v>
      </c>
      <c r="D750" t="s">
        <v>1629</v>
      </c>
    </row>
    <row r="751" spans="1:4" x14ac:dyDescent="0.25">
      <c r="A751" t="s">
        <v>1626</v>
      </c>
      <c r="B751" t="s">
        <v>1627</v>
      </c>
      <c r="C751" t="s">
        <v>1630</v>
      </c>
      <c r="D751" t="s">
        <v>1631</v>
      </c>
    </row>
    <row r="752" spans="1:4" x14ac:dyDescent="0.25">
      <c r="A752" t="s">
        <v>1626</v>
      </c>
      <c r="B752" t="s">
        <v>1627</v>
      </c>
      <c r="C752" t="s">
        <v>1632</v>
      </c>
      <c r="D752" t="s">
        <v>1633</v>
      </c>
    </row>
    <row r="753" spans="1:4" x14ac:dyDescent="0.25">
      <c r="A753" t="s">
        <v>1626</v>
      </c>
      <c r="B753" t="s">
        <v>1627</v>
      </c>
      <c r="C753" t="s">
        <v>1634</v>
      </c>
      <c r="D753" t="s">
        <v>1635</v>
      </c>
    </row>
    <row r="754" spans="1:4" x14ac:dyDescent="0.25">
      <c r="A754" t="s">
        <v>1626</v>
      </c>
      <c r="B754" t="s">
        <v>1627</v>
      </c>
      <c r="C754" t="s">
        <v>1636</v>
      </c>
      <c r="D754" t="s">
        <v>1637</v>
      </c>
    </row>
    <row r="755" spans="1:4" x14ac:dyDescent="0.25">
      <c r="A755" t="s">
        <v>1626</v>
      </c>
      <c r="B755" t="s">
        <v>1627</v>
      </c>
      <c r="C755" t="s">
        <v>1638</v>
      </c>
      <c r="D755" t="s">
        <v>1639</v>
      </c>
    </row>
    <row r="756" spans="1:4" x14ac:dyDescent="0.25">
      <c r="A756" t="s">
        <v>1626</v>
      </c>
      <c r="B756" t="s">
        <v>1627</v>
      </c>
      <c r="C756" t="s">
        <v>1640</v>
      </c>
      <c r="D756" t="s">
        <v>1641</v>
      </c>
    </row>
    <row r="757" spans="1:4" x14ac:dyDescent="0.25">
      <c r="A757" t="s">
        <v>1642</v>
      </c>
      <c r="B757" t="s">
        <v>1643</v>
      </c>
      <c r="C757" t="s">
        <v>1644</v>
      </c>
      <c r="D757" t="s">
        <v>1645</v>
      </c>
    </row>
    <row r="758" spans="1:4" x14ac:dyDescent="0.25">
      <c r="A758" t="s">
        <v>1642</v>
      </c>
      <c r="B758" t="s">
        <v>1643</v>
      </c>
      <c r="C758" t="s">
        <v>1646</v>
      </c>
      <c r="D758" t="s">
        <v>1647</v>
      </c>
    </row>
    <row r="759" spans="1:4" x14ac:dyDescent="0.25">
      <c r="A759" t="s">
        <v>1642</v>
      </c>
      <c r="B759" t="s">
        <v>1643</v>
      </c>
      <c r="C759" t="s">
        <v>1648</v>
      </c>
      <c r="D759" t="s">
        <v>1649</v>
      </c>
    </row>
    <row r="760" spans="1:4" x14ac:dyDescent="0.25">
      <c r="A760" t="s">
        <v>1650</v>
      </c>
      <c r="B760" t="s">
        <v>1651</v>
      </c>
      <c r="C760" t="s">
        <v>1652</v>
      </c>
      <c r="D760" t="s">
        <v>1653</v>
      </c>
    </row>
    <row r="761" spans="1:4" x14ac:dyDescent="0.25">
      <c r="A761" t="s">
        <v>1650</v>
      </c>
      <c r="B761" t="s">
        <v>1651</v>
      </c>
      <c r="C761" t="s">
        <v>1654</v>
      </c>
      <c r="D761" t="s">
        <v>1655</v>
      </c>
    </row>
    <row r="762" spans="1:4" x14ac:dyDescent="0.25">
      <c r="A762" t="s">
        <v>1650</v>
      </c>
      <c r="B762" t="s">
        <v>1651</v>
      </c>
      <c r="C762" t="s">
        <v>1656</v>
      </c>
      <c r="D762" t="s">
        <v>1657</v>
      </c>
    </row>
    <row r="763" spans="1:4" x14ac:dyDescent="0.25">
      <c r="A763" t="s">
        <v>1650</v>
      </c>
      <c r="B763" t="s">
        <v>1651</v>
      </c>
      <c r="C763" t="s">
        <v>1658</v>
      </c>
      <c r="D763" t="s">
        <v>1659</v>
      </c>
    </row>
    <row r="764" spans="1:4" x14ac:dyDescent="0.25">
      <c r="A764" t="s">
        <v>1660</v>
      </c>
      <c r="B764" t="s">
        <v>1661</v>
      </c>
      <c r="C764" t="s">
        <v>1662</v>
      </c>
      <c r="D764" t="s">
        <v>1663</v>
      </c>
    </row>
    <row r="765" spans="1:4" x14ac:dyDescent="0.25">
      <c r="A765" t="s">
        <v>1660</v>
      </c>
      <c r="B765" t="s">
        <v>1661</v>
      </c>
      <c r="C765" t="s">
        <v>1664</v>
      </c>
      <c r="D765" t="s">
        <v>1665</v>
      </c>
    </row>
    <row r="766" spans="1:4" x14ac:dyDescent="0.25">
      <c r="A766" t="s">
        <v>1660</v>
      </c>
      <c r="B766" t="s">
        <v>1661</v>
      </c>
      <c r="C766" t="s">
        <v>1666</v>
      </c>
      <c r="D766" t="s">
        <v>1667</v>
      </c>
    </row>
    <row r="767" spans="1:4" x14ac:dyDescent="0.25">
      <c r="A767" t="s">
        <v>1660</v>
      </c>
      <c r="B767" t="s">
        <v>1661</v>
      </c>
      <c r="C767" t="s">
        <v>1668</v>
      </c>
      <c r="D767" t="s">
        <v>1669</v>
      </c>
    </row>
    <row r="768" spans="1:4" x14ac:dyDescent="0.25">
      <c r="A768" t="s">
        <v>1660</v>
      </c>
      <c r="B768" t="s">
        <v>1661</v>
      </c>
      <c r="C768" t="s">
        <v>1670</v>
      </c>
      <c r="D768" t="s">
        <v>1671</v>
      </c>
    </row>
    <row r="769" spans="1:4" x14ac:dyDescent="0.25">
      <c r="A769" t="s">
        <v>1660</v>
      </c>
      <c r="B769" t="s">
        <v>1661</v>
      </c>
      <c r="C769" t="s">
        <v>1672</v>
      </c>
      <c r="D769" t="s">
        <v>1673</v>
      </c>
    </row>
    <row r="770" spans="1:4" x14ac:dyDescent="0.25">
      <c r="A770" t="s">
        <v>1660</v>
      </c>
      <c r="B770" t="s">
        <v>1661</v>
      </c>
      <c r="C770" t="s">
        <v>1674</v>
      </c>
      <c r="D770" t="s">
        <v>1675</v>
      </c>
    </row>
    <row r="771" spans="1:4" x14ac:dyDescent="0.25">
      <c r="A771" t="s">
        <v>1660</v>
      </c>
      <c r="B771" t="s">
        <v>1661</v>
      </c>
      <c r="C771" t="s">
        <v>1676</v>
      </c>
      <c r="D771" t="s">
        <v>1677</v>
      </c>
    </row>
    <row r="772" spans="1:4" x14ac:dyDescent="0.25">
      <c r="A772" t="s">
        <v>1660</v>
      </c>
      <c r="B772" t="s">
        <v>1661</v>
      </c>
      <c r="C772" t="s">
        <v>1678</v>
      </c>
      <c r="D772" t="s">
        <v>1679</v>
      </c>
    </row>
    <row r="773" spans="1:4" x14ac:dyDescent="0.25">
      <c r="A773" t="s">
        <v>1660</v>
      </c>
      <c r="B773" t="s">
        <v>1661</v>
      </c>
      <c r="C773" t="s">
        <v>1680</v>
      </c>
      <c r="D773" t="s">
        <v>1681</v>
      </c>
    </row>
    <row r="774" spans="1:4" x14ac:dyDescent="0.25">
      <c r="A774" t="s">
        <v>1660</v>
      </c>
      <c r="B774" t="s">
        <v>1661</v>
      </c>
      <c r="C774" t="s">
        <v>1682</v>
      </c>
      <c r="D774" t="s">
        <v>1683</v>
      </c>
    </row>
    <row r="775" spans="1:4" x14ac:dyDescent="0.25">
      <c r="A775" t="s">
        <v>1660</v>
      </c>
      <c r="B775" t="s">
        <v>1661</v>
      </c>
      <c r="C775" t="s">
        <v>1684</v>
      </c>
      <c r="D775" t="s">
        <v>1685</v>
      </c>
    </row>
    <row r="776" spans="1:4" x14ac:dyDescent="0.25">
      <c r="A776" t="s">
        <v>1660</v>
      </c>
      <c r="B776" t="s">
        <v>1661</v>
      </c>
      <c r="C776" t="s">
        <v>1686</v>
      </c>
      <c r="D776" t="s">
        <v>1687</v>
      </c>
    </row>
    <row r="777" spans="1:4" x14ac:dyDescent="0.25">
      <c r="A777" t="s">
        <v>1660</v>
      </c>
      <c r="B777" t="s">
        <v>1661</v>
      </c>
      <c r="C777" t="s">
        <v>1688</v>
      </c>
      <c r="D777" t="s">
        <v>1689</v>
      </c>
    </row>
    <row r="778" spans="1:4" x14ac:dyDescent="0.25">
      <c r="A778" t="s">
        <v>1660</v>
      </c>
      <c r="B778" t="s">
        <v>1661</v>
      </c>
      <c r="C778" t="s">
        <v>1690</v>
      </c>
      <c r="D778" t="s">
        <v>1691</v>
      </c>
    </row>
    <row r="779" spans="1:4" x14ac:dyDescent="0.25">
      <c r="A779" t="s">
        <v>1692</v>
      </c>
      <c r="B779" t="s">
        <v>1693</v>
      </c>
      <c r="C779" t="s">
        <v>1694</v>
      </c>
      <c r="D779" t="s">
        <v>1695</v>
      </c>
    </row>
    <row r="780" spans="1:4" x14ac:dyDescent="0.25">
      <c r="A780" t="s">
        <v>1692</v>
      </c>
      <c r="B780" t="s">
        <v>1693</v>
      </c>
      <c r="C780" t="s">
        <v>1696</v>
      </c>
      <c r="D780" t="s">
        <v>1697</v>
      </c>
    </row>
    <row r="781" spans="1:4" x14ac:dyDescent="0.25">
      <c r="A781" t="s">
        <v>1692</v>
      </c>
      <c r="B781" t="s">
        <v>1693</v>
      </c>
      <c r="C781" t="s">
        <v>1698</v>
      </c>
      <c r="D781" t="s">
        <v>1699</v>
      </c>
    </row>
    <row r="782" spans="1:4" x14ac:dyDescent="0.25">
      <c r="A782" t="s">
        <v>1692</v>
      </c>
      <c r="B782" t="s">
        <v>1693</v>
      </c>
      <c r="C782" t="s">
        <v>1700</v>
      </c>
      <c r="D782" t="s">
        <v>1701</v>
      </c>
    </row>
    <row r="783" spans="1:4" x14ac:dyDescent="0.25">
      <c r="A783" t="s">
        <v>1692</v>
      </c>
      <c r="B783" t="s">
        <v>1693</v>
      </c>
      <c r="C783" t="s">
        <v>1702</v>
      </c>
      <c r="D783" t="s">
        <v>1703</v>
      </c>
    </row>
    <row r="784" spans="1:4" x14ac:dyDescent="0.25">
      <c r="A784" t="s">
        <v>1692</v>
      </c>
      <c r="B784" t="s">
        <v>1693</v>
      </c>
      <c r="C784" t="s">
        <v>1704</v>
      </c>
      <c r="D784" t="s">
        <v>1705</v>
      </c>
    </row>
    <row r="785" spans="1:4" x14ac:dyDescent="0.25">
      <c r="A785" t="s">
        <v>1692</v>
      </c>
      <c r="B785" t="s">
        <v>1693</v>
      </c>
      <c r="C785" t="s">
        <v>1706</v>
      </c>
      <c r="D785" t="s">
        <v>1707</v>
      </c>
    </row>
    <row r="786" spans="1:4" x14ac:dyDescent="0.25">
      <c r="A786" t="s">
        <v>1692</v>
      </c>
      <c r="B786" t="s">
        <v>1693</v>
      </c>
      <c r="C786" t="s">
        <v>1708</v>
      </c>
      <c r="D786" t="s">
        <v>1709</v>
      </c>
    </row>
    <row r="787" spans="1:4" x14ac:dyDescent="0.25">
      <c r="A787" t="s">
        <v>1692</v>
      </c>
      <c r="B787" t="s">
        <v>1693</v>
      </c>
      <c r="C787" t="s">
        <v>1710</v>
      </c>
      <c r="D787" t="s">
        <v>1711</v>
      </c>
    </row>
    <row r="788" spans="1:4" x14ac:dyDescent="0.25">
      <c r="A788" t="s">
        <v>1692</v>
      </c>
      <c r="B788" t="s">
        <v>1693</v>
      </c>
      <c r="C788" t="s">
        <v>1712</v>
      </c>
      <c r="D788" t="s">
        <v>1713</v>
      </c>
    </row>
    <row r="789" spans="1:4" x14ac:dyDescent="0.25">
      <c r="A789" t="s">
        <v>1692</v>
      </c>
      <c r="B789" t="s">
        <v>1693</v>
      </c>
      <c r="C789" t="s">
        <v>1714</v>
      </c>
      <c r="D789" t="s">
        <v>1715</v>
      </c>
    </row>
    <row r="790" spans="1:4" x14ac:dyDescent="0.25">
      <c r="A790" t="s">
        <v>1692</v>
      </c>
      <c r="B790" t="s">
        <v>1693</v>
      </c>
      <c r="C790" t="s">
        <v>1716</v>
      </c>
      <c r="D790" t="s">
        <v>1717</v>
      </c>
    </row>
    <row r="791" spans="1:4" x14ac:dyDescent="0.25">
      <c r="A791" t="s">
        <v>1692</v>
      </c>
      <c r="B791" t="s">
        <v>1693</v>
      </c>
      <c r="C791" t="s">
        <v>1718</v>
      </c>
      <c r="D791" t="s">
        <v>1719</v>
      </c>
    </row>
    <row r="792" spans="1:4" x14ac:dyDescent="0.25">
      <c r="A792" t="s">
        <v>1692</v>
      </c>
      <c r="B792" t="s">
        <v>1693</v>
      </c>
      <c r="C792" t="s">
        <v>1720</v>
      </c>
      <c r="D792" t="s">
        <v>1721</v>
      </c>
    </row>
    <row r="793" spans="1:4" x14ac:dyDescent="0.25">
      <c r="A793" t="s">
        <v>1722</v>
      </c>
      <c r="B793" t="s">
        <v>1723</v>
      </c>
      <c r="C793" t="s">
        <v>1724</v>
      </c>
      <c r="D793" t="s">
        <v>1725</v>
      </c>
    </row>
    <row r="794" spans="1:4" x14ac:dyDescent="0.25">
      <c r="A794" t="s">
        <v>1722</v>
      </c>
      <c r="B794" t="s">
        <v>1723</v>
      </c>
      <c r="C794" t="s">
        <v>1726</v>
      </c>
      <c r="D794" t="s">
        <v>1727</v>
      </c>
    </row>
    <row r="795" spans="1:4" x14ac:dyDescent="0.25">
      <c r="A795" t="s">
        <v>1722</v>
      </c>
      <c r="B795" t="s">
        <v>1723</v>
      </c>
      <c r="C795" t="s">
        <v>1728</v>
      </c>
      <c r="D795" t="s">
        <v>1729</v>
      </c>
    </row>
    <row r="796" spans="1:4" x14ac:dyDescent="0.25">
      <c r="A796" t="s">
        <v>1722</v>
      </c>
      <c r="B796" t="s">
        <v>1723</v>
      </c>
      <c r="C796" t="s">
        <v>1730</v>
      </c>
      <c r="D796" t="s">
        <v>1731</v>
      </c>
    </row>
    <row r="797" spans="1:4" x14ac:dyDescent="0.25">
      <c r="A797" t="s">
        <v>1722</v>
      </c>
      <c r="B797" t="s">
        <v>1723</v>
      </c>
      <c r="C797" t="s">
        <v>1732</v>
      </c>
      <c r="D797" t="s">
        <v>1733</v>
      </c>
    </row>
    <row r="798" spans="1:4" x14ac:dyDescent="0.25">
      <c r="A798" t="s">
        <v>1722</v>
      </c>
      <c r="B798" t="s">
        <v>1723</v>
      </c>
      <c r="C798" t="s">
        <v>1734</v>
      </c>
      <c r="D798" t="s">
        <v>1735</v>
      </c>
    </row>
    <row r="799" spans="1:4" x14ac:dyDescent="0.25">
      <c r="A799" t="s">
        <v>1722</v>
      </c>
      <c r="B799" t="s">
        <v>1723</v>
      </c>
      <c r="C799" t="s">
        <v>1736</v>
      </c>
      <c r="D799" t="s">
        <v>1737</v>
      </c>
    </row>
    <row r="800" spans="1:4" x14ac:dyDescent="0.25">
      <c r="A800" t="s">
        <v>1722</v>
      </c>
      <c r="B800" t="s">
        <v>1723</v>
      </c>
      <c r="C800" t="s">
        <v>1738</v>
      </c>
      <c r="D800" t="s">
        <v>1739</v>
      </c>
    </row>
    <row r="801" spans="1:4" x14ac:dyDescent="0.25">
      <c r="A801" t="s">
        <v>1722</v>
      </c>
      <c r="B801" t="s">
        <v>1723</v>
      </c>
      <c r="C801" t="s">
        <v>1740</v>
      </c>
      <c r="D801" t="s">
        <v>1741</v>
      </c>
    </row>
    <row r="802" spans="1:4" x14ac:dyDescent="0.25">
      <c r="A802" t="s">
        <v>1722</v>
      </c>
      <c r="B802" t="s">
        <v>1723</v>
      </c>
      <c r="C802" t="s">
        <v>1742</v>
      </c>
      <c r="D802" t="s">
        <v>1743</v>
      </c>
    </row>
    <row r="803" spans="1:4" x14ac:dyDescent="0.25">
      <c r="A803" t="s">
        <v>1722</v>
      </c>
      <c r="B803" t="s">
        <v>1723</v>
      </c>
      <c r="C803" t="s">
        <v>1744</v>
      </c>
      <c r="D803" t="s">
        <v>1745</v>
      </c>
    </row>
    <row r="804" spans="1:4" x14ac:dyDescent="0.25">
      <c r="A804" t="s">
        <v>1722</v>
      </c>
      <c r="B804" t="s">
        <v>1723</v>
      </c>
      <c r="C804" t="s">
        <v>1746</v>
      </c>
      <c r="D804" t="s">
        <v>1747</v>
      </c>
    </row>
    <row r="805" spans="1:4" x14ac:dyDescent="0.25">
      <c r="A805" t="s">
        <v>1722</v>
      </c>
      <c r="B805" t="s">
        <v>1723</v>
      </c>
      <c r="C805" t="s">
        <v>1748</v>
      </c>
      <c r="D805" t="s">
        <v>1749</v>
      </c>
    </row>
    <row r="806" spans="1:4" x14ac:dyDescent="0.25">
      <c r="A806" t="s">
        <v>1722</v>
      </c>
      <c r="B806" t="s">
        <v>1723</v>
      </c>
      <c r="C806" t="s">
        <v>1750</v>
      </c>
      <c r="D806" t="s">
        <v>1751</v>
      </c>
    </row>
    <row r="807" spans="1:4" x14ac:dyDescent="0.25">
      <c r="A807" t="s">
        <v>1722</v>
      </c>
      <c r="B807" t="s">
        <v>1723</v>
      </c>
      <c r="C807" t="s">
        <v>1752</v>
      </c>
      <c r="D807" t="s">
        <v>1753</v>
      </c>
    </row>
    <row r="808" spans="1:4" x14ac:dyDescent="0.25">
      <c r="A808" t="s">
        <v>1722</v>
      </c>
      <c r="B808" t="s">
        <v>1723</v>
      </c>
      <c r="C808" t="s">
        <v>1754</v>
      </c>
      <c r="D808" t="s">
        <v>1755</v>
      </c>
    </row>
    <row r="809" spans="1:4" x14ac:dyDescent="0.25">
      <c r="A809" t="s">
        <v>1722</v>
      </c>
      <c r="B809" t="s">
        <v>1723</v>
      </c>
      <c r="C809" t="s">
        <v>1756</v>
      </c>
      <c r="D809" t="s">
        <v>1757</v>
      </c>
    </row>
    <row r="810" spans="1:4" x14ac:dyDescent="0.25">
      <c r="A810" t="s">
        <v>1722</v>
      </c>
      <c r="B810" t="s">
        <v>1723</v>
      </c>
      <c r="C810" t="s">
        <v>1758</v>
      </c>
      <c r="D810" t="s">
        <v>1759</v>
      </c>
    </row>
    <row r="811" spans="1:4" x14ac:dyDescent="0.25">
      <c r="A811" t="s">
        <v>1722</v>
      </c>
      <c r="B811" t="s">
        <v>1723</v>
      </c>
      <c r="C811" t="s">
        <v>1760</v>
      </c>
      <c r="D811" t="s">
        <v>1761</v>
      </c>
    </row>
    <row r="812" spans="1:4" x14ac:dyDescent="0.25">
      <c r="A812" t="s">
        <v>1722</v>
      </c>
      <c r="B812" t="s">
        <v>1723</v>
      </c>
      <c r="C812" t="s">
        <v>1762</v>
      </c>
      <c r="D812" t="s">
        <v>1763</v>
      </c>
    </row>
    <row r="813" spans="1:4" x14ac:dyDescent="0.25">
      <c r="A813" t="s">
        <v>1764</v>
      </c>
      <c r="B813" t="s">
        <v>1765</v>
      </c>
      <c r="C813" t="s">
        <v>1766</v>
      </c>
      <c r="D813" t="s">
        <v>1767</v>
      </c>
    </row>
    <row r="814" spans="1:4" x14ac:dyDescent="0.25">
      <c r="A814" t="s">
        <v>1764</v>
      </c>
      <c r="B814" t="s">
        <v>1765</v>
      </c>
      <c r="C814" t="s">
        <v>1768</v>
      </c>
      <c r="D814" t="s">
        <v>1769</v>
      </c>
    </row>
    <row r="815" spans="1:4" x14ac:dyDescent="0.25">
      <c r="A815" t="s">
        <v>1764</v>
      </c>
      <c r="B815" t="s">
        <v>1765</v>
      </c>
      <c r="C815" t="s">
        <v>1770</v>
      </c>
      <c r="D815" t="s">
        <v>1771</v>
      </c>
    </row>
    <row r="816" spans="1:4" x14ac:dyDescent="0.25">
      <c r="A816" t="s">
        <v>1764</v>
      </c>
      <c r="B816" t="s">
        <v>1765</v>
      </c>
      <c r="C816" t="s">
        <v>1772</v>
      </c>
      <c r="D816" t="s">
        <v>1773</v>
      </c>
    </row>
    <row r="817" spans="1:4" x14ac:dyDescent="0.25">
      <c r="A817" t="s">
        <v>1764</v>
      </c>
      <c r="B817" t="s">
        <v>1765</v>
      </c>
      <c r="C817" t="s">
        <v>1774</v>
      </c>
      <c r="D817" t="s">
        <v>1775</v>
      </c>
    </row>
    <row r="818" spans="1:4" x14ac:dyDescent="0.25">
      <c r="A818" t="s">
        <v>1764</v>
      </c>
      <c r="B818" t="s">
        <v>1765</v>
      </c>
      <c r="C818" t="s">
        <v>1776</v>
      </c>
      <c r="D818" t="s">
        <v>1777</v>
      </c>
    </row>
    <row r="819" spans="1:4" x14ac:dyDescent="0.25">
      <c r="A819" t="s">
        <v>1764</v>
      </c>
      <c r="B819" t="s">
        <v>1765</v>
      </c>
      <c r="C819" t="s">
        <v>1778</v>
      </c>
      <c r="D819" t="s">
        <v>1779</v>
      </c>
    </row>
    <row r="820" spans="1:4" x14ac:dyDescent="0.25">
      <c r="A820" t="s">
        <v>1764</v>
      </c>
      <c r="B820" t="s">
        <v>1765</v>
      </c>
      <c r="C820" t="s">
        <v>1780</v>
      </c>
      <c r="D820" t="s">
        <v>1781</v>
      </c>
    </row>
    <row r="821" spans="1:4" x14ac:dyDescent="0.25">
      <c r="A821" t="s">
        <v>1764</v>
      </c>
      <c r="B821" t="s">
        <v>1765</v>
      </c>
      <c r="C821" t="s">
        <v>1782</v>
      </c>
      <c r="D821" t="s">
        <v>1783</v>
      </c>
    </row>
    <row r="822" spans="1:4" x14ac:dyDescent="0.25">
      <c r="A822" t="s">
        <v>1764</v>
      </c>
      <c r="B822" t="s">
        <v>1765</v>
      </c>
      <c r="C822" t="s">
        <v>1784</v>
      </c>
      <c r="D822" t="s">
        <v>1785</v>
      </c>
    </row>
    <row r="823" spans="1:4" x14ac:dyDescent="0.25">
      <c r="A823" t="s">
        <v>1764</v>
      </c>
      <c r="B823" t="s">
        <v>1765</v>
      </c>
      <c r="C823" t="s">
        <v>1786</v>
      </c>
      <c r="D823" t="s">
        <v>1787</v>
      </c>
    </row>
    <row r="824" spans="1:4" x14ac:dyDescent="0.25">
      <c r="A824" t="s">
        <v>1764</v>
      </c>
      <c r="B824" t="s">
        <v>1765</v>
      </c>
      <c r="C824" t="s">
        <v>1788</v>
      </c>
      <c r="D824" t="s">
        <v>1789</v>
      </c>
    </row>
    <row r="825" spans="1:4" x14ac:dyDescent="0.25">
      <c r="A825" t="s">
        <v>1764</v>
      </c>
      <c r="B825" t="s">
        <v>1765</v>
      </c>
      <c r="C825" t="s">
        <v>1790</v>
      </c>
      <c r="D825" t="s">
        <v>1791</v>
      </c>
    </row>
    <row r="826" spans="1:4" x14ac:dyDescent="0.25">
      <c r="A826" t="s">
        <v>1764</v>
      </c>
      <c r="B826" t="s">
        <v>1765</v>
      </c>
      <c r="C826" t="s">
        <v>1792</v>
      </c>
      <c r="D826" t="s">
        <v>1793</v>
      </c>
    </row>
    <row r="827" spans="1:4" x14ac:dyDescent="0.25">
      <c r="A827" t="s">
        <v>1764</v>
      </c>
      <c r="B827" t="s">
        <v>1765</v>
      </c>
      <c r="C827" t="s">
        <v>1794</v>
      </c>
      <c r="D827" t="s">
        <v>1795</v>
      </c>
    </row>
    <row r="828" spans="1:4" x14ac:dyDescent="0.25">
      <c r="A828" t="s">
        <v>1764</v>
      </c>
      <c r="B828" t="s">
        <v>1765</v>
      </c>
      <c r="C828" t="s">
        <v>1796</v>
      </c>
      <c r="D828" t="s">
        <v>1797</v>
      </c>
    </row>
    <row r="829" spans="1:4" x14ac:dyDescent="0.25">
      <c r="A829" t="s">
        <v>1764</v>
      </c>
      <c r="B829" t="s">
        <v>1765</v>
      </c>
      <c r="C829" t="s">
        <v>1798</v>
      </c>
      <c r="D829" t="s">
        <v>1799</v>
      </c>
    </row>
    <row r="830" spans="1:4" x14ac:dyDescent="0.25">
      <c r="A830" t="s">
        <v>1764</v>
      </c>
      <c r="B830" t="s">
        <v>1765</v>
      </c>
      <c r="C830" t="s">
        <v>1800</v>
      </c>
      <c r="D830" t="s">
        <v>1801</v>
      </c>
    </row>
    <row r="831" spans="1:4" x14ac:dyDescent="0.25">
      <c r="A831" t="s">
        <v>1802</v>
      </c>
      <c r="B831" t="s">
        <v>1803</v>
      </c>
      <c r="C831" t="s">
        <v>1804</v>
      </c>
      <c r="D831" t="s">
        <v>1805</v>
      </c>
    </row>
    <row r="832" spans="1:4" x14ac:dyDescent="0.25">
      <c r="A832" t="s">
        <v>1802</v>
      </c>
      <c r="B832" t="s">
        <v>1803</v>
      </c>
      <c r="C832" t="s">
        <v>1806</v>
      </c>
      <c r="D832" t="s">
        <v>1807</v>
      </c>
    </row>
    <row r="833" spans="1:4" x14ac:dyDescent="0.25">
      <c r="A833" t="s">
        <v>1802</v>
      </c>
      <c r="B833" t="s">
        <v>1803</v>
      </c>
      <c r="C833" t="s">
        <v>1808</v>
      </c>
      <c r="D833" t="s">
        <v>1809</v>
      </c>
    </row>
    <row r="834" spans="1:4" x14ac:dyDescent="0.25">
      <c r="A834" t="s">
        <v>1802</v>
      </c>
      <c r="B834" t="s">
        <v>1803</v>
      </c>
      <c r="C834" t="s">
        <v>1810</v>
      </c>
      <c r="D834" t="s">
        <v>1811</v>
      </c>
    </row>
    <row r="835" spans="1:4" x14ac:dyDescent="0.25">
      <c r="A835" t="s">
        <v>1802</v>
      </c>
      <c r="B835" t="s">
        <v>1803</v>
      </c>
      <c r="C835" t="s">
        <v>1812</v>
      </c>
      <c r="D835" t="s">
        <v>1813</v>
      </c>
    </row>
    <row r="836" spans="1:4" x14ac:dyDescent="0.25">
      <c r="A836" t="s">
        <v>1802</v>
      </c>
      <c r="B836" t="s">
        <v>1803</v>
      </c>
      <c r="C836" t="s">
        <v>1814</v>
      </c>
      <c r="D836" t="s">
        <v>1815</v>
      </c>
    </row>
    <row r="837" spans="1:4" x14ac:dyDescent="0.25">
      <c r="A837" t="s">
        <v>1802</v>
      </c>
      <c r="B837" t="s">
        <v>1803</v>
      </c>
      <c r="C837" t="s">
        <v>1816</v>
      </c>
      <c r="D837" t="s">
        <v>1817</v>
      </c>
    </row>
    <row r="838" spans="1:4" x14ac:dyDescent="0.25">
      <c r="A838" t="s">
        <v>1802</v>
      </c>
      <c r="B838" t="s">
        <v>1803</v>
      </c>
      <c r="C838" t="s">
        <v>1818</v>
      </c>
      <c r="D838" t="s">
        <v>1819</v>
      </c>
    </row>
    <row r="839" spans="1:4" x14ac:dyDescent="0.25">
      <c r="A839" t="s">
        <v>1802</v>
      </c>
      <c r="B839" t="s">
        <v>1803</v>
      </c>
      <c r="C839" t="s">
        <v>1820</v>
      </c>
      <c r="D839" t="s">
        <v>1821</v>
      </c>
    </row>
    <row r="840" spans="1:4" x14ac:dyDescent="0.25">
      <c r="A840" t="s">
        <v>1802</v>
      </c>
      <c r="B840" t="s">
        <v>1803</v>
      </c>
      <c r="C840" t="s">
        <v>1822</v>
      </c>
      <c r="D840" t="s">
        <v>1823</v>
      </c>
    </row>
    <row r="841" spans="1:4" x14ac:dyDescent="0.25">
      <c r="A841" t="s">
        <v>1802</v>
      </c>
      <c r="B841" t="s">
        <v>1803</v>
      </c>
      <c r="C841" t="s">
        <v>1824</v>
      </c>
      <c r="D841" t="s">
        <v>1825</v>
      </c>
    </row>
    <row r="842" spans="1:4" x14ac:dyDescent="0.25">
      <c r="A842" t="s">
        <v>1802</v>
      </c>
      <c r="B842" t="s">
        <v>1803</v>
      </c>
      <c r="C842" t="s">
        <v>1826</v>
      </c>
      <c r="D842" t="s">
        <v>1827</v>
      </c>
    </row>
    <row r="843" spans="1:4" x14ac:dyDescent="0.25">
      <c r="A843" t="s">
        <v>1802</v>
      </c>
      <c r="B843" t="s">
        <v>1803</v>
      </c>
      <c r="C843" t="s">
        <v>1828</v>
      </c>
      <c r="D843" t="s">
        <v>1829</v>
      </c>
    </row>
    <row r="844" spans="1:4" x14ac:dyDescent="0.25">
      <c r="A844" t="s">
        <v>1802</v>
      </c>
      <c r="B844" t="s">
        <v>1803</v>
      </c>
      <c r="C844" t="s">
        <v>1830</v>
      </c>
      <c r="D844" t="s">
        <v>1831</v>
      </c>
    </row>
    <row r="845" spans="1:4" x14ac:dyDescent="0.25">
      <c r="A845" t="s">
        <v>1802</v>
      </c>
      <c r="B845" t="s">
        <v>1803</v>
      </c>
      <c r="C845" t="s">
        <v>1832</v>
      </c>
      <c r="D845" t="s">
        <v>1833</v>
      </c>
    </row>
    <row r="846" spans="1:4" x14ac:dyDescent="0.25">
      <c r="A846" t="s">
        <v>1802</v>
      </c>
      <c r="B846" t="s">
        <v>1803</v>
      </c>
      <c r="C846" t="s">
        <v>1834</v>
      </c>
      <c r="D846" t="s">
        <v>1835</v>
      </c>
    </row>
    <row r="847" spans="1:4" x14ac:dyDescent="0.25">
      <c r="A847" t="s">
        <v>1802</v>
      </c>
      <c r="B847" t="s">
        <v>1803</v>
      </c>
      <c r="C847" t="s">
        <v>1836</v>
      </c>
      <c r="D847" t="s">
        <v>1837</v>
      </c>
    </row>
    <row r="848" spans="1:4" x14ac:dyDescent="0.25">
      <c r="A848" t="s">
        <v>1802</v>
      </c>
      <c r="B848" t="s">
        <v>1803</v>
      </c>
      <c r="C848" t="s">
        <v>1838</v>
      </c>
      <c r="D848" t="s">
        <v>1839</v>
      </c>
    </row>
    <row r="849" spans="1:4" x14ac:dyDescent="0.25">
      <c r="A849" t="s">
        <v>1802</v>
      </c>
      <c r="B849" t="s">
        <v>1803</v>
      </c>
      <c r="C849" t="s">
        <v>1840</v>
      </c>
      <c r="D849" t="s">
        <v>1841</v>
      </c>
    </row>
    <row r="850" spans="1:4" x14ac:dyDescent="0.25">
      <c r="A850" t="s">
        <v>1802</v>
      </c>
      <c r="B850" t="s">
        <v>1803</v>
      </c>
      <c r="C850" t="s">
        <v>1842</v>
      </c>
      <c r="D850" t="s">
        <v>1843</v>
      </c>
    </row>
    <row r="851" spans="1:4" x14ac:dyDescent="0.25">
      <c r="A851" t="s">
        <v>1802</v>
      </c>
      <c r="B851" t="s">
        <v>1803</v>
      </c>
      <c r="C851" t="s">
        <v>1844</v>
      </c>
      <c r="D851" t="s">
        <v>1845</v>
      </c>
    </row>
    <row r="852" spans="1:4" x14ac:dyDescent="0.25">
      <c r="A852" t="s">
        <v>1802</v>
      </c>
      <c r="B852" t="s">
        <v>1803</v>
      </c>
      <c r="C852" t="s">
        <v>1846</v>
      </c>
      <c r="D852" t="s">
        <v>1847</v>
      </c>
    </row>
    <row r="853" spans="1:4" x14ac:dyDescent="0.25">
      <c r="A853" t="s">
        <v>1802</v>
      </c>
      <c r="B853" t="s">
        <v>1803</v>
      </c>
      <c r="C853" t="s">
        <v>1848</v>
      </c>
      <c r="D853" t="s">
        <v>1849</v>
      </c>
    </row>
    <row r="854" spans="1:4" x14ac:dyDescent="0.25">
      <c r="A854" t="s">
        <v>1802</v>
      </c>
      <c r="B854" t="s">
        <v>1803</v>
      </c>
      <c r="C854" t="s">
        <v>1850</v>
      </c>
      <c r="D854" t="s">
        <v>1851</v>
      </c>
    </row>
    <row r="855" spans="1:4" x14ac:dyDescent="0.25">
      <c r="A855" t="s">
        <v>1802</v>
      </c>
      <c r="B855" t="s">
        <v>1803</v>
      </c>
      <c r="C855" t="s">
        <v>1852</v>
      </c>
      <c r="D855" t="s">
        <v>1853</v>
      </c>
    </row>
    <row r="856" spans="1:4" x14ac:dyDescent="0.25">
      <c r="A856" t="s">
        <v>1802</v>
      </c>
      <c r="B856" t="s">
        <v>1803</v>
      </c>
      <c r="C856" t="s">
        <v>1854</v>
      </c>
      <c r="D856" t="s">
        <v>1855</v>
      </c>
    </row>
    <row r="857" spans="1:4" x14ac:dyDescent="0.25">
      <c r="A857" t="s">
        <v>1802</v>
      </c>
      <c r="B857" t="s">
        <v>1803</v>
      </c>
      <c r="C857" t="s">
        <v>1856</v>
      </c>
      <c r="D857" t="s">
        <v>1857</v>
      </c>
    </row>
    <row r="858" spans="1:4" x14ac:dyDescent="0.25">
      <c r="A858" t="s">
        <v>1802</v>
      </c>
      <c r="B858" t="s">
        <v>1803</v>
      </c>
      <c r="C858" t="s">
        <v>1858</v>
      </c>
      <c r="D858" t="s">
        <v>1859</v>
      </c>
    </row>
    <row r="859" spans="1:4" x14ac:dyDescent="0.25">
      <c r="A859" t="s">
        <v>1802</v>
      </c>
      <c r="B859" t="s">
        <v>1803</v>
      </c>
      <c r="C859" t="s">
        <v>1860</v>
      </c>
      <c r="D859" t="s">
        <v>1861</v>
      </c>
    </row>
    <row r="860" spans="1:4" x14ac:dyDescent="0.25">
      <c r="A860" t="s">
        <v>1862</v>
      </c>
      <c r="B860" t="s">
        <v>1863</v>
      </c>
      <c r="C860" t="s">
        <v>1864</v>
      </c>
      <c r="D860" t="s">
        <v>1865</v>
      </c>
    </row>
    <row r="861" spans="1:4" x14ac:dyDescent="0.25">
      <c r="A861" t="s">
        <v>1862</v>
      </c>
      <c r="B861" t="s">
        <v>1863</v>
      </c>
      <c r="C861" t="s">
        <v>1866</v>
      </c>
      <c r="D861" t="s">
        <v>1867</v>
      </c>
    </row>
    <row r="862" spans="1:4" x14ac:dyDescent="0.25">
      <c r="A862" t="s">
        <v>1862</v>
      </c>
      <c r="B862" t="s">
        <v>1863</v>
      </c>
      <c r="C862" t="s">
        <v>1868</v>
      </c>
      <c r="D862" t="s">
        <v>1869</v>
      </c>
    </row>
    <row r="863" spans="1:4" x14ac:dyDescent="0.25">
      <c r="A863" t="s">
        <v>1862</v>
      </c>
      <c r="B863" t="s">
        <v>1863</v>
      </c>
      <c r="C863" t="s">
        <v>1870</v>
      </c>
      <c r="D863" t="s">
        <v>1871</v>
      </c>
    </row>
    <row r="864" spans="1:4" x14ac:dyDescent="0.25">
      <c r="A864" t="s">
        <v>1862</v>
      </c>
      <c r="B864" t="s">
        <v>1863</v>
      </c>
      <c r="C864" t="s">
        <v>1872</v>
      </c>
      <c r="D864" t="s">
        <v>1873</v>
      </c>
    </row>
    <row r="865" spans="1:4" x14ac:dyDescent="0.25">
      <c r="A865" t="s">
        <v>1862</v>
      </c>
      <c r="B865" t="s">
        <v>1863</v>
      </c>
      <c r="C865" t="s">
        <v>1874</v>
      </c>
      <c r="D865" t="s">
        <v>1875</v>
      </c>
    </row>
    <row r="866" spans="1:4" x14ac:dyDescent="0.25">
      <c r="A866" t="s">
        <v>1862</v>
      </c>
      <c r="B866" t="s">
        <v>1863</v>
      </c>
      <c r="C866" t="s">
        <v>1876</v>
      </c>
      <c r="D866" t="s">
        <v>1877</v>
      </c>
    </row>
    <row r="867" spans="1:4" x14ac:dyDescent="0.25">
      <c r="A867" t="s">
        <v>1862</v>
      </c>
      <c r="B867" t="s">
        <v>1863</v>
      </c>
      <c r="C867" t="s">
        <v>1878</v>
      </c>
      <c r="D867" t="s">
        <v>1879</v>
      </c>
    </row>
    <row r="868" spans="1:4" x14ac:dyDescent="0.25">
      <c r="A868" t="s">
        <v>1862</v>
      </c>
      <c r="B868" t="s">
        <v>1863</v>
      </c>
      <c r="C868" t="s">
        <v>1880</v>
      </c>
      <c r="D868" t="s">
        <v>1881</v>
      </c>
    </row>
    <row r="869" spans="1:4" x14ac:dyDescent="0.25">
      <c r="A869" t="s">
        <v>1862</v>
      </c>
      <c r="B869" t="s">
        <v>1863</v>
      </c>
      <c r="C869" t="s">
        <v>1882</v>
      </c>
      <c r="D869" t="s">
        <v>1883</v>
      </c>
    </row>
    <row r="870" spans="1:4" x14ac:dyDescent="0.25">
      <c r="A870" t="s">
        <v>1862</v>
      </c>
      <c r="B870" t="s">
        <v>1863</v>
      </c>
      <c r="C870" t="s">
        <v>1884</v>
      </c>
      <c r="D870" t="s">
        <v>1885</v>
      </c>
    </row>
    <row r="871" spans="1:4" x14ac:dyDescent="0.25">
      <c r="A871" t="s">
        <v>1862</v>
      </c>
      <c r="B871" t="s">
        <v>1863</v>
      </c>
      <c r="C871" t="s">
        <v>1886</v>
      </c>
      <c r="D871" t="s">
        <v>1887</v>
      </c>
    </row>
    <row r="872" spans="1:4" x14ac:dyDescent="0.25">
      <c r="A872" t="s">
        <v>1862</v>
      </c>
      <c r="B872" t="s">
        <v>1863</v>
      </c>
      <c r="C872" t="s">
        <v>1888</v>
      </c>
      <c r="D872" t="s">
        <v>1889</v>
      </c>
    </row>
    <row r="873" spans="1:4" x14ac:dyDescent="0.25">
      <c r="A873" t="s">
        <v>1862</v>
      </c>
      <c r="B873" t="s">
        <v>1863</v>
      </c>
      <c r="C873" t="s">
        <v>1890</v>
      </c>
      <c r="D873" t="s">
        <v>1891</v>
      </c>
    </row>
    <row r="874" spans="1:4" x14ac:dyDescent="0.25">
      <c r="A874" t="s">
        <v>1862</v>
      </c>
      <c r="B874" t="s">
        <v>1863</v>
      </c>
      <c r="C874" t="s">
        <v>1892</v>
      </c>
      <c r="D874" t="s">
        <v>1893</v>
      </c>
    </row>
    <row r="875" spans="1:4" x14ac:dyDescent="0.25">
      <c r="A875" t="s">
        <v>1862</v>
      </c>
      <c r="B875" t="s">
        <v>1863</v>
      </c>
      <c r="C875" t="s">
        <v>1894</v>
      </c>
      <c r="D875" t="s">
        <v>1895</v>
      </c>
    </row>
    <row r="876" spans="1:4" x14ac:dyDescent="0.25">
      <c r="A876" t="s">
        <v>1862</v>
      </c>
      <c r="B876" t="s">
        <v>1863</v>
      </c>
      <c r="C876" t="s">
        <v>1896</v>
      </c>
      <c r="D876" t="s">
        <v>1897</v>
      </c>
    </row>
    <row r="877" spans="1:4" x14ac:dyDescent="0.25">
      <c r="A877" t="s">
        <v>1862</v>
      </c>
      <c r="B877" t="s">
        <v>1863</v>
      </c>
      <c r="C877" t="s">
        <v>1898</v>
      </c>
      <c r="D877" t="s">
        <v>1899</v>
      </c>
    </row>
    <row r="878" spans="1:4" x14ac:dyDescent="0.25">
      <c r="A878" t="s">
        <v>1862</v>
      </c>
      <c r="B878" t="s">
        <v>1863</v>
      </c>
      <c r="C878" t="s">
        <v>1900</v>
      </c>
      <c r="D878" t="s">
        <v>1901</v>
      </c>
    </row>
    <row r="879" spans="1:4" x14ac:dyDescent="0.25">
      <c r="A879" t="s">
        <v>1862</v>
      </c>
      <c r="B879" t="s">
        <v>1863</v>
      </c>
      <c r="C879" t="s">
        <v>1902</v>
      </c>
      <c r="D879" t="s">
        <v>1903</v>
      </c>
    </row>
    <row r="880" spans="1:4" x14ac:dyDescent="0.25">
      <c r="A880" t="s">
        <v>1862</v>
      </c>
      <c r="B880" t="s">
        <v>1863</v>
      </c>
      <c r="C880" t="s">
        <v>1904</v>
      </c>
      <c r="D880" t="s">
        <v>1905</v>
      </c>
    </row>
    <row r="881" spans="1:4" x14ac:dyDescent="0.25">
      <c r="A881" t="s">
        <v>1862</v>
      </c>
      <c r="B881" t="s">
        <v>1863</v>
      </c>
      <c r="C881" t="s">
        <v>1906</v>
      </c>
      <c r="D881" t="s">
        <v>1907</v>
      </c>
    </row>
    <row r="882" spans="1:4" x14ac:dyDescent="0.25">
      <c r="A882" t="s">
        <v>1862</v>
      </c>
      <c r="B882" t="s">
        <v>1863</v>
      </c>
      <c r="C882" t="s">
        <v>1908</v>
      </c>
      <c r="D882" t="s">
        <v>1909</v>
      </c>
    </row>
    <row r="883" spans="1:4" x14ac:dyDescent="0.25">
      <c r="A883" t="s">
        <v>1862</v>
      </c>
      <c r="B883" t="s">
        <v>1863</v>
      </c>
      <c r="C883" t="s">
        <v>1910</v>
      </c>
      <c r="D883" t="s">
        <v>1911</v>
      </c>
    </row>
    <row r="884" spans="1:4" x14ac:dyDescent="0.25">
      <c r="A884" t="s">
        <v>1862</v>
      </c>
      <c r="B884" t="s">
        <v>1863</v>
      </c>
      <c r="C884" t="s">
        <v>1912</v>
      </c>
      <c r="D884" t="s">
        <v>1913</v>
      </c>
    </row>
    <row r="885" spans="1:4" x14ac:dyDescent="0.25">
      <c r="A885" t="s">
        <v>1862</v>
      </c>
      <c r="B885" t="s">
        <v>1863</v>
      </c>
      <c r="C885" t="s">
        <v>1914</v>
      </c>
      <c r="D885" t="s">
        <v>1915</v>
      </c>
    </row>
    <row r="886" spans="1:4" x14ac:dyDescent="0.25">
      <c r="A886" t="s">
        <v>1916</v>
      </c>
      <c r="B886" t="s">
        <v>1917</v>
      </c>
      <c r="C886" t="s">
        <v>1918</v>
      </c>
      <c r="D886" t="s">
        <v>1919</v>
      </c>
    </row>
    <row r="887" spans="1:4" x14ac:dyDescent="0.25">
      <c r="A887" t="s">
        <v>1916</v>
      </c>
      <c r="B887" t="s">
        <v>1917</v>
      </c>
      <c r="C887" t="s">
        <v>1920</v>
      </c>
      <c r="D887" t="s">
        <v>1921</v>
      </c>
    </row>
    <row r="888" spans="1:4" x14ac:dyDescent="0.25">
      <c r="A888" t="s">
        <v>1916</v>
      </c>
      <c r="B888" t="s">
        <v>1917</v>
      </c>
      <c r="C888" t="s">
        <v>1922</v>
      </c>
      <c r="D888" t="s">
        <v>1923</v>
      </c>
    </row>
    <row r="889" spans="1:4" x14ac:dyDescent="0.25">
      <c r="A889" t="s">
        <v>1916</v>
      </c>
      <c r="B889" t="s">
        <v>1917</v>
      </c>
      <c r="C889" t="s">
        <v>1924</v>
      </c>
      <c r="D889" t="s">
        <v>1925</v>
      </c>
    </row>
    <row r="890" spans="1:4" x14ac:dyDescent="0.25">
      <c r="A890" t="s">
        <v>1916</v>
      </c>
      <c r="B890" t="s">
        <v>1917</v>
      </c>
      <c r="C890" t="s">
        <v>1926</v>
      </c>
      <c r="D890" t="s">
        <v>1927</v>
      </c>
    </row>
    <row r="891" spans="1:4" x14ac:dyDescent="0.25">
      <c r="A891" t="s">
        <v>1916</v>
      </c>
      <c r="B891" t="s">
        <v>1917</v>
      </c>
      <c r="C891" t="s">
        <v>1928</v>
      </c>
      <c r="D891" t="s">
        <v>1929</v>
      </c>
    </row>
    <row r="892" spans="1:4" x14ac:dyDescent="0.25">
      <c r="A892" t="s">
        <v>1916</v>
      </c>
      <c r="B892" t="s">
        <v>1917</v>
      </c>
      <c r="C892" t="s">
        <v>1930</v>
      </c>
      <c r="D892" t="s">
        <v>1931</v>
      </c>
    </row>
    <row r="893" spans="1:4" x14ac:dyDescent="0.25">
      <c r="A893" t="s">
        <v>1916</v>
      </c>
      <c r="B893" t="s">
        <v>1917</v>
      </c>
      <c r="C893" t="s">
        <v>1932</v>
      </c>
      <c r="D893" t="s">
        <v>1933</v>
      </c>
    </row>
    <row r="894" spans="1:4" x14ac:dyDescent="0.25">
      <c r="A894" t="s">
        <v>1916</v>
      </c>
      <c r="B894" t="s">
        <v>1917</v>
      </c>
      <c r="C894" t="s">
        <v>1934</v>
      </c>
      <c r="D894" t="s">
        <v>1935</v>
      </c>
    </row>
    <row r="895" spans="1:4" x14ac:dyDescent="0.25">
      <c r="A895" t="s">
        <v>1916</v>
      </c>
      <c r="B895" t="s">
        <v>1917</v>
      </c>
      <c r="C895" t="s">
        <v>1936</v>
      </c>
      <c r="D895" t="s">
        <v>1937</v>
      </c>
    </row>
    <row r="896" spans="1:4" x14ac:dyDescent="0.25">
      <c r="A896" t="s">
        <v>1916</v>
      </c>
      <c r="B896" t="s">
        <v>1917</v>
      </c>
      <c r="C896" t="s">
        <v>1938</v>
      </c>
      <c r="D896" t="s">
        <v>1939</v>
      </c>
    </row>
    <row r="897" spans="1:4" x14ac:dyDescent="0.25">
      <c r="A897" t="s">
        <v>1916</v>
      </c>
      <c r="B897" t="s">
        <v>1917</v>
      </c>
      <c r="C897" t="s">
        <v>1940</v>
      </c>
      <c r="D897" t="s">
        <v>1941</v>
      </c>
    </row>
    <row r="898" spans="1:4" x14ac:dyDescent="0.25">
      <c r="A898" t="s">
        <v>1916</v>
      </c>
      <c r="B898" t="s">
        <v>1917</v>
      </c>
      <c r="C898" t="s">
        <v>1942</v>
      </c>
      <c r="D898" t="s">
        <v>1943</v>
      </c>
    </row>
    <row r="899" spans="1:4" x14ac:dyDescent="0.25">
      <c r="A899" t="s">
        <v>1916</v>
      </c>
      <c r="B899" t="s">
        <v>1917</v>
      </c>
      <c r="C899" t="s">
        <v>1944</v>
      </c>
      <c r="D899" t="s">
        <v>1945</v>
      </c>
    </row>
    <row r="900" spans="1:4" x14ac:dyDescent="0.25">
      <c r="A900" t="s">
        <v>1916</v>
      </c>
      <c r="B900" t="s">
        <v>1917</v>
      </c>
      <c r="C900" t="s">
        <v>1946</v>
      </c>
      <c r="D900" t="s">
        <v>1947</v>
      </c>
    </row>
    <row r="901" spans="1:4" x14ac:dyDescent="0.25">
      <c r="A901" t="s">
        <v>1916</v>
      </c>
      <c r="B901" t="s">
        <v>1917</v>
      </c>
      <c r="C901" t="s">
        <v>1948</v>
      </c>
      <c r="D901" t="s">
        <v>1949</v>
      </c>
    </row>
    <row r="902" spans="1:4" x14ac:dyDescent="0.25">
      <c r="A902" t="s">
        <v>1916</v>
      </c>
      <c r="B902" t="s">
        <v>1917</v>
      </c>
      <c r="C902" t="s">
        <v>1950</v>
      </c>
      <c r="D902" t="s">
        <v>1951</v>
      </c>
    </row>
    <row r="903" spans="1:4" x14ac:dyDescent="0.25">
      <c r="A903" t="s">
        <v>1916</v>
      </c>
      <c r="B903" t="s">
        <v>1917</v>
      </c>
      <c r="C903" t="s">
        <v>1952</v>
      </c>
      <c r="D903" t="s">
        <v>1953</v>
      </c>
    </row>
    <row r="904" spans="1:4" x14ac:dyDescent="0.25">
      <c r="A904" t="s">
        <v>1916</v>
      </c>
      <c r="B904" t="s">
        <v>1917</v>
      </c>
      <c r="C904" t="s">
        <v>1954</v>
      </c>
      <c r="D904" t="s">
        <v>1955</v>
      </c>
    </row>
    <row r="905" spans="1:4" x14ac:dyDescent="0.25">
      <c r="A905" t="s">
        <v>1956</v>
      </c>
      <c r="B905" t="s">
        <v>1957</v>
      </c>
      <c r="C905" t="s">
        <v>1958</v>
      </c>
      <c r="D905" t="s">
        <v>1959</v>
      </c>
    </row>
    <row r="906" spans="1:4" x14ac:dyDescent="0.25">
      <c r="A906" t="s">
        <v>1956</v>
      </c>
      <c r="B906" t="s">
        <v>1957</v>
      </c>
      <c r="C906" t="s">
        <v>1960</v>
      </c>
      <c r="D906" t="s">
        <v>1961</v>
      </c>
    </row>
    <row r="907" spans="1:4" x14ac:dyDescent="0.25">
      <c r="A907" t="s">
        <v>1956</v>
      </c>
      <c r="B907" t="s">
        <v>1957</v>
      </c>
      <c r="C907" t="s">
        <v>1962</v>
      </c>
      <c r="D907" t="s">
        <v>1963</v>
      </c>
    </row>
    <row r="908" spans="1:4" x14ac:dyDescent="0.25">
      <c r="A908" t="s">
        <v>1956</v>
      </c>
      <c r="B908" t="s">
        <v>1957</v>
      </c>
      <c r="C908" t="s">
        <v>1964</v>
      </c>
      <c r="D908" t="s">
        <v>1965</v>
      </c>
    </row>
    <row r="909" spans="1:4" x14ac:dyDescent="0.25">
      <c r="A909" t="s">
        <v>1956</v>
      </c>
      <c r="B909" t="s">
        <v>1957</v>
      </c>
      <c r="C909" t="s">
        <v>1966</v>
      </c>
      <c r="D909" t="s">
        <v>1967</v>
      </c>
    </row>
    <row r="910" spans="1:4" x14ac:dyDescent="0.25">
      <c r="A910" t="s">
        <v>1956</v>
      </c>
      <c r="B910" t="s">
        <v>1957</v>
      </c>
      <c r="C910" t="s">
        <v>1968</v>
      </c>
      <c r="D910" t="s">
        <v>1969</v>
      </c>
    </row>
    <row r="911" spans="1:4" x14ac:dyDescent="0.25">
      <c r="A911" t="s">
        <v>1956</v>
      </c>
      <c r="B911" t="s">
        <v>1957</v>
      </c>
      <c r="C911" t="s">
        <v>1970</v>
      </c>
      <c r="D911" t="s">
        <v>1971</v>
      </c>
    </row>
    <row r="912" spans="1:4" x14ac:dyDescent="0.25">
      <c r="A912" t="s">
        <v>1956</v>
      </c>
      <c r="B912" t="s">
        <v>1957</v>
      </c>
      <c r="C912" t="s">
        <v>1972</v>
      </c>
      <c r="D912" t="s">
        <v>1973</v>
      </c>
    </row>
    <row r="913" spans="1:4" x14ac:dyDescent="0.25">
      <c r="A913" t="s">
        <v>1974</v>
      </c>
      <c r="B913" t="s">
        <v>1975</v>
      </c>
      <c r="C913" t="s">
        <v>1976</v>
      </c>
      <c r="D913" t="s">
        <v>1977</v>
      </c>
    </row>
    <row r="914" spans="1:4" x14ac:dyDescent="0.25">
      <c r="A914" t="s">
        <v>1974</v>
      </c>
      <c r="B914" t="s">
        <v>1975</v>
      </c>
      <c r="C914" t="s">
        <v>1978</v>
      </c>
      <c r="D914" t="s">
        <v>1979</v>
      </c>
    </row>
    <row r="915" spans="1:4" x14ac:dyDescent="0.25">
      <c r="A915" t="s">
        <v>1974</v>
      </c>
      <c r="B915" t="s">
        <v>1975</v>
      </c>
      <c r="C915" t="s">
        <v>1980</v>
      </c>
      <c r="D915" t="s">
        <v>1981</v>
      </c>
    </row>
    <row r="916" spans="1:4" x14ac:dyDescent="0.25">
      <c r="A916" t="s">
        <v>1974</v>
      </c>
      <c r="B916" t="s">
        <v>1975</v>
      </c>
      <c r="C916" t="s">
        <v>1982</v>
      </c>
      <c r="D916" t="s">
        <v>1983</v>
      </c>
    </row>
    <row r="917" spans="1:4" x14ac:dyDescent="0.25">
      <c r="A917" t="s">
        <v>1974</v>
      </c>
      <c r="B917" t="s">
        <v>1975</v>
      </c>
      <c r="C917" t="s">
        <v>1984</v>
      </c>
      <c r="D917" t="s">
        <v>1985</v>
      </c>
    </row>
    <row r="918" spans="1:4" x14ac:dyDescent="0.25">
      <c r="A918" t="s">
        <v>1974</v>
      </c>
      <c r="B918" t="s">
        <v>1975</v>
      </c>
      <c r="C918" t="s">
        <v>1986</v>
      </c>
      <c r="D918" t="s">
        <v>1987</v>
      </c>
    </row>
    <row r="919" spans="1:4" x14ac:dyDescent="0.25">
      <c r="A919" t="s">
        <v>1974</v>
      </c>
      <c r="B919" t="s">
        <v>1975</v>
      </c>
      <c r="C919" t="s">
        <v>1988</v>
      </c>
      <c r="D919" t="s">
        <v>1989</v>
      </c>
    </row>
    <row r="920" spans="1:4" x14ac:dyDescent="0.25">
      <c r="A920" t="s">
        <v>1974</v>
      </c>
      <c r="B920" t="s">
        <v>1975</v>
      </c>
      <c r="C920" t="s">
        <v>1990</v>
      </c>
      <c r="D920" t="s">
        <v>1991</v>
      </c>
    </row>
    <row r="921" spans="1:4" x14ac:dyDescent="0.25">
      <c r="A921" t="s">
        <v>1974</v>
      </c>
      <c r="B921" t="s">
        <v>1975</v>
      </c>
      <c r="C921" t="s">
        <v>1992</v>
      </c>
      <c r="D921" t="s">
        <v>1993</v>
      </c>
    </row>
    <row r="922" spans="1:4" x14ac:dyDescent="0.25">
      <c r="A922" t="s">
        <v>1974</v>
      </c>
      <c r="B922" t="s">
        <v>1975</v>
      </c>
      <c r="C922" t="s">
        <v>1994</v>
      </c>
      <c r="D922" t="s">
        <v>1995</v>
      </c>
    </row>
    <row r="923" spans="1:4" x14ac:dyDescent="0.25">
      <c r="A923" t="s">
        <v>1974</v>
      </c>
      <c r="B923" t="s">
        <v>1975</v>
      </c>
      <c r="C923" t="s">
        <v>1996</v>
      </c>
      <c r="D923" t="s">
        <v>1997</v>
      </c>
    </row>
    <row r="924" spans="1:4" x14ac:dyDescent="0.25">
      <c r="A924" t="s">
        <v>1974</v>
      </c>
      <c r="B924" t="s">
        <v>1975</v>
      </c>
      <c r="C924" t="s">
        <v>1998</v>
      </c>
      <c r="D924" t="s">
        <v>1999</v>
      </c>
    </row>
    <row r="925" spans="1:4" x14ac:dyDescent="0.25">
      <c r="A925" t="s">
        <v>1974</v>
      </c>
      <c r="B925" t="s">
        <v>1975</v>
      </c>
      <c r="C925" t="s">
        <v>2000</v>
      </c>
      <c r="D925" t="s">
        <v>2001</v>
      </c>
    </row>
    <row r="926" spans="1:4" x14ac:dyDescent="0.25">
      <c r="A926" t="s">
        <v>1974</v>
      </c>
      <c r="B926" t="s">
        <v>1975</v>
      </c>
      <c r="C926" t="s">
        <v>2002</v>
      </c>
      <c r="D926" t="s">
        <v>2003</v>
      </c>
    </row>
    <row r="927" spans="1:4" x14ac:dyDescent="0.25">
      <c r="A927" t="s">
        <v>1974</v>
      </c>
      <c r="B927" t="s">
        <v>1975</v>
      </c>
      <c r="C927" t="s">
        <v>2004</v>
      </c>
      <c r="D927" t="s">
        <v>2005</v>
      </c>
    </row>
    <row r="928" spans="1:4" x14ac:dyDescent="0.25">
      <c r="A928" t="s">
        <v>1974</v>
      </c>
      <c r="B928" t="s">
        <v>1975</v>
      </c>
      <c r="C928" t="s">
        <v>2006</v>
      </c>
      <c r="D928" t="s">
        <v>2007</v>
      </c>
    </row>
    <row r="929" spans="1:4" x14ac:dyDescent="0.25">
      <c r="A929" t="s">
        <v>2008</v>
      </c>
      <c r="B929" t="s">
        <v>2009</v>
      </c>
      <c r="C929" t="s">
        <v>2010</v>
      </c>
      <c r="D929" t="s">
        <v>2011</v>
      </c>
    </row>
    <row r="930" spans="1:4" x14ac:dyDescent="0.25">
      <c r="A930" t="s">
        <v>2008</v>
      </c>
      <c r="B930" t="s">
        <v>2009</v>
      </c>
      <c r="C930" t="s">
        <v>2012</v>
      </c>
      <c r="D930" t="s">
        <v>2013</v>
      </c>
    </row>
    <row r="931" spans="1:4" x14ac:dyDescent="0.25">
      <c r="A931" t="s">
        <v>2008</v>
      </c>
      <c r="B931" t="s">
        <v>2009</v>
      </c>
      <c r="C931" t="s">
        <v>2014</v>
      </c>
      <c r="D931" t="s">
        <v>2015</v>
      </c>
    </row>
    <row r="932" spans="1:4" x14ac:dyDescent="0.25">
      <c r="A932" t="s">
        <v>2008</v>
      </c>
      <c r="B932" t="s">
        <v>2009</v>
      </c>
      <c r="C932" t="s">
        <v>2016</v>
      </c>
      <c r="D932" t="s">
        <v>2017</v>
      </c>
    </row>
    <row r="933" spans="1:4" x14ac:dyDescent="0.25">
      <c r="A933" t="s">
        <v>2008</v>
      </c>
      <c r="B933" t="s">
        <v>2009</v>
      </c>
      <c r="C933" t="s">
        <v>2018</v>
      </c>
      <c r="D933" t="s">
        <v>2019</v>
      </c>
    </row>
    <row r="934" spans="1:4" x14ac:dyDescent="0.25">
      <c r="A934" t="s">
        <v>2008</v>
      </c>
      <c r="B934" t="s">
        <v>2009</v>
      </c>
      <c r="C934" t="s">
        <v>2020</v>
      </c>
      <c r="D934" t="s">
        <v>2021</v>
      </c>
    </row>
    <row r="935" spans="1:4" x14ac:dyDescent="0.25">
      <c r="A935" t="s">
        <v>2022</v>
      </c>
      <c r="B935" t="s">
        <v>2023</v>
      </c>
      <c r="C935" t="s">
        <v>2024</v>
      </c>
      <c r="D935" t="s">
        <v>2025</v>
      </c>
    </row>
    <row r="936" spans="1:4" x14ac:dyDescent="0.25">
      <c r="A936" t="s">
        <v>2022</v>
      </c>
      <c r="B936" t="s">
        <v>2023</v>
      </c>
      <c r="C936" t="s">
        <v>2026</v>
      </c>
      <c r="D936" t="s">
        <v>2027</v>
      </c>
    </row>
    <row r="937" spans="1:4" x14ac:dyDescent="0.25">
      <c r="A937" t="s">
        <v>2022</v>
      </c>
      <c r="B937" t="s">
        <v>2023</v>
      </c>
      <c r="C937" t="s">
        <v>2028</v>
      </c>
      <c r="D937" t="s">
        <v>2029</v>
      </c>
    </row>
    <row r="938" spans="1:4" x14ac:dyDescent="0.25">
      <c r="A938" t="s">
        <v>2022</v>
      </c>
      <c r="B938" t="s">
        <v>2023</v>
      </c>
      <c r="C938" t="s">
        <v>2030</v>
      </c>
      <c r="D938" t="s">
        <v>2031</v>
      </c>
    </row>
    <row r="939" spans="1:4" x14ac:dyDescent="0.25">
      <c r="A939" t="s">
        <v>2022</v>
      </c>
      <c r="B939" t="s">
        <v>2023</v>
      </c>
      <c r="C939" t="s">
        <v>2032</v>
      </c>
      <c r="D939" t="s">
        <v>2033</v>
      </c>
    </row>
    <row r="940" spans="1:4" x14ac:dyDescent="0.25">
      <c r="A940" t="s">
        <v>2022</v>
      </c>
      <c r="B940" t="s">
        <v>2023</v>
      </c>
      <c r="C940" t="s">
        <v>2034</v>
      </c>
      <c r="D940" t="s">
        <v>2035</v>
      </c>
    </row>
    <row r="941" spans="1:4" x14ac:dyDescent="0.25">
      <c r="A941" t="s">
        <v>2022</v>
      </c>
      <c r="B941" t="s">
        <v>2023</v>
      </c>
      <c r="C941" t="s">
        <v>2036</v>
      </c>
      <c r="D941" t="s">
        <v>2037</v>
      </c>
    </row>
    <row r="942" spans="1:4" x14ac:dyDescent="0.25">
      <c r="A942" t="s">
        <v>2038</v>
      </c>
      <c r="B942" t="s">
        <v>2039</v>
      </c>
      <c r="C942" t="s">
        <v>2040</v>
      </c>
      <c r="D942" t="s">
        <v>2041</v>
      </c>
    </row>
    <row r="943" spans="1:4" x14ac:dyDescent="0.25">
      <c r="A943" t="s">
        <v>2038</v>
      </c>
      <c r="B943" t="s">
        <v>2039</v>
      </c>
      <c r="C943" t="s">
        <v>2042</v>
      </c>
      <c r="D943" t="s">
        <v>2043</v>
      </c>
    </row>
    <row r="944" spans="1:4" x14ac:dyDescent="0.25">
      <c r="A944" t="s">
        <v>2038</v>
      </c>
      <c r="B944" t="s">
        <v>2039</v>
      </c>
      <c r="C944" t="s">
        <v>2044</v>
      </c>
      <c r="D944" t="s">
        <v>2045</v>
      </c>
    </row>
    <row r="945" spans="1:4" x14ac:dyDescent="0.25">
      <c r="A945" t="s">
        <v>2038</v>
      </c>
      <c r="B945" t="s">
        <v>2039</v>
      </c>
      <c r="C945" t="s">
        <v>2046</v>
      </c>
      <c r="D945" t="s">
        <v>2047</v>
      </c>
    </row>
    <row r="946" spans="1:4" x14ac:dyDescent="0.25">
      <c r="A946" t="s">
        <v>2038</v>
      </c>
      <c r="B946" t="s">
        <v>2039</v>
      </c>
      <c r="C946" t="s">
        <v>2048</v>
      </c>
      <c r="D946" t="s">
        <v>2049</v>
      </c>
    </row>
    <row r="947" spans="1:4" x14ac:dyDescent="0.25">
      <c r="A947" t="s">
        <v>2038</v>
      </c>
      <c r="B947" t="s">
        <v>2039</v>
      </c>
      <c r="C947" t="s">
        <v>2050</v>
      </c>
      <c r="D947" t="s">
        <v>2051</v>
      </c>
    </row>
    <row r="948" spans="1:4" x14ac:dyDescent="0.25">
      <c r="A948" t="s">
        <v>2038</v>
      </c>
      <c r="B948" t="s">
        <v>2039</v>
      </c>
      <c r="C948" t="s">
        <v>2052</v>
      </c>
      <c r="D948" t="s">
        <v>2053</v>
      </c>
    </row>
    <row r="949" spans="1:4" x14ac:dyDescent="0.25">
      <c r="A949" t="s">
        <v>2054</v>
      </c>
      <c r="B949" t="s">
        <v>2055</v>
      </c>
      <c r="C949" t="s">
        <v>2056</v>
      </c>
      <c r="D949" t="s">
        <v>2057</v>
      </c>
    </row>
    <row r="950" spans="1:4" x14ac:dyDescent="0.25">
      <c r="A950" t="s">
        <v>2054</v>
      </c>
      <c r="B950" t="s">
        <v>2055</v>
      </c>
      <c r="C950" t="s">
        <v>2058</v>
      </c>
      <c r="D950" t="s">
        <v>2059</v>
      </c>
    </row>
    <row r="951" spans="1:4" x14ac:dyDescent="0.25">
      <c r="A951" t="s">
        <v>2054</v>
      </c>
      <c r="B951" t="s">
        <v>2055</v>
      </c>
      <c r="C951" t="s">
        <v>2060</v>
      </c>
      <c r="D951" t="s">
        <v>2061</v>
      </c>
    </row>
    <row r="952" spans="1:4" x14ac:dyDescent="0.25">
      <c r="A952" t="s">
        <v>2054</v>
      </c>
      <c r="B952" t="s">
        <v>2055</v>
      </c>
      <c r="C952" t="s">
        <v>2062</v>
      </c>
      <c r="D952" t="s">
        <v>2063</v>
      </c>
    </row>
    <row r="953" spans="1:4" x14ac:dyDescent="0.25">
      <c r="A953" t="s">
        <v>2054</v>
      </c>
      <c r="B953" t="s">
        <v>2055</v>
      </c>
      <c r="C953" t="s">
        <v>2064</v>
      </c>
      <c r="D953" t="s">
        <v>2065</v>
      </c>
    </row>
    <row r="954" spans="1:4" x14ac:dyDescent="0.25">
      <c r="A954" t="s">
        <v>2054</v>
      </c>
      <c r="B954" t="s">
        <v>2055</v>
      </c>
      <c r="C954" t="s">
        <v>2066</v>
      </c>
      <c r="D954" t="s">
        <v>2067</v>
      </c>
    </row>
    <row r="955" spans="1:4" x14ac:dyDescent="0.25">
      <c r="A955" t="s">
        <v>2054</v>
      </c>
      <c r="B955" t="s">
        <v>2055</v>
      </c>
      <c r="C955" t="s">
        <v>2068</v>
      </c>
      <c r="D955" t="s">
        <v>2069</v>
      </c>
    </row>
    <row r="956" spans="1:4" x14ac:dyDescent="0.25">
      <c r="A956" t="s">
        <v>2054</v>
      </c>
      <c r="B956" t="s">
        <v>2055</v>
      </c>
      <c r="C956" t="s">
        <v>2070</v>
      </c>
      <c r="D956" t="s">
        <v>2071</v>
      </c>
    </row>
    <row r="957" spans="1:4" x14ac:dyDescent="0.25">
      <c r="A957" t="s">
        <v>2054</v>
      </c>
      <c r="B957" t="s">
        <v>2055</v>
      </c>
      <c r="C957" t="s">
        <v>2072</v>
      </c>
      <c r="D957" t="s">
        <v>2073</v>
      </c>
    </row>
    <row r="958" spans="1:4" x14ac:dyDescent="0.25">
      <c r="A958" t="s">
        <v>2054</v>
      </c>
      <c r="B958" t="s">
        <v>2055</v>
      </c>
      <c r="C958" t="s">
        <v>2074</v>
      </c>
      <c r="D958" t="s">
        <v>2075</v>
      </c>
    </row>
    <row r="959" spans="1:4" x14ac:dyDescent="0.25">
      <c r="A959" t="s">
        <v>2054</v>
      </c>
      <c r="B959" t="s">
        <v>2055</v>
      </c>
      <c r="C959" t="s">
        <v>2076</v>
      </c>
      <c r="D959" t="s">
        <v>2077</v>
      </c>
    </row>
    <row r="960" spans="1:4" x14ac:dyDescent="0.25">
      <c r="A960" t="s">
        <v>2054</v>
      </c>
      <c r="B960" t="s">
        <v>2055</v>
      </c>
      <c r="C960" t="s">
        <v>2078</v>
      </c>
      <c r="D960" t="s">
        <v>2079</v>
      </c>
    </row>
    <row r="961" spans="1:4" x14ac:dyDescent="0.25">
      <c r="A961" t="s">
        <v>2054</v>
      </c>
      <c r="B961" t="s">
        <v>2055</v>
      </c>
      <c r="C961" t="s">
        <v>2080</v>
      </c>
      <c r="D961" t="s">
        <v>2081</v>
      </c>
    </row>
    <row r="962" spans="1:4" x14ac:dyDescent="0.25">
      <c r="A962" t="s">
        <v>2082</v>
      </c>
      <c r="B962" t="s">
        <v>2083</v>
      </c>
      <c r="C962" t="s">
        <v>2084</v>
      </c>
      <c r="D962" t="s">
        <v>2085</v>
      </c>
    </row>
    <row r="963" spans="1:4" x14ac:dyDescent="0.25">
      <c r="A963" t="s">
        <v>2082</v>
      </c>
      <c r="B963" t="s">
        <v>2083</v>
      </c>
      <c r="C963" t="s">
        <v>2086</v>
      </c>
      <c r="D963" t="s">
        <v>2087</v>
      </c>
    </row>
    <row r="964" spans="1:4" x14ac:dyDescent="0.25">
      <c r="A964" t="s">
        <v>2082</v>
      </c>
      <c r="B964" t="s">
        <v>2083</v>
      </c>
      <c r="C964" t="s">
        <v>2088</v>
      </c>
      <c r="D964" t="s">
        <v>2089</v>
      </c>
    </row>
    <row r="965" spans="1:4" x14ac:dyDescent="0.25">
      <c r="A965" t="s">
        <v>2082</v>
      </c>
      <c r="B965" t="s">
        <v>2083</v>
      </c>
      <c r="C965" t="s">
        <v>2090</v>
      </c>
      <c r="D965" t="s">
        <v>2091</v>
      </c>
    </row>
    <row r="966" spans="1:4" x14ac:dyDescent="0.25">
      <c r="A966" t="s">
        <v>2082</v>
      </c>
      <c r="B966" t="s">
        <v>2083</v>
      </c>
      <c r="C966" t="s">
        <v>2092</v>
      </c>
      <c r="D966" t="s">
        <v>2093</v>
      </c>
    </row>
    <row r="967" spans="1:4" x14ac:dyDescent="0.25">
      <c r="A967" t="s">
        <v>2082</v>
      </c>
      <c r="B967" t="s">
        <v>2083</v>
      </c>
      <c r="C967" t="s">
        <v>2094</v>
      </c>
      <c r="D967" t="s">
        <v>2095</v>
      </c>
    </row>
    <row r="968" spans="1:4" x14ac:dyDescent="0.25">
      <c r="A968" t="s">
        <v>2082</v>
      </c>
      <c r="B968" t="s">
        <v>2083</v>
      </c>
      <c r="C968" t="s">
        <v>2096</v>
      </c>
      <c r="D968" t="s">
        <v>2097</v>
      </c>
    </row>
    <row r="969" spans="1:4" x14ac:dyDescent="0.25">
      <c r="A969" t="s">
        <v>2082</v>
      </c>
      <c r="B969" t="s">
        <v>2083</v>
      </c>
      <c r="C969" t="s">
        <v>2098</v>
      </c>
      <c r="D969" t="s">
        <v>2099</v>
      </c>
    </row>
    <row r="970" spans="1:4" x14ac:dyDescent="0.25">
      <c r="A970" t="s">
        <v>2082</v>
      </c>
      <c r="B970" t="s">
        <v>2083</v>
      </c>
      <c r="C970" t="s">
        <v>2100</v>
      </c>
      <c r="D970" t="s">
        <v>2101</v>
      </c>
    </row>
    <row r="971" spans="1:4" x14ac:dyDescent="0.25">
      <c r="A971" t="s">
        <v>2082</v>
      </c>
      <c r="B971" t="s">
        <v>2083</v>
      </c>
      <c r="C971" t="s">
        <v>2102</v>
      </c>
      <c r="D971" t="s">
        <v>2103</v>
      </c>
    </row>
    <row r="972" spans="1:4" x14ac:dyDescent="0.25">
      <c r="A972" t="s">
        <v>2082</v>
      </c>
      <c r="B972" t="s">
        <v>2083</v>
      </c>
      <c r="C972" t="s">
        <v>2104</v>
      </c>
      <c r="D972" t="s">
        <v>2105</v>
      </c>
    </row>
    <row r="973" spans="1:4" x14ac:dyDescent="0.25">
      <c r="A973" t="s">
        <v>2082</v>
      </c>
      <c r="B973" t="s">
        <v>2083</v>
      </c>
      <c r="C973" t="s">
        <v>2106</v>
      </c>
      <c r="D973" t="s">
        <v>2107</v>
      </c>
    </row>
    <row r="974" spans="1:4" x14ac:dyDescent="0.25">
      <c r="A974" t="s">
        <v>2082</v>
      </c>
      <c r="B974" t="s">
        <v>2083</v>
      </c>
      <c r="C974" t="s">
        <v>2108</v>
      </c>
      <c r="D974" t="s">
        <v>2109</v>
      </c>
    </row>
    <row r="975" spans="1:4" x14ac:dyDescent="0.25">
      <c r="A975" t="s">
        <v>2082</v>
      </c>
      <c r="B975" t="s">
        <v>2083</v>
      </c>
      <c r="C975" t="s">
        <v>2110</v>
      </c>
      <c r="D975" t="s">
        <v>2111</v>
      </c>
    </row>
    <row r="976" spans="1:4" x14ac:dyDescent="0.25">
      <c r="A976" t="s">
        <v>2082</v>
      </c>
      <c r="B976" t="s">
        <v>2083</v>
      </c>
      <c r="C976" t="s">
        <v>2112</v>
      </c>
      <c r="D976" t="s">
        <v>2113</v>
      </c>
    </row>
    <row r="977" spans="1:4" x14ac:dyDescent="0.25">
      <c r="A977" t="s">
        <v>2114</v>
      </c>
      <c r="B977" t="s">
        <v>2115</v>
      </c>
      <c r="C977" t="s">
        <v>2116</v>
      </c>
      <c r="D977" t="s">
        <v>2117</v>
      </c>
    </row>
    <row r="978" spans="1:4" x14ac:dyDescent="0.25">
      <c r="A978" t="s">
        <v>2114</v>
      </c>
      <c r="B978" t="s">
        <v>2115</v>
      </c>
      <c r="C978" t="s">
        <v>2118</v>
      </c>
      <c r="D978" t="s">
        <v>2119</v>
      </c>
    </row>
    <row r="979" spans="1:4" x14ac:dyDescent="0.25">
      <c r="A979" t="s">
        <v>2114</v>
      </c>
      <c r="B979" t="s">
        <v>2115</v>
      </c>
      <c r="C979" t="s">
        <v>2120</v>
      </c>
      <c r="D979" t="s">
        <v>2121</v>
      </c>
    </row>
    <row r="980" spans="1:4" x14ac:dyDescent="0.25">
      <c r="A980" t="s">
        <v>2114</v>
      </c>
      <c r="B980" t="s">
        <v>2115</v>
      </c>
      <c r="C980" t="s">
        <v>2122</v>
      </c>
      <c r="D980" t="s">
        <v>2123</v>
      </c>
    </row>
    <row r="981" spans="1:4" x14ac:dyDescent="0.25">
      <c r="A981" t="s">
        <v>2114</v>
      </c>
      <c r="B981" t="s">
        <v>2115</v>
      </c>
      <c r="C981" t="s">
        <v>2124</v>
      </c>
      <c r="D981" t="s">
        <v>2125</v>
      </c>
    </row>
    <row r="982" spans="1:4" x14ac:dyDescent="0.25">
      <c r="A982" t="s">
        <v>2114</v>
      </c>
      <c r="B982" t="s">
        <v>2115</v>
      </c>
      <c r="C982" t="s">
        <v>2126</v>
      </c>
      <c r="D982" t="s">
        <v>2127</v>
      </c>
    </row>
    <row r="983" spans="1:4" x14ac:dyDescent="0.25">
      <c r="A983" t="s">
        <v>2114</v>
      </c>
      <c r="B983" t="s">
        <v>2115</v>
      </c>
      <c r="C983" t="s">
        <v>2128</v>
      </c>
      <c r="D983" t="s">
        <v>2129</v>
      </c>
    </row>
    <row r="984" spans="1:4" x14ac:dyDescent="0.25">
      <c r="A984" t="s">
        <v>2114</v>
      </c>
      <c r="B984" t="s">
        <v>2115</v>
      </c>
      <c r="C984" t="s">
        <v>2130</v>
      </c>
      <c r="D984" t="s">
        <v>2131</v>
      </c>
    </row>
    <row r="985" spans="1:4" x14ac:dyDescent="0.25">
      <c r="A985" t="s">
        <v>2114</v>
      </c>
      <c r="B985" t="s">
        <v>2115</v>
      </c>
      <c r="C985" t="s">
        <v>2132</v>
      </c>
      <c r="D985" t="s">
        <v>2133</v>
      </c>
    </row>
    <row r="986" spans="1:4" x14ac:dyDescent="0.25">
      <c r="A986" t="s">
        <v>2114</v>
      </c>
      <c r="B986" t="s">
        <v>2115</v>
      </c>
      <c r="C986" t="s">
        <v>2134</v>
      </c>
      <c r="D986" t="s">
        <v>2135</v>
      </c>
    </row>
    <row r="987" spans="1:4" x14ac:dyDescent="0.25">
      <c r="A987" t="s">
        <v>2114</v>
      </c>
      <c r="B987" t="s">
        <v>2115</v>
      </c>
      <c r="C987" t="s">
        <v>2136</v>
      </c>
      <c r="D987" t="s">
        <v>2137</v>
      </c>
    </row>
    <row r="988" spans="1:4" x14ac:dyDescent="0.25">
      <c r="A988" t="s">
        <v>2138</v>
      </c>
      <c r="B988" t="s">
        <v>2139</v>
      </c>
      <c r="C988" t="s">
        <v>2140</v>
      </c>
      <c r="D988" t="s">
        <v>2141</v>
      </c>
    </row>
    <row r="989" spans="1:4" x14ac:dyDescent="0.25">
      <c r="A989" t="s">
        <v>2138</v>
      </c>
      <c r="B989" t="s">
        <v>2139</v>
      </c>
      <c r="C989" t="s">
        <v>2142</v>
      </c>
      <c r="D989" t="s">
        <v>2143</v>
      </c>
    </row>
    <row r="990" spans="1:4" x14ac:dyDescent="0.25">
      <c r="A990" t="s">
        <v>2138</v>
      </c>
      <c r="B990" t="s">
        <v>2139</v>
      </c>
      <c r="C990" t="s">
        <v>2144</v>
      </c>
      <c r="D990" t="s">
        <v>2145</v>
      </c>
    </row>
    <row r="991" spans="1:4" x14ac:dyDescent="0.25">
      <c r="A991" t="s">
        <v>2138</v>
      </c>
      <c r="B991" t="s">
        <v>2139</v>
      </c>
      <c r="C991" t="s">
        <v>2146</v>
      </c>
      <c r="D991" t="s">
        <v>2147</v>
      </c>
    </row>
    <row r="992" spans="1:4" x14ac:dyDescent="0.25">
      <c r="A992" t="s">
        <v>2138</v>
      </c>
      <c r="B992" t="s">
        <v>2139</v>
      </c>
      <c r="C992" t="s">
        <v>2148</v>
      </c>
      <c r="D992" t="s">
        <v>2149</v>
      </c>
    </row>
    <row r="993" spans="1:4" x14ac:dyDescent="0.25">
      <c r="A993" t="s">
        <v>2138</v>
      </c>
      <c r="B993" t="s">
        <v>2139</v>
      </c>
      <c r="C993" t="s">
        <v>2150</v>
      </c>
      <c r="D993" t="s">
        <v>2151</v>
      </c>
    </row>
    <row r="994" spans="1:4" x14ac:dyDescent="0.25">
      <c r="A994" t="s">
        <v>2138</v>
      </c>
      <c r="B994" t="s">
        <v>2139</v>
      </c>
      <c r="C994" t="s">
        <v>2152</v>
      </c>
      <c r="D994" t="s">
        <v>2153</v>
      </c>
    </row>
    <row r="995" spans="1:4" x14ac:dyDescent="0.25">
      <c r="A995" t="s">
        <v>2138</v>
      </c>
      <c r="B995" t="s">
        <v>2139</v>
      </c>
      <c r="C995" t="s">
        <v>2154</v>
      </c>
      <c r="D995" t="s">
        <v>2155</v>
      </c>
    </row>
    <row r="996" spans="1:4" x14ac:dyDescent="0.25">
      <c r="A996" t="s">
        <v>2138</v>
      </c>
      <c r="B996" t="s">
        <v>2139</v>
      </c>
      <c r="C996" t="s">
        <v>2156</v>
      </c>
      <c r="D996" t="s">
        <v>2157</v>
      </c>
    </row>
    <row r="997" spans="1:4" x14ac:dyDescent="0.25">
      <c r="A997" t="s">
        <v>2138</v>
      </c>
      <c r="B997" t="s">
        <v>2139</v>
      </c>
      <c r="C997" t="s">
        <v>2158</v>
      </c>
      <c r="D997" t="s">
        <v>2159</v>
      </c>
    </row>
    <row r="998" spans="1:4" x14ac:dyDescent="0.25">
      <c r="A998" t="s">
        <v>2138</v>
      </c>
      <c r="B998" t="s">
        <v>2139</v>
      </c>
      <c r="C998" t="s">
        <v>2160</v>
      </c>
      <c r="D998" t="s">
        <v>2161</v>
      </c>
    </row>
    <row r="999" spans="1:4" x14ac:dyDescent="0.25">
      <c r="A999" t="s">
        <v>2138</v>
      </c>
      <c r="B999" t="s">
        <v>2139</v>
      </c>
      <c r="C999" t="s">
        <v>2162</v>
      </c>
      <c r="D999" t="s">
        <v>2163</v>
      </c>
    </row>
    <row r="1000" spans="1:4" x14ac:dyDescent="0.25">
      <c r="A1000" t="s">
        <v>2138</v>
      </c>
      <c r="B1000" t="s">
        <v>2139</v>
      </c>
      <c r="C1000" t="s">
        <v>2164</v>
      </c>
      <c r="D1000" t="s">
        <v>2165</v>
      </c>
    </row>
    <row r="1001" spans="1:4" x14ac:dyDescent="0.25">
      <c r="A1001" t="s">
        <v>2138</v>
      </c>
      <c r="B1001" t="s">
        <v>2139</v>
      </c>
      <c r="C1001" t="s">
        <v>2166</v>
      </c>
      <c r="D1001" t="s">
        <v>2167</v>
      </c>
    </row>
    <row r="1002" spans="1:4" x14ac:dyDescent="0.25">
      <c r="A1002" t="s">
        <v>2138</v>
      </c>
      <c r="B1002" t="s">
        <v>2139</v>
      </c>
      <c r="C1002" t="s">
        <v>2168</v>
      </c>
      <c r="D1002" t="s">
        <v>2169</v>
      </c>
    </row>
    <row r="1003" spans="1:4" x14ac:dyDescent="0.25">
      <c r="A1003" t="s">
        <v>2138</v>
      </c>
      <c r="B1003" t="s">
        <v>2139</v>
      </c>
      <c r="C1003" t="s">
        <v>2170</v>
      </c>
      <c r="D1003" t="s">
        <v>2171</v>
      </c>
    </row>
    <row r="1004" spans="1:4" x14ac:dyDescent="0.25">
      <c r="A1004" t="s">
        <v>2138</v>
      </c>
      <c r="B1004" t="s">
        <v>2139</v>
      </c>
      <c r="C1004" t="s">
        <v>2172</v>
      </c>
      <c r="D1004" t="s">
        <v>2173</v>
      </c>
    </row>
    <row r="1005" spans="1:4" x14ac:dyDescent="0.25">
      <c r="A1005" t="s">
        <v>2138</v>
      </c>
      <c r="B1005" t="s">
        <v>2139</v>
      </c>
      <c r="C1005" t="s">
        <v>2174</v>
      </c>
      <c r="D1005" t="s">
        <v>2175</v>
      </c>
    </row>
    <row r="1006" spans="1:4" x14ac:dyDescent="0.25">
      <c r="A1006" t="s">
        <v>2138</v>
      </c>
      <c r="B1006" t="s">
        <v>2139</v>
      </c>
      <c r="C1006" t="s">
        <v>2176</v>
      </c>
      <c r="D1006" t="s">
        <v>2177</v>
      </c>
    </row>
    <row r="1007" spans="1:4" x14ac:dyDescent="0.25">
      <c r="A1007" t="s">
        <v>2138</v>
      </c>
      <c r="B1007" t="s">
        <v>2139</v>
      </c>
      <c r="C1007" t="s">
        <v>2178</v>
      </c>
      <c r="D1007" t="s">
        <v>2179</v>
      </c>
    </row>
    <row r="1008" spans="1:4" x14ac:dyDescent="0.25">
      <c r="A1008" t="s">
        <v>2138</v>
      </c>
      <c r="B1008" t="s">
        <v>2139</v>
      </c>
      <c r="C1008" t="s">
        <v>2180</v>
      </c>
      <c r="D1008" t="s">
        <v>2181</v>
      </c>
    </row>
    <row r="1009" spans="1:4" x14ac:dyDescent="0.25">
      <c r="A1009" t="s">
        <v>2138</v>
      </c>
      <c r="B1009" t="s">
        <v>2139</v>
      </c>
      <c r="C1009" t="s">
        <v>2182</v>
      </c>
      <c r="D1009" t="s">
        <v>2183</v>
      </c>
    </row>
    <row r="1010" spans="1:4" x14ac:dyDescent="0.25">
      <c r="A1010" t="s">
        <v>2138</v>
      </c>
      <c r="B1010" t="s">
        <v>2139</v>
      </c>
      <c r="C1010" t="s">
        <v>2184</v>
      </c>
      <c r="D1010" t="s">
        <v>2185</v>
      </c>
    </row>
    <row r="1011" spans="1:4" x14ac:dyDescent="0.25">
      <c r="A1011" t="s">
        <v>2138</v>
      </c>
      <c r="B1011" t="s">
        <v>2139</v>
      </c>
      <c r="C1011" t="s">
        <v>2186</v>
      </c>
      <c r="D1011" t="s">
        <v>2187</v>
      </c>
    </row>
    <row r="1012" spans="1:4" x14ac:dyDescent="0.25">
      <c r="A1012" t="s">
        <v>2138</v>
      </c>
      <c r="B1012" t="s">
        <v>2139</v>
      </c>
      <c r="C1012" t="s">
        <v>2188</v>
      </c>
      <c r="D1012" t="s">
        <v>2189</v>
      </c>
    </row>
    <row r="1013" spans="1:4" x14ac:dyDescent="0.25">
      <c r="A1013" t="s">
        <v>2138</v>
      </c>
      <c r="B1013" t="s">
        <v>2139</v>
      </c>
      <c r="C1013" t="s">
        <v>2190</v>
      </c>
      <c r="D1013" t="s">
        <v>2191</v>
      </c>
    </row>
    <row r="1014" spans="1:4" x14ac:dyDescent="0.25">
      <c r="A1014" t="s">
        <v>2138</v>
      </c>
      <c r="B1014" t="s">
        <v>2139</v>
      </c>
      <c r="C1014" t="s">
        <v>2192</v>
      </c>
      <c r="D1014" t="s">
        <v>2193</v>
      </c>
    </row>
    <row r="1015" spans="1:4" x14ac:dyDescent="0.25">
      <c r="A1015" t="s">
        <v>2138</v>
      </c>
      <c r="B1015" t="s">
        <v>2139</v>
      </c>
      <c r="C1015" t="s">
        <v>2194</v>
      </c>
      <c r="D1015" t="s">
        <v>2195</v>
      </c>
    </row>
    <row r="1016" spans="1:4" x14ac:dyDescent="0.25">
      <c r="A1016" t="s">
        <v>2138</v>
      </c>
      <c r="B1016" t="s">
        <v>2139</v>
      </c>
      <c r="C1016" t="s">
        <v>2196</v>
      </c>
      <c r="D1016" t="s">
        <v>2197</v>
      </c>
    </row>
    <row r="1017" spans="1:4" x14ac:dyDescent="0.25">
      <c r="A1017" t="s">
        <v>2138</v>
      </c>
      <c r="B1017" t="s">
        <v>2139</v>
      </c>
      <c r="C1017" t="s">
        <v>2198</v>
      </c>
      <c r="D1017" t="s">
        <v>2199</v>
      </c>
    </row>
    <row r="1018" spans="1:4" x14ac:dyDescent="0.25">
      <c r="A1018" t="s">
        <v>2138</v>
      </c>
      <c r="B1018" t="s">
        <v>2139</v>
      </c>
      <c r="C1018" t="s">
        <v>2200</v>
      </c>
      <c r="D1018" t="s">
        <v>2201</v>
      </c>
    </row>
    <row r="1019" spans="1:4" x14ac:dyDescent="0.25">
      <c r="A1019" t="s">
        <v>2138</v>
      </c>
      <c r="B1019" t="s">
        <v>2139</v>
      </c>
      <c r="C1019" t="s">
        <v>2202</v>
      </c>
      <c r="D1019" t="s">
        <v>2203</v>
      </c>
    </row>
    <row r="1020" spans="1:4" x14ac:dyDescent="0.25">
      <c r="A1020" t="s">
        <v>2138</v>
      </c>
      <c r="B1020" t="s">
        <v>2139</v>
      </c>
      <c r="C1020" t="s">
        <v>2204</v>
      </c>
      <c r="D1020" t="s">
        <v>2205</v>
      </c>
    </row>
    <row r="1021" spans="1:4" x14ac:dyDescent="0.25">
      <c r="A1021" t="s">
        <v>2138</v>
      </c>
      <c r="B1021" t="s">
        <v>2139</v>
      </c>
      <c r="C1021" t="s">
        <v>2206</v>
      </c>
      <c r="D1021" t="s">
        <v>2207</v>
      </c>
    </row>
    <row r="1022" spans="1:4" x14ac:dyDescent="0.25">
      <c r="A1022" t="s">
        <v>2138</v>
      </c>
      <c r="B1022" t="s">
        <v>2139</v>
      </c>
      <c r="C1022" t="s">
        <v>2208</v>
      </c>
      <c r="D1022" t="s">
        <v>2209</v>
      </c>
    </row>
    <row r="1023" spans="1:4" x14ac:dyDescent="0.25">
      <c r="A1023" t="s">
        <v>2138</v>
      </c>
      <c r="B1023" t="s">
        <v>2139</v>
      </c>
      <c r="C1023" t="s">
        <v>2210</v>
      </c>
      <c r="D1023" t="s">
        <v>2211</v>
      </c>
    </row>
    <row r="1024" spans="1:4" x14ac:dyDescent="0.25">
      <c r="A1024" t="s">
        <v>2138</v>
      </c>
      <c r="B1024" t="s">
        <v>2139</v>
      </c>
      <c r="C1024" t="s">
        <v>2212</v>
      </c>
      <c r="D1024" t="s">
        <v>2213</v>
      </c>
    </row>
    <row r="1025" spans="1:4" x14ac:dyDescent="0.25">
      <c r="A1025" t="s">
        <v>2138</v>
      </c>
      <c r="B1025" t="s">
        <v>2139</v>
      </c>
      <c r="C1025" t="s">
        <v>2214</v>
      </c>
      <c r="D1025" t="s">
        <v>2215</v>
      </c>
    </row>
    <row r="1026" spans="1:4" x14ac:dyDescent="0.25">
      <c r="A1026" t="s">
        <v>2138</v>
      </c>
      <c r="B1026" t="s">
        <v>2139</v>
      </c>
      <c r="C1026" t="s">
        <v>2216</v>
      </c>
      <c r="D1026" t="s">
        <v>2217</v>
      </c>
    </row>
    <row r="1027" spans="1:4" x14ac:dyDescent="0.25">
      <c r="A1027" t="s">
        <v>2138</v>
      </c>
      <c r="B1027" t="s">
        <v>2139</v>
      </c>
      <c r="C1027" t="s">
        <v>2218</v>
      </c>
      <c r="D1027" t="s">
        <v>2219</v>
      </c>
    </row>
    <row r="1028" spans="1:4" x14ac:dyDescent="0.25">
      <c r="A1028" t="s">
        <v>2138</v>
      </c>
      <c r="B1028" t="s">
        <v>2139</v>
      </c>
      <c r="C1028" t="s">
        <v>2220</v>
      </c>
      <c r="D1028" t="s">
        <v>2221</v>
      </c>
    </row>
    <row r="1029" spans="1:4" x14ac:dyDescent="0.25">
      <c r="A1029" t="s">
        <v>2138</v>
      </c>
      <c r="B1029" t="s">
        <v>2139</v>
      </c>
      <c r="C1029" t="s">
        <v>2222</v>
      </c>
      <c r="D1029" t="s">
        <v>2223</v>
      </c>
    </row>
    <row r="1030" spans="1:4" x14ac:dyDescent="0.25">
      <c r="A1030" t="s">
        <v>2138</v>
      </c>
      <c r="B1030" t="s">
        <v>2139</v>
      </c>
      <c r="C1030" t="s">
        <v>2224</v>
      </c>
      <c r="D1030" t="s">
        <v>2225</v>
      </c>
    </row>
    <row r="1031" spans="1:4" x14ac:dyDescent="0.25">
      <c r="A1031" t="s">
        <v>2138</v>
      </c>
      <c r="B1031" t="s">
        <v>2139</v>
      </c>
      <c r="C1031" t="s">
        <v>2226</v>
      </c>
      <c r="D1031" t="s">
        <v>2227</v>
      </c>
    </row>
    <row r="1032" spans="1:4" x14ac:dyDescent="0.25">
      <c r="A1032" t="s">
        <v>2138</v>
      </c>
      <c r="B1032" t="s">
        <v>2139</v>
      </c>
      <c r="C1032" t="s">
        <v>2228</v>
      </c>
      <c r="D1032" t="s">
        <v>2229</v>
      </c>
    </row>
    <row r="1033" spans="1:4" x14ac:dyDescent="0.25">
      <c r="A1033" t="s">
        <v>2138</v>
      </c>
      <c r="B1033" t="s">
        <v>2139</v>
      </c>
      <c r="C1033" t="s">
        <v>2230</v>
      </c>
      <c r="D1033" t="s">
        <v>2231</v>
      </c>
    </row>
    <row r="1034" spans="1:4" x14ac:dyDescent="0.25">
      <c r="A1034" t="s">
        <v>2138</v>
      </c>
      <c r="B1034" t="s">
        <v>2139</v>
      </c>
      <c r="C1034" t="s">
        <v>2232</v>
      </c>
      <c r="D1034" t="s">
        <v>2233</v>
      </c>
    </row>
    <row r="1035" spans="1:4" x14ac:dyDescent="0.25">
      <c r="A1035" t="s">
        <v>2138</v>
      </c>
      <c r="B1035" t="s">
        <v>2139</v>
      </c>
      <c r="C1035" t="s">
        <v>2234</v>
      </c>
      <c r="D1035" t="s">
        <v>2235</v>
      </c>
    </row>
    <row r="1036" spans="1:4" x14ac:dyDescent="0.25">
      <c r="A1036" t="s">
        <v>2138</v>
      </c>
      <c r="B1036" t="s">
        <v>2139</v>
      </c>
      <c r="C1036" t="s">
        <v>2236</v>
      </c>
      <c r="D1036" t="s">
        <v>2237</v>
      </c>
    </row>
    <row r="1037" spans="1:4" x14ac:dyDescent="0.25">
      <c r="A1037" t="s">
        <v>2138</v>
      </c>
      <c r="B1037" t="s">
        <v>2139</v>
      </c>
      <c r="C1037" t="s">
        <v>2238</v>
      </c>
      <c r="D1037" t="s">
        <v>2239</v>
      </c>
    </row>
    <row r="1038" spans="1:4" x14ac:dyDescent="0.25">
      <c r="A1038" t="s">
        <v>2138</v>
      </c>
      <c r="B1038" t="s">
        <v>2139</v>
      </c>
      <c r="C1038" t="s">
        <v>2240</v>
      </c>
      <c r="D1038" t="s">
        <v>2241</v>
      </c>
    </row>
    <row r="1039" spans="1:4" x14ac:dyDescent="0.25">
      <c r="A1039" t="s">
        <v>2138</v>
      </c>
      <c r="B1039" t="s">
        <v>2139</v>
      </c>
      <c r="C1039" t="s">
        <v>2242</v>
      </c>
      <c r="D1039" t="s">
        <v>2243</v>
      </c>
    </row>
    <row r="1040" spans="1:4" x14ac:dyDescent="0.25">
      <c r="A1040" t="s">
        <v>2138</v>
      </c>
      <c r="B1040" t="s">
        <v>2139</v>
      </c>
      <c r="C1040" t="s">
        <v>2244</v>
      </c>
      <c r="D1040" t="s">
        <v>2245</v>
      </c>
    </row>
    <row r="1041" spans="1:4" x14ac:dyDescent="0.25">
      <c r="A1041" t="s">
        <v>2138</v>
      </c>
      <c r="B1041" t="s">
        <v>2139</v>
      </c>
      <c r="C1041" t="s">
        <v>2246</v>
      </c>
      <c r="D1041" t="s">
        <v>2247</v>
      </c>
    </row>
    <row r="1042" spans="1:4" x14ac:dyDescent="0.25">
      <c r="A1042" t="s">
        <v>2138</v>
      </c>
      <c r="B1042" t="s">
        <v>2139</v>
      </c>
      <c r="C1042" t="s">
        <v>2248</v>
      </c>
      <c r="D1042" t="s">
        <v>2249</v>
      </c>
    </row>
    <row r="1043" spans="1:4" x14ac:dyDescent="0.25">
      <c r="A1043" t="s">
        <v>2138</v>
      </c>
      <c r="B1043" t="s">
        <v>2139</v>
      </c>
      <c r="C1043" t="s">
        <v>2250</v>
      </c>
      <c r="D1043" t="s">
        <v>2251</v>
      </c>
    </row>
    <row r="1044" spans="1:4" x14ac:dyDescent="0.25">
      <c r="A1044" t="s">
        <v>2138</v>
      </c>
      <c r="B1044" t="s">
        <v>2139</v>
      </c>
      <c r="C1044" t="s">
        <v>2252</v>
      </c>
      <c r="D1044" t="s">
        <v>2253</v>
      </c>
    </row>
    <row r="1045" spans="1:4" x14ac:dyDescent="0.25">
      <c r="A1045" t="s">
        <v>2138</v>
      </c>
      <c r="B1045" t="s">
        <v>2139</v>
      </c>
      <c r="C1045" t="s">
        <v>2254</v>
      </c>
      <c r="D1045" t="s">
        <v>2255</v>
      </c>
    </row>
    <row r="1046" spans="1:4" x14ac:dyDescent="0.25">
      <c r="A1046" t="s">
        <v>2138</v>
      </c>
      <c r="B1046" t="s">
        <v>2139</v>
      </c>
      <c r="C1046" t="s">
        <v>2256</v>
      </c>
      <c r="D1046" t="s">
        <v>2257</v>
      </c>
    </row>
    <row r="1047" spans="1:4" x14ac:dyDescent="0.25">
      <c r="A1047" t="s">
        <v>2138</v>
      </c>
      <c r="B1047" t="s">
        <v>2139</v>
      </c>
      <c r="C1047" t="s">
        <v>2258</v>
      </c>
      <c r="D1047" t="s">
        <v>2259</v>
      </c>
    </row>
    <row r="1048" spans="1:4" x14ac:dyDescent="0.25">
      <c r="A1048" t="s">
        <v>2138</v>
      </c>
      <c r="B1048" t="s">
        <v>2139</v>
      </c>
      <c r="C1048" t="s">
        <v>2260</v>
      </c>
      <c r="D1048" t="s">
        <v>2261</v>
      </c>
    </row>
    <row r="1049" spans="1:4" x14ac:dyDescent="0.25">
      <c r="A1049" t="s">
        <v>2138</v>
      </c>
      <c r="B1049" t="s">
        <v>2139</v>
      </c>
      <c r="C1049" t="s">
        <v>2262</v>
      </c>
      <c r="D1049" t="s">
        <v>2263</v>
      </c>
    </row>
    <row r="1050" spans="1:4" x14ac:dyDescent="0.25">
      <c r="A1050" t="s">
        <v>2138</v>
      </c>
      <c r="B1050" t="s">
        <v>2139</v>
      </c>
      <c r="C1050" t="s">
        <v>2264</v>
      </c>
      <c r="D1050" t="s">
        <v>2265</v>
      </c>
    </row>
    <row r="1051" spans="1:4" x14ac:dyDescent="0.25">
      <c r="A1051" t="s">
        <v>2138</v>
      </c>
      <c r="B1051" t="s">
        <v>2139</v>
      </c>
      <c r="C1051" t="s">
        <v>2266</v>
      </c>
      <c r="D1051" t="s">
        <v>2267</v>
      </c>
    </row>
    <row r="1052" spans="1:4" x14ac:dyDescent="0.25">
      <c r="A1052" t="s">
        <v>2138</v>
      </c>
      <c r="B1052" t="s">
        <v>2139</v>
      </c>
      <c r="C1052" t="s">
        <v>2268</v>
      </c>
      <c r="D1052" t="s">
        <v>2269</v>
      </c>
    </row>
    <row r="1053" spans="1:4" x14ac:dyDescent="0.25">
      <c r="A1053" t="s">
        <v>2138</v>
      </c>
      <c r="B1053" t="s">
        <v>2139</v>
      </c>
      <c r="C1053" t="s">
        <v>2270</v>
      </c>
      <c r="D1053" t="s">
        <v>2271</v>
      </c>
    </row>
    <row r="1054" spans="1:4" x14ac:dyDescent="0.25">
      <c r="A1054" t="s">
        <v>2138</v>
      </c>
      <c r="B1054" t="s">
        <v>2139</v>
      </c>
      <c r="C1054" t="s">
        <v>2272</v>
      </c>
      <c r="D1054" t="s">
        <v>2273</v>
      </c>
    </row>
    <row r="1055" spans="1:4" x14ac:dyDescent="0.25">
      <c r="A1055" t="s">
        <v>2138</v>
      </c>
      <c r="B1055" t="s">
        <v>2139</v>
      </c>
      <c r="C1055" t="s">
        <v>2274</v>
      </c>
      <c r="D1055" t="s">
        <v>2275</v>
      </c>
    </row>
    <row r="1056" spans="1:4" x14ac:dyDescent="0.25">
      <c r="A1056" t="s">
        <v>2138</v>
      </c>
      <c r="B1056" t="s">
        <v>2139</v>
      </c>
      <c r="C1056" t="s">
        <v>2276</v>
      </c>
      <c r="D1056" t="s">
        <v>2277</v>
      </c>
    </row>
    <row r="1057" spans="1:4" x14ac:dyDescent="0.25">
      <c r="A1057" t="s">
        <v>2138</v>
      </c>
      <c r="B1057" t="s">
        <v>2139</v>
      </c>
      <c r="C1057" t="s">
        <v>2278</v>
      </c>
      <c r="D1057" t="s">
        <v>2279</v>
      </c>
    </row>
    <row r="1058" spans="1:4" x14ac:dyDescent="0.25">
      <c r="A1058" t="s">
        <v>2138</v>
      </c>
      <c r="B1058" t="s">
        <v>2139</v>
      </c>
      <c r="C1058" t="s">
        <v>2280</v>
      </c>
      <c r="D1058" t="s">
        <v>2281</v>
      </c>
    </row>
    <row r="1059" spans="1:4" x14ac:dyDescent="0.25">
      <c r="A1059" t="s">
        <v>2138</v>
      </c>
      <c r="B1059" t="s">
        <v>2139</v>
      </c>
      <c r="C1059" t="s">
        <v>2282</v>
      </c>
      <c r="D1059" t="s">
        <v>2283</v>
      </c>
    </row>
    <row r="1060" spans="1:4" x14ac:dyDescent="0.25">
      <c r="A1060" t="s">
        <v>2138</v>
      </c>
      <c r="B1060" t="s">
        <v>2139</v>
      </c>
      <c r="C1060" t="s">
        <v>2284</v>
      </c>
      <c r="D1060" t="s">
        <v>2285</v>
      </c>
    </row>
    <row r="1061" spans="1:4" x14ac:dyDescent="0.25">
      <c r="A1061" t="s">
        <v>2138</v>
      </c>
      <c r="B1061" t="s">
        <v>2139</v>
      </c>
      <c r="C1061" t="s">
        <v>2286</v>
      </c>
      <c r="D1061" t="s">
        <v>2287</v>
      </c>
    </row>
    <row r="1062" spans="1:4" x14ac:dyDescent="0.25">
      <c r="A1062" t="s">
        <v>2138</v>
      </c>
      <c r="B1062" t="s">
        <v>2139</v>
      </c>
      <c r="C1062" t="s">
        <v>2288</v>
      </c>
      <c r="D1062" t="s">
        <v>2289</v>
      </c>
    </row>
    <row r="1063" spans="1:4" x14ac:dyDescent="0.25">
      <c r="A1063" t="s">
        <v>2138</v>
      </c>
      <c r="B1063" t="s">
        <v>2139</v>
      </c>
      <c r="C1063" t="s">
        <v>2290</v>
      </c>
      <c r="D1063" t="s">
        <v>2291</v>
      </c>
    </row>
    <row r="1064" spans="1:4" x14ac:dyDescent="0.25">
      <c r="A1064" t="s">
        <v>2138</v>
      </c>
      <c r="B1064" t="s">
        <v>2139</v>
      </c>
      <c r="C1064" t="s">
        <v>2292</v>
      </c>
      <c r="D1064" t="s">
        <v>2293</v>
      </c>
    </row>
    <row r="1065" spans="1:4" x14ac:dyDescent="0.25">
      <c r="A1065" t="s">
        <v>2138</v>
      </c>
      <c r="B1065" t="s">
        <v>2139</v>
      </c>
      <c r="C1065" t="s">
        <v>2294</v>
      </c>
      <c r="D1065" t="s">
        <v>2295</v>
      </c>
    </row>
    <row r="1066" spans="1:4" x14ac:dyDescent="0.25">
      <c r="A1066" t="s">
        <v>2138</v>
      </c>
      <c r="B1066" t="s">
        <v>2139</v>
      </c>
      <c r="C1066" t="s">
        <v>2296</v>
      </c>
      <c r="D1066" t="s">
        <v>2297</v>
      </c>
    </row>
    <row r="1067" spans="1:4" x14ac:dyDescent="0.25">
      <c r="A1067" t="s">
        <v>2138</v>
      </c>
      <c r="B1067" t="s">
        <v>2139</v>
      </c>
      <c r="C1067" t="s">
        <v>2298</v>
      </c>
      <c r="D1067" t="s">
        <v>2299</v>
      </c>
    </row>
    <row r="1068" spans="1:4" x14ac:dyDescent="0.25">
      <c r="A1068" t="s">
        <v>2138</v>
      </c>
      <c r="B1068" t="s">
        <v>2139</v>
      </c>
      <c r="C1068" t="s">
        <v>2300</v>
      </c>
      <c r="D1068" t="s">
        <v>2301</v>
      </c>
    </row>
    <row r="1069" spans="1:4" x14ac:dyDescent="0.25">
      <c r="A1069" t="s">
        <v>2138</v>
      </c>
      <c r="B1069" t="s">
        <v>2139</v>
      </c>
      <c r="C1069" t="s">
        <v>2302</v>
      </c>
      <c r="D1069" t="s">
        <v>2303</v>
      </c>
    </row>
    <row r="1070" spans="1:4" x14ac:dyDescent="0.25">
      <c r="A1070" t="s">
        <v>2138</v>
      </c>
      <c r="B1070" t="s">
        <v>2139</v>
      </c>
      <c r="C1070" t="s">
        <v>2304</v>
      </c>
      <c r="D1070" t="s">
        <v>2305</v>
      </c>
    </row>
    <row r="1071" spans="1:4" x14ac:dyDescent="0.25">
      <c r="A1071" t="s">
        <v>2138</v>
      </c>
      <c r="B1071" t="s">
        <v>2139</v>
      </c>
      <c r="C1071" t="s">
        <v>2306</v>
      </c>
      <c r="D1071" t="s">
        <v>2307</v>
      </c>
    </row>
    <row r="1072" spans="1:4" x14ac:dyDescent="0.25">
      <c r="A1072" t="s">
        <v>2138</v>
      </c>
      <c r="B1072" t="s">
        <v>2139</v>
      </c>
      <c r="C1072" t="s">
        <v>2308</v>
      </c>
      <c r="D1072" t="s">
        <v>2309</v>
      </c>
    </row>
    <row r="1073" spans="1:4" x14ac:dyDescent="0.25">
      <c r="A1073" t="s">
        <v>2138</v>
      </c>
      <c r="B1073" t="s">
        <v>2139</v>
      </c>
      <c r="C1073" t="s">
        <v>2310</v>
      </c>
      <c r="D1073" t="s">
        <v>2311</v>
      </c>
    </row>
    <row r="1074" spans="1:4" x14ac:dyDescent="0.25">
      <c r="A1074" t="s">
        <v>2138</v>
      </c>
      <c r="B1074" t="s">
        <v>2139</v>
      </c>
      <c r="C1074" t="s">
        <v>2312</v>
      </c>
      <c r="D1074" t="s">
        <v>2313</v>
      </c>
    </row>
    <row r="1075" spans="1:4" x14ac:dyDescent="0.25">
      <c r="A1075" t="s">
        <v>2314</v>
      </c>
      <c r="B1075" t="s">
        <v>2315</v>
      </c>
      <c r="C1075" t="s">
        <v>2316</v>
      </c>
      <c r="D1075" t="s">
        <v>2317</v>
      </c>
    </row>
    <row r="1076" spans="1:4" x14ac:dyDescent="0.25">
      <c r="A1076" t="s">
        <v>2314</v>
      </c>
      <c r="B1076" t="s">
        <v>2315</v>
      </c>
      <c r="C1076" t="s">
        <v>2318</v>
      </c>
      <c r="D1076" t="s">
        <v>2319</v>
      </c>
    </row>
    <row r="1077" spans="1:4" x14ac:dyDescent="0.25">
      <c r="A1077" t="s">
        <v>2314</v>
      </c>
      <c r="B1077" t="s">
        <v>2315</v>
      </c>
      <c r="C1077" t="s">
        <v>2320</v>
      </c>
      <c r="D1077" t="s">
        <v>2321</v>
      </c>
    </row>
    <row r="1078" spans="1:4" x14ac:dyDescent="0.25">
      <c r="A1078" t="s">
        <v>2314</v>
      </c>
      <c r="B1078" t="s">
        <v>2315</v>
      </c>
      <c r="C1078" t="s">
        <v>2322</v>
      </c>
      <c r="D1078" t="s">
        <v>2323</v>
      </c>
    </row>
    <row r="1079" spans="1:4" x14ac:dyDescent="0.25">
      <c r="A1079" t="s">
        <v>2314</v>
      </c>
      <c r="B1079" t="s">
        <v>2315</v>
      </c>
      <c r="C1079" t="s">
        <v>2324</v>
      </c>
      <c r="D1079" t="s">
        <v>2325</v>
      </c>
    </row>
    <row r="1080" spans="1:4" x14ac:dyDescent="0.25">
      <c r="A1080" t="s">
        <v>2314</v>
      </c>
      <c r="B1080" t="s">
        <v>2315</v>
      </c>
      <c r="C1080" t="s">
        <v>2326</v>
      </c>
      <c r="D1080" t="s">
        <v>2327</v>
      </c>
    </row>
    <row r="1081" spans="1:4" x14ac:dyDescent="0.25">
      <c r="A1081" t="s">
        <v>2314</v>
      </c>
      <c r="B1081" t="s">
        <v>2315</v>
      </c>
      <c r="C1081" t="s">
        <v>2328</v>
      </c>
      <c r="D1081" t="s">
        <v>2329</v>
      </c>
    </row>
    <row r="1082" spans="1:4" x14ac:dyDescent="0.25">
      <c r="A1082" t="s">
        <v>2314</v>
      </c>
      <c r="B1082" t="s">
        <v>2315</v>
      </c>
      <c r="C1082" t="s">
        <v>2330</v>
      </c>
      <c r="D1082" t="s">
        <v>2331</v>
      </c>
    </row>
    <row r="1083" spans="1:4" x14ac:dyDescent="0.25">
      <c r="A1083" t="s">
        <v>2314</v>
      </c>
      <c r="B1083" t="s">
        <v>2315</v>
      </c>
      <c r="C1083" t="s">
        <v>2332</v>
      </c>
      <c r="D1083" t="s">
        <v>2333</v>
      </c>
    </row>
    <row r="1084" spans="1:4" x14ac:dyDescent="0.25">
      <c r="A1084" t="s">
        <v>2314</v>
      </c>
      <c r="B1084" t="s">
        <v>2315</v>
      </c>
      <c r="C1084" t="s">
        <v>2334</v>
      </c>
      <c r="D1084" t="s">
        <v>2335</v>
      </c>
    </row>
    <row r="1085" spans="1:4" x14ac:dyDescent="0.25">
      <c r="A1085" t="s">
        <v>2314</v>
      </c>
      <c r="B1085" t="s">
        <v>2315</v>
      </c>
      <c r="C1085" t="s">
        <v>2336</v>
      </c>
      <c r="D1085" t="s">
        <v>2337</v>
      </c>
    </row>
    <row r="1086" spans="1:4" x14ac:dyDescent="0.25">
      <c r="A1086" t="s">
        <v>2314</v>
      </c>
      <c r="B1086" t="s">
        <v>2315</v>
      </c>
      <c r="C1086" t="s">
        <v>2338</v>
      </c>
      <c r="D1086" t="s">
        <v>2339</v>
      </c>
    </row>
    <row r="1087" spans="1:4" x14ac:dyDescent="0.25">
      <c r="A1087" t="s">
        <v>2314</v>
      </c>
      <c r="B1087" t="s">
        <v>2315</v>
      </c>
      <c r="C1087" t="s">
        <v>2340</v>
      </c>
      <c r="D1087" t="s">
        <v>2341</v>
      </c>
    </row>
    <row r="1088" spans="1:4" x14ac:dyDescent="0.25">
      <c r="A1088" t="s">
        <v>2314</v>
      </c>
      <c r="B1088" t="s">
        <v>2315</v>
      </c>
      <c r="C1088" t="s">
        <v>2342</v>
      </c>
      <c r="D1088" t="s">
        <v>2343</v>
      </c>
    </row>
    <row r="1089" spans="1:4" x14ac:dyDescent="0.25">
      <c r="A1089" t="s">
        <v>2314</v>
      </c>
      <c r="B1089" t="s">
        <v>2315</v>
      </c>
      <c r="C1089" t="s">
        <v>2344</v>
      </c>
      <c r="D1089" t="s">
        <v>2345</v>
      </c>
    </row>
    <row r="1090" spans="1:4" x14ac:dyDescent="0.25">
      <c r="A1090" t="s">
        <v>2314</v>
      </c>
      <c r="B1090" t="s">
        <v>2315</v>
      </c>
      <c r="C1090" t="s">
        <v>2346</v>
      </c>
      <c r="D1090" t="s">
        <v>2347</v>
      </c>
    </row>
    <row r="1091" spans="1:4" x14ac:dyDescent="0.25">
      <c r="A1091" t="s">
        <v>2314</v>
      </c>
      <c r="B1091" t="s">
        <v>2315</v>
      </c>
      <c r="C1091" t="s">
        <v>2348</v>
      </c>
      <c r="D1091" t="s">
        <v>2349</v>
      </c>
    </row>
    <row r="1092" spans="1:4" x14ac:dyDescent="0.25">
      <c r="A1092" t="s">
        <v>2314</v>
      </c>
      <c r="B1092" t="s">
        <v>2315</v>
      </c>
      <c r="C1092" t="s">
        <v>2350</v>
      </c>
      <c r="D1092" t="s">
        <v>2351</v>
      </c>
    </row>
    <row r="1093" spans="1:4" x14ac:dyDescent="0.25">
      <c r="A1093" t="s">
        <v>2314</v>
      </c>
      <c r="B1093" t="s">
        <v>2315</v>
      </c>
      <c r="C1093" t="s">
        <v>2352</v>
      </c>
      <c r="D1093" t="s">
        <v>2353</v>
      </c>
    </row>
    <row r="1094" spans="1:4" x14ac:dyDescent="0.25">
      <c r="A1094" t="s">
        <v>2314</v>
      </c>
      <c r="B1094" t="s">
        <v>2315</v>
      </c>
      <c r="C1094" t="s">
        <v>2354</v>
      </c>
      <c r="D1094" t="s">
        <v>2355</v>
      </c>
    </row>
    <row r="1095" spans="1:4" x14ac:dyDescent="0.25">
      <c r="A1095" t="s">
        <v>2314</v>
      </c>
      <c r="B1095" t="s">
        <v>2315</v>
      </c>
      <c r="C1095" t="s">
        <v>2356</v>
      </c>
      <c r="D1095" t="s">
        <v>2357</v>
      </c>
    </row>
    <row r="1096" spans="1:4" x14ac:dyDescent="0.25">
      <c r="A1096" t="s">
        <v>2314</v>
      </c>
      <c r="B1096" t="s">
        <v>2315</v>
      </c>
      <c r="C1096" t="s">
        <v>2358</v>
      </c>
      <c r="D1096" t="s">
        <v>2359</v>
      </c>
    </row>
    <row r="1097" spans="1:4" x14ac:dyDescent="0.25">
      <c r="A1097" t="s">
        <v>2314</v>
      </c>
      <c r="B1097" t="s">
        <v>2315</v>
      </c>
      <c r="C1097" t="s">
        <v>2360</v>
      </c>
      <c r="D1097" t="s">
        <v>2361</v>
      </c>
    </row>
    <row r="1098" spans="1:4" x14ac:dyDescent="0.25">
      <c r="A1098" t="s">
        <v>2314</v>
      </c>
      <c r="B1098" t="s">
        <v>2315</v>
      </c>
      <c r="C1098" t="s">
        <v>2362</v>
      </c>
      <c r="D1098" t="s">
        <v>2363</v>
      </c>
    </row>
    <row r="1099" spans="1:4" x14ac:dyDescent="0.25">
      <c r="A1099" t="s">
        <v>2314</v>
      </c>
      <c r="B1099" t="s">
        <v>2315</v>
      </c>
      <c r="C1099" t="s">
        <v>2364</v>
      </c>
      <c r="D1099" t="s">
        <v>2365</v>
      </c>
    </row>
    <row r="1100" spans="1:4" x14ac:dyDescent="0.25">
      <c r="A1100" t="s">
        <v>2314</v>
      </c>
      <c r="B1100" t="s">
        <v>2315</v>
      </c>
      <c r="C1100" t="s">
        <v>2366</v>
      </c>
      <c r="D1100" t="s">
        <v>2367</v>
      </c>
    </row>
    <row r="1101" spans="1:4" x14ac:dyDescent="0.25">
      <c r="A1101" t="s">
        <v>2314</v>
      </c>
      <c r="B1101" t="s">
        <v>2315</v>
      </c>
      <c r="C1101" t="s">
        <v>2368</v>
      </c>
      <c r="D1101" t="s">
        <v>2369</v>
      </c>
    </row>
    <row r="1102" spans="1:4" x14ac:dyDescent="0.25">
      <c r="A1102" t="s">
        <v>2314</v>
      </c>
      <c r="B1102" t="s">
        <v>2315</v>
      </c>
      <c r="C1102" t="s">
        <v>2370</v>
      </c>
      <c r="D1102" t="s">
        <v>2371</v>
      </c>
    </row>
    <row r="1103" spans="1:4" x14ac:dyDescent="0.25">
      <c r="A1103" t="s">
        <v>2314</v>
      </c>
      <c r="B1103" t="s">
        <v>2315</v>
      </c>
      <c r="C1103" t="s">
        <v>2372</v>
      </c>
      <c r="D1103" t="s">
        <v>2373</v>
      </c>
    </row>
    <row r="1104" spans="1:4" x14ac:dyDescent="0.25">
      <c r="A1104" t="s">
        <v>2314</v>
      </c>
      <c r="B1104" t="s">
        <v>2315</v>
      </c>
      <c r="C1104" t="s">
        <v>2374</v>
      </c>
      <c r="D1104" t="s">
        <v>2375</v>
      </c>
    </row>
    <row r="1105" spans="1:4" x14ac:dyDescent="0.25">
      <c r="A1105" t="s">
        <v>2314</v>
      </c>
      <c r="B1105" t="s">
        <v>2315</v>
      </c>
      <c r="C1105" t="s">
        <v>2376</v>
      </c>
      <c r="D1105" t="s">
        <v>2377</v>
      </c>
    </row>
    <row r="1106" spans="1:4" x14ac:dyDescent="0.25">
      <c r="A1106" t="s">
        <v>2314</v>
      </c>
      <c r="B1106" t="s">
        <v>2315</v>
      </c>
      <c r="C1106" t="s">
        <v>2378</v>
      </c>
      <c r="D1106" t="s">
        <v>2379</v>
      </c>
    </row>
    <row r="1107" spans="1:4" x14ac:dyDescent="0.25">
      <c r="A1107" t="s">
        <v>2314</v>
      </c>
      <c r="B1107" t="s">
        <v>2315</v>
      </c>
      <c r="C1107" t="s">
        <v>2380</v>
      </c>
      <c r="D1107" t="s">
        <v>2381</v>
      </c>
    </row>
    <row r="1108" spans="1:4" x14ac:dyDescent="0.25">
      <c r="A1108" t="s">
        <v>2314</v>
      </c>
      <c r="B1108" t="s">
        <v>2315</v>
      </c>
      <c r="C1108" t="s">
        <v>2382</v>
      </c>
      <c r="D1108" t="s">
        <v>2383</v>
      </c>
    </row>
    <row r="1109" spans="1:4" x14ac:dyDescent="0.25">
      <c r="A1109" t="s">
        <v>2314</v>
      </c>
      <c r="B1109" t="s">
        <v>2315</v>
      </c>
      <c r="C1109" t="s">
        <v>2384</v>
      </c>
      <c r="D1109" t="s">
        <v>2385</v>
      </c>
    </row>
    <row r="1110" spans="1:4" x14ac:dyDescent="0.25">
      <c r="A1110" t="s">
        <v>2314</v>
      </c>
      <c r="B1110" t="s">
        <v>2315</v>
      </c>
      <c r="C1110" t="s">
        <v>2386</v>
      </c>
      <c r="D1110" t="s">
        <v>2387</v>
      </c>
    </row>
    <row r="1111" spans="1:4" x14ac:dyDescent="0.25">
      <c r="A1111" t="s">
        <v>2314</v>
      </c>
      <c r="B1111" t="s">
        <v>2315</v>
      </c>
      <c r="C1111" t="s">
        <v>2388</v>
      </c>
      <c r="D1111" t="s">
        <v>2389</v>
      </c>
    </row>
    <row r="1112" spans="1:4" x14ac:dyDescent="0.25">
      <c r="A1112" t="s">
        <v>2314</v>
      </c>
      <c r="B1112" t="s">
        <v>2315</v>
      </c>
      <c r="C1112" t="s">
        <v>2390</v>
      </c>
      <c r="D1112" t="s">
        <v>2391</v>
      </c>
    </row>
    <row r="1113" spans="1:4" x14ac:dyDescent="0.25">
      <c r="A1113" t="s">
        <v>2314</v>
      </c>
      <c r="B1113" t="s">
        <v>2315</v>
      </c>
      <c r="C1113" t="s">
        <v>2392</v>
      </c>
      <c r="D1113" t="s">
        <v>2393</v>
      </c>
    </row>
    <row r="1114" spans="1:4" x14ac:dyDescent="0.25">
      <c r="A1114" t="s">
        <v>2314</v>
      </c>
      <c r="B1114" t="s">
        <v>2315</v>
      </c>
      <c r="C1114" t="s">
        <v>2394</v>
      </c>
      <c r="D1114" t="s">
        <v>2395</v>
      </c>
    </row>
    <row r="1115" spans="1:4" x14ac:dyDescent="0.25">
      <c r="A1115" t="s">
        <v>2314</v>
      </c>
      <c r="B1115" t="s">
        <v>2315</v>
      </c>
      <c r="C1115" t="s">
        <v>2396</v>
      </c>
      <c r="D1115" t="s">
        <v>2397</v>
      </c>
    </row>
    <row r="1116" spans="1:4" x14ac:dyDescent="0.25">
      <c r="A1116" t="s">
        <v>2314</v>
      </c>
      <c r="B1116" t="s">
        <v>2315</v>
      </c>
      <c r="C1116" t="s">
        <v>2398</v>
      </c>
      <c r="D1116" t="s">
        <v>2399</v>
      </c>
    </row>
    <row r="1117" spans="1:4" x14ac:dyDescent="0.25">
      <c r="A1117" t="s">
        <v>2314</v>
      </c>
      <c r="B1117" t="s">
        <v>2315</v>
      </c>
      <c r="C1117" t="s">
        <v>2400</v>
      </c>
      <c r="D1117" t="s">
        <v>2401</v>
      </c>
    </row>
    <row r="1118" spans="1:4" x14ac:dyDescent="0.25">
      <c r="A1118" t="s">
        <v>2314</v>
      </c>
      <c r="B1118" t="s">
        <v>2315</v>
      </c>
      <c r="C1118" t="s">
        <v>2402</v>
      </c>
      <c r="D1118" t="s">
        <v>2403</v>
      </c>
    </row>
    <row r="1119" spans="1:4" x14ac:dyDescent="0.25">
      <c r="A1119" t="s">
        <v>2314</v>
      </c>
      <c r="B1119" t="s">
        <v>2315</v>
      </c>
      <c r="C1119" t="s">
        <v>2404</v>
      </c>
      <c r="D1119" t="s">
        <v>2405</v>
      </c>
    </row>
    <row r="1120" spans="1:4" x14ac:dyDescent="0.25">
      <c r="A1120" t="s">
        <v>2314</v>
      </c>
      <c r="B1120" t="s">
        <v>2315</v>
      </c>
      <c r="C1120" t="s">
        <v>2406</v>
      </c>
      <c r="D1120" t="s">
        <v>2407</v>
      </c>
    </row>
    <row r="1121" spans="1:4" x14ac:dyDescent="0.25">
      <c r="A1121" t="s">
        <v>2314</v>
      </c>
      <c r="B1121" t="s">
        <v>2315</v>
      </c>
      <c r="C1121" t="s">
        <v>2408</v>
      </c>
      <c r="D1121" t="s">
        <v>2409</v>
      </c>
    </row>
    <row r="1122" spans="1:4" x14ac:dyDescent="0.25">
      <c r="A1122" t="s">
        <v>2314</v>
      </c>
      <c r="B1122" t="s">
        <v>2315</v>
      </c>
      <c r="C1122" t="s">
        <v>2410</v>
      </c>
      <c r="D1122" t="s">
        <v>2411</v>
      </c>
    </row>
    <row r="1123" spans="1:4" x14ac:dyDescent="0.25">
      <c r="A1123" t="s">
        <v>2314</v>
      </c>
      <c r="B1123" t="s">
        <v>2315</v>
      </c>
      <c r="C1123" t="s">
        <v>2412</v>
      </c>
      <c r="D1123" t="s">
        <v>2413</v>
      </c>
    </row>
    <row r="1124" spans="1:4" x14ac:dyDescent="0.25">
      <c r="A1124" t="s">
        <v>2414</v>
      </c>
      <c r="B1124" t="s">
        <v>2415</v>
      </c>
      <c r="C1124" t="s">
        <v>2416</v>
      </c>
      <c r="D1124" t="s">
        <v>2417</v>
      </c>
    </row>
    <row r="1125" spans="1:4" x14ac:dyDescent="0.25">
      <c r="A1125" t="s">
        <v>2414</v>
      </c>
      <c r="B1125" t="s">
        <v>2415</v>
      </c>
      <c r="C1125" t="s">
        <v>2418</v>
      </c>
      <c r="D1125" t="s">
        <v>2419</v>
      </c>
    </row>
    <row r="1126" spans="1:4" x14ac:dyDescent="0.25">
      <c r="A1126" t="s">
        <v>2414</v>
      </c>
      <c r="B1126" t="s">
        <v>2415</v>
      </c>
      <c r="C1126" t="s">
        <v>2420</v>
      </c>
      <c r="D1126" t="s">
        <v>2421</v>
      </c>
    </row>
    <row r="1127" spans="1:4" x14ac:dyDescent="0.25">
      <c r="A1127" t="s">
        <v>2414</v>
      </c>
      <c r="B1127" t="s">
        <v>2415</v>
      </c>
      <c r="C1127" t="s">
        <v>2422</v>
      </c>
      <c r="D1127" t="s">
        <v>2423</v>
      </c>
    </row>
    <row r="1128" spans="1:4" x14ac:dyDescent="0.25">
      <c r="A1128" t="s">
        <v>2414</v>
      </c>
      <c r="B1128" t="s">
        <v>2415</v>
      </c>
      <c r="C1128" t="s">
        <v>2424</v>
      </c>
      <c r="D1128" t="s">
        <v>2425</v>
      </c>
    </row>
    <row r="1129" spans="1:4" x14ac:dyDescent="0.25">
      <c r="A1129" t="s">
        <v>2414</v>
      </c>
      <c r="B1129" t="s">
        <v>2415</v>
      </c>
      <c r="C1129" t="s">
        <v>2426</v>
      </c>
      <c r="D1129" t="s">
        <v>2427</v>
      </c>
    </row>
    <row r="1130" spans="1:4" x14ac:dyDescent="0.25">
      <c r="A1130" t="s">
        <v>2414</v>
      </c>
      <c r="B1130" t="s">
        <v>2415</v>
      </c>
      <c r="C1130" t="s">
        <v>2428</v>
      </c>
      <c r="D1130" t="s">
        <v>2429</v>
      </c>
    </row>
    <row r="1131" spans="1:4" x14ac:dyDescent="0.25">
      <c r="A1131" t="s">
        <v>2414</v>
      </c>
      <c r="B1131" t="s">
        <v>2415</v>
      </c>
      <c r="C1131" t="s">
        <v>2430</v>
      </c>
      <c r="D1131" t="s">
        <v>2431</v>
      </c>
    </row>
    <row r="1132" spans="1:4" x14ac:dyDescent="0.25">
      <c r="A1132" t="s">
        <v>2414</v>
      </c>
      <c r="B1132" t="s">
        <v>2415</v>
      </c>
      <c r="C1132" t="s">
        <v>2432</v>
      </c>
      <c r="D1132" t="s">
        <v>2433</v>
      </c>
    </row>
    <row r="1133" spans="1:4" x14ac:dyDescent="0.25">
      <c r="A1133" t="s">
        <v>2434</v>
      </c>
      <c r="B1133" t="s">
        <v>2435</v>
      </c>
      <c r="C1133" t="s">
        <v>2436</v>
      </c>
      <c r="D1133" t="s">
        <v>2437</v>
      </c>
    </row>
    <row r="1134" spans="1:4" x14ac:dyDescent="0.25">
      <c r="A1134" t="s">
        <v>2434</v>
      </c>
      <c r="B1134" t="s">
        <v>2435</v>
      </c>
      <c r="C1134" t="s">
        <v>2438</v>
      </c>
      <c r="D1134" t="s">
        <v>2439</v>
      </c>
    </row>
    <row r="1135" spans="1:4" x14ac:dyDescent="0.25">
      <c r="A1135" t="s">
        <v>2434</v>
      </c>
      <c r="B1135" t="s">
        <v>2435</v>
      </c>
      <c r="C1135" t="s">
        <v>2440</v>
      </c>
      <c r="D1135" t="s">
        <v>2441</v>
      </c>
    </row>
    <row r="1136" spans="1:4" x14ac:dyDescent="0.25">
      <c r="A1136" t="s">
        <v>2434</v>
      </c>
      <c r="B1136" t="s">
        <v>2435</v>
      </c>
      <c r="C1136" t="s">
        <v>2442</v>
      </c>
      <c r="D1136" t="s">
        <v>2443</v>
      </c>
    </row>
    <row r="1137" spans="1:4" x14ac:dyDescent="0.25">
      <c r="A1137" t="s">
        <v>2434</v>
      </c>
      <c r="B1137" t="s">
        <v>2435</v>
      </c>
      <c r="C1137" t="s">
        <v>2444</v>
      </c>
      <c r="D1137" t="s">
        <v>2445</v>
      </c>
    </row>
    <row r="1138" spans="1:4" x14ac:dyDescent="0.25">
      <c r="A1138" t="s">
        <v>2434</v>
      </c>
      <c r="B1138" t="s">
        <v>2435</v>
      </c>
      <c r="C1138" t="s">
        <v>2446</v>
      </c>
      <c r="D1138" t="s">
        <v>2447</v>
      </c>
    </row>
    <row r="1139" spans="1:4" x14ac:dyDescent="0.25">
      <c r="A1139" t="s">
        <v>2434</v>
      </c>
      <c r="B1139" t="s">
        <v>2435</v>
      </c>
      <c r="C1139" t="s">
        <v>2448</v>
      </c>
      <c r="D1139" t="s">
        <v>2449</v>
      </c>
    </row>
    <row r="1140" spans="1:4" x14ac:dyDescent="0.25">
      <c r="A1140" t="s">
        <v>2434</v>
      </c>
      <c r="B1140" t="s">
        <v>2435</v>
      </c>
      <c r="C1140" t="s">
        <v>2450</v>
      </c>
      <c r="D1140" t="s">
        <v>2451</v>
      </c>
    </row>
    <row r="1141" spans="1:4" x14ac:dyDescent="0.25">
      <c r="A1141" t="s">
        <v>2434</v>
      </c>
      <c r="B1141" t="s">
        <v>2435</v>
      </c>
      <c r="C1141" t="s">
        <v>2452</v>
      </c>
      <c r="D1141" t="s">
        <v>2453</v>
      </c>
    </row>
    <row r="1142" spans="1:4" x14ac:dyDescent="0.25">
      <c r="A1142" t="s">
        <v>2434</v>
      </c>
      <c r="B1142" t="s">
        <v>2435</v>
      </c>
      <c r="C1142" t="s">
        <v>2454</v>
      </c>
      <c r="D1142" t="s">
        <v>2455</v>
      </c>
    </row>
    <row r="1143" spans="1:4" x14ac:dyDescent="0.25">
      <c r="A1143" t="s">
        <v>2434</v>
      </c>
      <c r="B1143" t="s">
        <v>2435</v>
      </c>
      <c r="C1143" t="s">
        <v>2456</v>
      </c>
      <c r="D1143" t="s">
        <v>2457</v>
      </c>
    </row>
    <row r="1144" spans="1:4" x14ac:dyDescent="0.25">
      <c r="A1144" t="s">
        <v>2434</v>
      </c>
      <c r="B1144" t="s">
        <v>2435</v>
      </c>
      <c r="C1144" t="s">
        <v>2458</v>
      </c>
      <c r="D1144" t="s">
        <v>2459</v>
      </c>
    </row>
    <row r="1145" spans="1:4" x14ac:dyDescent="0.25">
      <c r="A1145" t="s">
        <v>2434</v>
      </c>
      <c r="B1145" t="s">
        <v>2435</v>
      </c>
      <c r="C1145" t="s">
        <v>2460</v>
      </c>
      <c r="D1145" t="s">
        <v>2461</v>
      </c>
    </row>
    <row r="1146" spans="1:4" x14ac:dyDescent="0.25">
      <c r="A1146" t="s">
        <v>2434</v>
      </c>
      <c r="B1146" t="s">
        <v>2435</v>
      </c>
      <c r="C1146" t="s">
        <v>2462</v>
      </c>
      <c r="D1146" t="s">
        <v>2463</v>
      </c>
    </row>
    <row r="1147" spans="1:4" x14ac:dyDescent="0.25">
      <c r="A1147" t="s">
        <v>2434</v>
      </c>
      <c r="B1147" t="s">
        <v>2435</v>
      </c>
      <c r="C1147" t="s">
        <v>2464</v>
      </c>
      <c r="D1147" t="s">
        <v>2465</v>
      </c>
    </row>
    <row r="1148" spans="1:4" x14ac:dyDescent="0.25">
      <c r="A1148" t="s">
        <v>2434</v>
      </c>
      <c r="B1148" t="s">
        <v>2435</v>
      </c>
      <c r="C1148" t="s">
        <v>2466</v>
      </c>
      <c r="D1148" t="s">
        <v>2467</v>
      </c>
    </row>
    <row r="1149" spans="1:4" x14ac:dyDescent="0.25">
      <c r="A1149" t="s">
        <v>2468</v>
      </c>
      <c r="B1149" t="s">
        <v>2469</v>
      </c>
      <c r="C1149" t="s">
        <v>2470</v>
      </c>
      <c r="D1149" t="s">
        <v>2471</v>
      </c>
    </row>
    <row r="1150" spans="1:4" x14ac:dyDescent="0.25">
      <c r="A1150" t="s">
        <v>2468</v>
      </c>
      <c r="B1150" t="s">
        <v>2469</v>
      </c>
      <c r="C1150" t="s">
        <v>2472</v>
      </c>
      <c r="D1150" t="s">
        <v>2473</v>
      </c>
    </row>
    <row r="1151" spans="1:4" x14ac:dyDescent="0.25">
      <c r="A1151" t="s">
        <v>2468</v>
      </c>
      <c r="B1151" t="s">
        <v>2469</v>
      </c>
      <c r="C1151" t="s">
        <v>2474</v>
      </c>
      <c r="D1151" t="s">
        <v>2475</v>
      </c>
    </row>
    <row r="1152" spans="1:4" x14ac:dyDescent="0.25">
      <c r="A1152" t="s">
        <v>2468</v>
      </c>
      <c r="B1152" t="s">
        <v>2469</v>
      </c>
      <c r="C1152" t="s">
        <v>2476</v>
      </c>
      <c r="D1152" t="s">
        <v>2477</v>
      </c>
    </row>
    <row r="1153" spans="1:4" x14ac:dyDescent="0.25">
      <c r="A1153" t="s">
        <v>2468</v>
      </c>
      <c r="B1153" t="s">
        <v>2469</v>
      </c>
      <c r="C1153" t="s">
        <v>2478</v>
      </c>
      <c r="D1153" t="s">
        <v>2479</v>
      </c>
    </row>
    <row r="1154" spans="1:4" x14ac:dyDescent="0.25">
      <c r="A1154" t="s">
        <v>2468</v>
      </c>
      <c r="B1154" t="s">
        <v>2469</v>
      </c>
      <c r="C1154" t="s">
        <v>2480</v>
      </c>
      <c r="D1154" t="s">
        <v>2481</v>
      </c>
    </row>
    <row r="1155" spans="1:4" x14ac:dyDescent="0.25">
      <c r="A1155" t="s">
        <v>2468</v>
      </c>
      <c r="B1155" t="s">
        <v>2469</v>
      </c>
      <c r="C1155" t="s">
        <v>2482</v>
      </c>
      <c r="D1155" t="s">
        <v>2483</v>
      </c>
    </row>
    <row r="1156" spans="1:4" x14ac:dyDescent="0.25">
      <c r="A1156" t="s">
        <v>2484</v>
      </c>
      <c r="B1156" t="s">
        <v>2485</v>
      </c>
      <c r="C1156" t="s">
        <v>2486</v>
      </c>
      <c r="D1156" t="s">
        <v>2487</v>
      </c>
    </row>
    <row r="1157" spans="1:4" x14ac:dyDescent="0.25">
      <c r="A1157" t="s">
        <v>2484</v>
      </c>
      <c r="B1157" t="s">
        <v>2485</v>
      </c>
      <c r="C1157" t="s">
        <v>2488</v>
      </c>
      <c r="D1157" t="s">
        <v>2489</v>
      </c>
    </row>
    <row r="1158" spans="1:4" x14ac:dyDescent="0.25">
      <c r="A1158" t="s">
        <v>2484</v>
      </c>
      <c r="B1158" t="s">
        <v>2485</v>
      </c>
      <c r="C1158" t="s">
        <v>2490</v>
      </c>
      <c r="D1158" t="s">
        <v>2491</v>
      </c>
    </row>
    <row r="1159" spans="1:4" x14ac:dyDescent="0.25">
      <c r="A1159" t="s">
        <v>2484</v>
      </c>
      <c r="B1159" t="s">
        <v>2485</v>
      </c>
      <c r="C1159" t="s">
        <v>2492</v>
      </c>
      <c r="D1159" t="s">
        <v>2493</v>
      </c>
    </row>
    <row r="1160" spans="1:4" x14ac:dyDescent="0.25">
      <c r="A1160" t="s">
        <v>2484</v>
      </c>
      <c r="B1160" t="s">
        <v>2485</v>
      </c>
      <c r="C1160" t="s">
        <v>2494</v>
      </c>
      <c r="D1160" t="s">
        <v>2495</v>
      </c>
    </row>
    <row r="1161" spans="1:4" x14ac:dyDescent="0.25">
      <c r="A1161" t="s">
        <v>2484</v>
      </c>
      <c r="B1161" t="s">
        <v>2485</v>
      </c>
      <c r="C1161" t="s">
        <v>2496</v>
      </c>
      <c r="D1161" t="s">
        <v>2497</v>
      </c>
    </row>
    <row r="1162" spans="1:4" x14ac:dyDescent="0.25">
      <c r="A1162" t="s">
        <v>2484</v>
      </c>
      <c r="B1162" t="s">
        <v>2485</v>
      </c>
      <c r="C1162" t="s">
        <v>2498</v>
      </c>
      <c r="D1162" t="s">
        <v>2499</v>
      </c>
    </row>
    <row r="1163" spans="1:4" x14ac:dyDescent="0.25">
      <c r="A1163" t="s">
        <v>2484</v>
      </c>
      <c r="B1163" t="s">
        <v>2485</v>
      </c>
      <c r="C1163" t="s">
        <v>2500</v>
      </c>
      <c r="D1163" t="s">
        <v>2501</v>
      </c>
    </row>
    <row r="1164" spans="1:4" x14ac:dyDescent="0.25">
      <c r="A1164" t="s">
        <v>2502</v>
      </c>
      <c r="B1164" t="s">
        <v>2503</v>
      </c>
      <c r="C1164" t="s">
        <v>2504</v>
      </c>
      <c r="D1164" t="s">
        <v>2505</v>
      </c>
    </row>
    <row r="1165" spans="1:4" x14ac:dyDescent="0.25">
      <c r="A1165" t="s">
        <v>2502</v>
      </c>
      <c r="B1165" t="s">
        <v>2503</v>
      </c>
      <c r="C1165" t="s">
        <v>2506</v>
      </c>
      <c r="D1165" t="s">
        <v>2507</v>
      </c>
    </row>
    <row r="1166" spans="1:4" x14ac:dyDescent="0.25">
      <c r="A1166" t="s">
        <v>2502</v>
      </c>
      <c r="B1166" t="s">
        <v>2503</v>
      </c>
      <c r="C1166" t="s">
        <v>2508</v>
      </c>
      <c r="D1166" t="s">
        <v>2509</v>
      </c>
    </row>
    <row r="1167" spans="1:4" x14ac:dyDescent="0.25">
      <c r="A1167" t="s">
        <v>2502</v>
      </c>
      <c r="B1167" t="s">
        <v>2503</v>
      </c>
      <c r="C1167" t="s">
        <v>2510</v>
      </c>
      <c r="D1167" t="s">
        <v>2511</v>
      </c>
    </row>
    <row r="1168" spans="1:4" x14ac:dyDescent="0.25">
      <c r="A1168" t="s">
        <v>2502</v>
      </c>
      <c r="B1168" t="s">
        <v>2503</v>
      </c>
      <c r="C1168" t="s">
        <v>2512</v>
      </c>
      <c r="D1168" t="s">
        <v>2513</v>
      </c>
    </row>
    <row r="1169" spans="1:4" x14ac:dyDescent="0.25">
      <c r="A1169" t="s">
        <v>2502</v>
      </c>
      <c r="B1169" t="s">
        <v>2503</v>
      </c>
      <c r="C1169" t="s">
        <v>2514</v>
      </c>
      <c r="D1169" t="s">
        <v>2515</v>
      </c>
    </row>
    <row r="1170" spans="1:4" x14ac:dyDescent="0.25">
      <c r="A1170" t="s">
        <v>2502</v>
      </c>
      <c r="B1170" t="s">
        <v>2503</v>
      </c>
      <c r="C1170" t="s">
        <v>2516</v>
      </c>
      <c r="D1170" t="s">
        <v>2517</v>
      </c>
    </row>
    <row r="1171" spans="1:4" x14ac:dyDescent="0.25">
      <c r="A1171" t="s">
        <v>2502</v>
      </c>
      <c r="B1171" t="s">
        <v>2503</v>
      </c>
      <c r="C1171" t="s">
        <v>2518</v>
      </c>
      <c r="D1171" t="s">
        <v>2519</v>
      </c>
    </row>
    <row r="1172" spans="1:4" x14ac:dyDescent="0.25">
      <c r="A1172" t="s">
        <v>2502</v>
      </c>
      <c r="B1172" t="s">
        <v>2503</v>
      </c>
      <c r="C1172" t="s">
        <v>2520</v>
      </c>
      <c r="D1172" t="s">
        <v>2521</v>
      </c>
    </row>
    <row r="1173" spans="1:4" x14ac:dyDescent="0.25">
      <c r="A1173" t="s">
        <v>2502</v>
      </c>
      <c r="B1173" t="s">
        <v>2503</v>
      </c>
      <c r="C1173" t="s">
        <v>2522</v>
      </c>
      <c r="D1173" t="s">
        <v>2523</v>
      </c>
    </row>
    <row r="1174" spans="1:4" x14ac:dyDescent="0.25">
      <c r="A1174" t="s">
        <v>2502</v>
      </c>
      <c r="B1174" t="s">
        <v>2503</v>
      </c>
      <c r="C1174" t="s">
        <v>2524</v>
      </c>
      <c r="D1174" t="s">
        <v>2525</v>
      </c>
    </row>
    <row r="1175" spans="1:4" x14ac:dyDescent="0.25">
      <c r="A1175" t="s">
        <v>2502</v>
      </c>
      <c r="B1175" t="s">
        <v>2503</v>
      </c>
      <c r="C1175" t="s">
        <v>2526</v>
      </c>
      <c r="D1175" t="s">
        <v>2527</v>
      </c>
    </row>
    <row r="1176" spans="1:4" x14ac:dyDescent="0.25">
      <c r="A1176" t="s">
        <v>2502</v>
      </c>
      <c r="B1176" t="s">
        <v>2503</v>
      </c>
      <c r="C1176" t="s">
        <v>2528</v>
      </c>
      <c r="D1176" t="s">
        <v>2529</v>
      </c>
    </row>
    <row r="1177" spans="1:4" x14ac:dyDescent="0.25">
      <c r="A1177" t="s">
        <v>2502</v>
      </c>
      <c r="B1177" t="s">
        <v>2503</v>
      </c>
      <c r="C1177" t="s">
        <v>2530</v>
      </c>
      <c r="D1177" t="s">
        <v>2531</v>
      </c>
    </row>
    <row r="1178" spans="1:4" x14ac:dyDescent="0.25">
      <c r="A1178" t="s">
        <v>2502</v>
      </c>
      <c r="B1178" t="s">
        <v>2503</v>
      </c>
      <c r="C1178" t="s">
        <v>2532</v>
      </c>
      <c r="D1178" t="s">
        <v>2533</v>
      </c>
    </row>
    <row r="1179" spans="1:4" x14ac:dyDescent="0.25">
      <c r="A1179" t="s">
        <v>2502</v>
      </c>
      <c r="B1179" t="s">
        <v>2503</v>
      </c>
      <c r="C1179" t="s">
        <v>2534</v>
      </c>
      <c r="D1179" t="s">
        <v>2535</v>
      </c>
    </row>
    <row r="1180" spans="1:4" x14ac:dyDescent="0.25">
      <c r="A1180" t="s">
        <v>2502</v>
      </c>
      <c r="B1180" t="s">
        <v>2503</v>
      </c>
      <c r="C1180" t="s">
        <v>2536</v>
      </c>
      <c r="D1180" t="s">
        <v>2537</v>
      </c>
    </row>
    <row r="1181" spans="1:4" x14ac:dyDescent="0.25">
      <c r="A1181" t="s">
        <v>2502</v>
      </c>
      <c r="B1181" t="s">
        <v>2503</v>
      </c>
      <c r="C1181" t="s">
        <v>2538</v>
      </c>
      <c r="D1181" t="s">
        <v>2539</v>
      </c>
    </row>
    <row r="1182" spans="1:4" x14ac:dyDescent="0.25">
      <c r="A1182" t="s">
        <v>2502</v>
      </c>
      <c r="B1182" t="s">
        <v>2503</v>
      </c>
      <c r="C1182" t="s">
        <v>2540</v>
      </c>
      <c r="D1182" t="s">
        <v>2541</v>
      </c>
    </row>
    <row r="1183" spans="1:4" x14ac:dyDescent="0.25">
      <c r="A1183" t="s">
        <v>2502</v>
      </c>
      <c r="B1183" t="s">
        <v>2503</v>
      </c>
      <c r="C1183" t="s">
        <v>2542</v>
      </c>
      <c r="D1183" t="s">
        <v>2543</v>
      </c>
    </row>
    <row r="1184" spans="1:4" x14ac:dyDescent="0.25">
      <c r="A1184" t="s">
        <v>2502</v>
      </c>
      <c r="B1184" t="s">
        <v>2503</v>
      </c>
      <c r="C1184" t="s">
        <v>2544</v>
      </c>
      <c r="D1184" t="s">
        <v>2545</v>
      </c>
    </row>
    <row r="1185" spans="1:4" x14ac:dyDescent="0.25">
      <c r="A1185" t="s">
        <v>2502</v>
      </c>
      <c r="B1185" t="s">
        <v>2503</v>
      </c>
      <c r="C1185" t="s">
        <v>2546</v>
      </c>
      <c r="D1185" t="s">
        <v>2547</v>
      </c>
    </row>
    <row r="1186" spans="1:4" x14ac:dyDescent="0.25">
      <c r="A1186" t="s">
        <v>2502</v>
      </c>
      <c r="B1186" t="s">
        <v>2503</v>
      </c>
      <c r="C1186" t="s">
        <v>2548</v>
      </c>
      <c r="D1186" t="s">
        <v>2549</v>
      </c>
    </row>
    <row r="1187" spans="1:4" x14ac:dyDescent="0.25">
      <c r="A1187" t="s">
        <v>2502</v>
      </c>
      <c r="B1187" t="s">
        <v>2503</v>
      </c>
      <c r="C1187" t="s">
        <v>2550</v>
      </c>
      <c r="D1187" t="s">
        <v>2551</v>
      </c>
    </row>
    <row r="1188" spans="1:4" x14ac:dyDescent="0.25">
      <c r="A1188" t="s">
        <v>2502</v>
      </c>
      <c r="B1188" t="s">
        <v>2503</v>
      </c>
      <c r="C1188" t="s">
        <v>2552</v>
      </c>
      <c r="D1188" t="s">
        <v>2553</v>
      </c>
    </row>
    <row r="1189" spans="1:4" x14ac:dyDescent="0.25">
      <c r="A1189" t="s">
        <v>2502</v>
      </c>
      <c r="B1189" t="s">
        <v>2503</v>
      </c>
      <c r="C1189" t="s">
        <v>2554</v>
      </c>
      <c r="D1189" t="s">
        <v>2555</v>
      </c>
    </row>
    <row r="1190" spans="1:4" x14ac:dyDescent="0.25">
      <c r="A1190" t="s">
        <v>2502</v>
      </c>
      <c r="B1190" t="s">
        <v>2503</v>
      </c>
      <c r="C1190" t="s">
        <v>2556</v>
      </c>
      <c r="D1190" t="s">
        <v>2557</v>
      </c>
    </row>
    <row r="1191" spans="1:4" x14ac:dyDescent="0.25">
      <c r="A1191" t="s">
        <v>2502</v>
      </c>
      <c r="B1191" t="s">
        <v>2503</v>
      </c>
      <c r="C1191" t="s">
        <v>2558</v>
      </c>
      <c r="D1191" t="s">
        <v>2559</v>
      </c>
    </row>
    <row r="1192" spans="1:4" x14ac:dyDescent="0.25">
      <c r="A1192" t="s">
        <v>2502</v>
      </c>
      <c r="B1192" t="s">
        <v>2503</v>
      </c>
      <c r="C1192" t="s">
        <v>2560</v>
      </c>
      <c r="D1192" t="s">
        <v>2561</v>
      </c>
    </row>
    <row r="1193" spans="1:4" x14ac:dyDescent="0.25">
      <c r="A1193" t="s">
        <v>2502</v>
      </c>
      <c r="B1193" t="s">
        <v>2503</v>
      </c>
      <c r="C1193" t="s">
        <v>2562</v>
      </c>
      <c r="D1193" t="s">
        <v>2563</v>
      </c>
    </row>
    <row r="1194" spans="1:4" x14ac:dyDescent="0.25">
      <c r="A1194" t="s">
        <v>2502</v>
      </c>
      <c r="B1194" t="s">
        <v>2503</v>
      </c>
      <c r="C1194" t="s">
        <v>2564</v>
      </c>
      <c r="D1194" t="s">
        <v>2565</v>
      </c>
    </row>
    <row r="1195" spans="1:4" x14ac:dyDescent="0.25">
      <c r="A1195" t="s">
        <v>2502</v>
      </c>
      <c r="B1195" t="s">
        <v>2503</v>
      </c>
      <c r="C1195" t="s">
        <v>2566</v>
      </c>
      <c r="D1195" t="s">
        <v>2567</v>
      </c>
    </row>
    <row r="1196" spans="1:4" x14ac:dyDescent="0.25">
      <c r="A1196" t="s">
        <v>2502</v>
      </c>
      <c r="B1196" t="s">
        <v>2503</v>
      </c>
      <c r="C1196" t="s">
        <v>2568</v>
      </c>
      <c r="D1196" t="s">
        <v>2569</v>
      </c>
    </row>
    <row r="1197" spans="1:4" x14ac:dyDescent="0.25">
      <c r="A1197" t="s">
        <v>2570</v>
      </c>
      <c r="B1197" t="s">
        <v>2571</v>
      </c>
      <c r="C1197" t="s">
        <v>2572</v>
      </c>
      <c r="D1197" t="s">
        <v>2573</v>
      </c>
    </row>
    <row r="1198" spans="1:4" x14ac:dyDescent="0.25">
      <c r="A1198" t="s">
        <v>2570</v>
      </c>
      <c r="B1198" t="s">
        <v>2571</v>
      </c>
      <c r="C1198" t="s">
        <v>2574</v>
      </c>
      <c r="D1198" t="s">
        <v>2575</v>
      </c>
    </row>
    <row r="1199" spans="1:4" x14ac:dyDescent="0.25">
      <c r="A1199" t="s">
        <v>2570</v>
      </c>
      <c r="B1199" t="s">
        <v>2571</v>
      </c>
      <c r="C1199" t="s">
        <v>2576</v>
      </c>
      <c r="D1199" t="s">
        <v>2577</v>
      </c>
    </row>
    <row r="1200" spans="1:4" x14ac:dyDescent="0.25">
      <c r="A1200" t="s">
        <v>2570</v>
      </c>
      <c r="B1200" t="s">
        <v>2571</v>
      </c>
      <c r="C1200" t="s">
        <v>2578</v>
      </c>
      <c r="D1200" t="s">
        <v>2579</v>
      </c>
    </row>
    <row r="1201" spans="1:4" x14ac:dyDescent="0.25">
      <c r="A1201" t="s">
        <v>2570</v>
      </c>
      <c r="B1201" t="s">
        <v>2571</v>
      </c>
      <c r="C1201" t="s">
        <v>2580</v>
      </c>
      <c r="D1201" t="s">
        <v>2581</v>
      </c>
    </row>
    <row r="1202" spans="1:4" x14ac:dyDescent="0.25">
      <c r="A1202" t="s">
        <v>2570</v>
      </c>
      <c r="B1202" t="s">
        <v>2571</v>
      </c>
      <c r="C1202" t="s">
        <v>2582</v>
      </c>
      <c r="D1202" t="s">
        <v>2583</v>
      </c>
    </row>
    <row r="1203" spans="1:4" x14ac:dyDescent="0.25">
      <c r="A1203" t="s">
        <v>2570</v>
      </c>
      <c r="B1203" t="s">
        <v>2571</v>
      </c>
      <c r="C1203" t="s">
        <v>2584</v>
      </c>
      <c r="D1203" t="s">
        <v>2585</v>
      </c>
    </row>
    <row r="1204" spans="1:4" x14ac:dyDescent="0.25">
      <c r="A1204" t="s">
        <v>2570</v>
      </c>
      <c r="B1204" t="s">
        <v>2571</v>
      </c>
      <c r="C1204" t="s">
        <v>2586</v>
      </c>
      <c r="D1204" t="s">
        <v>2587</v>
      </c>
    </row>
    <row r="1205" spans="1:4" x14ac:dyDescent="0.25">
      <c r="A1205" t="s">
        <v>2570</v>
      </c>
      <c r="B1205" t="s">
        <v>2571</v>
      </c>
      <c r="C1205" t="s">
        <v>2588</v>
      </c>
      <c r="D1205" t="s">
        <v>2589</v>
      </c>
    </row>
    <row r="1206" spans="1:4" x14ac:dyDescent="0.25">
      <c r="A1206" t="s">
        <v>2570</v>
      </c>
      <c r="B1206" t="s">
        <v>2571</v>
      </c>
      <c r="C1206" t="s">
        <v>2590</v>
      </c>
      <c r="D1206" t="s">
        <v>2591</v>
      </c>
    </row>
    <row r="1207" spans="1:4" x14ac:dyDescent="0.25">
      <c r="A1207" t="s">
        <v>2570</v>
      </c>
      <c r="B1207" t="s">
        <v>2571</v>
      </c>
      <c r="C1207" t="s">
        <v>2592</v>
      </c>
      <c r="D1207" t="s">
        <v>2593</v>
      </c>
    </row>
    <row r="1208" spans="1:4" x14ac:dyDescent="0.25">
      <c r="A1208" t="s">
        <v>2570</v>
      </c>
      <c r="B1208" t="s">
        <v>2571</v>
      </c>
      <c r="C1208" t="s">
        <v>2594</v>
      </c>
      <c r="D1208" t="s">
        <v>2595</v>
      </c>
    </row>
    <row r="1209" spans="1:4" x14ac:dyDescent="0.25">
      <c r="A1209" t="s">
        <v>2570</v>
      </c>
      <c r="B1209" t="s">
        <v>2571</v>
      </c>
      <c r="C1209" t="s">
        <v>2596</v>
      </c>
      <c r="D1209" t="s">
        <v>2597</v>
      </c>
    </row>
    <row r="1210" spans="1:4" x14ac:dyDescent="0.25">
      <c r="A1210" t="s">
        <v>2570</v>
      </c>
      <c r="B1210" t="s">
        <v>2571</v>
      </c>
      <c r="C1210" t="s">
        <v>2598</v>
      </c>
      <c r="D1210" t="s">
        <v>2599</v>
      </c>
    </row>
    <row r="1211" spans="1:4" x14ac:dyDescent="0.25">
      <c r="A1211" t="s">
        <v>2600</v>
      </c>
      <c r="B1211" t="s">
        <v>2601</v>
      </c>
      <c r="C1211" t="s">
        <v>2602</v>
      </c>
      <c r="D1211" t="s">
        <v>2603</v>
      </c>
    </row>
    <row r="1212" spans="1:4" x14ac:dyDescent="0.25">
      <c r="A1212" t="s">
        <v>2600</v>
      </c>
      <c r="B1212" t="s">
        <v>2601</v>
      </c>
      <c r="C1212" t="s">
        <v>2604</v>
      </c>
      <c r="D1212" t="s">
        <v>2605</v>
      </c>
    </row>
    <row r="1213" spans="1:4" x14ac:dyDescent="0.25">
      <c r="A1213" t="s">
        <v>2600</v>
      </c>
      <c r="B1213" t="s">
        <v>2601</v>
      </c>
      <c r="C1213" t="s">
        <v>2606</v>
      </c>
      <c r="D1213" t="s">
        <v>2607</v>
      </c>
    </row>
    <row r="1214" spans="1:4" x14ac:dyDescent="0.25">
      <c r="A1214" t="s">
        <v>2600</v>
      </c>
      <c r="B1214" t="s">
        <v>2601</v>
      </c>
      <c r="C1214" t="s">
        <v>2608</v>
      </c>
      <c r="D1214" t="s">
        <v>2609</v>
      </c>
    </row>
    <row r="1215" spans="1:4" x14ac:dyDescent="0.25">
      <c r="A1215" t="s">
        <v>2600</v>
      </c>
      <c r="B1215" t="s">
        <v>2601</v>
      </c>
      <c r="C1215" t="s">
        <v>2610</v>
      </c>
      <c r="D1215" t="s">
        <v>2611</v>
      </c>
    </row>
    <row r="1216" spans="1:4" x14ac:dyDescent="0.25">
      <c r="A1216" t="s">
        <v>2600</v>
      </c>
      <c r="B1216" t="s">
        <v>2601</v>
      </c>
      <c r="C1216" t="s">
        <v>2612</v>
      </c>
      <c r="D1216" t="s">
        <v>2613</v>
      </c>
    </row>
    <row r="1217" spans="1:4" x14ac:dyDescent="0.25">
      <c r="A1217" t="s">
        <v>2600</v>
      </c>
      <c r="B1217" t="s">
        <v>2601</v>
      </c>
      <c r="C1217" t="s">
        <v>2614</v>
      </c>
      <c r="D1217" t="s">
        <v>2615</v>
      </c>
    </row>
    <row r="1218" spans="1:4" x14ac:dyDescent="0.25">
      <c r="A1218" t="s">
        <v>2600</v>
      </c>
      <c r="B1218" t="s">
        <v>2601</v>
      </c>
      <c r="C1218" t="s">
        <v>2616</v>
      </c>
      <c r="D1218" t="s">
        <v>2617</v>
      </c>
    </row>
    <row r="1219" spans="1:4" x14ac:dyDescent="0.25">
      <c r="A1219" t="s">
        <v>2600</v>
      </c>
      <c r="B1219" t="s">
        <v>2601</v>
      </c>
      <c r="C1219" t="s">
        <v>2618</v>
      </c>
      <c r="D1219" t="s">
        <v>2619</v>
      </c>
    </row>
    <row r="1220" spans="1:4" x14ac:dyDescent="0.25">
      <c r="A1220" t="s">
        <v>2620</v>
      </c>
      <c r="B1220" t="s">
        <v>2621</v>
      </c>
      <c r="C1220" t="s">
        <v>2622</v>
      </c>
      <c r="D1220" t="s">
        <v>2623</v>
      </c>
    </row>
    <row r="1221" spans="1:4" x14ac:dyDescent="0.25">
      <c r="A1221" t="s">
        <v>2620</v>
      </c>
      <c r="B1221" t="s">
        <v>2621</v>
      </c>
      <c r="C1221" t="s">
        <v>2624</v>
      </c>
      <c r="D1221" t="s">
        <v>2625</v>
      </c>
    </row>
    <row r="1222" spans="1:4" x14ac:dyDescent="0.25">
      <c r="A1222" t="s">
        <v>2620</v>
      </c>
      <c r="B1222" t="s">
        <v>2621</v>
      </c>
      <c r="C1222" t="s">
        <v>2626</v>
      </c>
      <c r="D1222" t="s">
        <v>2627</v>
      </c>
    </row>
    <row r="1223" spans="1:4" x14ac:dyDescent="0.25">
      <c r="A1223" t="s">
        <v>2620</v>
      </c>
      <c r="B1223" t="s">
        <v>2621</v>
      </c>
      <c r="C1223" t="s">
        <v>2628</v>
      </c>
      <c r="D1223" t="s">
        <v>2629</v>
      </c>
    </row>
    <row r="1224" spans="1:4" x14ac:dyDescent="0.25">
      <c r="A1224" t="s">
        <v>2620</v>
      </c>
      <c r="B1224" t="s">
        <v>2621</v>
      </c>
      <c r="C1224" t="s">
        <v>2630</v>
      </c>
      <c r="D1224" t="s">
        <v>2631</v>
      </c>
    </row>
    <row r="1225" spans="1:4" x14ac:dyDescent="0.25">
      <c r="A1225" t="s">
        <v>2620</v>
      </c>
      <c r="B1225" t="s">
        <v>2621</v>
      </c>
      <c r="C1225" t="s">
        <v>2632</v>
      </c>
      <c r="D1225" t="s">
        <v>2633</v>
      </c>
    </row>
    <row r="1226" spans="1:4" x14ac:dyDescent="0.25">
      <c r="A1226" t="s">
        <v>2620</v>
      </c>
      <c r="B1226" t="s">
        <v>2621</v>
      </c>
      <c r="C1226" t="s">
        <v>2634</v>
      </c>
      <c r="D1226" t="s">
        <v>2635</v>
      </c>
    </row>
    <row r="1227" spans="1:4" x14ac:dyDescent="0.25">
      <c r="A1227" t="s">
        <v>2636</v>
      </c>
      <c r="B1227" t="s">
        <v>2637</v>
      </c>
      <c r="C1227" t="s">
        <v>2638</v>
      </c>
      <c r="D1227" t="s">
        <v>2639</v>
      </c>
    </row>
    <row r="1228" spans="1:4" x14ac:dyDescent="0.25">
      <c r="A1228" t="s">
        <v>2636</v>
      </c>
      <c r="B1228" t="s">
        <v>2637</v>
      </c>
      <c r="C1228" t="s">
        <v>2640</v>
      </c>
      <c r="D1228" t="s">
        <v>2641</v>
      </c>
    </row>
    <row r="1229" spans="1:4" x14ac:dyDescent="0.25">
      <c r="A1229" t="s">
        <v>2636</v>
      </c>
      <c r="B1229" t="s">
        <v>2637</v>
      </c>
      <c r="C1229" t="s">
        <v>2642</v>
      </c>
      <c r="D1229" t="s">
        <v>2643</v>
      </c>
    </row>
    <row r="1230" spans="1:4" x14ac:dyDescent="0.25">
      <c r="A1230" t="s">
        <v>2636</v>
      </c>
      <c r="B1230" t="s">
        <v>2637</v>
      </c>
      <c r="C1230" t="s">
        <v>2644</v>
      </c>
      <c r="D1230" t="s">
        <v>2645</v>
      </c>
    </row>
    <row r="1231" spans="1:4" x14ac:dyDescent="0.25">
      <c r="A1231" t="s">
        <v>2636</v>
      </c>
      <c r="B1231" t="s">
        <v>2637</v>
      </c>
      <c r="C1231" t="s">
        <v>2646</v>
      </c>
      <c r="D1231" t="s">
        <v>2647</v>
      </c>
    </row>
    <row r="1232" spans="1:4" x14ac:dyDescent="0.25">
      <c r="A1232" t="s">
        <v>2636</v>
      </c>
      <c r="B1232" t="s">
        <v>2637</v>
      </c>
      <c r="C1232" t="s">
        <v>2648</v>
      </c>
      <c r="D1232" t="s">
        <v>2649</v>
      </c>
    </row>
    <row r="1233" spans="1:4" x14ac:dyDescent="0.25">
      <c r="A1233" t="s">
        <v>2650</v>
      </c>
      <c r="B1233" t="s">
        <v>2651</v>
      </c>
      <c r="C1233" t="s">
        <v>2652</v>
      </c>
      <c r="D1233" t="s">
        <v>2653</v>
      </c>
    </row>
    <row r="1234" spans="1:4" x14ac:dyDescent="0.25">
      <c r="A1234" t="s">
        <v>2650</v>
      </c>
      <c r="B1234" t="s">
        <v>2651</v>
      </c>
      <c r="C1234" t="s">
        <v>2654</v>
      </c>
      <c r="D1234" t="s">
        <v>2655</v>
      </c>
    </row>
    <row r="1235" spans="1:4" x14ac:dyDescent="0.25">
      <c r="A1235" t="s">
        <v>2650</v>
      </c>
      <c r="B1235" t="s">
        <v>2651</v>
      </c>
      <c r="C1235" t="s">
        <v>2656</v>
      </c>
      <c r="D1235" t="s">
        <v>2657</v>
      </c>
    </row>
    <row r="1236" spans="1:4" x14ac:dyDescent="0.25">
      <c r="A1236" t="s">
        <v>2650</v>
      </c>
      <c r="B1236" t="s">
        <v>2651</v>
      </c>
      <c r="C1236" t="s">
        <v>2658</v>
      </c>
      <c r="D1236" t="s">
        <v>2659</v>
      </c>
    </row>
    <row r="1237" spans="1:4" x14ac:dyDescent="0.25">
      <c r="A1237" t="s">
        <v>2650</v>
      </c>
      <c r="B1237" t="s">
        <v>2651</v>
      </c>
      <c r="C1237" t="s">
        <v>2660</v>
      </c>
      <c r="D1237" t="s">
        <v>2661</v>
      </c>
    </row>
    <row r="1238" spans="1:4" x14ac:dyDescent="0.25">
      <c r="A1238" t="s">
        <v>2650</v>
      </c>
      <c r="B1238" t="s">
        <v>2651</v>
      </c>
      <c r="C1238" t="s">
        <v>2662</v>
      </c>
      <c r="D1238" t="s">
        <v>2663</v>
      </c>
    </row>
    <row r="1239" spans="1:4" x14ac:dyDescent="0.25">
      <c r="A1239" t="s">
        <v>2650</v>
      </c>
      <c r="B1239" t="s">
        <v>2651</v>
      </c>
      <c r="C1239" t="s">
        <v>2664</v>
      </c>
      <c r="D1239" t="s">
        <v>2665</v>
      </c>
    </row>
    <row r="1240" spans="1:4" x14ac:dyDescent="0.25">
      <c r="A1240" t="s">
        <v>2650</v>
      </c>
      <c r="B1240" t="s">
        <v>2651</v>
      </c>
      <c r="C1240" t="s">
        <v>2666</v>
      </c>
      <c r="D1240" t="s">
        <v>2667</v>
      </c>
    </row>
    <row r="1241" spans="1:4" x14ac:dyDescent="0.25">
      <c r="A1241" t="s">
        <v>2668</v>
      </c>
      <c r="B1241" t="s">
        <v>2669</v>
      </c>
      <c r="C1241" t="s">
        <v>2670</v>
      </c>
      <c r="D1241" t="s">
        <v>2671</v>
      </c>
    </row>
    <row r="1242" spans="1:4" x14ac:dyDescent="0.25">
      <c r="A1242" t="s">
        <v>2668</v>
      </c>
      <c r="B1242" t="s">
        <v>2669</v>
      </c>
      <c r="C1242" t="s">
        <v>2672</v>
      </c>
      <c r="D1242" t="s">
        <v>2673</v>
      </c>
    </row>
    <row r="1243" spans="1:4" x14ac:dyDescent="0.25">
      <c r="A1243" t="s">
        <v>2668</v>
      </c>
      <c r="B1243" t="s">
        <v>2669</v>
      </c>
      <c r="C1243" t="s">
        <v>2674</v>
      </c>
      <c r="D1243" t="s">
        <v>2675</v>
      </c>
    </row>
    <row r="1244" spans="1:4" x14ac:dyDescent="0.25">
      <c r="A1244" t="s">
        <v>2668</v>
      </c>
      <c r="B1244" t="s">
        <v>2669</v>
      </c>
      <c r="C1244" t="s">
        <v>2676</v>
      </c>
      <c r="D1244" t="s">
        <v>2677</v>
      </c>
    </row>
    <row r="1245" spans="1:4" x14ac:dyDescent="0.25">
      <c r="A1245" t="s">
        <v>2668</v>
      </c>
      <c r="B1245" t="s">
        <v>2669</v>
      </c>
      <c r="C1245" t="s">
        <v>2678</v>
      </c>
      <c r="D1245" t="s">
        <v>2679</v>
      </c>
    </row>
    <row r="1246" spans="1:4" x14ac:dyDescent="0.25">
      <c r="A1246" t="s">
        <v>2668</v>
      </c>
      <c r="B1246" t="s">
        <v>2669</v>
      </c>
      <c r="C1246" t="s">
        <v>2680</v>
      </c>
      <c r="D1246" t="s">
        <v>2681</v>
      </c>
    </row>
    <row r="1247" spans="1:4" x14ac:dyDescent="0.25">
      <c r="A1247" t="s">
        <v>2668</v>
      </c>
      <c r="B1247" t="s">
        <v>2669</v>
      </c>
      <c r="C1247" t="s">
        <v>2682</v>
      </c>
      <c r="D1247" t="s">
        <v>2683</v>
      </c>
    </row>
    <row r="1248" spans="1:4" x14ac:dyDescent="0.25">
      <c r="A1248" t="s">
        <v>2668</v>
      </c>
      <c r="B1248" t="s">
        <v>2669</v>
      </c>
      <c r="C1248" t="s">
        <v>2684</v>
      </c>
      <c r="D1248" t="s">
        <v>2685</v>
      </c>
    </row>
    <row r="1249" spans="1:4" x14ac:dyDescent="0.25">
      <c r="A1249" t="s">
        <v>2668</v>
      </c>
      <c r="B1249" t="s">
        <v>2669</v>
      </c>
      <c r="C1249" t="s">
        <v>2686</v>
      </c>
      <c r="D1249" t="s">
        <v>2687</v>
      </c>
    </row>
    <row r="1250" spans="1:4" x14ac:dyDescent="0.25">
      <c r="A1250" t="s">
        <v>2668</v>
      </c>
      <c r="B1250" t="s">
        <v>2669</v>
      </c>
      <c r="C1250" t="s">
        <v>2688</v>
      </c>
      <c r="D1250" t="s">
        <v>2689</v>
      </c>
    </row>
    <row r="1251" spans="1:4" x14ac:dyDescent="0.25">
      <c r="A1251" t="s">
        <v>2668</v>
      </c>
      <c r="B1251" t="s">
        <v>2669</v>
      </c>
      <c r="C1251" t="s">
        <v>2690</v>
      </c>
      <c r="D1251" t="s">
        <v>2691</v>
      </c>
    </row>
    <row r="1252" spans="1:4" x14ac:dyDescent="0.25">
      <c r="A1252" t="s">
        <v>2668</v>
      </c>
      <c r="B1252" t="s">
        <v>2669</v>
      </c>
      <c r="C1252" t="s">
        <v>2692</v>
      </c>
      <c r="D1252" t="s">
        <v>2693</v>
      </c>
    </row>
    <row r="1253" spans="1:4" x14ac:dyDescent="0.25">
      <c r="A1253" t="s">
        <v>2668</v>
      </c>
      <c r="B1253" t="s">
        <v>2669</v>
      </c>
      <c r="C1253" t="s">
        <v>2694</v>
      </c>
      <c r="D1253" t="s">
        <v>2695</v>
      </c>
    </row>
    <row r="1254" spans="1:4" x14ac:dyDescent="0.25">
      <c r="A1254" t="s">
        <v>2668</v>
      </c>
      <c r="B1254" t="s">
        <v>2669</v>
      </c>
      <c r="C1254" t="s">
        <v>2696</v>
      </c>
      <c r="D1254" t="s">
        <v>2697</v>
      </c>
    </row>
    <row r="1255" spans="1:4" x14ac:dyDescent="0.25">
      <c r="A1255" t="s">
        <v>2668</v>
      </c>
      <c r="B1255" t="s">
        <v>2669</v>
      </c>
      <c r="C1255" t="s">
        <v>2698</v>
      </c>
      <c r="D1255" t="s">
        <v>2699</v>
      </c>
    </row>
    <row r="1256" spans="1:4" x14ac:dyDescent="0.25">
      <c r="A1256" t="s">
        <v>2668</v>
      </c>
      <c r="B1256" t="s">
        <v>2669</v>
      </c>
      <c r="C1256" t="s">
        <v>2700</v>
      </c>
      <c r="D1256" t="s">
        <v>2701</v>
      </c>
    </row>
    <row r="1257" spans="1:4" x14ac:dyDescent="0.25">
      <c r="A1257" t="s">
        <v>2668</v>
      </c>
      <c r="B1257" t="s">
        <v>2669</v>
      </c>
      <c r="C1257" t="s">
        <v>2702</v>
      </c>
      <c r="D1257" t="s">
        <v>2703</v>
      </c>
    </row>
    <row r="1258" spans="1:4" x14ac:dyDescent="0.25">
      <c r="A1258" t="s">
        <v>2668</v>
      </c>
      <c r="B1258" t="s">
        <v>2669</v>
      </c>
      <c r="C1258" t="s">
        <v>2704</v>
      </c>
      <c r="D1258" t="s">
        <v>2705</v>
      </c>
    </row>
    <row r="1259" spans="1:4" x14ac:dyDescent="0.25">
      <c r="A1259" t="s">
        <v>2668</v>
      </c>
      <c r="B1259" t="s">
        <v>2669</v>
      </c>
      <c r="C1259" t="s">
        <v>2706</v>
      </c>
      <c r="D1259" t="s">
        <v>2707</v>
      </c>
    </row>
    <row r="1260" spans="1:4" x14ac:dyDescent="0.25">
      <c r="A1260" t="s">
        <v>2668</v>
      </c>
      <c r="B1260" t="s">
        <v>2669</v>
      </c>
      <c r="C1260" t="s">
        <v>2708</v>
      </c>
      <c r="D1260" t="s">
        <v>2709</v>
      </c>
    </row>
    <row r="1261" spans="1:4" x14ac:dyDescent="0.25">
      <c r="A1261" t="s">
        <v>2710</v>
      </c>
      <c r="B1261" t="s">
        <v>2711</v>
      </c>
      <c r="C1261" t="s">
        <v>2712</v>
      </c>
      <c r="D1261" t="s">
        <v>2713</v>
      </c>
    </row>
    <row r="1262" spans="1:4" x14ac:dyDescent="0.25">
      <c r="A1262" t="s">
        <v>2710</v>
      </c>
      <c r="B1262" t="s">
        <v>2711</v>
      </c>
      <c r="C1262" t="s">
        <v>2714</v>
      </c>
      <c r="D1262" t="s">
        <v>2715</v>
      </c>
    </row>
    <row r="1263" spans="1:4" x14ac:dyDescent="0.25">
      <c r="A1263" t="s">
        <v>2710</v>
      </c>
      <c r="B1263" t="s">
        <v>2711</v>
      </c>
      <c r="C1263" t="s">
        <v>2716</v>
      </c>
      <c r="D1263" t="s">
        <v>2717</v>
      </c>
    </row>
    <row r="1264" spans="1:4" x14ac:dyDescent="0.25">
      <c r="A1264" t="s">
        <v>2710</v>
      </c>
      <c r="B1264" t="s">
        <v>2711</v>
      </c>
      <c r="C1264" t="s">
        <v>2718</v>
      </c>
      <c r="D1264" t="s">
        <v>2719</v>
      </c>
    </row>
    <row r="1265" spans="1:4" x14ac:dyDescent="0.25">
      <c r="A1265" t="s">
        <v>2710</v>
      </c>
      <c r="B1265" t="s">
        <v>2711</v>
      </c>
      <c r="C1265" t="s">
        <v>2720</v>
      </c>
      <c r="D1265" t="s">
        <v>2721</v>
      </c>
    </row>
    <row r="1266" spans="1:4" x14ac:dyDescent="0.25">
      <c r="A1266" t="s">
        <v>2710</v>
      </c>
      <c r="B1266" t="s">
        <v>2711</v>
      </c>
      <c r="C1266" t="s">
        <v>2722</v>
      </c>
      <c r="D1266" t="s">
        <v>2723</v>
      </c>
    </row>
    <row r="1267" spans="1:4" x14ac:dyDescent="0.25">
      <c r="A1267" t="s">
        <v>2724</v>
      </c>
      <c r="B1267" t="s">
        <v>2725</v>
      </c>
      <c r="C1267" t="s">
        <v>2726</v>
      </c>
      <c r="D1267" t="s">
        <v>2727</v>
      </c>
    </row>
    <row r="1268" spans="1:4" x14ac:dyDescent="0.25">
      <c r="A1268" t="s">
        <v>2724</v>
      </c>
      <c r="B1268" t="s">
        <v>2725</v>
      </c>
      <c r="C1268" t="s">
        <v>2728</v>
      </c>
      <c r="D1268" t="s">
        <v>2729</v>
      </c>
    </row>
    <row r="1269" spans="1:4" x14ac:dyDescent="0.25">
      <c r="A1269" t="s">
        <v>2724</v>
      </c>
      <c r="B1269" t="s">
        <v>2725</v>
      </c>
      <c r="C1269" t="s">
        <v>2730</v>
      </c>
      <c r="D1269" t="s">
        <v>2731</v>
      </c>
    </row>
    <row r="1270" spans="1:4" x14ac:dyDescent="0.25">
      <c r="A1270" t="s">
        <v>2724</v>
      </c>
      <c r="B1270" t="s">
        <v>2725</v>
      </c>
      <c r="C1270" t="s">
        <v>2732</v>
      </c>
      <c r="D1270" t="s">
        <v>2733</v>
      </c>
    </row>
    <row r="1271" spans="1:4" x14ac:dyDescent="0.25">
      <c r="A1271" t="s">
        <v>2724</v>
      </c>
      <c r="B1271" t="s">
        <v>2725</v>
      </c>
      <c r="C1271" t="s">
        <v>2734</v>
      </c>
      <c r="D1271" t="s">
        <v>2735</v>
      </c>
    </row>
    <row r="1272" spans="1:4" x14ac:dyDescent="0.25">
      <c r="A1272" t="s">
        <v>2724</v>
      </c>
      <c r="B1272" t="s">
        <v>2725</v>
      </c>
      <c r="C1272" t="s">
        <v>2736</v>
      </c>
      <c r="D1272" t="s">
        <v>2737</v>
      </c>
    </row>
    <row r="1273" spans="1:4" x14ac:dyDescent="0.25">
      <c r="A1273" t="s">
        <v>2724</v>
      </c>
      <c r="B1273" t="s">
        <v>2725</v>
      </c>
      <c r="C1273" t="s">
        <v>2738</v>
      </c>
      <c r="D1273" t="s">
        <v>2739</v>
      </c>
    </row>
    <row r="1274" spans="1:4" x14ac:dyDescent="0.25">
      <c r="A1274" t="s">
        <v>2724</v>
      </c>
      <c r="B1274" t="s">
        <v>2725</v>
      </c>
      <c r="C1274" t="s">
        <v>2740</v>
      </c>
      <c r="D1274" t="s">
        <v>2741</v>
      </c>
    </row>
    <row r="1275" spans="1:4" x14ac:dyDescent="0.25">
      <c r="A1275" t="s">
        <v>2724</v>
      </c>
      <c r="B1275" t="s">
        <v>2725</v>
      </c>
      <c r="C1275" t="s">
        <v>2742</v>
      </c>
      <c r="D1275" t="s">
        <v>2743</v>
      </c>
    </row>
    <row r="1276" spans="1:4" x14ac:dyDescent="0.25">
      <c r="A1276" t="s">
        <v>2724</v>
      </c>
      <c r="B1276" t="s">
        <v>2725</v>
      </c>
      <c r="C1276" t="s">
        <v>2744</v>
      </c>
      <c r="D1276" t="s">
        <v>2745</v>
      </c>
    </row>
    <row r="1277" spans="1:4" x14ac:dyDescent="0.25">
      <c r="A1277" t="s">
        <v>2724</v>
      </c>
      <c r="B1277" t="s">
        <v>2725</v>
      </c>
      <c r="C1277" t="s">
        <v>2746</v>
      </c>
      <c r="D1277" t="s">
        <v>2747</v>
      </c>
    </row>
    <row r="1278" spans="1:4" x14ac:dyDescent="0.25">
      <c r="A1278" t="s">
        <v>2724</v>
      </c>
      <c r="B1278" t="s">
        <v>2725</v>
      </c>
      <c r="C1278" t="s">
        <v>2748</v>
      </c>
      <c r="D1278" t="s">
        <v>2749</v>
      </c>
    </row>
    <row r="1279" spans="1:4" x14ac:dyDescent="0.25">
      <c r="A1279" t="s">
        <v>2750</v>
      </c>
      <c r="B1279" t="s">
        <v>2751</v>
      </c>
      <c r="C1279" t="s">
        <v>2752</v>
      </c>
      <c r="D1279" t="s">
        <v>2751</v>
      </c>
    </row>
    <row r="1280" spans="1:4" x14ac:dyDescent="0.25">
      <c r="A1280" t="s">
        <v>2753</v>
      </c>
      <c r="B1280" t="s">
        <v>2754</v>
      </c>
      <c r="C1280" t="s">
        <v>2755</v>
      </c>
      <c r="D1280" t="s">
        <v>2756</v>
      </c>
    </row>
    <row r="1281" spans="1:4" x14ac:dyDescent="0.25">
      <c r="A1281" t="s">
        <v>2757</v>
      </c>
      <c r="B1281" t="s">
        <v>2758</v>
      </c>
      <c r="C1281" t="s">
        <v>2759</v>
      </c>
      <c r="D1281" t="s">
        <v>2760</v>
      </c>
    </row>
    <row r="1282" spans="1:4" x14ac:dyDescent="0.25">
      <c r="A1282" t="s">
        <v>2757</v>
      </c>
      <c r="B1282" t="s">
        <v>2758</v>
      </c>
      <c r="C1282" t="s">
        <v>2761</v>
      </c>
      <c r="D1282" t="s">
        <v>2762</v>
      </c>
    </row>
    <row r="1283" spans="1:4" x14ac:dyDescent="0.25">
      <c r="A1283" t="s">
        <v>2757</v>
      </c>
      <c r="B1283" t="s">
        <v>2758</v>
      </c>
      <c r="C1283" t="s">
        <v>2763</v>
      </c>
      <c r="D1283" t="s">
        <v>2764</v>
      </c>
    </row>
    <row r="1284" spans="1:4" x14ac:dyDescent="0.25">
      <c r="A1284" t="s">
        <v>2757</v>
      </c>
      <c r="B1284" t="s">
        <v>2758</v>
      </c>
      <c r="C1284" t="s">
        <v>2765</v>
      </c>
      <c r="D1284" t="s">
        <v>2766</v>
      </c>
    </row>
    <row r="1285" spans="1:4" x14ac:dyDescent="0.25">
      <c r="A1285" t="s">
        <v>2757</v>
      </c>
      <c r="B1285" t="s">
        <v>2758</v>
      </c>
      <c r="C1285" t="s">
        <v>2767</v>
      </c>
      <c r="D1285" t="s">
        <v>2768</v>
      </c>
    </row>
    <row r="1286" spans="1:4" x14ac:dyDescent="0.25">
      <c r="A1286" t="s">
        <v>2757</v>
      </c>
      <c r="B1286" t="s">
        <v>2758</v>
      </c>
      <c r="C1286" t="s">
        <v>2769</v>
      </c>
      <c r="D1286" t="s">
        <v>2770</v>
      </c>
    </row>
    <row r="1287" spans="1:4" x14ac:dyDescent="0.25">
      <c r="A1287" t="s">
        <v>2757</v>
      </c>
      <c r="B1287" t="s">
        <v>2758</v>
      </c>
      <c r="C1287" t="s">
        <v>2771</v>
      </c>
      <c r="D1287" t="s">
        <v>2772</v>
      </c>
    </row>
    <row r="1288" spans="1:4" x14ac:dyDescent="0.25">
      <c r="A1288" t="s">
        <v>2757</v>
      </c>
      <c r="B1288" t="s">
        <v>2758</v>
      </c>
      <c r="C1288" t="s">
        <v>2773</v>
      </c>
      <c r="D1288" t="s">
        <v>2774</v>
      </c>
    </row>
    <row r="1289" spans="1:4" x14ac:dyDescent="0.25">
      <c r="A1289" t="s">
        <v>2757</v>
      </c>
      <c r="B1289" t="s">
        <v>2758</v>
      </c>
      <c r="C1289" t="s">
        <v>2775</v>
      </c>
      <c r="D1289" t="s">
        <v>2776</v>
      </c>
    </row>
    <row r="1290" spans="1:4" x14ac:dyDescent="0.25">
      <c r="A1290" t="s">
        <v>2757</v>
      </c>
      <c r="B1290" t="s">
        <v>2758</v>
      </c>
      <c r="C1290" t="s">
        <v>2777</v>
      </c>
      <c r="D1290" t="s">
        <v>2778</v>
      </c>
    </row>
    <row r="1291" spans="1:4" x14ac:dyDescent="0.25">
      <c r="A1291" t="s">
        <v>2757</v>
      </c>
      <c r="B1291" t="s">
        <v>2758</v>
      </c>
      <c r="C1291" t="s">
        <v>2779</v>
      </c>
      <c r="D1291" t="s">
        <v>2780</v>
      </c>
    </row>
    <row r="1292" spans="1:4" x14ac:dyDescent="0.25">
      <c r="A1292" t="s">
        <v>2757</v>
      </c>
      <c r="B1292" t="s">
        <v>2758</v>
      </c>
      <c r="C1292" t="s">
        <v>2781</v>
      </c>
      <c r="D1292" t="s">
        <v>2782</v>
      </c>
    </row>
    <row r="1293" spans="1:4" x14ac:dyDescent="0.25">
      <c r="A1293" t="s">
        <v>2783</v>
      </c>
      <c r="B1293" t="s">
        <v>2784</v>
      </c>
      <c r="C1293" t="s">
        <v>2785</v>
      </c>
      <c r="D1293" t="s">
        <v>2786</v>
      </c>
    </row>
    <row r="1294" spans="1:4" x14ac:dyDescent="0.25">
      <c r="A1294" t="s">
        <v>2783</v>
      </c>
      <c r="B1294" t="s">
        <v>2784</v>
      </c>
      <c r="C1294" t="s">
        <v>2787</v>
      </c>
      <c r="D1294" t="s">
        <v>2788</v>
      </c>
    </row>
    <row r="1295" spans="1:4" x14ac:dyDescent="0.25">
      <c r="A1295" t="s">
        <v>2783</v>
      </c>
      <c r="B1295" t="s">
        <v>2784</v>
      </c>
      <c r="C1295" t="s">
        <v>2789</v>
      </c>
      <c r="D1295" t="s">
        <v>2790</v>
      </c>
    </row>
    <row r="1296" spans="1:4" x14ac:dyDescent="0.25">
      <c r="A1296" t="s">
        <v>2783</v>
      </c>
      <c r="B1296" t="s">
        <v>2784</v>
      </c>
      <c r="C1296" t="s">
        <v>2791</v>
      </c>
      <c r="D1296" t="s">
        <v>2792</v>
      </c>
    </row>
    <row r="1297" spans="1:4" x14ac:dyDescent="0.25">
      <c r="A1297" t="s">
        <v>2783</v>
      </c>
      <c r="B1297" t="s">
        <v>2784</v>
      </c>
      <c r="C1297" t="s">
        <v>2793</v>
      </c>
      <c r="D1297" t="s">
        <v>2794</v>
      </c>
    </row>
    <row r="1298" spans="1:4" x14ac:dyDescent="0.25">
      <c r="A1298" t="s">
        <v>2783</v>
      </c>
      <c r="B1298" t="s">
        <v>2784</v>
      </c>
      <c r="C1298" t="s">
        <v>2795</v>
      </c>
      <c r="D1298" t="s">
        <v>2796</v>
      </c>
    </row>
    <row r="1299" spans="1:4" x14ac:dyDescent="0.25">
      <c r="A1299" t="s">
        <v>2783</v>
      </c>
      <c r="B1299" t="s">
        <v>2784</v>
      </c>
      <c r="C1299" t="s">
        <v>2797</v>
      </c>
      <c r="D1299" t="s">
        <v>2798</v>
      </c>
    </row>
    <row r="1300" spans="1:4" x14ac:dyDescent="0.25">
      <c r="A1300" t="s">
        <v>2783</v>
      </c>
      <c r="B1300" t="s">
        <v>2784</v>
      </c>
      <c r="C1300" t="s">
        <v>2799</v>
      </c>
      <c r="D1300" t="s">
        <v>2800</v>
      </c>
    </row>
    <row r="1301" spans="1:4" x14ac:dyDescent="0.25">
      <c r="A1301" t="s">
        <v>2783</v>
      </c>
      <c r="B1301" t="s">
        <v>2784</v>
      </c>
      <c r="C1301" t="s">
        <v>2801</v>
      </c>
      <c r="D1301" t="s">
        <v>2802</v>
      </c>
    </row>
    <row r="1302" spans="1:4" x14ac:dyDescent="0.25">
      <c r="A1302" t="s">
        <v>2783</v>
      </c>
      <c r="B1302" t="s">
        <v>2784</v>
      </c>
      <c r="C1302" t="s">
        <v>2803</v>
      </c>
      <c r="D1302" t="s">
        <v>2804</v>
      </c>
    </row>
    <row r="1303" spans="1:4" x14ac:dyDescent="0.25">
      <c r="A1303" t="s">
        <v>2783</v>
      </c>
      <c r="B1303" t="s">
        <v>2784</v>
      </c>
      <c r="C1303" t="s">
        <v>2805</v>
      </c>
      <c r="D1303" t="s">
        <v>2806</v>
      </c>
    </row>
    <row r="1304" spans="1:4" x14ac:dyDescent="0.25">
      <c r="A1304" t="s">
        <v>2783</v>
      </c>
      <c r="B1304" t="s">
        <v>2784</v>
      </c>
      <c r="C1304" t="s">
        <v>2807</v>
      </c>
      <c r="D1304" t="s">
        <v>2808</v>
      </c>
    </row>
    <row r="1305" spans="1:4" x14ac:dyDescent="0.25">
      <c r="A1305" t="s">
        <v>2783</v>
      </c>
      <c r="B1305" t="s">
        <v>2784</v>
      </c>
      <c r="C1305" t="s">
        <v>2809</v>
      </c>
      <c r="D1305" t="s">
        <v>2810</v>
      </c>
    </row>
    <row r="1306" spans="1:4" x14ac:dyDescent="0.25">
      <c r="A1306" t="s">
        <v>2783</v>
      </c>
      <c r="B1306" t="s">
        <v>2784</v>
      </c>
      <c r="C1306" t="s">
        <v>2811</v>
      </c>
      <c r="D1306" t="s">
        <v>2812</v>
      </c>
    </row>
    <row r="1307" spans="1:4" x14ac:dyDescent="0.25">
      <c r="A1307" t="s">
        <v>2783</v>
      </c>
      <c r="B1307" t="s">
        <v>2784</v>
      </c>
      <c r="C1307" t="s">
        <v>2813</v>
      </c>
      <c r="D1307" t="s">
        <v>2814</v>
      </c>
    </row>
    <row r="1308" spans="1:4" x14ac:dyDescent="0.25">
      <c r="A1308" t="s">
        <v>2783</v>
      </c>
      <c r="B1308" t="s">
        <v>2784</v>
      </c>
      <c r="C1308" t="s">
        <v>2815</v>
      </c>
      <c r="D1308" t="s">
        <v>2816</v>
      </c>
    </row>
    <row r="1309" spans="1:4" x14ac:dyDescent="0.25">
      <c r="A1309" t="s">
        <v>2783</v>
      </c>
      <c r="B1309" t="s">
        <v>2784</v>
      </c>
      <c r="C1309" t="s">
        <v>2817</v>
      </c>
      <c r="D1309" t="s">
        <v>2818</v>
      </c>
    </row>
    <row r="1310" spans="1:4" x14ac:dyDescent="0.25">
      <c r="A1310" t="s">
        <v>2783</v>
      </c>
      <c r="B1310" t="s">
        <v>2784</v>
      </c>
      <c r="C1310" t="s">
        <v>2819</v>
      </c>
      <c r="D1310" t="s">
        <v>2820</v>
      </c>
    </row>
    <row r="1311" spans="1:4" x14ac:dyDescent="0.25">
      <c r="A1311" t="s">
        <v>2783</v>
      </c>
      <c r="B1311" t="s">
        <v>2784</v>
      </c>
      <c r="C1311" t="s">
        <v>2821</v>
      </c>
      <c r="D1311" t="s">
        <v>2822</v>
      </c>
    </row>
    <row r="1312" spans="1:4" x14ac:dyDescent="0.25">
      <c r="A1312" t="s">
        <v>2783</v>
      </c>
      <c r="B1312" t="s">
        <v>2784</v>
      </c>
      <c r="C1312" t="s">
        <v>2823</v>
      </c>
      <c r="D1312" t="s">
        <v>2824</v>
      </c>
    </row>
    <row r="1313" spans="1:4" x14ac:dyDescent="0.25">
      <c r="A1313" t="s">
        <v>2783</v>
      </c>
      <c r="B1313" t="s">
        <v>2784</v>
      </c>
      <c r="C1313" t="s">
        <v>2825</v>
      </c>
      <c r="D1313" t="s">
        <v>2826</v>
      </c>
    </row>
    <row r="1314" spans="1:4" x14ac:dyDescent="0.25">
      <c r="A1314" t="s">
        <v>2783</v>
      </c>
      <c r="B1314" t="s">
        <v>2784</v>
      </c>
      <c r="C1314" t="s">
        <v>2827</v>
      </c>
      <c r="D1314" t="s">
        <v>2828</v>
      </c>
    </row>
    <row r="1315" spans="1:4" x14ac:dyDescent="0.25">
      <c r="A1315" t="s">
        <v>2783</v>
      </c>
      <c r="B1315" t="s">
        <v>2784</v>
      </c>
      <c r="C1315" t="s">
        <v>2829</v>
      </c>
      <c r="D1315" t="s">
        <v>2830</v>
      </c>
    </row>
    <row r="1316" spans="1:4" x14ac:dyDescent="0.25">
      <c r="A1316" t="s">
        <v>2783</v>
      </c>
      <c r="B1316" t="s">
        <v>2784</v>
      </c>
      <c r="C1316" t="s">
        <v>2831</v>
      </c>
      <c r="D1316" t="s">
        <v>2832</v>
      </c>
    </row>
    <row r="1317" spans="1:4" x14ac:dyDescent="0.25">
      <c r="A1317" t="s">
        <v>2783</v>
      </c>
      <c r="B1317" t="s">
        <v>2784</v>
      </c>
      <c r="C1317" t="s">
        <v>2833</v>
      </c>
      <c r="D1317" t="s">
        <v>2834</v>
      </c>
    </row>
    <row r="1318" spans="1:4" x14ac:dyDescent="0.25">
      <c r="A1318" t="s">
        <v>2783</v>
      </c>
      <c r="B1318" t="s">
        <v>2784</v>
      </c>
      <c r="C1318" t="s">
        <v>2835</v>
      </c>
      <c r="D1318" t="s">
        <v>2836</v>
      </c>
    </row>
    <row r="1319" spans="1:4" x14ac:dyDescent="0.25">
      <c r="A1319" t="s">
        <v>2783</v>
      </c>
      <c r="B1319" t="s">
        <v>2784</v>
      </c>
      <c r="C1319" t="s">
        <v>2837</v>
      </c>
      <c r="D1319" t="s">
        <v>2838</v>
      </c>
    </row>
    <row r="1320" spans="1:4" x14ac:dyDescent="0.25">
      <c r="A1320" t="s">
        <v>2783</v>
      </c>
      <c r="B1320" t="s">
        <v>2784</v>
      </c>
      <c r="C1320" t="s">
        <v>2839</v>
      </c>
      <c r="D1320" t="s">
        <v>2840</v>
      </c>
    </row>
    <row r="1321" spans="1:4" x14ac:dyDescent="0.25">
      <c r="A1321" t="s">
        <v>2783</v>
      </c>
      <c r="B1321" t="s">
        <v>2784</v>
      </c>
      <c r="C1321" t="s">
        <v>2841</v>
      </c>
      <c r="D1321" t="s">
        <v>2842</v>
      </c>
    </row>
    <row r="1322" spans="1:4" x14ac:dyDescent="0.25">
      <c r="A1322" t="s">
        <v>2783</v>
      </c>
      <c r="B1322" t="s">
        <v>2784</v>
      </c>
      <c r="C1322" t="s">
        <v>2843</v>
      </c>
      <c r="D1322" t="s">
        <v>2844</v>
      </c>
    </row>
    <row r="1323" spans="1:4" x14ac:dyDescent="0.25">
      <c r="A1323" t="s">
        <v>2783</v>
      </c>
      <c r="B1323" t="s">
        <v>2784</v>
      </c>
      <c r="C1323" t="s">
        <v>2845</v>
      </c>
      <c r="D1323" t="s">
        <v>2846</v>
      </c>
    </row>
    <row r="1324" spans="1:4" x14ac:dyDescent="0.25">
      <c r="A1324" t="s">
        <v>2783</v>
      </c>
      <c r="B1324" t="s">
        <v>2784</v>
      </c>
      <c r="C1324" t="s">
        <v>2847</v>
      </c>
      <c r="D1324" t="s">
        <v>2848</v>
      </c>
    </row>
    <row r="1325" spans="1:4" x14ac:dyDescent="0.25">
      <c r="A1325" t="s">
        <v>2783</v>
      </c>
      <c r="B1325" t="s">
        <v>2784</v>
      </c>
      <c r="C1325" t="s">
        <v>2849</v>
      </c>
      <c r="D1325" t="s">
        <v>2850</v>
      </c>
    </row>
    <row r="1326" spans="1:4" x14ac:dyDescent="0.25">
      <c r="A1326" t="s">
        <v>2783</v>
      </c>
      <c r="B1326" t="s">
        <v>2784</v>
      </c>
      <c r="C1326" t="s">
        <v>2851</v>
      </c>
      <c r="D1326" t="s">
        <v>2852</v>
      </c>
    </row>
    <row r="1327" spans="1:4" x14ac:dyDescent="0.25">
      <c r="A1327" t="s">
        <v>2783</v>
      </c>
      <c r="B1327" t="s">
        <v>2784</v>
      </c>
      <c r="C1327" t="s">
        <v>2853</v>
      </c>
      <c r="D1327" t="s">
        <v>2854</v>
      </c>
    </row>
    <row r="1328" spans="1:4" x14ac:dyDescent="0.25">
      <c r="A1328" t="s">
        <v>2783</v>
      </c>
      <c r="B1328" t="s">
        <v>2784</v>
      </c>
      <c r="C1328" t="s">
        <v>2855</v>
      </c>
      <c r="D1328" t="s">
        <v>2856</v>
      </c>
    </row>
    <row r="1329" spans="1:4" x14ac:dyDescent="0.25">
      <c r="A1329" t="s">
        <v>2783</v>
      </c>
      <c r="B1329" t="s">
        <v>2784</v>
      </c>
      <c r="C1329" t="s">
        <v>2857</v>
      </c>
      <c r="D1329" t="s">
        <v>2858</v>
      </c>
    </row>
    <row r="1330" spans="1:4" x14ac:dyDescent="0.25">
      <c r="A1330" t="s">
        <v>2783</v>
      </c>
      <c r="B1330" t="s">
        <v>2784</v>
      </c>
      <c r="C1330" t="s">
        <v>2859</v>
      </c>
      <c r="D1330" t="s">
        <v>2860</v>
      </c>
    </row>
    <row r="1331" spans="1:4" x14ac:dyDescent="0.25">
      <c r="A1331" t="s">
        <v>2783</v>
      </c>
      <c r="B1331" t="s">
        <v>2784</v>
      </c>
      <c r="C1331" t="s">
        <v>2861</v>
      </c>
      <c r="D1331" t="s">
        <v>2862</v>
      </c>
    </row>
    <row r="1332" spans="1:4" x14ac:dyDescent="0.25">
      <c r="A1332" t="s">
        <v>2783</v>
      </c>
      <c r="B1332" t="s">
        <v>2784</v>
      </c>
      <c r="C1332" t="s">
        <v>2863</v>
      </c>
      <c r="D1332" t="s">
        <v>2864</v>
      </c>
    </row>
    <row r="1333" spans="1:4" x14ac:dyDescent="0.25">
      <c r="A1333" t="s">
        <v>2783</v>
      </c>
      <c r="B1333" t="s">
        <v>2784</v>
      </c>
      <c r="C1333" t="s">
        <v>2865</v>
      </c>
      <c r="D1333" t="s">
        <v>2866</v>
      </c>
    </row>
    <row r="1334" spans="1:4" x14ac:dyDescent="0.25">
      <c r="A1334" t="s">
        <v>2783</v>
      </c>
      <c r="B1334" t="s">
        <v>2784</v>
      </c>
      <c r="C1334" t="s">
        <v>2867</v>
      </c>
      <c r="D1334" t="s">
        <v>2868</v>
      </c>
    </row>
    <row r="1335" spans="1:4" x14ac:dyDescent="0.25">
      <c r="A1335" t="s">
        <v>2783</v>
      </c>
      <c r="B1335" t="s">
        <v>2784</v>
      </c>
      <c r="C1335" t="s">
        <v>2869</v>
      </c>
      <c r="D1335" t="s">
        <v>2870</v>
      </c>
    </row>
    <row r="1336" spans="1:4" x14ac:dyDescent="0.25">
      <c r="A1336" t="s">
        <v>2783</v>
      </c>
      <c r="B1336" t="s">
        <v>2784</v>
      </c>
      <c r="C1336" t="s">
        <v>2871</v>
      </c>
      <c r="D1336" t="s">
        <v>2872</v>
      </c>
    </row>
    <row r="1337" spans="1:4" x14ac:dyDescent="0.25">
      <c r="A1337" t="s">
        <v>2783</v>
      </c>
      <c r="B1337" t="s">
        <v>2784</v>
      </c>
      <c r="C1337" t="s">
        <v>2873</v>
      </c>
      <c r="D1337" t="s">
        <v>2874</v>
      </c>
    </row>
    <row r="1338" spans="1:4" x14ac:dyDescent="0.25">
      <c r="A1338" t="s">
        <v>2783</v>
      </c>
      <c r="B1338" t="s">
        <v>2784</v>
      </c>
      <c r="C1338" t="s">
        <v>2875</v>
      </c>
      <c r="D1338" t="s">
        <v>2876</v>
      </c>
    </row>
    <row r="1339" spans="1:4" x14ac:dyDescent="0.25">
      <c r="A1339" t="s">
        <v>2783</v>
      </c>
      <c r="B1339" t="s">
        <v>2784</v>
      </c>
      <c r="C1339" t="s">
        <v>2877</v>
      </c>
      <c r="D1339" t="s">
        <v>2878</v>
      </c>
    </row>
    <row r="1340" spans="1:4" x14ac:dyDescent="0.25">
      <c r="A1340" t="s">
        <v>2783</v>
      </c>
      <c r="B1340" t="s">
        <v>2784</v>
      </c>
      <c r="C1340" t="s">
        <v>2879</v>
      </c>
      <c r="D1340" t="s">
        <v>2880</v>
      </c>
    </row>
    <row r="1341" spans="1:4" x14ac:dyDescent="0.25">
      <c r="A1341" t="s">
        <v>2783</v>
      </c>
      <c r="B1341" t="s">
        <v>2784</v>
      </c>
      <c r="C1341" t="s">
        <v>2881</v>
      </c>
      <c r="D1341" t="s">
        <v>2882</v>
      </c>
    </row>
    <row r="1342" spans="1:4" x14ac:dyDescent="0.25">
      <c r="A1342" t="s">
        <v>2783</v>
      </c>
      <c r="B1342" t="s">
        <v>2784</v>
      </c>
      <c r="C1342" t="s">
        <v>2883</v>
      </c>
      <c r="D1342" t="s">
        <v>2884</v>
      </c>
    </row>
    <row r="1343" spans="1:4" x14ac:dyDescent="0.25">
      <c r="A1343" t="s">
        <v>2783</v>
      </c>
      <c r="B1343" t="s">
        <v>2784</v>
      </c>
      <c r="C1343" t="s">
        <v>2885</v>
      </c>
      <c r="D1343" t="s">
        <v>2886</v>
      </c>
    </row>
    <row r="1344" spans="1:4" x14ac:dyDescent="0.25">
      <c r="A1344" t="s">
        <v>2783</v>
      </c>
      <c r="B1344" t="s">
        <v>2784</v>
      </c>
      <c r="C1344" t="s">
        <v>2887</v>
      </c>
      <c r="D1344" t="s">
        <v>2888</v>
      </c>
    </row>
    <row r="1345" spans="1:4" x14ac:dyDescent="0.25">
      <c r="A1345" t="s">
        <v>2783</v>
      </c>
      <c r="B1345" t="s">
        <v>2784</v>
      </c>
      <c r="C1345" t="s">
        <v>2889</v>
      </c>
      <c r="D1345" t="s">
        <v>2890</v>
      </c>
    </row>
    <row r="1346" spans="1:4" x14ac:dyDescent="0.25">
      <c r="A1346" t="s">
        <v>2783</v>
      </c>
      <c r="B1346" t="s">
        <v>2784</v>
      </c>
      <c r="C1346" t="s">
        <v>2891</v>
      </c>
      <c r="D1346" t="s">
        <v>2892</v>
      </c>
    </row>
    <row r="1347" spans="1:4" x14ac:dyDescent="0.25">
      <c r="A1347" t="s">
        <v>2783</v>
      </c>
      <c r="B1347" t="s">
        <v>2784</v>
      </c>
      <c r="C1347" t="s">
        <v>2893</v>
      </c>
      <c r="D1347" t="s">
        <v>2894</v>
      </c>
    </row>
    <row r="1348" spans="1:4" x14ac:dyDescent="0.25">
      <c r="A1348" t="s">
        <v>2783</v>
      </c>
      <c r="B1348" t="s">
        <v>2784</v>
      </c>
      <c r="C1348" t="s">
        <v>2895</v>
      </c>
      <c r="D1348" t="s">
        <v>2896</v>
      </c>
    </row>
    <row r="1349" spans="1:4" x14ac:dyDescent="0.25">
      <c r="A1349" t="s">
        <v>2783</v>
      </c>
      <c r="B1349" t="s">
        <v>2784</v>
      </c>
      <c r="C1349" t="s">
        <v>2897</v>
      </c>
      <c r="D1349" t="s">
        <v>2898</v>
      </c>
    </row>
    <row r="1350" spans="1:4" x14ac:dyDescent="0.25">
      <c r="A1350" t="s">
        <v>2783</v>
      </c>
      <c r="B1350" t="s">
        <v>2784</v>
      </c>
      <c r="C1350" t="s">
        <v>2899</v>
      </c>
      <c r="D1350" t="s">
        <v>2900</v>
      </c>
    </row>
    <row r="1351" spans="1:4" x14ac:dyDescent="0.25">
      <c r="A1351" t="s">
        <v>2783</v>
      </c>
      <c r="B1351" t="s">
        <v>2784</v>
      </c>
      <c r="C1351" t="s">
        <v>2901</v>
      </c>
      <c r="D1351" t="s">
        <v>2902</v>
      </c>
    </row>
    <row r="1352" spans="1:4" x14ac:dyDescent="0.25">
      <c r="A1352" t="s">
        <v>2783</v>
      </c>
      <c r="B1352" t="s">
        <v>2784</v>
      </c>
      <c r="C1352" t="s">
        <v>2903</v>
      </c>
      <c r="D1352" t="s">
        <v>2904</v>
      </c>
    </row>
    <row r="1353" spans="1:4" x14ac:dyDescent="0.25">
      <c r="A1353" t="s">
        <v>2783</v>
      </c>
      <c r="B1353" t="s">
        <v>2784</v>
      </c>
      <c r="C1353" t="s">
        <v>2905</v>
      </c>
      <c r="D1353" t="s">
        <v>2906</v>
      </c>
    </row>
    <row r="1354" spans="1:4" x14ac:dyDescent="0.25">
      <c r="A1354" t="s">
        <v>2783</v>
      </c>
      <c r="B1354" t="s">
        <v>2784</v>
      </c>
      <c r="C1354" t="s">
        <v>2907</v>
      </c>
      <c r="D1354" t="s">
        <v>2908</v>
      </c>
    </row>
    <row r="1355" spans="1:4" x14ac:dyDescent="0.25">
      <c r="A1355" t="s">
        <v>2783</v>
      </c>
      <c r="B1355" t="s">
        <v>2784</v>
      </c>
      <c r="C1355" t="s">
        <v>2909</v>
      </c>
      <c r="D1355" t="s">
        <v>2910</v>
      </c>
    </row>
    <row r="1356" spans="1:4" x14ac:dyDescent="0.25">
      <c r="A1356" t="s">
        <v>2783</v>
      </c>
      <c r="B1356" t="s">
        <v>2784</v>
      </c>
      <c r="C1356" t="s">
        <v>2911</v>
      </c>
      <c r="D1356" t="s">
        <v>2912</v>
      </c>
    </row>
    <row r="1357" spans="1:4" x14ac:dyDescent="0.25">
      <c r="A1357" t="s">
        <v>2783</v>
      </c>
      <c r="B1357" t="s">
        <v>2784</v>
      </c>
      <c r="C1357" t="s">
        <v>2913</v>
      </c>
      <c r="D1357" t="s">
        <v>2914</v>
      </c>
    </row>
    <row r="1358" spans="1:4" x14ac:dyDescent="0.25">
      <c r="A1358" t="s">
        <v>2783</v>
      </c>
      <c r="B1358" t="s">
        <v>2784</v>
      </c>
      <c r="C1358" t="s">
        <v>2915</v>
      </c>
      <c r="D1358" t="s">
        <v>2916</v>
      </c>
    </row>
    <row r="1359" spans="1:4" x14ac:dyDescent="0.25">
      <c r="A1359" t="s">
        <v>2783</v>
      </c>
      <c r="B1359" t="s">
        <v>2784</v>
      </c>
      <c r="C1359" t="s">
        <v>2917</v>
      </c>
      <c r="D1359" t="s">
        <v>2918</v>
      </c>
    </row>
    <row r="1360" spans="1:4" x14ac:dyDescent="0.25">
      <c r="A1360" t="s">
        <v>2783</v>
      </c>
      <c r="B1360" t="s">
        <v>2784</v>
      </c>
      <c r="C1360" t="s">
        <v>2919</v>
      </c>
      <c r="D1360" t="s">
        <v>2920</v>
      </c>
    </row>
    <row r="1361" spans="1:4" x14ac:dyDescent="0.25">
      <c r="A1361" t="s">
        <v>2783</v>
      </c>
      <c r="B1361" t="s">
        <v>2784</v>
      </c>
      <c r="C1361" t="s">
        <v>2921</v>
      </c>
      <c r="D1361" t="s">
        <v>2922</v>
      </c>
    </row>
    <row r="1362" spans="1:4" x14ac:dyDescent="0.25">
      <c r="A1362" t="s">
        <v>2783</v>
      </c>
      <c r="B1362" t="s">
        <v>2784</v>
      </c>
      <c r="C1362" t="s">
        <v>2923</v>
      </c>
      <c r="D1362" t="s">
        <v>2924</v>
      </c>
    </row>
    <row r="1363" spans="1:4" x14ac:dyDescent="0.25">
      <c r="A1363" t="s">
        <v>2783</v>
      </c>
      <c r="B1363" t="s">
        <v>2784</v>
      </c>
      <c r="C1363" t="s">
        <v>2925</v>
      </c>
      <c r="D1363" t="s">
        <v>2926</v>
      </c>
    </row>
    <row r="1364" spans="1:4" x14ac:dyDescent="0.25">
      <c r="A1364" t="s">
        <v>2783</v>
      </c>
      <c r="B1364" t="s">
        <v>2784</v>
      </c>
      <c r="C1364" t="s">
        <v>2927</v>
      </c>
      <c r="D1364" t="s">
        <v>2928</v>
      </c>
    </row>
    <row r="1365" spans="1:4" x14ac:dyDescent="0.25">
      <c r="A1365" t="s">
        <v>2783</v>
      </c>
      <c r="B1365" t="s">
        <v>2784</v>
      </c>
      <c r="C1365" t="s">
        <v>2929</v>
      </c>
      <c r="D1365" t="s">
        <v>2930</v>
      </c>
    </row>
    <row r="1366" spans="1:4" x14ac:dyDescent="0.25">
      <c r="A1366" t="s">
        <v>2783</v>
      </c>
      <c r="B1366" t="s">
        <v>2784</v>
      </c>
      <c r="C1366" t="s">
        <v>2931</v>
      </c>
      <c r="D1366" t="s">
        <v>2932</v>
      </c>
    </row>
    <row r="1367" spans="1:4" x14ac:dyDescent="0.25">
      <c r="A1367" t="s">
        <v>2783</v>
      </c>
      <c r="B1367" t="s">
        <v>2784</v>
      </c>
      <c r="C1367" t="s">
        <v>2933</v>
      </c>
      <c r="D1367" t="s">
        <v>2934</v>
      </c>
    </row>
    <row r="1368" spans="1:4" x14ac:dyDescent="0.25">
      <c r="A1368" t="s">
        <v>2783</v>
      </c>
      <c r="B1368" t="s">
        <v>2784</v>
      </c>
      <c r="C1368" t="s">
        <v>2935</v>
      </c>
      <c r="D1368" t="s">
        <v>2936</v>
      </c>
    </row>
    <row r="1369" spans="1:4" x14ac:dyDescent="0.25">
      <c r="A1369" t="s">
        <v>2783</v>
      </c>
      <c r="B1369" t="s">
        <v>2784</v>
      </c>
      <c r="C1369" t="s">
        <v>2937</v>
      </c>
      <c r="D1369" t="s">
        <v>2938</v>
      </c>
    </row>
    <row r="1370" spans="1:4" x14ac:dyDescent="0.25">
      <c r="A1370" t="s">
        <v>2783</v>
      </c>
      <c r="B1370" t="s">
        <v>2784</v>
      </c>
      <c r="C1370" t="s">
        <v>2939</v>
      </c>
      <c r="D1370" t="s">
        <v>2940</v>
      </c>
    </row>
    <row r="1371" spans="1:4" x14ac:dyDescent="0.25">
      <c r="A1371" t="s">
        <v>2783</v>
      </c>
      <c r="B1371" t="s">
        <v>2784</v>
      </c>
      <c r="C1371" t="s">
        <v>2941</v>
      </c>
      <c r="D1371" t="s">
        <v>2942</v>
      </c>
    </row>
    <row r="1372" spans="1:4" x14ac:dyDescent="0.25">
      <c r="A1372" t="s">
        <v>2783</v>
      </c>
      <c r="B1372" t="s">
        <v>2784</v>
      </c>
      <c r="C1372" t="s">
        <v>2943</v>
      </c>
      <c r="D1372" t="s">
        <v>2944</v>
      </c>
    </row>
    <row r="1373" spans="1:4" x14ac:dyDescent="0.25">
      <c r="A1373" t="s">
        <v>2783</v>
      </c>
      <c r="B1373" t="s">
        <v>2784</v>
      </c>
      <c r="C1373" t="s">
        <v>2945</v>
      </c>
      <c r="D1373" t="s">
        <v>2946</v>
      </c>
    </row>
    <row r="1374" spans="1:4" x14ac:dyDescent="0.25">
      <c r="A1374" t="s">
        <v>2783</v>
      </c>
      <c r="B1374" t="s">
        <v>2784</v>
      </c>
      <c r="C1374" t="s">
        <v>2947</v>
      </c>
      <c r="D1374" t="s">
        <v>2948</v>
      </c>
    </row>
    <row r="1375" spans="1:4" x14ac:dyDescent="0.25">
      <c r="A1375" t="s">
        <v>2783</v>
      </c>
      <c r="B1375" t="s">
        <v>2784</v>
      </c>
      <c r="C1375" t="s">
        <v>2949</v>
      </c>
      <c r="D1375" t="s">
        <v>2950</v>
      </c>
    </row>
    <row r="1376" spans="1:4" x14ac:dyDescent="0.25">
      <c r="A1376" t="s">
        <v>2783</v>
      </c>
      <c r="B1376" t="s">
        <v>2784</v>
      </c>
      <c r="C1376" t="s">
        <v>2951</v>
      </c>
      <c r="D1376" t="s">
        <v>2952</v>
      </c>
    </row>
    <row r="1377" spans="1:4" x14ac:dyDescent="0.25">
      <c r="A1377" t="s">
        <v>2783</v>
      </c>
      <c r="B1377" t="s">
        <v>2784</v>
      </c>
      <c r="C1377" t="s">
        <v>2953</v>
      </c>
      <c r="D1377" t="s">
        <v>2954</v>
      </c>
    </row>
    <row r="1378" spans="1:4" x14ac:dyDescent="0.25">
      <c r="A1378" t="s">
        <v>2783</v>
      </c>
      <c r="B1378" t="s">
        <v>2784</v>
      </c>
      <c r="C1378" t="s">
        <v>2955</v>
      </c>
      <c r="D1378" t="s">
        <v>2956</v>
      </c>
    </row>
    <row r="1379" spans="1:4" x14ac:dyDescent="0.25">
      <c r="A1379" t="s">
        <v>2783</v>
      </c>
      <c r="B1379" t="s">
        <v>2784</v>
      </c>
      <c r="C1379" t="s">
        <v>2957</v>
      </c>
      <c r="D1379" t="s">
        <v>2958</v>
      </c>
    </row>
    <row r="1380" spans="1:4" x14ac:dyDescent="0.25">
      <c r="A1380" t="s">
        <v>2783</v>
      </c>
      <c r="B1380" t="s">
        <v>2784</v>
      </c>
      <c r="C1380" t="s">
        <v>2959</v>
      </c>
      <c r="D1380" t="s">
        <v>2960</v>
      </c>
    </row>
    <row r="1381" spans="1:4" x14ac:dyDescent="0.25">
      <c r="A1381" t="s">
        <v>2783</v>
      </c>
      <c r="B1381" t="s">
        <v>2784</v>
      </c>
      <c r="C1381" t="s">
        <v>2961</v>
      </c>
      <c r="D1381" t="s">
        <v>2962</v>
      </c>
    </row>
    <row r="1382" spans="1:4" x14ac:dyDescent="0.25">
      <c r="A1382" t="s">
        <v>2783</v>
      </c>
      <c r="B1382" t="s">
        <v>2784</v>
      </c>
      <c r="C1382" t="s">
        <v>2963</v>
      </c>
      <c r="D1382" t="s">
        <v>2964</v>
      </c>
    </row>
    <row r="1383" spans="1:4" x14ac:dyDescent="0.25">
      <c r="A1383" t="s">
        <v>2783</v>
      </c>
      <c r="B1383" t="s">
        <v>2784</v>
      </c>
      <c r="C1383" t="s">
        <v>2965</v>
      </c>
      <c r="D1383" t="s">
        <v>2966</v>
      </c>
    </row>
    <row r="1384" spans="1:4" x14ac:dyDescent="0.25">
      <c r="A1384" t="s">
        <v>2783</v>
      </c>
      <c r="B1384" t="s">
        <v>2784</v>
      </c>
      <c r="C1384" t="s">
        <v>2967</v>
      </c>
      <c r="D1384" t="s">
        <v>2968</v>
      </c>
    </row>
    <row r="1385" spans="1:4" x14ac:dyDescent="0.25">
      <c r="A1385" t="s">
        <v>2783</v>
      </c>
      <c r="B1385" t="s">
        <v>2784</v>
      </c>
      <c r="C1385" t="s">
        <v>2969</v>
      </c>
      <c r="D1385" t="s">
        <v>2970</v>
      </c>
    </row>
    <row r="1386" spans="1:4" x14ac:dyDescent="0.25">
      <c r="A1386" t="s">
        <v>2783</v>
      </c>
      <c r="B1386" t="s">
        <v>2784</v>
      </c>
      <c r="C1386" t="s">
        <v>2971</v>
      </c>
      <c r="D1386" t="s">
        <v>2972</v>
      </c>
    </row>
    <row r="1387" spans="1:4" x14ac:dyDescent="0.25">
      <c r="A1387" t="s">
        <v>2783</v>
      </c>
      <c r="B1387" t="s">
        <v>2784</v>
      </c>
      <c r="C1387" t="s">
        <v>2973</v>
      </c>
      <c r="D1387" t="s">
        <v>2974</v>
      </c>
    </row>
    <row r="1388" spans="1:4" x14ac:dyDescent="0.25">
      <c r="A1388" t="s">
        <v>2783</v>
      </c>
      <c r="B1388" t="s">
        <v>2784</v>
      </c>
      <c r="C1388" t="s">
        <v>2975</v>
      </c>
      <c r="D1388" t="s">
        <v>2976</v>
      </c>
    </row>
    <row r="1389" spans="1:4" x14ac:dyDescent="0.25">
      <c r="A1389" t="s">
        <v>2783</v>
      </c>
      <c r="B1389" t="s">
        <v>2784</v>
      </c>
      <c r="C1389" t="s">
        <v>2977</v>
      </c>
      <c r="D1389" t="s">
        <v>2978</v>
      </c>
    </row>
    <row r="1390" spans="1:4" x14ac:dyDescent="0.25">
      <c r="A1390" t="s">
        <v>2783</v>
      </c>
      <c r="B1390" t="s">
        <v>2784</v>
      </c>
      <c r="C1390" t="s">
        <v>2979</v>
      </c>
      <c r="D1390" t="s">
        <v>2980</v>
      </c>
    </row>
    <row r="1391" spans="1:4" x14ac:dyDescent="0.25">
      <c r="A1391" t="s">
        <v>2783</v>
      </c>
      <c r="B1391" t="s">
        <v>2784</v>
      </c>
      <c r="C1391" t="s">
        <v>2981</v>
      </c>
      <c r="D1391" t="s">
        <v>2978</v>
      </c>
    </row>
    <row r="1392" spans="1:4" x14ac:dyDescent="0.25">
      <c r="A1392" t="s">
        <v>2783</v>
      </c>
      <c r="B1392" t="s">
        <v>2784</v>
      </c>
      <c r="C1392" t="s">
        <v>2982</v>
      </c>
      <c r="D1392" t="s">
        <v>2983</v>
      </c>
    </row>
    <row r="1393" spans="1:4" x14ac:dyDescent="0.25">
      <c r="A1393" t="s">
        <v>2783</v>
      </c>
      <c r="B1393" t="s">
        <v>2784</v>
      </c>
      <c r="C1393" t="s">
        <v>2984</v>
      </c>
      <c r="D1393" t="s">
        <v>2985</v>
      </c>
    </row>
    <row r="1394" spans="1:4" x14ac:dyDescent="0.25">
      <c r="A1394" t="s">
        <v>2783</v>
      </c>
      <c r="B1394" t="s">
        <v>2784</v>
      </c>
      <c r="C1394" t="s">
        <v>2986</v>
      </c>
      <c r="D1394" t="s">
        <v>2987</v>
      </c>
    </row>
    <row r="1395" spans="1:4" x14ac:dyDescent="0.25">
      <c r="A1395" t="s">
        <v>2783</v>
      </c>
      <c r="B1395" t="s">
        <v>2784</v>
      </c>
      <c r="C1395" t="s">
        <v>2988</v>
      </c>
      <c r="D1395" t="s">
        <v>2989</v>
      </c>
    </row>
    <row r="1396" spans="1:4" x14ac:dyDescent="0.25">
      <c r="A1396" t="s">
        <v>2783</v>
      </c>
      <c r="B1396" t="s">
        <v>2784</v>
      </c>
      <c r="C1396" t="s">
        <v>2990</v>
      </c>
      <c r="D1396" t="s">
        <v>2991</v>
      </c>
    </row>
    <row r="1397" spans="1:4" x14ac:dyDescent="0.25">
      <c r="A1397" t="s">
        <v>2783</v>
      </c>
      <c r="B1397" t="s">
        <v>2784</v>
      </c>
      <c r="C1397" t="s">
        <v>2992</v>
      </c>
      <c r="D1397" t="s">
        <v>2993</v>
      </c>
    </row>
    <row r="1398" spans="1:4" x14ac:dyDescent="0.25">
      <c r="A1398" t="s">
        <v>2783</v>
      </c>
      <c r="B1398" t="s">
        <v>2784</v>
      </c>
      <c r="C1398" t="s">
        <v>2994</v>
      </c>
      <c r="D1398" t="s">
        <v>2995</v>
      </c>
    </row>
    <row r="1399" spans="1:4" x14ac:dyDescent="0.25">
      <c r="A1399" t="s">
        <v>2783</v>
      </c>
      <c r="B1399" t="s">
        <v>2784</v>
      </c>
      <c r="C1399" t="s">
        <v>2996</v>
      </c>
      <c r="D1399" t="s">
        <v>2997</v>
      </c>
    </row>
    <row r="1400" spans="1:4" x14ac:dyDescent="0.25">
      <c r="A1400" t="s">
        <v>2998</v>
      </c>
      <c r="B1400" t="s">
        <v>2999</v>
      </c>
      <c r="C1400" t="s">
        <v>3000</v>
      </c>
      <c r="D1400" t="s">
        <v>3001</v>
      </c>
    </row>
    <row r="1401" spans="1:4" x14ac:dyDescent="0.25">
      <c r="A1401" t="s">
        <v>2998</v>
      </c>
      <c r="B1401" t="s">
        <v>2999</v>
      </c>
      <c r="C1401" t="s">
        <v>3002</v>
      </c>
      <c r="D1401" t="s">
        <v>3003</v>
      </c>
    </row>
    <row r="1402" spans="1:4" x14ac:dyDescent="0.25">
      <c r="A1402" t="s">
        <v>2998</v>
      </c>
      <c r="B1402" t="s">
        <v>2999</v>
      </c>
      <c r="C1402" t="s">
        <v>3004</v>
      </c>
      <c r="D1402" t="s">
        <v>3005</v>
      </c>
    </row>
    <row r="1403" spans="1:4" x14ac:dyDescent="0.25">
      <c r="A1403" t="s">
        <v>2998</v>
      </c>
      <c r="B1403" t="s">
        <v>2999</v>
      </c>
      <c r="C1403" t="s">
        <v>3006</v>
      </c>
      <c r="D1403" t="s">
        <v>3007</v>
      </c>
    </row>
    <row r="1404" spans="1:4" x14ac:dyDescent="0.25">
      <c r="A1404" t="s">
        <v>3008</v>
      </c>
      <c r="B1404" t="s">
        <v>3009</v>
      </c>
      <c r="C1404" t="s">
        <v>3010</v>
      </c>
      <c r="D1404" t="s">
        <v>3009</v>
      </c>
    </row>
  </sheetData>
  <pageMargins left="0.511811024" right="0.511811024" top="0.78740157499999996" bottom="0.78740157499999996" header="0.31496062000000002" footer="0.31496062000000002"/>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9666A-C28F-478C-BA63-5530003965CE}">
  <sheetPr codeName="Planilha5"/>
  <dimension ref="A1:E245"/>
  <sheetViews>
    <sheetView topLeftCell="A10" workbookViewId="0">
      <selection activeCell="F16" sqref="F16"/>
    </sheetView>
  </sheetViews>
  <sheetFormatPr defaultRowHeight="15" x14ac:dyDescent="0.25"/>
  <cols>
    <col min="2" max="2" width="14.42578125" customWidth="1"/>
  </cols>
  <sheetData>
    <row r="1" spans="1:5" ht="15.75" x14ac:dyDescent="0.25">
      <c r="A1" s="61" t="s">
        <v>3749</v>
      </c>
      <c r="B1" s="1"/>
      <c r="D1" s="1"/>
      <c r="E1" s="1"/>
    </row>
    <row r="2" spans="1:5" x14ac:dyDescent="0.25">
      <c r="A2" s="1" t="s">
        <v>3011</v>
      </c>
      <c r="B2" s="1" t="s">
        <v>3012</v>
      </c>
      <c r="C2" s="1" t="s">
        <v>3013</v>
      </c>
      <c r="D2" s="1"/>
      <c r="E2" s="1"/>
    </row>
    <row r="3" spans="1:5" x14ac:dyDescent="0.25">
      <c r="A3">
        <v>132</v>
      </c>
      <c r="B3" t="s">
        <v>3014</v>
      </c>
      <c r="C3">
        <v>13</v>
      </c>
    </row>
    <row r="4" spans="1:5" x14ac:dyDescent="0.25">
      <c r="A4">
        <v>175</v>
      </c>
      <c r="B4" t="s">
        <v>3015</v>
      </c>
      <c r="C4">
        <v>17</v>
      </c>
    </row>
    <row r="5" spans="1:5" x14ac:dyDescent="0.25">
      <c r="A5">
        <v>230</v>
      </c>
      <c r="B5" t="s">
        <v>3016</v>
      </c>
      <c r="C5">
        <v>23</v>
      </c>
    </row>
    <row r="6" spans="1:5" x14ac:dyDescent="0.25">
      <c r="A6">
        <v>310</v>
      </c>
      <c r="B6" t="s">
        <v>3017</v>
      </c>
      <c r="C6">
        <v>31</v>
      </c>
    </row>
    <row r="7" spans="1:5" x14ac:dyDescent="0.25">
      <c r="A7">
        <v>370</v>
      </c>
      <c r="B7" t="s">
        <v>3018</v>
      </c>
      <c r="C7">
        <v>37</v>
      </c>
    </row>
    <row r="8" spans="1:5" x14ac:dyDescent="0.25">
      <c r="A8">
        <v>400</v>
      </c>
      <c r="B8" t="s">
        <v>3019</v>
      </c>
      <c r="C8">
        <v>40</v>
      </c>
    </row>
    <row r="9" spans="1:5" x14ac:dyDescent="0.25">
      <c r="A9">
        <v>418</v>
      </c>
      <c r="B9" t="s">
        <v>3020</v>
      </c>
      <c r="C9">
        <v>41</v>
      </c>
    </row>
    <row r="10" spans="1:5" x14ac:dyDescent="0.25">
      <c r="A10">
        <v>434</v>
      </c>
      <c r="B10" t="s">
        <v>3021</v>
      </c>
      <c r="C10">
        <v>43</v>
      </c>
    </row>
    <row r="11" spans="1:5" x14ac:dyDescent="0.25">
      <c r="A11">
        <v>531</v>
      </c>
      <c r="B11" t="s">
        <v>3022</v>
      </c>
      <c r="C11">
        <v>53</v>
      </c>
    </row>
    <row r="12" spans="1:5" x14ac:dyDescent="0.25">
      <c r="A12">
        <v>590</v>
      </c>
      <c r="B12" t="s">
        <v>3023</v>
      </c>
      <c r="C12">
        <v>59</v>
      </c>
    </row>
    <row r="13" spans="1:5" x14ac:dyDescent="0.25">
      <c r="A13">
        <v>639</v>
      </c>
      <c r="B13" t="s">
        <v>3024</v>
      </c>
      <c r="C13">
        <v>63</v>
      </c>
    </row>
    <row r="14" spans="1:5" x14ac:dyDescent="0.25">
      <c r="A14">
        <v>647</v>
      </c>
      <c r="B14" t="s">
        <v>3025</v>
      </c>
      <c r="C14">
        <v>64</v>
      </c>
    </row>
    <row r="15" spans="1:5" x14ac:dyDescent="0.25">
      <c r="A15">
        <v>655</v>
      </c>
      <c r="B15" t="s">
        <v>3026</v>
      </c>
      <c r="C15">
        <v>65</v>
      </c>
    </row>
    <row r="16" spans="1:5" x14ac:dyDescent="0.25">
      <c r="A16">
        <v>698</v>
      </c>
      <c r="B16" t="s">
        <v>3027</v>
      </c>
      <c r="C16">
        <v>69</v>
      </c>
    </row>
    <row r="17" spans="1:3" x14ac:dyDescent="0.25">
      <c r="A17">
        <v>728</v>
      </c>
      <c r="B17" t="s">
        <v>3028</v>
      </c>
      <c r="C17">
        <v>72</v>
      </c>
    </row>
    <row r="18" spans="1:3" x14ac:dyDescent="0.25">
      <c r="A18">
        <v>736</v>
      </c>
      <c r="B18" t="s">
        <v>3029</v>
      </c>
      <c r="C18">
        <v>73</v>
      </c>
    </row>
    <row r="19" spans="1:3" x14ac:dyDescent="0.25">
      <c r="A19">
        <v>779</v>
      </c>
      <c r="B19" t="s">
        <v>3030</v>
      </c>
      <c r="C19">
        <v>77</v>
      </c>
    </row>
    <row r="20" spans="1:3" x14ac:dyDescent="0.25">
      <c r="A20">
        <v>809</v>
      </c>
      <c r="B20" t="s">
        <v>3031</v>
      </c>
      <c r="C20">
        <v>80</v>
      </c>
    </row>
    <row r="21" spans="1:3" x14ac:dyDescent="0.25">
      <c r="A21">
        <v>817</v>
      </c>
      <c r="B21" t="s">
        <v>3032</v>
      </c>
      <c r="C21">
        <v>81</v>
      </c>
    </row>
    <row r="22" spans="1:3" x14ac:dyDescent="0.25">
      <c r="A22">
        <v>833</v>
      </c>
      <c r="B22" t="s">
        <v>3033</v>
      </c>
      <c r="C22">
        <v>83</v>
      </c>
    </row>
    <row r="23" spans="1:3" x14ac:dyDescent="0.25">
      <c r="A23">
        <v>850</v>
      </c>
      <c r="B23" t="s">
        <v>3034</v>
      </c>
      <c r="C23">
        <v>85</v>
      </c>
    </row>
    <row r="24" spans="1:3" x14ac:dyDescent="0.25">
      <c r="A24">
        <v>876</v>
      </c>
      <c r="B24" t="s">
        <v>3035</v>
      </c>
      <c r="C24">
        <v>87</v>
      </c>
    </row>
    <row r="25" spans="1:3" x14ac:dyDescent="0.25">
      <c r="A25">
        <v>884</v>
      </c>
      <c r="B25" t="s">
        <v>3036</v>
      </c>
      <c r="C25">
        <v>88</v>
      </c>
    </row>
    <row r="26" spans="1:3" x14ac:dyDescent="0.25">
      <c r="A26">
        <v>906</v>
      </c>
      <c r="B26" t="s">
        <v>3037</v>
      </c>
      <c r="C26">
        <v>90</v>
      </c>
    </row>
    <row r="27" spans="1:3" x14ac:dyDescent="0.25">
      <c r="A27">
        <v>930</v>
      </c>
      <c r="B27" t="s">
        <v>3038</v>
      </c>
      <c r="C27">
        <v>93</v>
      </c>
    </row>
    <row r="28" spans="1:3" x14ac:dyDescent="0.25">
      <c r="A28">
        <v>973</v>
      </c>
      <c r="B28" t="s">
        <v>3039</v>
      </c>
      <c r="C28">
        <v>97</v>
      </c>
    </row>
    <row r="29" spans="1:3" x14ac:dyDescent="0.25">
      <c r="A29">
        <v>981</v>
      </c>
      <c r="B29" t="s">
        <v>3040</v>
      </c>
      <c r="C29">
        <v>98</v>
      </c>
    </row>
    <row r="30" spans="1:3" x14ac:dyDescent="0.25">
      <c r="A30">
        <v>990</v>
      </c>
      <c r="B30" t="s">
        <v>3041</v>
      </c>
      <c r="C30">
        <v>99</v>
      </c>
    </row>
    <row r="31" spans="1:3" x14ac:dyDescent="0.25">
      <c r="A31">
        <v>1015</v>
      </c>
      <c r="B31" t="s">
        <v>3042</v>
      </c>
      <c r="C31">
        <v>101</v>
      </c>
    </row>
    <row r="32" spans="1:3" x14ac:dyDescent="0.25">
      <c r="A32">
        <v>1098</v>
      </c>
      <c r="B32" t="s">
        <v>3043</v>
      </c>
      <c r="C32">
        <v>102</v>
      </c>
    </row>
    <row r="33" spans="1:3" x14ac:dyDescent="0.25">
      <c r="A33">
        <v>1058</v>
      </c>
      <c r="B33" t="s">
        <v>3044</v>
      </c>
      <c r="C33">
        <v>105</v>
      </c>
    </row>
    <row r="34" spans="1:3" x14ac:dyDescent="0.25">
      <c r="A34">
        <v>1082</v>
      </c>
      <c r="B34" t="s">
        <v>3045</v>
      </c>
      <c r="C34">
        <v>108</v>
      </c>
    </row>
    <row r="35" spans="1:3" x14ac:dyDescent="0.25">
      <c r="A35">
        <v>1112</v>
      </c>
      <c r="B35" t="s">
        <v>3046</v>
      </c>
      <c r="C35">
        <v>111</v>
      </c>
    </row>
    <row r="36" spans="1:3" x14ac:dyDescent="0.25">
      <c r="A36">
        <v>1155</v>
      </c>
      <c r="B36" t="s">
        <v>3047</v>
      </c>
      <c r="C36">
        <v>115</v>
      </c>
    </row>
    <row r="37" spans="1:3" x14ac:dyDescent="0.25">
      <c r="A37">
        <v>1198</v>
      </c>
      <c r="B37" t="s">
        <v>3048</v>
      </c>
      <c r="C37">
        <v>119</v>
      </c>
    </row>
    <row r="38" spans="1:3" x14ac:dyDescent="0.25">
      <c r="A38">
        <v>1279</v>
      </c>
      <c r="B38" t="s">
        <v>3049</v>
      </c>
      <c r="C38">
        <v>127</v>
      </c>
    </row>
    <row r="39" spans="1:3" x14ac:dyDescent="0.25">
      <c r="A39">
        <v>1376</v>
      </c>
      <c r="B39" t="s">
        <v>3050</v>
      </c>
      <c r="C39">
        <v>137</v>
      </c>
    </row>
    <row r="40" spans="1:3" x14ac:dyDescent="0.25">
      <c r="A40">
        <v>1414</v>
      </c>
      <c r="B40" t="s">
        <v>3051</v>
      </c>
      <c r="C40">
        <v>141</v>
      </c>
    </row>
    <row r="41" spans="1:3" x14ac:dyDescent="0.25">
      <c r="A41">
        <v>1457</v>
      </c>
      <c r="B41" t="s">
        <v>3052</v>
      </c>
      <c r="C41">
        <v>145</v>
      </c>
    </row>
    <row r="42" spans="1:3" x14ac:dyDescent="0.25">
      <c r="A42">
        <v>1490</v>
      </c>
      <c r="B42" t="s">
        <v>3053</v>
      </c>
      <c r="C42">
        <v>149</v>
      </c>
    </row>
    <row r="43" spans="1:3" x14ac:dyDescent="0.25">
      <c r="A43">
        <v>1538</v>
      </c>
      <c r="B43" t="s">
        <v>3054</v>
      </c>
      <c r="C43">
        <v>153</v>
      </c>
    </row>
    <row r="44" spans="1:3" x14ac:dyDescent="0.25">
      <c r="A44">
        <v>1546</v>
      </c>
      <c r="B44" t="s">
        <v>3055</v>
      </c>
      <c r="C44">
        <v>154</v>
      </c>
    </row>
    <row r="45" spans="1:3" x14ac:dyDescent="0.25">
      <c r="A45">
        <v>1589</v>
      </c>
      <c r="B45" t="s">
        <v>3056</v>
      </c>
      <c r="C45">
        <v>158</v>
      </c>
    </row>
    <row r="46" spans="1:3" x14ac:dyDescent="0.25">
      <c r="A46">
        <v>1600</v>
      </c>
      <c r="B46" t="s">
        <v>3057</v>
      </c>
      <c r="C46">
        <v>160</v>
      </c>
    </row>
    <row r="47" spans="1:3" x14ac:dyDescent="0.25">
      <c r="A47">
        <v>1619</v>
      </c>
      <c r="B47" t="s">
        <v>3058</v>
      </c>
      <c r="C47">
        <v>161</v>
      </c>
    </row>
    <row r="48" spans="1:3" x14ac:dyDescent="0.25">
      <c r="A48">
        <v>1635</v>
      </c>
      <c r="B48" t="s">
        <v>3059</v>
      </c>
      <c r="C48">
        <v>163</v>
      </c>
    </row>
    <row r="49" spans="1:3" x14ac:dyDescent="0.25">
      <c r="A49">
        <v>1651</v>
      </c>
      <c r="B49" t="s">
        <v>3060</v>
      </c>
      <c r="C49">
        <v>165</v>
      </c>
    </row>
    <row r="50" spans="1:3" x14ac:dyDescent="0.25">
      <c r="A50">
        <v>1694</v>
      </c>
      <c r="B50" t="s">
        <v>3061</v>
      </c>
      <c r="C50">
        <v>169</v>
      </c>
    </row>
    <row r="51" spans="1:3" x14ac:dyDescent="0.25">
      <c r="A51">
        <v>1732</v>
      </c>
      <c r="B51" t="s">
        <v>3062</v>
      </c>
      <c r="C51">
        <v>173</v>
      </c>
    </row>
    <row r="52" spans="1:3" x14ac:dyDescent="0.25">
      <c r="A52">
        <v>1775</v>
      </c>
      <c r="B52" t="s">
        <v>3063</v>
      </c>
      <c r="C52">
        <v>177</v>
      </c>
    </row>
    <row r="53" spans="1:3" x14ac:dyDescent="0.25">
      <c r="A53">
        <v>1830</v>
      </c>
      <c r="B53" t="s">
        <v>3064</v>
      </c>
      <c r="C53">
        <v>183</v>
      </c>
    </row>
    <row r="54" spans="1:3" x14ac:dyDescent="0.25">
      <c r="A54">
        <v>1872</v>
      </c>
      <c r="B54" t="s">
        <v>3065</v>
      </c>
      <c r="C54">
        <v>187</v>
      </c>
    </row>
    <row r="55" spans="1:3" x14ac:dyDescent="0.25">
      <c r="A55">
        <v>1902</v>
      </c>
      <c r="B55" t="s">
        <v>3066</v>
      </c>
      <c r="C55">
        <v>190</v>
      </c>
    </row>
    <row r="56" spans="1:3" x14ac:dyDescent="0.25">
      <c r="A56">
        <v>1937</v>
      </c>
      <c r="B56" t="s">
        <v>3067</v>
      </c>
      <c r="C56">
        <v>193</v>
      </c>
    </row>
    <row r="57" spans="1:3" x14ac:dyDescent="0.25">
      <c r="A57">
        <v>1953</v>
      </c>
      <c r="B57" t="s">
        <v>3068</v>
      </c>
      <c r="C57">
        <v>195</v>
      </c>
    </row>
    <row r="58" spans="1:3" x14ac:dyDescent="0.25">
      <c r="A58">
        <v>1961</v>
      </c>
      <c r="B58" t="s">
        <v>3069</v>
      </c>
      <c r="C58">
        <v>196</v>
      </c>
    </row>
    <row r="59" spans="1:3" x14ac:dyDescent="0.25">
      <c r="A59">
        <v>1988</v>
      </c>
      <c r="B59" t="s">
        <v>3070</v>
      </c>
      <c r="C59">
        <v>198</v>
      </c>
    </row>
    <row r="60" spans="1:3" x14ac:dyDescent="0.25">
      <c r="A60">
        <v>1996</v>
      </c>
      <c r="B60" t="s">
        <v>3071</v>
      </c>
      <c r="C60">
        <v>199</v>
      </c>
    </row>
    <row r="61" spans="1:3" x14ac:dyDescent="0.25">
      <c r="A61">
        <v>2003</v>
      </c>
      <c r="B61" t="s">
        <v>3072</v>
      </c>
      <c r="C61">
        <v>200</v>
      </c>
    </row>
    <row r="62" spans="1:3" x14ac:dyDescent="0.25">
      <c r="A62">
        <v>2291</v>
      </c>
      <c r="B62" t="s">
        <v>3073</v>
      </c>
      <c r="C62">
        <v>229</v>
      </c>
    </row>
    <row r="63" spans="1:3" x14ac:dyDescent="0.25">
      <c r="A63">
        <v>2321</v>
      </c>
      <c r="B63" t="s">
        <v>3074</v>
      </c>
      <c r="C63">
        <v>232</v>
      </c>
    </row>
    <row r="64" spans="1:3" x14ac:dyDescent="0.25">
      <c r="A64">
        <v>2356</v>
      </c>
      <c r="B64" t="s">
        <v>3075</v>
      </c>
      <c r="C64">
        <v>235</v>
      </c>
    </row>
    <row r="65" spans="1:3" x14ac:dyDescent="0.25">
      <c r="A65">
        <v>2399</v>
      </c>
      <c r="B65" t="s">
        <v>3076</v>
      </c>
      <c r="C65">
        <v>239</v>
      </c>
    </row>
    <row r="66" spans="1:3" x14ac:dyDescent="0.25">
      <c r="A66">
        <v>2402</v>
      </c>
      <c r="B66" t="s">
        <v>3077</v>
      </c>
      <c r="C66">
        <v>240</v>
      </c>
    </row>
    <row r="67" spans="1:3" x14ac:dyDescent="0.25">
      <c r="A67">
        <v>2437</v>
      </c>
      <c r="B67" t="s">
        <v>3078</v>
      </c>
      <c r="C67">
        <v>243</v>
      </c>
    </row>
    <row r="68" spans="1:3" x14ac:dyDescent="0.25">
      <c r="A68">
        <v>2445</v>
      </c>
      <c r="B68" t="s">
        <v>3079</v>
      </c>
      <c r="C68">
        <v>244</v>
      </c>
    </row>
    <row r="69" spans="1:3" x14ac:dyDescent="0.25">
      <c r="A69">
        <v>2453</v>
      </c>
      <c r="B69" t="s">
        <v>3080</v>
      </c>
      <c r="C69">
        <v>245</v>
      </c>
    </row>
    <row r="70" spans="1:3" x14ac:dyDescent="0.25">
      <c r="A70">
        <v>2461</v>
      </c>
      <c r="B70" t="s">
        <v>3081</v>
      </c>
      <c r="C70">
        <v>246</v>
      </c>
    </row>
    <row r="71" spans="1:3" x14ac:dyDescent="0.25">
      <c r="A71">
        <v>2470</v>
      </c>
      <c r="B71" t="s">
        <v>3082</v>
      </c>
      <c r="C71">
        <v>247</v>
      </c>
    </row>
    <row r="72" spans="1:3" x14ac:dyDescent="0.25">
      <c r="A72">
        <v>2496</v>
      </c>
      <c r="B72" t="s">
        <v>3083</v>
      </c>
      <c r="C72">
        <v>249</v>
      </c>
    </row>
    <row r="73" spans="1:3" x14ac:dyDescent="0.25">
      <c r="A73">
        <v>2518</v>
      </c>
      <c r="B73" t="s">
        <v>3084</v>
      </c>
      <c r="C73">
        <v>251</v>
      </c>
    </row>
    <row r="74" spans="1:3" x14ac:dyDescent="0.25">
      <c r="A74">
        <v>2534</v>
      </c>
      <c r="B74" t="s">
        <v>3085</v>
      </c>
      <c r="C74">
        <v>253</v>
      </c>
    </row>
    <row r="75" spans="1:3" x14ac:dyDescent="0.25">
      <c r="A75">
        <v>2550</v>
      </c>
      <c r="B75" t="s">
        <v>3086</v>
      </c>
      <c r="C75">
        <v>255</v>
      </c>
    </row>
    <row r="76" spans="1:3" x14ac:dyDescent="0.25">
      <c r="A76">
        <v>2593</v>
      </c>
      <c r="B76" t="s">
        <v>3087</v>
      </c>
      <c r="C76">
        <v>259</v>
      </c>
    </row>
    <row r="77" spans="1:3" x14ac:dyDescent="0.25">
      <c r="A77">
        <v>2674</v>
      </c>
      <c r="B77" t="s">
        <v>3088</v>
      </c>
      <c r="C77">
        <v>267</v>
      </c>
    </row>
    <row r="78" spans="1:3" x14ac:dyDescent="0.25">
      <c r="A78">
        <v>2712</v>
      </c>
      <c r="B78" t="s">
        <v>3089</v>
      </c>
      <c r="C78">
        <v>271</v>
      </c>
    </row>
    <row r="79" spans="1:3" x14ac:dyDescent="0.25">
      <c r="A79">
        <v>2755</v>
      </c>
      <c r="B79" t="s">
        <v>3090</v>
      </c>
      <c r="C79">
        <v>275</v>
      </c>
    </row>
    <row r="80" spans="1:3" x14ac:dyDescent="0.25">
      <c r="A80">
        <v>2810</v>
      </c>
      <c r="B80" t="s">
        <v>3091</v>
      </c>
      <c r="C80">
        <v>281</v>
      </c>
    </row>
    <row r="81" spans="1:3" x14ac:dyDescent="0.25">
      <c r="A81">
        <v>2852</v>
      </c>
      <c r="B81" t="s">
        <v>3092</v>
      </c>
      <c r="C81">
        <v>285</v>
      </c>
    </row>
    <row r="82" spans="1:3" x14ac:dyDescent="0.25">
      <c r="A82">
        <v>2895</v>
      </c>
      <c r="B82" t="s">
        <v>3093</v>
      </c>
      <c r="C82">
        <v>289</v>
      </c>
    </row>
    <row r="83" spans="1:3" x14ac:dyDescent="0.25">
      <c r="A83">
        <v>2917</v>
      </c>
      <c r="B83" t="s">
        <v>3094</v>
      </c>
      <c r="C83">
        <v>291</v>
      </c>
    </row>
    <row r="84" spans="1:3" x14ac:dyDescent="0.25">
      <c r="A84">
        <v>2933</v>
      </c>
      <c r="B84" t="s">
        <v>3095</v>
      </c>
      <c r="C84">
        <v>293</v>
      </c>
    </row>
    <row r="85" spans="1:3" x14ac:dyDescent="0.25">
      <c r="A85">
        <v>2976</v>
      </c>
      <c r="B85" t="s">
        <v>3096</v>
      </c>
      <c r="C85">
        <v>297</v>
      </c>
    </row>
    <row r="86" spans="1:3" x14ac:dyDescent="0.25">
      <c r="A86">
        <v>3018</v>
      </c>
      <c r="B86" t="s">
        <v>3097</v>
      </c>
      <c r="C86">
        <v>301</v>
      </c>
    </row>
    <row r="87" spans="1:3" x14ac:dyDescent="0.25">
      <c r="A87">
        <v>3050</v>
      </c>
      <c r="B87" t="s">
        <v>3098</v>
      </c>
      <c r="C87">
        <v>305</v>
      </c>
    </row>
    <row r="88" spans="1:3" x14ac:dyDescent="0.25">
      <c r="A88">
        <v>3093</v>
      </c>
      <c r="B88" t="s">
        <v>3099</v>
      </c>
      <c r="C88">
        <v>309</v>
      </c>
    </row>
    <row r="89" spans="1:3" x14ac:dyDescent="0.25">
      <c r="A89">
        <v>3131</v>
      </c>
      <c r="B89" t="s">
        <v>3100</v>
      </c>
      <c r="C89">
        <v>313</v>
      </c>
    </row>
    <row r="90" spans="1:3" x14ac:dyDescent="0.25">
      <c r="A90">
        <v>3174</v>
      </c>
      <c r="B90" t="s">
        <v>3101</v>
      </c>
      <c r="C90">
        <v>317</v>
      </c>
    </row>
    <row r="91" spans="1:3" x14ac:dyDescent="0.25">
      <c r="A91">
        <v>1504</v>
      </c>
      <c r="B91" t="s">
        <v>3102</v>
      </c>
      <c r="C91">
        <v>321</v>
      </c>
    </row>
    <row r="92" spans="1:3" x14ac:dyDescent="0.25">
      <c r="A92">
        <v>3255</v>
      </c>
      <c r="B92" t="s">
        <v>3103</v>
      </c>
      <c r="C92">
        <v>325</v>
      </c>
    </row>
    <row r="93" spans="1:3" x14ac:dyDescent="0.25">
      <c r="A93">
        <v>3298</v>
      </c>
      <c r="B93" t="s">
        <v>3104</v>
      </c>
      <c r="C93">
        <v>329</v>
      </c>
    </row>
    <row r="94" spans="1:3" x14ac:dyDescent="0.25">
      <c r="A94">
        <v>3310</v>
      </c>
      <c r="B94" t="s">
        <v>3105</v>
      </c>
      <c r="C94">
        <v>331</v>
      </c>
    </row>
    <row r="95" spans="1:3" x14ac:dyDescent="0.25">
      <c r="A95">
        <v>3344</v>
      </c>
      <c r="B95" t="s">
        <v>3106</v>
      </c>
      <c r="C95">
        <v>334</v>
      </c>
    </row>
    <row r="96" spans="1:3" x14ac:dyDescent="0.25">
      <c r="A96">
        <v>3379</v>
      </c>
      <c r="B96" t="s">
        <v>3107</v>
      </c>
      <c r="C96">
        <v>337</v>
      </c>
    </row>
    <row r="97" spans="1:3" x14ac:dyDescent="0.25">
      <c r="A97">
        <v>3417</v>
      </c>
      <c r="B97" t="s">
        <v>3108</v>
      </c>
      <c r="C97">
        <v>341</v>
      </c>
    </row>
    <row r="98" spans="1:3" x14ac:dyDescent="0.25">
      <c r="A98">
        <v>3450</v>
      </c>
      <c r="B98" t="s">
        <v>3109</v>
      </c>
      <c r="C98">
        <v>345</v>
      </c>
    </row>
    <row r="99" spans="1:3" x14ac:dyDescent="0.25">
      <c r="A99">
        <v>3514</v>
      </c>
      <c r="B99" t="s">
        <v>3109</v>
      </c>
      <c r="C99">
        <v>351</v>
      </c>
    </row>
    <row r="100" spans="1:3" x14ac:dyDescent="0.25">
      <c r="A100">
        <v>3557</v>
      </c>
      <c r="B100" t="s">
        <v>3110</v>
      </c>
      <c r="C100">
        <v>355</v>
      </c>
    </row>
    <row r="101" spans="1:3" x14ac:dyDescent="0.25">
      <c r="A101">
        <v>3573</v>
      </c>
      <c r="B101" t="s">
        <v>3111</v>
      </c>
      <c r="C101">
        <v>357</v>
      </c>
    </row>
    <row r="102" spans="1:3" x14ac:dyDescent="0.25">
      <c r="A102">
        <v>3595</v>
      </c>
      <c r="B102" t="s">
        <v>3112</v>
      </c>
      <c r="C102">
        <v>359</v>
      </c>
    </row>
    <row r="103" spans="1:3" x14ac:dyDescent="0.25">
      <c r="A103">
        <v>3611</v>
      </c>
      <c r="B103" t="s">
        <v>3113</v>
      </c>
      <c r="C103">
        <v>361</v>
      </c>
    </row>
    <row r="104" spans="1:3" x14ac:dyDescent="0.25">
      <c r="A104">
        <v>3654</v>
      </c>
      <c r="B104" t="s">
        <v>3114</v>
      </c>
      <c r="C104">
        <v>365</v>
      </c>
    </row>
    <row r="105" spans="1:3" x14ac:dyDescent="0.25">
      <c r="A105">
        <v>3697</v>
      </c>
      <c r="B105" t="s">
        <v>3115</v>
      </c>
      <c r="C105">
        <v>369</v>
      </c>
    </row>
    <row r="106" spans="1:3" x14ac:dyDescent="0.25">
      <c r="A106">
        <v>3727</v>
      </c>
      <c r="B106" t="s">
        <v>3116</v>
      </c>
      <c r="C106">
        <v>372</v>
      </c>
    </row>
    <row r="107" spans="1:3" x14ac:dyDescent="0.25">
      <c r="A107">
        <v>3751</v>
      </c>
      <c r="B107" t="s">
        <v>3117</v>
      </c>
      <c r="C107">
        <v>375</v>
      </c>
    </row>
    <row r="108" spans="1:3" x14ac:dyDescent="0.25">
      <c r="A108">
        <v>3794</v>
      </c>
      <c r="B108" t="s">
        <v>3118</v>
      </c>
      <c r="C108">
        <v>379</v>
      </c>
    </row>
    <row r="109" spans="1:3" x14ac:dyDescent="0.25">
      <c r="A109">
        <v>3832</v>
      </c>
      <c r="B109" t="s">
        <v>3119</v>
      </c>
      <c r="C109">
        <v>383</v>
      </c>
    </row>
    <row r="110" spans="1:3" x14ac:dyDescent="0.25">
      <c r="A110">
        <v>3867</v>
      </c>
      <c r="B110" t="s">
        <v>3120</v>
      </c>
      <c r="C110">
        <v>386</v>
      </c>
    </row>
    <row r="111" spans="1:3" x14ac:dyDescent="0.25">
      <c r="A111">
        <v>3913</v>
      </c>
      <c r="B111" t="s">
        <v>3121</v>
      </c>
      <c r="C111">
        <v>391</v>
      </c>
    </row>
    <row r="112" spans="1:3" x14ac:dyDescent="0.25">
      <c r="A112">
        <v>1508</v>
      </c>
      <c r="B112" t="s">
        <v>3122</v>
      </c>
      <c r="C112">
        <v>393</v>
      </c>
    </row>
    <row r="113" spans="1:3" x14ac:dyDescent="0.25">
      <c r="A113">
        <v>3964</v>
      </c>
      <c r="B113" t="s">
        <v>3123</v>
      </c>
      <c r="C113">
        <v>396</v>
      </c>
    </row>
    <row r="114" spans="1:3" x14ac:dyDescent="0.25">
      <c r="A114">
        <v>3999</v>
      </c>
      <c r="B114" t="s">
        <v>3124</v>
      </c>
      <c r="C114">
        <v>399</v>
      </c>
    </row>
    <row r="115" spans="1:3" x14ac:dyDescent="0.25">
      <c r="A115">
        <v>4030</v>
      </c>
      <c r="B115" t="s">
        <v>3125</v>
      </c>
      <c r="C115">
        <v>403</v>
      </c>
    </row>
    <row r="116" spans="1:3" x14ac:dyDescent="0.25">
      <c r="A116">
        <v>4111</v>
      </c>
      <c r="B116" t="s">
        <v>3126</v>
      </c>
      <c r="C116">
        <v>411</v>
      </c>
    </row>
    <row r="117" spans="1:3" x14ac:dyDescent="0.25">
      <c r="A117">
        <v>4200</v>
      </c>
      <c r="B117" t="s">
        <v>3127</v>
      </c>
      <c r="C117">
        <v>420</v>
      </c>
    </row>
    <row r="118" spans="1:3" x14ac:dyDescent="0.25">
      <c r="A118">
        <v>4260</v>
      </c>
      <c r="B118" t="s">
        <v>3128</v>
      </c>
      <c r="C118">
        <v>426</v>
      </c>
    </row>
    <row r="119" spans="1:3" x14ac:dyDescent="0.25">
      <c r="A119">
        <v>4278</v>
      </c>
      <c r="B119" t="s">
        <v>3129</v>
      </c>
      <c r="C119">
        <v>427</v>
      </c>
    </row>
    <row r="120" spans="1:3" x14ac:dyDescent="0.25">
      <c r="A120">
        <v>4316</v>
      </c>
      <c r="B120" t="s">
        <v>3130</v>
      </c>
      <c r="C120">
        <v>431</v>
      </c>
    </row>
    <row r="121" spans="1:3" x14ac:dyDescent="0.25">
      <c r="A121">
        <v>4340</v>
      </c>
      <c r="B121" t="s">
        <v>3131</v>
      </c>
      <c r="C121">
        <v>434</v>
      </c>
    </row>
    <row r="122" spans="1:3" x14ac:dyDescent="0.25">
      <c r="A122">
        <v>4383</v>
      </c>
      <c r="B122" t="s">
        <v>3132</v>
      </c>
      <c r="C122">
        <v>438</v>
      </c>
    </row>
    <row r="123" spans="1:3" x14ac:dyDescent="0.25">
      <c r="A123">
        <v>4405</v>
      </c>
      <c r="B123" t="s">
        <v>3133</v>
      </c>
      <c r="C123">
        <v>440</v>
      </c>
    </row>
    <row r="124" spans="1:3" x14ac:dyDescent="0.25">
      <c r="A124">
        <v>4421</v>
      </c>
      <c r="B124" t="s">
        <v>3134</v>
      </c>
      <c r="C124">
        <v>442</v>
      </c>
    </row>
    <row r="125" spans="1:3" x14ac:dyDescent="0.25">
      <c r="A125">
        <v>4456</v>
      </c>
      <c r="B125" t="s">
        <v>3135</v>
      </c>
      <c r="C125">
        <v>445</v>
      </c>
    </row>
    <row r="126" spans="1:3" x14ac:dyDescent="0.25">
      <c r="A126">
        <v>4472</v>
      </c>
      <c r="B126" t="s">
        <v>3136</v>
      </c>
      <c r="C126">
        <v>447</v>
      </c>
    </row>
    <row r="127" spans="1:3" x14ac:dyDescent="0.25">
      <c r="A127">
        <v>4421</v>
      </c>
      <c r="B127" t="s">
        <v>3137</v>
      </c>
      <c r="C127">
        <v>449</v>
      </c>
    </row>
    <row r="128" spans="1:3" x14ac:dyDescent="0.25">
      <c r="A128">
        <v>4502</v>
      </c>
      <c r="B128" t="s">
        <v>3138</v>
      </c>
      <c r="C128">
        <v>450</v>
      </c>
    </row>
    <row r="129" spans="1:3" x14ac:dyDescent="0.25">
      <c r="A129">
        <v>4553</v>
      </c>
      <c r="B129" t="s">
        <v>3139</v>
      </c>
      <c r="C129">
        <v>455</v>
      </c>
    </row>
    <row r="130" spans="1:3" x14ac:dyDescent="0.25">
      <c r="A130">
        <v>4588</v>
      </c>
      <c r="B130" t="s">
        <v>3140</v>
      </c>
      <c r="C130">
        <v>458</v>
      </c>
    </row>
    <row r="131" spans="1:3" x14ac:dyDescent="0.25">
      <c r="A131">
        <v>4618</v>
      </c>
      <c r="B131" t="s">
        <v>3141</v>
      </c>
      <c r="C131">
        <v>461</v>
      </c>
    </row>
    <row r="132" spans="1:3" x14ac:dyDescent="0.25">
      <c r="A132">
        <v>4642</v>
      </c>
      <c r="B132" t="s">
        <v>3142</v>
      </c>
      <c r="C132">
        <v>464</v>
      </c>
    </row>
    <row r="133" spans="1:3" x14ac:dyDescent="0.25">
      <c r="A133">
        <v>4677</v>
      </c>
      <c r="B133" t="s">
        <v>3143</v>
      </c>
      <c r="C133">
        <v>467</v>
      </c>
    </row>
    <row r="134" spans="1:3" x14ac:dyDescent="0.25">
      <c r="A134">
        <v>4723</v>
      </c>
      <c r="B134" t="s">
        <v>3144</v>
      </c>
      <c r="C134">
        <v>472</v>
      </c>
    </row>
    <row r="135" spans="1:3" x14ac:dyDescent="0.25">
      <c r="A135">
        <v>4740</v>
      </c>
      <c r="B135" t="s">
        <v>3145</v>
      </c>
      <c r="C135">
        <v>474</v>
      </c>
    </row>
    <row r="136" spans="1:3" x14ac:dyDescent="0.25">
      <c r="A136">
        <v>4766</v>
      </c>
      <c r="B136" t="s">
        <v>3146</v>
      </c>
      <c r="C136">
        <v>476</v>
      </c>
    </row>
    <row r="137" spans="1:3" x14ac:dyDescent="0.25">
      <c r="A137">
        <v>4774</v>
      </c>
      <c r="B137" t="s">
        <v>3147</v>
      </c>
      <c r="C137">
        <v>477</v>
      </c>
    </row>
    <row r="138" spans="1:3" x14ac:dyDescent="0.25">
      <c r="A138">
        <v>4855</v>
      </c>
      <c r="B138" t="s">
        <v>3148</v>
      </c>
      <c r="C138">
        <v>485</v>
      </c>
    </row>
    <row r="139" spans="1:3" x14ac:dyDescent="0.25">
      <c r="A139">
        <v>4880</v>
      </c>
      <c r="B139" t="s">
        <v>3149</v>
      </c>
      <c r="C139">
        <v>488</v>
      </c>
    </row>
    <row r="140" spans="1:3" x14ac:dyDescent="0.25">
      <c r="A140">
        <v>4936</v>
      </c>
      <c r="B140" t="s">
        <v>3150</v>
      </c>
      <c r="C140">
        <v>493</v>
      </c>
    </row>
    <row r="141" spans="1:3" x14ac:dyDescent="0.25">
      <c r="A141">
        <v>4944</v>
      </c>
      <c r="B141" t="s">
        <v>3151</v>
      </c>
      <c r="C141">
        <v>494</v>
      </c>
    </row>
    <row r="142" spans="1:3" x14ac:dyDescent="0.25">
      <c r="A142">
        <v>4952</v>
      </c>
      <c r="B142" t="s">
        <v>3152</v>
      </c>
      <c r="C142">
        <v>495</v>
      </c>
    </row>
    <row r="143" spans="1:3" x14ac:dyDescent="0.25">
      <c r="A143">
        <v>4979</v>
      </c>
      <c r="B143" t="s">
        <v>3153</v>
      </c>
      <c r="C143">
        <v>497</v>
      </c>
    </row>
    <row r="144" spans="1:3" x14ac:dyDescent="0.25">
      <c r="A144">
        <v>4985</v>
      </c>
      <c r="B144" t="s">
        <v>3154</v>
      </c>
      <c r="C144">
        <v>498</v>
      </c>
    </row>
    <row r="145" spans="1:3" x14ac:dyDescent="0.25">
      <c r="A145">
        <v>4995</v>
      </c>
      <c r="B145" t="s">
        <v>3155</v>
      </c>
      <c r="C145">
        <v>499</v>
      </c>
    </row>
    <row r="146" spans="1:3" x14ac:dyDescent="0.25">
      <c r="A146">
        <v>5010</v>
      </c>
      <c r="B146" t="s">
        <v>3156</v>
      </c>
      <c r="C146">
        <v>501</v>
      </c>
    </row>
    <row r="147" spans="1:3" x14ac:dyDescent="0.25">
      <c r="A147">
        <v>5053</v>
      </c>
      <c r="B147" t="s">
        <v>3157</v>
      </c>
      <c r="C147">
        <v>505</v>
      </c>
    </row>
    <row r="148" spans="1:3" x14ac:dyDescent="0.25">
      <c r="A148">
        <v>5070</v>
      </c>
      <c r="B148" t="s">
        <v>3158</v>
      </c>
      <c r="C148">
        <v>507</v>
      </c>
    </row>
    <row r="149" spans="1:3" x14ac:dyDescent="0.25">
      <c r="A149">
        <v>5088</v>
      </c>
      <c r="B149" t="s">
        <v>3159</v>
      </c>
      <c r="C149">
        <v>508</v>
      </c>
    </row>
    <row r="150" spans="1:3" x14ac:dyDescent="0.25">
      <c r="A150">
        <v>5118</v>
      </c>
      <c r="B150" t="s">
        <v>3160</v>
      </c>
      <c r="C150">
        <v>511</v>
      </c>
    </row>
    <row r="151" spans="1:3" x14ac:dyDescent="0.25">
      <c r="A151">
        <v>5177</v>
      </c>
      <c r="B151" t="s">
        <v>3161</v>
      </c>
      <c r="C151">
        <v>517</v>
      </c>
    </row>
    <row r="152" spans="1:3" x14ac:dyDescent="0.25">
      <c r="A152">
        <v>5215</v>
      </c>
      <c r="B152" t="s">
        <v>3162</v>
      </c>
      <c r="C152">
        <v>521</v>
      </c>
    </row>
    <row r="153" spans="1:3" x14ac:dyDescent="0.25">
      <c r="A153">
        <v>5258</v>
      </c>
      <c r="B153" t="s">
        <v>3163</v>
      </c>
      <c r="C153">
        <v>525</v>
      </c>
    </row>
    <row r="154" spans="1:3" x14ac:dyDescent="0.25">
      <c r="A154">
        <v>5282</v>
      </c>
      <c r="B154" t="s">
        <v>3164</v>
      </c>
      <c r="C154">
        <v>528</v>
      </c>
    </row>
    <row r="155" spans="1:3" x14ac:dyDescent="0.25">
      <c r="A155">
        <v>5312</v>
      </c>
      <c r="B155" t="s">
        <v>3165</v>
      </c>
      <c r="C155">
        <v>531</v>
      </c>
    </row>
    <row r="156" spans="1:3" x14ac:dyDescent="0.25">
      <c r="A156">
        <v>5355</v>
      </c>
      <c r="B156" t="s">
        <v>3166</v>
      </c>
      <c r="C156">
        <v>535</v>
      </c>
    </row>
    <row r="157" spans="1:3" x14ac:dyDescent="0.25">
      <c r="A157">
        <v>5380</v>
      </c>
      <c r="B157" t="s">
        <v>3167</v>
      </c>
      <c r="C157">
        <v>538</v>
      </c>
    </row>
    <row r="158" spans="1:3" x14ac:dyDescent="0.25">
      <c r="A158">
        <v>5428</v>
      </c>
      <c r="B158" t="s">
        <v>3168</v>
      </c>
      <c r="C158">
        <v>542</v>
      </c>
    </row>
    <row r="159" spans="1:3" x14ac:dyDescent="0.25">
      <c r="A159">
        <v>5452</v>
      </c>
      <c r="B159" t="s">
        <v>3169</v>
      </c>
      <c r="C159">
        <v>545</v>
      </c>
    </row>
    <row r="160" spans="1:3" x14ac:dyDescent="0.25">
      <c r="A160">
        <v>5487</v>
      </c>
      <c r="B160" t="s">
        <v>3170</v>
      </c>
      <c r="C160">
        <v>548</v>
      </c>
    </row>
    <row r="161" spans="1:3" x14ac:dyDescent="0.25">
      <c r="A161">
        <v>5517</v>
      </c>
      <c r="B161" t="s">
        <v>3171</v>
      </c>
      <c r="C161">
        <v>551</v>
      </c>
    </row>
    <row r="162" spans="1:3" x14ac:dyDescent="0.25">
      <c r="A162">
        <v>5568</v>
      </c>
      <c r="B162" t="s">
        <v>3172</v>
      </c>
      <c r="C162">
        <v>556</v>
      </c>
    </row>
    <row r="163" spans="1:3" x14ac:dyDescent="0.25">
      <c r="A163">
        <v>5665</v>
      </c>
      <c r="B163" t="s">
        <v>3173</v>
      </c>
      <c r="C163">
        <v>566</v>
      </c>
    </row>
    <row r="164" spans="1:3" x14ac:dyDescent="0.25">
      <c r="A164">
        <v>5738</v>
      </c>
      <c r="B164" t="s">
        <v>3174</v>
      </c>
      <c r="C164">
        <v>573</v>
      </c>
    </row>
    <row r="165" spans="1:3" x14ac:dyDescent="0.25">
      <c r="A165">
        <v>5754</v>
      </c>
      <c r="B165" t="s">
        <v>3175</v>
      </c>
      <c r="C165">
        <v>575</v>
      </c>
    </row>
    <row r="166" spans="1:3" x14ac:dyDescent="0.25">
      <c r="A166">
        <v>5762</v>
      </c>
      <c r="B166" t="s">
        <v>3176</v>
      </c>
      <c r="C166">
        <v>576</v>
      </c>
    </row>
    <row r="167" spans="1:3" x14ac:dyDescent="0.25">
      <c r="A167">
        <v>5780</v>
      </c>
      <c r="B167" t="s">
        <v>3177</v>
      </c>
      <c r="C167">
        <v>578</v>
      </c>
    </row>
    <row r="168" spans="1:3" x14ac:dyDescent="0.25">
      <c r="A168">
        <v>5800</v>
      </c>
      <c r="B168" t="s">
        <v>3178</v>
      </c>
      <c r="C168">
        <v>580</v>
      </c>
    </row>
    <row r="169" spans="1:3" x14ac:dyDescent="0.25">
      <c r="A169">
        <v>5860</v>
      </c>
      <c r="B169" t="s">
        <v>3179</v>
      </c>
      <c r="C169">
        <v>586</v>
      </c>
    </row>
    <row r="170" spans="1:3" x14ac:dyDescent="0.25">
      <c r="A170">
        <v>5894</v>
      </c>
      <c r="B170" t="s">
        <v>3180</v>
      </c>
      <c r="C170">
        <v>589</v>
      </c>
    </row>
    <row r="171" spans="1:3" x14ac:dyDescent="0.25">
      <c r="A171">
        <v>5932</v>
      </c>
      <c r="B171" t="s">
        <v>3181</v>
      </c>
      <c r="C171">
        <v>593</v>
      </c>
    </row>
    <row r="172" spans="1:3" x14ac:dyDescent="0.25">
      <c r="A172">
        <v>5991</v>
      </c>
      <c r="B172" t="s">
        <v>3182</v>
      </c>
      <c r="C172">
        <v>599</v>
      </c>
    </row>
    <row r="173" spans="1:3" x14ac:dyDescent="0.25">
      <c r="A173">
        <v>6033</v>
      </c>
      <c r="B173" t="s">
        <v>3183</v>
      </c>
      <c r="C173">
        <v>603</v>
      </c>
    </row>
    <row r="174" spans="1:3" x14ac:dyDescent="0.25">
      <c r="A174">
        <v>6076</v>
      </c>
      <c r="B174" t="s">
        <v>3184</v>
      </c>
      <c r="C174">
        <v>607</v>
      </c>
    </row>
    <row r="175" spans="1:3" x14ac:dyDescent="0.25">
      <c r="A175">
        <v>6114</v>
      </c>
      <c r="B175" t="s">
        <v>3185</v>
      </c>
      <c r="C175">
        <v>611</v>
      </c>
    </row>
    <row r="176" spans="1:3" x14ac:dyDescent="0.25">
      <c r="A176">
        <v>6238</v>
      </c>
      <c r="B176" t="s">
        <v>3186</v>
      </c>
      <c r="C176">
        <v>623</v>
      </c>
    </row>
    <row r="177" spans="1:3" x14ac:dyDescent="0.25">
      <c r="A177">
        <v>6254</v>
      </c>
      <c r="B177" t="s">
        <v>3187</v>
      </c>
      <c r="C177">
        <v>625</v>
      </c>
    </row>
    <row r="178" spans="1:3" x14ac:dyDescent="0.25">
      <c r="A178">
        <v>6289</v>
      </c>
      <c r="B178" t="s">
        <v>3188</v>
      </c>
      <c r="C178">
        <v>628</v>
      </c>
    </row>
    <row r="179" spans="1:3" x14ac:dyDescent="0.25">
      <c r="A179">
        <v>6408</v>
      </c>
      <c r="B179" t="s">
        <v>3189</v>
      </c>
      <c r="C179">
        <v>640</v>
      </c>
    </row>
    <row r="180" spans="1:3" x14ac:dyDescent="0.25">
      <c r="A180">
        <v>6475</v>
      </c>
      <c r="B180" t="s">
        <v>3190</v>
      </c>
      <c r="C180">
        <v>647</v>
      </c>
    </row>
    <row r="181" spans="1:3" x14ac:dyDescent="0.25">
      <c r="A181">
        <v>6602</v>
      </c>
      <c r="B181" t="s">
        <v>3191</v>
      </c>
      <c r="C181">
        <v>660</v>
      </c>
    </row>
    <row r="182" spans="1:3" x14ac:dyDescent="0.25">
      <c r="A182">
        <v>6653</v>
      </c>
      <c r="B182" t="s">
        <v>3192</v>
      </c>
      <c r="C182">
        <v>665</v>
      </c>
    </row>
    <row r="183" spans="1:3" x14ac:dyDescent="0.25">
      <c r="A183">
        <v>6700</v>
      </c>
      <c r="B183" t="s">
        <v>3193</v>
      </c>
      <c r="C183">
        <v>670</v>
      </c>
    </row>
    <row r="184" spans="1:3" x14ac:dyDescent="0.25">
      <c r="A184">
        <v>6750</v>
      </c>
      <c r="B184" t="s">
        <v>3194</v>
      </c>
      <c r="C184">
        <v>675</v>
      </c>
    </row>
    <row r="185" spans="1:3" x14ac:dyDescent="0.25">
      <c r="A185">
        <v>6769</v>
      </c>
      <c r="B185" t="s">
        <v>3195</v>
      </c>
      <c r="C185">
        <v>676</v>
      </c>
    </row>
    <row r="186" spans="1:3" x14ac:dyDescent="0.25">
      <c r="A186">
        <v>6777</v>
      </c>
      <c r="B186" t="s">
        <v>3196</v>
      </c>
      <c r="C186">
        <v>677</v>
      </c>
    </row>
    <row r="187" spans="1:3" x14ac:dyDescent="0.25">
      <c r="A187">
        <v>6858</v>
      </c>
      <c r="B187" t="s">
        <v>3197</v>
      </c>
      <c r="C187">
        <v>685</v>
      </c>
    </row>
    <row r="188" spans="1:3" x14ac:dyDescent="0.25">
      <c r="A188">
        <v>6874</v>
      </c>
      <c r="B188" t="s">
        <v>3198</v>
      </c>
      <c r="C188">
        <v>687</v>
      </c>
    </row>
    <row r="189" spans="1:3" x14ac:dyDescent="0.25">
      <c r="A189">
        <v>6904</v>
      </c>
      <c r="B189" t="s">
        <v>3199</v>
      </c>
      <c r="C189">
        <v>690</v>
      </c>
    </row>
    <row r="190" spans="1:3" x14ac:dyDescent="0.25">
      <c r="A190">
        <v>6912</v>
      </c>
      <c r="B190" t="s">
        <v>3200</v>
      </c>
      <c r="C190">
        <v>691</v>
      </c>
    </row>
    <row r="191" spans="1:3" x14ac:dyDescent="0.25">
      <c r="A191">
        <v>6955</v>
      </c>
      <c r="B191" t="s">
        <v>3201</v>
      </c>
      <c r="C191">
        <v>695</v>
      </c>
    </row>
    <row r="192" spans="1:3" x14ac:dyDescent="0.25">
      <c r="A192">
        <v>6971</v>
      </c>
      <c r="B192" t="s">
        <v>3202</v>
      </c>
      <c r="C192">
        <v>697</v>
      </c>
    </row>
    <row r="193" spans="1:3" x14ac:dyDescent="0.25">
      <c r="A193">
        <v>6980</v>
      </c>
      <c r="B193" t="s">
        <v>3203</v>
      </c>
      <c r="C193">
        <v>698</v>
      </c>
    </row>
    <row r="194" spans="1:3" x14ac:dyDescent="0.25">
      <c r="A194">
        <v>6998</v>
      </c>
      <c r="B194" t="s">
        <v>3204</v>
      </c>
      <c r="C194">
        <v>699</v>
      </c>
    </row>
    <row r="195" spans="1:3" x14ac:dyDescent="0.25">
      <c r="A195">
        <v>7005</v>
      </c>
      <c r="B195" t="s">
        <v>3205</v>
      </c>
      <c r="C195">
        <v>700</v>
      </c>
    </row>
    <row r="196" spans="1:3" x14ac:dyDescent="0.25">
      <c r="A196">
        <v>7056</v>
      </c>
      <c r="B196" t="s">
        <v>3206</v>
      </c>
      <c r="C196">
        <v>705</v>
      </c>
    </row>
    <row r="197" spans="1:3" x14ac:dyDescent="0.25">
      <c r="A197">
        <v>7102</v>
      </c>
      <c r="B197" t="s">
        <v>3207</v>
      </c>
      <c r="C197">
        <v>710</v>
      </c>
    </row>
    <row r="198" spans="1:3" x14ac:dyDescent="0.25">
      <c r="A198">
        <v>7153</v>
      </c>
      <c r="B198" t="s">
        <v>3208</v>
      </c>
      <c r="C198">
        <v>715</v>
      </c>
    </row>
    <row r="199" spans="1:3" x14ac:dyDescent="0.25">
      <c r="A199">
        <v>7200</v>
      </c>
      <c r="B199" t="s">
        <v>3209</v>
      </c>
      <c r="C199">
        <v>720</v>
      </c>
    </row>
    <row r="200" spans="1:3" x14ac:dyDescent="0.25">
      <c r="A200">
        <v>7285</v>
      </c>
      <c r="B200" t="s">
        <v>3210</v>
      </c>
      <c r="C200">
        <v>728</v>
      </c>
    </row>
    <row r="201" spans="1:3" x14ac:dyDescent="0.25">
      <c r="A201">
        <v>7315</v>
      </c>
      <c r="B201" t="s">
        <v>3211</v>
      </c>
      <c r="C201">
        <v>731</v>
      </c>
    </row>
    <row r="202" spans="1:3" x14ac:dyDescent="0.25">
      <c r="A202">
        <v>7358</v>
      </c>
      <c r="B202" t="s">
        <v>3212</v>
      </c>
      <c r="C202">
        <v>735</v>
      </c>
    </row>
    <row r="203" spans="1:3" x14ac:dyDescent="0.25">
      <c r="A203">
        <v>7370</v>
      </c>
      <c r="B203" t="s">
        <v>3213</v>
      </c>
      <c r="C203">
        <v>737</v>
      </c>
    </row>
    <row r="204" spans="1:3" x14ac:dyDescent="0.25">
      <c r="A204">
        <v>7412</v>
      </c>
      <c r="B204" t="s">
        <v>3214</v>
      </c>
      <c r="C204">
        <v>741</v>
      </c>
    </row>
    <row r="205" spans="1:3" x14ac:dyDescent="0.25">
      <c r="A205">
        <v>7447</v>
      </c>
      <c r="B205" t="s">
        <v>3215</v>
      </c>
      <c r="C205">
        <v>744</v>
      </c>
    </row>
    <row r="206" spans="1:3" x14ac:dyDescent="0.25">
      <c r="A206">
        <v>7480</v>
      </c>
      <c r="B206" t="s">
        <v>3216</v>
      </c>
      <c r="C206">
        <v>748</v>
      </c>
    </row>
    <row r="207" spans="1:3" x14ac:dyDescent="0.25">
      <c r="A207">
        <v>7501</v>
      </c>
      <c r="B207" t="s">
        <v>3217</v>
      </c>
      <c r="C207">
        <v>750</v>
      </c>
    </row>
    <row r="208" spans="1:3" x14ac:dyDescent="0.25">
      <c r="A208">
        <v>7544</v>
      </c>
      <c r="B208" t="s">
        <v>3218</v>
      </c>
      <c r="C208">
        <v>754</v>
      </c>
    </row>
    <row r="209" spans="1:3" x14ac:dyDescent="0.25">
      <c r="A209">
        <v>7552</v>
      </c>
      <c r="B209" t="s">
        <v>3219</v>
      </c>
      <c r="C209">
        <v>755</v>
      </c>
    </row>
    <row r="210" spans="1:3" x14ac:dyDescent="0.25">
      <c r="A210">
        <v>7560</v>
      </c>
      <c r="B210" t="s">
        <v>3220</v>
      </c>
      <c r="C210">
        <v>756</v>
      </c>
    </row>
    <row r="211" spans="1:3" x14ac:dyDescent="0.25">
      <c r="A211">
        <v>7595</v>
      </c>
      <c r="B211" t="s">
        <v>3221</v>
      </c>
      <c r="C211">
        <v>759</v>
      </c>
    </row>
    <row r="212" spans="1:3" x14ac:dyDescent="0.25">
      <c r="A212">
        <v>7600</v>
      </c>
      <c r="B212" t="s">
        <v>3222</v>
      </c>
      <c r="C212">
        <v>760</v>
      </c>
    </row>
    <row r="213" spans="1:3" x14ac:dyDescent="0.25">
      <c r="A213">
        <v>7641</v>
      </c>
      <c r="B213" t="s">
        <v>3223</v>
      </c>
      <c r="C213">
        <v>764</v>
      </c>
    </row>
    <row r="214" spans="1:3" x14ac:dyDescent="0.25">
      <c r="A214">
        <v>7676</v>
      </c>
      <c r="B214" t="s">
        <v>3224</v>
      </c>
      <c r="C214">
        <v>767</v>
      </c>
    </row>
    <row r="215" spans="1:3" x14ac:dyDescent="0.25">
      <c r="A215">
        <v>7706</v>
      </c>
      <c r="B215" t="s">
        <v>3225</v>
      </c>
      <c r="C215">
        <v>770</v>
      </c>
    </row>
    <row r="216" spans="1:3" x14ac:dyDescent="0.25">
      <c r="A216">
        <v>7722</v>
      </c>
      <c r="B216" t="s">
        <v>3226</v>
      </c>
      <c r="C216">
        <v>772</v>
      </c>
    </row>
    <row r="217" spans="1:3" x14ac:dyDescent="0.25">
      <c r="A217">
        <v>7765</v>
      </c>
      <c r="B217" t="s">
        <v>3227</v>
      </c>
      <c r="C217">
        <v>776</v>
      </c>
    </row>
    <row r="218" spans="1:3" x14ac:dyDescent="0.25">
      <c r="A218">
        <v>7803</v>
      </c>
      <c r="B218" t="s">
        <v>3228</v>
      </c>
      <c r="C218">
        <v>780</v>
      </c>
    </row>
    <row r="219" spans="1:3" x14ac:dyDescent="0.25">
      <c r="A219">
        <v>7820</v>
      </c>
      <c r="B219" t="s">
        <v>3229</v>
      </c>
      <c r="C219">
        <v>782</v>
      </c>
    </row>
    <row r="220" spans="1:3" x14ac:dyDescent="0.25">
      <c r="A220">
        <v>7838</v>
      </c>
      <c r="B220" t="s">
        <v>3230</v>
      </c>
      <c r="C220">
        <v>783</v>
      </c>
    </row>
    <row r="221" spans="1:3" x14ac:dyDescent="0.25">
      <c r="A221">
        <v>7889</v>
      </c>
      <c r="B221" t="s">
        <v>3231</v>
      </c>
      <c r="C221">
        <v>788</v>
      </c>
    </row>
    <row r="222" spans="1:3" x14ac:dyDescent="0.25">
      <c r="A222">
        <v>7919</v>
      </c>
      <c r="B222" t="s">
        <v>3232</v>
      </c>
      <c r="C222">
        <v>791</v>
      </c>
    </row>
    <row r="223" spans="1:3" x14ac:dyDescent="0.25">
      <c r="A223">
        <v>7951</v>
      </c>
      <c r="B223" t="s">
        <v>3233</v>
      </c>
      <c r="C223">
        <v>795</v>
      </c>
    </row>
    <row r="224" spans="1:3" x14ac:dyDescent="0.25">
      <c r="A224">
        <v>8001</v>
      </c>
      <c r="B224" t="s">
        <v>3234</v>
      </c>
      <c r="C224">
        <v>800</v>
      </c>
    </row>
    <row r="225" spans="1:3" x14ac:dyDescent="0.25">
      <c r="A225">
        <v>8052</v>
      </c>
      <c r="B225" t="s">
        <v>3235</v>
      </c>
      <c r="C225">
        <v>805</v>
      </c>
    </row>
    <row r="226" spans="1:3" x14ac:dyDescent="0.25">
      <c r="A226">
        <v>8109</v>
      </c>
      <c r="B226" t="s">
        <v>3236</v>
      </c>
      <c r="C226">
        <v>810</v>
      </c>
    </row>
    <row r="227" spans="1:3" x14ac:dyDescent="0.25">
      <c r="A227">
        <v>8150</v>
      </c>
      <c r="B227" t="s">
        <v>3237</v>
      </c>
      <c r="C227">
        <v>815</v>
      </c>
    </row>
    <row r="228" spans="1:3" x14ac:dyDescent="0.25">
      <c r="A228">
        <v>8206</v>
      </c>
      <c r="B228" t="s">
        <v>3238</v>
      </c>
      <c r="C228">
        <v>820</v>
      </c>
    </row>
    <row r="229" spans="1:3" x14ac:dyDescent="0.25">
      <c r="A229">
        <v>8230</v>
      </c>
      <c r="B229" t="s">
        <v>3239</v>
      </c>
      <c r="C229">
        <v>823</v>
      </c>
    </row>
    <row r="230" spans="1:3" x14ac:dyDescent="0.25">
      <c r="A230">
        <v>8249</v>
      </c>
      <c r="B230" t="s">
        <v>3240</v>
      </c>
      <c r="C230">
        <v>824</v>
      </c>
    </row>
    <row r="231" spans="1:3" x14ac:dyDescent="0.25">
      <c r="A231">
        <v>8273</v>
      </c>
      <c r="B231" t="s">
        <v>3241</v>
      </c>
      <c r="C231">
        <v>827</v>
      </c>
    </row>
    <row r="232" spans="1:3" x14ac:dyDescent="0.25">
      <c r="A232">
        <v>8281</v>
      </c>
      <c r="B232" t="s">
        <v>3242</v>
      </c>
      <c r="C232">
        <v>828</v>
      </c>
    </row>
    <row r="233" spans="1:3" x14ac:dyDescent="0.25">
      <c r="A233">
        <v>8311</v>
      </c>
      <c r="B233" t="s">
        <v>3243</v>
      </c>
      <c r="C233">
        <v>831</v>
      </c>
    </row>
    <row r="234" spans="1:3" x14ac:dyDescent="0.25">
      <c r="A234">
        <v>8338</v>
      </c>
      <c r="B234" t="s">
        <v>3244</v>
      </c>
      <c r="C234">
        <v>833</v>
      </c>
    </row>
    <row r="235" spans="1:3" x14ac:dyDescent="0.25">
      <c r="A235">
        <v>8451</v>
      </c>
      <c r="B235" t="s">
        <v>3245</v>
      </c>
      <c r="C235">
        <v>845</v>
      </c>
    </row>
    <row r="236" spans="1:3" x14ac:dyDescent="0.25">
      <c r="A236">
        <v>8478</v>
      </c>
      <c r="B236" t="s">
        <v>3246</v>
      </c>
      <c r="C236">
        <v>847</v>
      </c>
    </row>
    <row r="237" spans="1:3" x14ac:dyDescent="0.25">
      <c r="A237">
        <v>8486</v>
      </c>
      <c r="B237" t="s">
        <v>3247</v>
      </c>
      <c r="C237">
        <v>848</v>
      </c>
    </row>
    <row r="238" spans="1:3" x14ac:dyDescent="0.25">
      <c r="A238">
        <v>8508</v>
      </c>
      <c r="B238" t="s">
        <v>3248</v>
      </c>
      <c r="C238">
        <v>850</v>
      </c>
    </row>
    <row r="239" spans="1:3" x14ac:dyDescent="0.25">
      <c r="A239">
        <v>8583</v>
      </c>
      <c r="B239" t="s">
        <v>3249</v>
      </c>
      <c r="C239">
        <v>858</v>
      </c>
    </row>
    <row r="240" spans="1:3" x14ac:dyDescent="0.25">
      <c r="A240">
        <v>8630</v>
      </c>
      <c r="B240" t="s">
        <v>3250</v>
      </c>
      <c r="C240">
        <v>863</v>
      </c>
    </row>
    <row r="241" spans="1:3" x14ac:dyDescent="0.25">
      <c r="A241">
        <v>8664</v>
      </c>
      <c r="B241" t="s">
        <v>3251</v>
      </c>
      <c r="C241">
        <v>866</v>
      </c>
    </row>
    <row r="242" spans="1:3" x14ac:dyDescent="0.25">
      <c r="A242">
        <v>8702</v>
      </c>
      <c r="B242" t="s">
        <v>3252</v>
      </c>
      <c r="C242">
        <v>870</v>
      </c>
    </row>
    <row r="243" spans="1:3" x14ac:dyDescent="0.25">
      <c r="A243">
        <v>8753</v>
      </c>
      <c r="B243" t="s">
        <v>3253</v>
      </c>
      <c r="C243">
        <v>875</v>
      </c>
    </row>
    <row r="244" spans="1:3" x14ac:dyDescent="0.25">
      <c r="A244">
        <v>8885</v>
      </c>
      <c r="B244" t="s">
        <v>3254</v>
      </c>
      <c r="C244">
        <v>888</v>
      </c>
    </row>
    <row r="245" spans="1:3" x14ac:dyDescent="0.25">
      <c r="A245">
        <v>8907</v>
      </c>
      <c r="B245" t="s">
        <v>3255</v>
      </c>
      <c r="C245">
        <v>890</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C6778-8DD0-401A-B095-23AD3458E958}">
  <sheetPr codeName="Planilha6"/>
  <dimension ref="A1:XFD32"/>
  <sheetViews>
    <sheetView workbookViewId="0">
      <selection activeCell="E6" sqref="E6"/>
    </sheetView>
  </sheetViews>
  <sheetFormatPr defaultRowHeight="15" x14ac:dyDescent="0.25"/>
  <cols>
    <col min="2" max="2" width="123.85546875" bestFit="1" customWidth="1"/>
  </cols>
  <sheetData>
    <row r="1" spans="1:16384" ht="15.75" x14ac:dyDescent="0.25">
      <c r="A1" s="61" t="s">
        <v>3748</v>
      </c>
    </row>
    <row r="2" spans="1:16384" x14ac:dyDescent="0.25">
      <c r="A2" s="2" t="s">
        <v>20</v>
      </c>
      <c r="B2" s="3" t="s">
        <v>21</v>
      </c>
    </row>
    <row r="3" spans="1:16384" x14ac:dyDescent="0.25">
      <c r="A3" s="2" t="s">
        <v>22</v>
      </c>
      <c r="B3" s="3" t="s">
        <v>23</v>
      </c>
    </row>
    <row r="4" spans="1:16384" x14ac:dyDescent="0.25">
      <c r="A4" s="2" t="s">
        <v>24</v>
      </c>
      <c r="B4" s="3" t="s">
        <v>25</v>
      </c>
    </row>
    <row r="5" spans="1:16384" x14ac:dyDescent="0.25">
      <c r="A5" s="2" t="s">
        <v>26</v>
      </c>
      <c r="B5" s="3" t="s">
        <v>27</v>
      </c>
    </row>
    <row r="6" spans="1:16384" x14ac:dyDescent="0.25">
      <c r="A6" s="2" t="s">
        <v>28</v>
      </c>
      <c r="B6" s="3" t="s">
        <v>29</v>
      </c>
    </row>
    <row r="7" spans="1:16384" x14ac:dyDescent="0.25">
      <c r="A7" s="2" t="s">
        <v>30</v>
      </c>
      <c r="B7" s="3" t="s">
        <v>31</v>
      </c>
    </row>
    <row r="8" spans="1:16384" x14ac:dyDescent="0.25">
      <c r="A8" s="2" t="s">
        <v>32</v>
      </c>
      <c r="B8" s="3" t="s">
        <v>33</v>
      </c>
    </row>
    <row r="9" spans="1:16384" x14ac:dyDescent="0.25">
      <c r="A9" s="2" t="s">
        <v>34</v>
      </c>
      <c r="B9" s="3" t="s">
        <v>35</v>
      </c>
    </row>
    <row r="10" spans="1:16384" x14ac:dyDescent="0.25">
      <c r="A10" s="2" t="s">
        <v>36</v>
      </c>
      <c r="B10" s="3" t="s">
        <v>37</v>
      </c>
    </row>
    <row r="11" spans="1:16384" x14ac:dyDescent="0.25">
      <c r="A11" s="2" t="s">
        <v>44</v>
      </c>
      <c r="B11" s="3" t="s">
        <v>45</v>
      </c>
    </row>
    <row r="12" spans="1:16384" x14ac:dyDescent="0.25">
      <c r="A12" s="2" t="s">
        <v>46</v>
      </c>
      <c r="B12" s="3" t="s">
        <v>47</v>
      </c>
    </row>
    <row r="13" spans="1:16384" x14ac:dyDescent="0.25">
      <c r="A13" s="2" t="s">
        <v>48</v>
      </c>
      <c r="B13" s="3" t="s">
        <v>49</v>
      </c>
    </row>
    <row r="14" spans="1:16384" x14ac:dyDescent="0.25">
      <c r="A14" s="2" t="s">
        <v>52</v>
      </c>
      <c r="B14" s="3" t="s">
        <v>53</v>
      </c>
    </row>
    <row r="15" spans="1:16384" x14ac:dyDescent="0.25">
      <c r="A15" s="2" t="s">
        <v>54</v>
      </c>
      <c r="B15" s="3" t="s">
        <v>55</v>
      </c>
    </row>
    <row r="16" spans="1:16384" s="3" customFormat="1" x14ac:dyDescent="0.25">
      <c r="A16" s="2" t="s">
        <v>76</v>
      </c>
      <c r="B16" s="3" t="s">
        <v>77</v>
      </c>
      <c r="BF16" s="3" t="s">
        <v>77</v>
      </c>
      <c r="BG16" s="3" t="s">
        <v>76</v>
      </c>
      <c r="BH16" s="3" t="s">
        <v>77</v>
      </c>
      <c r="BI16" s="3" t="s">
        <v>76</v>
      </c>
      <c r="BJ16" s="3" t="s">
        <v>77</v>
      </c>
      <c r="BK16" s="3" t="s">
        <v>76</v>
      </c>
      <c r="BL16" s="3" t="s">
        <v>77</v>
      </c>
      <c r="BM16" s="3" t="s">
        <v>76</v>
      </c>
      <c r="BN16" s="3" t="s">
        <v>77</v>
      </c>
      <c r="BO16" s="3" t="s">
        <v>76</v>
      </c>
      <c r="BP16" s="3" t="s">
        <v>77</v>
      </c>
      <c r="BQ16" s="3" t="s">
        <v>76</v>
      </c>
      <c r="BR16" s="3" t="s">
        <v>77</v>
      </c>
      <c r="BS16" s="3" t="s">
        <v>76</v>
      </c>
      <c r="BT16" s="3" t="s">
        <v>77</v>
      </c>
      <c r="BU16" s="3" t="s">
        <v>76</v>
      </c>
      <c r="BV16" s="3" t="s">
        <v>77</v>
      </c>
      <c r="BW16" s="3" t="s">
        <v>76</v>
      </c>
      <c r="BX16" s="3" t="s">
        <v>77</v>
      </c>
      <c r="BY16" s="3" t="s">
        <v>76</v>
      </c>
      <c r="BZ16" s="3" t="s">
        <v>77</v>
      </c>
      <c r="CA16" s="3" t="s">
        <v>76</v>
      </c>
      <c r="CB16" s="3" t="s">
        <v>77</v>
      </c>
      <c r="CC16" s="3" t="s">
        <v>76</v>
      </c>
      <c r="CD16" s="3" t="s">
        <v>77</v>
      </c>
      <c r="CE16" s="3" t="s">
        <v>76</v>
      </c>
      <c r="CF16" s="3" t="s">
        <v>77</v>
      </c>
      <c r="CG16" s="3" t="s">
        <v>76</v>
      </c>
      <c r="CH16" s="3" t="s">
        <v>77</v>
      </c>
      <c r="CI16" s="3" t="s">
        <v>76</v>
      </c>
      <c r="CJ16" s="3" t="s">
        <v>77</v>
      </c>
      <c r="CK16" s="3" t="s">
        <v>76</v>
      </c>
      <c r="CL16" s="3" t="s">
        <v>77</v>
      </c>
      <c r="CM16" s="3" t="s">
        <v>76</v>
      </c>
      <c r="CN16" s="3" t="s">
        <v>77</v>
      </c>
      <c r="CO16" s="3" t="s">
        <v>76</v>
      </c>
      <c r="CP16" s="3" t="s">
        <v>77</v>
      </c>
      <c r="CQ16" s="3" t="s">
        <v>76</v>
      </c>
      <c r="CR16" s="3" t="s">
        <v>77</v>
      </c>
      <c r="CS16" s="3" t="s">
        <v>76</v>
      </c>
      <c r="CT16" s="3" t="s">
        <v>77</v>
      </c>
      <c r="CU16" s="3" t="s">
        <v>76</v>
      </c>
      <c r="CV16" s="3" t="s">
        <v>77</v>
      </c>
      <c r="CW16" s="3" t="s">
        <v>76</v>
      </c>
      <c r="CX16" s="3" t="s">
        <v>77</v>
      </c>
      <c r="CY16" s="3" t="s">
        <v>76</v>
      </c>
      <c r="CZ16" s="3" t="s">
        <v>77</v>
      </c>
      <c r="DA16" s="3" t="s">
        <v>76</v>
      </c>
      <c r="DB16" s="3" t="s">
        <v>77</v>
      </c>
      <c r="DC16" s="3" t="s">
        <v>76</v>
      </c>
      <c r="DD16" s="3" t="s">
        <v>77</v>
      </c>
      <c r="DE16" s="3" t="s">
        <v>76</v>
      </c>
      <c r="DF16" s="3" t="s">
        <v>77</v>
      </c>
      <c r="DG16" s="3" t="s">
        <v>76</v>
      </c>
      <c r="DH16" s="3" t="s">
        <v>77</v>
      </c>
      <c r="DI16" s="3" t="s">
        <v>76</v>
      </c>
      <c r="DJ16" s="3" t="s">
        <v>77</v>
      </c>
      <c r="DK16" s="3" t="s">
        <v>76</v>
      </c>
      <c r="DL16" s="3" t="s">
        <v>77</v>
      </c>
      <c r="DM16" s="3" t="s">
        <v>76</v>
      </c>
      <c r="DN16" s="3" t="s">
        <v>77</v>
      </c>
      <c r="DO16" s="3" t="s">
        <v>76</v>
      </c>
      <c r="DP16" s="3" t="s">
        <v>77</v>
      </c>
      <c r="DQ16" s="3" t="s">
        <v>76</v>
      </c>
      <c r="DR16" s="3" t="s">
        <v>77</v>
      </c>
      <c r="DS16" s="3" t="s">
        <v>76</v>
      </c>
      <c r="DT16" s="3" t="s">
        <v>77</v>
      </c>
      <c r="DU16" s="3" t="s">
        <v>76</v>
      </c>
      <c r="DV16" s="3" t="s">
        <v>77</v>
      </c>
      <c r="DW16" s="3" t="s">
        <v>76</v>
      </c>
      <c r="DX16" s="3" t="s">
        <v>77</v>
      </c>
      <c r="DY16" s="3" t="s">
        <v>76</v>
      </c>
      <c r="DZ16" s="3" t="s">
        <v>77</v>
      </c>
      <c r="EA16" s="3" t="s">
        <v>76</v>
      </c>
      <c r="EB16" s="3" t="s">
        <v>77</v>
      </c>
      <c r="EC16" s="3" t="s">
        <v>76</v>
      </c>
      <c r="ED16" s="3" t="s">
        <v>77</v>
      </c>
      <c r="EE16" s="3" t="s">
        <v>76</v>
      </c>
      <c r="EF16" s="3" t="s">
        <v>77</v>
      </c>
      <c r="EG16" s="3" t="s">
        <v>76</v>
      </c>
      <c r="EH16" s="3" t="s">
        <v>77</v>
      </c>
      <c r="EI16" s="3" t="s">
        <v>76</v>
      </c>
      <c r="EJ16" s="3" t="s">
        <v>77</v>
      </c>
      <c r="EK16" s="3" t="s">
        <v>76</v>
      </c>
      <c r="EL16" s="3" t="s">
        <v>77</v>
      </c>
      <c r="EM16" s="3" t="s">
        <v>76</v>
      </c>
      <c r="EN16" s="3" t="s">
        <v>77</v>
      </c>
      <c r="EO16" s="3" t="s">
        <v>76</v>
      </c>
      <c r="EP16" s="3" t="s">
        <v>77</v>
      </c>
      <c r="EQ16" s="3" t="s">
        <v>76</v>
      </c>
      <c r="ER16" s="3" t="s">
        <v>77</v>
      </c>
      <c r="ES16" s="3" t="s">
        <v>76</v>
      </c>
      <c r="ET16" s="3" t="s">
        <v>77</v>
      </c>
      <c r="EU16" s="3" t="s">
        <v>76</v>
      </c>
      <c r="EV16" s="3" t="s">
        <v>77</v>
      </c>
      <c r="EW16" s="3" t="s">
        <v>76</v>
      </c>
      <c r="EX16" s="3" t="s">
        <v>77</v>
      </c>
      <c r="EY16" s="3" t="s">
        <v>76</v>
      </c>
      <c r="EZ16" s="3" t="s">
        <v>77</v>
      </c>
      <c r="FA16" s="3" t="s">
        <v>76</v>
      </c>
      <c r="FB16" s="3" t="s">
        <v>77</v>
      </c>
      <c r="FC16" s="3" t="s">
        <v>76</v>
      </c>
      <c r="FD16" s="3" t="s">
        <v>77</v>
      </c>
      <c r="FE16" s="3" t="s">
        <v>76</v>
      </c>
      <c r="FF16" s="3" t="s">
        <v>77</v>
      </c>
      <c r="FG16" s="3" t="s">
        <v>76</v>
      </c>
      <c r="FH16" s="3" t="s">
        <v>77</v>
      </c>
      <c r="FI16" s="3" t="s">
        <v>76</v>
      </c>
      <c r="FJ16" s="3" t="s">
        <v>77</v>
      </c>
      <c r="FK16" s="3" t="s">
        <v>76</v>
      </c>
      <c r="FL16" s="3" t="s">
        <v>77</v>
      </c>
      <c r="FM16" s="3" t="s">
        <v>76</v>
      </c>
      <c r="FN16" s="3" t="s">
        <v>77</v>
      </c>
      <c r="FO16" s="3" t="s">
        <v>76</v>
      </c>
      <c r="FP16" s="3" t="s">
        <v>77</v>
      </c>
      <c r="FQ16" s="3" t="s">
        <v>76</v>
      </c>
      <c r="FR16" s="3" t="s">
        <v>77</v>
      </c>
      <c r="FS16" s="3" t="s">
        <v>76</v>
      </c>
      <c r="FT16" s="3" t="s">
        <v>77</v>
      </c>
      <c r="FU16" s="3" t="s">
        <v>76</v>
      </c>
      <c r="FV16" s="3" t="s">
        <v>77</v>
      </c>
      <c r="FW16" s="3" t="s">
        <v>76</v>
      </c>
      <c r="FX16" s="3" t="s">
        <v>77</v>
      </c>
      <c r="FY16" s="3" t="s">
        <v>76</v>
      </c>
      <c r="FZ16" s="3" t="s">
        <v>77</v>
      </c>
      <c r="GA16" s="3" t="s">
        <v>76</v>
      </c>
      <c r="GB16" s="3" t="s">
        <v>77</v>
      </c>
      <c r="GC16" s="3" t="s">
        <v>76</v>
      </c>
      <c r="GD16" s="3" t="s">
        <v>77</v>
      </c>
      <c r="GE16" s="3" t="s">
        <v>76</v>
      </c>
      <c r="GF16" s="3" t="s">
        <v>77</v>
      </c>
      <c r="GG16" s="3" t="s">
        <v>76</v>
      </c>
      <c r="GH16" s="3" t="s">
        <v>77</v>
      </c>
      <c r="GI16" s="3" t="s">
        <v>76</v>
      </c>
      <c r="GJ16" s="3" t="s">
        <v>77</v>
      </c>
      <c r="GK16" s="3" t="s">
        <v>76</v>
      </c>
      <c r="GL16" s="3" t="s">
        <v>77</v>
      </c>
      <c r="GM16" s="3" t="s">
        <v>76</v>
      </c>
      <c r="GN16" s="3" t="s">
        <v>77</v>
      </c>
      <c r="GO16" s="3" t="s">
        <v>76</v>
      </c>
      <c r="GP16" s="3" t="s">
        <v>77</v>
      </c>
      <c r="GQ16" s="3" t="s">
        <v>76</v>
      </c>
      <c r="GR16" s="3" t="s">
        <v>77</v>
      </c>
      <c r="GS16" s="3" t="s">
        <v>76</v>
      </c>
      <c r="GT16" s="3" t="s">
        <v>77</v>
      </c>
      <c r="GU16" s="3" t="s">
        <v>76</v>
      </c>
      <c r="GV16" s="3" t="s">
        <v>77</v>
      </c>
      <c r="GW16" s="3" t="s">
        <v>76</v>
      </c>
      <c r="GX16" s="3" t="s">
        <v>77</v>
      </c>
      <c r="GY16" s="3" t="s">
        <v>76</v>
      </c>
      <c r="GZ16" s="3" t="s">
        <v>77</v>
      </c>
      <c r="HA16" s="3" t="s">
        <v>76</v>
      </c>
      <c r="HB16" s="3" t="s">
        <v>77</v>
      </c>
      <c r="HC16" s="3" t="s">
        <v>76</v>
      </c>
      <c r="HD16" s="3" t="s">
        <v>77</v>
      </c>
      <c r="HE16" s="3" t="s">
        <v>76</v>
      </c>
      <c r="HF16" s="3" t="s">
        <v>77</v>
      </c>
      <c r="HG16" s="3" t="s">
        <v>76</v>
      </c>
      <c r="HH16" s="3" t="s">
        <v>77</v>
      </c>
      <c r="HI16" s="3" t="s">
        <v>76</v>
      </c>
      <c r="HJ16" s="3" t="s">
        <v>77</v>
      </c>
      <c r="HK16" s="3" t="s">
        <v>76</v>
      </c>
      <c r="HL16" s="3" t="s">
        <v>77</v>
      </c>
      <c r="HM16" s="3" t="s">
        <v>76</v>
      </c>
      <c r="HN16" s="3" t="s">
        <v>77</v>
      </c>
      <c r="HO16" s="3" t="s">
        <v>76</v>
      </c>
      <c r="HP16" s="3" t="s">
        <v>77</v>
      </c>
      <c r="HQ16" s="3" t="s">
        <v>76</v>
      </c>
      <c r="HR16" s="3" t="s">
        <v>77</v>
      </c>
      <c r="HS16" s="3" t="s">
        <v>76</v>
      </c>
      <c r="HT16" s="3" t="s">
        <v>77</v>
      </c>
      <c r="HU16" s="3" t="s">
        <v>76</v>
      </c>
      <c r="HV16" s="3" t="s">
        <v>77</v>
      </c>
      <c r="HW16" s="3" t="s">
        <v>76</v>
      </c>
      <c r="HX16" s="3" t="s">
        <v>77</v>
      </c>
      <c r="HY16" s="3" t="s">
        <v>76</v>
      </c>
      <c r="HZ16" s="3" t="s">
        <v>77</v>
      </c>
      <c r="IA16" s="3" t="s">
        <v>76</v>
      </c>
      <c r="IB16" s="3" t="s">
        <v>77</v>
      </c>
      <c r="IC16" s="3" t="s">
        <v>76</v>
      </c>
      <c r="ID16" s="3" t="s">
        <v>77</v>
      </c>
      <c r="IE16" s="3" t="s">
        <v>76</v>
      </c>
      <c r="IF16" s="3" t="s">
        <v>77</v>
      </c>
      <c r="IG16" s="3" t="s">
        <v>76</v>
      </c>
      <c r="IH16" s="3" t="s">
        <v>77</v>
      </c>
      <c r="II16" s="3" t="s">
        <v>76</v>
      </c>
      <c r="IJ16" s="3" t="s">
        <v>77</v>
      </c>
      <c r="IK16" s="3" t="s">
        <v>76</v>
      </c>
      <c r="IL16" s="3" t="s">
        <v>77</v>
      </c>
      <c r="IM16" s="3" t="s">
        <v>76</v>
      </c>
      <c r="IN16" s="3" t="s">
        <v>77</v>
      </c>
      <c r="IO16" s="3" t="s">
        <v>76</v>
      </c>
      <c r="IP16" s="3" t="s">
        <v>77</v>
      </c>
      <c r="IQ16" s="3" t="s">
        <v>76</v>
      </c>
      <c r="IR16" s="3" t="s">
        <v>77</v>
      </c>
      <c r="IS16" s="3" t="s">
        <v>76</v>
      </c>
      <c r="IT16" s="3" t="s">
        <v>77</v>
      </c>
      <c r="IU16" s="3" t="s">
        <v>76</v>
      </c>
      <c r="IV16" s="3" t="s">
        <v>77</v>
      </c>
      <c r="IW16" s="3" t="s">
        <v>76</v>
      </c>
      <c r="IX16" s="3" t="s">
        <v>77</v>
      </c>
      <c r="IY16" s="3" t="s">
        <v>76</v>
      </c>
      <c r="IZ16" s="3" t="s">
        <v>77</v>
      </c>
      <c r="JA16" s="3" t="s">
        <v>76</v>
      </c>
      <c r="JB16" s="3" t="s">
        <v>77</v>
      </c>
      <c r="JC16" s="3" t="s">
        <v>76</v>
      </c>
      <c r="JD16" s="3" t="s">
        <v>77</v>
      </c>
      <c r="JE16" s="3" t="s">
        <v>76</v>
      </c>
      <c r="JF16" s="3" t="s">
        <v>77</v>
      </c>
      <c r="JG16" s="3" t="s">
        <v>76</v>
      </c>
      <c r="JH16" s="3" t="s">
        <v>77</v>
      </c>
      <c r="JI16" s="3" t="s">
        <v>76</v>
      </c>
      <c r="JJ16" s="3" t="s">
        <v>77</v>
      </c>
      <c r="JK16" s="3" t="s">
        <v>76</v>
      </c>
      <c r="JL16" s="3" t="s">
        <v>77</v>
      </c>
      <c r="JM16" s="3" t="s">
        <v>76</v>
      </c>
      <c r="JN16" s="3" t="s">
        <v>77</v>
      </c>
      <c r="JO16" s="3" t="s">
        <v>76</v>
      </c>
      <c r="JP16" s="3" t="s">
        <v>77</v>
      </c>
      <c r="JQ16" s="3" t="s">
        <v>76</v>
      </c>
      <c r="JR16" s="3" t="s">
        <v>77</v>
      </c>
      <c r="JS16" s="3" t="s">
        <v>76</v>
      </c>
      <c r="JT16" s="3" t="s">
        <v>77</v>
      </c>
      <c r="JU16" s="3" t="s">
        <v>76</v>
      </c>
      <c r="JV16" s="3" t="s">
        <v>77</v>
      </c>
      <c r="JW16" s="3" t="s">
        <v>76</v>
      </c>
      <c r="JX16" s="3" t="s">
        <v>77</v>
      </c>
      <c r="JY16" s="3" t="s">
        <v>76</v>
      </c>
      <c r="JZ16" s="3" t="s">
        <v>77</v>
      </c>
      <c r="KA16" s="3" t="s">
        <v>76</v>
      </c>
      <c r="KB16" s="3" t="s">
        <v>77</v>
      </c>
      <c r="KC16" s="3" t="s">
        <v>76</v>
      </c>
      <c r="KD16" s="3" t="s">
        <v>77</v>
      </c>
      <c r="KE16" s="3" t="s">
        <v>76</v>
      </c>
      <c r="KF16" s="3" t="s">
        <v>77</v>
      </c>
      <c r="KG16" s="3" t="s">
        <v>76</v>
      </c>
      <c r="KH16" s="3" t="s">
        <v>77</v>
      </c>
      <c r="KI16" s="3" t="s">
        <v>76</v>
      </c>
      <c r="KJ16" s="3" t="s">
        <v>77</v>
      </c>
      <c r="KK16" s="3" t="s">
        <v>76</v>
      </c>
      <c r="KL16" s="3" t="s">
        <v>77</v>
      </c>
      <c r="KM16" s="3" t="s">
        <v>76</v>
      </c>
      <c r="KN16" s="3" t="s">
        <v>77</v>
      </c>
      <c r="KO16" s="3" t="s">
        <v>76</v>
      </c>
      <c r="KP16" s="3" t="s">
        <v>77</v>
      </c>
      <c r="KQ16" s="3" t="s">
        <v>76</v>
      </c>
      <c r="KR16" s="3" t="s">
        <v>77</v>
      </c>
      <c r="KS16" s="3" t="s">
        <v>76</v>
      </c>
      <c r="KT16" s="3" t="s">
        <v>77</v>
      </c>
      <c r="KU16" s="3" t="s">
        <v>76</v>
      </c>
      <c r="KV16" s="3" t="s">
        <v>77</v>
      </c>
      <c r="KW16" s="3" t="s">
        <v>76</v>
      </c>
      <c r="KX16" s="3" t="s">
        <v>77</v>
      </c>
      <c r="KY16" s="3" t="s">
        <v>76</v>
      </c>
      <c r="KZ16" s="3" t="s">
        <v>77</v>
      </c>
      <c r="LA16" s="3" t="s">
        <v>76</v>
      </c>
      <c r="LB16" s="3" t="s">
        <v>77</v>
      </c>
      <c r="LC16" s="3" t="s">
        <v>76</v>
      </c>
      <c r="LD16" s="3" t="s">
        <v>77</v>
      </c>
      <c r="LE16" s="3" t="s">
        <v>76</v>
      </c>
      <c r="LF16" s="3" t="s">
        <v>77</v>
      </c>
      <c r="LG16" s="3" t="s">
        <v>76</v>
      </c>
      <c r="LH16" s="3" t="s">
        <v>77</v>
      </c>
      <c r="LI16" s="3" t="s">
        <v>76</v>
      </c>
      <c r="LJ16" s="3" t="s">
        <v>77</v>
      </c>
      <c r="LK16" s="3" t="s">
        <v>76</v>
      </c>
      <c r="LL16" s="3" t="s">
        <v>77</v>
      </c>
      <c r="LM16" s="3" t="s">
        <v>76</v>
      </c>
      <c r="LN16" s="3" t="s">
        <v>77</v>
      </c>
      <c r="LO16" s="3" t="s">
        <v>76</v>
      </c>
      <c r="LP16" s="3" t="s">
        <v>77</v>
      </c>
      <c r="LQ16" s="3" t="s">
        <v>76</v>
      </c>
      <c r="LR16" s="3" t="s">
        <v>77</v>
      </c>
      <c r="LS16" s="3" t="s">
        <v>76</v>
      </c>
      <c r="LT16" s="3" t="s">
        <v>77</v>
      </c>
      <c r="LU16" s="3" t="s">
        <v>76</v>
      </c>
      <c r="LV16" s="3" t="s">
        <v>77</v>
      </c>
      <c r="LW16" s="3" t="s">
        <v>76</v>
      </c>
      <c r="LX16" s="3" t="s">
        <v>77</v>
      </c>
      <c r="LY16" s="3" t="s">
        <v>76</v>
      </c>
      <c r="LZ16" s="3" t="s">
        <v>77</v>
      </c>
      <c r="MA16" s="3" t="s">
        <v>76</v>
      </c>
      <c r="MB16" s="3" t="s">
        <v>77</v>
      </c>
      <c r="MC16" s="3" t="s">
        <v>76</v>
      </c>
      <c r="MD16" s="3" t="s">
        <v>77</v>
      </c>
      <c r="ME16" s="3" t="s">
        <v>76</v>
      </c>
      <c r="MF16" s="3" t="s">
        <v>77</v>
      </c>
      <c r="MG16" s="3" t="s">
        <v>76</v>
      </c>
      <c r="MH16" s="3" t="s">
        <v>77</v>
      </c>
      <c r="MI16" s="3" t="s">
        <v>76</v>
      </c>
      <c r="MJ16" s="3" t="s">
        <v>77</v>
      </c>
      <c r="MK16" s="3" t="s">
        <v>76</v>
      </c>
      <c r="ML16" s="3" t="s">
        <v>77</v>
      </c>
      <c r="MM16" s="3" t="s">
        <v>76</v>
      </c>
      <c r="MN16" s="3" t="s">
        <v>77</v>
      </c>
      <c r="MO16" s="3" t="s">
        <v>76</v>
      </c>
      <c r="MP16" s="3" t="s">
        <v>77</v>
      </c>
      <c r="MQ16" s="3" t="s">
        <v>76</v>
      </c>
      <c r="MR16" s="3" t="s">
        <v>77</v>
      </c>
      <c r="MS16" s="3" t="s">
        <v>76</v>
      </c>
      <c r="MT16" s="3" t="s">
        <v>77</v>
      </c>
      <c r="MU16" s="3" t="s">
        <v>76</v>
      </c>
      <c r="MV16" s="3" t="s">
        <v>77</v>
      </c>
      <c r="MW16" s="3" t="s">
        <v>76</v>
      </c>
      <c r="MX16" s="3" t="s">
        <v>77</v>
      </c>
      <c r="MY16" s="3" t="s">
        <v>76</v>
      </c>
      <c r="MZ16" s="3" t="s">
        <v>77</v>
      </c>
      <c r="NA16" s="3" t="s">
        <v>76</v>
      </c>
      <c r="NB16" s="3" t="s">
        <v>77</v>
      </c>
      <c r="NC16" s="3" t="s">
        <v>76</v>
      </c>
      <c r="ND16" s="3" t="s">
        <v>77</v>
      </c>
      <c r="NE16" s="3" t="s">
        <v>76</v>
      </c>
      <c r="NF16" s="3" t="s">
        <v>77</v>
      </c>
      <c r="NG16" s="3" t="s">
        <v>76</v>
      </c>
      <c r="NH16" s="3" t="s">
        <v>77</v>
      </c>
      <c r="NI16" s="3" t="s">
        <v>76</v>
      </c>
      <c r="NJ16" s="3" t="s">
        <v>77</v>
      </c>
      <c r="NK16" s="3" t="s">
        <v>76</v>
      </c>
      <c r="NL16" s="3" t="s">
        <v>77</v>
      </c>
      <c r="NM16" s="3" t="s">
        <v>76</v>
      </c>
      <c r="NN16" s="3" t="s">
        <v>77</v>
      </c>
      <c r="NO16" s="3" t="s">
        <v>76</v>
      </c>
      <c r="NP16" s="3" t="s">
        <v>77</v>
      </c>
      <c r="NQ16" s="3" t="s">
        <v>76</v>
      </c>
      <c r="NR16" s="3" t="s">
        <v>77</v>
      </c>
      <c r="NS16" s="3" t="s">
        <v>76</v>
      </c>
      <c r="NT16" s="3" t="s">
        <v>77</v>
      </c>
      <c r="NU16" s="3" t="s">
        <v>76</v>
      </c>
      <c r="NV16" s="3" t="s">
        <v>77</v>
      </c>
      <c r="NW16" s="3" t="s">
        <v>76</v>
      </c>
      <c r="NX16" s="3" t="s">
        <v>77</v>
      </c>
      <c r="NY16" s="3" t="s">
        <v>76</v>
      </c>
      <c r="NZ16" s="3" t="s">
        <v>77</v>
      </c>
      <c r="OA16" s="3" t="s">
        <v>76</v>
      </c>
      <c r="OB16" s="3" t="s">
        <v>77</v>
      </c>
      <c r="OC16" s="3" t="s">
        <v>76</v>
      </c>
      <c r="OD16" s="3" t="s">
        <v>77</v>
      </c>
      <c r="OE16" s="3" t="s">
        <v>76</v>
      </c>
      <c r="OF16" s="3" t="s">
        <v>77</v>
      </c>
      <c r="OG16" s="3" t="s">
        <v>76</v>
      </c>
      <c r="OH16" s="3" t="s">
        <v>77</v>
      </c>
      <c r="OI16" s="3" t="s">
        <v>76</v>
      </c>
      <c r="OJ16" s="3" t="s">
        <v>77</v>
      </c>
      <c r="OK16" s="3" t="s">
        <v>76</v>
      </c>
      <c r="OL16" s="3" t="s">
        <v>77</v>
      </c>
      <c r="OM16" s="3" t="s">
        <v>76</v>
      </c>
      <c r="ON16" s="3" t="s">
        <v>77</v>
      </c>
      <c r="OO16" s="3" t="s">
        <v>76</v>
      </c>
      <c r="OP16" s="3" t="s">
        <v>77</v>
      </c>
      <c r="OQ16" s="3" t="s">
        <v>76</v>
      </c>
      <c r="OR16" s="3" t="s">
        <v>77</v>
      </c>
      <c r="OS16" s="3" t="s">
        <v>76</v>
      </c>
      <c r="OT16" s="3" t="s">
        <v>77</v>
      </c>
      <c r="OU16" s="3" t="s">
        <v>76</v>
      </c>
      <c r="OV16" s="3" t="s">
        <v>77</v>
      </c>
      <c r="OW16" s="3" t="s">
        <v>76</v>
      </c>
      <c r="OX16" s="3" t="s">
        <v>77</v>
      </c>
      <c r="OY16" s="3" t="s">
        <v>76</v>
      </c>
      <c r="OZ16" s="3" t="s">
        <v>77</v>
      </c>
      <c r="PA16" s="3" t="s">
        <v>76</v>
      </c>
      <c r="PB16" s="3" t="s">
        <v>77</v>
      </c>
      <c r="PC16" s="3" t="s">
        <v>76</v>
      </c>
      <c r="PD16" s="3" t="s">
        <v>77</v>
      </c>
      <c r="PE16" s="3" t="s">
        <v>76</v>
      </c>
      <c r="PF16" s="3" t="s">
        <v>77</v>
      </c>
      <c r="PG16" s="3" t="s">
        <v>76</v>
      </c>
      <c r="PH16" s="3" t="s">
        <v>77</v>
      </c>
      <c r="PI16" s="3" t="s">
        <v>76</v>
      </c>
      <c r="PJ16" s="3" t="s">
        <v>77</v>
      </c>
      <c r="PK16" s="3" t="s">
        <v>76</v>
      </c>
      <c r="PL16" s="3" t="s">
        <v>77</v>
      </c>
      <c r="PM16" s="3" t="s">
        <v>76</v>
      </c>
      <c r="PN16" s="3" t="s">
        <v>77</v>
      </c>
      <c r="PO16" s="3" t="s">
        <v>76</v>
      </c>
      <c r="PP16" s="3" t="s">
        <v>77</v>
      </c>
      <c r="PQ16" s="3" t="s">
        <v>76</v>
      </c>
      <c r="PR16" s="3" t="s">
        <v>77</v>
      </c>
      <c r="PS16" s="3" t="s">
        <v>76</v>
      </c>
      <c r="PT16" s="3" t="s">
        <v>77</v>
      </c>
      <c r="PU16" s="3" t="s">
        <v>76</v>
      </c>
      <c r="PV16" s="3" t="s">
        <v>77</v>
      </c>
      <c r="PW16" s="3" t="s">
        <v>76</v>
      </c>
      <c r="PX16" s="3" t="s">
        <v>77</v>
      </c>
      <c r="PY16" s="3" t="s">
        <v>76</v>
      </c>
      <c r="PZ16" s="3" t="s">
        <v>77</v>
      </c>
      <c r="QA16" s="3" t="s">
        <v>76</v>
      </c>
      <c r="QB16" s="3" t="s">
        <v>77</v>
      </c>
      <c r="QC16" s="3" t="s">
        <v>76</v>
      </c>
      <c r="QD16" s="3" t="s">
        <v>77</v>
      </c>
      <c r="QE16" s="3" t="s">
        <v>76</v>
      </c>
      <c r="QF16" s="3" t="s">
        <v>77</v>
      </c>
      <c r="QG16" s="3" t="s">
        <v>76</v>
      </c>
      <c r="QH16" s="3" t="s">
        <v>77</v>
      </c>
      <c r="QI16" s="3" t="s">
        <v>76</v>
      </c>
      <c r="QJ16" s="3" t="s">
        <v>77</v>
      </c>
      <c r="QK16" s="3" t="s">
        <v>76</v>
      </c>
      <c r="QL16" s="3" t="s">
        <v>77</v>
      </c>
      <c r="QM16" s="3" t="s">
        <v>76</v>
      </c>
      <c r="QN16" s="3" t="s">
        <v>77</v>
      </c>
      <c r="QO16" s="3" t="s">
        <v>76</v>
      </c>
      <c r="QP16" s="3" t="s">
        <v>77</v>
      </c>
      <c r="QQ16" s="3" t="s">
        <v>76</v>
      </c>
      <c r="QR16" s="3" t="s">
        <v>77</v>
      </c>
      <c r="QS16" s="3" t="s">
        <v>76</v>
      </c>
      <c r="QT16" s="3" t="s">
        <v>77</v>
      </c>
      <c r="QU16" s="3" t="s">
        <v>76</v>
      </c>
      <c r="QV16" s="3" t="s">
        <v>77</v>
      </c>
      <c r="QW16" s="3" t="s">
        <v>76</v>
      </c>
      <c r="QX16" s="3" t="s">
        <v>77</v>
      </c>
      <c r="QY16" s="3" t="s">
        <v>76</v>
      </c>
      <c r="QZ16" s="3" t="s">
        <v>77</v>
      </c>
      <c r="RA16" s="3" t="s">
        <v>76</v>
      </c>
      <c r="RB16" s="3" t="s">
        <v>77</v>
      </c>
      <c r="RC16" s="3" t="s">
        <v>76</v>
      </c>
      <c r="RD16" s="3" t="s">
        <v>77</v>
      </c>
      <c r="RE16" s="3" t="s">
        <v>76</v>
      </c>
      <c r="RF16" s="3" t="s">
        <v>77</v>
      </c>
      <c r="RG16" s="3" t="s">
        <v>76</v>
      </c>
      <c r="RH16" s="3" t="s">
        <v>77</v>
      </c>
      <c r="RI16" s="3" t="s">
        <v>76</v>
      </c>
      <c r="RJ16" s="3" t="s">
        <v>77</v>
      </c>
      <c r="RK16" s="3" t="s">
        <v>76</v>
      </c>
      <c r="RL16" s="3" t="s">
        <v>77</v>
      </c>
      <c r="RM16" s="3" t="s">
        <v>76</v>
      </c>
      <c r="RN16" s="3" t="s">
        <v>77</v>
      </c>
      <c r="RO16" s="3" t="s">
        <v>76</v>
      </c>
      <c r="RP16" s="3" t="s">
        <v>77</v>
      </c>
      <c r="RQ16" s="3" t="s">
        <v>76</v>
      </c>
      <c r="RR16" s="3" t="s">
        <v>77</v>
      </c>
      <c r="RS16" s="3" t="s">
        <v>76</v>
      </c>
      <c r="RT16" s="3" t="s">
        <v>77</v>
      </c>
      <c r="RU16" s="3" t="s">
        <v>76</v>
      </c>
      <c r="RV16" s="3" t="s">
        <v>77</v>
      </c>
      <c r="RW16" s="3" t="s">
        <v>76</v>
      </c>
      <c r="RX16" s="3" t="s">
        <v>77</v>
      </c>
      <c r="RY16" s="3" t="s">
        <v>76</v>
      </c>
      <c r="RZ16" s="3" t="s">
        <v>77</v>
      </c>
      <c r="SA16" s="3" t="s">
        <v>76</v>
      </c>
      <c r="SB16" s="3" t="s">
        <v>77</v>
      </c>
      <c r="SC16" s="3" t="s">
        <v>76</v>
      </c>
      <c r="SD16" s="3" t="s">
        <v>77</v>
      </c>
      <c r="SE16" s="3" t="s">
        <v>76</v>
      </c>
      <c r="SF16" s="3" t="s">
        <v>77</v>
      </c>
      <c r="SG16" s="3" t="s">
        <v>76</v>
      </c>
      <c r="SH16" s="3" t="s">
        <v>77</v>
      </c>
      <c r="SI16" s="3" t="s">
        <v>76</v>
      </c>
      <c r="SJ16" s="3" t="s">
        <v>77</v>
      </c>
      <c r="SK16" s="3" t="s">
        <v>76</v>
      </c>
      <c r="SL16" s="3" t="s">
        <v>77</v>
      </c>
      <c r="SM16" s="3" t="s">
        <v>76</v>
      </c>
      <c r="SN16" s="3" t="s">
        <v>77</v>
      </c>
      <c r="SO16" s="3" t="s">
        <v>76</v>
      </c>
      <c r="SP16" s="3" t="s">
        <v>77</v>
      </c>
      <c r="SQ16" s="3" t="s">
        <v>76</v>
      </c>
      <c r="SR16" s="3" t="s">
        <v>77</v>
      </c>
      <c r="SS16" s="3" t="s">
        <v>76</v>
      </c>
      <c r="ST16" s="3" t="s">
        <v>77</v>
      </c>
      <c r="SU16" s="3" t="s">
        <v>76</v>
      </c>
      <c r="SV16" s="3" t="s">
        <v>77</v>
      </c>
      <c r="SW16" s="3" t="s">
        <v>76</v>
      </c>
      <c r="SX16" s="3" t="s">
        <v>77</v>
      </c>
      <c r="SY16" s="3" t="s">
        <v>76</v>
      </c>
      <c r="SZ16" s="3" t="s">
        <v>77</v>
      </c>
      <c r="TA16" s="3" t="s">
        <v>76</v>
      </c>
      <c r="TB16" s="3" t="s">
        <v>77</v>
      </c>
      <c r="TC16" s="3" t="s">
        <v>76</v>
      </c>
      <c r="TD16" s="3" t="s">
        <v>77</v>
      </c>
      <c r="TE16" s="3" t="s">
        <v>76</v>
      </c>
      <c r="TF16" s="3" t="s">
        <v>77</v>
      </c>
      <c r="TG16" s="3" t="s">
        <v>76</v>
      </c>
      <c r="TH16" s="3" t="s">
        <v>77</v>
      </c>
      <c r="TI16" s="3" t="s">
        <v>76</v>
      </c>
      <c r="TJ16" s="3" t="s">
        <v>77</v>
      </c>
      <c r="TK16" s="3" t="s">
        <v>76</v>
      </c>
      <c r="TL16" s="3" t="s">
        <v>77</v>
      </c>
      <c r="TM16" s="3" t="s">
        <v>76</v>
      </c>
      <c r="TN16" s="3" t="s">
        <v>77</v>
      </c>
      <c r="TO16" s="3" t="s">
        <v>76</v>
      </c>
      <c r="TP16" s="3" t="s">
        <v>77</v>
      </c>
      <c r="TQ16" s="3" t="s">
        <v>76</v>
      </c>
      <c r="TR16" s="3" t="s">
        <v>77</v>
      </c>
      <c r="TS16" s="3" t="s">
        <v>76</v>
      </c>
      <c r="TT16" s="3" t="s">
        <v>77</v>
      </c>
      <c r="TU16" s="3" t="s">
        <v>76</v>
      </c>
      <c r="TV16" s="3" t="s">
        <v>77</v>
      </c>
      <c r="TW16" s="3" t="s">
        <v>76</v>
      </c>
      <c r="TX16" s="3" t="s">
        <v>77</v>
      </c>
      <c r="TY16" s="3" t="s">
        <v>76</v>
      </c>
      <c r="TZ16" s="3" t="s">
        <v>77</v>
      </c>
      <c r="UA16" s="3" t="s">
        <v>76</v>
      </c>
      <c r="UB16" s="3" t="s">
        <v>77</v>
      </c>
      <c r="UC16" s="3" t="s">
        <v>76</v>
      </c>
      <c r="UD16" s="3" t="s">
        <v>77</v>
      </c>
      <c r="UE16" s="3" t="s">
        <v>76</v>
      </c>
      <c r="UF16" s="3" t="s">
        <v>77</v>
      </c>
      <c r="UG16" s="3" t="s">
        <v>76</v>
      </c>
      <c r="UH16" s="3" t="s">
        <v>77</v>
      </c>
      <c r="UI16" s="3" t="s">
        <v>76</v>
      </c>
      <c r="UJ16" s="3" t="s">
        <v>77</v>
      </c>
      <c r="UK16" s="3" t="s">
        <v>76</v>
      </c>
      <c r="UL16" s="3" t="s">
        <v>77</v>
      </c>
      <c r="UM16" s="3" t="s">
        <v>76</v>
      </c>
      <c r="UN16" s="3" t="s">
        <v>77</v>
      </c>
      <c r="UO16" s="3" t="s">
        <v>76</v>
      </c>
      <c r="UP16" s="3" t="s">
        <v>77</v>
      </c>
      <c r="UQ16" s="3" t="s">
        <v>76</v>
      </c>
      <c r="UR16" s="3" t="s">
        <v>77</v>
      </c>
      <c r="US16" s="3" t="s">
        <v>76</v>
      </c>
      <c r="UT16" s="3" t="s">
        <v>77</v>
      </c>
      <c r="UU16" s="3" t="s">
        <v>76</v>
      </c>
      <c r="UV16" s="3" t="s">
        <v>77</v>
      </c>
      <c r="UW16" s="3" t="s">
        <v>76</v>
      </c>
      <c r="UX16" s="3" t="s">
        <v>77</v>
      </c>
      <c r="UY16" s="3" t="s">
        <v>76</v>
      </c>
      <c r="UZ16" s="3" t="s">
        <v>77</v>
      </c>
      <c r="VA16" s="3" t="s">
        <v>76</v>
      </c>
      <c r="VB16" s="3" t="s">
        <v>77</v>
      </c>
      <c r="VC16" s="3" t="s">
        <v>76</v>
      </c>
      <c r="VD16" s="3" t="s">
        <v>77</v>
      </c>
      <c r="VE16" s="3" t="s">
        <v>76</v>
      </c>
      <c r="VF16" s="3" t="s">
        <v>77</v>
      </c>
      <c r="VG16" s="3" t="s">
        <v>76</v>
      </c>
      <c r="VH16" s="3" t="s">
        <v>77</v>
      </c>
      <c r="VI16" s="3" t="s">
        <v>76</v>
      </c>
      <c r="VJ16" s="3" t="s">
        <v>77</v>
      </c>
      <c r="VK16" s="3" t="s">
        <v>76</v>
      </c>
      <c r="VL16" s="3" t="s">
        <v>77</v>
      </c>
      <c r="VM16" s="3" t="s">
        <v>76</v>
      </c>
      <c r="VN16" s="3" t="s">
        <v>77</v>
      </c>
      <c r="VO16" s="3" t="s">
        <v>76</v>
      </c>
      <c r="VP16" s="3" t="s">
        <v>77</v>
      </c>
      <c r="VQ16" s="3" t="s">
        <v>76</v>
      </c>
      <c r="VR16" s="3" t="s">
        <v>77</v>
      </c>
      <c r="VS16" s="3" t="s">
        <v>76</v>
      </c>
      <c r="VT16" s="3" t="s">
        <v>77</v>
      </c>
      <c r="VU16" s="3" t="s">
        <v>76</v>
      </c>
      <c r="VV16" s="3" t="s">
        <v>77</v>
      </c>
      <c r="VW16" s="3" t="s">
        <v>76</v>
      </c>
      <c r="VX16" s="3" t="s">
        <v>77</v>
      </c>
      <c r="VY16" s="3" t="s">
        <v>76</v>
      </c>
      <c r="VZ16" s="3" t="s">
        <v>77</v>
      </c>
      <c r="WA16" s="3" t="s">
        <v>76</v>
      </c>
      <c r="WB16" s="3" t="s">
        <v>77</v>
      </c>
      <c r="WC16" s="3" t="s">
        <v>76</v>
      </c>
      <c r="WD16" s="3" t="s">
        <v>77</v>
      </c>
      <c r="WE16" s="3" t="s">
        <v>76</v>
      </c>
      <c r="WF16" s="3" t="s">
        <v>77</v>
      </c>
      <c r="WG16" s="3" t="s">
        <v>76</v>
      </c>
      <c r="WH16" s="3" t="s">
        <v>77</v>
      </c>
      <c r="WI16" s="3" t="s">
        <v>76</v>
      </c>
      <c r="WJ16" s="3" t="s">
        <v>77</v>
      </c>
      <c r="WK16" s="3" t="s">
        <v>76</v>
      </c>
      <c r="WL16" s="3" t="s">
        <v>77</v>
      </c>
      <c r="WM16" s="3" t="s">
        <v>76</v>
      </c>
      <c r="WN16" s="3" t="s">
        <v>77</v>
      </c>
      <c r="WO16" s="3" t="s">
        <v>76</v>
      </c>
      <c r="WP16" s="3" t="s">
        <v>77</v>
      </c>
      <c r="WQ16" s="3" t="s">
        <v>76</v>
      </c>
      <c r="WR16" s="3" t="s">
        <v>77</v>
      </c>
      <c r="WS16" s="3" t="s">
        <v>76</v>
      </c>
      <c r="WT16" s="3" t="s">
        <v>77</v>
      </c>
      <c r="WU16" s="3" t="s">
        <v>76</v>
      </c>
      <c r="WV16" s="3" t="s">
        <v>77</v>
      </c>
      <c r="WW16" s="3" t="s">
        <v>76</v>
      </c>
      <c r="WX16" s="3" t="s">
        <v>77</v>
      </c>
      <c r="WY16" s="3" t="s">
        <v>76</v>
      </c>
      <c r="WZ16" s="3" t="s">
        <v>77</v>
      </c>
      <c r="XA16" s="3" t="s">
        <v>76</v>
      </c>
      <c r="XB16" s="3" t="s">
        <v>77</v>
      </c>
      <c r="XC16" s="3" t="s">
        <v>76</v>
      </c>
      <c r="XD16" s="3" t="s">
        <v>77</v>
      </c>
      <c r="XE16" s="3" t="s">
        <v>76</v>
      </c>
      <c r="XF16" s="3" t="s">
        <v>77</v>
      </c>
      <c r="XG16" s="3" t="s">
        <v>76</v>
      </c>
      <c r="XH16" s="3" t="s">
        <v>77</v>
      </c>
      <c r="XI16" s="3" t="s">
        <v>76</v>
      </c>
      <c r="XJ16" s="3" t="s">
        <v>77</v>
      </c>
      <c r="XK16" s="3" t="s">
        <v>76</v>
      </c>
      <c r="XL16" s="3" t="s">
        <v>77</v>
      </c>
      <c r="XM16" s="3" t="s">
        <v>76</v>
      </c>
      <c r="XN16" s="3" t="s">
        <v>77</v>
      </c>
      <c r="XO16" s="3" t="s">
        <v>76</v>
      </c>
      <c r="XP16" s="3" t="s">
        <v>77</v>
      </c>
      <c r="XQ16" s="3" t="s">
        <v>76</v>
      </c>
      <c r="XR16" s="3" t="s">
        <v>77</v>
      </c>
      <c r="XS16" s="3" t="s">
        <v>76</v>
      </c>
      <c r="XT16" s="3" t="s">
        <v>77</v>
      </c>
      <c r="XU16" s="3" t="s">
        <v>76</v>
      </c>
      <c r="XV16" s="3" t="s">
        <v>77</v>
      </c>
      <c r="XW16" s="3" t="s">
        <v>76</v>
      </c>
      <c r="XX16" s="3" t="s">
        <v>77</v>
      </c>
      <c r="XY16" s="3" t="s">
        <v>76</v>
      </c>
      <c r="XZ16" s="3" t="s">
        <v>77</v>
      </c>
      <c r="YA16" s="3" t="s">
        <v>76</v>
      </c>
      <c r="YB16" s="3" t="s">
        <v>77</v>
      </c>
      <c r="YC16" s="3" t="s">
        <v>76</v>
      </c>
      <c r="YD16" s="3" t="s">
        <v>77</v>
      </c>
      <c r="YE16" s="3" t="s">
        <v>76</v>
      </c>
      <c r="YF16" s="3" t="s">
        <v>77</v>
      </c>
      <c r="YG16" s="3" t="s">
        <v>76</v>
      </c>
      <c r="YH16" s="3" t="s">
        <v>77</v>
      </c>
      <c r="YI16" s="3" t="s">
        <v>76</v>
      </c>
      <c r="YJ16" s="3" t="s">
        <v>77</v>
      </c>
      <c r="YK16" s="3" t="s">
        <v>76</v>
      </c>
      <c r="YL16" s="3" t="s">
        <v>77</v>
      </c>
      <c r="YM16" s="3" t="s">
        <v>76</v>
      </c>
      <c r="YN16" s="3" t="s">
        <v>77</v>
      </c>
      <c r="YO16" s="3" t="s">
        <v>76</v>
      </c>
      <c r="YP16" s="3" t="s">
        <v>77</v>
      </c>
      <c r="YQ16" s="3" t="s">
        <v>76</v>
      </c>
      <c r="YR16" s="3" t="s">
        <v>77</v>
      </c>
      <c r="YS16" s="3" t="s">
        <v>76</v>
      </c>
      <c r="YT16" s="3" t="s">
        <v>77</v>
      </c>
      <c r="YU16" s="3" t="s">
        <v>76</v>
      </c>
      <c r="YV16" s="3" t="s">
        <v>77</v>
      </c>
      <c r="YW16" s="3" t="s">
        <v>76</v>
      </c>
      <c r="YX16" s="3" t="s">
        <v>77</v>
      </c>
      <c r="YY16" s="3" t="s">
        <v>76</v>
      </c>
      <c r="YZ16" s="3" t="s">
        <v>77</v>
      </c>
      <c r="ZA16" s="3" t="s">
        <v>76</v>
      </c>
      <c r="ZB16" s="3" t="s">
        <v>77</v>
      </c>
      <c r="ZC16" s="3" t="s">
        <v>76</v>
      </c>
      <c r="ZD16" s="3" t="s">
        <v>77</v>
      </c>
      <c r="ZE16" s="3" t="s">
        <v>76</v>
      </c>
      <c r="ZF16" s="3" t="s">
        <v>77</v>
      </c>
      <c r="ZG16" s="3" t="s">
        <v>76</v>
      </c>
      <c r="ZH16" s="3" t="s">
        <v>77</v>
      </c>
      <c r="ZI16" s="3" t="s">
        <v>76</v>
      </c>
      <c r="ZJ16" s="3" t="s">
        <v>77</v>
      </c>
      <c r="ZK16" s="3" t="s">
        <v>76</v>
      </c>
      <c r="ZL16" s="3" t="s">
        <v>77</v>
      </c>
      <c r="ZM16" s="3" t="s">
        <v>76</v>
      </c>
      <c r="ZN16" s="3" t="s">
        <v>77</v>
      </c>
      <c r="ZO16" s="3" t="s">
        <v>76</v>
      </c>
      <c r="ZP16" s="3" t="s">
        <v>77</v>
      </c>
      <c r="ZQ16" s="3" t="s">
        <v>76</v>
      </c>
      <c r="ZR16" s="3" t="s">
        <v>77</v>
      </c>
      <c r="ZS16" s="3" t="s">
        <v>76</v>
      </c>
      <c r="ZT16" s="3" t="s">
        <v>77</v>
      </c>
      <c r="ZU16" s="3" t="s">
        <v>76</v>
      </c>
      <c r="ZV16" s="3" t="s">
        <v>77</v>
      </c>
      <c r="ZW16" s="3" t="s">
        <v>76</v>
      </c>
      <c r="ZX16" s="3" t="s">
        <v>77</v>
      </c>
      <c r="ZY16" s="3" t="s">
        <v>76</v>
      </c>
      <c r="ZZ16" s="3" t="s">
        <v>77</v>
      </c>
      <c r="AAA16" s="3" t="s">
        <v>76</v>
      </c>
      <c r="AAB16" s="3" t="s">
        <v>77</v>
      </c>
      <c r="AAC16" s="3" t="s">
        <v>76</v>
      </c>
      <c r="AAD16" s="3" t="s">
        <v>77</v>
      </c>
      <c r="AAE16" s="3" t="s">
        <v>76</v>
      </c>
      <c r="AAF16" s="3" t="s">
        <v>77</v>
      </c>
      <c r="AAG16" s="3" t="s">
        <v>76</v>
      </c>
      <c r="AAH16" s="3" t="s">
        <v>77</v>
      </c>
      <c r="AAI16" s="3" t="s">
        <v>76</v>
      </c>
      <c r="AAJ16" s="3" t="s">
        <v>77</v>
      </c>
      <c r="AAK16" s="3" t="s">
        <v>76</v>
      </c>
      <c r="AAL16" s="3" t="s">
        <v>77</v>
      </c>
      <c r="AAM16" s="3" t="s">
        <v>76</v>
      </c>
      <c r="AAN16" s="3" t="s">
        <v>77</v>
      </c>
      <c r="AAO16" s="3" t="s">
        <v>76</v>
      </c>
      <c r="AAP16" s="3" t="s">
        <v>77</v>
      </c>
      <c r="AAQ16" s="3" t="s">
        <v>76</v>
      </c>
      <c r="AAR16" s="3" t="s">
        <v>77</v>
      </c>
      <c r="AAS16" s="3" t="s">
        <v>76</v>
      </c>
      <c r="AAT16" s="3" t="s">
        <v>77</v>
      </c>
      <c r="AAU16" s="3" t="s">
        <v>76</v>
      </c>
      <c r="AAV16" s="3" t="s">
        <v>77</v>
      </c>
      <c r="AAW16" s="3" t="s">
        <v>76</v>
      </c>
      <c r="AAX16" s="3" t="s">
        <v>77</v>
      </c>
      <c r="AAY16" s="3" t="s">
        <v>76</v>
      </c>
      <c r="AAZ16" s="3" t="s">
        <v>77</v>
      </c>
      <c r="ABA16" s="3" t="s">
        <v>76</v>
      </c>
      <c r="ABB16" s="3" t="s">
        <v>77</v>
      </c>
      <c r="ABC16" s="3" t="s">
        <v>76</v>
      </c>
      <c r="ABD16" s="3" t="s">
        <v>77</v>
      </c>
      <c r="ABE16" s="3" t="s">
        <v>76</v>
      </c>
      <c r="ABF16" s="3" t="s">
        <v>77</v>
      </c>
      <c r="ABG16" s="3" t="s">
        <v>76</v>
      </c>
      <c r="ABH16" s="3" t="s">
        <v>77</v>
      </c>
      <c r="ABI16" s="3" t="s">
        <v>76</v>
      </c>
      <c r="ABJ16" s="3" t="s">
        <v>77</v>
      </c>
      <c r="ABK16" s="3" t="s">
        <v>76</v>
      </c>
      <c r="ABL16" s="3" t="s">
        <v>77</v>
      </c>
      <c r="ABM16" s="3" t="s">
        <v>76</v>
      </c>
      <c r="ABN16" s="3" t="s">
        <v>77</v>
      </c>
      <c r="ABO16" s="3" t="s">
        <v>76</v>
      </c>
      <c r="ABP16" s="3" t="s">
        <v>77</v>
      </c>
      <c r="ABQ16" s="3" t="s">
        <v>76</v>
      </c>
      <c r="ABR16" s="3" t="s">
        <v>77</v>
      </c>
      <c r="ABS16" s="3" t="s">
        <v>76</v>
      </c>
      <c r="ABT16" s="3" t="s">
        <v>77</v>
      </c>
      <c r="ABU16" s="3" t="s">
        <v>76</v>
      </c>
      <c r="ABV16" s="3" t="s">
        <v>77</v>
      </c>
      <c r="ABW16" s="3" t="s">
        <v>76</v>
      </c>
      <c r="ABX16" s="3" t="s">
        <v>77</v>
      </c>
      <c r="ABY16" s="3" t="s">
        <v>76</v>
      </c>
      <c r="ABZ16" s="3" t="s">
        <v>77</v>
      </c>
      <c r="ACA16" s="3" t="s">
        <v>76</v>
      </c>
      <c r="ACB16" s="3" t="s">
        <v>77</v>
      </c>
      <c r="ACC16" s="3" t="s">
        <v>76</v>
      </c>
      <c r="ACD16" s="3" t="s">
        <v>77</v>
      </c>
      <c r="ACE16" s="3" t="s">
        <v>76</v>
      </c>
      <c r="ACF16" s="3" t="s">
        <v>77</v>
      </c>
      <c r="ACG16" s="3" t="s">
        <v>76</v>
      </c>
      <c r="ACH16" s="3" t="s">
        <v>77</v>
      </c>
      <c r="ACI16" s="3" t="s">
        <v>76</v>
      </c>
      <c r="ACJ16" s="3" t="s">
        <v>77</v>
      </c>
      <c r="ACK16" s="3" t="s">
        <v>76</v>
      </c>
      <c r="ACL16" s="3" t="s">
        <v>77</v>
      </c>
      <c r="ACM16" s="3" t="s">
        <v>76</v>
      </c>
      <c r="ACN16" s="3" t="s">
        <v>77</v>
      </c>
      <c r="ACO16" s="3" t="s">
        <v>76</v>
      </c>
      <c r="ACP16" s="3" t="s">
        <v>77</v>
      </c>
      <c r="ACQ16" s="3" t="s">
        <v>76</v>
      </c>
      <c r="ACR16" s="3" t="s">
        <v>77</v>
      </c>
      <c r="ACS16" s="3" t="s">
        <v>76</v>
      </c>
      <c r="ACT16" s="3" t="s">
        <v>77</v>
      </c>
      <c r="ACU16" s="3" t="s">
        <v>76</v>
      </c>
      <c r="ACV16" s="3" t="s">
        <v>77</v>
      </c>
      <c r="ACW16" s="3" t="s">
        <v>76</v>
      </c>
      <c r="ACX16" s="3" t="s">
        <v>77</v>
      </c>
      <c r="ACY16" s="3" t="s">
        <v>76</v>
      </c>
      <c r="ACZ16" s="3" t="s">
        <v>77</v>
      </c>
      <c r="ADA16" s="3" t="s">
        <v>76</v>
      </c>
      <c r="ADB16" s="3" t="s">
        <v>77</v>
      </c>
      <c r="ADC16" s="3" t="s">
        <v>76</v>
      </c>
      <c r="ADD16" s="3" t="s">
        <v>77</v>
      </c>
      <c r="ADE16" s="3" t="s">
        <v>76</v>
      </c>
      <c r="ADF16" s="3" t="s">
        <v>77</v>
      </c>
      <c r="ADG16" s="3" t="s">
        <v>76</v>
      </c>
      <c r="ADH16" s="3" t="s">
        <v>77</v>
      </c>
      <c r="ADI16" s="3" t="s">
        <v>76</v>
      </c>
      <c r="ADJ16" s="3" t="s">
        <v>77</v>
      </c>
      <c r="ADK16" s="3" t="s">
        <v>76</v>
      </c>
      <c r="ADL16" s="3" t="s">
        <v>77</v>
      </c>
      <c r="ADM16" s="3" t="s">
        <v>76</v>
      </c>
      <c r="ADN16" s="3" t="s">
        <v>77</v>
      </c>
      <c r="ADO16" s="3" t="s">
        <v>76</v>
      </c>
      <c r="ADP16" s="3" t="s">
        <v>77</v>
      </c>
      <c r="ADQ16" s="3" t="s">
        <v>76</v>
      </c>
      <c r="ADR16" s="3" t="s">
        <v>77</v>
      </c>
      <c r="ADS16" s="3" t="s">
        <v>76</v>
      </c>
      <c r="ADT16" s="3" t="s">
        <v>77</v>
      </c>
      <c r="ADU16" s="3" t="s">
        <v>76</v>
      </c>
      <c r="ADV16" s="3" t="s">
        <v>77</v>
      </c>
      <c r="ADW16" s="3" t="s">
        <v>76</v>
      </c>
      <c r="ADX16" s="3" t="s">
        <v>77</v>
      </c>
      <c r="ADY16" s="3" t="s">
        <v>76</v>
      </c>
      <c r="ADZ16" s="3" t="s">
        <v>77</v>
      </c>
      <c r="AEA16" s="3" t="s">
        <v>76</v>
      </c>
      <c r="AEB16" s="3" t="s">
        <v>77</v>
      </c>
      <c r="AEC16" s="3" t="s">
        <v>76</v>
      </c>
      <c r="AED16" s="3" t="s">
        <v>77</v>
      </c>
      <c r="AEE16" s="3" t="s">
        <v>76</v>
      </c>
      <c r="AEF16" s="3" t="s">
        <v>77</v>
      </c>
      <c r="AEG16" s="3" t="s">
        <v>76</v>
      </c>
      <c r="AEH16" s="3" t="s">
        <v>77</v>
      </c>
      <c r="AEI16" s="3" t="s">
        <v>76</v>
      </c>
      <c r="AEJ16" s="3" t="s">
        <v>77</v>
      </c>
      <c r="AEK16" s="3" t="s">
        <v>76</v>
      </c>
      <c r="AEL16" s="3" t="s">
        <v>77</v>
      </c>
      <c r="AEM16" s="3" t="s">
        <v>76</v>
      </c>
      <c r="AEN16" s="3" t="s">
        <v>77</v>
      </c>
      <c r="AEO16" s="3" t="s">
        <v>76</v>
      </c>
      <c r="AEP16" s="3" t="s">
        <v>77</v>
      </c>
      <c r="AEQ16" s="3" t="s">
        <v>76</v>
      </c>
      <c r="AER16" s="3" t="s">
        <v>77</v>
      </c>
      <c r="AES16" s="3" t="s">
        <v>76</v>
      </c>
      <c r="AET16" s="3" t="s">
        <v>77</v>
      </c>
      <c r="AEU16" s="3" t="s">
        <v>76</v>
      </c>
      <c r="AEV16" s="3" t="s">
        <v>77</v>
      </c>
      <c r="AEW16" s="3" t="s">
        <v>76</v>
      </c>
      <c r="AEX16" s="3" t="s">
        <v>77</v>
      </c>
      <c r="AEY16" s="3" t="s">
        <v>76</v>
      </c>
      <c r="AEZ16" s="3" t="s">
        <v>77</v>
      </c>
      <c r="AFA16" s="3" t="s">
        <v>76</v>
      </c>
      <c r="AFB16" s="3" t="s">
        <v>77</v>
      </c>
      <c r="AFC16" s="3" t="s">
        <v>76</v>
      </c>
      <c r="AFD16" s="3" t="s">
        <v>77</v>
      </c>
      <c r="AFE16" s="3" t="s">
        <v>76</v>
      </c>
      <c r="AFF16" s="3" t="s">
        <v>77</v>
      </c>
      <c r="AFG16" s="3" t="s">
        <v>76</v>
      </c>
      <c r="AFH16" s="3" t="s">
        <v>77</v>
      </c>
      <c r="AFI16" s="3" t="s">
        <v>76</v>
      </c>
      <c r="AFJ16" s="3" t="s">
        <v>77</v>
      </c>
      <c r="AFK16" s="3" t="s">
        <v>76</v>
      </c>
      <c r="AFL16" s="3" t="s">
        <v>77</v>
      </c>
      <c r="AFM16" s="3" t="s">
        <v>76</v>
      </c>
      <c r="AFN16" s="3" t="s">
        <v>77</v>
      </c>
      <c r="AFO16" s="3" t="s">
        <v>76</v>
      </c>
      <c r="AFP16" s="3" t="s">
        <v>77</v>
      </c>
      <c r="AFQ16" s="3" t="s">
        <v>76</v>
      </c>
      <c r="AFR16" s="3" t="s">
        <v>77</v>
      </c>
      <c r="AFS16" s="3" t="s">
        <v>76</v>
      </c>
      <c r="AFT16" s="3" t="s">
        <v>77</v>
      </c>
      <c r="AFU16" s="3" t="s">
        <v>76</v>
      </c>
      <c r="AFV16" s="3" t="s">
        <v>77</v>
      </c>
      <c r="AFW16" s="3" t="s">
        <v>76</v>
      </c>
      <c r="AFX16" s="3" t="s">
        <v>77</v>
      </c>
      <c r="AFY16" s="3" t="s">
        <v>76</v>
      </c>
      <c r="AFZ16" s="3" t="s">
        <v>77</v>
      </c>
      <c r="AGA16" s="3" t="s">
        <v>76</v>
      </c>
      <c r="AGB16" s="3" t="s">
        <v>77</v>
      </c>
      <c r="AGC16" s="3" t="s">
        <v>76</v>
      </c>
      <c r="AGD16" s="3" t="s">
        <v>77</v>
      </c>
      <c r="AGE16" s="3" t="s">
        <v>76</v>
      </c>
      <c r="AGF16" s="3" t="s">
        <v>77</v>
      </c>
      <c r="AGG16" s="3" t="s">
        <v>76</v>
      </c>
      <c r="AGH16" s="3" t="s">
        <v>77</v>
      </c>
      <c r="AGI16" s="3" t="s">
        <v>76</v>
      </c>
      <c r="AGJ16" s="3" t="s">
        <v>77</v>
      </c>
      <c r="AGK16" s="3" t="s">
        <v>76</v>
      </c>
      <c r="AGL16" s="3" t="s">
        <v>77</v>
      </c>
      <c r="AGM16" s="3" t="s">
        <v>76</v>
      </c>
      <c r="AGN16" s="3" t="s">
        <v>77</v>
      </c>
      <c r="AGO16" s="3" t="s">
        <v>76</v>
      </c>
      <c r="AGP16" s="3" t="s">
        <v>77</v>
      </c>
      <c r="AGQ16" s="3" t="s">
        <v>76</v>
      </c>
      <c r="AGR16" s="3" t="s">
        <v>77</v>
      </c>
      <c r="AGS16" s="3" t="s">
        <v>76</v>
      </c>
      <c r="AGT16" s="3" t="s">
        <v>77</v>
      </c>
      <c r="AGU16" s="3" t="s">
        <v>76</v>
      </c>
      <c r="AGV16" s="3" t="s">
        <v>77</v>
      </c>
      <c r="AGW16" s="3" t="s">
        <v>76</v>
      </c>
      <c r="AGX16" s="3" t="s">
        <v>77</v>
      </c>
      <c r="AGY16" s="3" t="s">
        <v>76</v>
      </c>
      <c r="AGZ16" s="3" t="s">
        <v>77</v>
      </c>
      <c r="AHA16" s="3" t="s">
        <v>76</v>
      </c>
      <c r="AHB16" s="3" t="s">
        <v>77</v>
      </c>
      <c r="AHC16" s="3" t="s">
        <v>76</v>
      </c>
      <c r="AHD16" s="3" t="s">
        <v>77</v>
      </c>
      <c r="AHE16" s="3" t="s">
        <v>76</v>
      </c>
      <c r="AHF16" s="3" t="s">
        <v>77</v>
      </c>
      <c r="AHG16" s="3" t="s">
        <v>76</v>
      </c>
      <c r="AHH16" s="3" t="s">
        <v>77</v>
      </c>
      <c r="AHI16" s="3" t="s">
        <v>76</v>
      </c>
      <c r="AHJ16" s="3" t="s">
        <v>77</v>
      </c>
      <c r="AHK16" s="3" t="s">
        <v>76</v>
      </c>
      <c r="AHL16" s="3" t="s">
        <v>77</v>
      </c>
      <c r="AHM16" s="3" t="s">
        <v>76</v>
      </c>
      <c r="AHN16" s="3" t="s">
        <v>77</v>
      </c>
      <c r="AHO16" s="3" t="s">
        <v>76</v>
      </c>
      <c r="AHP16" s="3" t="s">
        <v>77</v>
      </c>
      <c r="AHQ16" s="3" t="s">
        <v>76</v>
      </c>
      <c r="AHR16" s="3" t="s">
        <v>77</v>
      </c>
      <c r="AHS16" s="3" t="s">
        <v>76</v>
      </c>
      <c r="AHT16" s="3" t="s">
        <v>77</v>
      </c>
      <c r="AHU16" s="3" t="s">
        <v>76</v>
      </c>
      <c r="AHV16" s="3" t="s">
        <v>77</v>
      </c>
      <c r="AHW16" s="3" t="s">
        <v>76</v>
      </c>
      <c r="AHX16" s="3" t="s">
        <v>77</v>
      </c>
      <c r="AHY16" s="3" t="s">
        <v>76</v>
      </c>
      <c r="AHZ16" s="3" t="s">
        <v>77</v>
      </c>
      <c r="AIA16" s="3" t="s">
        <v>76</v>
      </c>
      <c r="AIB16" s="3" t="s">
        <v>77</v>
      </c>
      <c r="AIC16" s="3" t="s">
        <v>76</v>
      </c>
      <c r="AID16" s="3" t="s">
        <v>77</v>
      </c>
      <c r="AIE16" s="3" t="s">
        <v>76</v>
      </c>
      <c r="AIF16" s="3" t="s">
        <v>77</v>
      </c>
      <c r="AIG16" s="3" t="s">
        <v>76</v>
      </c>
      <c r="AIH16" s="3" t="s">
        <v>77</v>
      </c>
      <c r="AII16" s="3" t="s">
        <v>76</v>
      </c>
      <c r="AIJ16" s="3" t="s">
        <v>77</v>
      </c>
      <c r="AIK16" s="3" t="s">
        <v>76</v>
      </c>
      <c r="AIL16" s="3" t="s">
        <v>77</v>
      </c>
      <c r="AIM16" s="3" t="s">
        <v>76</v>
      </c>
      <c r="AIN16" s="3" t="s">
        <v>77</v>
      </c>
      <c r="AIO16" s="3" t="s">
        <v>76</v>
      </c>
      <c r="AIP16" s="3" t="s">
        <v>77</v>
      </c>
      <c r="AIQ16" s="3" t="s">
        <v>76</v>
      </c>
      <c r="AIR16" s="3" t="s">
        <v>77</v>
      </c>
      <c r="AIS16" s="3" t="s">
        <v>76</v>
      </c>
      <c r="AIT16" s="3" t="s">
        <v>77</v>
      </c>
      <c r="AIU16" s="3" t="s">
        <v>76</v>
      </c>
      <c r="AIV16" s="3" t="s">
        <v>77</v>
      </c>
      <c r="AIW16" s="3" t="s">
        <v>76</v>
      </c>
      <c r="AIX16" s="3" t="s">
        <v>77</v>
      </c>
      <c r="AIY16" s="3" t="s">
        <v>76</v>
      </c>
      <c r="AIZ16" s="3" t="s">
        <v>77</v>
      </c>
      <c r="AJA16" s="3" t="s">
        <v>76</v>
      </c>
      <c r="AJB16" s="3" t="s">
        <v>77</v>
      </c>
      <c r="AJC16" s="3" t="s">
        <v>76</v>
      </c>
      <c r="AJD16" s="3" t="s">
        <v>77</v>
      </c>
      <c r="AJE16" s="3" t="s">
        <v>76</v>
      </c>
      <c r="AJF16" s="3" t="s">
        <v>77</v>
      </c>
      <c r="AJG16" s="3" t="s">
        <v>76</v>
      </c>
      <c r="AJH16" s="3" t="s">
        <v>77</v>
      </c>
      <c r="AJI16" s="3" t="s">
        <v>76</v>
      </c>
      <c r="AJJ16" s="3" t="s">
        <v>77</v>
      </c>
      <c r="AJK16" s="3" t="s">
        <v>76</v>
      </c>
      <c r="AJL16" s="3" t="s">
        <v>77</v>
      </c>
      <c r="AJM16" s="3" t="s">
        <v>76</v>
      </c>
      <c r="AJN16" s="3" t="s">
        <v>77</v>
      </c>
      <c r="AJO16" s="3" t="s">
        <v>76</v>
      </c>
      <c r="AJP16" s="3" t="s">
        <v>77</v>
      </c>
      <c r="AJQ16" s="3" t="s">
        <v>76</v>
      </c>
      <c r="AJR16" s="3" t="s">
        <v>77</v>
      </c>
      <c r="AJS16" s="3" t="s">
        <v>76</v>
      </c>
      <c r="AJT16" s="3" t="s">
        <v>77</v>
      </c>
      <c r="AJU16" s="3" t="s">
        <v>76</v>
      </c>
      <c r="AJV16" s="3" t="s">
        <v>77</v>
      </c>
      <c r="AJW16" s="3" t="s">
        <v>76</v>
      </c>
      <c r="AJX16" s="3" t="s">
        <v>77</v>
      </c>
      <c r="AJY16" s="3" t="s">
        <v>76</v>
      </c>
      <c r="AJZ16" s="3" t="s">
        <v>77</v>
      </c>
      <c r="AKA16" s="3" t="s">
        <v>76</v>
      </c>
      <c r="AKB16" s="3" t="s">
        <v>77</v>
      </c>
      <c r="AKC16" s="3" t="s">
        <v>76</v>
      </c>
      <c r="AKD16" s="3" t="s">
        <v>77</v>
      </c>
      <c r="AKE16" s="3" t="s">
        <v>76</v>
      </c>
      <c r="AKF16" s="3" t="s">
        <v>77</v>
      </c>
      <c r="AKG16" s="3" t="s">
        <v>76</v>
      </c>
      <c r="AKH16" s="3" t="s">
        <v>77</v>
      </c>
      <c r="AKI16" s="3" t="s">
        <v>76</v>
      </c>
      <c r="AKJ16" s="3" t="s">
        <v>77</v>
      </c>
      <c r="AKK16" s="3" t="s">
        <v>76</v>
      </c>
      <c r="AKL16" s="3" t="s">
        <v>77</v>
      </c>
      <c r="AKM16" s="3" t="s">
        <v>76</v>
      </c>
      <c r="AKN16" s="3" t="s">
        <v>77</v>
      </c>
      <c r="AKO16" s="3" t="s">
        <v>76</v>
      </c>
      <c r="AKP16" s="3" t="s">
        <v>77</v>
      </c>
      <c r="AKQ16" s="3" t="s">
        <v>76</v>
      </c>
      <c r="AKR16" s="3" t="s">
        <v>77</v>
      </c>
      <c r="AKS16" s="3" t="s">
        <v>76</v>
      </c>
      <c r="AKT16" s="3" t="s">
        <v>77</v>
      </c>
      <c r="AKU16" s="3" t="s">
        <v>76</v>
      </c>
      <c r="AKV16" s="3" t="s">
        <v>77</v>
      </c>
      <c r="AKW16" s="3" t="s">
        <v>76</v>
      </c>
      <c r="AKX16" s="3" t="s">
        <v>77</v>
      </c>
      <c r="AKY16" s="3" t="s">
        <v>76</v>
      </c>
      <c r="AKZ16" s="3" t="s">
        <v>77</v>
      </c>
      <c r="ALA16" s="3" t="s">
        <v>76</v>
      </c>
      <c r="ALB16" s="3" t="s">
        <v>77</v>
      </c>
      <c r="ALC16" s="3" t="s">
        <v>76</v>
      </c>
      <c r="ALD16" s="3" t="s">
        <v>77</v>
      </c>
      <c r="ALE16" s="3" t="s">
        <v>76</v>
      </c>
      <c r="ALF16" s="3" t="s">
        <v>77</v>
      </c>
      <c r="ALG16" s="3" t="s">
        <v>76</v>
      </c>
      <c r="ALH16" s="3" t="s">
        <v>77</v>
      </c>
      <c r="ALI16" s="3" t="s">
        <v>76</v>
      </c>
      <c r="ALJ16" s="3" t="s">
        <v>77</v>
      </c>
      <c r="ALK16" s="3" t="s">
        <v>76</v>
      </c>
      <c r="ALL16" s="3" t="s">
        <v>77</v>
      </c>
      <c r="ALM16" s="3" t="s">
        <v>76</v>
      </c>
      <c r="ALN16" s="3" t="s">
        <v>77</v>
      </c>
      <c r="ALO16" s="3" t="s">
        <v>76</v>
      </c>
      <c r="ALP16" s="3" t="s">
        <v>77</v>
      </c>
      <c r="ALQ16" s="3" t="s">
        <v>76</v>
      </c>
      <c r="ALR16" s="3" t="s">
        <v>77</v>
      </c>
      <c r="ALS16" s="3" t="s">
        <v>76</v>
      </c>
      <c r="ALT16" s="3" t="s">
        <v>77</v>
      </c>
      <c r="ALU16" s="3" t="s">
        <v>76</v>
      </c>
      <c r="ALV16" s="3" t="s">
        <v>77</v>
      </c>
      <c r="ALW16" s="3" t="s">
        <v>76</v>
      </c>
      <c r="ALX16" s="3" t="s">
        <v>77</v>
      </c>
      <c r="ALY16" s="3" t="s">
        <v>76</v>
      </c>
      <c r="ALZ16" s="3" t="s">
        <v>77</v>
      </c>
      <c r="AMA16" s="3" t="s">
        <v>76</v>
      </c>
      <c r="AMB16" s="3" t="s">
        <v>77</v>
      </c>
      <c r="AMC16" s="3" t="s">
        <v>76</v>
      </c>
      <c r="AMD16" s="3" t="s">
        <v>77</v>
      </c>
      <c r="AME16" s="3" t="s">
        <v>76</v>
      </c>
      <c r="AMF16" s="3" t="s">
        <v>77</v>
      </c>
      <c r="AMG16" s="3" t="s">
        <v>76</v>
      </c>
      <c r="AMH16" s="3" t="s">
        <v>77</v>
      </c>
      <c r="AMI16" s="3" t="s">
        <v>76</v>
      </c>
      <c r="AMJ16" s="3" t="s">
        <v>77</v>
      </c>
      <c r="AMK16" s="3" t="s">
        <v>76</v>
      </c>
      <c r="AML16" s="3" t="s">
        <v>77</v>
      </c>
      <c r="AMM16" s="3" t="s">
        <v>76</v>
      </c>
      <c r="AMN16" s="3" t="s">
        <v>77</v>
      </c>
      <c r="AMO16" s="3" t="s">
        <v>76</v>
      </c>
      <c r="AMP16" s="3" t="s">
        <v>77</v>
      </c>
      <c r="AMQ16" s="3" t="s">
        <v>76</v>
      </c>
      <c r="AMR16" s="3" t="s">
        <v>77</v>
      </c>
      <c r="AMS16" s="3" t="s">
        <v>76</v>
      </c>
      <c r="AMT16" s="3" t="s">
        <v>77</v>
      </c>
      <c r="AMU16" s="3" t="s">
        <v>76</v>
      </c>
      <c r="AMV16" s="3" t="s">
        <v>77</v>
      </c>
      <c r="AMW16" s="3" t="s">
        <v>76</v>
      </c>
      <c r="AMX16" s="3" t="s">
        <v>77</v>
      </c>
      <c r="AMY16" s="3" t="s">
        <v>76</v>
      </c>
      <c r="AMZ16" s="3" t="s">
        <v>77</v>
      </c>
      <c r="ANA16" s="3" t="s">
        <v>76</v>
      </c>
      <c r="ANB16" s="3" t="s">
        <v>77</v>
      </c>
      <c r="ANC16" s="3" t="s">
        <v>76</v>
      </c>
      <c r="AND16" s="3" t="s">
        <v>77</v>
      </c>
      <c r="ANE16" s="3" t="s">
        <v>76</v>
      </c>
      <c r="ANF16" s="3" t="s">
        <v>77</v>
      </c>
      <c r="ANG16" s="3" t="s">
        <v>76</v>
      </c>
      <c r="ANH16" s="3" t="s">
        <v>77</v>
      </c>
      <c r="ANI16" s="3" t="s">
        <v>76</v>
      </c>
      <c r="ANJ16" s="3" t="s">
        <v>77</v>
      </c>
      <c r="ANK16" s="3" t="s">
        <v>76</v>
      </c>
      <c r="ANL16" s="3" t="s">
        <v>77</v>
      </c>
      <c r="ANM16" s="3" t="s">
        <v>76</v>
      </c>
      <c r="ANN16" s="3" t="s">
        <v>77</v>
      </c>
      <c r="ANO16" s="3" t="s">
        <v>76</v>
      </c>
      <c r="ANP16" s="3" t="s">
        <v>77</v>
      </c>
      <c r="ANQ16" s="3" t="s">
        <v>76</v>
      </c>
      <c r="ANR16" s="3" t="s">
        <v>77</v>
      </c>
      <c r="ANS16" s="3" t="s">
        <v>76</v>
      </c>
      <c r="ANT16" s="3" t="s">
        <v>77</v>
      </c>
      <c r="ANU16" s="3" t="s">
        <v>76</v>
      </c>
      <c r="ANV16" s="3" t="s">
        <v>77</v>
      </c>
      <c r="ANW16" s="3" t="s">
        <v>76</v>
      </c>
      <c r="ANX16" s="3" t="s">
        <v>77</v>
      </c>
      <c r="ANY16" s="3" t="s">
        <v>76</v>
      </c>
      <c r="ANZ16" s="3" t="s">
        <v>77</v>
      </c>
      <c r="AOA16" s="3" t="s">
        <v>76</v>
      </c>
      <c r="AOB16" s="3" t="s">
        <v>77</v>
      </c>
      <c r="AOC16" s="3" t="s">
        <v>76</v>
      </c>
      <c r="AOD16" s="3" t="s">
        <v>77</v>
      </c>
      <c r="AOE16" s="3" t="s">
        <v>76</v>
      </c>
      <c r="AOF16" s="3" t="s">
        <v>77</v>
      </c>
      <c r="AOG16" s="3" t="s">
        <v>76</v>
      </c>
      <c r="AOH16" s="3" t="s">
        <v>77</v>
      </c>
      <c r="AOI16" s="3" t="s">
        <v>76</v>
      </c>
      <c r="AOJ16" s="3" t="s">
        <v>77</v>
      </c>
      <c r="AOK16" s="3" t="s">
        <v>76</v>
      </c>
      <c r="AOL16" s="3" t="s">
        <v>77</v>
      </c>
      <c r="AOM16" s="3" t="s">
        <v>76</v>
      </c>
      <c r="AON16" s="3" t="s">
        <v>77</v>
      </c>
      <c r="AOO16" s="3" t="s">
        <v>76</v>
      </c>
      <c r="AOP16" s="3" t="s">
        <v>77</v>
      </c>
      <c r="AOQ16" s="3" t="s">
        <v>76</v>
      </c>
      <c r="AOR16" s="3" t="s">
        <v>77</v>
      </c>
      <c r="AOS16" s="3" t="s">
        <v>76</v>
      </c>
      <c r="AOT16" s="3" t="s">
        <v>77</v>
      </c>
      <c r="AOU16" s="3" t="s">
        <v>76</v>
      </c>
      <c r="AOV16" s="3" t="s">
        <v>77</v>
      </c>
      <c r="AOW16" s="3" t="s">
        <v>76</v>
      </c>
      <c r="AOX16" s="3" t="s">
        <v>77</v>
      </c>
      <c r="AOY16" s="3" t="s">
        <v>76</v>
      </c>
      <c r="AOZ16" s="3" t="s">
        <v>77</v>
      </c>
      <c r="APA16" s="3" t="s">
        <v>76</v>
      </c>
      <c r="APB16" s="3" t="s">
        <v>77</v>
      </c>
      <c r="APC16" s="3" t="s">
        <v>76</v>
      </c>
      <c r="APD16" s="3" t="s">
        <v>77</v>
      </c>
      <c r="APE16" s="3" t="s">
        <v>76</v>
      </c>
      <c r="APF16" s="3" t="s">
        <v>77</v>
      </c>
      <c r="APG16" s="3" t="s">
        <v>76</v>
      </c>
      <c r="APH16" s="3" t="s">
        <v>77</v>
      </c>
      <c r="API16" s="3" t="s">
        <v>76</v>
      </c>
      <c r="APJ16" s="3" t="s">
        <v>77</v>
      </c>
      <c r="APK16" s="3" t="s">
        <v>76</v>
      </c>
      <c r="APL16" s="3" t="s">
        <v>77</v>
      </c>
      <c r="APM16" s="3" t="s">
        <v>76</v>
      </c>
      <c r="APN16" s="3" t="s">
        <v>77</v>
      </c>
      <c r="APO16" s="3" t="s">
        <v>76</v>
      </c>
      <c r="APP16" s="3" t="s">
        <v>77</v>
      </c>
      <c r="APQ16" s="3" t="s">
        <v>76</v>
      </c>
      <c r="APR16" s="3" t="s">
        <v>77</v>
      </c>
      <c r="APS16" s="3" t="s">
        <v>76</v>
      </c>
      <c r="APT16" s="3" t="s">
        <v>77</v>
      </c>
      <c r="APU16" s="3" t="s">
        <v>76</v>
      </c>
      <c r="APV16" s="3" t="s">
        <v>77</v>
      </c>
      <c r="APW16" s="3" t="s">
        <v>76</v>
      </c>
      <c r="APX16" s="3" t="s">
        <v>77</v>
      </c>
      <c r="APY16" s="3" t="s">
        <v>76</v>
      </c>
      <c r="APZ16" s="3" t="s">
        <v>77</v>
      </c>
      <c r="AQA16" s="3" t="s">
        <v>76</v>
      </c>
      <c r="AQB16" s="3" t="s">
        <v>77</v>
      </c>
      <c r="AQC16" s="3" t="s">
        <v>76</v>
      </c>
      <c r="AQD16" s="3" t="s">
        <v>77</v>
      </c>
      <c r="AQE16" s="3" t="s">
        <v>76</v>
      </c>
      <c r="AQF16" s="3" t="s">
        <v>77</v>
      </c>
      <c r="AQG16" s="3" t="s">
        <v>76</v>
      </c>
      <c r="AQH16" s="3" t="s">
        <v>77</v>
      </c>
      <c r="AQI16" s="3" t="s">
        <v>76</v>
      </c>
      <c r="AQJ16" s="3" t="s">
        <v>77</v>
      </c>
      <c r="AQK16" s="3" t="s">
        <v>76</v>
      </c>
      <c r="AQL16" s="3" t="s">
        <v>77</v>
      </c>
      <c r="AQM16" s="3" t="s">
        <v>76</v>
      </c>
      <c r="AQN16" s="3" t="s">
        <v>77</v>
      </c>
      <c r="AQO16" s="3" t="s">
        <v>76</v>
      </c>
      <c r="AQP16" s="3" t="s">
        <v>77</v>
      </c>
      <c r="AQQ16" s="3" t="s">
        <v>76</v>
      </c>
      <c r="AQR16" s="3" t="s">
        <v>77</v>
      </c>
      <c r="AQS16" s="3" t="s">
        <v>76</v>
      </c>
      <c r="AQT16" s="3" t="s">
        <v>77</v>
      </c>
      <c r="AQU16" s="3" t="s">
        <v>76</v>
      </c>
      <c r="AQV16" s="3" t="s">
        <v>77</v>
      </c>
      <c r="AQW16" s="3" t="s">
        <v>76</v>
      </c>
      <c r="AQX16" s="3" t="s">
        <v>77</v>
      </c>
      <c r="AQY16" s="3" t="s">
        <v>76</v>
      </c>
      <c r="AQZ16" s="3" t="s">
        <v>77</v>
      </c>
      <c r="ARA16" s="3" t="s">
        <v>76</v>
      </c>
      <c r="ARB16" s="3" t="s">
        <v>77</v>
      </c>
      <c r="ARC16" s="3" t="s">
        <v>76</v>
      </c>
      <c r="ARD16" s="3" t="s">
        <v>77</v>
      </c>
      <c r="ARE16" s="3" t="s">
        <v>76</v>
      </c>
      <c r="ARF16" s="3" t="s">
        <v>77</v>
      </c>
      <c r="ARG16" s="3" t="s">
        <v>76</v>
      </c>
      <c r="ARH16" s="3" t="s">
        <v>77</v>
      </c>
      <c r="ARI16" s="3" t="s">
        <v>76</v>
      </c>
      <c r="ARJ16" s="3" t="s">
        <v>77</v>
      </c>
      <c r="ARK16" s="3" t="s">
        <v>76</v>
      </c>
      <c r="ARL16" s="3" t="s">
        <v>77</v>
      </c>
      <c r="ARM16" s="3" t="s">
        <v>76</v>
      </c>
      <c r="ARN16" s="3" t="s">
        <v>77</v>
      </c>
      <c r="ARO16" s="3" t="s">
        <v>76</v>
      </c>
      <c r="ARP16" s="3" t="s">
        <v>77</v>
      </c>
      <c r="ARQ16" s="3" t="s">
        <v>76</v>
      </c>
      <c r="ARR16" s="3" t="s">
        <v>77</v>
      </c>
      <c r="ARS16" s="3" t="s">
        <v>76</v>
      </c>
      <c r="ART16" s="3" t="s">
        <v>77</v>
      </c>
      <c r="ARU16" s="3" t="s">
        <v>76</v>
      </c>
      <c r="ARV16" s="3" t="s">
        <v>77</v>
      </c>
      <c r="ARW16" s="3" t="s">
        <v>76</v>
      </c>
      <c r="ARX16" s="3" t="s">
        <v>77</v>
      </c>
      <c r="ARY16" s="3" t="s">
        <v>76</v>
      </c>
      <c r="ARZ16" s="3" t="s">
        <v>77</v>
      </c>
      <c r="ASA16" s="3" t="s">
        <v>76</v>
      </c>
      <c r="ASB16" s="3" t="s">
        <v>77</v>
      </c>
      <c r="ASC16" s="3" t="s">
        <v>76</v>
      </c>
      <c r="ASD16" s="3" t="s">
        <v>77</v>
      </c>
      <c r="ASE16" s="3" t="s">
        <v>76</v>
      </c>
      <c r="ASF16" s="3" t="s">
        <v>77</v>
      </c>
      <c r="ASG16" s="3" t="s">
        <v>76</v>
      </c>
      <c r="ASH16" s="3" t="s">
        <v>77</v>
      </c>
      <c r="ASI16" s="3" t="s">
        <v>76</v>
      </c>
      <c r="ASJ16" s="3" t="s">
        <v>77</v>
      </c>
      <c r="ASK16" s="3" t="s">
        <v>76</v>
      </c>
      <c r="ASL16" s="3" t="s">
        <v>77</v>
      </c>
      <c r="ASM16" s="3" t="s">
        <v>76</v>
      </c>
      <c r="ASN16" s="3" t="s">
        <v>77</v>
      </c>
      <c r="ASO16" s="3" t="s">
        <v>76</v>
      </c>
      <c r="ASP16" s="3" t="s">
        <v>77</v>
      </c>
      <c r="ASQ16" s="3" t="s">
        <v>76</v>
      </c>
      <c r="ASR16" s="3" t="s">
        <v>77</v>
      </c>
      <c r="ASS16" s="3" t="s">
        <v>76</v>
      </c>
      <c r="AST16" s="3" t="s">
        <v>77</v>
      </c>
      <c r="ASU16" s="3" t="s">
        <v>76</v>
      </c>
      <c r="ASV16" s="3" t="s">
        <v>77</v>
      </c>
      <c r="ASW16" s="3" t="s">
        <v>76</v>
      </c>
      <c r="ASX16" s="3" t="s">
        <v>77</v>
      </c>
      <c r="ASY16" s="3" t="s">
        <v>76</v>
      </c>
      <c r="ASZ16" s="3" t="s">
        <v>77</v>
      </c>
      <c r="ATA16" s="3" t="s">
        <v>76</v>
      </c>
      <c r="ATB16" s="3" t="s">
        <v>77</v>
      </c>
      <c r="ATC16" s="3" t="s">
        <v>76</v>
      </c>
      <c r="ATD16" s="3" t="s">
        <v>77</v>
      </c>
      <c r="ATE16" s="3" t="s">
        <v>76</v>
      </c>
      <c r="ATF16" s="3" t="s">
        <v>77</v>
      </c>
      <c r="ATG16" s="3" t="s">
        <v>76</v>
      </c>
      <c r="ATH16" s="3" t="s">
        <v>77</v>
      </c>
      <c r="ATI16" s="3" t="s">
        <v>76</v>
      </c>
      <c r="ATJ16" s="3" t="s">
        <v>77</v>
      </c>
      <c r="ATK16" s="3" t="s">
        <v>76</v>
      </c>
      <c r="ATL16" s="3" t="s">
        <v>77</v>
      </c>
      <c r="ATM16" s="3" t="s">
        <v>76</v>
      </c>
      <c r="ATN16" s="3" t="s">
        <v>77</v>
      </c>
      <c r="ATO16" s="3" t="s">
        <v>76</v>
      </c>
      <c r="ATP16" s="3" t="s">
        <v>77</v>
      </c>
      <c r="ATQ16" s="3" t="s">
        <v>76</v>
      </c>
      <c r="ATR16" s="3" t="s">
        <v>77</v>
      </c>
      <c r="ATS16" s="3" t="s">
        <v>76</v>
      </c>
      <c r="ATT16" s="3" t="s">
        <v>77</v>
      </c>
      <c r="ATU16" s="3" t="s">
        <v>76</v>
      </c>
      <c r="ATV16" s="3" t="s">
        <v>77</v>
      </c>
      <c r="ATW16" s="3" t="s">
        <v>76</v>
      </c>
      <c r="ATX16" s="3" t="s">
        <v>77</v>
      </c>
      <c r="ATY16" s="3" t="s">
        <v>76</v>
      </c>
      <c r="ATZ16" s="3" t="s">
        <v>77</v>
      </c>
      <c r="AUA16" s="3" t="s">
        <v>76</v>
      </c>
      <c r="AUB16" s="3" t="s">
        <v>77</v>
      </c>
      <c r="AUC16" s="3" t="s">
        <v>76</v>
      </c>
      <c r="AUD16" s="3" t="s">
        <v>77</v>
      </c>
      <c r="AUE16" s="3" t="s">
        <v>76</v>
      </c>
      <c r="AUF16" s="3" t="s">
        <v>77</v>
      </c>
      <c r="AUG16" s="3" t="s">
        <v>76</v>
      </c>
      <c r="AUH16" s="3" t="s">
        <v>77</v>
      </c>
      <c r="AUI16" s="3" t="s">
        <v>76</v>
      </c>
      <c r="AUJ16" s="3" t="s">
        <v>77</v>
      </c>
      <c r="AUK16" s="3" t="s">
        <v>76</v>
      </c>
      <c r="AUL16" s="3" t="s">
        <v>77</v>
      </c>
      <c r="AUM16" s="3" t="s">
        <v>76</v>
      </c>
      <c r="AUN16" s="3" t="s">
        <v>77</v>
      </c>
      <c r="AUO16" s="3" t="s">
        <v>76</v>
      </c>
      <c r="AUP16" s="3" t="s">
        <v>77</v>
      </c>
      <c r="AUQ16" s="3" t="s">
        <v>76</v>
      </c>
      <c r="AUR16" s="3" t="s">
        <v>77</v>
      </c>
      <c r="AUS16" s="3" t="s">
        <v>76</v>
      </c>
      <c r="AUT16" s="3" t="s">
        <v>77</v>
      </c>
      <c r="AUU16" s="3" t="s">
        <v>76</v>
      </c>
      <c r="AUV16" s="3" t="s">
        <v>77</v>
      </c>
      <c r="AUW16" s="3" t="s">
        <v>76</v>
      </c>
      <c r="AUX16" s="3" t="s">
        <v>77</v>
      </c>
      <c r="AUY16" s="3" t="s">
        <v>76</v>
      </c>
      <c r="AUZ16" s="3" t="s">
        <v>77</v>
      </c>
      <c r="AVA16" s="3" t="s">
        <v>76</v>
      </c>
      <c r="AVB16" s="3" t="s">
        <v>77</v>
      </c>
      <c r="AVC16" s="3" t="s">
        <v>76</v>
      </c>
      <c r="AVD16" s="3" t="s">
        <v>77</v>
      </c>
      <c r="AVE16" s="3" t="s">
        <v>76</v>
      </c>
      <c r="AVF16" s="3" t="s">
        <v>77</v>
      </c>
      <c r="AVG16" s="3" t="s">
        <v>76</v>
      </c>
      <c r="AVH16" s="3" t="s">
        <v>77</v>
      </c>
      <c r="AVI16" s="3" t="s">
        <v>76</v>
      </c>
      <c r="AVJ16" s="3" t="s">
        <v>77</v>
      </c>
      <c r="AVK16" s="3" t="s">
        <v>76</v>
      </c>
      <c r="AVL16" s="3" t="s">
        <v>77</v>
      </c>
      <c r="AVM16" s="3" t="s">
        <v>76</v>
      </c>
      <c r="AVN16" s="3" t="s">
        <v>77</v>
      </c>
      <c r="AVO16" s="3" t="s">
        <v>76</v>
      </c>
      <c r="AVP16" s="3" t="s">
        <v>77</v>
      </c>
      <c r="AVQ16" s="3" t="s">
        <v>76</v>
      </c>
      <c r="AVR16" s="3" t="s">
        <v>77</v>
      </c>
      <c r="AVS16" s="3" t="s">
        <v>76</v>
      </c>
      <c r="AVT16" s="3" t="s">
        <v>77</v>
      </c>
      <c r="AVU16" s="3" t="s">
        <v>76</v>
      </c>
      <c r="AVV16" s="3" t="s">
        <v>77</v>
      </c>
      <c r="AVW16" s="3" t="s">
        <v>76</v>
      </c>
      <c r="AVX16" s="3" t="s">
        <v>77</v>
      </c>
      <c r="AVY16" s="3" t="s">
        <v>76</v>
      </c>
      <c r="AVZ16" s="3" t="s">
        <v>77</v>
      </c>
      <c r="AWA16" s="3" t="s">
        <v>76</v>
      </c>
      <c r="AWB16" s="3" t="s">
        <v>77</v>
      </c>
      <c r="AWC16" s="3" t="s">
        <v>76</v>
      </c>
      <c r="AWD16" s="3" t="s">
        <v>77</v>
      </c>
      <c r="AWE16" s="3" t="s">
        <v>76</v>
      </c>
      <c r="AWF16" s="3" t="s">
        <v>77</v>
      </c>
      <c r="AWG16" s="3" t="s">
        <v>76</v>
      </c>
      <c r="AWH16" s="3" t="s">
        <v>77</v>
      </c>
      <c r="AWI16" s="3" t="s">
        <v>76</v>
      </c>
      <c r="AWJ16" s="3" t="s">
        <v>77</v>
      </c>
      <c r="AWK16" s="3" t="s">
        <v>76</v>
      </c>
      <c r="AWL16" s="3" t="s">
        <v>77</v>
      </c>
      <c r="AWM16" s="3" t="s">
        <v>76</v>
      </c>
      <c r="AWN16" s="3" t="s">
        <v>77</v>
      </c>
      <c r="AWO16" s="3" t="s">
        <v>76</v>
      </c>
      <c r="AWP16" s="3" t="s">
        <v>77</v>
      </c>
      <c r="AWQ16" s="3" t="s">
        <v>76</v>
      </c>
      <c r="AWR16" s="3" t="s">
        <v>77</v>
      </c>
      <c r="AWS16" s="3" t="s">
        <v>76</v>
      </c>
      <c r="AWT16" s="3" t="s">
        <v>77</v>
      </c>
      <c r="AWU16" s="3" t="s">
        <v>76</v>
      </c>
      <c r="AWV16" s="3" t="s">
        <v>77</v>
      </c>
      <c r="AWW16" s="3" t="s">
        <v>76</v>
      </c>
      <c r="AWX16" s="3" t="s">
        <v>77</v>
      </c>
      <c r="AWY16" s="3" t="s">
        <v>76</v>
      </c>
      <c r="AWZ16" s="3" t="s">
        <v>77</v>
      </c>
      <c r="AXA16" s="3" t="s">
        <v>76</v>
      </c>
      <c r="AXB16" s="3" t="s">
        <v>77</v>
      </c>
      <c r="AXC16" s="3" t="s">
        <v>76</v>
      </c>
      <c r="AXD16" s="3" t="s">
        <v>77</v>
      </c>
      <c r="AXE16" s="3" t="s">
        <v>76</v>
      </c>
      <c r="AXF16" s="3" t="s">
        <v>77</v>
      </c>
      <c r="AXG16" s="3" t="s">
        <v>76</v>
      </c>
      <c r="AXH16" s="3" t="s">
        <v>77</v>
      </c>
      <c r="AXI16" s="3" t="s">
        <v>76</v>
      </c>
      <c r="AXJ16" s="3" t="s">
        <v>77</v>
      </c>
      <c r="AXK16" s="3" t="s">
        <v>76</v>
      </c>
      <c r="AXL16" s="3" t="s">
        <v>77</v>
      </c>
      <c r="AXM16" s="3" t="s">
        <v>76</v>
      </c>
      <c r="AXN16" s="3" t="s">
        <v>77</v>
      </c>
      <c r="AXO16" s="3" t="s">
        <v>76</v>
      </c>
      <c r="AXP16" s="3" t="s">
        <v>77</v>
      </c>
      <c r="AXQ16" s="3" t="s">
        <v>76</v>
      </c>
      <c r="AXR16" s="3" t="s">
        <v>77</v>
      </c>
      <c r="AXS16" s="3" t="s">
        <v>76</v>
      </c>
      <c r="AXT16" s="3" t="s">
        <v>77</v>
      </c>
      <c r="AXU16" s="3" t="s">
        <v>76</v>
      </c>
      <c r="AXV16" s="3" t="s">
        <v>77</v>
      </c>
      <c r="AXW16" s="3" t="s">
        <v>76</v>
      </c>
      <c r="AXX16" s="3" t="s">
        <v>77</v>
      </c>
      <c r="AXY16" s="3" t="s">
        <v>76</v>
      </c>
      <c r="AXZ16" s="3" t="s">
        <v>77</v>
      </c>
      <c r="AYA16" s="3" t="s">
        <v>76</v>
      </c>
      <c r="AYB16" s="3" t="s">
        <v>77</v>
      </c>
      <c r="AYC16" s="3" t="s">
        <v>76</v>
      </c>
      <c r="AYD16" s="3" t="s">
        <v>77</v>
      </c>
      <c r="AYE16" s="3" t="s">
        <v>76</v>
      </c>
      <c r="AYF16" s="3" t="s">
        <v>77</v>
      </c>
      <c r="AYG16" s="3" t="s">
        <v>76</v>
      </c>
      <c r="AYH16" s="3" t="s">
        <v>77</v>
      </c>
      <c r="AYI16" s="3" t="s">
        <v>76</v>
      </c>
      <c r="AYJ16" s="3" t="s">
        <v>77</v>
      </c>
      <c r="AYK16" s="3" t="s">
        <v>76</v>
      </c>
      <c r="AYL16" s="3" t="s">
        <v>77</v>
      </c>
      <c r="AYM16" s="3" t="s">
        <v>76</v>
      </c>
      <c r="AYN16" s="3" t="s">
        <v>77</v>
      </c>
      <c r="AYO16" s="3" t="s">
        <v>76</v>
      </c>
      <c r="AYP16" s="3" t="s">
        <v>77</v>
      </c>
      <c r="AYQ16" s="3" t="s">
        <v>76</v>
      </c>
      <c r="AYR16" s="3" t="s">
        <v>77</v>
      </c>
      <c r="AYS16" s="3" t="s">
        <v>76</v>
      </c>
      <c r="AYT16" s="3" t="s">
        <v>77</v>
      </c>
      <c r="AYU16" s="3" t="s">
        <v>76</v>
      </c>
      <c r="AYV16" s="3" t="s">
        <v>77</v>
      </c>
      <c r="AYW16" s="3" t="s">
        <v>76</v>
      </c>
      <c r="AYX16" s="3" t="s">
        <v>77</v>
      </c>
      <c r="AYY16" s="3" t="s">
        <v>76</v>
      </c>
      <c r="AYZ16" s="3" t="s">
        <v>77</v>
      </c>
      <c r="AZA16" s="3" t="s">
        <v>76</v>
      </c>
      <c r="AZB16" s="3" t="s">
        <v>77</v>
      </c>
      <c r="AZC16" s="3" t="s">
        <v>76</v>
      </c>
      <c r="AZD16" s="3" t="s">
        <v>77</v>
      </c>
      <c r="AZE16" s="3" t="s">
        <v>76</v>
      </c>
      <c r="AZF16" s="3" t="s">
        <v>77</v>
      </c>
      <c r="AZG16" s="3" t="s">
        <v>76</v>
      </c>
      <c r="AZH16" s="3" t="s">
        <v>77</v>
      </c>
      <c r="AZI16" s="3" t="s">
        <v>76</v>
      </c>
      <c r="AZJ16" s="3" t="s">
        <v>77</v>
      </c>
      <c r="AZK16" s="3" t="s">
        <v>76</v>
      </c>
      <c r="AZL16" s="3" t="s">
        <v>77</v>
      </c>
      <c r="AZM16" s="3" t="s">
        <v>76</v>
      </c>
      <c r="AZN16" s="3" t="s">
        <v>77</v>
      </c>
      <c r="AZO16" s="3" t="s">
        <v>76</v>
      </c>
      <c r="AZP16" s="3" t="s">
        <v>77</v>
      </c>
      <c r="AZQ16" s="3" t="s">
        <v>76</v>
      </c>
      <c r="AZR16" s="3" t="s">
        <v>77</v>
      </c>
      <c r="AZS16" s="3" t="s">
        <v>76</v>
      </c>
      <c r="AZT16" s="3" t="s">
        <v>77</v>
      </c>
      <c r="AZU16" s="3" t="s">
        <v>76</v>
      </c>
      <c r="AZV16" s="3" t="s">
        <v>77</v>
      </c>
      <c r="AZW16" s="3" t="s">
        <v>76</v>
      </c>
      <c r="AZX16" s="3" t="s">
        <v>77</v>
      </c>
      <c r="AZY16" s="3" t="s">
        <v>76</v>
      </c>
      <c r="AZZ16" s="3" t="s">
        <v>77</v>
      </c>
      <c r="BAA16" s="3" t="s">
        <v>76</v>
      </c>
      <c r="BAB16" s="3" t="s">
        <v>77</v>
      </c>
      <c r="BAC16" s="3" t="s">
        <v>76</v>
      </c>
      <c r="BAD16" s="3" t="s">
        <v>77</v>
      </c>
      <c r="BAE16" s="3" t="s">
        <v>76</v>
      </c>
      <c r="BAF16" s="3" t="s">
        <v>77</v>
      </c>
      <c r="BAG16" s="3" t="s">
        <v>76</v>
      </c>
      <c r="BAH16" s="3" t="s">
        <v>77</v>
      </c>
      <c r="BAI16" s="3" t="s">
        <v>76</v>
      </c>
      <c r="BAJ16" s="3" t="s">
        <v>77</v>
      </c>
      <c r="BAK16" s="3" t="s">
        <v>76</v>
      </c>
      <c r="BAL16" s="3" t="s">
        <v>77</v>
      </c>
      <c r="BAM16" s="3" t="s">
        <v>76</v>
      </c>
      <c r="BAN16" s="3" t="s">
        <v>77</v>
      </c>
      <c r="BAO16" s="3" t="s">
        <v>76</v>
      </c>
      <c r="BAP16" s="3" t="s">
        <v>77</v>
      </c>
      <c r="BAQ16" s="3" t="s">
        <v>76</v>
      </c>
      <c r="BAR16" s="3" t="s">
        <v>77</v>
      </c>
      <c r="BAS16" s="3" t="s">
        <v>76</v>
      </c>
      <c r="BAT16" s="3" t="s">
        <v>77</v>
      </c>
      <c r="BAU16" s="3" t="s">
        <v>76</v>
      </c>
      <c r="BAV16" s="3" t="s">
        <v>77</v>
      </c>
      <c r="BAW16" s="3" t="s">
        <v>76</v>
      </c>
      <c r="BAX16" s="3" t="s">
        <v>77</v>
      </c>
      <c r="BAY16" s="3" t="s">
        <v>76</v>
      </c>
      <c r="BAZ16" s="3" t="s">
        <v>77</v>
      </c>
      <c r="BBA16" s="3" t="s">
        <v>76</v>
      </c>
      <c r="BBB16" s="3" t="s">
        <v>77</v>
      </c>
      <c r="BBC16" s="3" t="s">
        <v>76</v>
      </c>
      <c r="BBD16" s="3" t="s">
        <v>77</v>
      </c>
      <c r="BBE16" s="3" t="s">
        <v>76</v>
      </c>
      <c r="BBF16" s="3" t="s">
        <v>77</v>
      </c>
      <c r="BBG16" s="3" t="s">
        <v>76</v>
      </c>
      <c r="BBH16" s="3" t="s">
        <v>77</v>
      </c>
      <c r="BBI16" s="3" t="s">
        <v>76</v>
      </c>
      <c r="BBJ16" s="3" t="s">
        <v>77</v>
      </c>
      <c r="BBK16" s="3" t="s">
        <v>76</v>
      </c>
      <c r="BBL16" s="3" t="s">
        <v>77</v>
      </c>
      <c r="BBM16" s="3" t="s">
        <v>76</v>
      </c>
      <c r="BBN16" s="3" t="s">
        <v>77</v>
      </c>
      <c r="BBO16" s="3" t="s">
        <v>76</v>
      </c>
      <c r="BBP16" s="3" t="s">
        <v>77</v>
      </c>
      <c r="BBQ16" s="3" t="s">
        <v>76</v>
      </c>
      <c r="BBR16" s="3" t="s">
        <v>77</v>
      </c>
      <c r="BBS16" s="3" t="s">
        <v>76</v>
      </c>
      <c r="BBT16" s="3" t="s">
        <v>77</v>
      </c>
      <c r="BBU16" s="3" t="s">
        <v>76</v>
      </c>
      <c r="BBV16" s="3" t="s">
        <v>77</v>
      </c>
      <c r="BBW16" s="3" t="s">
        <v>76</v>
      </c>
      <c r="BBX16" s="3" t="s">
        <v>77</v>
      </c>
      <c r="BBY16" s="3" t="s">
        <v>76</v>
      </c>
      <c r="BBZ16" s="3" t="s">
        <v>77</v>
      </c>
      <c r="BCA16" s="3" t="s">
        <v>76</v>
      </c>
      <c r="BCB16" s="3" t="s">
        <v>77</v>
      </c>
      <c r="BCC16" s="3" t="s">
        <v>76</v>
      </c>
      <c r="BCD16" s="3" t="s">
        <v>77</v>
      </c>
      <c r="BCE16" s="3" t="s">
        <v>76</v>
      </c>
      <c r="BCF16" s="3" t="s">
        <v>77</v>
      </c>
      <c r="BCG16" s="3" t="s">
        <v>76</v>
      </c>
      <c r="BCH16" s="3" t="s">
        <v>77</v>
      </c>
      <c r="BCI16" s="3" t="s">
        <v>76</v>
      </c>
      <c r="BCJ16" s="3" t="s">
        <v>77</v>
      </c>
      <c r="BCK16" s="3" t="s">
        <v>76</v>
      </c>
      <c r="BCL16" s="3" t="s">
        <v>77</v>
      </c>
      <c r="BCM16" s="3" t="s">
        <v>76</v>
      </c>
      <c r="BCN16" s="3" t="s">
        <v>77</v>
      </c>
      <c r="BCO16" s="3" t="s">
        <v>76</v>
      </c>
      <c r="BCP16" s="3" t="s">
        <v>77</v>
      </c>
      <c r="BCQ16" s="3" t="s">
        <v>76</v>
      </c>
      <c r="BCR16" s="3" t="s">
        <v>77</v>
      </c>
      <c r="BCS16" s="3" t="s">
        <v>76</v>
      </c>
      <c r="BCT16" s="3" t="s">
        <v>77</v>
      </c>
      <c r="BCU16" s="3" t="s">
        <v>76</v>
      </c>
      <c r="BCV16" s="3" t="s">
        <v>77</v>
      </c>
      <c r="BCW16" s="3" t="s">
        <v>76</v>
      </c>
      <c r="BCX16" s="3" t="s">
        <v>77</v>
      </c>
      <c r="BCY16" s="3" t="s">
        <v>76</v>
      </c>
      <c r="BCZ16" s="3" t="s">
        <v>77</v>
      </c>
      <c r="BDA16" s="3" t="s">
        <v>76</v>
      </c>
      <c r="BDB16" s="3" t="s">
        <v>77</v>
      </c>
      <c r="BDC16" s="3" t="s">
        <v>76</v>
      </c>
      <c r="BDD16" s="3" t="s">
        <v>77</v>
      </c>
      <c r="BDE16" s="3" t="s">
        <v>76</v>
      </c>
      <c r="BDF16" s="3" t="s">
        <v>77</v>
      </c>
      <c r="BDG16" s="3" t="s">
        <v>76</v>
      </c>
      <c r="BDH16" s="3" t="s">
        <v>77</v>
      </c>
      <c r="BDI16" s="3" t="s">
        <v>76</v>
      </c>
      <c r="BDJ16" s="3" t="s">
        <v>77</v>
      </c>
      <c r="BDK16" s="3" t="s">
        <v>76</v>
      </c>
      <c r="BDL16" s="3" t="s">
        <v>77</v>
      </c>
      <c r="BDM16" s="3" t="s">
        <v>76</v>
      </c>
      <c r="BDN16" s="3" t="s">
        <v>77</v>
      </c>
      <c r="BDO16" s="3" t="s">
        <v>76</v>
      </c>
      <c r="BDP16" s="3" t="s">
        <v>77</v>
      </c>
      <c r="BDQ16" s="3" t="s">
        <v>76</v>
      </c>
      <c r="BDR16" s="3" t="s">
        <v>77</v>
      </c>
      <c r="BDS16" s="3" t="s">
        <v>76</v>
      </c>
      <c r="BDT16" s="3" t="s">
        <v>77</v>
      </c>
      <c r="BDU16" s="3" t="s">
        <v>76</v>
      </c>
      <c r="BDV16" s="3" t="s">
        <v>77</v>
      </c>
      <c r="BDW16" s="3" t="s">
        <v>76</v>
      </c>
      <c r="BDX16" s="3" t="s">
        <v>77</v>
      </c>
      <c r="BDY16" s="3" t="s">
        <v>76</v>
      </c>
      <c r="BDZ16" s="3" t="s">
        <v>77</v>
      </c>
      <c r="BEA16" s="3" t="s">
        <v>76</v>
      </c>
      <c r="BEB16" s="3" t="s">
        <v>77</v>
      </c>
      <c r="BEC16" s="3" t="s">
        <v>76</v>
      </c>
      <c r="BED16" s="3" t="s">
        <v>77</v>
      </c>
      <c r="BEE16" s="3" t="s">
        <v>76</v>
      </c>
      <c r="BEF16" s="3" t="s">
        <v>77</v>
      </c>
      <c r="BEG16" s="3" t="s">
        <v>76</v>
      </c>
      <c r="BEH16" s="3" t="s">
        <v>77</v>
      </c>
      <c r="BEI16" s="3" t="s">
        <v>76</v>
      </c>
      <c r="BEJ16" s="3" t="s">
        <v>77</v>
      </c>
      <c r="BEK16" s="3" t="s">
        <v>76</v>
      </c>
      <c r="BEL16" s="3" t="s">
        <v>77</v>
      </c>
      <c r="BEM16" s="3" t="s">
        <v>76</v>
      </c>
      <c r="BEN16" s="3" t="s">
        <v>77</v>
      </c>
      <c r="BEO16" s="3" t="s">
        <v>76</v>
      </c>
      <c r="BEP16" s="3" t="s">
        <v>77</v>
      </c>
      <c r="BEQ16" s="3" t="s">
        <v>76</v>
      </c>
      <c r="BER16" s="3" t="s">
        <v>77</v>
      </c>
      <c r="BES16" s="3" t="s">
        <v>76</v>
      </c>
      <c r="BET16" s="3" t="s">
        <v>77</v>
      </c>
      <c r="BEU16" s="3" t="s">
        <v>76</v>
      </c>
      <c r="BEV16" s="3" t="s">
        <v>77</v>
      </c>
      <c r="BEW16" s="3" t="s">
        <v>76</v>
      </c>
      <c r="BEX16" s="3" t="s">
        <v>77</v>
      </c>
      <c r="BEY16" s="3" t="s">
        <v>76</v>
      </c>
      <c r="BEZ16" s="3" t="s">
        <v>77</v>
      </c>
      <c r="BFA16" s="3" t="s">
        <v>76</v>
      </c>
      <c r="BFB16" s="3" t="s">
        <v>77</v>
      </c>
      <c r="BFC16" s="3" t="s">
        <v>76</v>
      </c>
      <c r="BFD16" s="3" t="s">
        <v>77</v>
      </c>
      <c r="BFE16" s="3" t="s">
        <v>76</v>
      </c>
      <c r="BFF16" s="3" t="s">
        <v>77</v>
      </c>
      <c r="BFG16" s="3" t="s">
        <v>76</v>
      </c>
      <c r="BFH16" s="3" t="s">
        <v>77</v>
      </c>
      <c r="BFI16" s="3" t="s">
        <v>76</v>
      </c>
      <c r="BFJ16" s="3" t="s">
        <v>77</v>
      </c>
      <c r="BFK16" s="3" t="s">
        <v>76</v>
      </c>
      <c r="BFL16" s="3" t="s">
        <v>77</v>
      </c>
      <c r="BFM16" s="3" t="s">
        <v>76</v>
      </c>
      <c r="BFN16" s="3" t="s">
        <v>77</v>
      </c>
      <c r="BFO16" s="3" t="s">
        <v>76</v>
      </c>
      <c r="BFP16" s="3" t="s">
        <v>77</v>
      </c>
      <c r="BFQ16" s="3" t="s">
        <v>76</v>
      </c>
      <c r="BFR16" s="3" t="s">
        <v>77</v>
      </c>
      <c r="BFS16" s="3" t="s">
        <v>76</v>
      </c>
      <c r="BFT16" s="3" t="s">
        <v>77</v>
      </c>
      <c r="BFU16" s="3" t="s">
        <v>76</v>
      </c>
      <c r="BFV16" s="3" t="s">
        <v>77</v>
      </c>
      <c r="BFW16" s="3" t="s">
        <v>76</v>
      </c>
      <c r="BFX16" s="3" t="s">
        <v>77</v>
      </c>
      <c r="BFY16" s="3" t="s">
        <v>76</v>
      </c>
      <c r="BFZ16" s="3" t="s">
        <v>77</v>
      </c>
      <c r="BGA16" s="3" t="s">
        <v>76</v>
      </c>
      <c r="BGB16" s="3" t="s">
        <v>77</v>
      </c>
      <c r="BGC16" s="3" t="s">
        <v>76</v>
      </c>
      <c r="BGD16" s="3" t="s">
        <v>77</v>
      </c>
      <c r="BGE16" s="3" t="s">
        <v>76</v>
      </c>
      <c r="BGF16" s="3" t="s">
        <v>77</v>
      </c>
      <c r="BGG16" s="3" t="s">
        <v>76</v>
      </c>
      <c r="BGH16" s="3" t="s">
        <v>77</v>
      </c>
      <c r="BGI16" s="3" t="s">
        <v>76</v>
      </c>
      <c r="BGJ16" s="3" t="s">
        <v>77</v>
      </c>
      <c r="BGK16" s="3" t="s">
        <v>76</v>
      </c>
      <c r="BGL16" s="3" t="s">
        <v>77</v>
      </c>
      <c r="BGM16" s="3" t="s">
        <v>76</v>
      </c>
      <c r="BGN16" s="3" t="s">
        <v>77</v>
      </c>
      <c r="BGO16" s="3" t="s">
        <v>76</v>
      </c>
      <c r="BGP16" s="3" t="s">
        <v>77</v>
      </c>
      <c r="BGQ16" s="3" t="s">
        <v>76</v>
      </c>
      <c r="BGR16" s="3" t="s">
        <v>77</v>
      </c>
      <c r="BGS16" s="3" t="s">
        <v>76</v>
      </c>
      <c r="BGT16" s="3" t="s">
        <v>77</v>
      </c>
      <c r="BGU16" s="3" t="s">
        <v>76</v>
      </c>
      <c r="BGV16" s="3" t="s">
        <v>77</v>
      </c>
      <c r="BGW16" s="3" t="s">
        <v>76</v>
      </c>
      <c r="BGX16" s="3" t="s">
        <v>77</v>
      </c>
      <c r="BGY16" s="3" t="s">
        <v>76</v>
      </c>
      <c r="BGZ16" s="3" t="s">
        <v>77</v>
      </c>
      <c r="BHA16" s="3" t="s">
        <v>76</v>
      </c>
      <c r="BHB16" s="3" t="s">
        <v>77</v>
      </c>
      <c r="BHC16" s="3" t="s">
        <v>76</v>
      </c>
      <c r="BHD16" s="3" t="s">
        <v>77</v>
      </c>
      <c r="BHE16" s="3" t="s">
        <v>76</v>
      </c>
      <c r="BHF16" s="3" t="s">
        <v>77</v>
      </c>
      <c r="BHG16" s="3" t="s">
        <v>76</v>
      </c>
      <c r="BHH16" s="3" t="s">
        <v>77</v>
      </c>
      <c r="BHI16" s="3" t="s">
        <v>76</v>
      </c>
      <c r="BHJ16" s="3" t="s">
        <v>77</v>
      </c>
      <c r="BHK16" s="3" t="s">
        <v>76</v>
      </c>
      <c r="BHL16" s="3" t="s">
        <v>77</v>
      </c>
      <c r="BHM16" s="3" t="s">
        <v>76</v>
      </c>
      <c r="BHN16" s="3" t="s">
        <v>77</v>
      </c>
      <c r="BHO16" s="3" t="s">
        <v>76</v>
      </c>
      <c r="BHP16" s="3" t="s">
        <v>77</v>
      </c>
      <c r="BHQ16" s="3" t="s">
        <v>76</v>
      </c>
      <c r="BHR16" s="3" t="s">
        <v>77</v>
      </c>
      <c r="BHS16" s="3" t="s">
        <v>76</v>
      </c>
      <c r="BHT16" s="3" t="s">
        <v>77</v>
      </c>
      <c r="BHU16" s="3" t="s">
        <v>76</v>
      </c>
      <c r="BHV16" s="3" t="s">
        <v>77</v>
      </c>
      <c r="BHW16" s="3" t="s">
        <v>76</v>
      </c>
      <c r="BHX16" s="3" t="s">
        <v>77</v>
      </c>
      <c r="BHY16" s="3" t="s">
        <v>76</v>
      </c>
      <c r="BHZ16" s="3" t="s">
        <v>77</v>
      </c>
      <c r="BIA16" s="3" t="s">
        <v>76</v>
      </c>
      <c r="BIB16" s="3" t="s">
        <v>77</v>
      </c>
      <c r="BIC16" s="3" t="s">
        <v>76</v>
      </c>
      <c r="BID16" s="3" t="s">
        <v>77</v>
      </c>
      <c r="BIE16" s="3" t="s">
        <v>76</v>
      </c>
      <c r="BIF16" s="3" t="s">
        <v>77</v>
      </c>
      <c r="BIG16" s="3" t="s">
        <v>76</v>
      </c>
      <c r="BIH16" s="3" t="s">
        <v>77</v>
      </c>
      <c r="BII16" s="3" t="s">
        <v>76</v>
      </c>
      <c r="BIJ16" s="3" t="s">
        <v>77</v>
      </c>
      <c r="BIK16" s="3" t="s">
        <v>76</v>
      </c>
      <c r="BIL16" s="3" t="s">
        <v>77</v>
      </c>
      <c r="BIM16" s="3" t="s">
        <v>76</v>
      </c>
      <c r="BIN16" s="3" t="s">
        <v>77</v>
      </c>
      <c r="BIO16" s="3" t="s">
        <v>76</v>
      </c>
      <c r="BIP16" s="3" t="s">
        <v>77</v>
      </c>
      <c r="BIQ16" s="3" t="s">
        <v>76</v>
      </c>
      <c r="BIR16" s="3" t="s">
        <v>77</v>
      </c>
      <c r="BIS16" s="3" t="s">
        <v>76</v>
      </c>
      <c r="BIT16" s="3" t="s">
        <v>77</v>
      </c>
      <c r="BIU16" s="3" t="s">
        <v>76</v>
      </c>
      <c r="BIV16" s="3" t="s">
        <v>77</v>
      </c>
      <c r="BIW16" s="3" t="s">
        <v>76</v>
      </c>
      <c r="BIX16" s="3" t="s">
        <v>77</v>
      </c>
      <c r="BIY16" s="3" t="s">
        <v>76</v>
      </c>
      <c r="BIZ16" s="3" t="s">
        <v>77</v>
      </c>
      <c r="BJA16" s="3" t="s">
        <v>76</v>
      </c>
      <c r="BJB16" s="3" t="s">
        <v>77</v>
      </c>
      <c r="BJC16" s="3" t="s">
        <v>76</v>
      </c>
      <c r="BJD16" s="3" t="s">
        <v>77</v>
      </c>
      <c r="BJE16" s="3" t="s">
        <v>76</v>
      </c>
      <c r="BJF16" s="3" t="s">
        <v>77</v>
      </c>
      <c r="BJG16" s="3" t="s">
        <v>76</v>
      </c>
      <c r="BJH16" s="3" t="s">
        <v>77</v>
      </c>
      <c r="BJI16" s="3" t="s">
        <v>76</v>
      </c>
      <c r="BJJ16" s="3" t="s">
        <v>77</v>
      </c>
      <c r="BJK16" s="3" t="s">
        <v>76</v>
      </c>
      <c r="BJL16" s="3" t="s">
        <v>77</v>
      </c>
      <c r="BJM16" s="3" t="s">
        <v>76</v>
      </c>
      <c r="BJN16" s="3" t="s">
        <v>77</v>
      </c>
      <c r="BJO16" s="3" t="s">
        <v>76</v>
      </c>
      <c r="BJP16" s="3" t="s">
        <v>77</v>
      </c>
      <c r="BJQ16" s="3" t="s">
        <v>76</v>
      </c>
      <c r="BJR16" s="3" t="s">
        <v>77</v>
      </c>
      <c r="BJS16" s="3" t="s">
        <v>76</v>
      </c>
      <c r="BJT16" s="3" t="s">
        <v>77</v>
      </c>
      <c r="BJU16" s="3" t="s">
        <v>76</v>
      </c>
      <c r="BJV16" s="3" t="s">
        <v>77</v>
      </c>
      <c r="BJW16" s="3" t="s">
        <v>76</v>
      </c>
      <c r="BJX16" s="3" t="s">
        <v>77</v>
      </c>
      <c r="BJY16" s="3" t="s">
        <v>76</v>
      </c>
      <c r="BJZ16" s="3" t="s">
        <v>77</v>
      </c>
      <c r="BKA16" s="3" t="s">
        <v>76</v>
      </c>
      <c r="BKB16" s="3" t="s">
        <v>77</v>
      </c>
      <c r="BKC16" s="3" t="s">
        <v>76</v>
      </c>
      <c r="BKD16" s="3" t="s">
        <v>77</v>
      </c>
      <c r="BKE16" s="3" t="s">
        <v>76</v>
      </c>
      <c r="BKF16" s="3" t="s">
        <v>77</v>
      </c>
      <c r="BKG16" s="3" t="s">
        <v>76</v>
      </c>
      <c r="BKH16" s="3" t="s">
        <v>77</v>
      </c>
      <c r="BKI16" s="3" t="s">
        <v>76</v>
      </c>
      <c r="BKJ16" s="3" t="s">
        <v>77</v>
      </c>
      <c r="BKK16" s="3" t="s">
        <v>76</v>
      </c>
      <c r="BKL16" s="3" t="s">
        <v>77</v>
      </c>
      <c r="BKM16" s="3" t="s">
        <v>76</v>
      </c>
      <c r="BKN16" s="3" t="s">
        <v>77</v>
      </c>
      <c r="BKO16" s="3" t="s">
        <v>76</v>
      </c>
      <c r="BKP16" s="3" t="s">
        <v>77</v>
      </c>
      <c r="BKQ16" s="3" t="s">
        <v>76</v>
      </c>
      <c r="BKR16" s="3" t="s">
        <v>77</v>
      </c>
      <c r="BKS16" s="3" t="s">
        <v>76</v>
      </c>
      <c r="BKT16" s="3" t="s">
        <v>77</v>
      </c>
      <c r="BKU16" s="3" t="s">
        <v>76</v>
      </c>
      <c r="BKV16" s="3" t="s">
        <v>77</v>
      </c>
      <c r="BKW16" s="3" t="s">
        <v>76</v>
      </c>
      <c r="BKX16" s="3" t="s">
        <v>77</v>
      </c>
      <c r="BKY16" s="3" t="s">
        <v>76</v>
      </c>
      <c r="BKZ16" s="3" t="s">
        <v>77</v>
      </c>
      <c r="BLA16" s="3" t="s">
        <v>76</v>
      </c>
      <c r="BLB16" s="3" t="s">
        <v>77</v>
      </c>
      <c r="BLC16" s="3" t="s">
        <v>76</v>
      </c>
      <c r="BLD16" s="3" t="s">
        <v>77</v>
      </c>
      <c r="BLE16" s="3" t="s">
        <v>76</v>
      </c>
      <c r="BLF16" s="3" t="s">
        <v>77</v>
      </c>
      <c r="BLG16" s="3" t="s">
        <v>76</v>
      </c>
      <c r="BLH16" s="3" t="s">
        <v>77</v>
      </c>
      <c r="BLI16" s="3" t="s">
        <v>76</v>
      </c>
      <c r="BLJ16" s="3" t="s">
        <v>77</v>
      </c>
      <c r="BLK16" s="3" t="s">
        <v>76</v>
      </c>
      <c r="BLL16" s="3" t="s">
        <v>77</v>
      </c>
      <c r="BLM16" s="3" t="s">
        <v>76</v>
      </c>
      <c r="BLN16" s="3" t="s">
        <v>77</v>
      </c>
      <c r="BLO16" s="3" t="s">
        <v>76</v>
      </c>
      <c r="BLP16" s="3" t="s">
        <v>77</v>
      </c>
      <c r="BLQ16" s="3" t="s">
        <v>76</v>
      </c>
      <c r="BLR16" s="3" t="s">
        <v>77</v>
      </c>
      <c r="BLS16" s="3" t="s">
        <v>76</v>
      </c>
      <c r="BLT16" s="3" t="s">
        <v>77</v>
      </c>
      <c r="BLU16" s="3" t="s">
        <v>76</v>
      </c>
      <c r="BLV16" s="3" t="s">
        <v>77</v>
      </c>
      <c r="BLW16" s="3" t="s">
        <v>76</v>
      </c>
      <c r="BLX16" s="3" t="s">
        <v>77</v>
      </c>
      <c r="BLY16" s="3" t="s">
        <v>76</v>
      </c>
      <c r="BLZ16" s="3" t="s">
        <v>77</v>
      </c>
      <c r="BMA16" s="3" t="s">
        <v>76</v>
      </c>
      <c r="BMB16" s="3" t="s">
        <v>77</v>
      </c>
      <c r="BMC16" s="3" t="s">
        <v>76</v>
      </c>
      <c r="BMD16" s="3" t="s">
        <v>77</v>
      </c>
      <c r="BME16" s="3" t="s">
        <v>76</v>
      </c>
      <c r="BMF16" s="3" t="s">
        <v>77</v>
      </c>
      <c r="BMG16" s="3" t="s">
        <v>76</v>
      </c>
      <c r="BMH16" s="3" t="s">
        <v>77</v>
      </c>
      <c r="BMI16" s="3" t="s">
        <v>76</v>
      </c>
      <c r="BMJ16" s="3" t="s">
        <v>77</v>
      </c>
      <c r="BMK16" s="3" t="s">
        <v>76</v>
      </c>
      <c r="BML16" s="3" t="s">
        <v>77</v>
      </c>
      <c r="BMM16" s="3" t="s">
        <v>76</v>
      </c>
      <c r="BMN16" s="3" t="s">
        <v>77</v>
      </c>
      <c r="BMO16" s="3" t="s">
        <v>76</v>
      </c>
      <c r="BMP16" s="3" t="s">
        <v>77</v>
      </c>
      <c r="BMQ16" s="3" t="s">
        <v>76</v>
      </c>
      <c r="BMR16" s="3" t="s">
        <v>77</v>
      </c>
      <c r="BMS16" s="3" t="s">
        <v>76</v>
      </c>
      <c r="BMT16" s="3" t="s">
        <v>77</v>
      </c>
      <c r="BMU16" s="3" t="s">
        <v>76</v>
      </c>
      <c r="BMV16" s="3" t="s">
        <v>77</v>
      </c>
      <c r="BMW16" s="3" t="s">
        <v>76</v>
      </c>
      <c r="BMX16" s="3" t="s">
        <v>77</v>
      </c>
      <c r="BMY16" s="3" t="s">
        <v>76</v>
      </c>
      <c r="BMZ16" s="3" t="s">
        <v>77</v>
      </c>
      <c r="BNA16" s="3" t="s">
        <v>76</v>
      </c>
      <c r="BNB16" s="3" t="s">
        <v>77</v>
      </c>
      <c r="BNC16" s="3" t="s">
        <v>76</v>
      </c>
      <c r="BND16" s="3" t="s">
        <v>77</v>
      </c>
      <c r="BNE16" s="3" t="s">
        <v>76</v>
      </c>
      <c r="BNF16" s="3" t="s">
        <v>77</v>
      </c>
      <c r="BNG16" s="3" t="s">
        <v>76</v>
      </c>
      <c r="BNH16" s="3" t="s">
        <v>77</v>
      </c>
      <c r="BNI16" s="3" t="s">
        <v>76</v>
      </c>
      <c r="BNJ16" s="3" t="s">
        <v>77</v>
      </c>
      <c r="BNK16" s="3" t="s">
        <v>76</v>
      </c>
      <c r="BNL16" s="3" t="s">
        <v>77</v>
      </c>
      <c r="BNM16" s="3" t="s">
        <v>76</v>
      </c>
      <c r="BNN16" s="3" t="s">
        <v>77</v>
      </c>
      <c r="BNO16" s="3" t="s">
        <v>76</v>
      </c>
      <c r="BNP16" s="3" t="s">
        <v>77</v>
      </c>
      <c r="BNQ16" s="3" t="s">
        <v>76</v>
      </c>
      <c r="BNR16" s="3" t="s">
        <v>77</v>
      </c>
      <c r="BNS16" s="3" t="s">
        <v>76</v>
      </c>
      <c r="BNT16" s="3" t="s">
        <v>77</v>
      </c>
      <c r="BNU16" s="3" t="s">
        <v>76</v>
      </c>
      <c r="BNV16" s="3" t="s">
        <v>77</v>
      </c>
      <c r="BNW16" s="3" t="s">
        <v>76</v>
      </c>
      <c r="BNX16" s="3" t="s">
        <v>77</v>
      </c>
      <c r="BNY16" s="3" t="s">
        <v>76</v>
      </c>
      <c r="BNZ16" s="3" t="s">
        <v>77</v>
      </c>
      <c r="BOA16" s="3" t="s">
        <v>76</v>
      </c>
      <c r="BOB16" s="3" t="s">
        <v>77</v>
      </c>
      <c r="BOC16" s="3" t="s">
        <v>76</v>
      </c>
      <c r="BOD16" s="3" t="s">
        <v>77</v>
      </c>
      <c r="BOE16" s="3" t="s">
        <v>76</v>
      </c>
      <c r="BOF16" s="3" t="s">
        <v>77</v>
      </c>
      <c r="BOG16" s="3" t="s">
        <v>76</v>
      </c>
      <c r="BOH16" s="3" t="s">
        <v>77</v>
      </c>
      <c r="BOI16" s="3" t="s">
        <v>76</v>
      </c>
      <c r="BOJ16" s="3" t="s">
        <v>77</v>
      </c>
      <c r="BOK16" s="3" t="s">
        <v>76</v>
      </c>
      <c r="BOL16" s="3" t="s">
        <v>77</v>
      </c>
      <c r="BOM16" s="3" t="s">
        <v>76</v>
      </c>
      <c r="BON16" s="3" t="s">
        <v>77</v>
      </c>
      <c r="BOO16" s="3" t="s">
        <v>76</v>
      </c>
      <c r="BOP16" s="3" t="s">
        <v>77</v>
      </c>
      <c r="BOQ16" s="3" t="s">
        <v>76</v>
      </c>
      <c r="BOR16" s="3" t="s">
        <v>77</v>
      </c>
      <c r="BOS16" s="3" t="s">
        <v>76</v>
      </c>
      <c r="BOT16" s="3" t="s">
        <v>77</v>
      </c>
      <c r="BOU16" s="3" t="s">
        <v>76</v>
      </c>
      <c r="BOV16" s="3" t="s">
        <v>77</v>
      </c>
      <c r="BOW16" s="3" t="s">
        <v>76</v>
      </c>
      <c r="BOX16" s="3" t="s">
        <v>77</v>
      </c>
      <c r="BOY16" s="3" t="s">
        <v>76</v>
      </c>
      <c r="BOZ16" s="3" t="s">
        <v>77</v>
      </c>
      <c r="BPA16" s="3" t="s">
        <v>76</v>
      </c>
      <c r="BPB16" s="3" t="s">
        <v>77</v>
      </c>
      <c r="BPC16" s="3" t="s">
        <v>76</v>
      </c>
      <c r="BPD16" s="3" t="s">
        <v>77</v>
      </c>
      <c r="BPE16" s="3" t="s">
        <v>76</v>
      </c>
      <c r="BPF16" s="3" t="s">
        <v>77</v>
      </c>
      <c r="BPG16" s="3" t="s">
        <v>76</v>
      </c>
      <c r="BPH16" s="3" t="s">
        <v>77</v>
      </c>
      <c r="BPI16" s="3" t="s">
        <v>76</v>
      </c>
      <c r="BPJ16" s="3" t="s">
        <v>77</v>
      </c>
      <c r="BPK16" s="3" t="s">
        <v>76</v>
      </c>
      <c r="BPL16" s="3" t="s">
        <v>77</v>
      </c>
      <c r="BPM16" s="3" t="s">
        <v>76</v>
      </c>
      <c r="BPN16" s="3" t="s">
        <v>77</v>
      </c>
      <c r="BPO16" s="3" t="s">
        <v>76</v>
      </c>
      <c r="BPP16" s="3" t="s">
        <v>77</v>
      </c>
      <c r="BPQ16" s="3" t="s">
        <v>76</v>
      </c>
      <c r="BPR16" s="3" t="s">
        <v>77</v>
      </c>
      <c r="BPS16" s="3" t="s">
        <v>76</v>
      </c>
      <c r="BPT16" s="3" t="s">
        <v>77</v>
      </c>
      <c r="BPU16" s="3" t="s">
        <v>76</v>
      </c>
      <c r="BPV16" s="3" t="s">
        <v>77</v>
      </c>
      <c r="BPW16" s="3" t="s">
        <v>76</v>
      </c>
      <c r="BPX16" s="3" t="s">
        <v>77</v>
      </c>
      <c r="BPY16" s="3" t="s">
        <v>76</v>
      </c>
      <c r="BPZ16" s="3" t="s">
        <v>77</v>
      </c>
      <c r="BQA16" s="3" t="s">
        <v>76</v>
      </c>
      <c r="BQB16" s="3" t="s">
        <v>77</v>
      </c>
      <c r="BQC16" s="3" t="s">
        <v>76</v>
      </c>
      <c r="BQD16" s="3" t="s">
        <v>77</v>
      </c>
      <c r="BQE16" s="3" t="s">
        <v>76</v>
      </c>
      <c r="BQF16" s="3" t="s">
        <v>77</v>
      </c>
      <c r="BQG16" s="3" t="s">
        <v>76</v>
      </c>
      <c r="BQH16" s="3" t="s">
        <v>77</v>
      </c>
      <c r="BQI16" s="3" t="s">
        <v>76</v>
      </c>
      <c r="BQJ16" s="3" t="s">
        <v>77</v>
      </c>
      <c r="BQK16" s="3" t="s">
        <v>76</v>
      </c>
      <c r="BQL16" s="3" t="s">
        <v>77</v>
      </c>
      <c r="BQM16" s="3" t="s">
        <v>76</v>
      </c>
      <c r="BQN16" s="3" t="s">
        <v>77</v>
      </c>
      <c r="BQO16" s="3" t="s">
        <v>76</v>
      </c>
      <c r="BQP16" s="3" t="s">
        <v>77</v>
      </c>
      <c r="BQQ16" s="3" t="s">
        <v>76</v>
      </c>
      <c r="BQR16" s="3" t="s">
        <v>77</v>
      </c>
      <c r="BQS16" s="3" t="s">
        <v>76</v>
      </c>
      <c r="BQT16" s="3" t="s">
        <v>77</v>
      </c>
      <c r="BQU16" s="3" t="s">
        <v>76</v>
      </c>
      <c r="BQV16" s="3" t="s">
        <v>77</v>
      </c>
      <c r="BQW16" s="3" t="s">
        <v>76</v>
      </c>
      <c r="BQX16" s="3" t="s">
        <v>77</v>
      </c>
      <c r="BQY16" s="3" t="s">
        <v>76</v>
      </c>
      <c r="BQZ16" s="3" t="s">
        <v>77</v>
      </c>
      <c r="BRA16" s="3" t="s">
        <v>76</v>
      </c>
      <c r="BRB16" s="3" t="s">
        <v>77</v>
      </c>
      <c r="BRC16" s="3" t="s">
        <v>76</v>
      </c>
      <c r="BRD16" s="3" t="s">
        <v>77</v>
      </c>
      <c r="BRE16" s="3" t="s">
        <v>76</v>
      </c>
      <c r="BRF16" s="3" t="s">
        <v>77</v>
      </c>
      <c r="BRG16" s="3" t="s">
        <v>76</v>
      </c>
      <c r="BRH16" s="3" t="s">
        <v>77</v>
      </c>
      <c r="BRI16" s="3" t="s">
        <v>76</v>
      </c>
      <c r="BRJ16" s="3" t="s">
        <v>77</v>
      </c>
      <c r="BRK16" s="3" t="s">
        <v>76</v>
      </c>
      <c r="BRL16" s="3" t="s">
        <v>77</v>
      </c>
      <c r="BRM16" s="3" t="s">
        <v>76</v>
      </c>
      <c r="BRN16" s="3" t="s">
        <v>77</v>
      </c>
      <c r="BRO16" s="3" t="s">
        <v>76</v>
      </c>
      <c r="BRP16" s="3" t="s">
        <v>77</v>
      </c>
      <c r="BRQ16" s="3" t="s">
        <v>76</v>
      </c>
      <c r="BRR16" s="3" t="s">
        <v>77</v>
      </c>
      <c r="BRS16" s="3" t="s">
        <v>76</v>
      </c>
      <c r="BRT16" s="3" t="s">
        <v>77</v>
      </c>
      <c r="BRU16" s="3" t="s">
        <v>76</v>
      </c>
      <c r="BRV16" s="3" t="s">
        <v>77</v>
      </c>
      <c r="BRW16" s="3" t="s">
        <v>76</v>
      </c>
      <c r="BRX16" s="3" t="s">
        <v>77</v>
      </c>
      <c r="BRY16" s="3" t="s">
        <v>76</v>
      </c>
      <c r="BRZ16" s="3" t="s">
        <v>77</v>
      </c>
      <c r="BSA16" s="3" t="s">
        <v>76</v>
      </c>
      <c r="BSB16" s="3" t="s">
        <v>77</v>
      </c>
      <c r="BSC16" s="3" t="s">
        <v>76</v>
      </c>
      <c r="BSD16" s="3" t="s">
        <v>77</v>
      </c>
      <c r="BSE16" s="3" t="s">
        <v>76</v>
      </c>
      <c r="BSF16" s="3" t="s">
        <v>77</v>
      </c>
      <c r="BSG16" s="3" t="s">
        <v>76</v>
      </c>
      <c r="BSH16" s="3" t="s">
        <v>77</v>
      </c>
      <c r="BSI16" s="3" t="s">
        <v>76</v>
      </c>
      <c r="BSJ16" s="3" t="s">
        <v>77</v>
      </c>
      <c r="BSK16" s="3" t="s">
        <v>76</v>
      </c>
      <c r="BSL16" s="3" t="s">
        <v>77</v>
      </c>
      <c r="BSM16" s="3" t="s">
        <v>76</v>
      </c>
      <c r="BSN16" s="3" t="s">
        <v>77</v>
      </c>
      <c r="BSO16" s="3" t="s">
        <v>76</v>
      </c>
      <c r="BSP16" s="3" t="s">
        <v>77</v>
      </c>
      <c r="BSQ16" s="3" t="s">
        <v>76</v>
      </c>
      <c r="BSR16" s="3" t="s">
        <v>77</v>
      </c>
      <c r="BSS16" s="3" t="s">
        <v>76</v>
      </c>
      <c r="BST16" s="3" t="s">
        <v>77</v>
      </c>
      <c r="BSU16" s="3" t="s">
        <v>76</v>
      </c>
      <c r="BSV16" s="3" t="s">
        <v>77</v>
      </c>
      <c r="BSW16" s="3" t="s">
        <v>76</v>
      </c>
      <c r="BSX16" s="3" t="s">
        <v>77</v>
      </c>
      <c r="BSY16" s="3" t="s">
        <v>76</v>
      </c>
      <c r="BSZ16" s="3" t="s">
        <v>77</v>
      </c>
      <c r="BTA16" s="3" t="s">
        <v>76</v>
      </c>
      <c r="BTB16" s="3" t="s">
        <v>77</v>
      </c>
      <c r="BTC16" s="3" t="s">
        <v>76</v>
      </c>
      <c r="BTD16" s="3" t="s">
        <v>77</v>
      </c>
      <c r="BTE16" s="3" t="s">
        <v>76</v>
      </c>
      <c r="BTF16" s="3" t="s">
        <v>77</v>
      </c>
      <c r="BTG16" s="3" t="s">
        <v>76</v>
      </c>
      <c r="BTH16" s="3" t="s">
        <v>77</v>
      </c>
      <c r="BTI16" s="3" t="s">
        <v>76</v>
      </c>
      <c r="BTJ16" s="3" t="s">
        <v>77</v>
      </c>
      <c r="BTK16" s="3" t="s">
        <v>76</v>
      </c>
      <c r="BTL16" s="3" t="s">
        <v>77</v>
      </c>
      <c r="BTM16" s="3" t="s">
        <v>76</v>
      </c>
      <c r="BTN16" s="3" t="s">
        <v>77</v>
      </c>
      <c r="BTO16" s="3" t="s">
        <v>76</v>
      </c>
      <c r="BTP16" s="3" t="s">
        <v>77</v>
      </c>
      <c r="BTQ16" s="3" t="s">
        <v>76</v>
      </c>
      <c r="BTR16" s="3" t="s">
        <v>77</v>
      </c>
      <c r="BTS16" s="3" t="s">
        <v>76</v>
      </c>
      <c r="BTT16" s="3" t="s">
        <v>77</v>
      </c>
      <c r="BTU16" s="3" t="s">
        <v>76</v>
      </c>
      <c r="BTV16" s="3" t="s">
        <v>77</v>
      </c>
      <c r="BTW16" s="3" t="s">
        <v>76</v>
      </c>
      <c r="BTX16" s="3" t="s">
        <v>77</v>
      </c>
      <c r="BTY16" s="3" t="s">
        <v>76</v>
      </c>
      <c r="BTZ16" s="3" t="s">
        <v>77</v>
      </c>
      <c r="BUA16" s="3" t="s">
        <v>76</v>
      </c>
      <c r="BUB16" s="3" t="s">
        <v>77</v>
      </c>
      <c r="BUC16" s="3" t="s">
        <v>76</v>
      </c>
      <c r="BUD16" s="3" t="s">
        <v>77</v>
      </c>
      <c r="BUE16" s="3" t="s">
        <v>76</v>
      </c>
      <c r="BUF16" s="3" t="s">
        <v>77</v>
      </c>
      <c r="BUG16" s="3" t="s">
        <v>76</v>
      </c>
      <c r="BUH16" s="3" t="s">
        <v>77</v>
      </c>
      <c r="BUI16" s="3" t="s">
        <v>76</v>
      </c>
      <c r="BUJ16" s="3" t="s">
        <v>77</v>
      </c>
      <c r="BUK16" s="3" t="s">
        <v>76</v>
      </c>
      <c r="BUL16" s="3" t="s">
        <v>77</v>
      </c>
      <c r="BUM16" s="3" t="s">
        <v>76</v>
      </c>
      <c r="BUN16" s="3" t="s">
        <v>77</v>
      </c>
      <c r="BUO16" s="3" t="s">
        <v>76</v>
      </c>
      <c r="BUP16" s="3" t="s">
        <v>77</v>
      </c>
      <c r="BUQ16" s="3" t="s">
        <v>76</v>
      </c>
      <c r="BUR16" s="3" t="s">
        <v>77</v>
      </c>
      <c r="BUS16" s="3" t="s">
        <v>76</v>
      </c>
      <c r="BUT16" s="3" t="s">
        <v>77</v>
      </c>
      <c r="BUU16" s="3" t="s">
        <v>76</v>
      </c>
      <c r="BUV16" s="3" t="s">
        <v>77</v>
      </c>
      <c r="BUW16" s="3" t="s">
        <v>76</v>
      </c>
      <c r="BUX16" s="3" t="s">
        <v>77</v>
      </c>
      <c r="BUY16" s="3" t="s">
        <v>76</v>
      </c>
      <c r="BUZ16" s="3" t="s">
        <v>77</v>
      </c>
      <c r="BVA16" s="3" t="s">
        <v>76</v>
      </c>
      <c r="BVB16" s="3" t="s">
        <v>77</v>
      </c>
      <c r="BVC16" s="3" t="s">
        <v>76</v>
      </c>
      <c r="BVD16" s="3" t="s">
        <v>77</v>
      </c>
      <c r="BVE16" s="3" t="s">
        <v>76</v>
      </c>
      <c r="BVF16" s="3" t="s">
        <v>77</v>
      </c>
      <c r="BVG16" s="3" t="s">
        <v>76</v>
      </c>
      <c r="BVH16" s="3" t="s">
        <v>77</v>
      </c>
      <c r="BVI16" s="3" t="s">
        <v>76</v>
      </c>
      <c r="BVJ16" s="3" t="s">
        <v>77</v>
      </c>
      <c r="BVK16" s="3" t="s">
        <v>76</v>
      </c>
      <c r="BVL16" s="3" t="s">
        <v>77</v>
      </c>
      <c r="BVM16" s="3" t="s">
        <v>76</v>
      </c>
      <c r="BVN16" s="3" t="s">
        <v>77</v>
      </c>
      <c r="BVO16" s="3" t="s">
        <v>76</v>
      </c>
      <c r="BVP16" s="3" t="s">
        <v>77</v>
      </c>
      <c r="BVQ16" s="3" t="s">
        <v>76</v>
      </c>
      <c r="BVR16" s="3" t="s">
        <v>77</v>
      </c>
      <c r="BVS16" s="3" t="s">
        <v>76</v>
      </c>
      <c r="BVT16" s="3" t="s">
        <v>77</v>
      </c>
      <c r="BVU16" s="3" t="s">
        <v>76</v>
      </c>
      <c r="BVV16" s="3" t="s">
        <v>77</v>
      </c>
      <c r="BVW16" s="3" t="s">
        <v>76</v>
      </c>
      <c r="BVX16" s="3" t="s">
        <v>77</v>
      </c>
      <c r="BVY16" s="3" t="s">
        <v>76</v>
      </c>
      <c r="BVZ16" s="3" t="s">
        <v>77</v>
      </c>
      <c r="BWA16" s="3" t="s">
        <v>76</v>
      </c>
      <c r="BWB16" s="3" t="s">
        <v>77</v>
      </c>
      <c r="BWC16" s="3" t="s">
        <v>76</v>
      </c>
      <c r="BWD16" s="3" t="s">
        <v>77</v>
      </c>
      <c r="BWE16" s="3" t="s">
        <v>76</v>
      </c>
      <c r="BWF16" s="3" t="s">
        <v>77</v>
      </c>
      <c r="BWG16" s="3" t="s">
        <v>76</v>
      </c>
      <c r="BWH16" s="3" t="s">
        <v>77</v>
      </c>
      <c r="BWI16" s="3" t="s">
        <v>76</v>
      </c>
      <c r="BWJ16" s="3" t="s">
        <v>77</v>
      </c>
      <c r="BWK16" s="3" t="s">
        <v>76</v>
      </c>
      <c r="BWL16" s="3" t="s">
        <v>77</v>
      </c>
      <c r="BWM16" s="3" t="s">
        <v>76</v>
      </c>
      <c r="BWN16" s="3" t="s">
        <v>77</v>
      </c>
      <c r="BWO16" s="3" t="s">
        <v>76</v>
      </c>
      <c r="BWP16" s="3" t="s">
        <v>77</v>
      </c>
      <c r="BWQ16" s="3" t="s">
        <v>76</v>
      </c>
      <c r="BWR16" s="3" t="s">
        <v>77</v>
      </c>
      <c r="BWS16" s="3" t="s">
        <v>76</v>
      </c>
      <c r="BWT16" s="3" t="s">
        <v>77</v>
      </c>
      <c r="BWU16" s="3" t="s">
        <v>76</v>
      </c>
      <c r="BWV16" s="3" t="s">
        <v>77</v>
      </c>
      <c r="BWW16" s="3" t="s">
        <v>76</v>
      </c>
      <c r="BWX16" s="3" t="s">
        <v>77</v>
      </c>
      <c r="BWY16" s="3" t="s">
        <v>76</v>
      </c>
      <c r="BWZ16" s="3" t="s">
        <v>77</v>
      </c>
      <c r="BXA16" s="3" t="s">
        <v>76</v>
      </c>
      <c r="BXB16" s="3" t="s">
        <v>77</v>
      </c>
      <c r="BXC16" s="3" t="s">
        <v>76</v>
      </c>
      <c r="BXD16" s="3" t="s">
        <v>77</v>
      </c>
      <c r="BXE16" s="3" t="s">
        <v>76</v>
      </c>
      <c r="BXF16" s="3" t="s">
        <v>77</v>
      </c>
      <c r="BXG16" s="3" t="s">
        <v>76</v>
      </c>
      <c r="BXH16" s="3" t="s">
        <v>77</v>
      </c>
      <c r="BXI16" s="3" t="s">
        <v>76</v>
      </c>
      <c r="BXJ16" s="3" t="s">
        <v>77</v>
      </c>
      <c r="BXK16" s="3" t="s">
        <v>76</v>
      </c>
      <c r="BXL16" s="3" t="s">
        <v>77</v>
      </c>
      <c r="BXM16" s="3" t="s">
        <v>76</v>
      </c>
      <c r="BXN16" s="3" t="s">
        <v>77</v>
      </c>
      <c r="BXO16" s="3" t="s">
        <v>76</v>
      </c>
      <c r="BXP16" s="3" t="s">
        <v>77</v>
      </c>
      <c r="BXQ16" s="3" t="s">
        <v>76</v>
      </c>
      <c r="BXR16" s="3" t="s">
        <v>77</v>
      </c>
      <c r="BXS16" s="3" t="s">
        <v>76</v>
      </c>
      <c r="BXT16" s="3" t="s">
        <v>77</v>
      </c>
      <c r="BXU16" s="3" t="s">
        <v>76</v>
      </c>
      <c r="BXV16" s="3" t="s">
        <v>77</v>
      </c>
      <c r="BXW16" s="3" t="s">
        <v>76</v>
      </c>
      <c r="BXX16" s="3" t="s">
        <v>77</v>
      </c>
      <c r="BXY16" s="3" t="s">
        <v>76</v>
      </c>
      <c r="BXZ16" s="3" t="s">
        <v>77</v>
      </c>
      <c r="BYA16" s="3" t="s">
        <v>76</v>
      </c>
      <c r="BYB16" s="3" t="s">
        <v>77</v>
      </c>
      <c r="BYC16" s="3" t="s">
        <v>76</v>
      </c>
      <c r="BYD16" s="3" t="s">
        <v>77</v>
      </c>
      <c r="BYE16" s="3" t="s">
        <v>76</v>
      </c>
      <c r="BYF16" s="3" t="s">
        <v>77</v>
      </c>
      <c r="BYG16" s="3" t="s">
        <v>76</v>
      </c>
      <c r="BYH16" s="3" t="s">
        <v>77</v>
      </c>
      <c r="BYI16" s="3" t="s">
        <v>76</v>
      </c>
      <c r="BYJ16" s="3" t="s">
        <v>77</v>
      </c>
      <c r="BYK16" s="3" t="s">
        <v>76</v>
      </c>
      <c r="BYL16" s="3" t="s">
        <v>77</v>
      </c>
      <c r="BYM16" s="3" t="s">
        <v>76</v>
      </c>
      <c r="BYN16" s="3" t="s">
        <v>77</v>
      </c>
      <c r="BYO16" s="3" t="s">
        <v>76</v>
      </c>
      <c r="BYP16" s="3" t="s">
        <v>77</v>
      </c>
      <c r="BYQ16" s="3" t="s">
        <v>76</v>
      </c>
      <c r="BYR16" s="3" t="s">
        <v>77</v>
      </c>
      <c r="BYS16" s="3" t="s">
        <v>76</v>
      </c>
      <c r="BYT16" s="3" t="s">
        <v>77</v>
      </c>
      <c r="BYU16" s="3" t="s">
        <v>76</v>
      </c>
      <c r="BYV16" s="3" t="s">
        <v>77</v>
      </c>
      <c r="BYW16" s="3" t="s">
        <v>76</v>
      </c>
      <c r="BYX16" s="3" t="s">
        <v>77</v>
      </c>
      <c r="BYY16" s="3" t="s">
        <v>76</v>
      </c>
      <c r="BYZ16" s="3" t="s">
        <v>77</v>
      </c>
      <c r="BZA16" s="3" t="s">
        <v>76</v>
      </c>
      <c r="BZB16" s="3" t="s">
        <v>77</v>
      </c>
      <c r="BZC16" s="3" t="s">
        <v>76</v>
      </c>
      <c r="BZD16" s="3" t="s">
        <v>77</v>
      </c>
      <c r="BZE16" s="3" t="s">
        <v>76</v>
      </c>
      <c r="BZF16" s="3" t="s">
        <v>77</v>
      </c>
      <c r="BZG16" s="3" t="s">
        <v>76</v>
      </c>
      <c r="BZH16" s="3" t="s">
        <v>77</v>
      </c>
      <c r="BZI16" s="3" t="s">
        <v>76</v>
      </c>
      <c r="BZJ16" s="3" t="s">
        <v>77</v>
      </c>
      <c r="BZK16" s="3" t="s">
        <v>76</v>
      </c>
      <c r="BZL16" s="3" t="s">
        <v>77</v>
      </c>
      <c r="BZM16" s="3" t="s">
        <v>76</v>
      </c>
      <c r="BZN16" s="3" t="s">
        <v>77</v>
      </c>
      <c r="BZO16" s="3" t="s">
        <v>76</v>
      </c>
      <c r="BZP16" s="3" t="s">
        <v>77</v>
      </c>
      <c r="BZQ16" s="3" t="s">
        <v>76</v>
      </c>
      <c r="BZR16" s="3" t="s">
        <v>77</v>
      </c>
      <c r="BZS16" s="3" t="s">
        <v>76</v>
      </c>
      <c r="BZT16" s="3" t="s">
        <v>77</v>
      </c>
      <c r="BZU16" s="3" t="s">
        <v>76</v>
      </c>
      <c r="BZV16" s="3" t="s">
        <v>77</v>
      </c>
      <c r="BZW16" s="3" t="s">
        <v>76</v>
      </c>
      <c r="BZX16" s="3" t="s">
        <v>77</v>
      </c>
      <c r="BZY16" s="3" t="s">
        <v>76</v>
      </c>
      <c r="BZZ16" s="3" t="s">
        <v>77</v>
      </c>
      <c r="CAA16" s="3" t="s">
        <v>76</v>
      </c>
      <c r="CAB16" s="3" t="s">
        <v>77</v>
      </c>
      <c r="CAC16" s="3" t="s">
        <v>76</v>
      </c>
      <c r="CAD16" s="3" t="s">
        <v>77</v>
      </c>
      <c r="CAE16" s="3" t="s">
        <v>76</v>
      </c>
      <c r="CAF16" s="3" t="s">
        <v>77</v>
      </c>
      <c r="CAG16" s="3" t="s">
        <v>76</v>
      </c>
      <c r="CAH16" s="3" t="s">
        <v>77</v>
      </c>
      <c r="CAI16" s="3" t="s">
        <v>76</v>
      </c>
      <c r="CAJ16" s="3" t="s">
        <v>77</v>
      </c>
      <c r="CAK16" s="3" t="s">
        <v>76</v>
      </c>
      <c r="CAL16" s="3" t="s">
        <v>77</v>
      </c>
      <c r="CAM16" s="3" t="s">
        <v>76</v>
      </c>
      <c r="CAN16" s="3" t="s">
        <v>77</v>
      </c>
      <c r="CAO16" s="3" t="s">
        <v>76</v>
      </c>
      <c r="CAP16" s="3" t="s">
        <v>77</v>
      </c>
      <c r="CAQ16" s="3" t="s">
        <v>76</v>
      </c>
      <c r="CAR16" s="3" t="s">
        <v>77</v>
      </c>
      <c r="CAS16" s="3" t="s">
        <v>76</v>
      </c>
      <c r="CAT16" s="3" t="s">
        <v>77</v>
      </c>
      <c r="CAU16" s="3" t="s">
        <v>76</v>
      </c>
      <c r="CAV16" s="3" t="s">
        <v>77</v>
      </c>
      <c r="CAW16" s="3" t="s">
        <v>76</v>
      </c>
      <c r="CAX16" s="3" t="s">
        <v>77</v>
      </c>
      <c r="CAY16" s="3" t="s">
        <v>76</v>
      </c>
      <c r="CAZ16" s="3" t="s">
        <v>77</v>
      </c>
      <c r="CBA16" s="3" t="s">
        <v>76</v>
      </c>
      <c r="CBB16" s="3" t="s">
        <v>77</v>
      </c>
      <c r="CBC16" s="3" t="s">
        <v>76</v>
      </c>
      <c r="CBD16" s="3" t="s">
        <v>77</v>
      </c>
      <c r="CBE16" s="3" t="s">
        <v>76</v>
      </c>
      <c r="CBF16" s="3" t="s">
        <v>77</v>
      </c>
      <c r="CBG16" s="3" t="s">
        <v>76</v>
      </c>
      <c r="CBH16" s="3" t="s">
        <v>77</v>
      </c>
      <c r="CBI16" s="3" t="s">
        <v>76</v>
      </c>
      <c r="CBJ16" s="3" t="s">
        <v>77</v>
      </c>
      <c r="CBK16" s="3" t="s">
        <v>76</v>
      </c>
      <c r="CBL16" s="3" t="s">
        <v>77</v>
      </c>
      <c r="CBM16" s="3" t="s">
        <v>76</v>
      </c>
      <c r="CBN16" s="3" t="s">
        <v>77</v>
      </c>
      <c r="CBO16" s="3" t="s">
        <v>76</v>
      </c>
      <c r="CBP16" s="3" t="s">
        <v>77</v>
      </c>
      <c r="CBQ16" s="3" t="s">
        <v>76</v>
      </c>
      <c r="CBR16" s="3" t="s">
        <v>77</v>
      </c>
      <c r="CBS16" s="3" t="s">
        <v>76</v>
      </c>
      <c r="CBT16" s="3" t="s">
        <v>77</v>
      </c>
      <c r="CBU16" s="3" t="s">
        <v>76</v>
      </c>
      <c r="CBV16" s="3" t="s">
        <v>77</v>
      </c>
      <c r="CBW16" s="3" t="s">
        <v>76</v>
      </c>
      <c r="CBX16" s="3" t="s">
        <v>77</v>
      </c>
      <c r="CBY16" s="3" t="s">
        <v>76</v>
      </c>
      <c r="CBZ16" s="3" t="s">
        <v>77</v>
      </c>
      <c r="CCA16" s="3" t="s">
        <v>76</v>
      </c>
      <c r="CCB16" s="3" t="s">
        <v>77</v>
      </c>
      <c r="CCC16" s="3" t="s">
        <v>76</v>
      </c>
      <c r="CCD16" s="3" t="s">
        <v>77</v>
      </c>
      <c r="CCE16" s="3" t="s">
        <v>76</v>
      </c>
      <c r="CCF16" s="3" t="s">
        <v>77</v>
      </c>
      <c r="CCG16" s="3" t="s">
        <v>76</v>
      </c>
      <c r="CCH16" s="3" t="s">
        <v>77</v>
      </c>
      <c r="CCI16" s="3" t="s">
        <v>76</v>
      </c>
      <c r="CCJ16" s="3" t="s">
        <v>77</v>
      </c>
      <c r="CCK16" s="3" t="s">
        <v>76</v>
      </c>
      <c r="CCL16" s="3" t="s">
        <v>77</v>
      </c>
      <c r="CCM16" s="3" t="s">
        <v>76</v>
      </c>
      <c r="CCN16" s="3" t="s">
        <v>77</v>
      </c>
      <c r="CCO16" s="3" t="s">
        <v>76</v>
      </c>
      <c r="CCP16" s="3" t="s">
        <v>77</v>
      </c>
      <c r="CCQ16" s="3" t="s">
        <v>76</v>
      </c>
      <c r="CCR16" s="3" t="s">
        <v>77</v>
      </c>
      <c r="CCS16" s="3" t="s">
        <v>76</v>
      </c>
      <c r="CCT16" s="3" t="s">
        <v>77</v>
      </c>
      <c r="CCU16" s="3" t="s">
        <v>76</v>
      </c>
      <c r="CCV16" s="3" t="s">
        <v>77</v>
      </c>
      <c r="CCW16" s="3" t="s">
        <v>76</v>
      </c>
      <c r="CCX16" s="3" t="s">
        <v>77</v>
      </c>
      <c r="CCY16" s="3" t="s">
        <v>76</v>
      </c>
      <c r="CCZ16" s="3" t="s">
        <v>77</v>
      </c>
      <c r="CDA16" s="3" t="s">
        <v>76</v>
      </c>
      <c r="CDB16" s="3" t="s">
        <v>77</v>
      </c>
      <c r="CDC16" s="3" t="s">
        <v>76</v>
      </c>
      <c r="CDD16" s="3" t="s">
        <v>77</v>
      </c>
      <c r="CDE16" s="3" t="s">
        <v>76</v>
      </c>
      <c r="CDF16" s="3" t="s">
        <v>77</v>
      </c>
      <c r="CDG16" s="3" t="s">
        <v>76</v>
      </c>
      <c r="CDH16" s="3" t="s">
        <v>77</v>
      </c>
      <c r="CDI16" s="3" t="s">
        <v>76</v>
      </c>
      <c r="CDJ16" s="3" t="s">
        <v>77</v>
      </c>
      <c r="CDK16" s="3" t="s">
        <v>76</v>
      </c>
      <c r="CDL16" s="3" t="s">
        <v>77</v>
      </c>
      <c r="CDM16" s="3" t="s">
        <v>76</v>
      </c>
      <c r="CDN16" s="3" t="s">
        <v>77</v>
      </c>
      <c r="CDO16" s="3" t="s">
        <v>76</v>
      </c>
      <c r="CDP16" s="3" t="s">
        <v>77</v>
      </c>
      <c r="CDQ16" s="3" t="s">
        <v>76</v>
      </c>
      <c r="CDR16" s="3" t="s">
        <v>77</v>
      </c>
      <c r="CDS16" s="3" t="s">
        <v>76</v>
      </c>
      <c r="CDT16" s="3" t="s">
        <v>77</v>
      </c>
      <c r="CDU16" s="3" t="s">
        <v>76</v>
      </c>
      <c r="CDV16" s="3" t="s">
        <v>77</v>
      </c>
      <c r="CDW16" s="3" t="s">
        <v>76</v>
      </c>
      <c r="CDX16" s="3" t="s">
        <v>77</v>
      </c>
      <c r="CDY16" s="3" t="s">
        <v>76</v>
      </c>
      <c r="CDZ16" s="3" t="s">
        <v>77</v>
      </c>
      <c r="CEA16" s="3" t="s">
        <v>76</v>
      </c>
      <c r="CEB16" s="3" t="s">
        <v>77</v>
      </c>
      <c r="CEC16" s="3" t="s">
        <v>76</v>
      </c>
      <c r="CED16" s="3" t="s">
        <v>77</v>
      </c>
      <c r="CEE16" s="3" t="s">
        <v>76</v>
      </c>
      <c r="CEF16" s="3" t="s">
        <v>77</v>
      </c>
      <c r="CEG16" s="3" t="s">
        <v>76</v>
      </c>
      <c r="CEH16" s="3" t="s">
        <v>77</v>
      </c>
      <c r="CEI16" s="3" t="s">
        <v>76</v>
      </c>
      <c r="CEJ16" s="3" t="s">
        <v>77</v>
      </c>
      <c r="CEK16" s="3" t="s">
        <v>76</v>
      </c>
      <c r="CEL16" s="3" t="s">
        <v>77</v>
      </c>
      <c r="CEM16" s="3" t="s">
        <v>76</v>
      </c>
      <c r="CEN16" s="3" t="s">
        <v>77</v>
      </c>
      <c r="CEO16" s="3" t="s">
        <v>76</v>
      </c>
      <c r="CEP16" s="3" t="s">
        <v>77</v>
      </c>
      <c r="CEQ16" s="3" t="s">
        <v>76</v>
      </c>
      <c r="CER16" s="3" t="s">
        <v>77</v>
      </c>
      <c r="CES16" s="3" t="s">
        <v>76</v>
      </c>
      <c r="CET16" s="3" t="s">
        <v>77</v>
      </c>
      <c r="CEU16" s="3" t="s">
        <v>76</v>
      </c>
      <c r="CEV16" s="3" t="s">
        <v>77</v>
      </c>
      <c r="CEW16" s="3" t="s">
        <v>76</v>
      </c>
      <c r="CEX16" s="3" t="s">
        <v>77</v>
      </c>
      <c r="CEY16" s="3" t="s">
        <v>76</v>
      </c>
      <c r="CEZ16" s="3" t="s">
        <v>77</v>
      </c>
      <c r="CFA16" s="3" t="s">
        <v>76</v>
      </c>
      <c r="CFB16" s="3" t="s">
        <v>77</v>
      </c>
      <c r="CFC16" s="3" t="s">
        <v>76</v>
      </c>
      <c r="CFD16" s="3" t="s">
        <v>77</v>
      </c>
      <c r="CFE16" s="3" t="s">
        <v>76</v>
      </c>
      <c r="CFF16" s="3" t="s">
        <v>77</v>
      </c>
      <c r="CFG16" s="3" t="s">
        <v>76</v>
      </c>
      <c r="CFH16" s="3" t="s">
        <v>77</v>
      </c>
      <c r="CFI16" s="3" t="s">
        <v>76</v>
      </c>
      <c r="CFJ16" s="3" t="s">
        <v>77</v>
      </c>
      <c r="CFK16" s="3" t="s">
        <v>76</v>
      </c>
      <c r="CFL16" s="3" t="s">
        <v>77</v>
      </c>
      <c r="CFM16" s="3" t="s">
        <v>76</v>
      </c>
      <c r="CFN16" s="3" t="s">
        <v>77</v>
      </c>
      <c r="CFO16" s="3" t="s">
        <v>76</v>
      </c>
      <c r="CFP16" s="3" t="s">
        <v>77</v>
      </c>
      <c r="CFQ16" s="3" t="s">
        <v>76</v>
      </c>
      <c r="CFR16" s="3" t="s">
        <v>77</v>
      </c>
      <c r="CFS16" s="3" t="s">
        <v>76</v>
      </c>
      <c r="CFT16" s="3" t="s">
        <v>77</v>
      </c>
      <c r="CFU16" s="3" t="s">
        <v>76</v>
      </c>
      <c r="CFV16" s="3" t="s">
        <v>77</v>
      </c>
      <c r="CFW16" s="3" t="s">
        <v>76</v>
      </c>
      <c r="CFX16" s="3" t="s">
        <v>77</v>
      </c>
      <c r="CFY16" s="3" t="s">
        <v>76</v>
      </c>
      <c r="CFZ16" s="3" t="s">
        <v>77</v>
      </c>
      <c r="CGA16" s="3" t="s">
        <v>76</v>
      </c>
      <c r="CGB16" s="3" t="s">
        <v>77</v>
      </c>
      <c r="CGC16" s="3" t="s">
        <v>76</v>
      </c>
      <c r="CGD16" s="3" t="s">
        <v>77</v>
      </c>
      <c r="CGE16" s="3" t="s">
        <v>76</v>
      </c>
      <c r="CGF16" s="3" t="s">
        <v>77</v>
      </c>
      <c r="CGG16" s="3" t="s">
        <v>76</v>
      </c>
      <c r="CGH16" s="3" t="s">
        <v>77</v>
      </c>
      <c r="CGI16" s="3" t="s">
        <v>76</v>
      </c>
      <c r="CGJ16" s="3" t="s">
        <v>77</v>
      </c>
      <c r="CGK16" s="3" t="s">
        <v>76</v>
      </c>
      <c r="CGL16" s="3" t="s">
        <v>77</v>
      </c>
      <c r="CGM16" s="3" t="s">
        <v>76</v>
      </c>
      <c r="CGN16" s="3" t="s">
        <v>77</v>
      </c>
      <c r="CGO16" s="3" t="s">
        <v>76</v>
      </c>
      <c r="CGP16" s="3" t="s">
        <v>77</v>
      </c>
      <c r="CGQ16" s="3" t="s">
        <v>76</v>
      </c>
      <c r="CGR16" s="3" t="s">
        <v>77</v>
      </c>
      <c r="CGS16" s="3" t="s">
        <v>76</v>
      </c>
      <c r="CGT16" s="3" t="s">
        <v>77</v>
      </c>
      <c r="CGU16" s="3" t="s">
        <v>76</v>
      </c>
      <c r="CGV16" s="3" t="s">
        <v>77</v>
      </c>
      <c r="CGW16" s="3" t="s">
        <v>76</v>
      </c>
      <c r="CGX16" s="3" t="s">
        <v>77</v>
      </c>
      <c r="CGY16" s="3" t="s">
        <v>76</v>
      </c>
      <c r="CGZ16" s="3" t="s">
        <v>77</v>
      </c>
      <c r="CHA16" s="3" t="s">
        <v>76</v>
      </c>
      <c r="CHB16" s="3" t="s">
        <v>77</v>
      </c>
      <c r="CHC16" s="3" t="s">
        <v>76</v>
      </c>
      <c r="CHD16" s="3" t="s">
        <v>77</v>
      </c>
      <c r="CHE16" s="3" t="s">
        <v>76</v>
      </c>
      <c r="CHF16" s="3" t="s">
        <v>77</v>
      </c>
      <c r="CHG16" s="3" t="s">
        <v>76</v>
      </c>
      <c r="CHH16" s="3" t="s">
        <v>77</v>
      </c>
      <c r="CHI16" s="3" t="s">
        <v>76</v>
      </c>
      <c r="CHJ16" s="3" t="s">
        <v>77</v>
      </c>
      <c r="CHK16" s="3" t="s">
        <v>76</v>
      </c>
      <c r="CHL16" s="3" t="s">
        <v>77</v>
      </c>
      <c r="CHM16" s="3" t="s">
        <v>76</v>
      </c>
      <c r="CHN16" s="3" t="s">
        <v>77</v>
      </c>
      <c r="CHO16" s="3" t="s">
        <v>76</v>
      </c>
      <c r="CHP16" s="3" t="s">
        <v>77</v>
      </c>
      <c r="CHQ16" s="3" t="s">
        <v>76</v>
      </c>
      <c r="CHR16" s="3" t="s">
        <v>77</v>
      </c>
      <c r="CHS16" s="3" t="s">
        <v>76</v>
      </c>
      <c r="CHT16" s="3" t="s">
        <v>77</v>
      </c>
      <c r="CHU16" s="3" t="s">
        <v>76</v>
      </c>
      <c r="CHV16" s="3" t="s">
        <v>77</v>
      </c>
      <c r="CHW16" s="3" t="s">
        <v>76</v>
      </c>
      <c r="CHX16" s="3" t="s">
        <v>77</v>
      </c>
      <c r="CHY16" s="3" t="s">
        <v>76</v>
      </c>
      <c r="CHZ16" s="3" t="s">
        <v>77</v>
      </c>
      <c r="CIA16" s="3" t="s">
        <v>76</v>
      </c>
      <c r="CIB16" s="3" t="s">
        <v>77</v>
      </c>
      <c r="CIC16" s="3" t="s">
        <v>76</v>
      </c>
      <c r="CID16" s="3" t="s">
        <v>77</v>
      </c>
      <c r="CIE16" s="3" t="s">
        <v>76</v>
      </c>
      <c r="CIF16" s="3" t="s">
        <v>77</v>
      </c>
      <c r="CIG16" s="3" t="s">
        <v>76</v>
      </c>
      <c r="CIH16" s="3" t="s">
        <v>77</v>
      </c>
      <c r="CII16" s="3" t="s">
        <v>76</v>
      </c>
      <c r="CIJ16" s="3" t="s">
        <v>77</v>
      </c>
      <c r="CIK16" s="3" t="s">
        <v>76</v>
      </c>
      <c r="CIL16" s="3" t="s">
        <v>77</v>
      </c>
      <c r="CIM16" s="3" t="s">
        <v>76</v>
      </c>
      <c r="CIN16" s="3" t="s">
        <v>77</v>
      </c>
      <c r="CIO16" s="3" t="s">
        <v>76</v>
      </c>
      <c r="CIP16" s="3" t="s">
        <v>77</v>
      </c>
      <c r="CIQ16" s="3" t="s">
        <v>76</v>
      </c>
      <c r="CIR16" s="3" t="s">
        <v>77</v>
      </c>
      <c r="CIS16" s="3" t="s">
        <v>76</v>
      </c>
      <c r="CIT16" s="3" t="s">
        <v>77</v>
      </c>
      <c r="CIU16" s="3" t="s">
        <v>76</v>
      </c>
      <c r="CIV16" s="3" t="s">
        <v>77</v>
      </c>
      <c r="CIW16" s="3" t="s">
        <v>76</v>
      </c>
      <c r="CIX16" s="3" t="s">
        <v>77</v>
      </c>
      <c r="CIY16" s="3" t="s">
        <v>76</v>
      </c>
      <c r="CIZ16" s="3" t="s">
        <v>77</v>
      </c>
      <c r="CJA16" s="3" t="s">
        <v>76</v>
      </c>
      <c r="CJB16" s="3" t="s">
        <v>77</v>
      </c>
      <c r="CJC16" s="3" t="s">
        <v>76</v>
      </c>
      <c r="CJD16" s="3" t="s">
        <v>77</v>
      </c>
      <c r="CJE16" s="3" t="s">
        <v>76</v>
      </c>
      <c r="CJF16" s="3" t="s">
        <v>77</v>
      </c>
      <c r="CJG16" s="3" t="s">
        <v>76</v>
      </c>
      <c r="CJH16" s="3" t="s">
        <v>77</v>
      </c>
      <c r="CJI16" s="3" t="s">
        <v>76</v>
      </c>
      <c r="CJJ16" s="3" t="s">
        <v>77</v>
      </c>
      <c r="CJK16" s="3" t="s">
        <v>76</v>
      </c>
      <c r="CJL16" s="3" t="s">
        <v>77</v>
      </c>
      <c r="CJM16" s="3" t="s">
        <v>76</v>
      </c>
      <c r="CJN16" s="3" t="s">
        <v>77</v>
      </c>
      <c r="CJO16" s="3" t="s">
        <v>76</v>
      </c>
      <c r="CJP16" s="3" t="s">
        <v>77</v>
      </c>
      <c r="CJQ16" s="3" t="s">
        <v>76</v>
      </c>
      <c r="CJR16" s="3" t="s">
        <v>77</v>
      </c>
      <c r="CJS16" s="3" t="s">
        <v>76</v>
      </c>
      <c r="CJT16" s="3" t="s">
        <v>77</v>
      </c>
      <c r="CJU16" s="3" t="s">
        <v>76</v>
      </c>
      <c r="CJV16" s="3" t="s">
        <v>77</v>
      </c>
      <c r="CJW16" s="3" t="s">
        <v>76</v>
      </c>
      <c r="CJX16" s="3" t="s">
        <v>77</v>
      </c>
      <c r="CJY16" s="3" t="s">
        <v>76</v>
      </c>
      <c r="CJZ16" s="3" t="s">
        <v>77</v>
      </c>
      <c r="CKA16" s="3" t="s">
        <v>76</v>
      </c>
      <c r="CKB16" s="3" t="s">
        <v>77</v>
      </c>
      <c r="CKC16" s="3" t="s">
        <v>76</v>
      </c>
      <c r="CKD16" s="3" t="s">
        <v>77</v>
      </c>
      <c r="CKE16" s="3" t="s">
        <v>76</v>
      </c>
      <c r="CKF16" s="3" t="s">
        <v>77</v>
      </c>
      <c r="CKG16" s="3" t="s">
        <v>76</v>
      </c>
      <c r="CKH16" s="3" t="s">
        <v>77</v>
      </c>
      <c r="CKI16" s="3" t="s">
        <v>76</v>
      </c>
      <c r="CKJ16" s="3" t="s">
        <v>77</v>
      </c>
      <c r="CKK16" s="3" t="s">
        <v>76</v>
      </c>
      <c r="CKL16" s="3" t="s">
        <v>77</v>
      </c>
      <c r="CKM16" s="3" t="s">
        <v>76</v>
      </c>
      <c r="CKN16" s="3" t="s">
        <v>77</v>
      </c>
      <c r="CKO16" s="3" t="s">
        <v>76</v>
      </c>
      <c r="CKP16" s="3" t="s">
        <v>77</v>
      </c>
      <c r="CKQ16" s="3" t="s">
        <v>76</v>
      </c>
      <c r="CKR16" s="3" t="s">
        <v>77</v>
      </c>
      <c r="CKS16" s="3" t="s">
        <v>76</v>
      </c>
      <c r="CKT16" s="3" t="s">
        <v>77</v>
      </c>
      <c r="CKU16" s="3" t="s">
        <v>76</v>
      </c>
      <c r="CKV16" s="3" t="s">
        <v>77</v>
      </c>
      <c r="CKW16" s="3" t="s">
        <v>76</v>
      </c>
      <c r="CKX16" s="3" t="s">
        <v>77</v>
      </c>
      <c r="CKY16" s="3" t="s">
        <v>76</v>
      </c>
      <c r="CKZ16" s="3" t="s">
        <v>77</v>
      </c>
      <c r="CLA16" s="3" t="s">
        <v>76</v>
      </c>
      <c r="CLB16" s="3" t="s">
        <v>77</v>
      </c>
      <c r="CLC16" s="3" t="s">
        <v>76</v>
      </c>
      <c r="CLD16" s="3" t="s">
        <v>77</v>
      </c>
      <c r="CLE16" s="3" t="s">
        <v>76</v>
      </c>
      <c r="CLF16" s="3" t="s">
        <v>77</v>
      </c>
      <c r="CLG16" s="3" t="s">
        <v>76</v>
      </c>
      <c r="CLH16" s="3" t="s">
        <v>77</v>
      </c>
      <c r="CLI16" s="3" t="s">
        <v>76</v>
      </c>
      <c r="CLJ16" s="3" t="s">
        <v>77</v>
      </c>
      <c r="CLK16" s="3" t="s">
        <v>76</v>
      </c>
      <c r="CLL16" s="3" t="s">
        <v>77</v>
      </c>
      <c r="CLM16" s="3" t="s">
        <v>76</v>
      </c>
      <c r="CLN16" s="3" t="s">
        <v>77</v>
      </c>
      <c r="CLO16" s="3" t="s">
        <v>76</v>
      </c>
      <c r="CLP16" s="3" t="s">
        <v>77</v>
      </c>
      <c r="CLQ16" s="3" t="s">
        <v>76</v>
      </c>
      <c r="CLR16" s="3" t="s">
        <v>77</v>
      </c>
      <c r="CLS16" s="3" t="s">
        <v>76</v>
      </c>
      <c r="CLT16" s="3" t="s">
        <v>77</v>
      </c>
      <c r="CLU16" s="3" t="s">
        <v>76</v>
      </c>
      <c r="CLV16" s="3" t="s">
        <v>77</v>
      </c>
      <c r="CLW16" s="3" t="s">
        <v>76</v>
      </c>
      <c r="CLX16" s="3" t="s">
        <v>77</v>
      </c>
      <c r="CLY16" s="3" t="s">
        <v>76</v>
      </c>
      <c r="CLZ16" s="3" t="s">
        <v>77</v>
      </c>
      <c r="CMA16" s="3" t="s">
        <v>76</v>
      </c>
      <c r="CMB16" s="3" t="s">
        <v>77</v>
      </c>
      <c r="CMC16" s="3" t="s">
        <v>76</v>
      </c>
      <c r="CMD16" s="3" t="s">
        <v>77</v>
      </c>
      <c r="CME16" s="3" t="s">
        <v>76</v>
      </c>
      <c r="CMF16" s="3" t="s">
        <v>77</v>
      </c>
      <c r="CMG16" s="3" t="s">
        <v>76</v>
      </c>
      <c r="CMH16" s="3" t="s">
        <v>77</v>
      </c>
      <c r="CMI16" s="3" t="s">
        <v>76</v>
      </c>
      <c r="CMJ16" s="3" t="s">
        <v>77</v>
      </c>
      <c r="CMK16" s="3" t="s">
        <v>76</v>
      </c>
      <c r="CML16" s="3" t="s">
        <v>77</v>
      </c>
      <c r="CMM16" s="3" t="s">
        <v>76</v>
      </c>
      <c r="CMN16" s="3" t="s">
        <v>77</v>
      </c>
      <c r="CMO16" s="3" t="s">
        <v>76</v>
      </c>
      <c r="CMP16" s="3" t="s">
        <v>77</v>
      </c>
      <c r="CMQ16" s="3" t="s">
        <v>76</v>
      </c>
      <c r="CMR16" s="3" t="s">
        <v>77</v>
      </c>
      <c r="CMS16" s="3" t="s">
        <v>76</v>
      </c>
      <c r="CMT16" s="3" t="s">
        <v>77</v>
      </c>
      <c r="CMU16" s="3" t="s">
        <v>76</v>
      </c>
      <c r="CMV16" s="3" t="s">
        <v>77</v>
      </c>
      <c r="CMW16" s="3" t="s">
        <v>76</v>
      </c>
      <c r="CMX16" s="3" t="s">
        <v>77</v>
      </c>
      <c r="CMY16" s="3" t="s">
        <v>76</v>
      </c>
      <c r="CMZ16" s="3" t="s">
        <v>77</v>
      </c>
      <c r="CNA16" s="3" t="s">
        <v>76</v>
      </c>
      <c r="CNB16" s="3" t="s">
        <v>77</v>
      </c>
      <c r="CNC16" s="3" t="s">
        <v>76</v>
      </c>
      <c r="CND16" s="3" t="s">
        <v>77</v>
      </c>
      <c r="CNE16" s="3" t="s">
        <v>76</v>
      </c>
      <c r="CNF16" s="3" t="s">
        <v>77</v>
      </c>
      <c r="CNG16" s="3" t="s">
        <v>76</v>
      </c>
      <c r="CNH16" s="3" t="s">
        <v>77</v>
      </c>
      <c r="CNI16" s="3" t="s">
        <v>76</v>
      </c>
      <c r="CNJ16" s="3" t="s">
        <v>77</v>
      </c>
      <c r="CNK16" s="3" t="s">
        <v>76</v>
      </c>
      <c r="CNL16" s="3" t="s">
        <v>77</v>
      </c>
      <c r="CNM16" s="3" t="s">
        <v>76</v>
      </c>
      <c r="CNN16" s="3" t="s">
        <v>77</v>
      </c>
      <c r="CNO16" s="3" t="s">
        <v>76</v>
      </c>
      <c r="CNP16" s="3" t="s">
        <v>77</v>
      </c>
      <c r="CNQ16" s="3" t="s">
        <v>76</v>
      </c>
      <c r="CNR16" s="3" t="s">
        <v>77</v>
      </c>
      <c r="CNS16" s="3" t="s">
        <v>76</v>
      </c>
      <c r="CNT16" s="3" t="s">
        <v>77</v>
      </c>
      <c r="CNU16" s="3" t="s">
        <v>76</v>
      </c>
      <c r="CNV16" s="3" t="s">
        <v>77</v>
      </c>
      <c r="CNW16" s="3" t="s">
        <v>76</v>
      </c>
      <c r="CNX16" s="3" t="s">
        <v>77</v>
      </c>
      <c r="CNY16" s="3" t="s">
        <v>76</v>
      </c>
      <c r="CNZ16" s="3" t="s">
        <v>77</v>
      </c>
      <c r="COA16" s="3" t="s">
        <v>76</v>
      </c>
      <c r="COB16" s="3" t="s">
        <v>77</v>
      </c>
      <c r="COC16" s="3" t="s">
        <v>76</v>
      </c>
      <c r="COD16" s="3" t="s">
        <v>77</v>
      </c>
      <c r="COE16" s="3" t="s">
        <v>76</v>
      </c>
      <c r="COF16" s="3" t="s">
        <v>77</v>
      </c>
      <c r="COG16" s="3" t="s">
        <v>76</v>
      </c>
      <c r="COH16" s="3" t="s">
        <v>77</v>
      </c>
      <c r="COI16" s="3" t="s">
        <v>76</v>
      </c>
      <c r="COJ16" s="3" t="s">
        <v>77</v>
      </c>
      <c r="COK16" s="3" t="s">
        <v>76</v>
      </c>
      <c r="COL16" s="3" t="s">
        <v>77</v>
      </c>
      <c r="COM16" s="3" t="s">
        <v>76</v>
      </c>
      <c r="CON16" s="3" t="s">
        <v>77</v>
      </c>
      <c r="COO16" s="3" t="s">
        <v>76</v>
      </c>
      <c r="COP16" s="3" t="s">
        <v>77</v>
      </c>
      <c r="COQ16" s="3" t="s">
        <v>76</v>
      </c>
      <c r="COR16" s="3" t="s">
        <v>77</v>
      </c>
      <c r="COS16" s="3" t="s">
        <v>76</v>
      </c>
      <c r="COT16" s="3" t="s">
        <v>77</v>
      </c>
      <c r="COU16" s="3" t="s">
        <v>76</v>
      </c>
      <c r="COV16" s="3" t="s">
        <v>77</v>
      </c>
      <c r="COW16" s="3" t="s">
        <v>76</v>
      </c>
      <c r="COX16" s="3" t="s">
        <v>77</v>
      </c>
      <c r="COY16" s="3" t="s">
        <v>76</v>
      </c>
      <c r="COZ16" s="3" t="s">
        <v>77</v>
      </c>
      <c r="CPA16" s="3" t="s">
        <v>76</v>
      </c>
      <c r="CPB16" s="3" t="s">
        <v>77</v>
      </c>
      <c r="CPC16" s="3" t="s">
        <v>76</v>
      </c>
      <c r="CPD16" s="3" t="s">
        <v>77</v>
      </c>
      <c r="CPE16" s="3" t="s">
        <v>76</v>
      </c>
      <c r="CPF16" s="3" t="s">
        <v>77</v>
      </c>
      <c r="CPG16" s="3" t="s">
        <v>76</v>
      </c>
      <c r="CPH16" s="3" t="s">
        <v>77</v>
      </c>
      <c r="CPI16" s="3" t="s">
        <v>76</v>
      </c>
      <c r="CPJ16" s="3" t="s">
        <v>77</v>
      </c>
      <c r="CPK16" s="3" t="s">
        <v>76</v>
      </c>
      <c r="CPL16" s="3" t="s">
        <v>77</v>
      </c>
      <c r="CPM16" s="3" t="s">
        <v>76</v>
      </c>
      <c r="CPN16" s="3" t="s">
        <v>77</v>
      </c>
      <c r="CPO16" s="3" t="s">
        <v>76</v>
      </c>
      <c r="CPP16" s="3" t="s">
        <v>77</v>
      </c>
      <c r="CPQ16" s="3" t="s">
        <v>76</v>
      </c>
      <c r="CPR16" s="3" t="s">
        <v>77</v>
      </c>
      <c r="CPS16" s="3" t="s">
        <v>76</v>
      </c>
      <c r="CPT16" s="3" t="s">
        <v>77</v>
      </c>
      <c r="CPU16" s="3" t="s">
        <v>76</v>
      </c>
      <c r="CPV16" s="3" t="s">
        <v>77</v>
      </c>
      <c r="CPW16" s="3" t="s">
        <v>76</v>
      </c>
      <c r="CPX16" s="3" t="s">
        <v>77</v>
      </c>
      <c r="CPY16" s="3" t="s">
        <v>76</v>
      </c>
      <c r="CPZ16" s="3" t="s">
        <v>77</v>
      </c>
      <c r="CQA16" s="3" t="s">
        <v>76</v>
      </c>
      <c r="CQB16" s="3" t="s">
        <v>77</v>
      </c>
      <c r="CQC16" s="3" t="s">
        <v>76</v>
      </c>
      <c r="CQD16" s="3" t="s">
        <v>77</v>
      </c>
      <c r="CQE16" s="3" t="s">
        <v>76</v>
      </c>
      <c r="CQF16" s="3" t="s">
        <v>77</v>
      </c>
      <c r="CQG16" s="3" t="s">
        <v>76</v>
      </c>
      <c r="CQH16" s="3" t="s">
        <v>77</v>
      </c>
      <c r="CQI16" s="3" t="s">
        <v>76</v>
      </c>
      <c r="CQJ16" s="3" t="s">
        <v>77</v>
      </c>
      <c r="CQK16" s="3" t="s">
        <v>76</v>
      </c>
      <c r="CQL16" s="3" t="s">
        <v>77</v>
      </c>
      <c r="CQM16" s="3" t="s">
        <v>76</v>
      </c>
      <c r="CQN16" s="3" t="s">
        <v>77</v>
      </c>
      <c r="CQO16" s="3" t="s">
        <v>76</v>
      </c>
      <c r="CQP16" s="3" t="s">
        <v>77</v>
      </c>
      <c r="CQQ16" s="3" t="s">
        <v>76</v>
      </c>
      <c r="CQR16" s="3" t="s">
        <v>77</v>
      </c>
      <c r="CQS16" s="3" t="s">
        <v>76</v>
      </c>
      <c r="CQT16" s="3" t="s">
        <v>77</v>
      </c>
      <c r="CQU16" s="3" t="s">
        <v>76</v>
      </c>
      <c r="CQV16" s="3" t="s">
        <v>77</v>
      </c>
      <c r="CQW16" s="3" t="s">
        <v>76</v>
      </c>
      <c r="CQX16" s="3" t="s">
        <v>77</v>
      </c>
      <c r="CQY16" s="3" t="s">
        <v>76</v>
      </c>
      <c r="CQZ16" s="3" t="s">
        <v>77</v>
      </c>
      <c r="CRA16" s="3" t="s">
        <v>76</v>
      </c>
      <c r="CRB16" s="3" t="s">
        <v>77</v>
      </c>
      <c r="CRC16" s="3" t="s">
        <v>76</v>
      </c>
      <c r="CRD16" s="3" t="s">
        <v>77</v>
      </c>
      <c r="CRE16" s="3" t="s">
        <v>76</v>
      </c>
      <c r="CRF16" s="3" t="s">
        <v>77</v>
      </c>
      <c r="CRG16" s="3" t="s">
        <v>76</v>
      </c>
      <c r="CRH16" s="3" t="s">
        <v>77</v>
      </c>
      <c r="CRI16" s="3" t="s">
        <v>76</v>
      </c>
      <c r="CRJ16" s="3" t="s">
        <v>77</v>
      </c>
      <c r="CRK16" s="3" t="s">
        <v>76</v>
      </c>
      <c r="CRL16" s="3" t="s">
        <v>77</v>
      </c>
      <c r="CRM16" s="3" t="s">
        <v>76</v>
      </c>
      <c r="CRN16" s="3" t="s">
        <v>77</v>
      </c>
      <c r="CRO16" s="3" t="s">
        <v>76</v>
      </c>
      <c r="CRP16" s="3" t="s">
        <v>77</v>
      </c>
      <c r="CRQ16" s="3" t="s">
        <v>76</v>
      </c>
      <c r="CRR16" s="3" t="s">
        <v>77</v>
      </c>
      <c r="CRS16" s="3" t="s">
        <v>76</v>
      </c>
      <c r="CRT16" s="3" t="s">
        <v>77</v>
      </c>
      <c r="CRU16" s="3" t="s">
        <v>76</v>
      </c>
      <c r="CRV16" s="3" t="s">
        <v>77</v>
      </c>
      <c r="CRW16" s="3" t="s">
        <v>76</v>
      </c>
      <c r="CRX16" s="3" t="s">
        <v>77</v>
      </c>
      <c r="CRY16" s="3" t="s">
        <v>76</v>
      </c>
      <c r="CRZ16" s="3" t="s">
        <v>77</v>
      </c>
      <c r="CSA16" s="3" t="s">
        <v>76</v>
      </c>
      <c r="CSB16" s="3" t="s">
        <v>77</v>
      </c>
      <c r="CSC16" s="3" t="s">
        <v>76</v>
      </c>
      <c r="CSD16" s="3" t="s">
        <v>77</v>
      </c>
      <c r="CSE16" s="3" t="s">
        <v>76</v>
      </c>
      <c r="CSF16" s="3" t="s">
        <v>77</v>
      </c>
      <c r="CSG16" s="3" t="s">
        <v>76</v>
      </c>
      <c r="CSH16" s="3" t="s">
        <v>77</v>
      </c>
      <c r="CSI16" s="3" t="s">
        <v>76</v>
      </c>
      <c r="CSJ16" s="3" t="s">
        <v>77</v>
      </c>
      <c r="CSK16" s="3" t="s">
        <v>76</v>
      </c>
      <c r="CSL16" s="3" t="s">
        <v>77</v>
      </c>
      <c r="CSM16" s="3" t="s">
        <v>76</v>
      </c>
      <c r="CSN16" s="3" t="s">
        <v>77</v>
      </c>
      <c r="CSO16" s="3" t="s">
        <v>76</v>
      </c>
      <c r="CSP16" s="3" t="s">
        <v>77</v>
      </c>
      <c r="CSQ16" s="3" t="s">
        <v>76</v>
      </c>
      <c r="CSR16" s="3" t="s">
        <v>77</v>
      </c>
      <c r="CSS16" s="3" t="s">
        <v>76</v>
      </c>
      <c r="CST16" s="3" t="s">
        <v>77</v>
      </c>
      <c r="CSU16" s="3" t="s">
        <v>76</v>
      </c>
      <c r="CSV16" s="3" t="s">
        <v>77</v>
      </c>
      <c r="CSW16" s="3" t="s">
        <v>76</v>
      </c>
      <c r="CSX16" s="3" t="s">
        <v>77</v>
      </c>
      <c r="CSY16" s="3" t="s">
        <v>76</v>
      </c>
      <c r="CSZ16" s="3" t="s">
        <v>77</v>
      </c>
      <c r="CTA16" s="3" t="s">
        <v>76</v>
      </c>
      <c r="CTB16" s="3" t="s">
        <v>77</v>
      </c>
      <c r="CTC16" s="3" t="s">
        <v>76</v>
      </c>
      <c r="CTD16" s="3" t="s">
        <v>77</v>
      </c>
      <c r="CTE16" s="3" t="s">
        <v>76</v>
      </c>
      <c r="CTF16" s="3" t="s">
        <v>77</v>
      </c>
      <c r="CTG16" s="3" t="s">
        <v>76</v>
      </c>
      <c r="CTH16" s="3" t="s">
        <v>77</v>
      </c>
      <c r="CTI16" s="3" t="s">
        <v>76</v>
      </c>
      <c r="CTJ16" s="3" t="s">
        <v>77</v>
      </c>
      <c r="CTK16" s="3" t="s">
        <v>76</v>
      </c>
      <c r="CTL16" s="3" t="s">
        <v>77</v>
      </c>
      <c r="CTM16" s="3" t="s">
        <v>76</v>
      </c>
      <c r="CTN16" s="3" t="s">
        <v>77</v>
      </c>
      <c r="CTO16" s="3" t="s">
        <v>76</v>
      </c>
      <c r="CTP16" s="3" t="s">
        <v>77</v>
      </c>
      <c r="CTQ16" s="3" t="s">
        <v>76</v>
      </c>
      <c r="CTR16" s="3" t="s">
        <v>77</v>
      </c>
      <c r="CTS16" s="3" t="s">
        <v>76</v>
      </c>
      <c r="CTT16" s="3" t="s">
        <v>77</v>
      </c>
      <c r="CTU16" s="3" t="s">
        <v>76</v>
      </c>
      <c r="CTV16" s="3" t="s">
        <v>77</v>
      </c>
      <c r="CTW16" s="3" t="s">
        <v>76</v>
      </c>
      <c r="CTX16" s="3" t="s">
        <v>77</v>
      </c>
      <c r="CTY16" s="3" t="s">
        <v>76</v>
      </c>
      <c r="CTZ16" s="3" t="s">
        <v>77</v>
      </c>
      <c r="CUA16" s="3" t="s">
        <v>76</v>
      </c>
      <c r="CUB16" s="3" t="s">
        <v>77</v>
      </c>
      <c r="CUC16" s="3" t="s">
        <v>76</v>
      </c>
      <c r="CUD16" s="3" t="s">
        <v>77</v>
      </c>
      <c r="CUE16" s="3" t="s">
        <v>76</v>
      </c>
      <c r="CUF16" s="3" t="s">
        <v>77</v>
      </c>
      <c r="CUG16" s="3" t="s">
        <v>76</v>
      </c>
      <c r="CUH16" s="3" t="s">
        <v>77</v>
      </c>
      <c r="CUI16" s="3" t="s">
        <v>76</v>
      </c>
      <c r="CUJ16" s="3" t="s">
        <v>77</v>
      </c>
      <c r="CUK16" s="3" t="s">
        <v>76</v>
      </c>
      <c r="CUL16" s="3" t="s">
        <v>77</v>
      </c>
      <c r="CUM16" s="3" t="s">
        <v>76</v>
      </c>
      <c r="CUN16" s="3" t="s">
        <v>77</v>
      </c>
      <c r="CUO16" s="3" t="s">
        <v>76</v>
      </c>
      <c r="CUP16" s="3" t="s">
        <v>77</v>
      </c>
      <c r="CUQ16" s="3" t="s">
        <v>76</v>
      </c>
      <c r="CUR16" s="3" t="s">
        <v>77</v>
      </c>
      <c r="CUS16" s="3" t="s">
        <v>76</v>
      </c>
      <c r="CUT16" s="3" t="s">
        <v>77</v>
      </c>
      <c r="CUU16" s="3" t="s">
        <v>76</v>
      </c>
      <c r="CUV16" s="3" t="s">
        <v>77</v>
      </c>
      <c r="CUW16" s="3" t="s">
        <v>76</v>
      </c>
      <c r="CUX16" s="3" t="s">
        <v>77</v>
      </c>
      <c r="CUY16" s="3" t="s">
        <v>76</v>
      </c>
      <c r="CUZ16" s="3" t="s">
        <v>77</v>
      </c>
      <c r="CVA16" s="3" t="s">
        <v>76</v>
      </c>
      <c r="CVB16" s="3" t="s">
        <v>77</v>
      </c>
      <c r="CVC16" s="3" t="s">
        <v>76</v>
      </c>
      <c r="CVD16" s="3" t="s">
        <v>77</v>
      </c>
      <c r="CVE16" s="3" t="s">
        <v>76</v>
      </c>
      <c r="CVF16" s="3" t="s">
        <v>77</v>
      </c>
      <c r="CVG16" s="3" t="s">
        <v>76</v>
      </c>
      <c r="CVH16" s="3" t="s">
        <v>77</v>
      </c>
      <c r="CVI16" s="3" t="s">
        <v>76</v>
      </c>
      <c r="CVJ16" s="3" t="s">
        <v>77</v>
      </c>
      <c r="CVK16" s="3" t="s">
        <v>76</v>
      </c>
      <c r="CVL16" s="3" t="s">
        <v>77</v>
      </c>
      <c r="CVM16" s="3" t="s">
        <v>76</v>
      </c>
      <c r="CVN16" s="3" t="s">
        <v>77</v>
      </c>
      <c r="CVO16" s="3" t="s">
        <v>76</v>
      </c>
      <c r="CVP16" s="3" t="s">
        <v>77</v>
      </c>
      <c r="CVQ16" s="3" t="s">
        <v>76</v>
      </c>
      <c r="CVR16" s="3" t="s">
        <v>77</v>
      </c>
      <c r="CVS16" s="3" t="s">
        <v>76</v>
      </c>
      <c r="CVT16" s="3" t="s">
        <v>77</v>
      </c>
      <c r="CVU16" s="3" t="s">
        <v>76</v>
      </c>
      <c r="CVV16" s="3" t="s">
        <v>77</v>
      </c>
      <c r="CVW16" s="3" t="s">
        <v>76</v>
      </c>
      <c r="CVX16" s="3" t="s">
        <v>77</v>
      </c>
      <c r="CVY16" s="3" t="s">
        <v>76</v>
      </c>
      <c r="CVZ16" s="3" t="s">
        <v>77</v>
      </c>
      <c r="CWA16" s="3" t="s">
        <v>76</v>
      </c>
      <c r="CWB16" s="3" t="s">
        <v>77</v>
      </c>
      <c r="CWC16" s="3" t="s">
        <v>76</v>
      </c>
      <c r="CWD16" s="3" t="s">
        <v>77</v>
      </c>
      <c r="CWE16" s="3" t="s">
        <v>76</v>
      </c>
      <c r="CWF16" s="3" t="s">
        <v>77</v>
      </c>
      <c r="CWG16" s="3" t="s">
        <v>76</v>
      </c>
      <c r="CWH16" s="3" t="s">
        <v>77</v>
      </c>
      <c r="CWI16" s="3" t="s">
        <v>76</v>
      </c>
      <c r="CWJ16" s="3" t="s">
        <v>77</v>
      </c>
      <c r="CWK16" s="3" t="s">
        <v>76</v>
      </c>
      <c r="CWL16" s="3" t="s">
        <v>77</v>
      </c>
      <c r="CWM16" s="3" t="s">
        <v>76</v>
      </c>
      <c r="CWN16" s="3" t="s">
        <v>77</v>
      </c>
      <c r="CWO16" s="3" t="s">
        <v>76</v>
      </c>
      <c r="CWP16" s="3" t="s">
        <v>77</v>
      </c>
      <c r="CWQ16" s="3" t="s">
        <v>76</v>
      </c>
      <c r="CWR16" s="3" t="s">
        <v>77</v>
      </c>
      <c r="CWS16" s="3" t="s">
        <v>76</v>
      </c>
      <c r="CWT16" s="3" t="s">
        <v>77</v>
      </c>
      <c r="CWU16" s="3" t="s">
        <v>76</v>
      </c>
      <c r="CWV16" s="3" t="s">
        <v>77</v>
      </c>
      <c r="CWW16" s="3" t="s">
        <v>76</v>
      </c>
      <c r="CWX16" s="3" t="s">
        <v>77</v>
      </c>
      <c r="CWY16" s="3" t="s">
        <v>76</v>
      </c>
      <c r="CWZ16" s="3" t="s">
        <v>77</v>
      </c>
      <c r="CXA16" s="3" t="s">
        <v>76</v>
      </c>
      <c r="CXB16" s="3" t="s">
        <v>77</v>
      </c>
      <c r="CXC16" s="3" t="s">
        <v>76</v>
      </c>
      <c r="CXD16" s="3" t="s">
        <v>77</v>
      </c>
      <c r="CXE16" s="3" t="s">
        <v>76</v>
      </c>
      <c r="CXF16" s="3" t="s">
        <v>77</v>
      </c>
      <c r="CXG16" s="3" t="s">
        <v>76</v>
      </c>
      <c r="CXH16" s="3" t="s">
        <v>77</v>
      </c>
      <c r="CXI16" s="3" t="s">
        <v>76</v>
      </c>
      <c r="CXJ16" s="3" t="s">
        <v>77</v>
      </c>
      <c r="CXK16" s="3" t="s">
        <v>76</v>
      </c>
      <c r="CXL16" s="3" t="s">
        <v>77</v>
      </c>
      <c r="CXM16" s="3" t="s">
        <v>76</v>
      </c>
      <c r="CXN16" s="3" t="s">
        <v>77</v>
      </c>
      <c r="CXO16" s="3" t="s">
        <v>76</v>
      </c>
      <c r="CXP16" s="3" t="s">
        <v>77</v>
      </c>
      <c r="CXQ16" s="3" t="s">
        <v>76</v>
      </c>
      <c r="CXR16" s="3" t="s">
        <v>77</v>
      </c>
      <c r="CXS16" s="3" t="s">
        <v>76</v>
      </c>
      <c r="CXT16" s="3" t="s">
        <v>77</v>
      </c>
      <c r="CXU16" s="3" t="s">
        <v>76</v>
      </c>
      <c r="CXV16" s="3" t="s">
        <v>77</v>
      </c>
      <c r="CXW16" s="3" t="s">
        <v>76</v>
      </c>
      <c r="CXX16" s="3" t="s">
        <v>77</v>
      </c>
      <c r="CXY16" s="3" t="s">
        <v>76</v>
      </c>
      <c r="CXZ16" s="3" t="s">
        <v>77</v>
      </c>
      <c r="CYA16" s="3" t="s">
        <v>76</v>
      </c>
      <c r="CYB16" s="3" t="s">
        <v>77</v>
      </c>
      <c r="CYC16" s="3" t="s">
        <v>76</v>
      </c>
      <c r="CYD16" s="3" t="s">
        <v>77</v>
      </c>
      <c r="CYE16" s="3" t="s">
        <v>76</v>
      </c>
      <c r="CYF16" s="3" t="s">
        <v>77</v>
      </c>
      <c r="CYG16" s="3" t="s">
        <v>76</v>
      </c>
      <c r="CYH16" s="3" t="s">
        <v>77</v>
      </c>
      <c r="CYI16" s="3" t="s">
        <v>76</v>
      </c>
      <c r="CYJ16" s="3" t="s">
        <v>77</v>
      </c>
      <c r="CYK16" s="3" t="s">
        <v>76</v>
      </c>
      <c r="CYL16" s="3" t="s">
        <v>77</v>
      </c>
      <c r="CYM16" s="3" t="s">
        <v>76</v>
      </c>
      <c r="CYN16" s="3" t="s">
        <v>77</v>
      </c>
      <c r="CYO16" s="3" t="s">
        <v>76</v>
      </c>
      <c r="CYP16" s="3" t="s">
        <v>77</v>
      </c>
      <c r="CYQ16" s="3" t="s">
        <v>76</v>
      </c>
      <c r="CYR16" s="3" t="s">
        <v>77</v>
      </c>
      <c r="CYS16" s="3" t="s">
        <v>76</v>
      </c>
      <c r="CYT16" s="3" t="s">
        <v>77</v>
      </c>
      <c r="CYU16" s="3" t="s">
        <v>76</v>
      </c>
      <c r="CYV16" s="3" t="s">
        <v>77</v>
      </c>
      <c r="CYW16" s="3" t="s">
        <v>76</v>
      </c>
      <c r="CYX16" s="3" t="s">
        <v>77</v>
      </c>
      <c r="CYY16" s="3" t="s">
        <v>76</v>
      </c>
      <c r="CYZ16" s="3" t="s">
        <v>77</v>
      </c>
      <c r="CZA16" s="3" t="s">
        <v>76</v>
      </c>
      <c r="CZB16" s="3" t="s">
        <v>77</v>
      </c>
      <c r="CZC16" s="3" t="s">
        <v>76</v>
      </c>
      <c r="CZD16" s="3" t="s">
        <v>77</v>
      </c>
      <c r="CZE16" s="3" t="s">
        <v>76</v>
      </c>
      <c r="CZF16" s="3" t="s">
        <v>77</v>
      </c>
      <c r="CZG16" s="3" t="s">
        <v>76</v>
      </c>
      <c r="CZH16" s="3" t="s">
        <v>77</v>
      </c>
      <c r="CZI16" s="3" t="s">
        <v>76</v>
      </c>
      <c r="CZJ16" s="3" t="s">
        <v>77</v>
      </c>
      <c r="CZK16" s="3" t="s">
        <v>76</v>
      </c>
      <c r="CZL16" s="3" t="s">
        <v>77</v>
      </c>
      <c r="CZM16" s="3" t="s">
        <v>76</v>
      </c>
      <c r="CZN16" s="3" t="s">
        <v>77</v>
      </c>
      <c r="CZO16" s="3" t="s">
        <v>76</v>
      </c>
      <c r="CZP16" s="3" t="s">
        <v>77</v>
      </c>
      <c r="CZQ16" s="3" t="s">
        <v>76</v>
      </c>
      <c r="CZR16" s="3" t="s">
        <v>77</v>
      </c>
      <c r="CZS16" s="3" t="s">
        <v>76</v>
      </c>
      <c r="CZT16" s="3" t="s">
        <v>77</v>
      </c>
      <c r="CZU16" s="3" t="s">
        <v>76</v>
      </c>
      <c r="CZV16" s="3" t="s">
        <v>77</v>
      </c>
      <c r="CZW16" s="3" t="s">
        <v>76</v>
      </c>
      <c r="CZX16" s="3" t="s">
        <v>77</v>
      </c>
      <c r="CZY16" s="3" t="s">
        <v>76</v>
      </c>
      <c r="CZZ16" s="3" t="s">
        <v>77</v>
      </c>
      <c r="DAA16" s="3" t="s">
        <v>76</v>
      </c>
      <c r="DAB16" s="3" t="s">
        <v>77</v>
      </c>
      <c r="DAC16" s="3" t="s">
        <v>76</v>
      </c>
      <c r="DAD16" s="3" t="s">
        <v>77</v>
      </c>
      <c r="DAE16" s="3" t="s">
        <v>76</v>
      </c>
      <c r="DAF16" s="3" t="s">
        <v>77</v>
      </c>
      <c r="DAG16" s="3" t="s">
        <v>76</v>
      </c>
      <c r="DAH16" s="3" t="s">
        <v>77</v>
      </c>
      <c r="DAI16" s="3" t="s">
        <v>76</v>
      </c>
      <c r="DAJ16" s="3" t="s">
        <v>77</v>
      </c>
      <c r="DAK16" s="3" t="s">
        <v>76</v>
      </c>
      <c r="DAL16" s="3" t="s">
        <v>77</v>
      </c>
      <c r="DAM16" s="3" t="s">
        <v>76</v>
      </c>
      <c r="DAN16" s="3" t="s">
        <v>77</v>
      </c>
      <c r="DAO16" s="3" t="s">
        <v>76</v>
      </c>
      <c r="DAP16" s="3" t="s">
        <v>77</v>
      </c>
      <c r="DAQ16" s="3" t="s">
        <v>76</v>
      </c>
      <c r="DAR16" s="3" t="s">
        <v>77</v>
      </c>
      <c r="DAS16" s="3" t="s">
        <v>76</v>
      </c>
      <c r="DAT16" s="3" t="s">
        <v>77</v>
      </c>
      <c r="DAU16" s="3" t="s">
        <v>76</v>
      </c>
      <c r="DAV16" s="3" t="s">
        <v>77</v>
      </c>
      <c r="DAW16" s="3" t="s">
        <v>76</v>
      </c>
      <c r="DAX16" s="3" t="s">
        <v>77</v>
      </c>
      <c r="DAY16" s="3" t="s">
        <v>76</v>
      </c>
      <c r="DAZ16" s="3" t="s">
        <v>77</v>
      </c>
      <c r="DBA16" s="3" t="s">
        <v>76</v>
      </c>
      <c r="DBB16" s="3" t="s">
        <v>77</v>
      </c>
      <c r="DBC16" s="3" t="s">
        <v>76</v>
      </c>
      <c r="DBD16" s="3" t="s">
        <v>77</v>
      </c>
      <c r="DBE16" s="3" t="s">
        <v>76</v>
      </c>
      <c r="DBF16" s="3" t="s">
        <v>77</v>
      </c>
      <c r="DBG16" s="3" t="s">
        <v>76</v>
      </c>
      <c r="DBH16" s="3" t="s">
        <v>77</v>
      </c>
      <c r="DBI16" s="3" t="s">
        <v>76</v>
      </c>
      <c r="DBJ16" s="3" t="s">
        <v>77</v>
      </c>
      <c r="DBK16" s="3" t="s">
        <v>76</v>
      </c>
      <c r="DBL16" s="3" t="s">
        <v>77</v>
      </c>
      <c r="DBM16" s="3" t="s">
        <v>76</v>
      </c>
      <c r="DBN16" s="3" t="s">
        <v>77</v>
      </c>
      <c r="DBO16" s="3" t="s">
        <v>76</v>
      </c>
      <c r="DBP16" s="3" t="s">
        <v>77</v>
      </c>
      <c r="DBQ16" s="3" t="s">
        <v>76</v>
      </c>
      <c r="DBR16" s="3" t="s">
        <v>77</v>
      </c>
      <c r="DBS16" s="3" t="s">
        <v>76</v>
      </c>
      <c r="DBT16" s="3" t="s">
        <v>77</v>
      </c>
      <c r="DBU16" s="3" t="s">
        <v>76</v>
      </c>
      <c r="DBV16" s="3" t="s">
        <v>77</v>
      </c>
      <c r="DBW16" s="3" t="s">
        <v>76</v>
      </c>
      <c r="DBX16" s="3" t="s">
        <v>77</v>
      </c>
      <c r="DBY16" s="3" t="s">
        <v>76</v>
      </c>
      <c r="DBZ16" s="3" t="s">
        <v>77</v>
      </c>
      <c r="DCA16" s="3" t="s">
        <v>76</v>
      </c>
      <c r="DCB16" s="3" t="s">
        <v>77</v>
      </c>
      <c r="DCC16" s="3" t="s">
        <v>76</v>
      </c>
      <c r="DCD16" s="3" t="s">
        <v>77</v>
      </c>
      <c r="DCE16" s="3" t="s">
        <v>76</v>
      </c>
      <c r="DCF16" s="3" t="s">
        <v>77</v>
      </c>
      <c r="DCG16" s="3" t="s">
        <v>76</v>
      </c>
      <c r="DCH16" s="3" t="s">
        <v>77</v>
      </c>
      <c r="DCI16" s="3" t="s">
        <v>76</v>
      </c>
      <c r="DCJ16" s="3" t="s">
        <v>77</v>
      </c>
      <c r="DCK16" s="3" t="s">
        <v>76</v>
      </c>
      <c r="DCL16" s="3" t="s">
        <v>77</v>
      </c>
      <c r="DCM16" s="3" t="s">
        <v>76</v>
      </c>
      <c r="DCN16" s="3" t="s">
        <v>77</v>
      </c>
      <c r="DCO16" s="3" t="s">
        <v>76</v>
      </c>
      <c r="DCP16" s="3" t="s">
        <v>77</v>
      </c>
      <c r="DCQ16" s="3" t="s">
        <v>76</v>
      </c>
      <c r="DCR16" s="3" t="s">
        <v>77</v>
      </c>
      <c r="DCS16" s="3" t="s">
        <v>76</v>
      </c>
      <c r="DCT16" s="3" t="s">
        <v>77</v>
      </c>
      <c r="DCU16" s="3" t="s">
        <v>76</v>
      </c>
      <c r="DCV16" s="3" t="s">
        <v>77</v>
      </c>
      <c r="DCW16" s="3" t="s">
        <v>76</v>
      </c>
      <c r="DCX16" s="3" t="s">
        <v>77</v>
      </c>
      <c r="DCY16" s="3" t="s">
        <v>76</v>
      </c>
      <c r="DCZ16" s="3" t="s">
        <v>77</v>
      </c>
      <c r="DDA16" s="3" t="s">
        <v>76</v>
      </c>
      <c r="DDB16" s="3" t="s">
        <v>77</v>
      </c>
      <c r="DDC16" s="3" t="s">
        <v>76</v>
      </c>
      <c r="DDD16" s="3" t="s">
        <v>77</v>
      </c>
      <c r="DDE16" s="3" t="s">
        <v>76</v>
      </c>
      <c r="DDF16" s="3" t="s">
        <v>77</v>
      </c>
      <c r="DDG16" s="3" t="s">
        <v>76</v>
      </c>
      <c r="DDH16" s="3" t="s">
        <v>77</v>
      </c>
      <c r="DDI16" s="3" t="s">
        <v>76</v>
      </c>
      <c r="DDJ16" s="3" t="s">
        <v>77</v>
      </c>
      <c r="DDK16" s="3" t="s">
        <v>76</v>
      </c>
      <c r="DDL16" s="3" t="s">
        <v>77</v>
      </c>
      <c r="DDM16" s="3" t="s">
        <v>76</v>
      </c>
      <c r="DDN16" s="3" t="s">
        <v>77</v>
      </c>
      <c r="DDO16" s="3" t="s">
        <v>76</v>
      </c>
      <c r="DDP16" s="3" t="s">
        <v>77</v>
      </c>
      <c r="DDQ16" s="3" t="s">
        <v>76</v>
      </c>
      <c r="DDR16" s="3" t="s">
        <v>77</v>
      </c>
      <c r="DDS16" s="3" t="s">
        <v>76</v>
      </c>
      <c r="DDT16" s="3" t="s">
        <v>77</v>
      </c>
      <c r="DDU16" s="3" t="s">
        <v>76</v>
      </c>
      <c r="DDV16" s="3" t="s">
        <v>77</v>
      </c>
      <c r="DDW16" s="3" t="s">
        <v>76</v>
      </c>
      <c r="DDX16" s="3" t="s">
        <v>77</v>
      </c>
      <c r="DDY16" s="3" t="s">
        <v>76</v>
      </c>
      <c r="DDZ16" s="3" t="s">
        <v>77</v>
      </c>
      <c r="DEA16" s="3" t="s">
        <v>76</v>
      </c>
      <c r="DEB16" s="3" t="s">
        <v>77</v>
      </c>
      <c r="DEC16" s="3" t="s">
        <v>76</v>
      </c>
      <c r="DED16" s="3" t="s">
        <v>77</v>
      </c>
      <c r="DEE16" s="3" t="s">
        <v>76</v>
      </c>
      <c r="DEF16" s="3" t="s">
        <v>77</v>
      </c>
      <c r="DEG16" s="3" t="s">
        <v>76</v>
      </c>
      <c r="DEH16" s="3" t="s">
        <v>77</v>
      </c>
      <c r="DEI16" s="3" t="s">
        <v>76</v>
      </c>
      <c r="DEJ16" s="3" t="s">
        <v>77</v>
      </c>
      <c r="DEK16" s="3" t="s">
        <v>76</v>
      </c>
      <c r="DEL16" s="3" t="s">
        <v>77</v>
      </c>
      <c r="DEM16" s="3" t="s">
        <v>76</v>
      </c>
      <c r="DEN16" s="3" t="s">
        <v>77</v>
      </c>
      <c r="DEO16" s="3" t="s">
        <v>76</v>
      </c>
      <c r="DEP16" s="3" t="s">
        <v>77</v>
      </c>
      <c r="DEQ16" s="3" t="s">
        <v>76</v>
      </c>
      <c r="DER16" s="3" t="s">
        <v>77</v>
      </c>
      <c r="DES16" s="3" t="s">
        <v>76</v>
      </c>
      <c r="DET16" s="3" t="s">
        <v>77</v>
      </c>
      <c r="DEU16" s="3" t="s">
        <v>76</v>
      </c>
      <c r="DEV16" s="3" t="s">
        <v>77</v>
      </c>
      <c r="DEW16" s="3" t="s">
        <v>76</v>
      </c>
      <c r="DEX16" s="3" t="s">
        <v>77</v>
      </c>
      <c r="DEY16" s="3" t="s">
        <v>76</v>
      </c>
      <c r="DEZ16" s="3" t="s">
        <v>77</v>
      </c>
      <c r="DFA16" s="3" t="s">
        <v>76</v>
      </c>
      <c r="DFB16" s="3" t="s">
        <v>77</v>
      </c>
      <c r="DFC16" s="3" t="s">
        <v>76</v>
      </c>
      <c r="DFD16" s="3" t="s">
        <v>77</v>
      </c>
      <c r="DFE16" s="3" t="s">
        <v>76</v>
      </c>
      <c r="DFF16" s="3" t="s">
        <v>77</v>
      </c>
      <c r="DFG16" s="3" t="s">
        <v>76</v>
      </c>
      <c r="DFH16" s="3" t="s">
        <v>77</v>
      </c>
      <c r="DFI16" s="3" t="s">
        <v>76</v>
      </c>
      <c r="DFJ16" s="3" t="s">
        <v>77</v>
      </c>
      <c r="DFK16" s="3" t="s">
        <v>76</v>
      </c>
      <c r="DFL16" s="3" t="s">
        <v>77</v>
      </c>
      <c r="DFM16" s="3" t="s">
        <v>76</v>
      </c>
      <c r="DFN16" s="3" t="s">
        <v>77</v>
      </c>
      <c r="DFO16" s="3" t="s">
        <v>76</v>
      </c>
      <c r="DFP16" s="3" t="s">
        <v>77</v>
      </c>
      <c r="DFQ16" s="3" t="s">
        <v>76</v>
      </c>
      <c r="DFR16" s="3" t="s">
        <v>77</v>
      </c>
      <c r="DFS16" s="3" t="s">
        <v>76</v>
      </c>
      <c r="DFT16" s="3" t="s">
        <v>77</v>
      </c>
      <c r="DFU16" s="3" t="s">
        <v>76</v>
      </c>
      <c r="DFV16" s="3" t="s">
        <v>77</v>
      </c>
      <c r="DFW16" s="3" t="s">
        <v>76</v>
      </c>
      <c r="DFX16" s="3" t="s">
        <v>77</v>
      </c>
      <c r="DFY16" s="3" t="s">
        <v>76</v>
      </c>
      <c r="DFZ16" s="3" t="s">
        <v>77</v>
      </c>
      <c r="DGA16" s="3" t="s">
        <v>76</v>
      </c>
      <c r="DGB16" s="3" t="s">
        <v>77</v>
      </c>
      <c r="DGC16" s="3" t="s">
        <v>76</v>
      </c>
      <c r="DGD16" s="3" t="s">
        <v>77</v>
      </c>
      <c r="DGE16" s="3" t="s">
        <v>76</v>
      </c>
      <c r="DGF16" s="3" t="s">
        <v>77</v>
      </c>
      <c r="DGG16" s="3" t="s">
        <v>76</v>
      </c>
      <c r="DGH16" s="3" t="s">
        <v>77</v>
      </c>
      <c r="DGI16" s="3" t="s">
        <v>76</v>
      </c>
      <c r="DGJ16" s="3" t="s">
        <v>77</v>
      </c>
      <c r="DGK16" s="3" t="s">
        <v>76</v>
      </c>
      <c r="DGL16" s="3" t="s">
        <v>77</v>
      </c>
      <c r="DGM16" s="3" t="s">
        <v>76</v>
      </c>
      <c r="DGN16" s="3" t="s">
        <v>77</v>
      </c>
      <c r="DGO16" s="3" t="s">
        <v>76</v>
      </c>
      <c r="DGP16" s="3" t="s">
        <v>77</v>
      </c>
      <c r="DGQ16" s="3" t="s">
        <v>76</v>
      </c>
      <c r="DGR16" s="3" t="s">
        <v>77</v>
      </c>
      <c r="DGS16" s="3" t="s">
        <v>76</v>
      </c>
      <c r="DGT16" s="3" t="s">
        <v>77</v>
      </c>
      <c r="DGU16" s="3" t="s">
        <v>76</v>
      </c>
      <c r="DGV16" s="3" t="s">
        <v>77</v>
      </c>
      <c r="DGW16" s="3" t="s">
        <v>76</v>
      </c>
      <c r="DGX16" s="3" t="s">
        <v>77</v>
      </c>
      <c r="DGY16" s="3" t="s">
        <v>76</v>
      </c>
      <c r="DGZ16" s="3" t="s">
        <v>77</v>
      </c>
      <c r="DHA16" s="3" t="s">
        <v>76</v>
      </c>
      <c r="DHB16" s="3" t="s">
        <v>77</v>
      </c>
      <c r="DHC16" s="3" t="s">
        <v>76</v>
      </c>
      <c r="DHD16" s="3" t="s">
        <v>77</v>
      </c>
      <c r="DHE16" s="3" t="s">
        <v>76</v>
      </c>
      <c r="DHF16" s="3" t="s">
        <v>77</v>
      </c>
      <c r="DHG16" s="3" t="s">
        <v>76</v>
      </c>
      <c r="DHH16" s="3" t="s">
        <v>77</v>
      </c>
      <c r="DHI16" s="3" t="s">
        <v>76</v>
      </c>
      <c r="DHJ16" s="3" t="s">
        <v>77</v>
      </c>
      <c r="DHK16" s="3" t="s">
        <v>76</v>
      </c>
      <c r="DHL16" s="3" t="s">
        <v>77</v>
      </c>
      <c r="DHM16" s="3" t="s">
        <v>76</v>
      </c>
      <c r="DHN16" s="3" t="s">
        <v>77</v>
      </c>
      <c r="DHO16" s="3" t="s">
        <v>76</v>
      </c>
      <c r="DHP16" s="3" t="s">
        <v>77</v>
      </c>
      <c r="DHQ16" s="3" t="s">
        <v>76</v>
      </c>
      <c r="DHR16" s="3" t="s">
        <v>77</v>
      </c>
      <c r="DHS16" s="3" t="s">
        <v>76</v>
      </c>
      <c r="DHT16" s="3" t="s">
        <v>77</v>
      </c>
      <c r="DHU16" s="3" t="s">
        <v>76</v>
      </c>
      <c r="DHV16" s="3" t="s">
        <v>77</v>
      </c>
      <c r="DHW16" s="3" t="s">
        <v>76</v>
      </c>
      <c r="DHX16" s="3" t="s">
        <v>77</v>
      </c>
      <c r="DHY16" s="3" t="s">
        <v>76</v>
      </c>
      <c r="DHZ16" s="3" t="s">
        <v>77</v>
      </c>
      <c r="DIA16" s="3" t="s">
        <v>76</v>
      </c>
      <c r="DIB16" s="3" t="s">
        <v>77</v>
      </c>
      <c r="DIC16" s="3" t="s">
        <v>76</v>
      </c>
      <c r="DID16" s="3" t="s">
        <v>77</v>
      </c>
      <c r="DIE16" s="3" t="s">
        <v>76</v>
      </c>
      <c r="DIF16" s="3" t="s">
        <v>77</v>
      </c>
      <c r="DIG16" s="3" t="s">
        <v>76</v>
      </c>
      <c r="DIH16" s="3" t="s">
        <v>77</v>
      </c>
      <c r="DII16" s="3" t="s">
        <v>76</v>
      </c>
      <c r="DIJ16" s="3" t="s">
        <v>77</v>
      </c>
      <c r="DIK16" s="3" t="s">
        <v>76</v>
      </c>
      <c r="DIL16" s="3" t="s">
        <v>77</v>
      </c>
      <c r="DIM16" s="3" t="s">
        <v>76</v>
      </c>
      <c r="DIN16" s="3" t="s">
        <v>77</v>
      </c>
      <c r="DIO16" s="3" t="s">
        <v>76</v>
      </c>
      <c r="DIP16" s="3" t="s">
        <v>77</v>
      </c>
      <c r="DIQ16" s="3" t="s">
        <v>76</v>
      </c>
      <c r="DIR16" s="3" t="s">
        <v>77</v>
      </c>
      <c r="DIS16" s="3" t="s">
        <v>76</v>
      </c>
      <c r="DIT16" s="3" t="s">
        <v>77</v>
      </c>
      <c r="DIU16" s="3" t="s">
        <v>76</v>
      </c>
      <c r="DIV16" s="3" t="s">
        <v>77</v>
      </c>
      <c r="DIW16" s="3" t="s">
        <v>76</v>
      </c>
      <c r="DIX16" s="3" t="s">
        <v>77</v>
      </c>
      <c r="DIY16" s="3" t="s">
        <v>76</v>
      </c>
      <c r="DIZ16" s="3" t="s">
        <v>77</v>
      </c>
      <c r="DJA16" s="3" t="s">
        <v>76</v>
      </c>
      <c r="DJB16" s="3" t="s">
        <v>77</v>
      </c>
      <c r="DJC16" s="3" t="s">
        <v>76</v>
      </c>
      <c r="DJD16" s="3" t="s">
        <v>77</v>
      </c>
      <c r="DJE16" s="3" t="s">
        <v>76</v>
      </c>
      <c r="DJF16" s="3" t="s">
        <v>77</v>
      </c>
      <c r="DJG16" s="3" t="s">
        <v>76</v>
      </c>
      <c r="DJH16" s="3" t="s">
        <v>77</v>
      </c>
      <c r="DJI16" s="3" t="s">
        <v>76</v>
      </c>
      <c r="DJJ16" s="3" t="s">
        <v>77</v>
      </c>
      <c r="DJK16" s="3" t="s">
        <v>76</v>
      </c>
      <c r="DJL16" s="3" t="s">
        <v>77</v>
      </c>
      <c r="DJM16" s="3" t="s">
        <v>76</v>
      </c>
      <c r="DJN16" s="3" t="s">
        <v>77</v>
      </c>
      <c r="DJO16" s="3" t="s">
        <v>76</v>
      </c>
      <c r="DJP16" s="3" t="s">
        <v>77</v>
      </c>
      <c r="DJQ16" s="3" t="s">
        <v>76</v>
      </c>
      <c r="DJR16" s="3" t="s">
        <v>77</v>
      </c>
      <c r="DJS16" s="3" t="s">
        <v>76</v>
      </c>
      <c r="DJT16" s="3" t="s">
        <v>77</v>
      </c>
      <c r="DJU16" s="3" t="s">
        <v>76</v>
      </c>
      <c r="DJV16" s="3" t="s">
        <v>77</v>
      </c>
      <c r="DJW16" s="3" t="s">
        <v>76</v>
      </c>
      <c r="DJX16" s="3" t="s">
        <v>77</v>
      </c>
      <c r="DJY16" s="3" t="s">
        <v>76</v>
      </c>
      <c r="DJZ16" s="3" t="s">
        <v>77</v>
      </c>
      <c r="DKA16" s="3" t="s">
        <v>76</v>
      </c>
      <c r="DKB16" s="3" t="s">
        <v>77</v>
      </c>
      <c r="DKC16" s="3" t="s">
        <v>76</v>
      </c>
      <c r="DKD16" s="3" t="s">
        <v>77</v>
      </c>
      <c r="DKE16" s="3" t="s">
        <v>76</v>
      </c>
      <c r="DKF16" s="3" t="s">
        <v>77</v>
      </c>
      <c r="DKG16" s="3" t="s">
        <v>76</v>
      </c>
      <c r="DKH16" s="3" t="s">
        <v>77</v>
      </c>
      <c r="DKI16" s="3" t="s">
        <v>76</v>
      </c>
      <c r="DKJ16" s="3" t="s">
        <v>77</v>
      </c>
      <c r="DKK16" s="3" t="s">
        <v>76</v>
      </c>
      <c r="DKL16" s="3" t="s">
        <v>77</v>
      </c>
      <c r="DKM16" s="3" t="s">
        <v>76</v>
      </c>
      <c r="DKN16" s="3" t="s">
        <v>77</v>
      </c>
      <c r="DKO16" s="3" t="s">
        <v>76</v>
      </c>
      <c r="DKP16" s="3" t="s">
        <v>77</v>
      </c>
      <c r="DKQ16" s="3" t="s">
        <v>76</v>
      </c>
      <c r="DKR16" s="3" t="s">
        <v>77</v>
      </c>
      <c r="DKS16" s="3" t="s">
        <v>76</v>
      </c>
      <c r="DKT16" s="3" t="s">
        <v>77</v>
      </c>
      <c r="DKU16" s="3" t="s">
        <v>76</v>
      </c>
      <c r="DKV16" s="3" t="s">
        <v>77</v>
      </c>
      <c r="DKW16" s="3" t="s">
        <v>76</v>
      </c>
      <c r="DKX16" s="3" t="s">
        <v>77</v>
      </c>
      <c r="DKY16" s="3" t="s">
        <v>76</v>
      </c>
      <c r="DKZ16" s="3" t="s">
        <v>77</v>
      </c>
      <c r="DLA16" s="3" t="s">
        <v>76</v>
      </c>
      <c r="DLB16" s="3" t="s">
        <v>77</v>
      </c>
      <c r="DLC16" s="3" t="s">
        <v>76</v>
      </c>
      <c r="DLD16" s="3" t="s">
        <v>77</v>
      </c>
      <c r="DLE16" s="3" t="s">
        <v>76</v>
      </c>
      <c r="DLF16" s="3" t="s">
        <v>77</v>
      </c>
      <c r="DLG16" s="3" t="s">
        <v>76</v>
      </c>
      <c r="DLH16" s="3" t="s">
        <v>77</v>
      </c>
      <c r="DLI16" s="3" t="s">
        <v>76</v>
      </c>
      <c r="DLJ16" s="3" t="s">
        <v>77</v>
      </c>
      <c r="DLK16" s="3" t="s">
        <v>76</v>
      </c>
      <c r="DLL16" s="3" t="s">
        <v>77</v>
      </c>
      <c r="DLM16" s="3" t="s">
        <v>76</v>
      </c>
      <c r="DLN16" s="3" t="s">
        <v>77</v>
      </c>
      <c r="DLO16" s="3" t="s">
        <v>76</v>
      </c>
      <c r="DLP16" s="3" t="s">
        <v>77</v>
      </c>
      <c r="DLQ16" s="3" t="s">
        <v>76</v>
      </c>
      <c r="DLR16" s="3" t="s">
        <v>77</v>
      </c>
      <c r="DLS16" s="3" t="s">
        <v>76</v>
      </c>
      <c r="DLT16" s="3" t="s">
        <v>77</v>
      </c>
      <c r="DLU16" s="3" t="s">
        <v>76</v>
      </c>
      <c r="DLV16" s="3" t="s">
        <v>77</v>
      </c>
      <c r="DLW16" s="3" t="s">
        <v>76</v>
      </c>
      <c r="DLX16" s="3" t="s">
        <v>77</v>
      </c>
      <c r="DLY16" s="3" t="s">
        <v>76</v>
      </c>
      <c r="DLZ16" s="3" t="s">
        <v>77</v>
      </c>
      <c r="DMA16" s="3" t="s">
        <v>76</v>
      </c>
      <c r="DMB16" s="3" t="s">
        <v>77</v>
      </c>
      <c r="DMC16" s="3" t="s">
        <v>76</v>
      </c>
      <c r="DMD16" s="3" t="s">
        <v>77</v>
      </c>
      <c r="DME16" s="3" t="s">
        <v>76</v>
      </c>
      <c r="DMF16" s="3" t="s">
        <v>77</v>
      </c>
      <c r="DMG16" s="3" t="s">
        <v>76</v>
      </c>
      <c r="DMH16" s="3" t="s">
        <v>77</v>
      </c>
      <c r="DMI16" s="3" t="s">
        <v>76</v>
      </c>
      <c r="DMJ16" s="3" t="s">
        <v>77</v>
      </c>
      <c r="DMK16" s="3" t="s">
        <v>76</v>
      </c>
      <c r="DML16" s="3" t="s">
        <v>77</v>
      </c>
      <c r="DMM16" s="3" t="s">
        <v>76</v>
      </c>
      <c r="DMN16" s="3" t="s">
        <v>77</v>
      </c>
      <c r="DMO16" s="3" t="s">
        <v>76</v>
      </c>
      <c r="DMP16" s="3" t="s">
        <v>77</v>
      </c>
      <c r="DMQ16" s="3" t="s">
        <v>76</v>
      </c>
      <c r="DMR16" s="3" t="s">
        <v>77</v>
      </c>
      <c r="DMS16" s="3" t="s">
        <v>76</v>
      </c>
      <c r="DMT16" s="3" t="s">
        <v>77</v>
      </c>
      <c r="DMU16" s="3" t="s">
        <v>76</v>
      </c>
      <c r="DMV16" s="3" t="s">
        <v>77</v>
      </c>
      <c r="DMW16" s="3" t="s">
        <v>76</v>
      </c>
      <c r="DMX16" s="3" t="s">
        <v>77</v>
      </c>
      <c r="DMY16" s="3" t="s">
        <v>76</v>
      </c>
      <c r="DMZ16" s="3" t="s">
        <v>77</v>
      </c>
      <c r="DNA16" s="3" t="s">
        <v>76</v>
      </c>
      <c r="DNB16" s="3" t="s">
        <v>77</v>
      </c>
      <c r="DNC16" s="3" t="s">
        <v>76</v>
      </c>
      <c r="DND16" s="3" t="s">
        <v>77</v>
      </c>
      <c r="DNE16" s="3" t="s">
        <v>76</v>
      </c>
      <c r="DNF16" s="3" t="s">
        <v>77</v>
      </c>
      <c r="DNG16" s="3" t="s">
        <v>76</v>
      </c>
      <c r="DNH16" s="3" t="s">
        <v>77</v>
      </c>
      <c r="DNI16" s="3" t="s">
        <v>76</v>
      </c>
      <c r="DNJ16" s="3" t="s">
        <v>77</v>
      </c>
      <c r="DNK16" s="3" t="s">
        <v>76</v>
      </c>
      <c r="DNL16" s="3" t="s">
        <v>77</v>
      </c>
      <c r="DNM16" s="3" t="s">
        <v>76</v>
      </c>
      <c r="DNN16" s="3" t="s">
        <v>77</v>
      </c>
      <c r="DNO16" s="3" t="s">
        <v>76</v>
      </c>
      <c r="DNP16" s="3" t="s">
        <v>77</v>
      </c>
      <c r="DNQ16" s="3" t="s">
        <v>76</v>
      </c>
      <c r="DNR16" s="3" t="s">
        <v>77</v>
      </c>
      <c r="DNS16" s="3" t="s">
        <v>76</v>
      </c>
      <c r="DNT16" s="3" t="s">
        <v>77</v>
      </c>
      <c r="DNU16" s="3" t="s">
        <v>76</v>
      </c>
      <c r="DNV16" s="3" t="s">
        <v>77</v>
      </c>
      <c r="DNW16" s="3" t="s">
        <v>76</v>
      </c>
      <c r="DNX16" s="3" t="s">
        <v>77</v>
      </c>
      <c r="DNY16" s="3" t="s">
        <v>76</v>
      </c>
      <c r="DNZ16" s="3" t="s">
        <v>77</v>
      </c>
      <c r="DOA16" s="3" t="s">
        <v>76</v>
      </c>
      <c r="DOB16" s="3" t="s">
        <v>77</v>
      </c>
      <c r="DOC16" s="3" t="s">
        <v>76</v>
      </c>
      <c r="DOD16" s="3" t="s">
        <v>77</v>
      </c>
      <c r="DOE16" s="3" t="s">
        <v>76</v>
      </c>
      <c r="DOF16" s="3" t="s">
        <v>77</v>
      </c>
      <c r="DOG16" s="3" t="s">
        <v>76</v>
      </c>
      <c r="DOH16" s="3" t="s">
        <v>77</v>
      </c>
      <c r="DOI16" s="3" t="s">
        <v>76</v>
      </c>
      <c r="DOJ16" s="3" t="s">
        <v>77</v>
      </c>
      <c r="DOK16" s="3" t="s">
        <v>76</v>
      </c>
      <c r="DOL16" s="3" t="s">
        <v>77</v>
      </c>
      <c r="DOM16" s="3" t="s">
        <v>76</v>
      </c>
      <c r="DON16" s="3" t="s">
        <v>77</v>
      </c>
      <c r="DOO16" s="3" t="s">
        <v>76</v>
      </c>
      <c r="DOP16" s="3" t="s">
        <v>77</v>
      </c>
      <c r="DOQ16" s="3" t="s">
        <v>76</v>
      </c>
      <c r="DOR16" s="3" t="s">
        <v>77</v>
      </c>
      <c r="DOS16" s="3" t="s">
        <v>76</v>
      </c>
      <c r="DOT16" s="3" t="s">
        <v>77</v>
      </c>
      <c r="DOU16" s="3" t="s">
        <v>76</v>
      </c>
      <c r="DOV16" s="3" t="s">
        <v>77</v>
      </c>
      <c r="DOW16" s="3" t="s">
        <v>76</v>
      </c>
      <c r="DOX16" s="3" t="s">
        <v>77</v>
      </c>
      <c r="DOY16" s="3" t="s">
        <v>76</v>
      </c>
      <c r="DOZ16" s="3" t="s">
        <v>77</v>
      </c>
      <c r="DPA16" s="3" t="s">
        <v>76</v>
      </c>
      <c r="DPB16" s="3" t="s">
        <v>77</v>
      </c>
      <c r="DPC16" s="3" t="s">
        <v>76</v>
      </c>
      <c r="DPD16" s="3" t="s">
        <v>77</v>
      </c>
      <c r="DPE16" s="3" t="s">
        <v>76</v>
      </c>
      <c r="DPF16" s="3" t="s">
        <v>77</v>
      </c>
      <c r="DPG16" s="3" t="s">
        <v>76</v>
      </c>
      <c r="DPH16" s="3" t="s">
        <v>77</v>
      </c>
      <c r="DPI16" s="3" t="s">
        <v>76</v>
      </c>
      <c r="DPJ16" s="3" t="s">
        <v>77</v>
      </c>
      <c r="DPK16" s="3" t="s">
        <v>76</v>
      </c>
      <c r="DPL16" s="3" t="s">
        <v>77</v>
      </c>
      <c r="DPM16" s="3" t="s">
        <v>76</v>
      </c>
      <c r="DPN16" s="3" t="s">
        <v>77</v>
      </c>
      <c r="DPO16" s="3" t="s">
        <v>76</v>
      </c>
      <c r="DPP16" s="3" t="s">
        <v>77</v>
      </c>
      <c r="DPQ16" s="3" t="s">
        <v>76</v>
      </c>
      <c r="DPR16" s="3" t="s">
        <v>77</v>
      </c>
      <c r="DPS16" s="3" t="s">
        <v>76</v>
      </c>
      <c r="DPT16" s="3" t="s">
        <v>77</v>
      </c>
      <c r="DPU16" s="3" t="s">
        <v>76</v>
      </c>
      <c r="DPV16" s="3" t="s">
        <v>77</v>
      </c>
      <c r="DPW16" s="3" t="s">
        <v>76</v>
      </c>
      <c r="DPX16" s="3" t="s">
        <v>77</v>
      </c>
      <c r="DPY16" s="3" t="s">
        <v>76</v>
      </c>
      <c r="DPZ16" s="3" t="s">
        <v>77</v>
      </c>
      <c r="DQA16" s="3" t="s">
        <v>76</v>
      </c>
      <c r="DQB16" s="3" t="s">
        <v>77</v>
      </c>
      <c r="DQC16" s="3" t="s">
        <v>76</v>
      </c>
      <c r="DQD16" s="3" t="s">
        <v>77</v>
      </c>
      <c r="DQE16" s="3" t="s">
        <v>76</v>
      </c>
      <c r="DQF16" s="3" t="s">
        <v>77</v>
      </c>
      <c r="DQG16" s="3" t="s">
        <v>76</v>
      </c>
      <c r="DQH16" s="3" t="s">
        <v>77</v>
      </c>
      <c r="DQI16" s="3" t="s">
        <v>76</v>
      </c>
      <c r="DQJ16" s="3" t="s">
        <v>77</v>
      </c>
      <c r="DQK16" s="3" t="s">
        <v>76</v>
      </c>
      <c r="DQL16" s="3" t="s">
        <v>77</v>
      </c>
      <c r="DQM16" s="3" t="s">
        <v>76</v>
      </c>
      <c r="DQN16" s="3" t="s">
        <v>77</v>
      </c>
      <c r="DQO16" s="3" t="s">
        <v>76</v>
      </c>
      <c r="DQP16" s="3" t="s">
        <v>77</v>
      </c>
      <c r="DQQ16" s="3" t="s">
        <v>76</v>
      </c>
      <c r="DQR16" s="3" t="s">
        <v>77</v>
      </c>
      <c r="DQS16" s="3" t="s">
        <v>76</v>
      </c>
      <c r="DQT16" s="3" t="s">
        <v>77</v>
      </c>
      <c r="DQU16" s="3" t="s">
        <v>76</v>
      </c>
      <c r="DQV16" s="3" t="s">
        <v>77</v>
      </c>
      <c r="DQW16" s="3" t="s">
        <v>76</v>
      </c>
      <c r="DQX16" s="3" t="s">
        <v>77</v>
      </c>
      <c r="DQY16" s="3" t="s">
        <v>76</v>
      </c>
      <c r="DQZ16" s="3" t="s">
        <v>77</v>
      </c>
      <c r="DRA16" s="3" t="s">
        <v>76</v>
      </c>
      <c r="DRB16" s="3" t="s">
        <v>77</v>
      </c>
      <c r="DRC16" s="3" t="s">
        <v>76</v>
      </c>
      <c r="DRD16" s="3" t="s">
        <v>77</v>
      </c>
      <c r="DRE16" s="3" t="s">
        <v>76</v>
      </c>
      <c r="DRF16" s="3" t="s">
        <v>77</v>
      </c>
      <c r="DRG16" s="3" t="s">
        <v>76</v>
      </c>
      <c r="DRH16" s="3" t="s">
        <v>77</v>
      </c>
      <c r="DRI16" s="3" t="s">
        <v>76</v>
      </c>
      <c r="DRJ16" s="3" t="s">
        <v>77</v>
      </c>
      <c r="DRK16" s="3" t="s">
        <v>76</v>
      </c>
      <c r="DRL16" s="3" t="s">
        <v>77</v>
      </c>
      <c r="DRM16" s="3" t="s">
        <v>76</v>
      </c>
      <c r="DRN16" s="3" t="s">
        <v>77</v>
      </c>
      <c r="DRO16" s="3" t="s">
        <v>76</v>
      </c>
      <c r="DRP16" s="3" t="s">
        <v>77</v>
      </c>
      <c r="DRQ16" s="3" t="s">
        <v>76</v>
      </c>
      <c r="DRR16" s="3" t="s">
        <v>77</v>
      </c>
      <c r="DRS16" s="3" t="s">
        <v>76</v>
      </c>
      <c r="DRT16" s="3" t="s">
        <v>77</v>
      </c>
      <c r="DRU16" s="3" t="s">
        <v>76</v>
      </c>
      <c r="DRV16" s="3" t="s">
        <v>77</v>
      </c>
      <c r="DRW16" s="3" t="s">
        <v>76</v>
      </c>
      <c r="DRX16" s="3" t="s">
        <v>77</v>
      </c>
      <c r="DRY16" s="3" t="s">
        <v>76</v>
      </c>
      <c r="DRZ16" s="3" t="s">
        <v>77</v>
      </c>
      <c r="DSA16" s="3" t="s">
        <v>76</v>
      </c>
      <c r="DSB16" s="3" t="s">
        <v>77</v>
      </c>
      <c r="DSC16" s="3" t="s">
        <v>76</v>
      </c>
      <c r="DSD16" s="3" t="s">
        <v>77</v>
      </c>
      <c r="DSE16" s="3" t="s">
        <v>76</v>
      </c>
      <c r="DSF16" s="3" t="s">
        <v>77</v>
      </c>
      <c r="DSG16" s="3" t="s">
        <v>76</v>
      </c>
      <c r="DSH16" s="3" t="s">
        <v>77</v>
      </c>
      <c r="DSI16" s="3" t="s">
        <v>76</v>
      </c>
      <c r="DSJ16" s="3" t="s">
        <v>77</v>
      </c>
      <c r="DSK16" s="3" t="s">
        <v>76</v>
      </c>
      <c r="DSL16" s="3" t="s">
        <v>77</v>
      </c>
      <c r="DSM16" s="3" t="s">
        <v>76</v>
      </c>
      <c r="DSN16" s="3" t="s">
        <v>77</v>
      </c>
      <c r="DSO16" s="3" t="s">
        <v>76</v>
      </c>
      <c r="DSP16" s="3" t="s">
        <v>77</v>
      </c>
      <c r="DSQ16" s="3" t="s">
        <v>76</v>
      </c>
      <c r="DSR16" s="3" t="s">
        <v>77</v>
      </c>
      <c r="DSS16" s="3" t="s">
        <v>76</v>
      </c>
      <c r="DST16" s="3" t="s">
        <v>77</v>
      </c>
      <c r="DSU16" s="3" t="s">
        <v>76</v>
      </c>
      <c r="DSV16" s="3" t="s">
        <v>77</v>
      </c>
      <c r="DSW16" s="3" t="s">
        <v>76</v>
      </c>
      <c r="DSX16" s="3" t="s">
        <v>77</v>
      </c>
      <c r="DSY16" s="3" t="s">
        <v>76</v>
      </c>
      <c r="DSZ16" s="3" t="s">
        <v>77</v>
      </c>
      <c r="DTA16" s="3" t="s">
        <v>76</v>
      </c>
      <c r="DTB16" s="3" t="s">
        <v>77</v>
      </c>
      <c r="DTC16" s="3" t="s">
        <v>76</v>
      </c>
      <c r="DTD16" s="3" t="s">
        <v>77</v>
      </c>
      <c r="DTE16" s="3" t="s">
        <v>76</v>
      </c>
      <c r="DTF16" s="3" t="s">
        <v>77</v>
      </c>
      <c r="DTG16" s="3" t="s">
        <v>76</v>
      </c>
      <c r="DTH16" s="3" t="s">
        <v>77</v>
      </c>
      <c r="DTI16" s="3" t="s">
        <v>76</v>
      </c>
      <c r="DTJ16" s="3" t="s">
        <v>77</v>
      </c>
      <c r="DTK16" s="3" t="s">
        <v>76</v>
      </c>
      <c r="DTL16" s="3" t="s">
        <v>77</v>
      </c>
      <c r="DTM16" s="3" t="s">
        <v>76</v>
      </c>
      <c r="DTN16" s="3" t="s">
        <v>77</v>
      </c>
      <c r="DTO16" s="3" t="s">
        <v>76</v>
      </c>
      <c r="DTP16" s="3" t="s">
        <v>77</v>
      </c>
      <c r="DTQ16" s="3" t="s">
        <v>76</v>
      </c>
      <c r="DTR16" s="3" t="s">
        <v>77</v>
      </c>
      <c r="DTS16" s="3" t="s">
        <v>76</v>
      </c>
      <c r="DTT16" s="3" t="s">
        <v>77</v>
      </c>
      <c r="DTU16" s="3" t="s">
        <v>76</v>
      </c>
      <c r="DTV16" s="3" t="s">
        <v>77</v>
      </c>
      <c r="DTW16" s="3" t="s">
        <v>76</v>
      </c>
      <c r="DTX16" s="3" t="s">
        <v>77</v>
      </c>
      <c r="DTY16" s="3" t="s">
        <v>76</v>
      </c>
      <c r="DTZ16" s="3" t="s">
        <v>77</v>
      </c>
      <c r="DUA16" s="3" t="s">
        <v>76</v>
      </c>
      <c r="DUB16" s="3" t="s">
        <v>77</v>
      </c>
      <c r="DUC16" s="3" t="s">
        <v>76</v>
      </c>
      <c r="DUD16" s="3" t="s">
        <v>77</v>
      </c>
      <c r="DUE16" s="3" t="s">
        <v>76</v>
      </c>
      <c r="DUF16" s="3" t="s">
        <v>77</v>
      </c>
      <c r="DUG16" s="3" t="s">
        <v>76</v>
      </c>
      <c r="DUH16" s="3" t="s">
        <v>77</v>
      </c>
      <c r="DUI16" s="3" t="s">
        <v>76</v>
      </c>
      <c r="DUJ16" s="3" t="s">
        <v>77</v>
      </c>
      <c r="DUK16" s="3" t="s">
        <v>76</v>
      </c>
      <c r="DUL16" s="3" t="s">
        <v>77</v>
      </c>
      <c r="DUM16" s="3" t="s">
        <v>76</v>
      </c>
      <c r="DUN16" s="3" t="s">
        <v>77</v>
      </c>
      <c r="DUO16" s="3" t="s">
        <v>76</v>
      </c>
      <c r="DUP16" s="3" t="s">
        <v>77</v>
      </c>
      <c r="DUQ16" s="3" t="s">
        <v>76</v>
      </c>
      <c r="DUR16" s="3" t="s">
        <v>77</v>
      </c>
      <c r="DUS16" s="3" t="s">
        <v>76</v>
      </c>
      <c r="DUT16" s="3" t="s">
        <v>77</v>
      </c>
      <c r="DUU16" s="3" t="s">
        <v>76</v>
      </c>
      <c r="DUV16" s="3" t="s">
        <v>77</v>
      </c>
      <c r="DUW16" s="3" t="s">
        <v>76</v>
      </c>
      <c r="DUX16" s="3" t="s">
        <v>77</v>
      </c>
      <c r="DUY16" s="3" t="s">
        <v>76</v>
      </c>
      <c r="DUZ16" s="3" t="s">
        <v>77</v>
      </c>
      <c r="DVA16" s="3" t="s">
        <v>76</v>
      </c>
      <c r="DVB16" s="3" t="s">
        <v>77</v>
      </c>
      <c r="DVC16" s="3" t="s">
        <v>76</v>
      </c>
      <c r="DVD16" s="3" t="s">
        <v>77</v>
      </c>
      <c r="DVE16" s="3" t="s">
        <v>76</v>
      </c>
      <c r="DVF16" s="3" t="s">
        <v>77</v>
      </c>
      <c r="DVG16" s="3" t="s">
        <v>76</v>
      </c>
      <c r="DVH16" s="3" t="s">
        <v>77</v>
      </c>
      <c r="DVI16" s="3" t="s">
        <v>76</v>
      </c>
      <c r="DVJ16" s="3" t="s">
        <v>77</v>
      </c>
      <c r="DVK16" s="3" t="s">
        <v>76</v>
      </c>
      <c r="DVL16" s="3" t="s">
        <v>77</v>
      </c>
      <c r="DVM16" s="3" t="s">
        <v>76</v>
      </c>
      <c r="DVN16" s="3" t="s">
        <v>77</v>
      </c>
      <c r="DVO16" s="3" t="s">
        <v>76</v>
      </c>
      <c r="DVP16" s="3" t="s">
        <v>77</v>
      </c>
      <c r="DVQ16" s="3" t="s">
        <v>76</v>
      </c>
      <c r="DVR16" s="3" t="s">
        <v>77</v>
      </c>
      <c r="DVS16" s="3" t="s">
        <v>76</v>
      </c>
      <c r="DVT16" s="3" t="s">
        <v>77</v>
      </c>
      <c r="DVU16" s="3" t="s">
        <v>76</v>
      </c>
      <c r="DVV16" s="3" t="s">
        <v>77</v>
      </c>
      <c r="DVW16" s="3" t="s">
        <v>76</v>
      </c>
      <c r="DVX16" s="3" t="s">
        <v>77</v>
      </c>
      <c r="DVY16" s="3" t="s">
        <v>76</v>
      </c>
      <c r="DVZ16" s="3" t="s">
        <v>77</v>
      </c>
      <c r="DWA16" s="3" t="s">
        <v>76</v>
      </c>
      <c r="DWB16" s="3" t="s">
        <v>77</v>
      </c>
      <c r="DWC16" s="3" t="s">
        <v>76</v>
      </c>
      <c r="DWD16" s="3" t="s">
        <v>77</v>
      </c>
      <c r="DWE16" s="3" t="s">
        <v>76</v>
      </c>
      <c r="DWF16" s="3" t="s">
        <v>77</v>
      </c>
      <c r="DWG16" s="3" t="s">
        <v>76</v>
      </c>
      <c r="DWH16" s="3" t="s">
        <v>77</v>
      </c>
      <c r="DWI16" s="3" t="s">
        <v>76</v>
      </c>
      <c r="DWJ16" s="3" t="s">
        <v>77</v>
      </c>
      <c r="DWK16" s="3" t="s">
        <v>76</v>
      </c>
      <c r="DWL16" s="3" t="s">
        <v>77</v>
      </c>
      <c r="DWM16" s="3" t="s">
        <v>76</v>
      </c>
      <c r="DWN16" s="3" t="s">
        <v>77</v>
      </c>
      <c r="DWO16" s="3" t="s">
        <v>76</v>
      </c>
      <c r="DWP16" s="3" t="s">
        <v>77</v>
      </c>
      <c r="DWQ16" s="3" t="s">
        <v>76</v>
      </c>
      <c r="DWR16" s="3" t="s">
        <v>77</v>
      </c>
      <c r="DWS16" s="3" t="s">
        <v>76</v>
      </c>
      <c r="DWT16" s="3" t="s">
        <v>77</v>
      </c>
      <c r="DWU16" s="3" t="s">
        <v>76</v>
      </c>
      <c r="DWV16" s="3" t="s">
        <v>77</v>
      </c>
      <c r="DWW16" s="3" t="s">
        <v>76</v>
      </c>
      <c r="DWX16" s="3" t="s">
        <v>77</v>
      </c>
      <c r="DWY16" s="3" t="s">
        <v>76</v>
      </c>
      <c r="DWZ16" s="3" t="s">
        <v>77</v>
      </c>
      <c r="DXA16" s="3" t="s">
        <v>76</v>
      </c>
      <c r="DXB16" s="3" t="s">
        <v>77</v>
      </c>
      <c r="DXC16" s="3" t="s">
        <v>76</v>
      </c>
      <c r="DXD16" s="3" t="s">
        <v>77</v>
      </c>
      <c r="DXE16" s="3" t="s">
        <v>76</v>
      </c>
      <c r="DXF16" s="3" t="s">
        <v>77</v>
      </c>
      <c r="DXG16" s="3" t="s">
        <v>76</v>
      </c>
      <c r="DXH16" s="3" t="s">
        <v>77</v>
      </c>
      <c r="DXI16" s="3" t="s">
        <v>76</v>
      </c>
      <c r="DXJ16" s="3" t="s">
        <v>77</v>
      </c>
      <c r="DXK16" s="3" t="s">
        <v>76</v>
      </c>
      <c r="DXL16" s="3" t="s">
        <v>77</v>
      </c>
      <c r="DXM16" s="3" t="s">
        <v>76</v>
      </c>
      <c r="DXN16" s="3" t="s">
        <v>77</v>
      </c>
      <c r="DXO16" s="3" t="s">
        <v>76</v>
      </c>
      <c r="DXP16" s="3" t="s">
        <v>77</v>
      </c>
      <c r="DXQ16" s="3" t="s">
        <v>76</v>
      </c>
      <c r="DXR16" s="3" t="s">
        <v>77</v>
      </c>
      <c r="DXS16" s="3" t="s">
        <v>76</v>
      </c>
      <c r="DXT16" s="3" t="s">
        <v>77</v>
      </c>
      <c r="DXU16" s="3" t="s">
        <v>76</v>
      </c>
      <c r="DXV16" s="3" t="s">
        <v>77</v>
      </c>
      <c r="DXW16" s="3" t="s">
        <v>76</v>
      </c>
      <c r="DXX16" s="3" t="s">
        <v>77</v>
      </c>
      <c r="DXY16" s="3" t="s">
        <v>76</v>
      </c>
      <c r="DXZ16" s="3" t="s">
        <v>77</v>
      </c>
      <c r="DYA16" s="3" t="s">
        <v>76</v>
      </c>
      <c r="DYB16" s="3" t="s">
        <v>77</v>
      </c>
      <c r="DYC16" s="3" t="s">
        <v>76</v>
      </c>
      <c r="DYD16" s="3" t="s">
        <v>77</v>
      </c>
      <c r="DYE16" s="3" t="s">
        <v>76</v>
      </c>
      <c r="DYF16" s="3" t="s">
        <v>77</v>
      </c>
      <c r="DYG16" s="3" t="s">
        <v>76</v>
      </c>
      <c r="DYH16" s="3" t="s">
        <v>77</v>
      </c>
      <c r="DYI16" s="3" t="s">
        <v>76</v>
      </c>
      <c r="DYJ16" s="3" t="s">
        <v>77</v>
      </c>
      <c r="DYK16" s="3" t="s">
        <v>76</v>
      </c>
      <c r="DYL16" s="3" t="s">
        <v>77</v>
      </c>
      <c r="DYM16" s="3" t="s">
        <v>76</v>
      </c>
      <c r="DYN16" s="3" t="s">
        <v>77</v>
      </c>
      <c r="DYO16" s="3" t="s">
        <v>76</v>
      </c>
      <c r="DYP16" s="3" t="s">
        <v>77</v>
      </c>
      <c r="DYQ16" s="3" t="s">
        <v>76</v>
      </c>
      <c r="DYR16" s="3" t="s">
        <v>77</v>
      </c>
      <c r="DYS16" s="3" t="s">
        <v>76</v>
      </c>
      <c r="DYT16" s="3" t="s">
        <v>77</v>
      </c>
      <c r="DYU16" s="3" t="s">
        <v>76</v>
      </c>
      <c r="DYV16" s="3" t="s">
        <v>77</v>
      </c>
      <c r="DYW16" s="3" t="s">
        <v>76</v>
      </c>
      <c r="DYX16" s="3" t="s">
        <v>77</v>
      </c>
      <c r="DYY16" s="3" t="s">
        <v>76</v>
      </c>
      <c r="DYZ16" s="3" t="s">
        <v>77</v>
      </c>
      <c r="DZA16" s="3" t="s">
        <v>76</v>
      </c>
      <c r="DZB16" s="3" t="s">
        <v>77</v>
      </c>
      <c r="DZC16" s="3" t="s">
        <v>76</v>
      </c>
      <c r="DZD16" s="3" t="s">
        <v>77</v>
      </c>
      <c r="DZE16" s="3" t="s">
        <v>76</v>
      </c>
      <c r="DZF16" s="3" t="s">
        <v>77</v>
      </c>
      <c r="DZG16" s="3" t="s">
        <v>76</v>
      </c>
      <c r="DZH16" s="3" t="s">
        <v>77</v>
      </c>
      <c r="DZI16" s="3" t="s">
        <v>76</v>
      </c>
      <c r="DZJ16" s="3" t="s">
        <v>77</v>
      </c>
      <c r="DZK16" s="3" t="s">
        <v>76</v>
      </c>
      <c r="DZL16" s="3" t="s">
        <v>77</v>
      </c>
      <c r="DZM16" s="3" t="s">
        <v>76</v>
      </c>
      <c r="DZN16" s="3" t="s">
        <v>77</v>
      </c>
      <c r="DZO16" s="3" t="s">
        <v>76</v>
      </c>
      <c r="DZP16" s="3" t="s">
        <v>77</v>
      </c>
      <c r="DZQ16" s="3" t="s">
        <v>76</v>
      </c>
      <c r="DZR16" s="3" t="s">
        <v>77</v>
      </c>
      <c r="DZS16" s="3" t="s">
        <v>76</v>
      </c>
      <c r="DZT16" s="3" t="s">
        <v>77</v>
      </c>
      <c r="DZU16" s="3" t="s">
        <v>76</v>
      </c>
      <c r="DZV16" s="3" t="s">
        <v>77</v>
      </c>
      <c r="DZW16" s="3" t="s">
        <v>76</v>
      </c>
      <c r="DZX16" s="3" t="s">
        <v>77</v>
      </c>
      <c r="DZY16" s="3" t="s">
        <v>76</v>
      </c>
      <c r="DZZ16" s="3" t="s">
        <v>77</v>
      </c>
      <c r="EAA16" s="3" t="s">
        <v>76</v>
      </c>
      <c r="EAB16" s="3" t="s">
        <v>77</v>
      </c>
      <c r="EAC16" s="3" t="s">
        <v>76</v>
      </c>
      <c r="EAD16" s="3" t="s">
        <v>77</v>
      </c>
      <c r="EAE16" s="3" t="s">
        <v>76</v>
      </c>
      <c r="EAF16" s="3" t="s">
        <v>77</v>
      </c>
      <c r="EAG16" s="3" t="s">
        <v>76</v>
      </c>
      <c r="EAH16" s="3" t="s">
        <v>77</v>
      </c>
      <c r="EAI16" s="3" t="s">
        <v>76</v>
      </c>
      <c r="EAJ16" s="3" t="s">
        <v>77</v>
      </c>
      <c r="EAK16" s="3" t="s">
        <v>76</v>
      </c>
      <c r="EAL16" s="3" t="s">
        <v>77</v>
      </c>
      <c r="EAM16" s="3" t="s">
        <v>76</v>
      </c>
      <c r="EAN16" s="3" t="s">
        <v>77</v>
      </c>
      <c r="EAO16" s="3" t="s">
        <v>76</v>
      </c>
      <c r="EAP16" s="3" t="s">
        <v>77</v>
      </c>
      <c r="EAQ16" s="3" t="s">
        <v>76</v>
      </c>
      <c r="EAR16" s="3" t="s">
        <v>77</v>
      </c>
      <c r="EAS16" s="3" t="s">
        <v>76</v>
      </c>
      <c r="EAT16" s="3" t="s">
        <v>77</v>
      </c>
      <c r="EAU16" s="3" t="s">
        <v>76</v>
      </c>
      <c r="EAV16" s="3" t="s">
        <v>77</v>
      </c>
      <c r="EAW16" s="3" t="s">
        <v>76</v>
      </c>
      <c r="EAX16" s="3" t="s">
        <v>77</v>
      </c>
      <c r="EAY16" s="3" t="s">
        <v>76</v>
      </c>
      <c r="EAZ16" s="3" t="s">
        <v>77</v>
      </c>
      <c r="EBA16" s="3" t="s">
        <v>76</v>
      </c>
      <c r="EBB16" s="3" t="s">
        <v>77</v>
      </c>
      <c r="EBC16" s="3" t="s">
        <v>76</v>
      </c>
      <c r="EBD16" s="3" t="s">
        <v>77</v>
      </c>
      <c r="EBE16" s="3" t="s">
        <v>76</v>
      </c>
      <c r="EBF16" s="3" t="s">
        <v>77</v>
      </c>
      <c r="EBG16" s="3" t="s">
        <v>76</v>
      </c>
      <c r="EBH16" s="3" t="s">
        <v>77</v>
      </c>
      <c r="EBI16" s="3" t="s">
        <v>76</v>
      </c>
      <c r="EBJ16" s="3" t="s">
        <v>77</v>
      </c>
      <c r="EBK16" s="3" t="s">
        <v>76</v>
      </c>
      <c r="EBL16" s="3" t="s">
        <v>77</v>
      </c>
      <c r="EBM16" s="3" t="s">
        <v>76</v>
      </c>
      <c r="EBN16" s="3" t="s">
        <v>77</v>
      </c>
      <c r="EBO16" s="3" t="s">
        <v>76</v>
      </c>
      <c r="EBP16" s="3" t="s">
        <v>77</v>
      </c>
      <c r="EBQ16" s="3" t="s">
        <v>76</v>
      </c>
      <c r="EBR16" s="3" t="s">
        <v>77</v>
      </c>
      <c r="EBS16" s="3" t="s">
        <v>76</v>
      </c>
      <c r="EBT16" s="3" t="s">
        <v>77</v>
      </c>
      <c r="EBU16" s="3" t="s">
        <v>76</v>
      </c>
      <c r="EBV16" s="3" t="s">
        <v>77</v>
      </c>
      <c r="EBW16" s="3" t="s">
        <v>76</v>
      </c>
      <c r="EBX16" s="3" t="s">
        <v>77</v>
      </c>
      <c r="EBY16" s="3" t="s">
        <v>76</v>
      </c>
      <c r="EBZ16" s="3" t="s">
        <v>77</v>
      </c>
      <c r="ECA16" s="3" t="s">
        <v>76</v>
      </c>
      <c r="ECB16" s="3" t="s">
        <v>77</v>
      </c>
      <c r="ECC16" s="3" t="s">
        <v>76</v>
      </c>
      <c r="ECD16" s="3" t="s">
        <v>77</v>
      </c>
      <c r="ECE16" s="3" t="s">
        <v>76</v>
      </c>
      <c r="ECF16" s="3" t="s">
        <v>77</v>
      </c>
      <c r="ECG16" s="3" t="s">
        <v>76</v>
      </c>
      <c r="ECH16" s="3" t="s">
        <v>77</v>
      </c>
      <c r="ECI16" s="3" t="s">
        <v>76</v>
      </c>
      <c r="ECJ16" s="3" t="s">
        <v>77</v>
      </c>
      <c r="ECK16" s="3" t="s">
        <v>76</v>
      </c>
      <c r="ECL16" s="3" t="s">
        <v>77</v>
      </c>
      <c r="ECM16" s="3" t="s">
        <v>76</v>
      </c>
      <c r="ECN16" s="3" t="s">
        <v>77</v>
      </c>
      <c r="ECO16" s="3" t="s">
        <v>76</v>
      </c>
      <c r="ECP16" s="3" t="s">
        <v>77</v>
      </c>
      <c r="ECQ16" s="3" t="s">
        <v>76</v>
      </c>
      <c r="ECR16" s="3" t="s">
        <v>77</v>
      </c>
      <c r="ECS16" s="3" t="s">
        <v>76</v>
      </c>
      <c r="ECT16" s="3" t="s">
        <v>77</v>
      </c>
      <c r="ECU16" s="3" t="s">
        <v>76</v>
      </c>
      <c r="ECV16" s="3" t="s">
        <v>77</v>
      </c>
      <c r="ECW16" s="3" t="s">
        <v>76</v>
      </c>
      <c r="ECX16" s="3" t="s">
        <v>77</v>
      </c>
      <c r="ECY16" s="3" t="s">
        <v>76</v>
      </c>
      <c r="ECZ16" s="3" t="s">
        <v>77</v>
      </c>
      <c r="EDA16" s="3" t="s">
        <v>76</v>
      </c>
      <c r="EDB16" s="3" t="s">
        <v>77</v>
      </c>
      <c r="EDC16" s="3" t="s">
        <v>76</v>
      </c>
      <c r="EDD16" s="3" t="s">
        <v>77</v>
      </c>
      <c r="EDE16" s="3" t="s">
        <v>76</v>
      </c>
      <c r="EDF16" s="3" t="s">
        <v>77</v>
      </c>
      <c r="EDG16" s="3" t="s">
        <v>76</v>
      </c>
      <c r="EDH16" s="3" t="s">
        <v>77</v>
      </c>
      <c r="EDI16" s="3" t="s">
        <v>76</v>
      </c>
      <c r="EDJ16" s="3" t="s">
        <v>77</v>
      </c>
      <c r="EDK16" s="3" t="s">
        <v>76</v>
      </c>
      <c r="EDL16" s="3" t="s">
        <v>77</v>
      </c>
      <c r="EDM16" s="3" t="s">
        <v>76</v>
      </c>
      <c r="EDN16" s="3" t="s">
        <v>77</v>
      </c>
      <c r="EDO16" s="3" t="s">
        <v>76</v>
      </c>
      <c r="EDP16" s="3" t="s">
        <v>77</v>
      </c>
      <c r="EDQ16" s="3" t="s">
        <v>76</v>
      </c>
      <c r="EDR16" s="3" t="s">
        <v>77</v>
      </c>
      <c r="EDS16" s="3" t="s">
        <v>76</v>
      </c>
      <c r="EDT16" s="3" t="s">
        <v>77</v>
      </c>
      <c r="EDU16" s="3" t="s">
        <v>76</v>
      </c>
      <c r="EDV16" s="3" t="s">
        <v>77</v>
      </c>
      <c r="EDW16" s="3" t="s">
        <v>76</v>
      </c>
      <c r="EDX16" s="3" t="s">
        <v>77</v>
      </c>
      <c r="EDY16" s="3" t="s">
        <v>76</v>
      </c>
      <c r="EDZ16" s="3" t="s">
        <v>77</v>
      </c>
      <c r="EEA16" s="3" t="s">
        <v>76</v>
      </c>
      <c r="EEB16" s="3" t="s">
        <v>77</v>
      </c>
      <c r="EEC16" s="3" t="s">
        <v>76</v>
      </c>
      <c r="EED16" s="3" t="s">
        <v>77</v>
      </c>
      <c r="EEE16" s="3" t="s">
        <v>76</v>
      </c>
      <c r="EEF16" s="3" t="s">
        <v>77</v>
      </c>
      <c r="EEG16" s="3" t="s">
        <v>76</v>
      </c>
      <c r="EEH16" s="3" t="s">
        <v>77</v>
      </c>
      <c r="EEI16" s="3" t="s">
        <v>76</v>
      </c>
      <c r="EEJ16" s="3" t="s">
        <v>77</v>
      </c>
      <c r="EEK16" s="3" t="s">
        <v>76</v>
      </c>
      <c r="EEL16" s="3" t="s">
        <v>77</v>
      </c>
      <c r="EEM16" s="3" t="s">
        <v>76</v>
      </c>
      <c r="EEN16" s="3" t="s">
        <v>77</v>
      </c>
      <c r="EEO16" s="3" t="s">
        <v>76</v>
      </c>
      <c r="EEP16" s="3" t="s">
        <v>77</v>
      </c>
      <c r="EEQ16" s="3" t="s">
        <v>76</v>
      </c>
      <c r="EER16" s="3" t="s">
        <v>77</v>
      </c>
      <c r="EES16" s="3" t="s">
        <v>76</v>
      </c>
      <c r="EET16" s="3" t="s">
        <v>77</v>
      </c>
      <c r="EEU16" s="3" t="s">
        <v>76</v>
      </c>
      <c r="EEV16" s="3" t="s">
        <v>77</v>
      </c>
      <c r="EEW16" s="3" t="s">
        <v>76</v>
      </c>
      <c r="EEX16" s="3" t="s">
        <v>77</v>
      </c>
      <c r="EEY16" s="3" t="s">
        <v>76</v>
      </c>
      <c r="EEZ16" s="3" t="s">
        <v>77</v>
      </c>
      <c r="EFA16" s="3" t="s">
        <v>76</v>
      </c>
      <c r="EFB16" s="3" t="s">
        <v>77</v>
      </c>
      <c r="EFC16" s="3" t="s">
        <v>76</v>
      </c>
      <c r="EFD16" s="3" t="s">
        <v>77</v>
      </c>
      <c r="EFE16" s="3" t="s">
        <v>76</v>
      </c>
      <c r="EFF16" s="3" t="s">
        <v>77</v>
      </c>
      <c r="EFG16" s="3" t="s">
        <v>76</v>
      </c>
      <c r="EFH16" s="3" t="s">
        <v>77</v>
      </c>
      <c r="EFI16" s="3" t="s">
        <v>76</v>
      </c>
      <c r="EFJ16" s="3" t="s">
        <v>77</v>
      </c>
      <c r="EFK16" s="3" t="s">
        <v>76</v>
      </c>
      <c r="EFL16" s="3" t="s">
        <v>77</v>
      </c>
      <c r="EFM16" s="3" t="s">
        <v>76</v>
      </c>
      <c r="EFN16" s="3" t="s">
        <v>77</v>
      </c>
      <c r="EFO16" s="3" t="s">
        <v>76</v>
      </c>
      <c r="EFP16" s="3" t="s">
        <v>77</v>
      </c>
      <c r="EFQ16" s="3" t="s">
        <v>76</v>
      </c>
      <c r="EFR16" s="3" t="s">
        <v>77</v>
      </c>
      <c r="EFS16" s="3" t="s">
        <v>76</v>
      </c>
      <c r="EFT16" s="3" t="s">
        <v>77</v>
      </c>
      <c r="EFU16" s="3" t="s">
        <v>76</v>
      </c>
      <c r="EFV16" s="3" t="s">
        <v>77</v>
      </c>
      <c r="EFW16" s="3" t="s">
        <v>76</v>
      </c>
      <c r="EFX16" s="3" t="s">
        <v>77</v>
      </c>
      <c r="EFY16" s="3" t="s">
        <v>76</v>
      </c>
      <c r="EFZ16" s="3" t="s">
        <v>77</v>
      </c>
      <c r="EGA16" s="3" t="s">
        <v>76</v>
      </c>
      <c r="EGB16" s="3" t="s">
        <v>77</v>
      </c>
      <c r="EGC16" s="3" t="s">
        <v>76</v>
      </c>
      <c r="EGD16" s="3" t="s">
        <v>77</v>
      </c>
      <c r="EGE16" s="3" t="s">
        <v>76</v>
      </c>
      <c r="EGF16" s="3" t="s">
        <v>77</v>
      </c>
      <c r="EGG16" s="3" t="s">
        <v>76</v>
      </c>
      <c r="EGH16" s="3" t="s">
        <v>77</v>
      </c>
      <c r="EGI16" s="3" t="s">
        <v>76</v>
      </c>
      <c r="EGJ16" s="3" t="s">
        <v>77</v>
      </c>
      <c r="EGK16" s="3" t="s">
        <v>76</v>
      </c>
      <c r="EGL16" s="3" t="s">
        <v>77</v>
      </c>
      <c r="EGM16" s="3" t="s">
        <v>76</v>
      </c>
      <c r="EGN16" s="3" t="s">
        <v>77</v>
      </c>
      <c r="EGO16" s="3" t="s">
        <v>76</v>
      </c>
      <c r="EGP16" s="3" t="s">
        <v>77</v>
      </c>
      <c r="EGQ16" s="3" t="s">
        <v>76</v>
      </c>
      <c r="EGR16" s="3" t="s">
        <v>77</v>
      </c>
      <c r="EGS16" s="3" t="s">
        <v>76</v>
      </c>
      <c r="EGT16" s="3" t="s">
        <v>77</v>
      </c>
      <c r="EGU16" s="3" t="s">
        <v>76</v>
      </c>
      <c r="EGV16" s="3" t="s">
        <v>77</v>
      </c>
      <c r="EGW16" s="3" t="s">
        <v>76</v>
      </c>
      <c r="EGX16" s="3" t="s">
        <v>77</v>
      </c>
      <c r="EGY16" s="3" t="s">
        <v>76</v>
      </c>
      <c r="EGZ16" s="3" t="s">
        <v>77</v>
      </c>
      <c r="EHA16" s="3" t="s">
        <v>76</v>
      </c>
      <c r="EHB16" s="3" t="s">
        <v>77</v>
      </c>
      <c r="EHC16" s="3" t="s">
        <v>76</v>
      </c>
      <c r="EHD16" s="3" t="s">
        <v>77</v>
      </c>
      <c r="EHE16" s="3" t="s">
        <v>76</v>
      </c>
      <c r="EHF16" s="3" t="s">
        <v>77</v>
      </c>
      <c r="EHG16" s="3" t="s">
        <v>76</v>
      </c>
      <c r="EHH16" s="3" t="s">
        <v>77</v>
      </c>
      <c r="EHI16" s="3" t="s">
        <v>76</v>
      </c>
      <c r="EHJ16" s="3" t="s">
        <v>77</v>
      </c>
      <c r="EHK16" s="3" t="s">
        <v>76</v>
      </c>
      <c r="EHL16" s="3" t="s">
        <v>77</v>
      </c>
      <c r="EHM16" s="3" t="s">
        <v>76</v>
      </c>
      <c r="EHN16" s="3" t="s">
        <v>77</v>
      </c>
      <c r="EHO16" s="3" t="s">
        <v>76</v>
      </c>
      <c r="EHP16" s="3" t="s">
        <v>77</v>
      </c>
      <c r="EHQ16" s="3" t="s">
        <v>76</v>
      </c>
      <c r="EHR16" s="3" t="s">
        <v>77</v>
      </c>
      <c r="EHS16" s="3" t="s">
        <v>76</v>
      </c>
      <c r="EHT16" s="3" t="s">
        <v>77</v>
      </c>
      <c r="EHU16" s="3" t="s">
        <v>76</v>
      </c>
      <c r="EHV16" s="3" t="s">
        <v>77</v>
      </c>
      <c r="EHW16" s="3" t="s">
        <v>76</v>
      </c>
      <c r="EHX16" s="3" t="s">
        <v>77</v>
      </c>
      <c r="EHY16" s="3" t="s">
        <v>76</v>
      </c>
      <c r="EHZ16" s="3" t="s">
        <v>77</v>
      </c>
      <c r="EIA16" s="3" t="s">
        <v>76</v>
      </c>
      <c r="EIB16" s="3" t="s">
        <v>77</v>
      </c>
      <c r="EIC16" s="3" t="s">
        <v>76</v>
      </c>
      <c r="EID16" s="3" t="s">
        <v>77</v>
      </c>
      <c r="EIE16" s="3" t="s">
        <v>76</v>
      </c>
      <c r="EIF16" s="3" t="s">
        <v>77</v>
      </c>
      <c r="EIG16" s="3" t="s">
        <v>76</v>
      </c>
      <c r="EIH16" s="3" t="s">
        <v>77</v>
      </c>
      <c r="EII16" s="3" t="s">
        <v>76</v>
      </c>
      <c r="EIJ16" s="3" t="s">
        <v>77</v>
      </c>
      <c r="EIK16" s="3" t="s">
        <v>76</v>
      </c>
      <c r="EIL16" s="3" t="s">
        <v>77</v>
      </c>
      <c r="EIM16" s="3" t="s">
        <v>76</v>
      </c>
      <c r="EIN16" s="3" t="s">
        <v>77</v>
      </c>
      <c r="EIO16" s="3" t="s">
        <v>76</v>
      </c>
      <c r="EIP16" s="3" t="s">
        <v>77</v>
      </c>
      <c r="EIQ16" s="3" t="s">
        <v>76</v>
      </c>
      <c r="EIR16" s="3" t="s">
        <v>77</v>
      </c>
      <c r="EIS16" s="3" t="s">
        <v>76</v>
      </c>
      <c r="EIT16" s="3" t="s">
        <v>77</v>
      </c>
      <c r="EIU16" s="3" t="s">
        <v>76</v>
      </c>
      <c r="EIV16" s="3" t="s">
        <v>77</v>
      </c>
      <c r="EIW16" s="3" t="s">
        <v>76</v>
      </c>
      <c r="EIX16" s="3" t="s">
        <v>77</v>
      </c>
      <c r="EIY16" s="3" t="s">
        <v>76</v>
      </c>
      <c r="EIZ16" s="3" t="s">
        <v>77</v>
      </c>
      <c r="EJA16" s="3" t="s">
        <v>76</v>
      </c>
      <c r="EJB16" s="3" t="s">
        <v>77</v>
      </c>
      <c r="EJC16" s="3" t="s">
        <v>76</v>
      </c>
      <c r="EJD16" s="3" t="s">
        <v>77</v>
      </c>
      <c r="EJE16" s="3" t="s">
        <v>76</v>
      </c>
      <c r="EJF16" s="3" t="s">
        <v>77</v>
      </c>
      <c r="EJG16" s="3" t="s">
        <v>76</v>
      </c>
      <c r="EJH16" s="3" t="s">
        <v>77</v>
      </c>
      <c r="EJI16" s="3" t="s">
        <v>76</v>
      </c>
      <c r="EJJ16" s="3" t="s">
        <v>77</v>
      </c>
      <c r="EJK16" s="3" t="s">
        <v>76</v>
      </c>
      <c r="EJL16" s="3" t="s">
        <v>77</v>
      </c>
      <c r="EJM16" s="3" t="s">
        <v>76</v>
      </c>
      <c r="EJN16" s="3" t="s">
        <v>77</v>
      </c>
      <c r="EJO16" s="3" t="s">
        <v>76</v>
      </c>
      <c r="EJP16" s="3" t="s">
        <v>77</v>
      </c>
      <c r="EJQ16" s="3" t="s">
        <v>76</v>
      </c>
      <c r="EJR16" s="3" t="s">
        <v>77</v>
      </c>
      <c r="EJS16" s="3" t="s">
        <v>76</v>
      </c>
      <c r="EJT16" s="3" t="s">
        <v>77</v>
      </c>
      <c r="EJU16" s="3" t="s">
        <v>76</v>
      </c>
      <c r="EJV16" s="3" t="s">
        <v>77</v>
      </c>
      <c r="EJW16" s="3" t="s">
        <v>76</v>
      </c>
      <c r="EJX16" s="3" t="s">
        <v>77</v>
      </c>
      <c r="EJY16" s="3" t="s">
        <v>76</v>
      </c>
      <c r="EJZ16" s="3" t="s">
        <v>77</v>
      </c>
      <c r="EKA16" s="3" t="s">
        <v>76</v>
      </c>
      <c r="EKB16" s="3" t="s">
        <v>77</v>
      </c>
      <c r="EKC16" s="3" t="s">
        <v>76</v>
      </c>
      <c r="EKD16" s="3" t="s">
        <v>77</v>
      </c>
      <c r="EKE16" s="3" t="s">
        <v>76</v>
      </c>
      <c r="EKF16" s="3" t="s">
        <v>77</v>
      </c>
      <c r="EKG16" s="3" t="s">
        <v>76</v>
      </c>
      <c r="EKH16" s="3" t="s">
        <v>77</v>
      </c>
      <c r="EKI16" s="3" t="s">
        <v>76</v>
      </c>
      <c r="EKJ16" s="3" t="s">
        <v>77</v>
      </c>
      <c r="EKK16" s="3" t="s">
        <v>76</v>
      </c>
      <c r="EKL16" s="3" t="s">
        <v>77</v>
      </c>
      <c r="EKM16" s="3" t="s">
        <v>76</v>
      </c>
      <c r="EKN16" s="3" t="s">
        <v>77</v>
      </c>
      <c r="EKO16" s="3" t="s">
        <v>76</v>
      </c>
      <c r="EKP16" s="3" t="s">
        <v>77</v>
      </c>
      <c r="EKQ16" s="3" t="s">
        <v>76</v>
      </c>
      <c r="EKR16" s="3" t="s">
        <v>77</v>
      </c>
      <c r="EKS16" s="3" t="s">
        <v>76</v>
      </c>
      <c r="EKT16" s="3" t="s">
        <v>77</v>
      </c>
      <c r="EKU16" s="3" t="s">
        <v>76</v>
      </c>
      <c r="EKV16" s="3" t="s">
        <v>77</v>
      </c>
      <c r="EKW16" s="3" t="s">
        <v>76</v>
      </c>
      <c r="EKX16" s="3" t="s">
        <v>77</v>
      </c>
      <c r="EKY16" s="3" t="s">
        <v>76</v>
      </c>
      <c r="EKZ16" s="3" t="s">
        <v>77</v>
      </c>
      <c r="ELA16" s="3" t="s">
        <v>76</v>
      </c>
      <c r="ELB16" s="3" t="s">
        <v>77</v>
      </c>
      <c r="ELC16" s="3" t="s">
        <v>76</v>
      </c>
      <c r="ELD16" s="3" t="s">
        <v>77</v>
      </c>
      <c r="ELE16" s="3" t="s">
        <v>76</v>
      </c>
      <c r="ELF16" s="3" t="s">
        <v>77</v>
      </c>
      <c r="ELG16" s="3" t="s">
        <v>76</v>
      </c>
      <c r="ELH16" s="3" t="s">
        <v>77</v>
      </c>
      <c r="ELI16" s="3" t="s">
        <v>76</v>
      </c>
      <c r="ELJ16" s="3" t="s">
        <v>77</v>
      </c>
      <c r="ELK16" s="3" t="s">
        <v>76</v>
      </c>
      <c r="ELL16" s="3" t="s">
        <v>77</v>
      </c>
      <c r="ELM16" s="3" t="s">
        <v>76</v>
      </c>
      <c r="ELN16" s="3" t="s">
        <v>77</v>
      </c>
      <c r="ELO16" s="3" t="s">
        <v>76</v>
      </c>
      <c r="ELP16" s="3" t="s">
        <v>77</v>
      </c>
      <c r="ELQ16" s="3" t="s">
        <v>76</v>
      </c>
      <c r="ELR16" s="3" t="s">
        <v>77</v>
      </c>
      <c r="ELS16" s="3" t="s">
        <v>76</v>
      </c>
      <c r="ELT16" s="3" t="s">
        <v>77</v>
      </c>
      <c r="ELU16" s="3" t="s">
        <v>76</v>
      </c>
      <c r="ELV16" s="3" t="s">
        <v>77</v>
      </c>
      <c r="ELW16" s="3" t="s">
        <v>76</v>
      </c>
      <c r="ELX16" s="3" t="s">
        <v>77</v>
      </c>
      <c r="ELY16" s="3" t="s">
        <v>76</v>
      </c>
      <c r="ELZ16" s="3" t="s">
        <v>77</v>
      </c>
      <c r="EMA16" s="3" t="s">
        <v>76</v>
      </c>
      <c r="EMB16" s="3" t="s">
        <v>77</v>
      </c>
      <c r="EMC16" s="3" t="s">
        <v>76</v>
      </c>
      <c r="EMD16" s="3" t="s">
        <v>77</v>
      </c>
      <c r="EME16" s="3" t="s">
        <v>76</v>
      </c>
      <c r="EMF16" s="3" t="s">
        <v>77</v>
      </c>
      <c r="EMG16" s="3" t="s">
        <v>76</v>
      </c>
      <c r="EMH16" s="3" t="s">
        <v>77</v>
      </c>
      <c r="EMI16" s="3" t="s">
        <v>76</v>
      </c>
      <c r="EMJ16" s="3" t="s">
        <v>77</v>
      </c>
      <c r="EMK16" s="3" t="s">
        <v>76</v>
      </c>
      <c r="EML16" s="3" t="s">
        <v>77</v>
      </c>
      <c r="EMM16" s="3" t="s">
        <v>76</v>
      </c>
      <c r="EMN16" s="3" t="s">
        <v>77</v>
      </c>
      <c r="EMO16" s="3" t="s">
        <v>76</v>
      </c>
      <c r="EMP16" s="3" t="s">
        <v>77</v>
      </c>
      <c r="EMQ16" s="3" t="s">
        <v>76</v>
      </c>
      <c r="EMR16" s="3" t="s">
        <v>77</v>
      </c>
      <c r="EMS16" s="3" t="s">
        <v>76</v>
      </c>
      <c r="EMT16" s="3" t="s">
        <v>77</v>
      </c>
      <c r="EMU16" s="3" t="s">
        <v>76</v>
      </c>
      <c r="EMV16" s="3" t="s">
        <v>77</v>
      </c>
      <c r="EMW16" s="3" t="s">
        <v>76</v>
      </c>
      <c r="EMX16" s="3" t="s">
        <v>77</v>
      </c>
      <c r="EMY16" s="3" t="s">
        <v>76</v>
      </c>
      <c r="EMZ16" s="3" t="s">
        <v>77</v>
      </c>
      <c r="ENA16" s="3" t="s">
        <v>76</v>
      </c>
      <c r="ENB16" s="3" t="s">
        <v>77</v>
      </c>
      <c r="ENC16" s="3" t="s">
        <v>76</v>
      </c>
      <c r="END16" s="3" t="s">
        <v>77</v>
      </c>
      <c r="ENE16" s="3" t="s">
        <v>76</v>
      </c>
      <c r="ENF16" s="3" t="s">
        <v>77</v>
      </c>
      <c r="ENG16" s="3" t="s">
        <v>76</v>
      </c>
      <c r="ENH16" s="3" t="s">
        <v>77</v>
      </c>
      <c r="ENI16" s="3" t="s">
        <v>76</v>
      </c>
      <c r="ENJ16" s="3" t="s">
        <v>77</v>
      </c>
      <c r="ENK16" s="3" t="s">
        <v>76</v>
      </c>
      <c r="ENL16" s="3" t="s">
        <v>77</v>
      </c>
      <c r="ENM16" s="3" t="s">
        <v>76</v>
      </c>
      <c r="ENN16" s="3" t="s">
        <v>77</v>
      </c>
      <c r="ENO16" s="3" t="s">
        <v>76</v>
      </c>
      <c r="ENP16" s="3" t="s">
        <v>77</v>
      </c>
      <c r="ENQ16" s="3" t="s">
        <v>76</v>
      </c>
      <c r="ENR16" s="3" t="s">
        <v>77</v>
      </c>
      <c r="ENS16" s="3" t="s">
        <v>76</v>
      </c>
      <c r="ENT16" s="3" t="s">
        <v>77</v>
      </c>
      <c r="ENU16" s="3" t="s">
        <v>76</v>
      </c>
      <c r="ENV16" s="3" t="s">
        <v>77</v>
      </c>
      <c r="ENW16" s="3" t="s">
        <v>76</v>
      </c>
      <c r="ENX16" s="3" t="s">
        <v>77</v>
      </c>
      <c r="ENY16" s="3" t="s">
        <v>76</v>
      </c>
      <c r="ENZ16" s="3" t="s">
        <v>77</v>
      </c>
      <c r="EOA16" s="3" t="s">
        <v>76</v>
      </c>
      <c r="EOB16" s="3" t="s">
        <v>77</v>
      </c>
      <c r="EOC16" s="3" t="s">
        <v>76</v>
      </c>
      <c r="EOD16" s="3" t="s">
        <v>77</v>
      </c>
      <c r="EOE16" s="3" t="s">
        <v>76</v>
      </c>
      <c r="EOF16" s="3" t="s">
        <v>77</v>
      </c>
      <c r="EOG16" s="3" t="s">
        <v>76</v>
      </c>
      <c r="EOH16" s="3" t="s">
        <v>77</v>
      </c>
      <c r="EOI16" s="3" t="s">
        <v>76</v>
      </c>
      <c r="EOJ16" s="3" t="s">
        <v>77</v>
      </c>
      <c r="EOK16" s="3" t="s">
        <v>76</v>
      </c>
      <c r="EOL16" s="3" t="s">
        <v>77</v>
      </c>
      <c r="EOM16" s="3" t="s">
        <v>76</v>
      </c>
      <c r="EON16" s="3" t="s">
        <v>77</v>
      </c>
      <c r="EOO16" s="3" t="s">
        <v>76</v>
      </c>
      <c r="EOP16" s="3" t="s">
        <v>77</v>
      </c>
      <c r="EOQ16" s="3" t="s">
        <v>76</v>
      </c>
      <c r="EOR16" s="3" t="s">
        <v>77</v>
      </c>
      <c r="EOS16" s="3" t="s">
        <v>76</v>
      </c>
      <c r="EOT16" s="3" t="s">
        <v>77</v>
      </c>
      <c r="EOU16" s="3" t="s">
        <v>76</v>
      </c>
      <c r="EOV16" s="3" t="s">
        <v>77</v>
      </c>
      <c r="EOW16" s="3" t="s">
        <v>76</v>
      </c>
      <c r="EOX16" s="3" t="s">
        <v>77</v>
      </c>
      <c r="EOY16" s="3" t="s">
        <v>76</v>
      </c>
      <c r="EOZ16" s="3" t="s">
        <v>77</v>
      </c>
      <c r="EPA16" s="3" t="s">
        <v>76</v>
      </c>
      <c r="EPB16" s="3" t="s">
        <v>77</v>
      </c>
      <c r="EPC16" s="3" t="s">
        <v>76</v>
      </c>
      <c r="EPD16" s="3" t="s">
        <v>77</v>
      </c>
      <c r="EPE16" s="3" t="s">
        <v>76</v>
      </c>
      <c r="EPF16" s="3" t="s">
        <v>77</v>
      </c>
      <c r="EPG16" s="3" t="s">
        <v>76</v>
      </c>
      <c r="EPH16" s="3" t="s">
        <v>77</v>
      </c>
      <c r="EPI16" s="3" t="s">
        <v>76</v>
      </c>
      <c r="EPJ16" s="3" t="s">
        <v>77</v>
      </c>
      <c r="EPK16" s="3" t="s">
        <v>76</v>
      </c>
      <c r="EPL16" s="3" t="s">
        <v>77</v>
      </c>
      <c r="EPM16" s="3" t="s">
        <v>76</v>
      </c>
      <c r="EPN16" s="3" t="s">
        <v>77</v>
      </c>
      <c r="EPO16" s="3" t="s">
        <v>76</v>
      </c>
      <c r="EPP16" s="3" t="s">
        <v>77</v>
      </c>
      <c r="EPQ16" s="3" t="s">
        <v>76</v>
      </c>
      <c r="EPR16" s="3" t="s">
        <v>77</v>
      </c>
      <c r="EPS16" s="3" t="s">
        <v>76</v>
      </c>
      <c r="EPT16" s="3" t="s">
        <v>77</v>
      </c>
      <c r="EPU16" s="3" t="s">
        <v>76</v>
      </c>
      <c r="EPV16" s="3" t="s">
        <v>77</v>
      </c>
      <c r="EPW16" s="3" t="s">
        <v>76</v>
      </c>
      <c r="EPX16" s="3" t="s">
        <v>77</v>
      </c>
      <c r="EPY16" s="3" t="s">
        <v>76</v>
      </c>
      <c r="EPZ16" s="3" t="s">
        <v>77</v>
      </c>
      <c r="EQA16" s="3" t="s">
        <v>76</v>
      </c>
      <c r="EQB16" s="3" t="s">
        <v>77</v>
      </c>
      <c r="EQC16" s="3" t="s">
        <v>76</v>
      </c>
      <c r="EQD16" s="3" t="s">
        <v>77</v>
      </c>
      <c r="EQE16" s="3" t="s">
        <v>76</v>
      </c>
      <c r="EQF16" s="3" t="s">
        <v>77</v>
      </c>
      <c r="EQG16" s="3" t="s">
        <v>76</v>
      </c>
      <c r="EQH16" s="3" t="s">
        <v>77</v>
      </c>
      <c r="EQI16" s="3" t="s">
        <v>76</v>
      </c>
      <c r="EQJ16" s="3" t="s">
        <v>77</v>
      </c>
      <c r="EQK16" s="3" t="s">
        <v>76</v>
      </c>
      <c r="EQL16" s="3" t="s">
        <v>77</v>
      </c>
      <c r="EQM16" s="3" t="s">
        <v>76</v>
      </c>
      <c r="EQN16" s="3" t="s">
        <v>77</v>
      </c>
      <c r="EQO16" s="3" t="s">
        <v>76</v>
      </c>
      <c r="EQP16" s="3" t="s">
        <v>77</v>
      </c>
      <c r="EQQ16" s="3" t="s">
        <v>76</v>
      </c>
      <c r="EQR16" s="3" t="s">
        <v>77</v>
      </c>
      <c r="EQS16" s="3" t="s">
        <v>76</v>
      </c>
      <c r="EQT16" s="3" t="s">
        <v>77</v>
      </c>
      <c r="EQU16" s="3" t="s">
        <v>76</v>
      </c>
      <c r="EQV16" s="3" t="s">
        <v>77</v>
      </c>
      <c r="EQW16" s="3" t="s">
        <v>76</v>
      </c>
      <c r="EQX16" s="3" t="s">
        <v>77</v>
      </c>
      <c r="EQY16" s="3" t="s">
        <v>76</v>
      </c>
      <c r="EQZ16" s="3" t="s">
        <v>77</v>
      </c>
      <c r="ERA16" s="3" t="s">
        <v>76</v>
      </c>
      <c r="ERB16" s="3" t="s">
        <v>77</v>
      </c>
      <c r="ERC16" s="3" t="s">
        <v>76</v>
      </c>
      <c r="ERD16" s="3" t="s">
        <v>77</v>
      </c>
      <c r="ERE16" s="3" t="s">
        <v>76</v>
      </c>
      <c r="ERF16" s="3" t="s">
        <v>77</v>
      </c>
      <c r="ERG16" s="3" t="s">
        <v>76</v>
      </c>
      <c r="ERH16" s="3" t="s">
        <v>77</v>
      </c>
      <c r="ERI16" s="3" t="s">
        <v>76</v>
      </c>
      <c r="ERJ16" s="3" t="s">
        <v>77</v>
      </c>
      <c r="ERK16" s="3" t="s">
        <v>76</v>
      </c>
      <c r="ERL16" s="3" t="s">
        <v>77</v>
      </c>
      <c r="ERM16" s="3" t="s">
        <v>76</v>
      </c>
      <c r="ERN16" s="3" t="s">
        <v>77</v>
      </c>
      <c r="ERO16" s="3" t="s">
        <v>76</v>
      </c>
      <c r="ERP16" s="3" t="s">
        <v>77</v>
      </c>
      <c r="ERQ16" s="3" t="s">
        <v>76</v>
      </c>
      <c r="ERR16" s="3" t="s">
        <v>77</v>
      </c>
      <c r="ERS16" s="3" t="s">
        <v>76</v>
      </c>
      <c r="ERT16" s="3" t="s">
        <v>77</v>
      </c>
      <c r="ERU16" s="3" t="s">
        <v>76</v>
      </c>
      <c r="ERV16" s="3" t="s">
        <v>77</v>
      </c>
      <c r="ERW16" s="3" t="s">
        <v>76</v>
      </c>
      <c r="ERX16" s="3" t="s">
        <v>77</v>
      </c>
      <c r="ERY16" s="3" t="s">
        <v>76</v>
      </c>
      <c r="ERZ16" s="3" t="s">
        <v>77</v>
      </c>
      <c r="ESA16" s="3" t="s">
        <v>76</v>
      </c>
      <c r="ESB16" s="3" t="s">
        <v>77</v>
      </c>
      <c r="ESC16" s="3" t="s">
        <v>76</v>
      </c>
      <c r="ESD16" s="3" t="s">
        <v>77</v>
      </c>
      <c r="ESE16" s="3" t="s">
        <v>76</v>
      </c>
      <c r="ESF16" s="3" t="s">
        <v>77</v>
      </c>
      <c r="ESG16" s="3" t="s">
        <v>76</v>
      </c>
      <c r="ESH16" s="3" t="s">
        <v>77</v>
      </c>
      <c r="ESI16" s="3" t="s">
        <v>76</v>
      </c>
      <c r="ESJ16" s="3" t="s">
        <v>77</v>
      </c>
      <c r="ESK16" s="3" t="s">
        <v>76</v>
      </c>
      <c r="ESL16" s="3" t="s">
        <v>77</v>
      </c>
      <c r="ESM16" s="3" t="s">
        <v>76</v>
      </c>
      <c r="ESN16" s="3" t="s">
        <v>77</v>
      </c>
      <c r="ESO16" s="3" t="s">
        <v>76</v>
      </c>
      <c r="ESP16" s="3" t="s">
        <v>77</v>
      </c>
      <c r="ESQ16" s="3" t="s">
        <v>76</v>
      </c>
      <c r="ESR16" s="3" t="s">
        <v>77</v>
      </c>
      <c r="ESS16" s="3" t="s">
        <v>76</v>
      </c>
      <c r="EST16" s="3" t="s">
        <v>77</v>
      </c>
      <c r="ESU16" s="3" t="s">
        <v>76</v>
      </c>
      <c r="ESV16" s="3" t="s">
        <v>77</v>
      </c>
      <c r="ESW16" s="3" t="s">
        <v>76</v>
      </c>
      <c r="ESX16" s="3" t="s">
        <v>77</v>
      </c>
      <c r="ESY16" s="3" t="s">
        <v>76</v>
      </c>
      <c r="ESZ16" s="3" t="s">
        <v>77</v>
      </c>
      <c r="ETA16" s="3" t="s">
        <v>76</v>
      </c>
      <c r="ETB16" s="3" t="s">
        <v>77</v>
      </c>
      <c r="ETC16" s="3" t="s">
        <v>76</v>
      </c>
      <c r="ETD16" s="3" t="s">
        <v>77</v>
      </c>
      <c r="ETE16" s="3" t="s">
        <v>76</v>
      </c>
      <c r="ETF16" s="3" t="s">
        <v>77</v>
      </c>
      <c r="ETG16" s="3" t="s">
        <v>76</v>
      </c>
      <c r="ETH16" s="3" t="s">
        <v>77</v>
      </c>
      <c r="ETI16" s="3" t="s">
        <v>76</v>
      </c>
      <c r="ETJ16" s="3" t="s">
        <v>77</v>
      </c>
      <c r="ETK16" s="3" t="s">
        <v>76</v>
      </c>
      <c r="ETL16" s="3" t="s">
        <v>77</v>
      </c>
      <c r="ETM16" s="3" t="s">
        <v>76</v>
      </c>
      <c r="ETN16" s="3" t="s">
        <v>77</v>
      </c>
      <c r="ETO16" s="3" t="s">
        <v>76</v>
      </c>
      <c r="ETP16" s="3" t="s">
        <v>77</v>
      </c>
      <c r="ETQ16" s="3" t="s">
        <v>76</v>
      </c>
      <c r="ETR16" s="3" t="s">
        <v>77</v>
      </c>
      <c r="ETS16" s="3" t="s">
        <v>76</v>
      </c>
      <c r="ETT16" s="3" t="s">
        <v>77</v>
      </c>
      <c r="ETU16" s="3" t="s">
        <v>76</v>
      </c>
      <c r="ETV16" s="3" t="s">
        <v>77</v>
      </c>
      <c r="ETW16" s="3" t="s">
        <v>76</v>
      </c>
      <c r="ETX16" s="3" t="s">
        <v>77</v>
      </c>
      <c r="ETY16" s="3" t="s">
        <v>76</v>
      </c>
      <c r="ETZ16" s="3" t="s">
        <v>77</v>
      </c>
      <c r="EUA16" s="3" t="s">
        <v>76</v>
      </c>
      <c r="EUB16" s="3" t="s">
        <v>77</v>
      </c>
      <c r="EUC16" s="3" t="s">
        <v>76</v>
      </c>
      <c r="EUD16" s="3" t="s">
        <v>77</v>
      </c>
      <c r="EUE16" s="3" t="s">
        <v>76</v>
      </c>
      <c r="EUF16" s="3" t="s">
        <v>77</v>
      </c>
      <c r="EUG16" s="3" t="s">
        <v>76</v>
      </c>
      <c r="EUH16" s="3" t="s">
        <v>77</v>
      </c>
      <c r="EUI16" s="3" t="s">
        <v>76</v>
      </c>
      <c r="EUJ16" s="3" t="s">
        <v>77</v>
      </c>
      <c r="EUK16" s="3" t="s">
        <v>76</v>
      </c>
      <c r="EUL16" s="3" t="s">
        <v>77</v>
      </c>
      <c r="EUM16" s="3" t="s">
        <v>76</v>
      </c>
      <c r="EUN16" s="3" t="s">
        <v>77</v>
      </c>
      <c r="EUO16" s="3" t="s">
        <v>76</v>
      </c>
      <c r="EUP16" s="3" t="s">
        <v>77</v>
      </c>
      <c r="EUQ16" s="3" t="s">
        <v>76</v>
      </c>
      <c r="EUR16" s="3" t="s">
        <v>77</v>
      </c>
      <c r="EUS16" s="3" t="s">
        <v>76</v>
      </c>
      <c r="EUT16" s="3" t="s">
        <v>77</v>
      </c>
      <c r="EUU16" s="3" t="s">
        <v>76</v>
      </c>
      <c r="EUV16" s="3" t="s">
        <v>77</v>
      </c>
      <c r="EUW16" s="3" t="s">
        <v>76</v>
      </c>
      <c r="EUX16" s="3" t="s">
        <v>77</v>
      </c>
      <c r="EUY16" s="3" t="s">
        <v>76</v>
      </c>
      <c r="EUZ16" s="3" t="s">
        <v>77</v>
      </c>
      <c r="EVA16" s="3" t="s">
        <v>76</v>
      </c>
      <c r="EVB16" s="3" t="s">
        <v>77</v>
      </c>
      <c r="EVC16" s="3" t="s">
        <v>76</v>
      </c>
      <c r="EVD16" s="3" t="s">
        <v>77</v>
      </c>
      <c r="EVE16" s="3" t="s">
        <v>76</v>
      </c>
      <c r="EVF16" s="3" t="s">
        <v>77</v>
      </c>
      <c r="EVG16" s="3" t="s">
        <v>76</v>
      </c>
      <c r="EVH16" s="3" t="s">
        <v>77</v>
      </c>
      <c r="EVI16" s="3" t="s">
        <v>76</v>
      </c>
      <c r="EVJ16" s="3" t="s">
        <v>77</v>
      </c>
      <c r="EVK16" s="3" t="s">
        <v>76</v>
      </c>
      <c r="EVL16" s="3" t="s">
        <v>77</v>
      </c>
      <c r="EVM16" s="3" t="s">
        <v>76</v>
      </c>
      <c r="EVN16" s="3" t="s">
        <v>77</v>
      </c>
      <c r="EVO16" s="3" t="s">
        <v>76</v>
      </c>
      <c r="EVP16" s="3" t="s">
        <v>77</v>
      </c>
      <c r="EVQ16" s="3" t="s">
        <v>76</v>
      </c>
      <c r="EVR16" s="3" t="s">
        <v>77</v>
      </c>
      <c r="EVS16" s="3" t="s">
        <v>76</v>
      </c>
      <c r="EVT16" s="3" t="s">
        <v>77</v>
      </c>
      <c r="EVU16" s="3" t="s">
        <v>76</v>
      </c>
      <c r="EVV16" s="3" t="s">
        <v>77</v>
      </c>
      <c r="EVW16" s="3" t="s">
        <v>76</v>
      </c>
      <c r="EVX16" s="3" t="s">
        <v>77</v>
      </c>
      <c r="EVY16" s="3" t="s">
        <v>76</v>
      </c>
      <c r="EVZ16" s="3" t="s">
        <v>77</v>
      </c>
      <c r="EWA16" s="3" t="s">
        <v>76</v>
      </c>
      <c r="EWB16" s="3" t="s">
        <v>77</v>
      </c>
      <c r="EWC16" s="3" t="s">
        <v>76</v>
      </c>
      <c r="EWD16" s="3" t="s">
        <v>77</v>
      </c>
      <c r="EWE16" s="3" t="s">
        <v>76</v>
      </c>
      <c r="EWF16" s="3" t="s">
        <v>77</v>
      </c>
      <c r="EWG16" s="3" t="s">
        <v>76</v>
      </c>
      <c r="EWH16" s="3" t="s">
        <v>77</v>
      </c>
      <c r="EWI16" s="3" t="s">
        <v>76</v>
      </c>
      <c r="EWJ16" s="3" t="s">
        <v>77</v>
      </c>
      <c r="EWK16" s="3" t="s">
        <v>76</v>
      </c>
      <c r="EWL16" s="3" t="s">
        <v>77</v>
      </c>
      <c r="EWM16" s="3" t="s">
        <v>76</v>
      </c>
      <c r="EWN16" s="3" t="s">
        <v>77</v>
      </c>
      <c r="EWO16" s="3" t="s">
        <v>76</v>
      </c>
      <c r="EWP16" s="3" t="s">
        <v>77</v>
      </c>
      <c r="EWQ16" s="3" t="s">
        <v>76</v>
      </c>
      <c r="EWR16" s="3" t="s">
        <v>77</v>
      </c>
      <c r="EWS16" s="3" t="s">
        <v>76</v>
      </c>
      <c r="EWT16" s="3" t="s">
        <v>77</v>
      </c>
      <c r="EWU16" s="3" t="s">
        <v>76</v>
      </c>
      <c r="EWV16" s="3" t="s">
        <v>77</v>
      </c>
      <c r="EWW16" s="3" t="s">
        <v>76</v>
      </c>
      <c r="EWX16" s="3" t="s">
        <v>77</v>
      </c>
      <c r="EWY16" s="3" t="s">
        <v>76</v>
      </c>
      <c r="EWZ16" s="3" t="s">
        <v>77</v>
      </c>
      <c r="EXA16" s="3" t="s">
        <v>76</v>
      </c>
      <c r="EXB16" s="3" t="s">
        <v>77</v>
      </c>
      <c r="EXC16" s="3" t="s">
        <v>76</v>
      </c>
      <c r="EXD16" s="3" t="s">
        <v>77</v>
      </c>
      <c r="EXE16" s="3" t="s">
        <v>76</v>
      </c>
      <c r="EXF16" s="3" t="s">
        <v>77</v>
      </c>
      <c r="EXG16" s="3" t="s">
        <v>76</v>
      </c>
      <c r="EXH16" s="3" t="s">
        <v>77</v>
      </c>
      <c r="EXI16" s="3" t="s">
        <v>76</v>
      </c>
      <c r="EXJ16" s="3" t="s">
        <v>77</v>
      </c>
      <c r="EXK16" s="3" t="s">
        <v>76</v>
      </c>
      <c r="EXL16" s="3" t="s">
        <v>77</v>
      </c>
      <c r="EXM16" s="3" t="s">
        <v>76</v>
      </c>
      <c r="EXN16" s="3" t="s">
        <v>77</v>
      </c>
      <c r="EXO16" s="3" t="s">
        <v>76</v>
      </c>
      <c r="EXP16" s="3" t="s">
        <v>77</v>
      </c>
      <c r="EXQ16" s="3" t="s">
        <v>76</v>
      </c>
      <c r="EXR16" s="3" t="s">
        <v>77</v>
      </c>
      <c r="EXS16" s="3" t="s">
        <v>76</v>
      </c>
      <c r="EXT16" s="3" t="s">
        <v>77</v>
      </c>
      <c r="EXU16" s="3" t="s">
        <v>76</v>
      </c>
      <c r="EXV16" s="3" t="s">
        <v>77</v>
      </c>
      <c r="EXW16" s="3" t="s">
        <v>76</v>
      </c>
      <c r="EXX16" s="3" t="s">
        <v>77</v>
      </c>
      <c r="EXY16" s="3" t="s">
        <v>76</v>
      </c>
      <c r="EXZ16" s="3" t="s">
        <v>77</v>
      </c>
      <c r="EYA16" s="3" t="s">
        <v>76</v>
      </c>
      <c r="EYB16" s="3" t="s">
        <v>77</v>
      </c>
      <c r="EYC16" s="3" t="s">
        <v>76</v>
      </c>
      <c r="EYD16" s="3" t="s">
        <v>77</v>
      </c>
      <c r="EYE16" s="3" t="s">
        <v>76</v>
      </c>
      <c r="EYF16" s="3" t="s">
        <v>77</v>
      </c>
      <c r="EYG16" s="3" t="s">
        <v>76</v>
      </c>
      <c r="EYH16" s="3" t="s">
        <v>77</v>
      </c>
      <c r="EYI16" s="3" t="s">
        <v>76</v>
      </c>
      <c r="EYJ16" s="3" t="s">
        <v>77</v>
      </c>
      <c r="EYK16" s="3" t="s">
        <v>76</v>
      </c>
      <c r="EYL16" s="3" t="s">
        <v>77</v>
      </c>
      <c r="EYM16" s="3" t="s">
        <v>76</v>
      </c>
      <c r="EYN16" s="3" t="s">
        <v>77</v>
      </c>
      <c r="EYO16" s="3" t="s">
        <v>76</v>
      </c>
      <c r="EYP16" s="3" t="s">
        <v>77</v>
      </c>
      <c r="EYQ16" s="3" t="s">
        <v>76</v>
      </c>
      <c r="EYR16" s="3" t="s">
        <v>77</v>
      </c>
      <c r="EYS16" s="3" t="s">
        <v>76</v>
      </c>
      <c r="EYT16" s="3" t="s">
        <v>77</v>
      </c>
      <c r="EYU16" s="3" t="s">
        <v>76</v>
      </c>
      <c r="EYV16" s="3" t="s">
        <v>77</v>
      </c>
      <c r="EYW16" s="3" t="s">
        <v>76</v>
      </c>
      <c r="EYX16" s="3" t="s">
        <v>77</v>
      </c>
      <c r="EYY16" s="3" t="s">
        <v>76</v>
      </c>
      <c r="EYZ16" s="3" t="s">
        <v>77</v>
      </c>
      <c r="EZA16" s="3" t="s">
        <v>76</v>
      </c>
      <c r="EZB16" s="3" t="s">
        <v>77</v>
      </c>
      <c r="EZC16" s="3" t="s">
        <v>76</v>
      </c>
      <c r="EZD16" s="3" t="s">
        <v>77</v>
      </c>
      <c r="EZE16" s="3" t="s">
        <v>76</v>
      </c>
      <c r="EZF16" s="3" t="s">
        <v>77</v>
      </c>
      <c r="EZG16" s="3" t="s">
        <v>76</v>
      </c>
      <c r="EZH16" s="3" t="s">
        <v>77</v>
      </c>
      <c r="EZI16" s="3" t="s">
        <v>76</v>
      </c>
      <c r="EZJ16" s="3" t="s">
        <v>77</v>
      </c>
      <c r="EZK16" s="3" t="s">
        <v>76</v>
      </c>
      <c r="EZL16" s="3" t="s">
        <v>77</v>
      </c>
      <c r="EZM16" s="3" t="s">
        <v>76</v>
      </c>
      <c r="EZN16" s="3" t="s">
        <v>77</v>
      </c>
      <c r="EZO16" s="3" t="s">
        <v>76</v>
      </c>
      <c r="EZP16" s="3" t="s">
        <v>77</v>
      </c>
      <c r="EZQ16" s="3" t="s">
        <v>76</v>
      </c>
      <c r="EZR16" s="3" t="s">
        <v>77</v>
      </c>
      <c r="EZS16" s="3" t="s">
        <v>76</v>
      </c>
      <c r="EZT16" s="3" t="s">
        <v>77</v>
      </c>
      <c r="EZU16" s="3" t="s">
        <v>76</v>
      </c>
      <c r="EZV16" s="3" t="s">
        <v>77</v>
      </c>
      <c r="EZW16" s="3" t="s">
        <v>76</v>
      </c>
      <c r="EZX16" s="3" t="s">
        <v>77</v>
      </c>
      <c r="EZY16" s="3" t="s">
        <v>76</v>
      </c>
      <c r="EZZ16" s="3" t="s">
        <v>77</v>
      </c>
      <c r="FAA16" s="3" t="s">
        <v>76</v>
      </c>
      <c r="FAB16" s="3" t="s">
        <v>77</v>
      </c>
      <c r="FAC16" s="3" t="s">
        <v>76</v>
      </c>
      <c r="FAD16" s="3" t="s">
        <v>77</v>
      </c>
      <c r="FAE16" s="3" t="s">
        <v>76</v>
      </c>
      <c r="FAF16" s="3" t="s">
        <v>77</v>
      </c>
      <c r="FAG16" s="3" t="s">
        <v>76</v>
      </c>
      <c r="FAH16" s="3" t="s">
        <v>77</v>
      </c>
      <c r="FAI16" s="3" t="s">
        <v>76</v>
      </c>
      <c r="FAJ16" s="3" t="s">
        <v>77</v>
      </c>
      <c r="FAK16" s="3" t="s">
        <v>76</v>
      </c>
      <c r="FAL16" s="3" t="s">
        <v>77</v>
      </c>
      <c r="FAM16" s="3" t="s">
        <v>76</v>
      </c>
      <c r="FAN16" s="3" t="s">
        <v>77</v>
      </c>
      <c r="FAO16" s="3" t="s">
        <v>76</v>
      </c>
      <c r="FAP16" s="3" t="s">
        <v>77</v>
      </c>
      <c r="FAQ16" s="3" t="s">
        <v>76</v>
      </c>
      <c r="FAR16" s="3" t="s">
        <v>77</v>
      </c>
      <c r="FAS16" s="3" t="s">
        <v>76</v>
      </c>
      <c r="FAT16" s="3" t="s">
        <v>77</v>
      </c>
      <c r="FAU16" s="3" t="s">
        <v>76</v>
      </c>
      <c r="FAV16" s="3" t="s">
        <v>77</v>
      </c>
      <c r="FAW16" s="3" t="s">
        <v>76</v>
      </c>
      <c r="FAX16" s="3" t="s">
        <v>77</v>
      </c>
      <c r="FAY16" s="3" t="s">
        <v>76</v>
      </c>
      <c r="FAZ16" s="3" t="s">
        <v>77</v>
      </c>
      <c r="FBA16" s="3" t="s">
        <v>76</v>
      </c>
      <c r="FBB16" s="3" t="s">
        <v>77</v>
      </c>
      <c r="FBC16" s="3" t="s">
        <v>76</v>
      </c>
      <c r="FBD16" s="3" t="s">
        <v>77</v>
      </c>
      <c r="FBE16" s="3" t="s">
        <v>76</v>
      </c>
      <c r="FBF16" s="3" t="s">
        <v>77</v>
      </c>
      <c r="FBG16" s="3" t="s">
        <v>76</v>
      </c>
      <c r="FBH16" s="3" t="s">
        <v>77</v>
      </c>
      <c r="FBI16" s="3" t="s">
        <v>76</v>
      </c>
      <c r="FBJ16" s="3" t="s">
        <v>77</v>
      </c>
      <c r="FBK16" s="3" t="s">
        <v>76</v>
      </c>
      <c r="FBL16" s="3" t="s">
        <v>77</v>
      </c>
      <c r="FBM16" s="3" t="s">
        <v>76</v>
      </c>
      <c r="FBN16" s="3" t="s">
        <v>77</v>
      </c>
      <c r="FBO16" s="3" t="s">
        <v>76</v>
      </c>
      <c r="FBP16" s="3" t="s">
        <v>77</v>
      </c>
      <c r="FBQ16" s="3" t="s">
        <v>76</v>
      </c>
      <c r="FBR16" s="3" t="s">
        <v>77</v>
      </c>
      <c r="FBS16" s="3" t="s">
        <v>76</v>
      </c>
      <c r="FBT16" s="3" t="s">
        <v>77</v>
      </c>
      <c r="FBU16" s="3" t="s">
        <v>76</v>
      </c>
      <c r="FBV16" s="3" t="s">
        <v>77</v>
      </c>
      <c r="FBW16" s="3" t="s">
        <v>76</v>
      </c>
      <c r="FBX16" s="3" t="s">
        <v>77</v>
      </c>
      <c r="FBY16" s="3" t="s">
        <v>76</v>
      </c>
      <c r="FBZ16" s="3" t="s">
        <v>77</v>
      </c>
      <c r="FCA16" s="3" t="s">
        <v>76</v>
      </c>
      <c r="FCB16" s="3" t="s">
        <v>77</v>
      </c>
      <c r="FCC16" s="3" t="s">
        <v>76</v>
      </c>
      <c r="FCD16" s="3" t="s">
        <v>77</v>
      </c>
      <c r="FCE16" s="3" t="s">
        <v>76</v>
      </c>
      <c r="FCF16" s="3" t="s">
        <v>77</v>
      </c>
      <c r="FCG16" s="3" t="s">
        <v>76</v>
      </c>
      <c r="FCH16" s="3" t="s">
        <v>77</v>
      </c>
      <c r="FCI16" s="3" t="s">
        <v>76</v>
      </c>
      <c r="FCJ16" s="3" t="s">
        <v>77</v>
      </c>
      <c r="FCK16" s="3" t="s">
        <v>76</v>
      </c>
      <c r="FCL16" s="3" t="s">
        <v>77</v>
      </c>
      <c r="FCM16" s="3" t="s">
        <v>76</v>
      </c>
      <c r="FCN16" s="3" t="s">
        <v>77</v>
      </c>
      <c r="FCO16" s="3" t="s">
        <v>76</v>
      </c>
      <c r="FCP16" s="3" t="s">
        <v>77</v>
      </c>
      <c r="FCQ16" s="3" t="s">
        <v>76</v>
      </c>
      <c r="FCR16" s="3" t="s">
        <v>77</v>
      </c>
      <c r="FCS16" s="3" t="s">
        <v>76</v>
      </c>
      <c r="FCT16" s="3" t="s">
        <v>77</v>
      </c>
      <c r="FCU16" s="3" t="s">
        <v>76</v>
      </c>
      <c r="FCV16" s="3" t="s">
        <v>77</v>
      </c>
      <c r="FCW16" s="3" t="s">
        <v>76</v>
      </c>
      <c r="FCX16" s="3" t="s">
        <v>77</v>
      </c>
      <c r="FCY16" s="3" t="s">
        <v>76</v>
      </c>
      <c r="FCZ16" s="3" t="s">
        <v>77</v>
      </c>
      <c r="FDA16" s="3" t="s">
        <v>76</v>
      </c>
      <c r="FDB16" s="3" t="s">
        <v>77</v>
      </c>
      <c r="FDC16" s="3" t="s">
        <v>76</v>
      </c>
      <c r="FDD16" s="3" t="s">
        <v>77</v>
      </c>
      <c r="FDE16" s="3" t="s">
        <v>76</v>
      </c>
      <c r="FDF16" s="3" t="s">
        <v>77</v>
      </c>
      <c r="FDG16" s="3" t="s">
        <v>76</v>
      </c>
      <c r="FDH16" s="3" t="s">
        <v>77</v>
      </c>
      <c r="FDI16" s="3" t="s">
        <v>76</v>
      </c>
      <c r="FDJ16" s="3" t="s">
        <v>77</v>
      </c>
      <c r="FDK16" s="3" t="s">
        <v>76</v>
      </c>
      <c r="FDL16" s="3" t="s">
        <v>77</v>
      </c>
      <c r="FDM16" s="3" t="s">
        <v>76</v>
      </c>
      <c r="FDN16" s="3" t="s">
        <v>77</v>
      </c>
      <c r="FDO16" s="3" t="s">
        <v>76</v>
      </c>
      <c r="FDP16" s="3" t="s">
        <v>77</v>
      </c>
      <c r="FDQ16" s="3" t="s">
        <v>76</v>
      </c>
      <c r="FDR16" s="3" t="s">
        <v>77</v>
      </c>
      <c r="FDS16" s="3" t="s">
        <v>76</v>
      </c>
      <c r="FDT16" s="3" t="s">
        <v>77</v>
      </c>
      <c r="FDU16" s="3" t="s">
        <v>76</v>
      </c>
      <c r="FDV16" s="3" t="s">
        <v>77</v>
      </c>
      <c r="FDW16" s="3" t="s">
        <v>76</v>
      </c>
      <c r="FDX16" s="3" t="s">
        <v>77</v>
      </c>
      <c r="FDY16" s="3" t="s">
        <v>76</v>
      </c>
      <c r="FDZ16" s="3" t="s">
        <v>77</v>
      </c>
      <c r="FEA16" s="3" t="s">
        <v>76</v>
      </c>
      <c r="FEB16" s="3" t="s">
        <v>77</v>
      </c>
      <c r="FEC16" s="3" t="s">
        <v>76</v>
      </c>
      <c r="FED16" s="3" t="s">
        <v>77</v>
      </c>
      <c r="FEE16" s="3" t="s">
        <v>76</v>
      </c>
      <c r="FEF16" s="3" t="s">
        <v>77</v>
      </c>
      <c r="FEG16" s="3" t="s">
        <v>76</v>
      </c>
      <c r="FEH16" s="3" t="s">
        <v>77</v>
      </c>
      <c r="FEI16" s="3" t="s">
        <v>76</v>
      </c>
      <c r="FEJ16" s="3" t="s">
        <v>77</v>
      </c>
      <c r="FEK16" s="3" t="s">
        <v>76</v>
      </c>
      <c r="FEL16" s="3" t="s">
        <v>77</v>
      </c>
      <c r="FEM16" s="3" t="s">
        <v>76</v>
      </c>
      <c r="FEN16" s="3" t="s">
        <v>77</v>
      </c>
      <c r="FEO16" s="3" t="s">
        <v>76</v>
      </c>
      <c r="FEP16" s="3" t="s">
        <v>77</v>
      </c>
      <c r="FEQ16" s="3" t="s">
        <v>76</v>
      </c>
      <c r="FER16" s="3" t="s">
        <v>77</v>
      </c>
      <c r="FES16" s="3" t="s">
        <v>76</v>
      </c>
      <c r="FET16" s="3" t="s">
        <v>77</v>
      </c>
      <c r="FEU16" s="3" t="s">
        <v>76</v>
      </c>
      <c r="FEV16" s="3" t="s">
        <v>77</v>
      </c>
      <c r="FEW16" s="3" t="s">
        <v>76</v>
      </c>
      <c r="FEX16" s="3" t="s">
        <v>77</v>
      </c>
      <c r="FEY16" s="3" t="s">
        <v>76</v>
      </c>
      <c r="FEZ16" s="3" t="s">
        <v>77</v>
      </c>
      <c r="FFA16" s="3" t="s">
        <v>76</v>
      </c>
      <c r="FFB16" s="3" t="s">
        <v>77</v>
      </c>
      <c r="FFC16" s="3" t="s">
        <v>76</v>
      </c>
      <c r="FFD16" s="3" t="s">
        <v>77</v>
      </c>
      <c r="FFE16" s="3" t="s">
        <v>76</v>
      </c>
      <c r="FFF16" s="3" t="s">
        <v>77</v>
      </c>
      <c r="FFG16" s="3" t="s">
        <v>76</v>
      </c>
      <c r="FFH16" s="3" t="s">
        <v>77</v>
      </c>
      <c r="FFI16" s="3" t="s">
        <v>76</v>
      </c>
      <c r="FFJ16" s="3" t="s">
        <v>77</v>
      </c>
      <c r="FFK16" s="3" t="s">
        <v>76</v>
      </c>
      <c r="FFL16" s="3" t="s">
        <v>77</v>
      </c>
      <c r="FFM16" s="3" t="s">
        <v>76</v>
      </c>
      <c r="FFN16" s="3" t="s">
        <v>77</v>
      </c>
      <c r="FFO16" s="3" t="s">
        <v>76</v>
      </c>
      <c r="FFP16" s="3" t="s">
        <v>77</v>
      </c>
      <c r="FFQ16" s="3" t="s">
        <v>76</v>
      </c>
      <c r="FFR16" s="3" t="s">
        <v>77</v>
      </c>
      <c r="FFS16" s="3" t="s">
        <v>76</v>
      </c>
      <c r="FFT16" s="3" t="s">
        <v>77</v>
      </c>
      <c r="FFU16" s="3" t="s">
        <v>76</v>
      </c>
      <c r="FFV16" s="3" t="s">
        <v>77</v>
      </c>
      <c r="FFW16" s="3" t="s">
        <v>76</v>
      </c>
      <c r="FFX16" s="3" t="s">
        <v>77</v>
      </c>
      <c r="FFY16" s="3" t="s">
        <v>76</v>
      </c>
      <c r="FFZ16" s="3" t="s">
        <v>77</v>
      </c>
      <c r="FGA16" s="3" t="s">
        <v>76</v>
      </c>
      <c r="FGB16" s="3" t="s">
        <v>77</v>
      </c>
      <c r="FGC16" s="3" t="s">
        <v>76</v>
      </c>
      <c r="FGD16" s="3" t="s">
        <v>77</v>
      </c>
      <c r="FGE16" s="3" t="s">
        <v>76</v>
      </c>
      <c r="FGF16" s="3" t="s">
        <v>77</v>
      </c>
      <c r="FGG16" s="3" t="s">
        <v>76</v>
      </c>
      <c r="FGH16" s="3" t="s">
        <v>77</v>
      </c>
      <c r="FGI16" s="3" t="s">
        <v>76</v>
      </c>
      <c r="FGJ16" s="3" t="s">
        <v>77</v>
      </c>
      <c r="FGK16" s="3" t="s">
        <v>76</v>
      </c>
      <c r="FGL16" s="3" t="s">
        <v>77</v>
      </c>
      <c r="FGM16" s="3" t="s">
        <v>76</v>
      </c>
      <c r="FGN16" s="3" t="s">
        <v>77</v>
      </c>
      <c r="FGO16" s="3" t="s">
        <v>76</v>
      </c>
      <c r="FGP16" s="3" t="s">
        <v>77</v>
      </c>
      <c r="FGQ16" s="3" t="s">
        <v>76</v>
      </c>
      <c r="FGR16" s="3" t="s">
        <v>77</v>
      </c>
      <c r="FGS16" s="3" t="s">
        <v>76</v>
      </c>
      <c r="FGT16" s="3" t="s">
        <v>77</v>
      </c>
      <c r="FGU16" s="3" t="s">
        <v>76</v>
      </c>
      <c r="FGV16" s="3" t="s">
        <v>77</v>
      </c>
      <c r="FGW16" s="3" t="s">
        <v>76</v>
      </c>
      <c r="FGX16" s="3" t="s">
        <v>77</v>
      </c>
      <c r="FGY16" s="3" t="s">
        <v>76</v>
      </c>
      <c r="FGZ16" s="3" t="s">
        <v>77</v>
      </c>
      <c r="FHA16" s="3" t="s">
        <v>76</v>
      </c>
      <c r="FHB16" s="3" t="s">
        <v>77</v>
      </c>
      <c r="FHC16" s="3" t="s">
        <v>76</v>
      </c>
      <c r="FHD16" s="3" t="s">
        <v>77</v>
      </c>
      <c r="FHE16" s="3" t="s">
        <v>76</v>
      </c>
      <c r="FHF16" s="3" t="s">
        <v>77</v>
      </c>
      <c r="FHG16" s="3" t="s">
        <v>76</v>
      </c>
      <c r="FHH16" s="3" t="s">
        <v>77</v>
      </c>
      <c r="FHI16" s="3" t="s">
        <v>76</v>
      </c>
      <c r="FHJ16" s="3" t="s">
        <v>77</v>
      </c>
      <c r="FHK16" s="3" t="s">
        <v>76</v>
      </c>
      <c r="FHL16" s="3" t="s">
        <v>77</v>
      </c>
      <c r="FHM16" s="3" t="s">
        <v>76</v>
      </c>
      <c r="FHN16" s="3" t="s">
        <v>77</v>
      </c>
      <c r="FHO16" s="3" t="s">
        <v>76</v>
      </c>
      <c r="FHP16" s="3" t="s">
        <v>77</v>
      </c>
      <c r="FHQ16" s="3" t="s">
        <v>76</v>
      </c>
      <c r="FHR16" s="3" t="s">
        <v>77</v>
      </c>
      <c r="FHS16" s="3" t="s">
        <v>76</v>
      </c>
      <c r="FHT16" s="3" t="s">
        <v>77</v>
      </c>
      <c r="FHU16" s="3" t="s">
        <v>76</v>
      </c>
      <c r="FHV16" s="3" t="s">
        <v>77</v>
      </c>
      <c r="FHW16" s="3" t="s">
        <v>76</v>
      </c>
      <c r="FHX16" s="3" t="s">
        <v>77</v>
      </c>
      <c r="FHY16" s="3" t="s">
        <v>76</v>
      </c>
      <c r="FHZ16" s="3" t="s">
        <v>77</v>
      </c>
      <c r="FIA16" s="3" t="s">
        <v>76</v>
      </c>
      <c r="FIB16" s="3" t="s">
        <v>77</v>
      </c>
      <c r="FIC16" s="3" t="s">
        <v>76</v>
      </c>
      <c r="FID16" s="3" t="s">
        <v>77</v>
      </c>
      <c r="FIE16" s="3" t="s">
        <v>76</v>
      </c>
      <c r="FIF16" s="3" t="s">
        <v>77</v>
      </c>
      <c r="FIG16" s="3" t="s">
        <v>76</v>
      </c>
      <c r="FIH16" s="3" t="s">
        <v>77</v>
      </c>
      <c r="FII16" s="3" t="s">
        <v>76</v>
      </c>
      <c r="FIJ16" s="3" t="s">
        <v>77</v>
      </c>
      <c r="FIK16" s="3" t="s">
        <v>76</v>
      </c>
      <c r="FIL16" s="3" t="s">
        <v>77</v>
      </c>
      <c r="FIM16" s="3" t="s">
        <v>76</v>
      </c>
      <c r="FIN16" s="3" t="s">
        <v>77</v>
      </c>
      <c r="FIO16" s="3" t="s">
        <v>76</v>
      </c>
      <c r="FIP16" s="3" t="s">
        <v>77</v>
      </c>
      <c r="FIQ16" s="3" t="s">
        <v>76</v>
      </c>
      <c r="FIR16" s="3" t="s">
        <v>77</v>
      </c>
      <c r="FIS16" s="3" t="s">
        <v>76</v>
      </c>
      <c r="FIT16" s="3" t="s">
        <v>77</v>
      </c>
      <c r="FIU16" s="3" t="s">
        <v>76</v>
      </c>
      <c r="FIV16" s="3" t="s">
        <v>77</v>
      </c>
      <c r="FIW16" s="3" t="s">
        <v>76</v>
      </c>
      <c r="FIX16" s="3" t="s">
        <v>77</v>
      </c>
      <c r="FIY16" s="3" t="s">
        <v>76</v>
      </c>
      <c r="FIZ16" s="3" t="s">
        <v>77</v>
      </c>
      <c r="FJA16" s="3" t="s">
        <v>76</v>
      </c>
      <c r="FJB16" s="3" t="s">
        <v>77</v>
      </c>
      <c r="FJC16" s="3" t="s">
        <v>76</v>
      </c>
      <c r="FJD16" s="3" t="s">
        <v>77</v>
      </c>
      <c r="FJE16" s="3" t="s">
        <v>76</v>
      </c>
      <c r="FJF16" s="3" t="s">
        <v>77</v>
      </c>
      <c r="FJG16" s="3" t="s">
        <v>76</v>
      </c>
      <c r="FJH16" s="3" t="s">
        <v>77</v>
      </c>
      <c r="FJI16" s="3" t="s">
        <v>76</v>
      </c>
      <c r="FJJ16" s="3" t="s">
        <v>77</v>
      </c>
      <c r="FJK16" s="3" t="s">
        <v>76</v>
      </c>
      <c r="FJL16" s="3" t="s">
        <v>77</v>
      </c>
      <c r="FJM16" s="3" t="s">
        <v>76</v>
      </c>
      <c r="FJN16" s="3" t="s">
        <v>77</v>
      </c>
      <c r="FJO16" s="3" t="s">
        <v>76</v>
      </c>
      <c r="FJP16" s="3" t="s">
        <v>77</v>
      </c>
      <c r="FJQ16" s="3" t="s">
        <v>76</v>
      </c>
      <c r="FJR16" s="3" t="s">
        <v>77</v>
      </c>
      <c r="FJS16" s="3" t="s">
        <v>76</v>
      </c>
      <c r="FJT16" s="3" t="s">
        <v>77</v>
      </c>
      <c r="FJU16" s="3" t="s">
        <v>76</v>
      </c>
      <c r="FJV16" s="3" t="s">
        <v>77</v>
      </c>
      <c r="FJW16" s="3" t="s">
        <v>76</v>
      </c>
      <c r="FJX16" s="3" t="s">
        <v>77</v>
      </c>
      <c r="FJY16" s="3" t="s">
        <v>76</v>
      </c>
      <c r="FJZ16" s="3" t="s">
        <v>77</v>
      </c>
      <c r="FKA16" s="3" t="s">
        <v>76</v>
      </c>
      <c r="FKB16" s="3" t="s">
        <v>77</v>
      </c>
      <c r="FKC16" s="3" t="s">
        <v>76</v>
      </c>
      <c r="FKD16" s="3" t="s">
        <v>77</v>
      </c>
      <c r="FKE16" s="3" t="s">
        <v>76</v>
      </c>
      <c r="FKF16" s="3" t="s">
        <v>77</v>
      </c>
      <c r="FKG16" s="3" t="s">
        <v>76</v>
      </c>
      <c r="FKH16" s="3" t="s">
        <v>77</v>
      </c>
      <c r="FKI16" s="3" t="s">
        <v>76</v>
      </c>
      <c r="FKJ16" s="3" t="s">
        <v>77</v>
      </c>
      <c r="FKK16" s="3" t="s">
        <v>76</v>
      </c>
      <c r="FKL16" s="3" t="s">
        <v>77</v>
      </c>
      <c r="FKM16" s="3" t="s">
        <v>76</v>
      </c>
      <c r="FKN16" s="3" t="s">
        <v>77</v>
      </c>
      <c r="FKO16" s="3" t="s">
        <v>76</v>
      </c>
      <c r="FKP16" s="3" t="s">
        <v>77</v>
      </c>
      <c r="FKQ16" s="3" t="s">
        <v>76</v>
      </c>
      <c r="FKR16" s="3" t="s">
        <v>77</v>
      </c>
      <c r="FKS16" s="3" t="s">
        <v>76</v>
      </c>
      <c r="FKT16" s="3" t="s">
        <v>77</v>
      </c>
      <c r="FKU16" s="3" t="s">
        <v>76</v>
      </c>
      <c r="FKV16" s="3" t="s">
        <v>77</v>
      </c>
      <c r="FKW16" s="3" t="s">
        <v>76</v>
      </c>
      <c r="FKX16" s="3" t="s">
        <v>77</v>
      </c>
      <c r="FKY16" s="3" t="s">
        <v>76</v>
      </c>
      <c r="FKZ16" s="3" t="s">
        <v>77</v>
      </c>
      <c r="FLA16" s="3" t="s">
        <v>76</v>
      </c>
      <c r="FLB16" s="3" t="s">
        <v>77</v>
      </c>
      <c r="FLC16" s="3" t="s">
        <v>76</v>
      </c>
      <c r="FLD16" s="3" t="s">
        <v>77</v>
      </c>
      <c r="FLE16" s="3" t="s">
        <v>76</v>
      </c>
      <c r="FLF16" s="3" t="s">
        <v>77</v>
      </c>
      <c r="FLG16" s="3" t="s">
        <v>76</v>
      </c>
      <c r="FLH16" s="3" t="s">
        <v>77</v>
      </c>
      <c r="FLI16" s="3" t="s">
        <v>76</v>
      </c>
      <c r="FLJ16" s="3" t="s">
        <v>77</v>
      </c>
      <c r="FLK16" s="3" t="s">
        <v>76</v>
      </c>
      <c r="FLL16" s="3" t="s">
        <v>77</v>
      </c>
      <c r="FLM16" s="3" t="s">
        <v>76</v>
      </c>
      <c r="FLN16" s="3" t="s">
        <v>77</v>
      </c>
      <c r="FLO16" s="3" t="s">
        <v>76</v>
      </c>
      <c r="FLP16" s="3" t="s">
        <v>77</v>
      </c>
      <c r="FLQ16" s="3" t="s">
        <v>76</v>
      </c>
      <c r="FLR16" s="3" t="s">
        <v>77</v>
      </c>
      <c r="FLS16" s="3" t="s">
        <v>76</v>
      </c>
      <c r="FLT16" s="3" t="s">
        <v>77</v>
      </c>
      <c r="FLU16" s="3" t="s">
        <v>76</v>
      </c>
      <c r="FLV16" s="3" t="s">
        <v>77</v>
      </c>
      <c r="FLW16" s="3" t="s">
        <v>76</v>
      </c>
      <c r="FLX16" s="3" t="s">
        <v>77</v>
      </c>
      <c r="FLY16" s="3" t="s">
        <v>76</v>
      </c>
      <c r="FLZ16" s="3" t="s">
        <v>77</v>
      </c>
      <c r="FMA16" s="3" t="s">
        <v>76</v>
      </c>
      <c r="FMB16" s="3" t="s">
        <v>77</v>
      </c>
      <c r="FMC16" s="3" t="s">
        <v>76</v>
      </c>
      <c r="FMD16" s="3" t="s">
        <v>77</v>
      </c>
      <c r="FME16" s="3" t="s">
        <v>76</v>
      </c>
      <c r="FMF16" s="3" t="s">
        <v>77</v>
      </c>
      <c r="FMG16" s="3" t="s">
        <v>76</v>
      </c>
      <c r="FMH16" s="3" t="s">
        <v>77</v>
      </c>
      <c r="FMI16" s="3" t="s">
        <v>76</v>
      </c>
      <c r="FMJ16" s="3" t="s">
        <v>77</v>
      </c>
      <c r="FMK16" s="3" t="s">
        <v>76</v>
      </c>
      <c r="FML16" s="3" t="s">
        <v>77</v>
      </c>
      <c r="FMM16" s="3" t="s">
        <v>76</v>
      </c>
      <c r="FMN16" s="3" t="s">
        <v>77</v>
      </c>
      <c r="FMO16" s="3" t="s">
        <v>76</v>
      </c>
      <c r="FMP16" s="3" t="s">
        <v>77</v>
      </c>
      <c r="FMQ16" s="3" t="s">
        <v>76</v>
      </c>
      <c r="FMR16" s="3" t="s">
        <v>77</v>
      </c>
      <c r="FMS16" s="3" t="s">
        <v>76</v>
      </c>
      <c r="FMT16" s="3" t="s">
        <v>77</v>
      </c>
      <c r="FMU16" s="3" t="s">
        <v>76</v>
      </c>
      <c r="FMV16" s="3" t="s">
        <v>77</v>
      </c>
      <c r="FMW16" s="3" t="s">
        <v>76</v>
      </c>
      <c r="FMX16" s="3" t="s">
        <v>77</v>
      </c>
      <c r="FMY16" s="3" t="s">
        <v>76</v>
      </c>
      <c r="FMZ16" s="3" t="s">
        <v>77</v>
      </c>
      <c r="FNA16" s="3" t="s">
        <v>76</v>
      </c>
      <c r="FNB16" s="3" t="s">
        <v>77</v>
      </c>
      <c r="FNC16" s="3" t="s">
        <v>76</v>
      </c>
      <c r="FND16" s="3" t="s">
        <v>77</v>
      </c>
      <c r="FNE16" s="3" t="s">
        <v>76</v>
      </c>
      <c r="FNF16" s="3" t="s">
        <v>77</v>
      </c>
      <c r="FNG16" s="3" t="s">
        <v>76</v>
      </c>
      <c r="FNH16" s="3" t="s">
        <v>77</v>
      </c>
      <c r="FNI16" s="3" t="s">
        <v>76</v>
      </c>
      <c r="FNJ16" s="3" t="s">
        <v>77</v>
      </c>
      <c r="FNK16" s="3" t="s">
        <v>76</v>
      </c>
      <c r="FNL16" s="3" t="s">
        <v>77</v>
      </c>
      <c r="FNM16" s="3" t="s">
        <v>76</v>
      </c>
      <c r="FNN16" s="3" t="s">
        <v>77</v>
      </c>
      <c r="FNO16" s="3" t="s">
        <v>76</v>
      </c>
      <c r="FNP16" s="3" t="s">
        <v>77</v>
      </c>
      <c r="FNQ16" s="3" t="s">
        <v>76</v>
      </c>
      <c r="FNR16" s="3" t="s">
        <v>77</v>
      </c>
      <c r="FNS16" s="3" t="s">
        <v>76</v>
      </c>
      <c r="FNT16" s="3" t="s">
        <v>77</v>
      </c>
      <c r="FNU16" s="3" t="s">
        <v>76</v>
      </c>
      <c r="FNV16" s="3" t="s">
        <v>77</v>
      </c>
      <c r="FNW16" s="3" t="s">
        <v>76</v>
      </c>
      <c r="FNX16" s="3" t="s">
        <v>77</v>
      </c>
      <c r="FNY16" s="3" t="s">
        <v>76</v>
      </c>
      <c r="FNZ16" s="3" t="s">
        <v>77</v>
      </c>
      <c r="FOA16" s="3" t="s">
        <v>76</v>
      </c>
      <c r="FOB16" s="3" t="s">
        <v>77</v>
      </c>
      <c r="FOC16" s="3" t="s">
        <v>76</v>
      </c>
      <c r="FOD16" s="3" t="s">
        <v>77</v>
      </c>
      <c r="FOE16" s="3" t="s">
        <v>76</v>
      </c>
      <c r="FOF16" s="3" t="s">
        <v>77</v>
      </c>
      <c r="FOG16" s="3" t="s">
        <v>76</v>
      </c>
      <c r="FOH16" s="3" t="s">
        <v>77</v>
      </c>
      <c r="FOI16" s="3" t="s">
        <v>76</v>
      </c>
      <c r="FOJ16" s="3" t="s">
        <v>77</v>
      </c>
      <c r="FOK16" s="3" t="s">
        <v>76</v>
      </c>
      <c r="FOL16" s="3" t="s">
        <v>77</v>
      </c>
      <c r="FOM16" s="3" t="s">
        <v>76</v>
      </c>
      <c r="FON16" s="3" t="s">
        <v>77</v>
      </c>
      <c r="FOO16" s="3" t="s">
        <v>76</v>
      </c>
      <c r="FOP16" s="3" t="s">
        <v>77</v>
      </c>
      <c r="FOQ16" s="3" t="s">
        <v>76</v>
      </c>
      <c r="FOR16" s="3" t="s">
        <v>77</v>
      </c>
      <c r="FOS16" s="3" t="s">
        <v>76</v>
      </c>
      <c r="FOT16" s="3" t="s">
        <v>77</v>
      </c>
      <c r="FOU16" s="3" t="s">
        <v>76</v>
      </c>
      <c r="FOV16" s="3" t="s">
        <v>77</v>
      </c>
      <c r="FOW16" s="3" t="s">
        <v>76</v>
      </c>
      <c r="FOX16" s="3" t="s">
        <v>77</v>
      </c>
      <c r="FOY16" s="3" t="s">
        <v>76</v>
      </c>
      <c r="FOZ16" s="3" t="s">
        <v>77</v>
      </c>
      <c r="FPA16" s="3" t="s">
        <v>76</v>
      </c>
      <c r="FPB16" s="3" t="s">
        <v>77</v>
      </c>
      <c r="FPC16" s="3" t="s">
        <v>76</v>
      </c>
      <c r="FPD16" s="3" t="s">
        <v>77</v>
      </c>
      <c r="FPE16" s="3" t="s">
        <v>76</v>
      </c>
      <c r="FPF16" s="3" t="s">
        <v>77</v>
      </c>
      <c r="FPG16" s="3" t="s">
        <v>76</v>
      </c>
      <c r="FPH16" s="3" t="s">
        <v>77</v>
      </c>
      <c r="FPI16" s="3" t="s">
        <v>76</v>
      </c>
      <c r="FPJ16" s="3" t="s">
        <v>77</v>
      </c>
      <c r="FPK16" s="3" t="s">
        <v>76</v>
      </c>
      <c r="FPL16" s="3" t="s">
        <v>77</v>
      </c>
      <c r="FPM16" s="3" t="s">
        <v>76</v>
      </c>
      <c r="FPN16" s="3" t="s">
        <v>77</v>
      </c>
      <c r="FPO16" s="3" t="s">
        <v>76</v>
      </c>
      <c r="FPP16" s="3" t="s">
        <v>77</v>
      </c>
      <c r="FPQ16" s="3" t="s">
        <v>76</v>
      </c>
      <c r="FPR16" s="3" t="s">
        <v>77</v>
      </c>
      <c r="FPS16" s="3" t="s">
        <v>76</v>
      </c>
      <c r="FPT16" s="3" t="s">
        <v>77</v>
      </c>
      <c r="FPU16" s="3" t="s">
        <v>76</v>
      </c>
      <c r="FPV16" s="3" t="s">
        <v>77</v>
      </c>
      <c r="FPW16" s="3" t="s">
        <v>76</v>
      </c>
      <c r="FPX16" s="3" t="s">
        <v>77</v>
      </c>
      <c r="FPY16" s="3" t="s">
        <v>76</v>
      </c>
      <c r="FPZ16" s="3" t="s">
        <v>77</v>
      </c>
      <c r="FQA16" s="3" t="s">
        <v>76</v>
      </c>
      <c r="FQB16" s="3" t="s">
        <v>77</v>
      </c>
      <c r="FQC16" s="3" t="s">
        <v>76</v>
      </c>
      <c r="FQD16" s="3" t="s">
        <v>77</v>
      </c>
      <c r="FQE16" s="3" t="s">
        <v>76</v>
      </c>
      <c r="FQF16" s="3" t="s">
        <v>77</v>
      </c>
      <c r="FQG16" s="3" t="s">
        <v>76</v>
      </c>
      <c r="FQH16" s="3" t="s">
        <v>77</v>
      </c>
      <c r="FQI16" s="3" t="s">
        <v>76</v>
      </c>
      <c r="FQJ16" s="3" t="s">
        <v>77</v>
      </c>
      <c r="FQK16" s="3" t="s">
        <v>76</v>
      </c>
      <c r="FQL16" s="3" t="s">
        <v>77</v>
      </c>
      <c r="FQM16" s="3" t="s">
        <v>76</v>
      </c>
      <c r="FQN16" s="3" t="s">
        <v>77</v>
      </c>
      <c r="FQO16" s="3" t="s">
        <v>76</v>
      </c>
      <c r="FQP16" s="3" t="s">
        <v>77</v>
      </c>
      <c r="FQQ16" s="3" t="s">
        <v>76</v>
      </c>
      <c r="FQR16" s="3" t="s">
        <v>77</v>
      </c>
      <c r="FQS16" s="3" t="s">
        <v>76</v>
      </c>
      <c r="FQT16" s="3" t="s">
        <v>77</v>
      </c>
      <c r="FQU16" s="3" t="s">
        <v>76</v>
      </c>
      <c r="FQV16" s="3" t="s">
        <v>77</v>
      </c>
      <c r="FQW16" s="3" t="s">
        <v>76</v>
      </c>
      <c r="FQX16" s="3" t="s">
        <v>77</v>
      </c>
      <c r="FQY16" s="3" t="s">
        <v>76</v>
      </c>
      <c r="FQZ16" s="3" t="s">
        <v>77</v>
      </c>
      <c r="FRA16" s="3" t="s">
        <v>76</v>
      </c>
      <c r="FRB16" s="3" t="s">
        <v>77</v>
      </c>
      <c r="FRC16" s="3" t="s">
        <v>76</v>
      </c>
      <c r="FRD16" s="3" t="s">
        <v>77</v>
      </c>
      <c r="FRE16" s="3" t="s">
        <v>76</v>
      </c>
      <c r="FRF16" s="3" t="s">
        <v>77</v>
      </c>
      <c r="FRG16" s="3" t="s">
        <v>76</v>
      </c>
      <c r="FRH16" s="3" t="s">
        <v>77</v>
      </c>
      <c r="FRI16" s="3" t="s">
        <v>76</v>
      </c>
      <c r="FRJ16" s="3" t="s">
        <v>77</v>
      </c>
      <c r="FRK16" s="3" t="s">
        <v>76</v>
      </c>
      <c r="FRL16" s="3" t="s">
        <v>77</v>
      </c>
      <c r="FRM16" s="3" t="s">
        <v>76</v>
      </c>
      <c r="FRN16" s="3" t="s">
        <v>77</v>
      </c>
      <c r="FRO16" s="3" t="s">
        <v>76</v>
      </c>
      <c r="FRP16" s="3" t="s">
        <v>77</v>
      </c>
      <c r="FRQ16" s="3" t="s">
        <v>76</v>
      </c>
      <c r="FRR16" s="3" t="s">
        <v>77</v>
      </c>
      <c r="FRS16" s="3" t="s">
        <v>76</v>
      </c>
      <c r="FRT16" s="3" t="s">
        <v>77</v>
      </c>
      <c r="FRU16" s="3" t="s">
        <v>76</v>
      </c>
      <c r="FRV16" s="3" t="s">
        <v>77</v>
      </c>
      <c r="FRW16" s="3" t="s">
        <v>76</v>
      </c>
      <c r="FRX16" s="3" t="s">
        <v>77</v>
      </c>
      <c r="FRY16" s="3" t="s">
        <v>76</v>
      </c>
      <c r="FRZ16" s="3" t="s">
        <v>77</v>
      </c>
      <c r="FSA16" s="3" t="s">
        <v>76</v>
      </c>
      <c r="FSB16" s="3" t="s">
        <v>77</v>
      </c>
      <c r="FSC16" s="3" t="s">
        <v>76</v>
      </c>
      <c r="FSD16" s="3" t="s">
        <v>77</v>
      </c>
      <c r="FSE16" s="3" t="s">
        <v>76</v>
      </c>
      <c r="FSF16" s="3" t="s">
        <v>77</v>
      </c>
      <c r="FSG16" s="3" t="s">
        <v>76</v>
      </c>
      <c r="FSH16" s="3" t="s">
        <v>77</v>
      </c>
      <c r="FSI16" s="3" t="s">
        <v>76</v>
      </c>
      <c r="FSJ16" s="3" t="s">
        <v>77</v>
      </c>
      <c r="FSK16" s="3" t="s">
        <v>76</v>
      </c>
      <c r="FSL16" s="3" t="s">
        <v>77</v>
      </c>
      <c r="FSM16" s="3" t="s">
        <v>76</v>
      </c>
      <c r="FSN16" s="3" t="s">
        <v>77</v>
      </c>
      <c r="FSO16" s="3" t="s">
        <v>76</v>
      </c>
      <c r="FSP16" s="3" t="s">
        <v>77</v>
      </c>
      <c r="FSQ16" s="3" t="s">
        <v>76</v>
      </c>
      <c r="FSR16" s="3" t="s">
        <v>77</v>
      </c>
      <c r="FSS16" s="3" t="s">
        <v>76</v>
      </c>
      <c r="FST16" s="3" t="s">
        <v>77</v>
      </c>
      <c r="FSU16" s="3" t="s">
        <v>76</v>
      </c>
      <c r="FSV16" s="3" t="s">
        <v>77</v>
      </c>
      <c r="FSW16" s="3" t="s">
        <v>76</v>
      </c>
      <c r="FSX16" s="3" t="s">
        <v>77</v>
      </c>
      <c r="FSY16" s="3" t="s">
        <v>76</v>
      </c>
      <c r="FSZ16" s="3" t="s">
        <v>77</v>
      </c>
      <c r="FTA16" s="3" t="s">
        <v>76</v>
      </c>
      <c r="FTB16" s="3" t="s">
        <v>77</v>
      </c>
      <c r="FTC16" s="3" t="s">
        <v>76</v>
      </c>
      <c r="FTD16" s="3" t="s">
        <v>77</v>
      </c>
      <c r="FTE16" s="3" t="s">
        <v>76</v>
      </c>
      <c r="FTF16" s="3" t="s">
        <v>77</v>
      </c>
      <c r="FTG16" s="3" t="s">
        <v>76</v>
      </c>
      <c r="FTH16" s="3" t="s">
        <v>77</v>
      </c>
      <c r="FTI16" s="3" t="s">
        <v>76</v>
      </c>
      <c r="FTJ16" s="3" t="s">
        <v>77</v>
      </c>
      <c r="FTK16" s="3" t="s">
        <v>76</v>
      </c>
      <c r="FTL16" s="3" t="s">
        <v>77</v>
      </c>
      <c r="FTM16" s="3" t="s">
        <v>76</v>
      </c>
      <c r="FTN16" s="3" t="s">
        <v>77</v>
      </c>
      <c r="FTO16" s="3" t="s">
        <v>76</v>
      </c>
      <c r="FTP16" s="3" t="s">
        <v>77</v>
      </c>
      <c r="FTQ16" s="3" t="s">
        <v>76</v>
      </c>
      <c r="FTR16" s="3" t="s">
        <v>77</v>
      </c>
      <c r="FTS16" s="3" t="s">
        <v>76</v>
      </c>
      <c r="FTT16" s="3" t="s">
        <v>77</v>
      </c>
      <c r="FTU16" s="3" t="s">
        <v>76</v>
      </c>
      <c r="FTV16" s="3" t="s">
        <v>77</v>
      </c>
      <c r="FTW16" s="3" t="s">
        <v>76</v>
      </c>
      <c r="FTX16" s="3" t="s">
        <v>77</v>
      </c>
      <c r="FTY16" s="3" t="s">
        <v>76</v>
      </c>
      <c r="FTZ16" s="3" t="s">
        <v>77</v>
      </c>
      <c r="FUA16" s="3" t="s">
        <v>76</v>
      </c>
      <c r="FUB16" s="3" t="s">
        <v>77</v>
      </c>
      <c r="FUC16" s="3" t="s">
        <v>76</v>
      </c>
      <c r="FUD16" s="3" t="s">
        <v>77</v>
      </c>
      <c r="FUE16" s="3" t="s">
        <v>76</v>
      </c>
      <c r="FUF16" s="3" t="s">
        <v>77</v>
      </c>
      <c r="FUG16" s="3" t="s">
        <v>76</v>
      </c>
      <c r="FUH16" s="3" t="s">
        <v>77</v>
      </c>
      <c r="FUI16" s="3" t="s">
        <v>76</v>
      </c>
      <c r="FUJ16" s="3" t="s">
        <v>77</v>
      </c>
      <c r="FUK16" s="3" t="s">
        <v>76</v>
      </c>
      <c r="FUL16" s="3" t="s">
        <v>77</v>
      </c>
      <c r="FUM16" s="3" t="s">
        <v>76</v>
      </c>
      <c r="FUN16" s="3" t="s">
        <v>77</v>
      </c>
      <c r="FUO16" s="3" t="s">
        <v>76</v>
      </c>
      <c r="FUP16" s="3" t="s">
        <v>77</v>
      </c>
      <c r="FUQ16" s="3" t="s">
        <v>76</v>
      </c>
      <c r="FUR16" s="3" t="s">
        <v>77</v>
      </c>
      <c r="FUS16" s="3" t="s">
        <v>76</v>
      </c>
      <c r="FUT16" s="3" t="s">
        <v>77</v>
      </c>
      <c r="FUU16" s="3" t="s">
        <v>76</v>
      </c>
      <c r="FUV16" s="3" t="s">
        <v>77</v>
      </c>
      <c r="FUW16" s="3" t="s">
        <v>76</v>
      </c>
      <c r="FUX16" s="3" t="s">
        <v>77</v>
      </c>
      <c r="FUY16" s="3" t="s">
        <v>76</v>
      </c>
      <c r="FUZ16" s="3" t="s">
        <v>77</v>
      </c>
      <c r="FVA16" s="3" t="s">
        <v>76</v>
      </c>
      <c r="FVB16" s="3" t="s">
        <v>77</v>
      </c>
      <c r="FVC16" s="3" t="s">
        <v>76</v>
      </c>
      <c r="FVD16" s="3" t="s">
        <v>77</v>
      </c>
      <c r="FVE16" s="3" t="s">
        <v>76</v>
      </c>
      <c r="FVF16" s="3" t="s">
        <v>77</v>
      </c>
      <c r="FVG16" s="3" t="s">
        <v>76</v>
      </c>
      <c r="FVH16" s="3" t="s">
        <v>77</v>
      </c>
      <c r="FVI16" s="3" t="s">
        <v>76</v>
      </c>
      <c r="FVJ16" s="3" t="s">
        <v>77</v>
      </c>
      <c r="FVK16" s="3" t="s">
        <v>76</v>
      </c>
      <c r="FVL16" s="3" t="s">
        <v>77</v>
      </c>
      <c r="FVM16" s="3" t="s">
        <v>76</v>
      </c>
      <c r="FVN16" s="3" t="s">
        <v>77</v>
      </c>
      <c r="FVO16" s="3" t="s">
        <v>76</v>
      </c>
      <c r="FVP16" s="3" t="s">
        <v>77</v>
      </c>
      <c r="FVQ16" s="3" t="s">
        <v>76</v>
      </c>
      <c r="FVR16" s="3" t="s">
        <v>77</v>
      </c>
      <c r="FVS16" s="3" t="s">
        <v>76</v>
      </c>
      <c r="FVT16" s="3" t="s">
        <v>77</v>
      </c>
      <c r="FVU16" s="3" t="s">
        <v>76</v>
      </c>
      <c r="FVV16" s="3" t="s">
        <v>77</v>
      </c>
      <c r="FVW16" s="3" t="s">
        <v>76</v>
      </c>
      <c r="FVX16" s="3" t="s">
        <v>77</v>
      </c>
      <c r="FVY16" s="3" t="s">
        <v>76</v>
      </c>
      <c r="FVZ16" s="3" t="s">
        <v>77</v>
      </c>
      <c r="FWA16" s="3" t="s">
        <v>76</v>
      </c>
      <c r="FWB16" s="3" t="s">
        <v>77</v>
      </c>
      <c r="FWC16" s="3" t="s">
        <v>76</v>
      </c>
      <c r="FWD16" s="3" t="s">
        <v>77</v>
      </c>
      <c r="FWE16" s="3" t="s">
        <v>76</v>
      </c>
      <c r="FWF16" s="3" t="s">
        <v>77</v>
      </c>
      <c r="FWG16" s="3" t="s">
        <v>76</v>
      </c>
      <c r="FWH16" s="3" t="s">
        <v>77</v>
      </c>
      <c r="FWI16" s="3" t="s">
        <v>76</v>
      </c>
      <c r="FWJ16" s="3" t="s">
        <v>77</v>
      </c>
      <c r="FWK16" s="3" t="s">
        <v>76</v>
      </c>
      <c r="FWL16" s="3" t="s">
        <v>77</v>
      </c>
      <c r="FWM16" s="3" t="s">
        <v>76</v>
      </c>
      <c r="FWN16" s="3" t="s">
        <v>77</v>
      </c>
      <c r="FWO16" s="3" t="s">
        <v>76</v>
      </c>
      <c r="FWP16" s="3" t="s">
        <v>77</v>
      </c>
      <c r="FWQ16" s="3" t="s">
        <v>76</v>
      </c>
      <c r="FWR16" s="3" t="s">
        <v>77</v>
      </c>
      <c r="FWS16" s="3" t="s">
        <v>76</v>
      </c>
      <c r="FWT16" s="3" t="s">
        <v>77</v>
      </c>
      <c r="FWU16" s="3" t="s">
        <v>76</v>
      </c>
      <c r="FWV16" s="3" t="s">
        <v>77</v>
      </c>
      <c r="FWW16" s="3" t="s">
        <v>76</v>
      </c>
      <c r="FWX16" s="3" t="s">
        <v>77</v>
      </c>
      <c r="FWY16" s="3" t="s">
        <v>76</v>
      </c>
      <c r="FWZ16" s="3" t="s">
        <v>77</v>
      </c>
      <c r="FXA16" s="3" t="s">
        <v>76</v>
      </c>
      <c r="FXB16" s="3" t="s">
        <v>77</v>
      </c>
      <c r="FXC16" s="3" t="s">
        <v>76</v>
      </c>
      <c r="FXD16" s="3" t="s">
        <v>77</v>
      </c>
      <c r="FXE16" s="3" t="s">
        <v>76</v>
      </c>
      <c r="FXF16" s="3" t="s">
        <v>77</v>
      </c>
      <c r="FXG16" s="3" t="s">
        <v>76</v>
      </c>
      <c r="FXH16" s="3" t="s">
        <v>77</v>
      </c>
      <c r="FXI16" s="3" t="s">
        <v>76</v>
      </c>
      <c r="FXJ16" s="3" t="s">
        <v>77</v>
      </c>
      <c r="FXK16" s="3" t="s">
        <v>76</v>
      </c>
      <c r="FXL16" s="3" t="s">
        <v>77</v>
      </c>
      <c r="FXM16" s="3" t="s">
        <v>76</v>
      </c>
      <c r="FXN16" s="3" t="s">
        <v>77</v>
      </c>
      <c r="FXO16" s="3" t="s">
        <v>76</v>
      </c>
      <c r="FXP16" s="3" t="s">
        <v>77</v>
      </c>
      <c r="FXQ16" s="3" t="s">
        <v>76</v>
      </c>
      <c r="FXR16" s="3" t="s">
        <v>77</v>
      </c>
      <c r="FXS16" s="3" t="s">
        <v>76</v>
      </c>
      <c r="FXT16" s="3" t="s">
        <v>77</v>
      </c>
      <c r="FXU16" s="3" t="s">
        <v>76</v>
      </c>
      <c r="FXV16" s="3" t="s">
        <v>77</v>
      </c>
      <c r="FXW16" s="3" t="s">
        <v>76</v>
      </c>
      <c r="FXX16" s="3" t="s">
        <v>77</v>
      </c>
      <c r="FXY16" s="3" t="s">
        <v>76</v>
      </c>
      <c r="FXZ16" s="3" t="s">
        <v>77</v>
      </c>
      <c r="FYA16" s="3" t="s">
        <v>76</v>
      </c>
      <c r="FYB16" s="3" t="s">
        <v>77</v>
      </c>
      <c r="FYC16" s="3" t="s">
        <v>76</v>
      </c>
      <c r="FYD16" s="3" t="s">
        <v>77</v>
      </c>
      <c r="FYE16" s="3" t="s">
        <v>76</v>
      </c>
      <c r="FYF16" s="3" t="s">
        <v>77</v>
      </c>
      <c r="FYG16" s="3" t="s">
        <v>76</v>
      </c>
      <c r="FYH16" s="3" t="s">
        <v>77</v>
      </c>
      <c r="FYI16" s="3" t="s">
        <v>76</v>
      </c>
      <c r="FYJ16" s="3" t="s">
        <v>77</v>
      </c>
      <c r="FYK16" s="3" t="s">
        <v>76</v>
      </c>
      <c r="FYL16" s="3" t="s">
        <v>77</v>
      </c>
      <c r="FYM16" s="3" t="s">
        <v>76</v>
      </c>
      <c r="FYN16" s="3" t="s">
        <v>77</v>
      </c>
      <c r="FYO16" s="3" t="s">
        <v>76</v>
      </c>
      <c r="FYP16" s="3" t="s">
        <v>77</v>
      </c>
      <c r="FYQ16" s="3" t="s">
        <v>76</v>
      </c>
      <c r="FYR16" s="3" t="s">
        <v>77</v>
      </c>
      <c r="FYS16" s="3" t="s">
        <v>76</v>
      </c>
      <c r="FYT16" s="3" t="s">
        <v>77</v>
      </c>
      <c r="FYU16" s="3" t="s">
        <v>76</v>
      </c>
      <c r="FYV16" s="3" t="s">
        <v>77</v>
      </c>
      <c r="FYW16" s="3" t="s">
        <v>76</v>
      </c>
      <c r="FYX16" s="3" t="s">
        <v>77</v>
      </c>
      <c r="FYY16" s="3" t="s">
        <v>76</v>
      </c>
      <c r="FYZ16" s="3" t="s">
        <v>77</v>
      </c>
      <c r="FZA16" s="3" t="s">
        <v>76</v>
      </c>
      <c r="FZB16" s="3" t="s">
        <v>77</v>
      </c>
      <c r="FZC16" s="3" t="s">
        <v>76</v>
      </c>
      <c r="FZD16" s="3" t="s">
        <v>77</v>
      </c>
      <c r="FZE16" s="3" t="s">
        <v>76</v>
      </c>
      <c r="FZF16" s="3" t="s">
        <v>77</v>
      </c>
      <c r="FZG16" s="3" t="s">
        <v>76</v>
      </c>
      <c r="FZH16" s="3" t="s">
        <v>77</v>
      </c>
      <c r="FZI16" s="3" t="s">
        <v>76</v>
      </c>
      <c r="FZJ16" s="3" t="s">
        <v>77</v>
      </c>
      <c r="FZK16" s="3" t="s">
        <v>76</v>
      </c>
      <c r="FZL16" s="3" t="s">
        <v>77</v>
      </c>
      <c r="FZM16" s="3" t="s">
        <v>76</v>
      </c>
      <c r="FZN16" s="3" t="s">
        <v>77</v>
      </c>
      <c r="FZO16" s="3" t="s">
        <v>76</v>
      </c>
      <c r="FZP16" s="3" t="s">
        <v>77</v>
      </c>
      <c r="FZQ16" s="3" t="s">
        <v>76</v>
      </c>
      <c r="FZR16" s="3" t="s">
        <v>77</v>
      </c>
      <c r="FZS16" s="3" t="s">
        <v>76</v>
      </c>
      <c r="FZT16" s="3" t="s">
        <v>77</v>
      </c>
      <c r="FZU16" s="3" t="s">
        <v>76</v>
      </c>
      <c r="FZV16" s="3" t="s">
        <v>77</v>
      </c>
      <c r="FZW16" s="3" t="s">
        <v>76</v>
      </c>
      <c r="FZX16" s="3" t="s">
        <v>77</v>
      </c>
      <c r="FZY16" s="3" t="s">
        <v>76</v>
      </c>
      <c r="FZZ16" s="3" t="s">
        <v>77</v>
      </c>
      <c r="GAA16" s="3" t="s">
        <v>76</v>
      </c>
      <c r="GAB16" s="3" t="s">
        <v>77</v>
      </c>
      <c r="GAC16" s="3" t="s">
        <v>76</v>
      </c>
      <c r="GAD16" s="3" t="s">
        <v>77</v>
      </c>
      <c r="GAE16" s="3" t="s">
        <v>76</v>
      </c>
      <c r="GAF16" s="3" t="s">
        <v>77</v>
      </c>
      <c r="GAG16" s="3" t="s">
        <v>76</v>
      </c>
      <c r="GAH16" s="3" t="s">
        <v>77</v>
      </c>
      <c r="GAI16" s="3" t="s">
        <v>76</v>
      </c>
      <c r="GAJ16" s="3" t="s">
        <v>77</v>
      </c>
      <c r="GAK16" s="3" t="s">
        <v>76</v>
      </c>
      <c r="GAL16" s="3" t="s">
        <v>77</v>
      </c>
      <c r="GAM16" s="3" t="s">
        <v>76</v>
      </c>
      <c r="GAN16" s="3" t="s">
        <v>77</v>
      </c>
      <c r="GAO16" s="3" t="s">
        <v>76</v>
      </c>
      <c r="GAP16" s="3" t="s">
        <v>77</v>
      </c>
      <c r="GAQ16" s="3" t="s">
        <v>76</v>
      </c>
      <c r="GAR16" s="3" t="s">
        <v>77</v>
      </c>
      <c r="GAS16" s="3" t="s">
        <v>76</v>
      </c>
      <c r="GAT16" s="3" t="s">
        <v>77</v>
      </c>
      <c r="GAU16" s="3" t="s">
        <v>76</v>
      </c>
      <c r="GAV16" s="3" t="s">
        <v>77</v>
      </c>
      <c r="GAW16" s="3" t="s">
        <v>76</v>
      </c>
      <c r="GAX16" s="3" t="s">
        <v>77</v>
      </c>
      <c r="GAY16" s="3" t="s">
        <v>76</v>
      </c>
      <c r="GAZ16" s="3" t="s">
        <v>77</v>
      </c>
      <c r="GBA16" s="3" t="s">
        <v>76</v>
      </c>
      <c r="GBB16" s="3" t="s">
        <v>77</v>
      </c>
      <c r="GBC16" s="3" t="s">
        <v>76</v>
      </c>
      <c r="GBD16" s="3" t="s">
        <v>77</v>
      </c>
      <c r="GBE16" s="3" t="s">
        <v>76</v>
      </c>
      <c r="GBF16" s="3" t="s">
        <v>77</v>
      </c>
      <c r="GBG16" s="3" t="s">
        <v>76</v>
      </c>
      <c r="GBH16" s="3" t="s">
        <v>77</v>
      </c>
      <c r="GBI16" s="3" t="s">
        <v>76</v>
      </c>
      <c r="GBJ16" s="3" t="s">
        <v>77</v>
      </c>
      <c r="GBK16" s="3" t="s">
        <v>76</v>
      </c>
      <c r="GBL16" s="3" t="s">
        <v>77</v>
      </c>
      <c r="GBM16" s="3" t="s">
        <v>76</v>
      </c>
      <c r="GBN16" s="3" t="s">
        <v>77</v>
      </c>
      <c r="GBO16" s="3" t="s">
        <v>76</v>
      </c>
      <c r="GBP16" s="3" t="s">
        <v>77</v>
      </c>
      <c r="GBQ16" s="3" t="s">
        <v>76</v>
      </c>
      <c r="GBR16" s="3" t="s">
        <v>77</v>
      </c>
      <c r="GBS16" s="3" t="s">
        <v>76</v>
      </c>
      <c r="GBT16" s="3" t="s">
        <v>77</v>
      </c>
      <c r="GBU16" s="3" t="s">
        <v>76</v>
      </c>
      <c r="GBV16" s="3" t="s">
        <v>77</v>
      </c>
      <c r="GBW16" s="3" t="s">
        <v>76</v>
      </c>
      <c r="GBX16" s="3" t="s">
        <v>77</v>
      </c>
      <c r="GBY16" s="3" t="s">
        <v>76</v>
      </c>
      <c r="GBZ16" s="3" t="s">
        <v>77</v>
      </c>
      <c r="GCA16" s="3" t="s">
        <v>76</v>
      </c>
      <c r="GCB16" s="3" t="s">
        <v>77</v>
      </c>
      <c r="GCC16" s="3" t="s">
        <v>76</v>
      </c>
      <c r="GCD16" s="3" t="s">
        <v>77</v>
      </c>
      <c r="GCE16" s="3" t="s">
        <v>76</v>
      </c>
      <c r="GCF16" s="3" t="s">
        <v>77</v>
      </c>
      <c r="GCG16" s="3" t="s">
        <v>76</v>
      </c>
      <c r="GCH16" s="3" t="s">
        <v>77</v>
      </c>
      <c r="GCI16" s="3" t="s">
        <v>76</v>
      </c>
      <c r="GCJ16" s="3" t="s">
        <v>77</v>
      </c>
      <c r="GCK16" s="3" t="s">
        <v>76</v>
      </c>
      <c r="GCL16" s="3" t="s">
        <v>77</v>
      </c>
      <c r="GCM16" s="3" t="s">
        <v>76</v>
      </c>
      <c r="GCN16" s="3" t="s">
        <v>77</v>
      </c>
      <c r="GCO16" s="3" t="s">
        <v>76</v>
      </c>
      <c r="GCP16" s="3" t="s">
        <v>77</v>
      </c>
      <c r="GCQ16" s="3" t="s">
        <v>76</v>
      </c>
      <c r="GCR16" s="3" t="s">
        <v>77</v>
      </c>
      <c r="GCS16" s="3" t="s">
        <v>76</v>
      </c>
      <c r="GCT16" s="3" t="s">
        <v>77</v>
      </c>
      <c r="GCU16" s="3" t="s">
        <v>76</v>
      </c>
      <c r="GCV16" s="3" t="s">
        <v>77</v>
      </c>
      <c r="GCW16" s="3" t="s">
        <v>76</v>
      </c>
      <c r="GCX16" s="3" t="s">
        <v>77</v>
      </c>
      <c r="GCY16" s="3" t="s">
        <v>76</v>
      </c>
      <c r="GCZ16" s="3" t="s">
        <v>77</v>
      </c>
      <c r="GDA16" s="3" t="s">
        <v>76</v>
      </c>
      <c r="GDB16" s="3" t="s">
        <v>77</v>
      </c>
      <c r="GDC16" s="3" t="s">
        <v>76</v>
      </c>
      <c r="GDD16" s="3" t="s">
        <v>77</v>
      </c>
      <c r="GDE16" s="3" t="s">
        <v>76</v>
      </c>
      <c r="GDF16" s="3" t="s">
        <v>77</v>
      </c>
      <c r="GDG16" s="3" t="s">
        <v>76</v>
      </c>
      <c r="GDH16" s="3" t="s">
        <v>77</v>
      </c>
      <c r="GDI16" s="3" t="s">
        <v>76</v>
      </c>
      <c r="GDJ16" s="3" t="s">
        <v>77</v>
      </c>
      <c r="GDK16" s="3" t="s">
        <v>76</v>
      </c>
      <c r="GDL16" s="3" t="s">
        <v>77</v>
      </c>
      <c r="GDM16" s="3" t="s">
        <v>76</v>
      </c>
      <c r="GDN16" s="3" t="s">
        <v>77</v>
      </c>
      <c r="GDO16" s="3" t="s">
        <v>76</v>
      </c>
      <c r="GDP16" s="3" t="s">
        <v>77</v>
      </c>
      <c r="GDQ16" s="3" t="s">
        <v>76</v>
      </c>
      <c r="GDR16" s="3" t="s">
        <v>77</v>
      </c>
      <c r="GDS16" s="3" t="s">
        <v>76</v>
      </c>
      <c r="GDT16" s="3" t="s">
        <v>77</v>
      </c>
      <c r="GDU16" s="3" t="s">
        <v>76</v>
      </c>
      <c r="GDV16" s="3" t="s">
        <v>77</v>
      </c>
      <c r="GDW16" s="3" t="s">
        <v>76</v>
      </c>
      <c r="GDX16" s="3" t="s">
        <v>77</v>
      </c>
      <c r="GDY16" s="3" t="s">
        <v>76</v>
      </c>
      <c r="GDZ16" s="3" t="s">
        <v>77</v>
      </c>
      <c r="GEA16" s="3" t="s">
        <v>76</v>
      </c>
      <c r="GEB16" s="3" t="s">
        <v>77</v>
      </c>
      <c r="GEC16" s="3" t="s">
        <v>76</v>
      </c>
      <c r="GED16" s="3" t="s">
        <v>77</v>
      </c>
      <c r="GEE16" s="3" t="s">
        <v>76</v>
      </c>
      <c r="GEF16" s="3" t="s">
        <v>77</v>
      </c>
      <c r="GEG16" s="3" t="s">
        <v>76</v>
      </c>
      <c r="GEH16" s="3" t="s">
        <v>77</v>
      </c>
      <c r="GEI16" s="3" t="s">
        <v>76</v>
      </c>
      <c r="GEJ16" s="3" t="s">
        <v>77</v>
      </c>
      <c r="GEK16" s="3" t="s">
        <v>76</v>
      </c>
      <c r="GEL16" s="3" t="s">
        <v>77</v>
      </c>
      <c r="GEM16" s="3" t="s">
        <v>76</v>
      </c>
      <c r="GEN16" s="3" t="s">
        <v>77</v>
      </c>
      <c r="GEO16" s="3" t="s">
        <v>76</v>
      </c>
      <c r="GEP16" s="3" t="s">
        <v>77</v>
      </c>
      <c r="GEQ16" s="3" t="s">
        <v>76</v>
      </c>
      <c r="GER16" s="3" t="s">
        <v>77</v>
      </c>
      <c r="GES16" s="3" t="s">
        <v>76</v>
      </c>
      <c r="GET16" s="3" t="s">
        <v>77</v>
      </c>
      <c r="GEU16" s="3" t="s">
        <v>76</v>
      </c>
      <c r="GEV16" s="3" t="s">
        <v>77</v>
      </c>
      <c r="GEW16" s="3" t="s">
        <v>76</v>
      </c>
      <c r="GEX16" s="3" t="s">
        <v>77</v>
      </c>
      <c r="GEY16" s="3" t="s">
        <v>76</v>
      </c>
      <c r="GEZ16" s="3" t="s">
        <v>77</v>
      </c>
      <c r="GFA16" s="3" t="s">
        <v>76</v>
      </c>
      <c r="GFB16" s="3" t="s">
        <v>77</v>
      </c>
      <c r="GFC16" s="3" t="s">
        <v>76</v>
      </c>
      <c r="GFD16" s="3" t="s">
        <v>77</v>
      </c>
      <c r="GFE16" s="3" t="s">
        <v>76</v>
      </c>
      <c r="GFF16" s="3" t="s">
        <v>77</v>
      </c>
      <c r="GFG16" s="3" t="s">
        <v>76</v>
      </c>
      <c r="GFH16" s="3" t="s">
        <v>77</v>
      </c>
      <c r="GFI16" s="3" t="s">
        <v>76</v>
      </c>
      <c r="GFJ16" s="3" t="s">
        <v>77</v>
      </c>
      <c r="GFK16" s="3" t="s">
        <v>76</v>
      </c>
      <c r="GFL16" s="3" t="s">
        <v>77</v>
      </c>
      <c r="GFM16" s="3" t="s">
        <v>76</v>
      </c>
      <c r="GFN16" s="3" t="s">
        <v>77</v>
      </c>
      <c r="GFO16" s="3" t="s">
        <v>76</v>
      </c>
      <c r="GFP16" s="3" t="s">
        <v>77</v>
      </c>
      <c r="GFQ16" s="3" t="s">
        <v>76</v>
      </c>
      <c r="GFR16" s="3" t="s">
        <v>77</v>
      </c>
      <c r="GFS16" s="3" t="s">
        <v>76</v>
      </c>
      <c r="GFT16" s="3" t="s">
        <v>77</v>
      </c>
      <c r="GFU16" s="3" t="s">
        <v>76</v>
      </c>
      <c r="GFV16" s="3" t="s">
        <v>77</v>
      </c>
      <c r="GFW16" s="3" t="s">
        <v>76</v>
      </c>
      <c r="GFX16" s="3" t="s">
        <v>77</v>
      </c>
      <c r="GFY16" s="3" t="s">
        <v>76</v>
      </c>
      <c r="GFZ16" s="3" t="s">
        <v>77</v>
      </c>
      <c r="GGA16" s="3" t="s">
        <v>76</v>
      </c>
      <c r="GGB16" s="3" t="s">
        <v>77</v>
      </c>
      <c r="GGC16" s="3" t="s">
        <v>76</v>
      </c>
      <c r="GGD16" s="3" t="s">
        <v>77</v>
      </c>
      <c r="GGE16" s="3" t="s">
        <v>76</v>
      </c>
      <c r="GGF16" s="3" t="s">
        <v>77</v>
      </c>
      <c r="GGG16" s="3" t="s">
        <v>76</v>
      </c>
      <c r="GGH16" s="3" t="s">
        <v>77</v>
      </c>
      <c r="GGI16" s="3" t="s">
        <v>76</v>
      </c>
      <c r="GGJ16" s="3" t="s">
        <v>77</v>
      </c>
      <c r="GGK16" s="3" t="s">
        <v>76</v>
      </c>
      <c r="GGL16" s="3" t="s">
        <v>77</v>
      </c>
      <c r="GGM16" s="3" t="s">
        <v>76</v>
      </c>
      <c r="GGN16" s="3" t="s">
        <v>77</v>
      </c>
      <c r="GGO16" s="3" t="s">
        <v>76</v>
      </c>
      <c r="GGP16" s="3" t="s">
        <v>77</v>
      </c>
      <c r="GGQ16" s="3" t="s">
        <v>76</v>
      </c>
      <c r="GGR16" s="3" t="s">
        <v>77</v>
      </c>
      <c r="GGS16" s="3" t="s">
        <v>76</v>
      </c>
      <c r="GGT16" s="3" t="s">
        <v>77</v>
      </c>
      <c r="GGU16" s="3" t="s">
        <v>76</v>
      </c>
      <c r="GGV16" s="3" t="s">
        <v>77</v>
      </c>
      <c r="GGW16" s="3" t="s">
        <v>76</v>
      </c>
      <c r="GGX16" s="3" t="s">
        <v>77</v>
      </c>
      <c r="GGY16" s="3" t="s">
        <v>76</v>
      </c>
      <c r="GGZ16" s="3" t="s">
        <v>77</v>
      </c>
      <c r="GHA16" s="3" t="s">
        <v>76</v>
      </c>
      <c r="GHB16" s="3" t="s">
        <v>77</v>
      </c>
      <c r="GHC16" s="3" t="s">
        <v>76</v>
      </c>
      <c r="GHD16" s="3" t="s">
        <v>77</v>
      </c>
      <c r="GHE16" s="3" t="s">
        <v>76</v>
      </c>
      <c r="GHF16" s="3" t="s">
        <v>77</v>
      </c>
      <c r="GHG16" s="3" t="s">
        <v>76</v>
      </c>
      <c r="GHH16" s="3" t="s">
        <v>77</v>
      </c>
      <c r="GHI16" s="3" t="s">
        <v>76</v>
      </c>
      <c r="GHJ16" s="3" t="s">
        <v>77</v>
      </c>
      <c r="GHK16" s="3" t="s">
        <v>76</v>
      </c>
      <c r="GHL16" s="3" t="s">
        <v>77</v>
      </c>
      <c r="GHM16" s="3" t="s">
        <v>76</v>
      </c>
      <c r="GHN16" s="3" t="s">
        <v>77</v>
      </c>
      <c r="GHO16" s="3" t="s">
        <v>76</v>
      </c>
      <c r="GHP16" s="3" t="s">
        <v>77</v>
      </c>
      <c r="GHQ16" s="3" t="s">
        <v>76</v>
      </c>
      <c r="GHR16" s="3" t="s">
        <v>77</v>
      </c>
      <c r="GHS16" s="3" t="s">
        <v>76</v>
      </c>
      <c r="GHT16" s="3" t="s">
        <v>77</v>
      </c>
      <c r="GHU16" s="3" t="s">
        <v>76</v>
      </c>
      <c r="GHV16" s="3" t="s">
        <v>77</v>
      </c>
      <c r="GHW16" s="3" t="s">
        <v>76</v>
      </c>
      <c r="GHX16" s="3" t="s">
        <v>77</v>
      </c>
      <c r="GHY16" s="3" t="s">
        <v>76</v>
      </c>
      <c r="GHZ16" s="3" t="s">
        <v>77</v>
      </c>
      <c r="GIA16" s="3" t="s">
        <v>76</v>
      </c>
      <c r="GIB16" s="3" t="s">
        <v>77</v>
      </c>
      <c r="GIC16" s="3" t="s">
        <v>76</v>
      </c>
      <c r="GID16" s="3" t="s">
        <v>77</v>
      </c>
      <c r="GIE16" s="3" t="s">
        <v>76</v>
      </c>
      <c r="GIF16" s="3" t="s">
        <v>77</v>
      </c>
      <c r="GIG16" s="3" t="s">
        <v>76</v>
      </c>
      <c r="GIH16" s="3" t="s">
        <v>77</v>
      </c>
      <c r="GII16" s="3" t="s">
        <v>76</v>
      </c>
      <c r="GIJ16" s="3" t="s">
        <v>77</v>
      </c>
      <c r="GIK16" s="3" t="s">
        <v>76</v>
      </c>
      <c r="GIL16" s="3" t="s">
        <v>77</v>
      </c>
      <c r="GIM16" s="3" t="s">
        <v>76</v>
      </c>
      <c r="GIN16" s="3" t="s">
        <v>77</v>
      </c>
      <c r="GIO16" s="3" t="s">
        <v>76</v>
      </c>
      <c r="GIP16" s="3" t="s">
        <v>77</v>
      </c>
      <c r="GIQ16" s="3" t="s">
        <v>76</v>
      </c>
      <c r="GIR16" s="3" t="s">
        <v>77</v>
      </c>
      <c r="GIS16" s="3" t="s">
        <v>76</v>
      </c>
      <c r="GIT16" s="3" t="s">
        <v>77</v>
      </c>
      <c r="GIU16" s="3" t="s">
        <v>76</v>
      </c>
      <c r="GIV16" s="3" t="s">
        <v>77</v>
      </c>
      <c r="GIW16" s="3" t="s">
        <v>76</v>
      </c>
      <c r="GIX16" s="3" t="s">
        <v>77</v>
      </c>
      <c r="GIY16" s="3" t="s">
        <v>76</v>
      </c>
      <c r="GIZ16" s="3" t="s">
        <v>77</v>
      </c>
      <c r="GJA16" s="3" t="s">
        <v>76</v>
      </c>
      <c r="GJB16" s="3" t="s">
        <v>77</v>
      </c>
      <c r="GJC16" s="3" t="s">
        <v>76</v>
      </c>
      <c r="GJD16" s="3" t="s">
        <v>77</v>
      </c>
      <c r="GJE16" s="3" t="s">
        <v>76</v>
      </c>
      <c r="GJF16" s="3" t="s">
        <v>77</v>
      </c>
      <c r="GJG16" s="3" t="s">
        <v>76</v>
      </c>
      <c r="GJH16" s="3" t="s">
        <v>77</v>
      </c>
      <c r="GJI16" s="3" t="s">
        <v>76</v>
      </c>
      <c r="GJJ16" s="3" t="s">
        <v>77</v>
      </c>
      <c r="GJK16" s="3" t="s">
        <v>76</v>
      </c>
      <c r="GJL16" s="3" t="s">
        <v>77</v>
      </c>
      <c r="GJM16" s="3" t="s">
        <v>76</v>
      </c>
      <c r="GJN16" s="3" t="s">
        <v>77</v>
      </c>
      <c r="GJO16" s="3" t="s">
        <v>76</v>
      </c>
      <c r="GJP16" s="3" t="s">
        <v>77</v>
      </c>
      <c r="GJQ16" s="3" t="s">
        <v>76</v>
      </c>
      <c r="GJR16" s="3" t="s">
        <v>77</v>
      </c>
      <c r="GJS16" s="3" t="s">
        <v>76</v>
      </c>
      <c r="GJT16" s="3" t="s">
        <v>77</v>
      </c>
      <c r="GJU16" s="3" t="s">
        <v>76</v>
      </c>
      <c r="GJV16" s="3" t="s">
        <v>77</v>
      </c>
      <c r="GJW16" s="3" t="s">
        <v>76</v>
      </c>
      <c r="GJX16" s="3" t="s">
        <v>77</v>
      </c>
      <c r="GJY16" s="3" t="s">
        <v>76</v>
      </c>
      <c r="GJZ16" s="3" t="s">
        <v>77</v>
      </c>
      <c r="GKA16" s="3" t="s">
        <v>76</v>
      </c>
      <c r="GKB16" s="3" t="s">
        <v>77</v>
      </c>
      <c r="GKC16" s="3" t="s">
        <v>76</v>
      </c>
      <c r="GKD16" s="3" t="s">
        <v>77</v>
      </c>
      <c r="GKE16" s="3" t="s">
        <v>76</v>
      </c>
      <c r="GKF16" s="3" t="s">
        <v>77</v>
      </c>
      <c r="GKG16" s="3" t="s">
        <v>76</v>
      </c>
      <c r="GKH16" s="3" t="s">
        <v>77</v>
      </c>
      <c r="GKI16" s="3" t="s">
        <v>76</v>
      </c>
      <c r="GKJ16" s="3" t="s">
        <v>77</v>
      </c>
      <c r="GKK16" s="3" t="s">
        <v>76</v>
      </c>
      <c r="GKL16" s="3" t="s">
        <v>77</v>
      </c>
      <c r="GKM16" s="3" t="s">
        <v>76</v>
      </c>
      <c r="GKN16" s="3" t="s">
        <v>77</v>
      </c>
      <c r="GKO16" s="3" t="s">
        <v>76</v>
      </c>
      <c r="GKP16" s="3" t="s">
        <v>77</v>
      </c>
      <c r="GKQ16" s="3" t="s">
        <v>76</v>
      </c>
      <c r="GKR16" s="3" t="s">
        <v>77</v>
      </c>
      <c r="GKS16" s="3" t="s">
        <v>76</v>
      </c>
      <c r="GKT16" s="3" t="s">
        <v>77</v>
      </c>
      <c r="GKU16" s="3" t="s">
        <v>76</v>
      </c>
      <c r="GKV16" s="3" t="s">
        <v>77</v>
      </c>
      <c r="GKW16" s="3" t="s">
        <v>76</v>
      </c>
      <c r="GKX16" s="3" t="s">
        <v>77</v>
      </c>
      <c r="GKY16" s="3" t="s">
        <v>76</v>
      </c>
      <c r="GKZ16" s="3" t="s">
        <v>77</v>
      </c>
      <c r="GLA16" s="3" t="s">
        <v>76</v>
      </c>
      <c r="GLB16" s="3" t="s">
        <v>77</v>
      </c>
      <c r="GLC16" s="3" t="s">
        <v>76</v>
      </c>
      <c r="GLD16" s="3" t="s">
        <v>77</v>
      </c>
      <c r="GLE16" s="3" t="s">
        <v>76</v>
      </c>
      <c r="GLF16" s="3" t="s">
        <v>77</v>
      </c>
      <c r="GLG16" s="3" t="s">
        <v>76</v>
      </c>
      <c r="GLH16" s="3" t="s">
        <v>77</v>
      </c>
      <c r="GLI16" s="3" t="s">
        <v>76</v>
      </c>
      <c r="GLJ16" s="3" t="s">
        <v>77</v>
      </c>
      <c r="GLK16" s="3" t="s">
        <v>76</v>
      </c>
      <c r="GLL16" s="3" t="s">
        <v>77</v>
      </c>
      <c r="GLM16" s="3" t="s">
        <v>76</v>
      </c>
      <c r="GLN16" s="3" t="s">
        <v>77</v>
      </c>
      <c r="GLO16" s="3" t="s">
        <v>76</v>
      </c>
      <c r="GLP16" s="3" t="s">
        <v>77</v>
      </c>
      <c r="GLQ16" s="3" t="s">
        <v>76</v>
      </c>
      <c r="GLR16" s="3" t="s">
        <v>77</v>
      </c>
      <c r="GLS16" s="3" t="s">
        <v>76</v>
      </c>
      <c r="GLT16" s="3" t="s">
        <v>77</v>
      </c>
      <c r="GLU16" s="3" t="s">
        <v>76</v>
      </c>
      <c r="GLV16" s="3" t="s">
        <v>77</v>
      </c>
      <c r="GLW16" s="3" t="s">
        <v>76</v>
      </c>
      <c r="GLX16" s="3" t="s">
        <v>77</v>
      </c>
      <c r="GLY16" s="3" t="s">
        <v>76</v>
      </c>
      <c r="GLZ16" s="3" t="s">
        <v>77</v>
      </c>
      <c r="GMA16" s="3" t="s">
        <v>76</v>
      </c>
      <c r="GMB16" s="3" t="s">
        <v>77</v>
      </c>
      <c r="GMC16" s="3" t="s">
        <v>76</v>
      </c>
      <c r="GMD16" s="3" t="s">
        <v>77</v>
      </c>
      <c r="GME16" s="3" t="s">
        <v>76</v>
      </c>
      <c r="GMF16" s="3" t="s">
        <v>77</v>
      </c>
      <c r="GMG16" s="3" t="s">
        <v>76</v>
      </c>
      <c r="GMH16" s="3" t="s">
        <v>77</v>
      </c>
      <c r="GMI16" s="3" t="s">
        <v>76</v>
      </c>
      <c r="GMJ16" s="3" t="s">
        <v>77</v>
      </c>
      <c r="GMK16" s="3" t="s">
        <v>76</v>
      </c>
      <c r="GML16" s="3" t="s">
        <v>77</v>
      </c>
      <c r="GMM16" s="3" t="s">
        <v>76</v>
      </c>
      <c r="GMN16" s="3" t="s">
        <v>77</v>
      </c>
      <c r="GMO16" s="3" t="s">
        <v>76</v>
      </c>
      <c r="GMP16" s="3" t="s">
        <v>77</v>
      </c>
      <c r="GMQ16" s="3" t="s">
        <v>76</v>
      </c>
      <c r="GMR16" s="3" t="s">
        <v>77</v>
      </c>
      <c r="GMS16" s="3" t="s">
        <v>76</v>
      </c>
      <c r="GMT16" s="3" t="s">
        <v>77</v>
      </c>
      <c r="GMU16" s="3" t="s">
        <v>76</v>
      </c>
      <c r="GMV16" s="3" t="s">
        <v>77</v>
      </c>
      <c r="GMW16" s="3" t="s">
        <v>76</v>
      </c>
      <c r="GMX16" s="3" t="s">
        <v>77</v>
      </c>
      <c r="GMY16" s="3" t="s">
        <v>76</v>
      </c>
      <c r="GMZ16" s="3" t="s">
        <v>77</v>
      </c>
      <c r="GNA16" s="3" t="s">
        <v>76</v>
      </c>
      <c r="GNB16" s="3" t="s">
        <v>77</v>
      </c>
      <c r="GNC16" s="3" t="s">
        <v>76</v>
      </c>
      <c r="GND16" s="3" t="s">
        <v>77</v>
      </c>
      <c r="GNE16" s="3" t="s">
        <v>76</v>
      </c>
      <c r="GNF16" s="3" t="s">
        <v>77</v>
      </c>
      <c r="GNG16" s="3" t="s">
        <v>76</v>
      </c>
      <c r="GNH16" s="3" t="s">
        <v>77</v>
      </c>
      <c r="GNI16" s="3" t="s">
        <v>76</v>
      </c>
      <c r="GNJ16" s="3" t="s">
        <v>77</v>
      </c>
      <c r="GNK16" s="3" t="s">
        <v>76</v>
      </c>
      <c r="GNL16" s="3" t="s">
        <v>77</v>
      </c>
      <c r="GNM16" s="3" t="s">
        <v>76</v>
      </c>
      <c r="GNN16" s="3" t="s">
        <v>77</v>
      </c>
      <c r="GNO16" s="3" t="s">
        <v>76</v>
      </c>
      <c r="GNP16" s="3" t="s">
        <v>77</v>
      </c>
      <c r="GNQ16" s="3" t="s">
        <v>76</v>
      </c>
      <c r="GNR16" s="3" t="s">
        <v>77</v>
      </c>
      <c r="GNS16" s="3" t="s">
        <v>76</v>
      </c>
      <c r="GNT16" s="3" t="s">
        <v>77</v>
      </c>
      <c r="GNU16" s="3" t="s">
        <v>76</v>
      </c>
      <c r="GNV16" s="3" t="s">
        <v>77</v>
      </c>
      <c r="GNW16" s="3" t="s">
        <v>76</v>
      </c>
      <c r="GNX16" s="3" t="s">
        <v>77</v>
      </c>
      <c r="GNY16" s="3" t="s">
        <v>76</v>
      </c>
      <c r="GNZ16" s="3" t="s">
        <v>77</v>
      </c>
      <c r="GOA16" s="3" t="s">
        <v>76</v>
      </c>
      <c r="GOB16" s="3" t="s">
        <v>77</v>
      </c>
      <c r="GOC16" s="3" t="s">
        <v>76</v>
      </c>
      <c r="GOD16" s="3" t="s">
        <v>77</v>
      </c>
      <c r="GOE16" s="3" t="s">
        <v>76</v>
      </c>
      <c r="GOF16" s="3" t="s">
        <v>77</v>
      </c>
      <c r="GOG16" s="3" t="s">
        <v>76</v>
      </c>
      <c r="GOH16" s="3" t="s">
        <v>77</v>
      </c>
      <c r="GOI16" s="3" t="s">
        <v>76</v>
      </c>
      <c r="GOJ16" s="3" t="s">
        <v>77</v>
      </c>
      <c r="GOK16" s="3" t="s">
        <v>76</v>
      </c>
      <c r="GOL16" s="3" t="s">
        <v>77</v>
      </c>
      <c r="GOM16" s="3" t="s">
        <v>76</v>
      </c>
      <c r="GON16" s="3" t="s">
        <v>77</v>
      </c>
      <c r="GOO16" s="3" t="s">
        <v>76</v>
      </c>
      <c r="GOP16" s="3" t="s">
        <v>77</v>
      </c>
      <c r="GOQ16" s="3" t="s">
        <v>76</v>
      </c>
      <c r="GOR16" s="3" t="s">
        <v>77</v>
      </c>
      <c r="GOS16" s="3" t="s">
        <v>76</v>
      </c>
      <c r="GOT16" s="3" t="s">
        <v>77</v>
      </c>
      <c r="GOU16" s="3" t="s">
        <v>76</v>
      </c>
      <c r="GOV16" s="3" t="s">
        <v>77</v>
      </c>
      <c r="GOW16" s="3" t="s">
        <v>76</v>
      </c>
      <c r="GOX16" s="3" t="s">
        <v>77</v>
      </c>
      <c r="GOY16" s="3" t="s">
        <v>76</v>
      </c>
      <c r="GOZ16" s="3" t="s">
        <v>77</v>
      </c>
      <c r="GPA16" s="3" t="s">
        <v>76</v>
      </c>
      <c r="GPB16" s="3" t="s">
        <v>77</v>
      </c>
      <c r="GPC16" s="3" t="s">
        <v>76</v>
      </c>
      <c r="GPD16" s="3" t="s">
        <v>77</v>
      </c>
      <c r="GPE16" s="3" t="s">
        <v>76</v>
      </c>
      <c r="GPF16" s="3" t="s">
        <v>77</v>
      </c>
      <c r="GPG16" s="3" t="s">
        <v>76</v>
      </c>
      <c r="GPH16" s="3" t="s">
        <v>77</v>
      </c>
      <c r="GPI16" s="3" t="s">
        <v>76</v>
      </c>
      <c r="GPJ16" s="3" t="s">
        <v>77</v>
      </c>
      <c r="GPK16" s="3" t="s">
        <v>76</v>
      </c>
      <c r="GPL16" s="3" t="s">
        <v>77</v>
      </c>
      <c r="GPM16" s="3" t="s">
        <v>76</v>
      </c>
      <c r="GPN16" s="3" t="s">
        <v>77</v>
      </c>
      <c r="GPO16" s="3" t="s">
        <v>76</v>
      </c>
      <c r="GPP16" s="3" t="s">
        <v>77</v>
      </c>
      <c r="GPQ16" s="3" t="s">
        <v>76</v>
      </c>
      <c r="GPR16" s="3" t="s">
        <v>77</v>
      </c>
      <c r="GPS16" s="3" t="s">
        <v>76</v>
      </c>
      <c r="GPT16" s="3" t="s">
        <v>77</v>
      </c>
      <c r="GPU16" s="3" t="s">
        <v>76</v>
      </c>
      <c r="GPV16" s="3" t="s">
        <v>77</v>
      </c>
      <c r="GPW16" s="3" t="s">
        <v>76</v>
      </c>
      <c r="GPX16" s="3" t="s">
        <v>77</v>
      </c>
      <c r="GPY16" s="3" t="s">
        <v>76</v>
      </c>
      <c r="GPZ16" s="3" t="s">
        <v>77</v>
      </c>
      <c r="GQA16" s="3" t="s">
        <v>76</v>
      </c>
      <c r="GQB16" s="3" t="s">
        <v>77</v>
      </c>
      <c r="GQC16" s="3" t="s">
        <v>76</v>
      </c>
      <c r="GQD16" s="3" t="s">
        <v>77</v>
      </c>
      <c r="GQE16" s="3" t="s">
        <v>76</v>
      </c>
      <c r="GQF16" s="3" t="s">
        <v>77</v>
      </c>
      <c r="GQG16" s="3" t="s">
        <v>76</v>
      </c>
      <c r="GQH16" s="3" t="s">
        <v>77</v>
      </c>
      <c r="GQI16" s="3" t="s">
        <v>76</v>
      </c>
      <c r="GQJ16" s="3" t="s">
        <v>77</v>
      </c>
      <c r="GQK16" s="3" t="s">
        <v>76</v>
      </c>
      <c r="GQL16" s="3" t="s">
        <v>77</v>
      </c>
      <c r="GQM16" s="3" t="s">
        <v>76</v>
      </c>
      <c r="GQN16" s="3" t="s">
        <v>77</v>
      </c>
      <c r="GQO16" s="3" t="s">
        <v>76</v>
      </c>
      <c r="GQP16" s="3" t="s">
        <v>77</v>
      </c>
      <c r="GQQ16" s="3" t="s">
        <v>76</v>
      </c>
      <c r="GQR16" s="3" t="s">
        <v>77</v>
      </c>
      <c r="GQS16" s="3" t="s">
        <v>76</v>
      </c>
      <c r="GQT16" s="3" t="s">
        <v>77</v>
      </c>
      <c r="GQU16" s="3" t="s">
        <v>76</v>
      </c>
      <c r="GQV16" s="3" t="s">
        <v>77</v>
      </c>
      <c r="GQW16" s="3" t="s">
        <v>76</v>
      </c>
      <c r="GQX16" s="3" t="s">
        <v>77</v>
      </c>
      <c r="GQY16" s="3" t="s">
        <v>76</v>
      </c>
      <c r="GQZ16" s="3" t="s">
        <v>77</v>
      </c>
      <c r="GRA16" s="3" t="s">
        <v>76</v>
      </c>
      <c r="GRB16" s="3" t="s">
        <v>77</v>
      </c>
      <c r="GRC16" s="3" t="s">
        <v>76</v>
      </c>
      <c r="GRD16" s="3" t="s">
        <v>77</v>
      </c>
      <c r="GRE16" s="3" t="s">
        <v>76</v>
      </c>
      <c r="GRF16" s="3" t="s">
        <v>77</v>
      </c>
      <c r="GRG16" s="3" t="s">
        <v>76</v>
      </c>
      <c r="GRH16" s="3" t="s">
        <v>77</v>
      </c>
      <c r="GRI16" s="3" t="s">
        <v>76</v>
      </c>
      <c r="GRJ16" s="3" t="s">
        <v>77</v>
      </c>
      <c r="GRK16" s="3" t="s">
        <v>76</v>
      </c>
      <c r="GRL16" s="3" t="s">
        <v>77</v>
      </c>
      <c r="GRM16" s="3" t="s">
        <v>76</v>
      </c>
      <c r="GRN16" s="3" t="s">
        <v>77</v>
      </c>
      <c r="GRO16" s="3" t="s">
        <v>76</v>
      </c>
      <c r="GRP16" s="3" t="s">
        <v>77</v>
      </c>
      <c r="GRQ16" s="3" t="s">
        <v>76</v>
      </c>
      <c r="GRR16" s="3" t="s">
        <v>77</v>
      </c>
      <c r="GRS16" s="3" t="s">
        <v>76</v>
      </c>
      <c r="GRT16" s="3" t="s">
        <v>77</v>
      </c>
      <c r="GRU16" s="3" t="s">
        <v>76</v>
      </c>
      <c r="GRV16" s="3" t="s">
        <v>77</v>
      </c>
      <c r="GRW16" s="3" t="s">
        <v>76</v>
      </c>
      <c r="GRX16" s="3" t="s">
        <v>77</v>
      </c>
      <c r="GRY16" s="3" t="s">
        <v>76</v>
      </c>
      <c r="GRZ16" s="3" t="s">
        <v>77</v>
      </c>
      <c r="GSA16" s="3" t="s">
        <v>76</v>
      </c>
      <c r="GSB16" s="3" t="s">
        <v>77</v>
      </c>
      <c r="GSC16" s="3" t="s">
        <v>76</v>
      </c>
      <c r="GSD16" s="3" t="s">
        <v>77</v>
      </c>
      <c r="GSE16" s="3" t="s">
        <v>76</v>
      </c>
      <c r="GSF16" s="3" t="s">
        <v>77</v>
      </c>
      <c r="GSG16" s="3" t="s">
        <v>76</v>
      </c>
      <c r="GSH16" s="3" t="s">
        <v>77</v>
      </c>
      <c r="GSI16" s="3" t="s">
        <v>76</v>
      </c>
      <c r="GSJ16" s="3" t="s">
        <v>77</v>
      </c>
      <c r="GSK16" s="3" t="s">
        <v>76</v>
      </c>
      <c r="GSL16" s="3" t="s">
        <v>77</v>
      </c>
      <c r="GSM16" s="3" t="s">
        <v>76</v>
      </c>
      <c r="GSN16" s="3" t="s">
        <v>77</v>
      </c>
      <c r="GSO16" s="3" t="s">
        <v>76</v>
      </c>
      <c r="GSP16" s="3" t="s">
        <v>77</v>
      </c>
      <c r="GSQ16" s="3" t="s">
        <v>76</v>
      </c>
      <c r="GSR16" s="3" t="s">
        <v>77</v>
      </c>
      <c r="GSS16" s="3" t="s">
        <v>76</v>
      </c>
      <c r="GST16" s="3" t="s">
        <v>77</v>
      </c>
      <c r="GSU16" s="3" t="s">
        <v>76</v>
      </c>
      <c r="GSV16" s="3" t="s">
        <v>77</v>
      </c>
      <c r="GSW16" s="3" t="s">
        <v>76</v>
      </c>
      <c r="GSX16" s="3" t="s">
        <v>77</v>
      </c>
      <c r="GSY16" s="3" t="s">
        <v>76</v>
      </c>
      <c r="GSZ16" s="3" t="s">
        <v>77</v>
      </c>
      <c r="GTA16" s="3" t="s">
        <v>76</v>
      </c>
      <c r="GTB16" s="3" t="s">
        <v>77</v>
      </c>
      <c r="GTC16" s="3" t="s">
        <v>76</v>
      </c>
      <c r="GTD16" s="3" t="s">
        <v>77</v>
      </c>
      <c r="GTE16" s="3" t="s">
        <v>76</v>
      </c>
      <c r="GTF16" s="3" t="s">
        <v>77</v>
      </c>
      <c r="GTG16" s="3" t="s">
        <v>76</v>
      </c>
      <c r="GTH16" s="3" t="s">
        <v>77</v>
      </c>
      <c r="GTI16" s="3" t="s">
        <v>76</v>
      </c>
      <c r="GTJ16" s="3" t="s">
        <v>77</v>
      </c>
      <c r="GTK16" s="3" t="s">
        <v>76</v>
      </c>
      <c r="GTL16" s="3" t="s">
        <v>77</v>
      </c>
      <c r="GTM16" s="3" t="s">
        <v>76</v>
      </c>
      <c r="GTN16" s="3" t="s">
        <v>77</v>
      </c>
      <c r="GTO16" s="3" t="s">
        <v>76</v>
      </c>
      <c r="GTP16" s="3" t="s">
        <v>77</v>
      </c>
      <c r="GTQ16" s="3" t="s">
        <v>76</v>
      </c>
      <c r="GTR16" s="3" t="s">
        <v>77</v>
      </c>
      <c r="GTS16" s="3" t="s">
        <v>76</v>
      </c>
      <c r="GTT16" s="3" t="s">
        <v>77</v>
      </c>
      <c r="GTU16" s="3" t="s">
        <v>76</v>
      </c>
      <c r="GTV16" s="3" t="s">
        <v>77</v>
      </c>
      <c r="GTW16" s="3" t="s">
        <v>76</v>
      </c>
      <c r="GTX16" s="3" t="s">
        <v>77</v>
      </c>
      <c r="GTY16" s="3" t="s">
        <v>76</v>
      </c>
      <c r="GTZ16" s="3" t="s">
        <v>77</v>
      </c>
      <c r="GUA16" s="3" t="s">
        <v>76</v>
      </c>
      <c r="GUB16" s="3" t="s">
        <v>77</v>
      </c>
      <c r="GUC16" s="3" t="s">
        <v>76</v>
      </c>
      <c r="GUD16" s="3" t="s">
        <v>77</v>
      </c>
      <c r="GUE16" s="3" t="s">
        <v>76</v>
      </c>
      <c r="GUF16" s="3" t="s">
        <v>77</v>
      </c>
      <c r="GUG16" s="3" t="s">
        <v>76</v>
      </c>
      <c r="GUH16" s="3" t="s">
        <v>77</v>
      </c>
      <c r="GUI16" s="3" t="s">
        <v>76</v>
      </c>
      <c r="GUJ16" s="3" t="s">
        <v>77</v>
      </c>
      <c r="GUK16" s="3" t="s">
        <v>76</v>
      </c>
      <c r="GUL16" s="3" t="s">
        <v>77</v>
      </c>
      <c r="GUM16" s="3" t="s">
        <v>76</v>
      </c>
      <c r="GUN16" s="3" t="s">
        <v>77</v>
      </c>
      <c r="GUO16" s="3" t="s">
        <v>76</v>
      </c>
      <c r="GUP16" s="3" t="s">
        <v>77</v>
      </c>
      <c r="GUQ16" s="3" t="s">
        <v>76</v>
      </c>
      <c r="GUR16" s="3" t="s">
        <v>77</v>
      </c>
      <c r="GUS16" s="3" t="s">
        <v>76</v>
      </c>
      <c r="GUT16" s="3" t="s">
        <v>77</v>
      </c>
      <c r="GUU16" s="3" t="s">
        <v>76</v>
      </c>
      <c r="GUV16" s="3" t="s">
        <v>77</v>
      </c>
      <c r="GUW16" s="3" t="s">
        <v>76</v>
      </c>
      <c r="GUX16" s="3" t="s">
        <v>77</v>
      </c>
      <c r="GUY16" s="3" t="s">
        <v>76</v>
      </c>
      <c r="GUZ16" s="3" t="s">
        <v>77</v>
      </c>
      <c r="GVA16" s="3" t="s">
        <v>76</v>
      </c>
      <c r="GVB16" s="3" t="s">
        <v>77</v>
      </c>
      <c r="GVC16" s="3" t="s">
        <v>76</v>
      </c>
      <c r="GVD16" s="3" t="s">
        <v>77</v>
      </c>
      <c r="GVE16" s="3" t="s">
        <v>76</v>
      </c>
      <c r="GVF16" s="3" t="s">
        <v>77</v>
      </c>
      <c r="GVG16" s="3" t="s">
        <v>76</v>
      </c>
      <c r="GVH16" s="3" t="s">
        <v>77</v>
      </c>
      <c r="GVI16" s="3" t="s">
        <v>76</v>
      </c>
      <c r="GVJ16" s="3" t="s">
        <v>77</v>
      </c>
      <c r="GVK16" s="3" t="s">
        <v>76</v>
      </c>
      <c r="GVL16" s="3" t="s">
        <v>77</v>
      </c>
      <c r="GVM16" s="3" t="s">
        <v>76</v>
      </c>
      <c r="GVN16" s="3" t="s">
        <v>77</v>
      </c>
      <c r="GVO16" s="3" t="s">
        <v>76</v>
      </c>
      <c r="GVP16" s="3" t="s">
        <v>77</v>
      </c>
      <c r="GVQ16" s="3" t="s">
        <v>76</v>
      </c>
      <c r="GVR16" s="3" t="s">
        <v>77</v>
      </c>
      <c r="GVS16" s="3" t="s">
        <v>76</v>
      </c>
      <c r="GVT16" s="3" t="s">
        <v>77</v>
      </c>
      <c r="GVU16" s="3" t="s">
        <v>76</v>
      </c>
      <c r="GVV16" s="3" t="s">
        <v>77</v>
      </c>
      <c r="GVW16" s="3" t="s">
        <v>76</v>
      </c>
      <c r="GVX16" s="3" t="s">
        <v>77</v>
      </c>
      <c r="GVY16" s="3" t="s">
        <v>76</v>
      </c>
      <c r="GVZ16" s="3" t="s">
        <v>77</v>
      </c>
      <c r="GWA16" s="3" t="s">
        <v>76</v>
      </c>
      <c r="GWB16" s="3" t="s">
        <v>77</v>
      </c>
      <c r="GWC16" s="3" t="s">
        <v>76</v>
      </c>
      <c r="GWD16" s="3" t="s">
        <v>77</v>
      </c>
      <c r="GWE16" s="3" t="s">
        <v>76</v>
      </c>
      <c r="GWF16" s="3" t="s">
        <v>77</v>
      </c>
      <c r="GWG16" s="3" t="s">
        <v>76</v>
      </c>
      <c r="GWH16" s="3" t="s">
        <v>77</v>
      </c>
      <c r="GWI16" s="3" t="s">
        <v>76</v>
      </c>
      <c r="GWJ16" s="3" t="s">
        <v>77</v>
      </c>
      <c r="GWK16" s="3" t="s">
        <v>76</v>
      </c>
      <c r="GWL16" s="3" t="s">
        <v>77</v>
      </c>
      <c r="GWM16" s="3" t="s">
        <v>76</v>
      </c>
      <c r="GWN16" s="3" t="s">
        <v>77</v>
      </c>
      <c r="GWO16" s="3" t="s">
        <v>76</v>
      </c>
      <c r="GWP16" s="3" t="s">
        <v>77</v>
      </c>
      <c r="GWQ16" s="3" t="s">
        <v>76</v>
      </c>
      <c r="GWR16" s="3" t="s">
        <v>77</v>
      </c>
      <c r="GWS16" s="3" t="s">
        <v>76</v>
      </c>
      <c r="GWT16" s="3" t="s">
        <v>77</v>
      </c>
      <c r="GWU16" s="3" t="s">
        <v>76</v>
      </c>
      <c r="GWV16" s="3" t="s">
        <v>77</v>
      </c>
      <c r="GWW16" s="3" t="s">
        <v>76</v>
      </c>
      <c r="GWX16" s="3" t="s">
        <v>77</v>
      </c>
      <c r="GWY16" s="3" t="s">
        <v>76</v>
      </c>
      <c r="GWZ16" s="3" t="s">
        <v>77</v>
      </c>
      <c r="GXA16" s="3" t="s">
        <v>76</v>
      </c>
      <c r="GXB16" s="3" t="s">
        <v>77</v>
      </c>
      <c r="GXC16" s="3" t="s">
        <v>76</v>
      </c>
      <c r="GXD16" s="3" t="s">
        <v>77</v>
      </c>
      <c r="GXE16" s="3" t="s">
        <v>76</v>
      </c>
      <c r="GXF16" s="3" t="s">
        <v>77</v>
      </c>
      <c r="GXG16" s="3" t="s">
        <v>76</v>
      </c>
      <c r="GXH16" s="3" t="s">
        <v>77</v>
      </c>
      <c r="GXI16" s="3" t="s">
        <v>76</v>
      </c>
      <c r="GXJ16" s="3" t="s">
        <v>77</v>
      </c>
      <c r="GXK16" s="3" t="s">
        <v>76</v>
      </c>
      <c r="GXL16" s="3" t="s">
        <v>77</v>
      </c>
      <c r="GXM16" s="3" t="s">
        <v>76</v>
      </c>
      <c r="GXN16" s="3" t="s">
        <v>77</v>
      </c>
      <c r="GXO16" s="3" t="s">
        <v>76</v>
      </c>
      <c r="GXP16" s="3" t="s">
        <v>77</v>
      </c>
      <c r="GXQ16" s="3" t="s">
        <v>76</v>
      </c>
      <c r="GXR16" s="3" t="s">
        <v>77</v>
      </c>
      <c r="GXS16" s="3" t="s">
        <v>76</v>
      </c>
      <c r="GXT16" s="3" t="s">
        <v>77</v>
      </c>
      <c r="GXU16" s="3" t="s">
        <v>76</v>
      </c>
      <c r="GXV16" s="3" t="s">
        <v>77</v>
      </c>
      <c r="GXW16" s="3" t="s">
        <v>76</v>
      </c>
      <c r="GXX16" s="3" t="s">
        <v>77</v>
      </c>
      <c r="GXY16" s="3" t="s">
        <v>76</v>
      </c>
      <c r="GXZ16" s="3" t="s">
        <v>77</v>
      </c>
      <c r="GYA16" s="3" t="s">
        <v>76</v>
      </c>
      <c r="GYB16" s="3" t="s">
        <v>77</v>
      </c>
      <c r="GYC16" s="3" t="s">
        <v>76</v>
      </c>
      <c r="GYD16" s="3" t="s">
        <v>77</v>
      </c>
      <c r="GYE16" s="3" t="s">
        <v>76</v>
      </c>
      <c r="GYF16" s="3" t="s">
        <v>77</v>
      </c>
      <c r="GYG16" s="3" t="s">
        <v>76</v>
      </c>
      <c r="GYH16" s="3" t="s">
        <v>77</v>
      </c>
      <c r="GYI16" s="3" t="s">
        <v>76</v>
      </c>
      <c r="GYJ16" s="3" t="s">
        <v>77</v>
      </c>
      <c r="GYK16" s="3" t="s">
        <v>76</v>
      </c>
      <c r="GYL16" s="3" t="s">
        <v>77</v>
      </c>
      <c r="GYM16" s="3" t="s">
        <v>76</v>
      </c>
      <c r="GYN16" s="3" t="s">
        <v>77</v>
      </c>
      <c r="GYO16" s="3" t="s">
        <v>76</v>
      </c>
      <c r="GYP16" s="3" t="s">
        <v>77</v>
      </c>
      <c r="GYQ16" s="3" t="s">
        <v>76</v>
      </c>
      <c r="GYR16" s="3" t="s">
        <v>77</v>
      </c>
      <c r="GYS16" s="3" t="s">
        <v>76</v>
      </c>
      <c r="GYT16" s="3" t="s">
        <v>77</v>
      </c>
      <c r="GYU16" s="3" t="s">
        <v>76</v>
      </c>
      <c r="GYV16" s="3" t="s">
        <v>77</v>
      </c>
      <c r="GYW16" s="3" t="s">
        <v>76</v>
      </c>
      <c r="GYX16" s="3" t="s">
        <v>77</v>
      </c>
      <c r="GYY16" s="3" t="s">
        <v>76</v>
      </c>
      <c r="GYZ16" s="3" t="s">
        <v>77</v>
      </c>
      <c r="GZA16" s="3" t="s">
        <v>76</v>
      </c>
      <c r="GZB16" s="3" t="s">
        <v>77</v>
      </c>
      <c r="GZC16" s="3" t="s">
        <v>76</v>
      </c>
      <c r="GZD16" s="3" t="s">
        <v>77</v>
      </c>
      <c r="GZE16" s="3" t="s">
        <v>76</v>
      </c>
      <c r="GZF16" s="3" t="s">
        <v>77</v>
      </c>
      <c r="GZG16" s="3" t="s">
        <v>76</v>
      </c>
      <c r="GZH16" s="3" t="s">
        <v>77</v>
      </c>
      <c r="GZI16" s="3" t="s">
        <v>76</v>
      </c>
      <c r="GZJ16" s="3" t="s">
        <v>77</v>
      </c>
      <c r="GZK16" s="3" t="s">
        <v>76</v>
      </c>
      <c r="GZL16" s="3" t="s">
        <v>77</v>
      </c>
      <c r="GZM16" s="3" t="s">
        <v>76</v>
      </c>
      <c r="GZN16" s="3" t="s">
        <v>77</v>
      </c>
      <c r="GZO16" s="3" t="s">
        <v>76</v>
      </c>
      <c r="GZP16" s="3" t="s">
        <v>77</v>
      </c>
      <c r="GZQ16" s="3" t="s">
        <v>76</v>
      </c>
      <c r="GZR16" s="3" t="s">
        <v>77</v>
      </c>
      <c r="GZS16" s="3" t="s">
        <v>76</v>
      </c>
      <c r="GZT16" s="3" t="s">
        <v>77</v>
      </c>
      <c r="GZU16" s="3" t="s">
        <v>76</v>
      </c>
      <c r="GZV16" s="3" t="s">
        <v>77</v>
      </c>
      <c r="GZW16" s="3" t="s">
        <v>76</v>
      </c>
      <c r="GZX16" s="3" t="s">
        <v>77</v>
      </c>
      <c r="GZY16" s="3" t="s">
        <v>76</v>
      </c>
      <c r="GZZ16" s="3" t="s">
        <v>77</v>
      </c>
      <c r="HAA16" s="3" t="s">
        <v>76</v>
      </c>
      <c r="HAB16" s="3" t="s">
        <v>77</v>
      </c>
      <c r="HAC16" s="3" t="s">
        <v>76</v>
      </c>
      <c r="HAD16" s="3" t="s">
        <v>77</v>
      </c>
      <c r="HAE16" s="3" t="s">
        <v>76</v>
      </c>
      <c r="HAF16" s="3" t="s">
        <v>77</v>
      </c>
      <c r="HAG16" s="3" t="s">
        <v>76</v>
      </c>
      <c r="HAH16" s="3" t="s">
        <v>77</v>
      </c>
      <c r="HAI16" s="3" t="s">
        <v>76</v>
      </c>
      <c r="HAJ16" s="3" t="s">
        <v>77</v>
      </c>
      <c r="HAK16" s="3" t="s">
        <v>76</v>
      </c>
      <c r="HAL16" s="3" t="s">
        <v>77</v>
      </c>
      <c r="HAM16" s="3" t="s">
        <v>76</v>
      </c>
      <c r="HAN16" s="3" t="s">
        <v>77</v>
      </c>
      <c r="HAO16" s="3" t="s">
        <v>76</v>
      </c>
      <c r="HAP16" s="3" t="s">
        <v>77</v>
      </c>
      <c r="HAQ16" s="3" t="s">
        <v>76</v>
      </c>
      <c r="HAR16" s="3" t="s">
        <v>77</v>
      </c>
      <c r="HAS16" s="3" t="s">
        <v>76</v>
      </c>
      <c r="HAT16" s="3" t="s">
        <v>77</v>
      </c>
      <c r="HAU16" s="3" t="s">
        <v>76</v>
      </c>
      <c r="HAV16" s="3" t="s">
        <v>77</v>
      </c>
      <c r="HAW16" s="3" t="s">
        <v>76</v>
      </c>
      <c r="HAX16" s="3" t="s">
        <v>77</v>
      </c>
      <c r="HAY16" s="3" t="s">
        <v>76</v>
      </c>
      <c r="HAZ16" s="3" t="s">
        <v>77</v>
      </c>
      <c r="HBA16" s="3" t="s">
        <v>76</v>
      </c>
      <c r="HBB16" s="3" t="s">
        <v>77</v>
      </c>
      <c r="HBC16" s="3" t="s">
        <v>76</v>
      </c>
      <c r="HBD16" s="3" t="s">
        <v>77</v>
      </c>
      <c r="HBE16" s="3" t="s">
        <v>76</v>
      </c>
      <c r="HBF16" s="3" t="s">
        <v>77</v>
      </c>
      <c r="HBG16" s="3" t="s">
        <v>76</v>
      </c>
      <c r="HBH16" s="3" t="s">
        <v>77</v>
      </c>
      <c r="HBI16" s="3" t="s">
        <v>76</v>
      </c>
      <c r="HBJ16" s="3" t="s">
        <v>77</v>
      </c>
      <c r="HBK16" s="3" t="s">
        <v>76</v>
      </c>
      <c r="HBL16" s="3" t="s">
        <v>77</v>
      </c>
      <c r="HBM16" s="3" t="s">
        <v>76</v>
      </c>
      <c r="HBN16" s="3" t="s">
        <v>77</v>
      </c>
      <c r="HBO16" s="3" t="s">
        <v>76</v>
      </c>
      <c r="HBP16" s="3" t="s">
        <v>77</v>
      </c>
      <c r="HBQ16" s="3" t="s">
        <v>76</v>
      </c>
      <c r="HBR16" s="3" t="s">
        <v>77</v>
      </c>
      <c r="HBS16" s="3" t="s">
        <v>76</v>
      </c>
      <c r="HBT16" s="3" t="s">
        <v>77</v>
      </c>
      <c r="HBU16" s="3" t="s">
        <v>76</v>
      </c>
      <c r="HBV16" s="3" t="s">
        <v>77</v>
      </c>
      <c r="HBW16" s="3" t="s">
        <v>76</v>
      </c>
      <c r="HBX16" s="3" t="s">
        <v>77</v>
      </c>
      <c r="HBY16" s="3" t="s">
        <v>76</v>
      </c>
      <c r="HBZ16" s="3" t="s">
        <v>77</v>
      </c>
      <c r="HCA16" s="3" t="s">
        <v>76</v>
      </c>
      <c r="HCB16" s="3" t="s">
        <v>77</v>
      </c>
      <c r="HCC16" s="3" t="s">
        <v>76</v>
      </c>
      <c r="HCD16" s="3" t="s">
        <v>77</v>
      </c>
      <c r="HCE16" s="3" t="s">
        <v>76</v>
      </c>
      <c r="HCF16" s="3" t="s">
        <v>77</v>
      </c>
      <c r="HCG16" s="3" t="s">
        <v>76</v>
      </c>
      <c r="HCH16" s="3" t="s">
        <v>77</v>
      </c>
      <c r="HCI16" s="3" t="s">
        <v>76</v>
      </c>
      <c r="HCJ16" s="3" t="s">
        <v>77</v>
      </c>
      <c r="HCK16" s="3" t="s">
        <v>76</v>
      </c>
      <c r="HCL16" s="3" t="s">
        <v>77</v>
      </c>
      <c r="HCM16" s="3" t="s">
        <v>76</v>
      </c>
      <c r="HCN16" s="3" t="s">
        <v>77</v>
      </c>
      <c r="HCO16" s="3" t="s">
        <v>76</v>
      </c>
      <c r="HCP16" s="3" t="s">
        <v>77</v>
      </c>
      <c r="HCQ16" s="3" t="s">
        <v>76</v>
      </c>
      <c r="HCR16" s="3" t="s">
        <v>77</v>
      </c>
      <c r="HCS16" s="3" t="s">
        <v>76</v>
      </c>
      <c r="HCT16" s="3" t="s">
        <v>77</v>
      </c>
      <c r="HCU16" s="3" t="s">
        <v>76</v>
      </c>
      <c r="HCV16" s="3" t="s">
        <v>77</v>
      </c>
      <c r="HCW16" s="3" t="s">
        <v>76</v>
      </c>
      <c r="HCX16" s="3" t="s">
        <v>77</v>
      </c>
      <c r="HCY16" s="3" t="s">
        <v>76</v>
      </c>
      <c r="HCZ16" s="3" t="s">
        <v>77</v>
      </c>
      <c r="HDA16" s="3" t="s">
        <v>76</v>
      </c>
      <c r="HDB16" s="3" t="s">
        <v>77</v>
      </c>
      <c r="HDC16" s="3" t="s">
        <v>76</v>
      </c>
      <c r="HDD16" s="3" t="s">
        <v>77</v>
      </c>
      <c r="HDE16" s="3" t="s">
        <v>76</v>
      </c>
      <c r="HDF16" s="3" t="s">
        <v>77</v>
      </c>
      <c r="HDG16" s="3" t="s">
        <v>76</v>
      </c>
      <c r="HDH16" s="3" t="s">
        <v>77</v>
      </c>
      <c r="HDI16" s="3" t="s">
        <v>76</v>
      </c>
      <c r="HDJ16" s="3" t="s">
        <v>77</v>
      </c>
      <c r="HDK16" s="3" t="s">
        <v>76</v>
      </c>
      <c r="HDL16" s="3" t="s">
        <v>77</v>
      </c>
      <c r="HDM16" s="3" t="s">
        <v>76</v>
      </c>
      <c r="HDN16" s="3" t="s">
        <v>77</v>
      </c>
      <c r="HDO16" s="3" t="s">
        <v>76</v>
      </c>
      <c r="HDP16" s="3" t="s">
        <v>77</v>
      </c>
      <c r="HDQ16" s="3" t="s">
        <v>76</v>
      </c>
      <c r="HDR16" s="3" t="s">
        <v>77</v>
      </c>
      <c r="HDS16" s="3" t="s">
        <v>76</v>
      </c>
      <c r="HDT16" s="3" t="s">
        <v>77</v>
      </c>
      <c r="HDU16" s="3" t="s">
        <v>76</v>
      </c>
      <c r="HDV16" s="3" t="s">
        <v>77</v>
      </c>
      <c r="HDW16" s="3" t="s">
        <v>76</v>
      </c>
      <c r="HDX16" s="3" t="s">
        <v>77</v>
      </c>
      <c r="HDY16" s="3" t="s">
        <v>76</v>
      </c>
      <c r="HDZ16" s="3" t="s">
        <v>77</v>
      </c>
      <c r="HEA16" s="3" t="s">
        <v>76</v>
      </c>
      <c r="HEB16" s="3" t="s">
        <v>77</v>
      </c>
      <c r="HEC16" s="3" t="s">
        <v>76</v>
      </c>
      <c r="HED16" s="3" t="s">
        <v>77</v>
      </c>
      <c r="HEE16" s="3" t="s">
        <v>76</v>
      </c>
      <c r="HEF16" s="3" t="s">
        <v>77</v>
      </c>
      <c r="HEG16" s="3" t="s">
        <v>76</v>
      </c>
      <c r="HEH16" s="3" t="s">
        <v>77</v>
      </c>
      <c r="HEI16" s="3" t="s">
        <v>76</v>
      </c>
      <c r="HEJ16" s="3" t="s">
        <v>77</v>
      </c>
      <c r="HEK16" s="3" t="s">
        <v>76</v>
      </c>
      <c r="HEL16" s="3" t="s">
        <v>77</v>
      </c>
      <c r="HEM16" s="3" t="s">
        <v>76</v>
      </c>
      <c r="HEN16" s="3" t="s">
        <v>77</v>
      </c>
      <c r="HEO16" s="3" t="s">
        <v>76</v>
      </c>
      <c r="HEP16" s="3" t="s">
        <v>77</v>
      </c>
      <c r="HEQ16" s="3" t="s">
        <v>76</v>
      </c>
      <c r="HER16" s="3" t="s">
        <v>77</v>
      </c>
      <c r="HES16" s="3" t="s">
        <v>76</v>
      </c>
      <c r="HET16" s="3" t="s">
        <v>77</v>
      </c>
      <c r="HEU16" s="3" t="s">
        <v>76</v>
      </c>
      <c r="HEV16" s="3" t="s">
        <v>77</v>
      </c>
      <c r="HEW16" s="3" t="s">
        <v>76</v>
      </c>
      <c r="HEX16" s="3" t="s">
        <v>77</v>
      </c>
      <c r="HEY16" s="3" t="s">
        <v>76</v>
      </c>
      <c r="HEZ16" s="3" t="s">
        <v>77</v>
      </c>
      <c r="HFA16" s="3" t="s">
        <v>76</v>
      </c>
      <c r="HFB16" s="3" t="s">
        <v>77</v>
      </c>
      <c r="HFC16" s="3" t="s">
        <v>76</v>
      </c>
      <c r="HFD16" s="3" t="s">
        <v>77</v>
      </c>
      <c r="HFE16" s="3" t="s">
        <v>76</v>
      </c>
      <c r="HFF16" s="3" t="s">
        <v>77</v>
      </c>
      <c r="HFG16" s="3" t="s">
        <v>76</v>
      </c>
      <c r="HFH16" s="3" t="s">
        <v>77</v>
      </c>
      <c r="HFI16" s="3" t="s">
        <v>76</v>
      </c>
      <c r="HFJ16" s="3" t="s">
        <v>77</v>
      </c>
      <c r="HFK16" s="3" t="s">
        <v>76</v>
      </c>
      <c r="HFL16" s="3" t="s">
        <v>77</v>
      </c>
      <c r="HFM16" s="3" t="s">
        <v>76</v>
      </c>
      <c r="HFN16" s="3" t="s">
        <v>77</v>
      </c>
      <c r="HFO16" s="3" t="s">
        <v>76</v>
      </c>
      <c r="HFP16" s="3" t="s">
        <v>77</v>
      </c>
      <c r="HFQ16" s="3" t="s">
        <v>76</v>
      </c>
      <c r="HFR16" s="3" t="s">
        <v>77</v>
      </c>
      <c r="HFS16" s="3" t="s">
        <v>76</v>
      </c>
      <c r="HFT16" s="3" t="s">
        <v>77</v>
      </c>
      <c r="HFU16" s="3" t="s">
        <v>76</v>
      </c>
      <c r="HFV16" s="3" t="s">
        <v>77</v>
      </c>
      <c r="HFW16" s="3" t="s">
        <v>76</v>
      </c>
      <c r="HFX16" s="3" t="s">
        <v>77</v>
      </c>
      <c r="HFY16" s="3" t="s">
        <v>76</v>
      </c>
      <c r="HFZ16" s="3" t="s">
        <v>77</v>
      </c>
      <c r="HGA16" s="3" t="s">
        <v>76</v>
      </c>
      <c r="HGB16" s="3" t="s">
        <v>77</v>
      </c>
      <c r="HGC16" s="3" t="s">
        <v>76</v>
      </c>
      <c r="HGD16" s="3" t="s">
        <v>77</v>
      </c>
      <c r="HGE16" s="3" t="s">
        <v>76</v>
      </c>
      <c r="HGF16" s="3" t="s">
        <v>77</v>
      </c>
      <c r="HGG16" s="3" t="s">
        <v>76</v>
      </c>
      <c r="HGH16" s="3" t="s">
        <v>77</v>
      </c>
      <c r="HGI16" s="3" t="s">
        <v>76</v>
      </c>
      <c r="HGJ16" s="3" t="s">
        <v>77</v>
      </c>
      <c r="HGK16" s="3" t="s">
        <v>76</v>
      </c>
      <c r="HGL16" s="3" t="s">
        <v>77</v>
      </c>
      <c r="HGM16" s="3" t="s">
        <v>76</v>
      </c>
      <c r="HGN16" s="3" t="s">
        <v>77</v>
      </c>
      <c r="HGO16" s="3" t="s">
        <v>76</v>
      </c>
      <c r="HGP16" s="3" t="s">
        <v>77</v>
      </c>
      <c r="HGQ16" s="3" t="s">
        <v>76</v>
      </c>
      <c r="HGR16" s="3" t="s">
        <v>77</v>
      </c>
      <c r="HGS16" s="3" t="s">
        <v>76</v>
      </c>
      <c r="HGT16" s="3" t="s">
        <v>77</v>
      </c>
      <c r="HGU16" s="3" t="s">
        <v>76</v>
      </c>
      <c r="HGV16" s="3" t="s">
        <v>77</v>
      </c>
      <c r="HGW16" s="3" t="s">
        <v>76</v>
      </c>
      <c r="HGX16" s="3" t="s">
        <v>77</v>
      </c>
      <c r="HGY16" s="3" t="s">
        <v>76</v>
      </c>
      <c r="HGZ16" s="3" t="s">
        <v>77</v>
      </c>
      <c r="HHA16" s="3" t="s">
        <v>76</v>
      </c>
      <c r="HHB16" s="3" t="s">
        <v>77</v>
      </c>
      <c r="HHC16" s="3" t="s">
        <v>76</v>
      </c>
      <c r="HHD16" s="3" t="s">
        <v>77</v>
      </c>
      <c r="HHE16" s="3" t="s">
        <v>76</v>
      </c>
      <c r="HHF16" s="3" t="s">
        <v>77</v>
      </c>
      <c r="HHG16" s="3" t="s">
        <v>76</v>
      </c>
      <c r="HHH16" s="3" t="s">
        <v>77</v>
      </c>
      <c r="HHI16" s="3" t="s">
        <v>76</v>
      </c>
      <c r="HHJ16" s="3" t="s">
        <v>77</v>
      </c>
      <c r="HHK16" s="3" t="s">
        <v>76</v>
      </c>
      <c r="HHL16" s="3" t="s">
        <v>77</v>
      </c>
      <c r="HHM16" s="3" t="s">
        <v>76</v>
      </c>
      <c r="HHN16" s="3" t="s">
        <v>77</v>
      </c>
      <c r="HHO16" s="3" t="s">
        <v>76</v>
      </c>
      <c r="HHP16" s="3" t="s">
        <v>77</v>
      </c>
      <c r="HHQ16" s="3" t="s">
        <v>76</v>
      </c>
      <c r="HHR16" s="3" t="s">
        <v>77</v>
      </c>
      <c r="HHS16" s="3" t="s">
        <v>76</v>
      </c>
      <c r="HHT16" s="3" t="s">
        <v>77</v>
      </c>
      <c r="HHU16" s="3" t="s">
        <v>76</v>
      </c>
      <c r="HHV16" s="3" t="s">
        <v>77</v>
      </c>
      <c r="HHW16" s="3" t="s">
        <v>76</v>
      </c>
      <c r="HHX16" s="3" t="s">
        <v>77</v>
      </c>
      <c r="HHY16" s="3" t="s">
        <v>76</v>
      </c>
      <c r="HHZ16" s="3" t="s">
        <v>77</v>
      </c>
      <c r="HIA16" s="3" t="s">
        <v>76</v>
      </c>
      <c r="HIB16" s="3" t="s">
        <v>77</v>
      </c>
      <c r="HIC16" s="3" t="s">
        <v>76</v>
      </c>
      <c r="HID16" s="3" t="s">
        <v>77</v>
      </c>
      <c r="HIE16" s="3" t="s">
        <v>76</v>
      </c>
      <c r="HIF16" s="3" t="s">
        <v>77</v>
      </c>
      <c r="HIG16" s="3" t="s">
        <v>76</v>
      </c>
      <c r="HIH16" s="3" t="s">
        <v>77</v>
      </c>
      <c r="HII16" s="3" t="s">
        <v>76</v>
      </c>
      <c r="HIJ16" s="3" t="s">
        <v>77</v>
      </c>
      <c r="HIK16" s="3" t="s">
        <v>76</v>
      </c>
      <c r="HIL16" s="3" t="s">
        <v>77</v>
      </c>
      <c r="HIM16" s="3" t="s">
        <v>76</v>
      </c>
      <c r="HIN16" s="3" t="s">
        <v>77</v>
      </c>
      <c r="HIO16" s="3" t="s">
        <v>76</v>
      </c>
      <c r="HIP16" s="3" t="s">
        <v>77</v>
      </c>
      <c r="HIQ16" s="3" t="s">
        <v>76</v>
      </c>
      <c r="HIR16" s="3" t="s">
        <v>77</v>
      </c>
      <c r="HIS16" s="3" t="s">
        <v>76</v>
      </c>
      <c r="HIT16" s="3" t="s">
        <v>77</v>
      </c>
      <c r="HIU16" s="3" t="s">
        <v>76</v>
      </c>
      <c r="HIV16" s="3" t="s">
        <v>77</v>
      </c>
      <c r="HIW16" s="3" t="s">
        <v>76</v>
      </c>
      <c r="HIX16" s="3" t="s">
        <v>77</v>
      </c>
      <c r="HIY16" s="3" t="s">
        <v>76</v>
      </c>
      <c r="HIZ16" s="3" t="s">
        <v>77</v>
      </c>
      <c r="HJA16" s="3" t="s">
        <v>76</v>
      </c>
      <c r="HJB16" s="3" t="s">
        <v>77</v>
      </c>
      <c r="HJC16" s="3" t="s">
        <v>76</v>
      </c>
      <c r="HJD16" s="3" t="s">
        <v>77</v>
      </c>
      <c r="HJE16" s="3" t="s">
        <v>76</v>
      </c>
      <c r="HJF16" s="3" t="s">
        <v>77</v>
      </c>
      <c r="HJG16" s="3" t="s">
        <v>76</v>
      </c>
      <c r="HJH16" s="3" t="s">
        <v>77</v>
      </c>
      <c r="HJI16" s="3" t="s">
        <v>76</v>
      </c>
      <c r="HJJ16" s="3" t="s">
        <v>77</v>
      </c>
      <c r="HJK16" s="3" t="s">
        <v>76</v>
      </c>
      <c r="HJL16" s="3" t="s">
        <v>77</v>
      </c>
      <c r="HJM16" s="3" t="s">
        <v>76</v>
      </c>
      <c r="HJN16" s="3" t="s">
        <v>77</v>
      </c>
      <c r="HJO16" s="3" t="s">
        <v>76</v>
      </c>
      <c r="HJP16" s="3" t="s">
        <v>77</v>
      </c>
      <c r="HJQ16" s="3" t="s">
        <v>76</v>
      </c>
      <c r="HJR16" s="3" t="s">
        <v>77</v>
      </c>
      <c r="HJS16" s="3" t="s">
        <v>76</v>
      </c>
      <c r="HJT16" s="3" t="s">
        <v>77</v>
      </c>
      <c r="HJU16" s="3" t="s">
        <v>76</v>
      </c>
      <c r="HJV16" s="3" t="s">
        <v>77</v>
      </c>
      <c r="HJW16" s="3" t="s">
        <v>76</v>
      </c>
      <c r="HJX16" s="3" t="s">
        <v>77</v>
      </c>
      <c r="HJY16" s="3" t="s">
        <v>76</v>
      </c>
      <c r="HJZ16" s="3" t="s">
        <v>77</v>
      </c>
      <c r="HKA16" s="3" t="s">
        <v>76</v>
      </c>
      <c r="HKB16" s="3" t="s">
        <v>77</v>
      </c>
      <c r="HKC16" s="3" t="s">
        <v>76</v>
      </c>
      <c r="HKD16" s="3" t="s">
        <v>77</v>
      </c>
      <c r="HKE16" s="3" t="s">
        <v>76</v>
      </c>
      <c r="HKF16" s="3" t="s">
        <v>77</v>
      </c>
      <c r="HKG16" s="3" t="s">
        <v>76</v>
      </c>
      <c r="HKH16" s="3" t="s">
        <v>77</v>
      </c>
      <c r="HKI16" s="3" t="s">
        <v>76</v>
      </c>
      <c r="HKJ16" s="3" t="s">
        <v>77</v>
      </c>
      <c r="HKK16" s="3" t="s">
        <v>76</v>
      </c>
      <c r="HKL16" s="3" t="s">
        <v>77</v>
      </c>
      <c r="HKM16" s="3" t="s">
        <v>76</v>
      </c>
      <c r="HKN16" s="3" t="s">
        <v>77</v>
      </c>
      <c r="HKO16" s="3" t="s">
        <v>76</v>
      </c>
      <c r="HKP16" s="3" t="s">
        <v>77</v>
      </c>
      <c r="HKQ16" s="3" t="s">
        <v>76</v>
      </c>
      <c r="HKR16" s="3" t="s">
        <v>77</v>
      </c>
      <c r="HKS16" s="3" t="s">
        <v>76</v>
      </c>
      <c r="HKT16" s="3" t="s">
        <v>77</v>
      </c>
      <c r="HKU16" s="3" t="s">
        <v>76</v>
      </c>
      <c r="HKV16" s="3" t="s">
        <v>77</v>
      </c>
      <c r="HKW16" s="3" t="s">
        <v>76</v>
      </c>
      <c r="HKX16" s="3" t="s">
        <v>77</v>
      </c>
      <c r="HKY16" s="3" t="s">
        <v>76</v>
      </c>
      <c r="HKZ16" s="3" t="s">
        <v>77</v>
      </c>
      <c r="HLA16" s="3" t="s">
        <v>76</v>
      </c>
      <c r="HLB16" s="3" t="s">
        <v>77</v>
      </c>
      <c r="HLC16" s="3" t="s">
        <v>76</v>
      </c>
      <c r="HLD16" s="3" t="s">
        <v>77</v>
      </c>
      <c r="HLE16" s="3" t="s">
        <v>76</v>
      </c>
      <c r="HLF16" s="3" t="s">
        <v>77</v>
      </c>
      <c r="HLG16" s="3" t="s">
        <v>76</v>
      </c>
      <c r="HLH16" s="3" t="s">
        <v>77</v>
      </c>
      <c r="HLI16" s="3" t="s">
        <v>76</v>
      </c>
      <c r="HLJ16" s="3" t="s">
        <v>77</v>
      </c>
      <c r="HLK16" s="3" t="s">
        <v>76</v>
      </c>
      <c r="HLL16" s="3" t="s">
        <v>77</v>
      </c>
      <c r="HLM16" s="3" t="s">
        <v>76</v>
      </c>
      <c r="HLN16" s="3" t="s">
        <v>77</v>
      </c>
      <c r="HLO16" s="3" t="s">
        <v>76</v>
      </c>
      <c r="HLP16" s="3" t="s">
        <v>77</v>
      </c>
      <c r="HLQ16" s="3" t="s">
        <v>76</v>
      </c>
      <c r="HLR16" s="3" t="s">
        <v>77</v>
      </c>
      <c r="HLS16" s="3" t="s">
        <v>76</v>
      </c>
      <c r="HLT16" s="3" t="s">
        <v>77</v>
      </c>
      <c r="HLU16" s="3" t="s">
        <v>76</v>
      </c>
      <c r="HLV16" s="3" t="s">
        <v>77</v>
      </c>
      <c r="HLW16" s="3" t="s">
        <v>76</v>
      </c>
      <c r="HLX16" s="3" t="s">
        <v>77</v>
      </c>
      <c r="HLY16" s="3" t="s">
        <v>76</v>
      </c>
      <c r="HLZ16" s="3" t="s">
        <v>77</v>
      </c>
      <c r="HMA16" s="3" t="s">
        <v>76</v>
      </c>
      <c r="HMB16" s="3" t="s">
        <v>77</v>
      </c>
      <c r="HMC16" s="3" t="s">
        <v>76</v>
      </c>
      <c r="HMD16" s="3" t="s">
        <v>77</v>
      </c>
      <c r="HME16" s="3" t="s">
        <v>76</v>
      </c>
      <c r="HMF16" s="3" t="s">
        <v>77</v>
      </c>
      <c r="HMG16" s="3" t="s">
        <v>76</v>
      </c>
      <c r="HMH16" s="3" t="s">
        <v>77</v>
      </c>
      <c r="HMI16" s="3" t="s">
        <v>76</v>
      </c>
      <c r="HMJ16" s="3" t="s">
        <v>77</v>
      </c>
      <c r="HMK16" s="3" t="s">
        <v>76</v>
      </c>
      <c r="HML16" s="3" t="s">
        <v>77</v>
      </c>
      <c r="HMM16" s="3" t="s">
        <v>76</v>
      </c>
      <c r="HMN16" s="3" t="s">
        <v>77</v>
      </c>
      <c r="HMO16" s="3" t="s">
        <v>76</v>
      </c>
      <c r="HMP16" s="3" t="s">
        <v>77</v>
      </c>
      <c r="HMQ16" s="3" t="s">
        <v>76</v>
      </c>
      <c r="HMR16" s="3" t="s">
        <v>77</v>
      </c>
      <c r="HMS16" s="3" t="s">
        <v>76</v>
      </c>
      <c r="HMT16" s="3" t="s">
        <v>77</v>
      </c>
      <c r="HMU16" s="3" t="s">
        <v>76</v>
      </c>
      <c r="HMV16" s="3" t="s">
        <v>77</v>
      </c>
      <c r="HMW16" s="3" t="s">
        <v>76</v>
      </c>
      <c r="HMX16" s="3" t="s">
        <v>77</v>
      </c>
      <c r="HMY16" s="3" t="s">
        <v>76</v>
      </c>
      <c r="HMZ16" s="3" t="s">
        <v>77</v>
      </c>
      <c r="HNA16" s="3" t="s">
        <v>76</v>
      </c>
      <c r="HNB16" s="3" t="s">
        <v>77</v>
      </c>
      <c r="HNC16" s="3" t="s">
        <v>76</v>
      </c>
      <c r="HND16" s="3" t="s">
        <v>77</v>
      </c>
      <c r="HNE16" s="3" t="s">
        <v>76</v>
      </c>
      <c r="HNF16" s="3" t="s">
        <v>77</v>
      </c>
      <c r="HNG16" s="3" t="s">
        <v>76</v>
      </c>
      <c r="HNH16" s="3" t="s">
        <v>77</v>
      </c>
      <c r="HNI16" s="3" t="s">
        <v>76</v>
      </c>
      <c r="HNJ16" s="3" t="s">
        <v>77</v>
      </c>
      <c r="HNK16" s="3" t="s">
        <v>76</v>
      </c>
      <c r="HNL16" s="3" t="s">
        <v>77</v>
      </c>
      <c r="HNM16" s="3" t="s">
        <v>76</v>
      </c>
      <c r="HNN16" s="3" t="s">
        <v>77</v>
      </c>
      <c r="HNO16" s="3" t="s">
        <v>76</v>
      </c>
      <c r="HNP16" s="3" t="s">
        <v>77</v>
      </c>
      <c r="HNQ16" s="3" t="s">
        <v>76</v>
      </c>
      <c r="HNR16" s="3" t="s">
        <v>77</v>
      </c>
      <c r="HNS16" s="3" t="s">
        <v>76</v>
      </c>
      <c r="HNT16" s="3" t="s">
        <v>77</v>
      </c>
      <c r="HNU16" s="3" t="s">
        <v>76</v>
      </c>
      <c r="HNV16" s="3" t="s">
        <v>77</v>
      </c>
      <c r="HNW16" s="3" t="s">
        <v>76</v>
      </c>
      <c r="HNX16" s="3" t="s">
        <v>77</v>
      </c>
      <c r="HNY16" s="3" t="s">
        <v>76</v>
      </c>
      <c r="HNZ16" s="3" t="s">
        <v>77</v>
      </c>
      <c r="HOA16" s="3" t="s">
        <v>76</v>
      </c>
      <c r="HOB16" s="3" t="s">
        <v>77</v>
      </c>
      <c r="HOC16" s="3" t="s">
        <v>76</v>
      </c>
      <c r="HOD16" s="3" t="s">
        <v>77</v>
      </c>
      <c r="HOE16" s="3" t="s">
        <v>76</v>
      </c>
      <c r="HOF16" s="3" t="s">
        <v>77</v>
      </c>
      <c r="HOG16" s="3" t="s">
        <v>76</v>
      </c>
      <c r="HOH16" s="3" t="s">
        <v>77</v>
      </c>
      <c r="HOI16" s="3" t="s">
        <v>76</v>
      </c>
      <c r="HOJ16" s="3" t="s">
        <v>77</v>
      </c>
      <c r="HOK16" s="3" t="s">
        <v>76</v>
      </c>
      <c r="HOL16" s="3" t="s">
        <v>77</v>
      </c>
      <c r="HOM16" s="3" t="s">
        <v>76</v>
      </c>
      <c r="HON16" s="3" t="s">
        <v>77</v>
      </c>
      <c r="HOO16" s="3" t="s">
        <v>76</v>
      </c>
      <c r="HOP16" s="3" t="s">
        <v>77</v>
      </c>
      <c r="HOQ16" s="3" t="s">
        <v>76</v>
      </c>
      <c r="HOR16" s="3" t="s">
        <v>77</v>
      </c>
      <c r="HOS16" s="3" t="s">
        <v>76</v>
      </c>
      <c r="HOT16" s="3" t="s">
        <v>77</v>
      </c>
      <c r="HOU16" s="3" t="s">
        <v>76</v>
      </c>
      <c r="HOV16" s="3" t="s">
        <v>77</v>
      </c>
      <c r="HOW16" s="3" t="s">
        <v>76</v>
      </c>
      <c r="HOX16" s="3" t="s">
        <v>77</v>
      </c>
      <c r="HOY16" s="3" t="s">
        <v>76</v>
      </c>
      <c r="HOZ16" s="3" t="s">
        <v>77</v>
      </c>
      <c r="HPA16" s="3" t="s">
        <v>76</v>
      </c>
      <c r="HPB16" s="3" t="s">
        <v>77</v>
      </c>
      <c r="HPC16" s="3" t="s">
        <v>76</v>
      </c>
      <c r="HPD16" s="3" t="s">
        <v>77</v>
      </c>
      <c r="HPE16" s="3" t="s">
        <v>76</v>
      </c>
      <c r="HPF16" s="3" t="s">
        <v>77</v>
      </c>
      <c r="HPG16" s="3" t="s">
        <v>76</v>
      </c>
      <c r="HPH16" s="3" t="s">
        <v>77</v>
      </c>
      <c r="HPI16" s="3" t="s">
        <v>76</v>
      </c>
      <c r="HPJ16" s="3" t="s">
        <v>77</v>
      </c>
      <c r="HPK16" s="3" t="s">
        <v>76</v>
      </c>
      <c r="HPL16" s="3" t="s">
        <v>77</v>
      </c>
      <c r="HPM16" s="3" t="s">
        <v>76</v>
      </c>
      <c r="HPN16" s="3" t="s">
        <v>77</v>
      </c>
      <c r="HPO16" s="3" t="s">
        <v>76</v>
      </c>
      <c r="HPP16" s="3" t="s">
        <v>77</v>
      </c>
      <c r="HPQ16" s="3" t="s">
        <v>76</v>
      </c>
      <c r="HPR16" s="3" t="s">
        <v>77</v>
      </c>
      <c r="HPS16" s="3" t="s">
        <v>76</v>
      </c>
      <c r="HPT16" s="3" t="s">
        <v>77</v>
      </c>
      <c r="HPU16" s="3" t="s">
        <v>76</v>
      </c>
      <c r="HPV16" s="3" t="s">
        <v>77</v>
      </c>
      <c r="HPW16" s="3" t="s">
        <v>76</v>
      </c>
      <c r="HPX16" s="3" t="s">
        <v>77</v>
      </c>
      <c r="HPY16" s="3" t="s">
        <v>76</v>
      </c>
      <c r="HPZ16" s="3" t="s">
        <v>77</v>
      </c>
      <c r="HQA16" s="3" t="s">
        <v>76</v>
      </c>
      <c r="HQB16" s="3" t="s">
        <v>77</v>
      </c>
      <c r="HQC16" s="3" t="s">
        <v>76</v>
      </c>
      <c r="HQD16" s="3" t="s">
        <v>77</v>
      </c>
      <c r="HQE16" s="3" t="s">
        <v>76</v>
      </c>
      <c r="HQF16" s="3" t="s">
        <v>77</v>
      </c>
      <c r="HQG16" s="3" t="s">
        <v>76</v>
      </c>
      <c r="HQH16" s="3" t="s">
        <v>77</v>
      </c>
      <c r="HQI16" s="3" t="s">
        <v>76</v>
      </c>
      <c r="HQJ16" s="3" t="s">
        <v>77</v>
      </c>
      <c r="HQK16" s="3" t="s">
        <v>76</v>
      </c>
      <c r="HQL16" s="3" t="s">
        <v>77</v>
      </c>
      <c r="HQM16" s="3" t="s">
        <v>76</v>
      </c>
      <c r="HQN16" s="3" t="s">
        <v>77</v>
      </c>
      <c r="HQO16" s="3" t="s">
        <v>76</v>
      </c>
      <c r="HQP16" s="3" t="s">
        <v>77</v>
      </c>
      <c r="HQQ16" s="3" t="s">
        <v>76</v>
      </c>
      <c r="HQR16" s="3" t="s">
        <v>77</v>
      </c>
      <c r="HQS16" s="3" t="s">
        <v>76</v>
      </c>
      <c r="HQT16" s="3" t="s">
        <v>77</v>
      </c>
      <c r="HQU16" s="3" t="s">
        <v>76</v>
      </c>
      <c r="HQV16" s="3" t="s">
        <v>77</v>
      </c>
      <c r="HQW16" s="3" t="s">
        <v>76</v>
      </c>
      <c r="HQX16" s="3" t="s">
        <v>77</v>
      </c>
      <c r="HQY16" s="3" t="s">
        <v>76</v>
      </c>
      <c r="HQZ16" s="3" t="s">
        <v>77</v>
      </c>
      <c r="HRA16" s="3" t="s">
        <v>76</v>
      </c>
      <c r="HRB16" s="3" t="s">
        <v>77</v>
      </c>
      <c r="HRC16" s="3" t="s">
        <v>76</v>
      </c>
      <c r="HRD16" s="3" t="s">
        <v>77</v>
      </c>
      <c r="HRE16" s="3" t="s">
        <v>76</v>
      </c>
      <c r="HRF16" s="3" t="s">
        <v>77</v>
      </c>
      <c r="HRG16" s="3" t="s">
        <v>76</v>
      </c>
      <c r="HRH16" s="3" t="s">
        <v>77</v>
      </c>
      <c r="HRI16" s="3" t="s">
        <v>76</v>
      </c>
      <c r="HRJ16" s="3" t="s">
        <v>77</v>
      </c>
      <c r="HRK16" s="3" t="s">
        <v>76</v>
      </c>
      <c r="HRL16" s="3" t="s">
        <v>77</v>
      </c>
      <c r="HRM16" s="3" t="s">
        <v>76</v>
      </c>
      <c r="HRN16" s="3" t="s">
        <v>77</v>
      </c>
      <c r="HRO16" s="3" t="s">
        <v>76</v>
      </c>
      <c r="HRP16" s="3" t="s">
        <v>77</v>
      </c>
      <c r="HRQ16" s="3" t="s">
        <v>76</v>
      </c>
      <c r="HRR16" s="3" t="s">
        <v>77</v>
      </c>
      <c r="HRS16" s="3" t="s">
        <v>76</v>
      </c>
      <c r="HRT16" s="3" t="s">
        <v>77</v>
      </c>
      <c r="HRU16" s="3" t="s">
        <v>76</v>
      </c>
      <c r="HRV16" s="3" t="s">
        <v>77</v>
      </c>
      <c r="HRW16" s="3" t="s">
        <v>76</v>
      </c>
      <c r="HRX16" s="3" t="s">
        <v>77</v>
      </c>
      <c r="HRY16" s="3" t="s">
        <v>76</v>
      </c>
      <c r="HRZ16" s="3" t="s">
        <v>77</v>
      </c>
      <c r="HSA16" s="3" t="s">
        <v>76</v>
      </c>
      <c r="HSB16" s="3" t="s">
        <v>77</v>
      </c>
      <c r="HSC16" s="3" t="s">
        <v>76</v>
      </c>
      <c r="HSD16" s="3" t="s">
        <v>77</v>
      </c>
      <c r="HSE16" s="3" t="s">
        <v>76</v>
      </c>
      <c r="HSF16" s="3" t="s">
        <v>77</v>
      </c>
      <c r="HSG16" s="3" t="s">
        <v>76</v>
      </c>
      <c r="HSH16" s="3" t="s">
        <v>77</v>
      </c>
      <c r="HSI16" s="3" t="s">
        <v>76</v>
      </c>
      <c r="HSJ16" s="3" t="s">
        <v>77</v>
      </c>
      <c r="HSK16" s="3" t="s">
        <v>76</v>
      </c>
      <c r="HSL16" s="3" t="s">
        <v>77</v>
      </c>
      <c r="HSM16" s="3" t="s">
        <v>76</v>
      </c>
      <c r="HSN16" s="3" t="s">
        <v>77</v>
      </c>
      <c r="HSO16" s="3" t="s">
        <v>76</v>
      </c>
      <c r="HSP16" s="3" t="s">
        <v>77</v>
      </c>
      <c r="HSQ16" s="3" t="s">
        <v>76</v>
      </c>
      <c r="HSR16" s="3" t="s">
        <v>77</v>
      </c>
      <c r="HSS16" s="3" t="s">
        <v>76</v>
      </c>
      <c r="HST16" s="3" t="s">
        <v>77</v>
      </c>
      <c r="HSU16" s="3" t="s">
        <v>76</v>
      </c>
      <c r="HSV16" s="3" t="s">
        <v>77</v>
      </c>
      <c r="HSW16" s="3" t="s">
        <v>76</v>
      </c>
      <c r="HSX16" s="3" t="s">
        <v>77</v>
      </c>
      <c r="HSY16" s="3" t="s">
        <v>76</v>
      </c>
      <c r="HSZ16" s="3" t="s">
        <v>77</v>
      </c>
      <c r="HTA16" s="3" t="s">
        <v>76</v>
      </c>
      <c r="HTB16" s="3" t="s">
        <v>77</v>
      </c>
      <c r="HTC16" s="3" t="s">
        <v>76</v>
      </c>
      <c r="HTD16" s="3" t="s">
        <v>77</v>
      </c>
      <c r="HTE16" s="3" t="s">
        <v>76</v>
      </c>
      <c r="HTF16" s="3" t="s">
        <v>77</v>
      </c>
      <c r="HTG16" s="3" t="s">
        <v>76</v>
      </c>
      <c r="HTH16" s="3" t="s">
        <v>77</v>
      </c>
      <c r="HTI16" s="3" t="s">
        <v>76</v>
      </c>
      <c r="HTJ16" s="3" t="s">
        <v>77</v>
      </c>
      <c r="HTK16" s="3" t="s">
        <v>76</v>
      </c>
      <c r="HTL16" s="3" t="s">
        <v>77</v>
      </c>
      <c r="HTM16" s="3" t="s">
        <v>76</v>
      </c>
      <c r="HTN16" s="3" t="s">
        <v>77</v>
      </c>
      <c r="HTO16" s="3" t="s">
        <v>76</v>
      </c>
      <c r="HTP16" s="3" t="s">
        <v>77</v>
      </c>
      <c r="HTQ16" s="3" t="s">
        <v>76</v>
      </c>
      <c r="HTR16" s="3" t="s">
        <v>77</v>
      </c>
      <c r="HTS16" s="3" t="s">
        <v>76</v>
      </c>
      <c r="HTT16" s="3" t="s">
        <v>77</v>
      </c>
      <c r="HTU16" s="3" t="s">
        <v>76</v>
      </c>
      <c r="HTV16" s="3" t="s">
        <v>77</v>
      </c>
      <c r="HTW16" s="3" t="s">
        <v>76</v>
      </c>
      <c r="HTX16" s="3" t="s">
        <v>77</v>
      </c>
      <c r="HTY16" s="3" t="s">
        <v>76</v>
      </c>
      <c r="HTZ16" s="3" t="s">
        <v>77</v>
      </c>
      <c r="HUA16" s="3" t="s">
        <v>76</v>
      </c>
      <c r="HUB16" s="3" t="s">
        <v>77</v>
      </c>
      <c r="HUC16" s="3" t="s">
        <v>76</v>
      </c>
      <c r="HUD16" s="3" t="s">
        <v>77</v>
      </c>
      <c r="HUE16" s="3" t="s">
        <v>76</v>
      </c>
      <c r="HUF16" s="3" t="s">
        <v>77</v>
      </c>
      <c r="HUG16" s="3" t="s">
        <v>76</v>
      </c>
      <c r="HUH16" s="3" t="s">
        <v>77</v>
      </c>
      <c r="HUI16" s="3" t="s">
        <v>76</v>
      </c>
      <c r="HUJ16" s="3" t="s">
        <v>77</v>
      </c>
      <c r="HUK16" s="3" t="s">
        <v>76</v>
      </c>
      <c r="HUL16" s="3" t="s">
        <v>77</v>
      </c>
      <c r="HUM16" s="3" t="s">
        <v>76</v>
      </c>
      <c r="HUN16" s="3" t="s">
        <v>77</v>
      </c>
      <c r="HUO16" s="3" t="s">
        <v>76</v>
      </c>
      <c r="HUP16" s="3" t="s">
        <v>77</v>
      </c>
      <c r="HUQ16" s="3" t="s">
        <v>76</v>
      </c>
      <c r="HUR16" s="3" t="s">
        <v>77</v>
      </c>
      <c r="HUS16" s="3" t="s">
        <v>76</v>
      </c>
      <c r="HUT16" s="3" t="s">
        <v>77</v>
      </c>
      <c r="HUU16" s="3" t="s">
        <v>76</v>
      </c>
      <c r="HUV16" s="3" t="s">
        <v>77</v>
      </c>
      <c r="HUW16" s="3" t="s">
        <v>76</v>
      </c>
      <c r="HUX16" s="3" t="s">
        <v>77</v>
      </c>
      <c r="HUY16" s="3" t="s">
        <v>76</v>
      </c>
      <c r="HUZ16" s="3" t="s">
        <v>77</v>
      </c>
      <c r="HVA16" s="3" t="s">
        <v>76</v>
      </c>
      <c r="HVB16" s="3" t="s">
        <v>77</v>
      </c>
      <c r="HVC16" s="3" t="s">
        <v>76</v>
      </c>
      <c r="HVD16" s="3" t="s">
        <v>77</v>
      </c>
      <c r="HVE16" s="3" t="s">
        <v>76</v>
      </c>
      <c r="HVF16" s="3" t="s">
        <v>77</v>
      </c>
      <c r="HVG16" s="3" t="s">
        <v>76</v>
      </c>
      <c r="HVH16" s="3" t="s">
        <v>77</v>
      </c>
      <c r="HVI16" s="3" t="s">
        <v>76</v>
      </c>
      <c r="HVJ16" s="3" t="s">
        <v>77</v>
      </c>
      <c r="HVK16" s="3" t="s">
        <v>76</v>
      </c>
      <c r="HVL16" s="3" t="s">
        <v>77</v>
      </c>
      <c r="HVM16" s="3" t="s">
        <v>76</v>
      </c>
      <c r="HVN16" s="3" t="s">
        <v>77</v>
      </c>
      <c r="HVO16" s="3" t="s">
        <v>76</v>
      </c>
      <c r="HVP16" s="3" t="s">
        <v>77</v>
      </c>
      <c r="HVQ16" s="3" t="s">
        <v>76</v>
      </c>
      <c r="HVR16" s="3" t="s">
        <v>77</v>
      </c>
      <c r="HVS16" s="3" t="s">
        <v>76</v>
      </c>
      <c r="HVT16" s="3" t="s">
        <v>77</v>
      </c>
      <c r="HVU16" s="3" t="s">
        <v>76</v>
      </c>
      <c r="HVV16" s="3" t="s">
        <v>77</v>
      </c>
      <c r="HVW16" s="3" t="s">
        <v>76</v>
      </c>
      <c r="HVX16" s="3" t="s">
        <v>77</v>
      </c>
      <c r="HVY16" s="3" t="s">
        <v>76</v>
      </c>
      <c r="HVZ16" s="3" t="s">
        <v>77</v>
      </c>
      <c r="HWA16" s="3" t="s">
        <v>76</v>
      </c>
      <c r="HWB16" s="3" t="s">
        <v>77</v>
      </c>
      <c r="HWC16" s="3" t="s">
        <v>76</v>
      </c>
      <c r="HWD16" s="3" t="s">
        <v>77</v>
      </c>
      <c r="HWE16" s="3" t="s">
        <v>76</v>
      </c>
      <c r="HWF16" s="3" t="s">
        <v>77</v>
      </c>
      <c r="HWG16" s="3" t="s">
        <v>76</v>
      </c>
      <c r="HWH16" s="3" t="s">
        <v>77</v>
      </c>
      <c r="HWI16" s="3" t="s">
        <v>76</v>
      </c>
      <c r="HWJ16" s="3" t="s">
        <v>77</v>
      </c>
      <c r="HWK16" s="3" t="s">
        <v>76</v>
      </c>
      <c r="HWL16" s="3" t="s">
        <v>77</v>
      </c>
      <c r="HWM16" s="3" t="s">
        <v>76</v>
      </c>
      <c r="HWN16" s="3" t="s">
        <v>77</v>
      </c>
      <c r="HWO16" s="3" t="s">
        <v>76</v>
      </c>
      <c r="HWP16" s="3" t="s">
        <v>77</v>
      </c>
      <c r="HWQ16" s="3" t="s">
        <v>76</v>
      </c>
      <c r="HWR16" s="3" t="s">
        <v>77</v>
      </c>
      <c r="HWS16" s="3" t="s">
        <v>76</v>
      </c>
      <c r="HWT16" s="3" t="s">
        <v>77</v>
      </c>
      <c r="HWU16" s="3" t="s">
        <v>76</v>
      </c>
      <c r="HWV16" s="3" t="s">
        <v>77</v>
      </c>
      <c r="HWW16" s="3" t="s">
        <v>76</v>
      </c>
      <c r="HWX16" s="3" t="s">
        <v>77</v>
      </c>
      <c r="HWY16" s="3" t="s">
        <v>76</v>
      </c>
      <c r="HWZ16" s="3" t="s">
        <v>77</v>
      </c>
      <c r="HXA16" s="3" t="s">
        <v>76</v>
      </c>
      <c r="HXB16" s="3" t="s">
        <v>77</v>
      </c>
      <c r="HXC16" s="3" t="s">
        <v>76</v>
      </c>
      <c r="HXD16" s="3" t="s">
        <v>77</v>
      </c>
      <c r="HXE16" s="3" t="s">
        <v>76</v>
      </c>
      <c r="HXF16" s="3" t="s">
        <v>77</v>
      </c>
      <c r="HXG16" s="3" t="s">
        <v>76</v>
      </c>
      <c r="HXH16" s="3" t="s">
        <v>77</v>
      </c>
      <c r="HXI16" s="3" t="s">
        <v>76</v>
      </c>
      <c r="HXJ16" s="3" t="s">
        <v>77</v>
      </c>
      <c r="HXK16" s="3" t="s">
        <v>76</v>
      </c>
      <c r="HXL16" s="3" t="s">
        <v>77</v>
      </c>
      <c r="HXM16" s="3" t="s">
        <v>76</v>
      </c>
      <c r="HXN16" s="3" t="s">
        <v>77</v>
      </c>
      <c r="HXO16" s="3" t="s">
        <v>76</v>
      </c>
      <c r="HXP16" s="3" t="s">
        <v>77</v>
      </c>
      <c r="HXQ16" s="3" t="s">
        <v>76</v>
      </c>
      <c r="HXR16" s="3" t="s">
        <v>77</v>
      </c>
      <c r="HXS16" s="3" t="s">
        <v>76</v>
      </c>
      <c r="HXT16" s="3" t="s">
        <v>77</v>
      </c>
      <c r="HXU16" s="3" t="s">
        <v>76</v>
      </c>
      <c r="HXV16" s="3" t="s">
        <v>77</v>
      </c>
      <c r="HXW16" s="3" t="s">
        <v>76</v>
      </c>
      <c r="HXX16" s="3" t="s">
        <v>77</v>
      </c>
      <c r="HXY16" s="3" t="s">
        <v>76</v>
      </c>
      <c r="HXZ16" s="3" t="s">
        <v>77</v>
      </c>
      <c r="HYA16" s="3" t="s">
        <v>76</v>
      </c>
      <c r="HYB16" s="3" t="s">
        <v>77</v>
      </c>
      <c r="HYC16" s="3" t="s">
        <v>76</v>
      </c>
      <c r="HYD16" s="3" t="s">
        <v>77</v>
      </c>
      <c r="HYE16" s="3" t="s">
        <v>76</v>
      </c>
      <c r="HYF16" s="3" t="s">
        <v>77</v>
      </c>
      <c r="HYG16" s="3" t="s">
        <v>76</v>
      </c>
      <c r="HYH16" s="3" t="s">
        <v>77</v>
      </c>
      <c r="HYI16" s="3" t="s">
        <v>76</v>
      </c>
      <c r="HYJ16" s="3" t="s">
        <v>77</v>
      </c>
      <c r="HYK16" s="3" t="s">
        <v>76</v>
      </c>
      <c r="HYL16" s="3" t="s">
        <v>77</v>
      </c>
      <c r="HYM16" s="3" t="s">
        <v>76</v>
      </c>
      <c r="HYN16" s="3" t="s">
        <v>77</v>
      </c>
      <c r="HYO16" s="3" t="s">
        <v>76</v>
      </c>
      <c r="HYP16" s="3" t="s">
        <v>77</v>
      </c>
      <c r="HYQ16" s="3" t="s">
        <v>76</v>
      </c>
      <c r="HYR16" s="3" t="s">
        <v>77</v>
      </c>
      <c r="HYS16" s="3" t="s">
        <v>76</v>
      </c>
      <c r="HYT16" s="3" t="s">
        <v>77</v>
      </c>
      <c r="HYU16" s="3" t="s">
        <v>76</v>
      </c>
      <c r="HYV16" s="3" t="s">
        <v>77</v>
      </c>
      <c r="HYW16" s="3" t="s">
        <v>76</v>
      </c>
      <c r="HYX16" s="3" t="s">
        <v>77</v>
      </c>
      <c r="HYY16" s="3" t="s">
        <v>76</v>
      </c>
      <c r="HYZ16" s="3" t="s">
        <v>77</v>
      </c>
      <c r="HZA16" s="3" t="s">
        <v>76</v>
      </c>
      <c r="HZB16" s="3" t="s">
        <v>77</v>
      </c>
      <c r="HZC16" s="3" t="s">
        <v>76</v>
      </c>
      <c r="HZD16" s="3" t="s">
        <v>77</v>
      </c>
      <c r="HZE16" s="3" t="s">
        <v>76</v>
      </c>
      <c r="HZF16" s="3" t="s">
        <v>77</v>
      </c>
      <c r="HZG16" s="3" t="s">
        <v>76</v>
      </c>
      <c r="HZH16" s="3" t="s">
        <v>77</v>
      </c>
      <c r="HZI16" s="3" t="s">
        <v>76</v>
      </c>
      <c r="HZJ16" s="3" t="s">
        <v>77</v>
      </c>
      <c r="HZK16" s="3" t="s">
        <v>76</v>
      </c>
      <c r="HZL16" s="3" t="s">
        <v>77</v>
      </c>
      <c r="HZM16" s="3" t="s">
        <v>76</v>
      </c>
      <c r="HZN16" s="3" t="s">
        <v>77</v>
      </c>
      <c r="HZO16" s="3" t="s">
        <v>76</v>
      </c>
      <c r="HZP16" s="3" t="s">
        <v>77</v>
      </c>
      <c r="HZQ16" s="3" t="s">
        <v>76</v>
      </c>
      <c r="HZR16" s="3" t="s">
        <v>77</v>
      </c>
      <c r="HZS16" s="3" t="s">
        <v>76</v>
      </c>
      <c r="HZT16" s="3" t="s">
        <v>77</v>
      </c>
      <c r="HZU16" s="3" t="s">
        <v>76</v>
      </c>
      <c r="HZV16" s="3" t="s">
        <v>77</v>
      </c>
      <c r="HZW16" s="3" t="s">
        <v>76</v>
      </c>
      <c r="HZX16" s="3" t="s">
        <v>77</v>
      </c>
      <c r="HZY16" s="3" t="s">
        <v>76</v>
      </c>
      <c r="HZZ16" s="3" t="s">
        <v>77</v>
      </c>
      <c r="IAA16" s="3" t="s">
        <v>76</v>
      </c>
      <c r="IAB16" s="3" t="s">
        <v>77</v>
      </c>
      <c r="IAC16" s="3" t="s">
        <v>76</v>
      </c>
      <c r="IAD16" s="3" t="s">
        <v>77</v>
      </c>
      <c r="IAE16" s="3" t="s">
        <v>76</v>
      </c>
      <c r="IAF16" s="3" t="s">
        <v>77</v>
      </c>
      <c r="IAG16" s="3" t="s">
        <v>76</v>
      </c>
      <c r="IAH16" s="3" t="s">
        <v>77</v>
      </c>
      <c r="IAI16" s="3" t="s">
        <v>76</v>
      </c>
      <c r="IAJ16" s="3" t="s">
        <v>77</v>
      </c>
      <c r="IAK16" s="3" t="s">
        <v>76</v>
      </c>
      <c r="IAL16" s="3" t="s">
        <v>77</v>
      </c>
      <c r="IAM16" s="3" t="s">
        <v>76</v>
      </c>
      <c r="IAN16" s="3" t="s">
        <v>77</v>
      </c>
      <c r="IAO16" s="3" t="s">
        <v>76</v>
      </c>
      <c r="IAP16" s="3" t="s">
        <v>77</v>
      </c>
      <c r="IAQ16" s="3" t="s">
        <v>76</v>
      </c>
      <c r="IAR16" s="3" t="s">
        <v>77</v>
      </c>
      <c r="IAS16" s="3" t="s">
        <v>76</v>
      </c>
      <c r="IAT16" s="3" t="s">
        <v>77</v>
      </c>
      <c r="IAU16" s="3" t="s">
        <v>76</v>
      </c>
      <c r="IAV16" s="3" t="s">
        <v>77</v>
      </c>
      <c r="IAW16" s="3" t="s">
        <v>76</v>
      </c>
      <c r="IAX16" s="3" t="s">
        <v>77</v>
      </c>
      <c r="IAY16" s="3" t="s">
        <v>76</v>
      </c>
      <c r="IAZ16" s="3" t="s">
        <v>77</v>
      </c>
      <c r="IBA16" s="3" t="s">
        <v>76</v>
      </c>
      <c r="IBB16" s="3" t="s">
        <v>77</v>
      </c>
      <c r="IBC16" s="3" t="s">
        <v>76</v>
      </c>
      <c r="IBD16" s="3" t="s">
        <v>77</v>
      </c>
      <c r="IBE16" s="3" t="s">
        <v>76</v>
      </c>
      <c r="IBF16" s="3" t="s">
        <v>77</v>
      </c>
      <c r="IBG16" s="3" t="s">
        <v>76</v>
      </c>
      <c r="IBH16" s="3" t="s">
        <v>77</v>
      </c>
      <c r="IBI16" s="3" t="s">
        <v>76</v>
      </c>
      <c r="IBJ16" s="3" t="s">
        <v>77</v>
      </c>
      <c r="IBK16" s="3" t="s">
        <v>76</v>
      </c>
      <c r="IBL16" s="3" t="s">
        <v>77</v>
      </c>
      <c r="IBM16" s="3" t="s">
        <v>76</v>
      </c>
      <c r="IBN16" s="3" t="s">
        <v>77</v>
      </c>
      <c r="IBO16" s="3" t="s">
        <v>76</v>
      </c>
      <c r="IBP16" s="3" t="s">
        <v>77</v>
      </c>
      <c r="IBQ16" s="3" t="s">
        <v>76</v>
      </c>
      <c r="IBR16" s="3" t="s">
        <v>77</v>
      </c>
      <c r="IBS16" s="3" t="s">
        <v>76</v>
      </c>
      <c r="IBT16" s="3" t="s">
        <v>77</v>
      </c>
      <c r="IBU16" s="3" t="s">
        <v>76</v>
      </c>
      <c r="IBV16" s="3" t="s">
        <v>77</v>
      </c>
      <c r="IBW16" s="3" t="s">
        <v>76</v>
      </c>
      <c r="IBX16" s="3" t="s">
        <v>77</v>
      </c>
      <c r="IBY16" s="3" t="s">
        <v>76</v>
      </c>
      <c r="IBZ16" s="3" t="s">
        <v>77</v>
      </c>
      <c r="ICA16" s="3" t="s">
        <v>76</v>
      </c>
      <c r="ICB16" s="3" t="s">
        <v>77</v>
      </c>
      <c r="ICC16" s="3" t="s">
        <v>76</v>
      </c>
      <c r="ICD16" s="3" t="s">
        <v>77</v>
      </c>
      <c r="ICE16" s="3" t="s">
        <v>76</v>
      </c>
      <c r="ICF16" s="3" t="s">
        <v>77</v>
      </c>
      <c r="ICG16" s="3" t="s">
        <v>76</v>
      </c>
      <c r="ICH16" s="3" t="s">
        <v>77</v>
      </c>
      <c r="ICI16" s="3" t="s">
        <v>76</v>
      </c>
      <c r="ICJ16" s="3" t="s">
        <v>77</v>
      </c>
      <c r="ICK16" s="3" t="s">
        <v>76</v>
      </c>
      <c r="ICL16" s="3" t="s">
        <v>77</v>
      </c>
      <c r="ICM16" s="3" t="s">
        <v>76</v>
      </c>
      <c r="ICN16" s="3" t="s">
        <v>77</v>
      </c>
      <c r="ICO16" s="3" t="s">
        <v>76</v>
      </c>
      <c r="ICP16" s="3" t="s">
        <v>77</v>
      </c>
      <c r="ICQ16" s="3" t="s">
        <v>76</v>
      </c>
      <c r="ICR16" s="3" t="s">
        <v>77</v>
      </c>
      <c r="ICS16" s="3" t="s">
        <v>76</v>
      </c>
      <c r="ICT16" s="3" t="s">
        <v>77</v>
      </c>
      <c r="ICU16" s="3" t="s">
        <v>76</v>
      </c>
      <c r="ICV16" s="3" t="s">
        <v>77</v>
      </c>
      <c r="ICW16" s="3" t="s">
        <v>76</v>
      </c>
      <c r="ICX16" s="3" t="s">
        <v>77</v>
      </c>
      <c r="ICY16" s="3" t="s">
        <v>76</v>
      </c>
      <c r="ICZ16" s="3" t="s">
        <v>77</v>
      </c>
      <c r="IDA16" s="3" t="s">
        <v>76</v>
      </c>
      <c r="IDB16" s="3" t="s">
        <v>77</v>
      </c>
      <c r="IDC16" s="3" t="s">
        <v>76</v>
      </c>
      <c r="IDD16" s="3" t="s">
        <v>77</v>
      </c>
      <c r="IDE16" s="3" t="s">
        <v>76</v>
      </c>
      <c r="IDF16" s="3" t="s">
        <v>77</v>
      </c>
      <c r="IDG16" s="3" t="s">
        <v>76</v>
      </c>
      <c r="IDH16" s="3" t="s">
        <v>77</v>
      </c>
      <c r="IDI16" s="3" t="s">
        <v>76</v>
      </c>
      <c r="IDJ16" s="3" t="s">
        <v>77</v>
      </c>
      <c r="IDK16" s="3" t="s">
        <v>76</v>
      </c>
      <c r="IDL16" s="3" t="s">
        <v>77</v>
      </c>
      <c r="IDM16" s="3" t="s">
        <v>76</v>
      </c>
      <c r="IDN16" s="3" t="s">
        <v>77</v>
      </c>
      <c r="IDO16" s="3" t="s">
        <v>76</v>
      </c>
      <c r="IDP16" s="3" t="s">
        <v>77</v>
      </c>
      <c r="IDQ16" s="3" t="s">
        <v>76</v>
      </c>
      <c r="IDR16" s="3" t="s">
        <v>77</v>
      </c>
      <c r="IDS16" s="3" t="s">
        <v>76</v>
      </c>
      <c r="IDT16" s="3" t="s">
        <v>77</v>
      </c>
      <c r="IDU16" s="3" t="s">
        <v>76</v>
      </c>
      <c r="IDV16" s="3" t="s">
        <v>77</v>
      </c>
      <c r="IDW16" s="3" t="s">
        <v>76</v>
      </c>
      <c r="IDX16" s="3" t="s">
        <v>77</v>
      </c>
      <c r="IDY16" s="3" t="s">
        <v>76</v>
      </c>
      <c r="IDZ16" s="3" t="s">
        <v>77</v>
      </c>
      <c r="IEA16" s="3" t="s">
        <v>76</v>
      </c>
      <c r="IEB16" s="3" t="s">
        <v>77</v>
      </c>
      <c r="IEC16" s="3" t="s">
        <v>76</v>
      </c>
      <c r="IED16" s="3" t="s">
        <v>77</v>
      </c>
      <c r="IEE16" s="3" t="s">
        <v>76</v>
      </c>
      <c r="IEF16" s="3" t="s">
        <v>77</v>
      </c>
      <c r="IEG16" s="3" t="s">
        <v>76</v>
      </c>
      <c r="IEH16" s="3" t="s">
        <v>77</v>
      </c>
      <c r="IEI16" s="3" t="s">
        <v>76</v>
      </c>
      <c r="IEJ16" s="3" t="s">
        <v>77</v>
      </c>
      <c r="IEK16" s="3" t="s">
        <v>76</v>
      </c>
      <c r="IEL16" s="3" t="s">
        <v>77</v>
      </c>
      <c r="IEM16" s="3" t="s">
        <v>76</v>
      </c>
      <c r="IEN16" s="3" t="s">
        <v>77</v>
      </c>
      <c r="IEO16" s="3" t="s">
        <v>76</v>
      </c>
      <c r="IEP16" s="3" t="s">
        <v>77</v>
      </c>
      <c r="IEQ16" s="3" t="s">
        <v>76</v>
      </c>
      <c r="IER16" s="3" t="s">
        <v>77</v>
      </c>
      <c r="IES16" s="3" t="s">
        <v>76</v>
      </c>
      <c r="IET16" s="3" t="s">
        <v>77</v>
      </c>
      <c r="IEU16" s="3" t="s">
        <v>76</v>
      </c>
      <c r="IEV16" s="3" t="s">
        <v>77</v>
      </c>
      <c r="IEW16" s="3" t="s">
        <v>76</v>
      </c>
      <c r="IEX16" s="3" t="s">
        <v>77</v>
      </c>
      <c r="IEY16" s="3" t="s">
        <v>76</v>
      </c>
      <c r="IEZ16" s="3" t="s">
        <v>77</v>
      </c>
      <c r="IFA16" s="3" t="s">
        <v>76</v>
      </c>
      <c r="IFB16" s="3" t="s">
        <v>77</v>
      </c>
      <c r="IFC16" s="3" t="s">
        <v>76</v>
      </c>
      <c r="IFD16" s="3" t="s">
        <v>77</v>
      </c>
      <c r="IFE16" s="3" t="s">
        <v>76</v>
      </c>
      <c r="IFF16" s="3" t="s">
        <v>77</v>
      </c>
      <c r="IFG16" s="3" t="s">
        <v>76</v>
      </c>
      <c r="IFH16" s="3" t="s">
        <v>77</v>
      </c>
      <c r="IFI16" s="3" t="s">
        <v>76</v>
      </c>
      <c r="IFJ16" s="3" t="s">
        <v>77</v>
      </c>
      <c r="IFK16" s="3" t="s">
        <v>76</v>
      </c>
      <c r="IFL16" s="3" t="s">
        <v>77</v>
      </c>
      <c r="IFM16" s="3" t="s">
        <v>76</v>
      </c>
      <c r="IFN16" s="3" t="s">
        <v>77</v>
      </c>
      <c r="IFO16" s="3" t="s">
        <v>76</v>
      </c>
      <c r="IFP16" s="3" t="s">
        <v>77</v>
      </c>
      <c r="IFQ16" s="3" t="s">
        <v>76</v>
      </c>
      <c r="IFR16" s="3" t="s">
        <v>77</v>
      </c>
      <c r="IFS16" s="3" t="s">
        <v>76</v>
      </c>
      <c r="IFT16" s="3" t="s">
        <v>77</v>
      </c>
      <c r="IFU16" s="3" t="s">
        <v>76</v>
      </c>
      <c r="IFV16" s="3" t="s">
        <v>77</v>
      </c>
      <c r="IFW16" s="3" t="s">
        <v>76</v>
      </c>
      <c r="IFX16" s="3" t="s">
        <v>77</v>
      </c>
      <c r="IFY16" s="3" t="s">
        <v>76</v>
      </c>
      <c r="IFZ16" s="3" t="s">
        <v>77</v>
      </c>
      <c r="IGA16" s="3" t="s">
        <v>76</v>
      </c>
      <c r="IGB16" s="3" t="s">
        <v>77</v>
      </c>
      <c r="IGC16" s="3" t="s">
        <v>76</v>
      </c>
      <c r="IGD16" s="3" t="s">
        <v>77</v>
      </c>
      <c r="IGE16" s="3" t="s">
        <v>76</v>
      </c>
      <c r="IGF16" s="3" t="s">
        <v>77</v>
      </c>
      <c r="IGG16" s="3" t="s">
        <v>76</v>
      </c>
      <c r="IGH16" s="3" t="s">
        <v>77</v>
      </c>
      <c r="IGI16" s="3" t="s">
        <v>76</v>
      </c>
      <c r="IGJ16" s="3" t="s">
        <v>77</v>
      </c>
      <c r="IGK16" s="3" t="s">
        <v>76</v>
      </c>
      <c r="IGL16" s="3" t="s">
        <v>77</v>
      </c>
      <c r="IGM16" s="3" t="s">
        <v>76</v>
      </c>
      <c r="IGN16" s="3" t="s">
        <v>77</v>
      </c>
      <c r="IGO16" s="3" t="s">
        <v>76</v>
      </c>
      <c r="IGP16" s="3" t="s">
        <v>77</v>
      </c>
      <c r="IGQ16" s="3" t="s">
        <v>76</v>
      </c>
      <c r="IGR16" s="3" t="s">
        <v>77</v>
      </c>
      <c r="IGS16" s="3" t="s">
        <v>76</v>
      </c>
      <c r="IGT16" s="3" t="s">
        <v>77</v>
      </c>
      <c r="IGU16" s="3" t="s">
        <v>76</v>
      </c>
      <c r="IGV16" s="3" t="s">
        <v>77</v>
      </c>
      <c r="IGW16" s="3" t="s">
        <v>76</v>
      </c>
      <c r="IGX16" s="3" t="s">
        <v>77</v>
      </c>
      <c r="IGY16" s="3" t="s">
        <v>76</v>
      </c>
      <c r="IGZ16" s="3" t="s">
        <v>77</v>
      </c>
      <c r="IHA16" s="3" t="s">
        <v>76</v>
      </c>
      <c r="IHB16" s="3" t="s">
        <v>77</v>
      </c>
      <c r="IHC16" s="3" t="s">
        <v>76</v>
      </c>
      <c r="IHD16" s="3" t="s">
        <v>77</v>
      </c>
      <c r="IHE16" s="3" t="s">
        <v>76</v>
      </c>
      <c r="IHF16" s="3" t="s">
        <v>77</v>
      </c>
      <c r="IHG16" s="3" t="s">
        <v>76</v>
      </c>
      <c r="IHH16" s="3" t="s">
        <v>77</v>
      </c>
      <c r="IHI16" s="3" t="s">
        <v>76</v>
      </c>
      <c r="IHJ16" s="3" t="s">
        <v>77</v>
      </c>
      <c r="IHK16" s="3" t="s">
        <v>76</v>
      </c>
      <c r="IHL16" s="3" t="s">
        <v>77</v>
      </c>
      <c r="IHM16" s="3" t="s">
        <v>76</v>
      </c>
      <c r="IHN16" s="3" t="s">
        <v>77</v>
      </c>
      <c r="IHO16" s="3" t="s">
        <v>76</v>
      </c>
      <c r="IHP16" s="3" t="s">
        <v>77</v>
      </c>
      <c r="IHQ16" s="3" t="s">
        <v>76</v>
      </c>
      <c r="IHR16" s="3" t="s">
        <v>77</v>
      </c>
      <c r="IHS16" s="3" t="s">
        <v>76</v>
      </c>
      <c r="IHT16" s="3" t="s">
        <v>77</v>
      </c>
      <c r="IHU16" s="3" t="s">
        <v>76</v>
      </c>
      <c r="IHV16" s="3" t="s">
        <v>77</v>
      </c>
      <c r="IHW16" s="3" t="s">
        <v>76</v>
      </c>
      <c r="IHX16" s="3" t="s">
        <v>77</v>
      </c>
      <c r="IHY16" s="3" t="s">
        <v>76</v>
      </c>
      <c r="IHZ16" s="3" t="s">
        <v>77</v>
      </c>
      <c r="IIA16" s="3" t="s">
        <v>76</v>
      </c>
      <c r="IIB16" s="3" t="s">
        <v>77</v>
      </c>
      <c r="IIC16" s="3" t="s">
        <v>76</v>
      </c>
      <c r="IID16" s="3" t="s">
        <v>77</v>
      </c>
      <c r="IIE16" s="3" t="s">
        <v>76</v>
      </c>
      <c r="IIF16" s="3" t="s">
        <v>77</v>
      </c>
      <c r="IIG16" s="3" t="s">
        <v>76</v>
      </c>
      <c r="IIH16" s="3" t="s">
        <v>77</v>
      </c>
      <c r="III16" s="3" t="s">
        <v>76</v>
      </c>
      <c r="IIJ16" s="3" t="s">
        <v>77</v>
      </c>
      <c r="IIK16" s="3" t="s">
        <v>76</v>
      </c>
      <c r="IIL16" s="3" t="s">
        <v>77</v>
      </c>
      <c r="IIM16" s="3" t="s">
        <v>76</v>
      </c>
      <c r="IIN16" s="3" t="s">
        <v>77</v>
      </c>
      <c r="IIO16" s="3" t="s">
        <v>76</v>
      </c>
      <c r="IIP16" s="3" t="s">
        <v>77</v>
      </c>
      <c r="IIQ16" s="3" t="s">
        <v>76</v>
      </c>
      <c r="IIR16" s="3" t="s">
        <v>77</v>
      </c>
      <c r="IIS16" s="3" t="s">
        <v>76</v>
      </c>
      <c r="IIT16" s="3" t="s">
        <v>77</v>
      </c>
      <c r="IIU16" s="3" t="s">
        <v>76</v>
      </c>
      <c r="IIV16" s="3" t="s">
        <v>77</v>
      </c>
      <c r="IIW16" s="3" t="s">
        <v>76</v>
      </c>
      <c r="IIX16" s="3" t="s">
        <v>77</v>
      </c>
      <c r="IIY16" s="3" t="s">
        <v>76</v>
      </c>
      <c r="IIZ16" s="3" t="s">
        <v>77</v>
      </c>
      <c r="IJA16" s="3" t="s">
        <v>76</v>
      </c>
      <c r="IJB16" s="3" t="s">
        <v>77</v>
      </c>
      <c r="IJC16" s="3" t="s">
        <v>76</v>
      </c>
      <c r="IJD16" s="3" t="s">
        <v>77</v>
      </c>
      <c r="IJE16" s="3" t="s">
        <v>76</v>
      </c>
      <c r="IJF16" s="3" t="s">
        <v>77</v>
      </c>
      <c r="IJG16" s="3" t="s">
        <v>76</v>
      </c>
      <c r="IJH16" s="3" t="s">
        <v>77</v>
      </c>
      <c r="IJI16" s="3" t="s">
        <v>76</v>
      </c>
      <c r="IJJ16" s="3" t="s">
        <v>77</v>
      </c>
      <c r="IJK16" s="3" t="s">
        <v>76</v>
      </c>
      <c r="IJL16" s="3" t="s">
        <v>77</v>
      </c>
      <c r="IJM16" s="3" t="s">
        <v>76</v>
      </c>
      <c r="IJN16" s="3" t="s">
        <v>77</v>
      </c>
      <c r="IJO16" s="3" t="s">
        <v>76</v>
      </c>
      <c r="IJP16" s="3" t="s">
        <v>77</v>
      </c>
      <c r="IJQ16" s="3" t="s">
        <v>76</v>
      </c>
      <c r="IJR16" s="3" t="s">
        <v>77</v>
      </c>
      <c r="IJS16" s="3" t="s">
        <v>76</v>
      </c>
      <c r="IJT16" s="3" t="s">
        <v>77</v>
      </c>
      <c r="IJU16" s="3" t="s">
        <v>76</v>
      </c>
      <c r="IJV16" s="3" t="s">
        <v>77</v>
      </c>
      <c r="IJW16" s="3" t="s">
        <v>76</v>
      </c>
      <c r="IJX16" s="3" t="s">
        <v>77</v>
      </c>
      <c r="IJY16" s="3" t="s">
        <v>76</v>
      </c>
      <c r="IJZ16" s="3" t="s">
        <v>77</v>
      </c>
      <c r="IKA16" s="3" t="s">
        <v>76</v>
      </c>
      <c r="IKB16" s="3" t="s">
        <v>77</v>
      </c>
      <c r="IKC16" s="3" t="s">
        <v>76</v>
      </c>
      <c r="IKD16" s="3" t="s">
        <v>77</v>
      </c>
      <c r="IKE16" s="3" t="s">
        <v>76</v>
      </c>
      <c r="IKF16" s="3" t="s">
        <v>77</v>
      </c>
      <c r="IKG16" s="3" t="s">
        <v>76</v>
      </c>
      <c r="IKH16" s="3" t="s">
        <v>77</v>
      </c>
      <c r="IKI16" s="3" t="s">
        <v>76</v>
      </c>
      <c r="IKJ16" s="3" t="s">
        <v>77</v>
      </c>
      <c r="IKK16" s="3" t="s">
        <v>76</v>
      </c>
      <c r="IKL16" s="3" t="s">
        <v>77</v>
      </c>
      <c r="IKM16" s="3" t="s">
        <v>76</v>
      </c>
      <c r="IKN16" s="3" t="s">
        <v>77</v>
      </c>
      <c r="IKO16" s="3" t="s">
        <v>76</v>
      </c>
      <c r="IKP16" s="3" t="s">
        <v>77</v>
      </c>
      <c r="IKQ16" s="3" t="s">
        <v>76</v>
      </c>
      <c r="IKR16" s="3" t="s">
        <v>77</v>
      </c>
      <c r="IKS16" s="3" t="s">
        <v>76</v>
      </c>
      <c r="IKT16" s="3" t="s">
        <v>77</v>
      </c>
      <c r="IKU16" s="3" t="s">
        <v>76</v>
      </c>
      <c r="IKV16" s="3" t="s">
        <v>77</v>
      </c>
      <c r="IKW16" s="3" t="s">
        <v>76</v>
      </c>
      <c r="IKX16" s="3" t="s">
        <v>77</v>
      </c>
      <c r="IKY16" s="3" t="s">
        <v>76</v>
      </c>
      <c r="IKZ16" s="3" t="s">
        <v>77</v>
      </c>
      <c r="ILA16" s="3" t="s">
        <v>76</v>
      </c>
      <c r="ILB16" s="3" t="s">
        <v>77</v>
      </c>
      <c r="ILC16" s="3" t="s">
        <v>76</v>
      </c>
      <c r="ILD16" s="3" t="s">
        <v>77</v>
      </c>
      <c r="ILE16" s="3" t="s">
        <v>76</v>
      </c>
      <c r="ILF16" s="3" t="s">
        <v>77</v>
      </c>
      <c r="ILG16" s="3" t="s">
        <v>76</v>
      </c>
      <c r="ILH16" s="3" t="s">
        <v>77</v>
      </c>
      <c r="ILI16" s="3" t="s">
        <v>76</v>
      </c>
      <c r="ILJ16" s="3" t="s">
        <v>77</v>
      </c>
      <c r="ILK16" s="3" t="s">
        <v>76</v>
      </c>
      <c r="ILL16" s="3" t="s">
        <v>77</v>
      </c>
      <c r="ILM16" s="3" t="s">
        <v>76</v>
      </c>
      <c r="ILN16" s="3" t="s">
        <v>77</v>
      </c>
      <c r="ILO16" s="3" t="s">
        <v>76</v>
      </c>
      <c r="ILP16" s="3" t="s">
        <v>77</v>
      </c>
      <c r="ILQ16" s="3" t="s">
        <v>76</v>
      </c>
      <c r="ILR16" s="3" t="s">
        <v>77</v>
      </c>
      <c r="ILS16" s="3" t="s">
        <v>76</v>
      </c>
      <c r="ILT16" s="3" t="s">
        <v>77</v>
      </c>
      <c r="ILU16" s="3" t="s">
        <v>76</v>
      </c>
      <c r="ILV16" s="3" t="s">
        <v>77</v>
      </c>
      <c r="ILW16" s="3" t="s">
        <v>76</v>
      </c>
      <c r="ILX16" s="3" t="s">
        <v>77</v>
      </c>
      <c r="ILY16" s="3" t="s">
        <v>76</v>
      </c>
      <c r="ILZ16" s="3" t="s">
        <v>77</v>
      </c>
      <c r="IMA16" s="3" t="s">
        <v>76</v>
      </c>
      <c r="IMB16" s="3" t="s">
        <v>77</v>
      </c>
      <c r="IMC16" s="3" t="s">
        <v>76</v>
      </c>
      <c r="IMD16" s="3" t="s">
        <v>77</v>
      </c>
      <c r="IME16" s="3" t="s">
        <v>76</v>
      </c>
      <c r="IMF16" s="3" t="s">
        <v>77</v>
      </c>
      <c r="IMG16" s="3" t="s">
        <v>76</v>
      </c>
      <c r="IMH16" s="3" t="s">
        <v>77</v>
      </c>
      <c r="IMI16" s="3" t="s">
        <v>76</v>
      </c>
      <c r="IMJ16" s="3" t="s">
        <v>77</v>
      </c>
      <c r="IMK16" s="3" t="s">
        <v>76</v>
      </c>
      <c r="IML16" s="3" t="s">
        <v>77</v>
      </c>
      <c r="IMM16" s="3" t="s">
        <v>76</v>
      </c>
      <c r="IMN16" s="3" t="s">
        <v>77</v>
      </c>
      <c r="IMO16" s="3" t="s">
        <v>76</v>
      </c>
      <c r="IMP16" s="3" t="s">
        <v>77</v>
      </c>
      <c r="IMQ16" s="3" t="s">
        <v>76</v>
      </c>
      <c r="IMR16" s="3" t="s">
        <v>77</v>
      </c>
      <c r="IMS16" s="3" t="s">
        <v>76</v>
      </c>
      <c r="IMT16" s="3" t="s">
        <v>77</v>
      </c>
      <c r="IMU16" s="3" t="s">
        <v>76</v>
      </c>
      <c r="IMV16" s="3" t="s">
        <v>77</v>
      </c>
      <c r="IMW16" s="3" t="s">
        <v>76</v>
      </c>
      <c r="IMX16" s="3" t="s">
        <v>77</v>
      </c>
      <c r="IMY16" s="3" t="s">
        <v>76</v>
      </c>
      <c r="IMZ16" s="3" t="s">
        <v>77</v>
      </c>
      <c r="INA16" s="3" t="s">
        <v>76</v>
      </c>
      <c r="INB16" s="3" t="s">
        <v>77</v>
      </c>
      <c r="INC16" s="3" t="s">
        <v>76</v>
      </c>
      <c r="IND16" s="3" t="s">
        <v>77</v>
      </c>
      <c r="INE16" s="3" t="s">
        <v>76</v>
      </c>
      <c r="INF16" s="3" t="s">
        <v>77</v>
      </c>
      <c r="ING16" s="3" t="s">
        <v>76</v>
      </c>
      <c r="INH16" s="3" t="s">
        <v>77</v>
      </c>
      <c r="INI16" s="3" t="s">
        <v>76</v>
      </c>
      <c r="INJ16" s="3" t="s">
        <v>77</v>
      </c>
      <c r="INK16" s="3" t="s">
        <v>76</v>
      </c>
      <c r="INL16" s="3" t="s">
        <v>77</v>
      </c>
      <c r="INM16" s="3" t="s">
        <v>76</v>
      </c>
      <c r="INN16" s="3" t="s">
        <v>77</v>
      </c>
      <c r="INO16" s="3" t="s">
        <v>76</v>
      </c>
      <c r="INP16" s="3" t="s">
        <v>77</v>
      </c>
      <c r="INQ16" s="3" t="s">
        <v>76</v>
      </c>
      <c r="INR16" s="3" t="s">
        <v>77</v>
      </c>
      <c r="INS16" s="3" t="s">
        <v>76</v>
      </c>
      <c r="INT16" s="3" t="s">
        <v>77</v>
      </c>
      <c r="INU16" s="3" t="s">
        <v>76</v>
      </c>
      <c r="INV16" s="3" t="s">
        <v>77</v>
      </c>
      <c r="INW16" s="3" t="s">
        <v>76</v>
      </c>
      <c r="INX16" s="3" t="s">
        <v>77</v>
      </c>
      <c r="INY16" s="3" t="s">
        <v>76</v>
      </c>
      <c r="INZ16" s="3" t="s">
        <v>77</v>
      </c>
      <c r="IOA16" s="3" t="s">
        <v>76</v>
      </c>
      <c r="IOB16" s="3" t="s">
        <v>77</v>
      </c>
      <c r="IOC16" s="3" t="s">
        <v>76</v>
      </c>
      <c r="IOD16" s="3" t="s">
        <v>77</v>
      </c>
      <c r="IOE16" s="3" t="s">
        <v>76</v>
      </c>
      <c r="IOF16" s="3" t="s">
        <v>77</v>
      </c>
      <c r="IOG16" s="3" t="s">
        <v>76</v>
      </c>
      <c r="IOH16" s="3" t="s">
        <v>77</v>
      </c>
      <c r="IOI16" s="3" t="s">
        <v>76</v>
      </c>
      <c r="IOJ16" s="3" t="s">
        <v>77</v>
      </c>
      <c r="IOK16" s="3" t="s">
        <v>76</v>
      </c>
      <c r="IOL16" s="3" t="s">
        <v>77</v>
      </c>
      <c r="IOM16" s="3" t="s">
        <v>76</v>
      </c>
      <c r="ION16" s="3" t="s">
        <v>77</v>
      </c>
      <c r="IOO16" s="3" t="s">
        <v>76</v>
      </c>
      <c r="IOP16" s="3" t="s">
        <v>77</v>
      </c>
      <c r="IOQ16" s="3" t="s">
        <v>76</v>
      </c>
      <c r="IOR16" s="3" t="s">
        <v>77</v>
      </c>
      <c r="IOS16" s="3" t="s">
        <v>76</v>
      </c>
      <c r="IOT16" s="3" t="s">
        <v>77</v>
      </c>
      <c r="IOU16" s="3" t="s">
        <v>76</v>
      </c>
      <c r="IOV16" s="3" t="s">
        <v>77</v>
      </c>
      <c r="IOW16" s="3" t="s">
        <v>76</v>
      </c>
      <c r="IOX16" s="3" t="s">
        <v>77</v>
      </c>
      <c r="IOY16" s="3" t="s">
        <v>76</v>
      </c>
      <c r="IOZ16" s="3" t="s">
        <v>77</v>
      </c>
      <c r="IPA16" s="3" t="s">
        <v>76</v>
      </c>
      <c r="IPB16" s="3" t="s">
        <v>77</v>
      </c>
      <c r="IPC16" s="3" t="s">
        <v>76</v>
      </c>
      <c r="IPD16" s="3" t="s">
        <v>77</v>
      </c>
      <c r="IPE16" s="3" t="s">
        <v>76</v>
      </c>
      <c r="IPF16" s="3" t="s">
        <v>77</v>
      </c>
      <c r="IPG16" s="3" t="s">
        <v>76</v>
      </c>
      <c r="IPH16" s="3" t="s">
        <v>77</v>
      </c>
      <c r="IPI16" s="3" t="s">
        <v>76</v>
      </c>
      <c r="IPJ16" s="3" t="s">
        <v>77</v>
      </c>
      <c r="IPK16" s="3" t="s">
        <v>76</v>
      </c>
      <c r="IPL16" s="3" t="s">
        <v>77</v>
      </c>
      <c r="IPM16" s="3" t="s">
        <v>76</v>
      </c>
      <c r="IPN16" s="3" t="s">
        <v>77</v>
      </c>
      <c r="IPO16" s="3" t="s">
        <v>76</v>
      </c>
      <c r="IPP16" s="3" t="s">
        <v>77</v>
      </c>
      <c r="IPQ16" s="3" t="s">
        <v>76</v>
      </c>
      <c r="IPR16" s="3" t="s">
        <v>77</v>
      </c>
      <c r="IPS16" s="3" t="s">
        <v>76</v>
      </c>
      <c r="IPT16" s="3" t="s">
        <v>77</v>
      </c>
      <c r="IPU16" s="3" t="s">
        <v>76</v>
      </c>
      <c r="IPV16" s="3" t="s">
        <v>77</v>
      </c>
      <c r="IPW16" s="3" t="s">
        <v>76</v>
      </c>
      <c r="IPX16" s="3" t="s">
        <v>77</v>
      </c>
      <c r="IPY16" s="3" t="s">
        <v>76</v>
      </c>
      <c r="IPZ16" s="3" t="s">
        <v>77</v>
      </c>
      <c r="IQA16" s="3" t="s">
        <v>76</v>
      </c>
      <c r="IQB16" s="3" t="s">
        <v>77</v>
      </c>
      <c r="IQC16" s="3" t="s">
        <v>76</v>
      </c>
      <c r="IQD16" s="3" t="s">
        <v>77</v>
      </c>
      <c r="IQE16" s="3" t="s">
        <v>76</v>
      </c>
      <c r="IQF16" s="3" t="s">
        <v>77</v>
      </c>
      <c r="IQG16" s="3" t="s">
        <v>76</v>
      </c>
      <c r="IQH16" s="3" t="s">
        <v>77</v>
      </c>
      <c r="IQI16" s="3" t="s">
        <v>76</v>
      </c>
      <c r="IQJ16" s="3" t="s">
        <v>77</v>
      </c>
      <c r="IQK16" s="3" t="s">
        <v>76</v>
      </c>
      <c r="IQL16" s="3" t="s">
        <v>77</v>
      </c>
      <c r="IQM16" s="3" t="s">
        <v>76</v>
      </c>
      <c r="IQN16" s="3" t="s">
        <v>77</v>
      </c>
      <c r="IQO16" s="3" t="s">
        <v>76</v>
      </c>
      <c r="IQP16" s="3" t="s">
        <v>77</v>
      </c>
      <c r="IQQ16" s="3" t="s">
        <v>76</v>
      </c>
      <c r="IQR16" s="3" t="s">
        <v>77</v>
      </c>
      <c r="IQS16" s="3" t="s">
        <v>76</v>
      </c>
      <c r="IQT16" s="3" t="s">
        <v>77</v>
      </c>
      <c r="IQU16" s="3" t="s">
        <v>76</v>
      </c>
      <c r="IQV16" s="3" t="s">
        <v>77</v>
      </c>
      <c r="IQW16" s="3" t="s">
        <v>76</v>
      </c>
      <c r="IQX16" s="3" t="s">
        <v>77</v>
      </c>
      <c r="IQY16" s="3" t="s">
        <v>76</v>
      </c>
      <c r="IQZ16" s="3" t="s">
        <v>77</v>
      </c>
      <c r="IRA16" s="3" t="s">
        <v>76</v>
      </c>
      <c r="IRB16" s="3" t="s">
        <v>77</v>
      </c>
      <c r="IRC16" s="3" t="s">
        <v>76</v>
      </c>
      <c r="IRD16" s="3" t="s">
        <v>77</v>
      </c>
      <c r="IRE16" s="3" t="s">
        <v>76</v>
      </c>
      <c r="IRF16" s="3" t="s">
        <v>77</v>
      </c>
      <c r="IRG16" s="3" t="s">
        <v>76</v>
      </c>
      <c r="IRH16" s="3" t="s">
        <v>77</v>
      </c>
      <c r="IRI16" s="3" t="s">
        <v>76</v>
      </c>
      <c r="IRJ16" s="3" t="s">
        <v>77</v>
      </c>
      <c r="IRK16" s="3" t="s">
        <v>76</v>
      </c>
      <c r="IRL16" s="3" t="s">
        <v>77</v>
      </c>
      <c r="IRM16" s="3" t="s">
        <v>76</v>
      </c>
      <c r="IRN16" s="3" t="s">
        <v>77</v>
      </c>
      <c r="IRO16" s="3" t="s">
        <v>76</v>
      </c>
      <c r="IRP16" s="3" t="s">
        <v>77</v>
      </c>
      <c r="IRQ16" s="3" t="s">
        <v>76</v>
      </c>
      <c r="IRR16" s="3" t="s">
        <v>77</v>
      </c>
      <c r="IRS16" s="3" t="s">
        <v>76</v>
      </c>
      <c r="IRT16" s="3" t="s">
        <v>77</v>
      </c>
      <c r="IRU16" s="3" t="s">
        <v>76</v>
      </c>
      <c r="IRV16" s="3" t="s">
        <v>77</v>
      </c>
      <c r="IRW16" s="3" t="s">
        <v>76</v>
      </c>
      <c r="IRX16" s="3" t="s">
        <v>77</v>
      </c>
      <c r="IRY16" s="3" t="s">
        <v>76</v>
      </c>
      <c r="IRZ16" s="3" t="s">
        <v>77</v>
      </c>
      <c r="ISA16" s="3" t="s">
        <v>76</v>
      </c>
      <c r="ISB16" s="3" t="s">
        <v>77</v>
      </c>
      <c r="ISC16" s="3" t="s">
        <v>76</v>
      </c>
      <c r="ISD16" s="3" t="s">
        <v>77</v>
      </c>
      <c r="ISE16" s="3" t="s">
        <v>76</v>
      </c>
      <c r="ISF16" s="3" t="s">
        <v>77</v>
      </c>
      <c r="ISG16" s="3" t="s">
        <v>76</v>
      </c>
      <c r="ISH16" s="3" t="s">
        <v>77</v>
      </c>
      <c r="ISI16" s="3" t="s">
        <v>76</v>
      </c>
      <c r="ISJ16" s="3" t="s">
        <v>77</v>
      </c>
      <c r="ISK16" s="3" t="s">
        <v>76</v>
      </c>
      <c r="ISL16" s="3" t="s">
        <v>77</v>
      </c>
      <c r="ISM16" s="3" t="s">
        <v>76</v>
      </c>
      <c r="ISN16" s="3" t="s">
        <v>77</v>
      </c>
      <c r="ISO16" s="3" t="s">
        <v>76</v>
      </c>
      <c r="ISP16" s="3" t="s">
        <v>77</v>
      </c>
      <c r="ISQ16" s="3" t="s">
        <v>76</v>
      </c>
      <c r="ISR16" s="3" t="s">
        <v>77</v>
      </c>
      <c r="ISS16" s="3" t="s">
        <v>76</v>
      </c>
      <c r="IST16" s="3" t="s">
        <v>77</v>
      </c>
      <c r="ISU16" s="3" t="s">
        <v>76</v>
      </c>
      <c r="ISV16" s="3" t="s">
        <v>77</v>
      </c>
      <c r="ISW16" s="3" t="s">
        <v>76</v>
      </c>
      <c r="ISX16" s="3" t="s">
        <v>77</v>
      </c>
      <c r="ISY16" s="3" t="s">
        <v>76</v>
      </c>
      <c r="ISZ16" s="3" t="s">
        <v>77</v>
      </c>
      <c r="ITA16" s="3" t="s">
        <v>76</v>
      </c>
      <c r="ITB16" s="3" t="s">
        <v>77</v>
      </c>
      <c r="ITC16" s="3" t="s">
        <v>76</v>
      </c>
      <c r="ITD16" s="3" t="s">
        <v>77</v>
      </c>
      <c r="ITE16" s="3" t="s">
        <v>76</v>
      </c>
      <c r="ITF16" s="3" t="s">
        <v>77</v>
      </c>
      <c r="ITG16" s="3" t="s">
        <v>76</v>
      </c>
      <c r="ITH16" s="3" t="s">
        <v>77</v>
      </c>
      <c r="ITI16" s="3" t="s">
        <v>76</v>
      </c>
      <c r="ITJ16" s="3" t="s">
        <v>77</v>
      </c>
      <c r="ITK16" s="3" t="s">
        <v>76</v>
      </c>
      <c r="ITL16" s="3" t="s">
        <v>77</v>
      </c>
      <c r="ITM16" s="3" t="s">
        <v>76</v>
      </c>
      <c r="ITN16" s="3" t="s">
        <v>77</v>
      </c>
      <c r="ITO16" s="3" t="s">
        <v>76</v>
      </c>
      <c r="ITP16" s="3" t="s">
        <v>77</v>
      </c>
      <c r="ITQ16" s="3" t="s">
        <v>76</v>
      </c>
      <c r="ITR16" s="3" t="s">
        <v>77</v>
      </c>
      <c r="ITS16" s="3" t="s">
        <v>76</v>
      </c>
      <c r="ITT16" s="3" t="s">
        <v>77</v>
      </c>
      <c r="ITU16" s="3" t="s">
        <v>76</v>
      </c>
      <c r="ITV16" s="3" t="s">
        <v>77</v>
      </c>
      <c r="ITW16" s="3" t="s">
        <v>76</v>
      </c>
      <c r="ITX16" s="3" t="s">
        <v>77</v>
      </c>
      <c r="ITY16" s="3" t="s">
        <v>76</v>
      </c>
      <c r="ITZ16" s="3" t="s">
        <v>77</v>
      </c>
      <c r="IUA16" s="3" t="s">
        <v>76</v>
      </c>
      <c r="IUB16" s="3" t="s">
        <v>77</v>
      </c>
      <c r="IUC16" s="3" t="s">
        <v>76</v>
      </c>
      <c r="IUD16" s="3" t="s">
        <v>77</v>
      </c>
      <c r="IUE16" s="3" t="s">
        <v>76</v>
      </c>
      <c r="IUF16" s="3" t="s">
        <v>77</v>
      </c>
      <c r="IUG16" s="3" t="s">
        <v>76</v>
      </c>
      <c r="IUH16" s="3" t="s">
        <v>77</v>
      </c>
      <c r="IUI16" s="3" t="s">
        <v>76</v>
      </c>
      <c r="IUJ16" s="3" t="s">
        <v>77</v>
      </c>
      <c r="IUK16" s="3" t="s">
        <v>76</v>
      </c>
      <c r="IUL16" s="3" t="s">
        <v>77</v>
      </c>
      <c r="IUM16" s="3" t="s">
        <v>76</v>
      </c>
      <c r="IUN16" s="3" t="s">
        <v>77</v>
      </c>
      <c r="IUO16" s="3" t="s">
        <v>76</v>
      </c>
      <c r="IUP16" s="3" t="s">
        <v>77</v>
      </c>
      <c r="IUQ16" s="3" t="s">
        <v>76</v>
      </c>
      <c r="IUR16" s="3" t="s">
        <v>77</v>
      </c>
      <c r="IUS16" s="3" t="s">
        <v>76</v>
      </c>
      <c r="IUT16" s="3" t="s">
        <v>77</v>
      </c>
      <c r="IUU16" s="3" t="s">
        <v>76</v>
      </c>
      <c r="IUV16" s="3" t="s">
        <v>77</v>
      </c>
      <c r="IUW16" s="3" t="s">
        <v>76</v>
      </c>
      <c r="IUX16" s="3" t="s">
        <v>77</v>
      </c>
      <c r="IUY16" s="3" t="s">
        <v>76</v>
      </c>
      <c r="IUZ16" s="3" t="s">
        <v>77</v>
      </c>
      <c r="IVA16" s="3" t="s">
        <v>76</v>
      </c>
      <c r="IVB16" s="3" t="s">
        <v>77</v>
      </c>
      <c r="IVC16" s="3" t="s">
        <v>76</v>
      </c>
      <c r="IVD16" s="3" t="s">
        <v>77</v>
      </c>
      <c r="IVE16" s="3" t="s">
        <v>76</v>
      </c>
      <c r="IVF16" s="3" t="s">
        <v>77</v>
      </c>
      <c r="IVG16" s="3" t="s">
        <v>76</v>
      </c>
      <c r="IVH16" s="3" t="s">
        <v>77</v>
      </c>
      <c r="IVI16" s="3" t="s">
        <v>76</v>
      </c>
      <c r="IVJ16" s="3" t="s">
        <v>77</v>
      </c>
      <c r="IVK16" s="3" t="s">
        <v>76</v>
      </c>
      <c r="IVL16" s="3" t="s">
        <v>77</v>
      </c>
      <c r="IVM16" s="3" t="s">
        <v>76</v>
      </c>
      <c r="IVN16" s="3" t="s">
        <v>77</v>
      </c>
      <c r="IVO16" s="3" t="s">
        <v>76</v>
      </c>
      <c r="IVP16" s="3" t="s">
        <v>77</v>
      </c>
      <c r="IVQ16" s="3" t="s">
        <v>76</v>
      </c>
      <c r="IVR16" s="3" t="s">
        <v>77</v>
      </c>
      <c r="IVS16" s="3" t="s">
        <v>76</v>
      </c>
      <c r="IVT16" s="3" t="s">
        <v>77</v>
      </c>
      <c r="IVU16" s="3" t="s">
        <v>76</v>
      </c>
      <c r="IVV16" s="3" t="s">
        <v>77</v>
      </c>
      <c r="IVW16" s="3" t="s">
        <v>76</v>
      </c>
      <c r="IVX16" s="3" t="s">
        <v>77</v>
      </c>
      <c r="IVY16" s="3" t="s">
        <v>76</v>
      </c>
      <c r="IVZ16" s="3" t="s">
        <v>77</v>
      </c>
      <c r="IWA16" s="3" t="s">
        <v>76</v>
      </c>
      <c r="IWB16" s="3" t="s">
        <v>77</v>
      </c>
      <c r="IWC16" s="3" t="s">
        <v>76</v>
      </c>
      <c r="IWD16" s="3" t="s">
        <v>77</v>
      </c>
      <c r="IWE16" s="3" t="s">
        <v>76</v>
      </c>
      <c r="IWF16" s="3" t="s">
        <v>77</v>
      </c>
      <c r="IWG16" s="3" t="s">
        <v>76</v>
      </c>
      <c r="IWH16" s="3" t="s">
        <v>77</v>
      </c>
      <c r="IWI16" s="3" t="s">
        <v>76</v>
      </c>
      <c r="IWJ16" s="3" t="s">
        <v>77</v>
      </c>
      <c r="IWK16" s="3" t="s">
        <v>76</v>
      </c>
      <c r="IWL16" s="3" t="s">
        <v>77</v>
      </c>
      <c r="IWM16" s="3" t="s">
        <v>76</v>
      </c>
      <c r="IWN16" s="3" t="s">
        <v>77</v>
      </c>
      <c r="IWO16" s="3" t="s">
        <v>76</v>
      </c>
      <c r="IWP16" s="3" t="s">
        <v>77</v>
      </c>
      <c r="IWQ16" s="3" t="s">
        <v>76</v>
      </c>
      <c r="IWR16" s="3" t="s">
        <v>77</v>
      </c>
      <c r="IWS16" s="3" t="s">
        <v>76</v>
      </c>
      <c r="IWT16" s="3" t="s">
        <v>77</v>
      </c>
      <c r="IWU16" s="3" t="s">
        <v>76</v>
      </c>
      <c r="IWV16" s="3" t="s">
        <v>77</v>
      </c>
      <c r="IWW16" s="3" t="s">
        <v>76</v>
      </c>
      <c r="IWX16" s="3" t="s">
        <v>77</v>
      </c>
      <c r="IWY16" s="3" t="s">
        <v>76</v>
      </c>
      <c r="IWZ16" s="3" t="s">
        <v>77</v>
      </c>
      <c r="IXA16" s="3" t="s">
        <v>76</v>
      </c>
      <c r="IXB16" s="3" t="s">
        <v>77</v>
      </c>
      <c r="IXC16" s="3" t="s">
        <v>76</v>
      </c>
      <c r="IXD16" s="3" t="s">
        <v>77</v>
      </c>
      <c r="IXE16" s="3" t="s">
        <v>76</v>
      </c>
      <c r="IXF16" s="3" t="s">
        <v>77</v>
      </c>
      <c r="IXG16" s="3" t="s">
        <v>76</v>
      </c>
      <c r="IXH16" s="3" t="s">
        <v>77</v>
      </c>
      <c r="IXI16" s="3" t="s">
        <v>76</v>
      </c>
      <c r="IXJ16" s="3" t="s">
        <v>77</v>
      </c>
      <c r="IXK16" s="3" t="s">
        <v>76</v>
      </c>
      <c r="IXL16" s="3" t="s">
        <v>77</v>
      </c>
      <c r="IXM16" s="3" t="s">
        <v>76</v>
      </c>
      <c r="IXN16" s="3" t="s">
        <v>77</v>
      </c>
      <c r="IXO16" s="3" t="s">
        <v>76</v>
      </c>
      <c r="IXP16" s="3" t="s">
        <v>77</v>
      </c>
      <c r="IXQ16" s="3" t="s">
        <v>76</v>
      </c>
      <c r="IXR16" s="3" t="s">
        <v>77</v>
      </c>
      <c r="IXS16" s="3" t="s">
        <v>76</v>
      </c>
      <c r="IXT16" s="3" t="s">
        <v>77</v>
      </c>
      <c r="IXU16" s="3" t="s">
        <v>76</v>
      </c>
      <c r="IXV16" s="3" t="s">
        <v>77</v>
      </c>
      <c r="IXW16" s="3" t="s">
        <v>76</v>
      </c>
      <c r="IXX16" s="3" t="s">
        <v>77</v>
      </c>
      <c r="IXY16" s="3" t="s">
        <v>76</v>
      </c>
      <c r="IXZ16" s="3" t="s">
        <v>77</v>
      </c>
      <c r="IYA16" s="3" t="s">
        <v>76</v>
      </c>
      <c r="IYB16" s="3" t="s">
        <v>77</v>
      </c>
      <c r="IYC16" s="3" t="s">
        <v>76</v>
      </c>
      <c r="IYD16" s="3" t="s">
        <v>77</v>
      </c>
      <c r="IYE16" s="3" t="s">
        <v>76</v>
      </c>
      <c r="IYF16" s="3" t="s">
        <v>77</v>
      </c>
      <c r="IYG16" s="3" t="s">
        <v>76</v>
      </c>
      <c r="IYH16" s="3" t="s">
        <v>77</v>
      </c>
      <c r="IYI16" s="3" t="s">
        <v>76</v>
      </c>
      <c r="IYJ16" s="3" t="s">
        <v>77</v>
      </c>
      <c r="IYK16" s="3" t="s">
        <v>76</v>
      </c>
      <c r="IYL16" s="3" t="s">
        <v>77</v>
      </c>
      <c r="IYM16" s="3" t="s">
        <v>76</v>
      </c>
      <c r="IYN16" s="3" t="s">
        <v>77</v>
      </c>
      <c r="IYO16" s="3" t="s">
        <v>76</v>
      </c>
      <c r="IYP16" s="3" t="s">
        <v>77</v>
      </c>
      <c r="IYQ16" s="3" t="s">
        <v>76</v>
      </c>
      <c r="IYR16" s="3" t="s">
        <v>77</v>
      </c>
      <c r="IYS16" s="3" t="s">
        <v>76</v>
      </c>
      <c r="IYT16" s="3" t="s">
        <v>77</v>
      </c>
      <c r="IYU16" s="3" t="s">
        <v>76</v>
      </c>
      <c r="IYV16" s="3" t="s">
        <v>77</v>
      </c>
      <c r="IYW16" s="3" t="s">
        <v>76</v>
      </c>
      <c r="IYX16" s="3" t="s">
        <v>77</v>
      </c>
      <c r="IYY16" s="3" t="s">
        <v>76</v>
      </c>
      <c r="IYZ16" s="3" t="s">
        <v>77</v>
      </c>
      <c r="IZA16" s="3" t="s">
        <v>76</v>
      </c>
      <c r="IZB16" s="3" t="s">
        <v>77</v>
      </c>
      <c r="IZC16" s="3" t="s">
        <v>76</v>
      </c>
      <c r="IZD16" s="3" t="s">
        <v>77</v>
      </c>
      <c r="IZE16" s="3" t="s">
        <v>76</v>
      </c>
      <c r="IZF16" s="3" t="s">
        <v>77</v>
      </c>
      <c r="IZG16" s="3" t="s">
        <v>76</v>
      </c>
      <c r="IZH16" s="3" t="s">
        <v>77</v>
      </c>
      <c r="IZI16" s="3" t="s">
        <v>76</v>
      </c>
      <c r="IZJ16" s="3" t="s">
        <v>77</v>
      </c>
      <c r="IZK16" s="3" t="s">
        <v>76</v>
      </c>
      <c r="IZL16" s="3" t="s">
        <v>77</v>
      </c>
      <c r="IZM16" s="3" t="s">
        <v>76</v>
      </c>
      <c r="IZN16" s="3" t="s">
        <v>77</v>
      </c>
      <c r="IZO16" s="3" t="s">
        <v>76</v>
      </c>
      <c r="IZP16" s="3" t="s">
        <v>77</v>
      </c>
      <c r="IZQ16" s="3" t="s">
        <v>76</v>
      </c>
      <c r="IZR16" s="3" t="s">
        <v>77</v>
      </c>
      <c r="IZS16" s="3" t="s">
        <v>76</v>
      </c>
      <c r="IZT16" s="3" t="s">
        <v>77</v>
      </c>
      <c r="IZU16" s="3" t="s">
        <v>76</v>
      </c>
      <c r="IZV16" s="3" t="s">
        <v>77</v>
      </c>
      <c r="IZW16" s="3" t="s">
        <v>76</v>
      </c>
      <c r="IZX16" s="3" t="s">
        <v>77</v>
      </c>
      <c r="IZY16" s="3" t="s">
        <v>76</v>
      </c>
      <c r="IZZ16" s="3" t="s">
        <v>77</v>
      </c>
      <c r="JAA16" s="3" t="s">
        <v>76</v>
      </c>
      <c r="JAB16" s="3" t="s">
        <v>77</v>
      </c>
      <c r="JAC16" s="3" t="s">
        <v>76</v>
      </c>
      <c r="JAD16" s="3" t="s">
        <v>77</v>
      </c>
      <c r="JAE16" s="3" t="s">
        <v>76</v>
      </c>
      <c r="JAF16" s="3" t="s">
        <v>77</v>
      </c>
      <c r="JAG16" s="3" t="s">
        <v>76</v>
      </c>
      <c r="JAH16" s="3" t="s">
        <v>77</v>
      </c>
      <c r="JAI16" s="3" t="s">
        <v>76</v>
      </c>
      <c r="JAJ16" s="3" t="s">
        <v>77</v>
      </c>
      <c r="JAK16" s="3" t="s">
        <v>76</v>
      </c>
      <c r="JAL16" s="3" t="s">
        <v>77</v>
      </c>
      <c r="JAM16" s="3" t="s">
        <v>76</v>
      </c>
      <c r="JAN16" s="3" t="s">
        <v>77</v>
      </c>
      <c r="JAO16" s="3" t="s">
        <v>76</v>
      </c>
      <c r="JAP16" s="3" t="s">
        <v>77</v>
      </c>
      <c r="JAQ16" s="3" t="s">
        <v>76</v>
      </c>
      <c r="JAR16" s="3" t="s">
        <v>77</v>
      </c>
      <c r="JAS16" s="3" t="s">
        <v>76</v>
      </c>
      <c r="JAT16" s="3" t="s">
        <v>77</v>
      </c>
      <c r="JAU16" s="3" t="s">
        <v>76</v>
      </c>
      <c r="JAV16" s="3" t="s">
        <v>77</v>
      </c>
      <c r="JAW16" s="3" t="s">
        <v>76</v>
      </c>
      <c r="JAX16" s="3" t="s">
        <v>77</v>
      </c>
      <c r="JAY16" s="3" t="s">
        <v>76</v>
      </c>
      <c r="JAZ16" s="3" t="s">
        <v>77</v>
      </c>
      <c r="JBA16" s="3" t="s">
        <v>76</v>
      </c>
      <c r="JBB16" s="3" t="s">
        <v>77</v>
      </c>
      <c r="JBC16" s="3" t="s">
        <v>76</v>
      </c>
      <c r="JBD16" s="3" t="s">
        <v>77</v>
      </c>
      <c r="JBE16" s="3" t="s">
        <v>76</v>
      </c>
      <c r="JBF16" s="3" t="s">
        <v>77</v>
      </c>
      <c r="JBG16" s="3" t="s">
        <v>76</v>
      </c>
      <c r="JBH16" s="3" t="s">
        <v>77</v>
      </c>
      <c r="JBI16" s="3" t="s">
        <v>76</v>
      </c>
      <c r="JBJ16" s="3" t="s">
        <v>77</v>
      </c>
      <c r="JBK16" s="3" t="s">
        <v>76</v>
      </c>
      <c r="JBL16" s="3" t="s">
        <v>77</v>
      </c>
      <c r="JBM16" s="3" t="s">
        <v>76</v>
      </c>
      <c r="JBN16" s="3" t="s">
        <v>77</v>
      </c>
      <c r="JBO16" s="3" t="s">
        <v>76</v>
      </c>
      <c r="JBP16" s="3" t="s">
        <v>77</v>
      </c>
      <c r="JBQ16" s="3" t="s">
        <v>76</v>
      </c>
      <c r="JBR16" s="3" t="s">
        <v>77</v>
      </c>
      <c r="JBS16" s="3" t="s">
        <v>76</v>
      </c>
      <c r="JBT16" s="3" t="s">
        <v>77</v>
      </c>
      <c r="JBU16" s="3" t="s">
        <v>76</v>
      </c>
      <c r="JBV16" s="3" t="s">
        <v>77</v>
      </c>
      <c r="JBW16" s="3" t="s">
        <v>76</v>
      </c>
      <c r="JBX16" s="3" t="s">
        <v>77</v>
      </c>
      <c r="JBY16" s="3" t="s">
        <v>76</v>
      </c>
      <c r="JBZ16" s="3" t="s">
        <v>77</v>
      </c>
      <c r="JCA16" s="3" t="s">
        <v>76</v>
      </c>
      <c r="JCB16" s="3" t="s">
        <v>77</v>
      </c>
      <c r="JCC16" s="3" t="s">
        <v>76</v>
      </c>
      <c r="JCD16" s="3" t="s">
        <v>77</v>
      </c>
      <c r="JCE16" s="3" t="s">
        <v>76</v>
      </c>
      <c r="JCF16" s="3" t="s">
        <v>77</v>
      </c>
      <c r="JCG16" s="3" t="s">
        <v>76</v>
      </c>
      <c r="JCH16" s="3" t="s">
        <v>77</v>
      </c>
      <c r="JCI16" s="3" t="s">
        <v>76</v>
      </c>
      <c r="JCJ16" s="3" t="s">
        <v>77</v>
      </c>
      <c r="JCK16" s="3" t="s">
        <v>76</v>
      </c>
      <c r="JCL16" s="3" t="s">
        <v>77</v>
      </c>
      <c r="JCM16" s="3" t="s">
        <v>76</v>
      </c>
      <c r="JCN16" s="3" t="s">
        <v>77</v>
      </c>
      <c r="JCO16" s="3" t="s">
        <v>76</v>
      </c>
      <c r="JCP16" s="3" t="s">
        <v>77</v>
      </c>
      <c r="JCQ16" s="3" t="s">
        <v>76</v>
      </c>
      <c r="JCR16" s="3" t="s">
        <v>77</v>
      </c>
      <c r="JCS16" s="3" t="s">
        <v>76</v>
      </c>
      <c r="JCT16" s="3" t="s">
        <v>77</v>
      </c>
      <c r="JCU16" s="3" t="s">
        <v>76</v>
      </c>
      <c r="JCV16" s="3" t="s">
        <v>77</v>
      </c>
      <c r="JCW16" s="3" t="s">
        <v>76</v>
      </c>
      <c r="JCX16" s="3" t="s">
        <v>77</v>
      </c>
      <c r="JCY16" s="3" t="s">
        <v>76</v>
      </c>
      <c r="JCZ16" s="3" t="s">
        <v>77</v>
      </c>
      <c r="JDA16" s="3" t="s">
        <v>76</v>
      </c>
      <c r="JDB16" s="3" t="s">
        <v>77</v>
      </c>
      <c r="JDC16" s="3" t="s">
        <v>76</v>
      </c>
      <c r="JDD16" s="3" t="s">
        <v>77</v>
      </c>
      <c r="JDE16" s="3" t="s">
        <v>76</v>
      </c>
      <c r="JDF16" s="3" t="s">
        <v>77</v>
      </c>
      <c r="JDG16" s="3" t="s">
        <v>76</v>
      </c>
      <c r="JDH16" s="3" t="s">
        <v>77</v>
      </c>
      <c r="JDI16" s="3" t="s">
        <v>76</v>
      </c>
      <c r="JDJ16" s="3" t="s">
        <v>77</v>
      </c>
      <c r="JDK16" s="3" t="s">
        <v>76</v>
      </c>
      <c r="JDL16" s="3" t="s">
        <v>77</v>
      </c>
      <c r="JDM16" s="3" t="s">
        <v>76</v>
      </c>
      <c r="JDN16" s="3" t="s">
        <v>77</v>
      </c>
      <c r="JDO16" s="3" t="s">
        <v>76</v>
      </c>
      <c r="JDP16" s="3" t="s">
        <v>77</v>
      </c>
      <c r="JDQ16" s="3" t="s">
        <v>76</v>
      </c>
      <c r="JDR16" s="3" t="s">
        <v>77</v>
      </c>
      <c r="JDS16" s="3" t="s">
        <v>76</v>
      </c>
      <c r="JDT16" s="3" t="s">
        <v>77</v>
      </c>
      <c r="JDU16" s="3" t="s">
        <v>76</v>
      </c>
      <c r="JDV16" s="3" t="s">
        <v>77</v>
      </c>
      <c r="JDW16" s="3" t="s">
        <v>76</v>
      </c>
      <c r="JDX16" s="3" t="s">
        <v>77</v>
      </c>
      <c r="JDY16" s="3" t="s">
        <v>76</v>
      </c>
      <c r="JDZ16" s="3" t="s">
        <v>77</v>
      </c>
      <c r="JEA16" s="3" t="s">
        <v>76</v>
      </c>
      <c r="JEB16" s="3" t="s">
        <v>77</v>
      </c>
      <c r="JEC16" s="3" t="s">
        <v>76</v>
      </c>
      <c r="JED16" s="3" t="s">
        <v>77</v>
      </c>
      <c r="JEE16" s="3" t="s">
        <v>76</v>
      </c>
      <c r="JEF16" s="3" t="s">
        <v>77</v>
      </c>
      <c r="JEG16" s="3" t="s">
        <v>76</v>
      </c>
      <c r="JEH16" s="3" t="s">
        <v>77</v>
      </c>
      <c r="JEI16" s="3" t="s">
        <v>76</v>
      </c>
      <c r="JEJ16" s="3" t="s">
        <v>77</v>
      </c>
      <c r="JEK16" s="3" t="s">
        <v>76</v>
      </c>
      <c r="JEL16" s="3" t="s">
        <v>77</v>
      </c>
      <c r="JEM16" s="3" t="s">
        <v>76</v>
      </c>
      <c r="JEN16" s="3" t="s">
        <v>77</v>
      </c>
      <c r="JEO16" s="3" t="s">
        <v>76</v>
      </c>
      <c r="JEP16" s="3" t="s">
        <v>77</v>
      </c>
      <c r="JEQ16" s="3" t="s">
        <v>76</v>
      </c>
      <c r="JER16" s="3" t="s">
        <v>77</v>
      </c>
      <c r="JES16" s="3" t="s">
        <v>76</v>
      </c>
      <c r="JET16" s="3" t="s">
        <v>77</v>
      </c>
      <c r="JEU16" s="3" t="s">
        <v>76</v>
      </c>
      <c r="JEV16" s="3" t="s">
        <v>77</v>
      </c>
      <c r="JEW16" s="3" t="s">
        <v>76</v>
      </c>
      <c r="JEX16" s="3" t="s">
        <v>77</v>
      </c>
      <c r="JEY16" s="3" t="s">
        <v>76</v>
      </c>
      <c r="JEZ16" s="3" t="s">
        <v>77</v>
      </c>
      <c r="JFA16" s="3" t="s">
        <v>76</v>
      </c>
      <c r="JFB16" s="3" t="s">
        <v>77</v>
      </c>
      <c r="JFC16" s="3" t="s">
        <v>76</v>
      </c>
      <c r="JFD16" s="3" t="s">
        <v>77</v>
      </c>
      <c r="JFE16" s="3" t="s">
        <v>76</v>
      </c>
      <c r="JFF16" s="3" t="s">
        <v>77</v>
      </c>
      <c r="JFG16" s="3" t="s">
        <v>76</v>
      </c>
      <c r="JFH16" s="3" t="s">
        <v>77</v>
      </c>
      <c r="JFI16" s="3" t="s">
        <v>76</v>
      </c>
      <c r="JFJ16" s="3" t="s">
        <v>77</v>
      </c>
      <c r="JFK16" s="3" t="s">
        <v>76</v>
      </c>
      <c r="JFL16" s="3" t="s">
        <v>77</v>
      </c>
      <c r="JFM16" s="3" t="s">
        <v>76</v>
      </c>
      <c r="JFN16" s="3" t="s">
        <v>77</v>
      </c>
      <c r="JFO16" s="3" t="s">
        <v>76</v>
      </c>
      <c r="JFP16" s="3" t="s">
        <v>77</v>
      </c>
      <c r="JFQ16" s="3" t="s">
        <v>76</v>
      </c>
      <c r="JFR16" s="3" t="s">
        <v>77</v>
      </c>
      <c r="JFS16" s="3" t="s">
        <v>76</v>
      </c>
      <c r="JFT16" s="3" t="s">
        <v>77</v>
      </c>
      <c r="JFU16" s="3" t="s">
        <v>76</v>
      </c>
      <c r="JFV16" s="3" t="s">
        <v>77</v>
      </c>
      <c r="JFW16" s="3" t="s">
        <v>76</v>
      </c>
      <c r="JFX16" s="3" t="s">
        <v>77</v>
      </c>
      <c r="JFY16" s="3" t="s">
        <v>76</v>
      </c>
      <c r="JFZ16" s="3" t="s">
        <v>77</v>
      </c>
      <c r="JGA16" s="3" t="s">
        <v>76</v>
      </c>
      <c r="JGB16" s="3" t="s">
        <v>77</v>
      </c>
      <c r="JGC16" s="3" t="s">
        <v>76</v>
      </c>
      <c r="JGD16" s="3" t="s">
        <v>77</v>
      </c>
      <c r="JGE16" s="3" t="s">
        <v>76</v>
      </c>
      <c r="JGF16" s="3" t="s">
        <v>77</v>
      </c>
      <c r="JGG16" s="3" t="s">
        <v>76</v>
      </c>
      <c r="JGH16" s="3" t="s">
        <v>77</v>
      </c>
      <c r="JGI16" s="3" t="s">
        <v>76</v>
      </c>
      <c r="JGJ16" s="3" t="s">
        <v>77</v>
      </c>
      <c r="JGK16" s="3" t="s">
        <v>76</v>
      </c>
      <c r="JGL16" s="3" t="s">
        <v>77</v>
      </c>
      <c r="JGM16" s="3" t="s">
        <v>76</v>
      </c>
      <c r="JGN16" s="3" t="s">
        <v>77</v>
      </c>
      <c r="JGO16" s="3" t="s">
        <v>76</v>
      </c>
      <c r="JGP16" s="3" t="s">
        <v>77</v>
      </c>
      <c r="JGQ16" s="3" t="s">
        <v>76</v>
      </c>
      <c r="JGR16" s="3" t="s">
        <v>77</v>
      </c>
      <c r="JGS16" s="3" t="s">
        <v>76</v>
      </c>
      <c r="JGT16" s="3" t="s">
        <v>77</v>
      </c>
      <c r="JGU16" s="3" t="s">
        <v>76</v>
      </c>
      <c r="JGV16" s="3" t="s">
        <v>77</v>
      </c>
      <c r="JGW16" s="3" t="s">
        <v>76</v>
      </c>
      <c r="JGX16" s="3" t="s">
        <v>77</v>
      </c>
      <c r="JGY16" s="3" t="s">
        <v>76</v>
      </c>
      <c r="JGZ16" s="3" t="s">
        <v>77</v>
      </c>
      <c r="JHA16" s="3" t="s">
        <v>76</v>
      </c>
      <c r="JHB16" s="3" t="s">
        <v>77</v>
      </c>
      <c r="JHC16" s="3" t="s">
        <v>76</v>
      </c>
      <c r="JHD16" s="3" t="s">
        <v>77</v>
      </c>
      <c r="JHE16" s="3" t="s">
        <v>76</v>
      </c>
      <c r="JHF16" s="3" t="s">
        <v>77</v>
      </c>
      <c r="JHG16" s="3" t="s">
        <v>76</v>
      </c>
      <c r="JHH16" s="3" t="s">
        <v>77</v>
      </c>
      <c r="JHI16" s="3" t="s">
        <v>76</v>
      </c>
      <c r="JHJ16" s="3" t="s">
        <v>77</v>
      </c>
      <c r="JHK16" s="3" t="s">
        <v>76</v>
      </c>
      <c r="JHL16" s="3" t="s">
        <v>77</v>
      </c>
      <c r="JHM16" s="3" t="s">
        <v>76</v>
      </c>
      <c r="JHN16" s="3" t="s">
        <v>77</v>
      </c>
      <c r="JHO16" s="3" t="s">
        <v>76</v>
      </c>
      <c r="JHP16" s="3" t="s">
        <v>77</v>
      </c>
      <c r="JHQ16" s="3" t="s">
        <v>76</v>
      </c>
      <c r="JHR16" s="3" t="s">
        <v>77</v>
      </c>
      <c r="JHS16" s="3" t="s">
        <v>76</v>
      </c>
      <c r="JHT16" s="3" t="s">
        <v>77</v>
      </c>
      <c r="JHU16" s="3" t="s">
        <v>76</v>
      </c>
      <c r="JHV16" s="3" t="s">
        <v>77</v>
      </c>
      <c r="JHW16" s="3" t="s">
        <v>76</v>
      </c>
      <c r="JHX16" s="3" t="s">
        <v>77</v>
      </c>
      <c r="JHY16" s="3" t="s">
        <v>76</v>
      </c>
      <c r="JHZ16" s="3" t="s">
        <v>77</v>
      </c>
      <c r="JIA16" s="3" t="s">
        <v>76</v>
      </c>
      <c r="JIB16" s="3" t="s">
        <v>77</v>
      </c>
      <c r="JIC16" s="3" t="s">
        <v>76</v>
      </c>
      <c r="JID16" s="3" t="s">
        <v>77</v>
      </c>
      <c r="JIE16" s="3" t="s">
        <v>76</v>
      </c>
      <c r="JIF16" s="3" t="s">
        <v>77</v>
      </c>
      <c r="JIG16" s="3" t="s">
        <v>76</v>
      </c>
      <c r="JIH16" s="3" t="s">
        <v>77</v>
      </c>
      <c r="JII16" s="3" t="s">
        <v>76</v>
      </c>
      <c r="JIJ16" s="3" t="s">
        <v>77</v>
      </c>
      <c r="JIK16" s="3" t="s">
        <v>76</v>
      </c>
      <c r="JIL16" s="3" t="s">
        <v>77</v>
      </c>
      <c r="JIM16" s="3" t="s">
        <v>76</v>
      </c>
      <c r="JIN16" s="3" t="s">
        <v>77</v>
      </c>
      <c r="JIO16" s="3" t="s">
        <v>76</v>
      </c>
      <c r="JIP16" s="3" t="s">
        <v>77</v>
      </c>
      <c r="JIQ16" s="3" t="s">
        <v>76</v>
      </c>
      <c r="JIR16" s="3" t="s">
        <v>77</v>
      </c>
      <c r="JIS16" s="3" t="s">
        <v>76</v>
      </c>
      <c r="JIT16" s="3" t="s">
        <v>77</v>
      </c>
      <c r="JIU16" s="3" t="s">
        <v>76</v>
      </c>
      <c r="JIV16" s="3" t="s">
        <v>77</v>
      </c>
      <c r="JIW16" s="3" t="s">
        <v>76</v>
      </c>
      <c r="JIX16" s="3" t="s">
        <v>77</v>
      </c>
      <c r="JIY16" s="3" t="s">
        <v>76</v>
      </c>
      <c r="JIZ16" s="3" t="s">
        <v>77</v>
      </c>
      <c r="JJA16" s="3" t="s">
        <v>76</v>
      </c>
      <c r="JJB16" s="3" t="s">
        <v>77</v>
      </c>
      <c r="JJC16" s="3" t="s">
        <v>76</v>
      </c>
      <c r="JJD16" s="3" t="s">
        <v>77</v>
      </c>
      <c r="JJE16" s="3" t="s">
        <v>76</v>
      </c>
      <c r="JJF16" s="3" t="s">
        <v>77</v>
      </c>
      <c r="JJG16" s="3" t="s">
        <v>76</v>
      </c>
      <c r="JJH16" s="3" t="s">
        <v>77</v>
      </c>
      <c r="JJI16" s="3" t="s">
        <v>76</v>
      </c>
      <c r="JJJ16" s="3" t="s">
        <v>77</v>
      </c>
      <c r="JJK16" s="3" t="s">
        <v>76</v>
      </c>
      <c r="JJL16" s="3" t="s">
        <v>77</v>
      </c>
      <c r="JJM16" s="3" t="s">
        <v>76</v>
      </c>
      <c r="JJN16" s="3" t="s">
        <v>77</v>
      </c>
      <c r="JJO16" s="3" t="s">
        <v>76</v>
      </c>
      <c r="JJP16" s="3" t="s">
        <v>77</v>
      </c>
      <c r="JJQ16" s="3" t="s">
        <v>76</v>
      </c>
      <c r="JJR16" s="3" t="s">
        <v>77</v>
      </c>
      <c r="JJS16" s="3" t="s">
        <v>76</v>
      </c>
      <c r="JJT16" s="3" t="s">
        <v>77</v>
      </c>
      <c r="JJU16" s="3" t="s">
        <v>76</v>
      </c>
      <c r="JJV16" s="3" t="s">
        <v>77</v>
      </c>
      <c r="JJW16" s="3" t="s">
        <v>76</v>
      </c>
      <c r="JJX16" s="3" t="s">
        <v>77</v>
      </c>
      <c r="JJY16" s="3" t="s">
        <v>76</v>
      </c>
      <c r="JJZ16" s="3" t="s">
        <v>77</v>
      </c>
      <c r="JKA16" s="3" t="s">
        <v>76</v>
      </c>
      <c r="JKB16" s="3" t="s">
        <v>77</v>
      </c>
      <c r="JKC16" s="3" t="s">
        <v>76</v>
      </c>
      <c r="JKD16" s="3" t="s">
        <v>77</v>
      </c>
      <c r="JKE16" s="3" t="s">
        <v>76</v>
      </c>
      <c r="JKF16" s="3" t="s">
        <v>77</v>
      </c>
      <c r="JKG16" s="3" t="s">
        <v>76</v>
      </c>
      <c r="JKH16" s="3" t="s">
        <v>77</v>
      </c>
      <c r="JKI16" s="3" t="s">
        <v>76</v>
      </c>
      <c r="JKJ16" s="3" t="s">
        <v>77</v>
      </c>
      <c r="JKK16" s="3" t="s">
        <v>76</v>
      </c>
      <c r="JKL16" s="3" t="s">
        <v>77</v>
      </c>
      <c r="JKM16" s="3" t="s">
        <v>76</v>
      </c>
      <c r="JKN16" s="3" t="s">
        <v>77</v>
      </c>
      <c r="JKO16" s="3" t="s">
        <v>76</v>
      </c>
      <c r="JKP16" s="3" t="s">
        <v>77</v>
      </c>
      <c r="JKQ16" s="3" t="s">
        <v>76</v>
      </c>
      <c r="JKR16" s="3" t="s">
        <v>77</v>
      </c>
      <c r="JKS16" s="3" t="s">
        <v>76</v>
      </c>
      <c r="JKT16" s="3" t="s">
        <v>77</v>
      </c>
      <c r="JKU16" s="3" t="s">
        <v>76</v>
      </c>
      <c r="JKV16" s="3" t="s">
        <v>77</v>
      </c>
      <c r="JKW16" s="3" t="s">
        <v>76</v>
      </c>
      <c r="JKX16" s="3" t="s">
        <v>77</v>
      </c>
      <c r="JKY16" s="3" t="s">
        <v>76</v>
      </c>
      <c r="JKZ16" s="3" t="s">
        <v>77</v>
      </c>
      <c r="JLA16" s="3" t="s">
        <v>76</v>
      </c>
      <c r="JLB16" s="3" t="s">
        <v>77</v>
      </c>
      <c r="JLC16" s="3" t="s">
        <v>76</v>
      </c>
      <c r="JLD16" s="3" t="s">
        <v>77</v>
      </c>
      <c r="JLE16" s="3" t="s">
        <v>76</v>
      </c>
      <c r="JLF16" s="3" t="s">
        <v>77</v>
      </c>
      <c r="JLG16" s="3" t="s">
        <v>76</v>
      </c>
      <c r="JLH16" s="3" t="s">
        <v>77</v>
      </c>
      <c r="JLI16" s="3" t="s">
        <v>76</v>
      </c>
      <c r="JLJ16" s="3" t="s">
        <v>77</v>
      </c>
      <c r="JLK16" s="3" t="s">
        <v>76</v>
      </c>
      <c r="JLL16" s="3" t="s">
        <v>77</v>
      </c>
      <c r="JLM16" s="3" t="s">
        <v>76</v>
      </c>
      <c r="JLN16" s="3" t="s">
        <v>77</v>
      </c>
      <c r="JLO16" s="3" t="s">
        <v>76</v>
      </c>
      <c r="JLP16" s="3" t="s">
        <v>77</v>
      </c>
      <c r="JLQ16" s="3" t="s">
        <v>76</v>
      </c>
      <c r="JLR16" s="3" t="s">
        <v>77</v>
      </c>
      <c r="JLS16" s="3" t="s">
        <v>76</v>
      </c>
      <c r="JLT16" s="3" t="s">
        <v>77</v>
      </c>
      <c r="JLU16" s="3" t="s">
        <v>76</v>
      </c>
      <c r="JLV16" s="3" t="s">
        <v>77</v>
      </c>
      <c r="JLW16" s="3" t="s">
        <v>76</v>
      </c>
      <c r="JLX16" s="3" t="s">
        <v>77</v>
      </c>
      <c r="JLY16" s="3" t="s">
        <v>76</v>
      </c>
      <c r="JLZ16" s="3" t="s">
        <v>77</v>
      </c>
      <c r="JMA16" s="3" t="s">
        <v>76</v>
      </c>
      <c r="JMB16" s="3" t="s">
        <v>77</v>
      </c>
      <c r="JMC16" s="3" t="s">
        <v>76</v>
      </c>
      <c r="JMD16" s="3" t="s">
        <v>77</v>
      </c>
      <c r="JME16" s="3" t="s">
        <v>76</v>
      </c>
      <c r="JMF16" s="3" t="s">
        <v>77</v>
      </c>
      <c r="JMG16" s="3" t="s">
        <v>76</v>
      </c>
      <c r="JMH16" s="3" t="s">
        <v>77</v>
      </c>
      <c r="JMI16" s="3" t="s">
        <v>76</v>
      </c>
      <c r="JMJ16" s="3" t="s">
        <v>77</v>
      </c>
      <c r="JMK16" s="3" t="s">
        <v>76</v>
      </c>
      <c r="JML16" s="3" t="s">
        <v>77</v>
      </c>
      <c r="JMM16" s="3" t="s">
        <v>76</v>
      </c>
      <c r="JMN16" s="3" t="s">
        <v>77</v>
      </c>
      <c r="JMO16" s="3" t="s">
        <v>76</v>
      </c>
      <c r="JMP16" s="3" t="s">
        <v>77</v>
      </c>
      <c r="JMQ16" s="3" t="s">
        <v>76</v>
      </c>
      <c r="JMR16" s="3" t="s">
        <v>77</v>
      </c>
      <c r="JMS16" s="3" t="s">
        <v>76</v>
      </c>
      <c r="JMT16" s="3" t="s">
        <v>77</v>
      </c>
      <c r="JMU16" s="3" t="s">
        <v>76</v>
      </c>
      <c r="JMV16" s="3" t="s">
        <v>77</v>
      </c>
      <c r="JMW16" s="3" t="s">
        <v>76</v>
      </c>
      <c r="JMX16" s="3" t="s">
        <v>77</v>
      </c>
      <c r="JMY16" s="3" t="s">
        <v>76</v>
      </c>
      <c r="JMZ16" s="3" t="s">
        <v>77</v>
      </c>
      <c r="JNA16" s="3" t="s">
        <v>76</v>
      </c>
      <c r="JNB16" s="3" t="s">
        <v>77</v>
      </c>
      <c r="JNC16" s="3" t="s">
        <v>76</v>
      </c>
      <c r="JND16" s="3" t="s">
        <v>77</v>
      </c>
      <c r="JNE16" s="3" t="s">
        <v>76</v>
      </c>
      <c r="JNF16" s="3" t="s">
        <v>77</v>
      </c>
      <c r="JNG16" s="3" t="s">
        <v>76</v>
      </c>
      <c r="JNH16" s="3" t="s">
        <v>77</v>
      </c>
      <c r="JNI16" s="3" t="s">
        <v>76</v>
      </c>
      <c r="JNJ16" s="3" t="s">
        <v>77</v>
      </c>
      <c r="JNK16" s="3" t="s">
        <v>76</v>
      </c>
      <c r="JNL16" s="3" t="s">
        <v>77</v>
      </c>
      <c r="JNM16" s="3" t="s">
        <v>76</v>
      </c>
      <c r="JNN16" s="3" t="s">
        <v>77</v>
      </c>
      <c r="JNO16" s="3" t="s">
        <v>76</v>
      </c>
      <c r="JNP16" s="3" t="s">
        <v>77</v>
      </c>
      <c r="JNQ16" s="3" t="s">
        <v>76</v>
      </c>
      <c r="JNR16" s="3" t="s">
        <v>77</v>
      </c>
      <c r="JNS16" s="3" t="s">
        <v>76</v>
      </c>
      <c r="JNT16" s="3" t="s">
        <v>77</v>
      </c>
      <c r="JNU16" s="3" t="s">
        <v>76</v>
      </c>
      <c r="JNV16" s="3" t="s">
        <v>77</v>
      </c>
      <c r="JNW16" s="3" t="s">
        <v>76</v>
      </c>
      <c r="JNX16" s="3" t="s">
        <v>77</v>
      </c>
      <c r="JNY16" s="3" t="s">
        <v>76</v>
      </c>
      <c r="JNZ16" s="3" t="s">
        <v>77</v>
      </c>
      <c r="JOA16" s="3" t="s">
        <v>76</v>
      </c>
      <c r="JOB16" s="3" t="s">
        <v>77</v>
      </c>
      <c r="JOC16" s="3" t="s">
        <v>76</v>
      </c>
      <c r="JOD16" s="3" t="s">
        <v>77</v>
      </c>
      <c r="JOE16" s="3" t="s">
        <v>76</v>
      </c>
      <c r="JOF16" s="3" t="s">
        <v>77</v>
      </c>
      <c r="JOG16" s="3" t="s">
        <v>76</v>
      </c>
      <c r="JOH16" s="3" t="s">
        <v>77</v>
      </c>
      <c r="JOI16" s="3" t="s">
        <v>76</v>
      </c>
      <c r="JOJ16" s="3" t="s">
        <v>77</v>
      </c>
      <c r="JOK16" s="3" t="s">
        <v>76</v>
      </c>
      <c r="JOL16" s="3" t="s">
        <v>77</v>
      </c>
      <c r="JOM16" s="3" t="s">
        <v>76</v>
      </c>
      <c r="JON16" s="3" t="s">
        <v>77</v>
      </c>
      <c r="JOO16" s="3" t="s">
        <v>76</v>
      </c>
      <c r="JOP16" s="3" t="s">
        <v>77</v>
      </c>
      <c r="JOQ16" s="3" t="s">
        <v>76</v>
      </c>
      <c r="JOR16" s="3" t="s">
        <v>77</v>
      </c>
      <c r="JOS16" s="3" t="s">
        <v>76</v>
      </c>
      <c r="JOT16" s="3" t="s">
        <v>77</v>
      </c>
      <c r="JOU16" s="3" t="s">
        <v>76</v>
      </c>
      <c r="JOV16" s="3" t="s">
        <v>77</v>
      </c>
      <c r="JOW16" s="3" t="s">
        <v>76</v>
      </c>
      <c r="JOX16" s="3" t="s">
        <v>77</v>
      </c>
      <c r="JOY16" s="3" t="s">
        <v>76</v>
      </c>
      <c r="JOZ16" s="3" t="s">
        <v>77</v>
      </c>
      <c r="JPA16" s="3" t="s">
        <v>76</v>
      </c>
      <c r="JPB16" s="3" t="s">
        <v>77</v>
      </c>
      <c r="JPC16" s="3" t="s">
        <v>76</v>
      </c>
      <c r="JPD16" s="3" t="s">
        <v>77</v>
      </c>
      <c r="JPE16" s="3" t="s">
        <v>76</v>
      </c>
      <c r="JPF16" s="3" t="s">
        <v>77</v>
      </c>
      <c r="JPG16" s="3" t="s">
        <v>76</v>
      </c>
      <c r="JPH16" s="3" t="s">
        <v>77</v>
      </c>
      <c r="JPI16" s="3" t="s">
        <v>76</v>
      </c>
      <c r="JPJ16" s="3" t="s">
        <v>77</v>
      </c>
      <c r="JPK16" s="3" t="s">
        <v>76</v>
      </c>
      <c r="JPL16" s="3" t="s">
        <v>77</v>
      </c>
      <c r="JPM16" s="3" t="s">
        <v>76</v>
      </c>
      <c r="JPN16" s="3" t="s">
        <v>77</v>
      </c>
      <c r="JPO16" s="3" t="s">
        <v>76</v>
      </c>
      <c r="JPP16" s="3" t="s">
        <v>77</v>
      </c>
      <c r="JPQ16" s="3" t="s">
        <v>76</v>
      </c>
      <c r="JPR16" s="3" t="s">
        <v>77</v>
      </c>
      <c r="JPS16" s="3" t="s">
        <v>76</v>
      </c>
      <c r="JPT16" s="3" t="s">
        <v>77</v>
      </c>
      <c r="JPU16" s="3" t="s">
        <v>76</v>
      </c>
      <c r="JPV16" s="3" t="s">
        <v>77</v>
      </c>
      <c r="JPW16" s="3" t="s">
        <v>76</v>
      </c>
      <c r="JPX16" s="3" t="s">
        <v>77</v>
      </c>
      <c r="JPY16" s="3" t="s">
        <v>76</v>
      </c>
      <c r="JPZ16" s="3" t="s">
        <v>77</v>
      </c>
      <c r="JQA16" s="3" t="s">
        <v>76</v>
      </c>
      <c r="JQB16" s="3" t="s">
        <v>77</v>
      </c>
      <c r="JQC16" s="3" t="s">
        <v>76</v>
      </c>
      <c r="JQD16" s="3" t="s">
        <v>77</v>
      </c>
      <c r="JQE16" s="3" t="s">
        <v>76</v>
      </c>
      <c r="JQF16" s="3" t="s">
        <v>77</v>
      </c>
      <c r="JQG16" s="3" t="s">
        <v>76</v>
      </c>
      <c r="JQH16" s="3" t="s">
        <v>77</v>
      </c>
      <c r="JQI16" s="3" t="s">
        <v>76</v>
      </c>
      <c r="JQJ16" s="3" t="s">
        <v>77</v>
      </c>
      <c r="JQK16" s="3" t="s">
        <v>76</v>
      </c>
      <c r="JQL16" s="3" t="s">
        <v>77</v>
      </c>
      <c r="JQM16" s="3" t="s">
        <v>76</v>
      </c>
      <c r="JQN16" s="3" t="s">
        <v>77</v>
      </c>
      <c r="JQO16" s="3" t="s">
        <v>76</v>
      </c>
      <c r="JQP16" s="3" t="s">
        <v>77</v>
      </c>
      <c r="JQQ16" s="3" t="s">
        <v>76</v>
      </c>
      <c r="JQR16" s="3" t="s">
        <v>77</v>
      </c>
      <c r="JQS16" s="3" t="s">
        <v>76</v>
      </c>
      <c r="JQT16" s="3" t="s">
        <v>77</v>
      </c>
      <c r="JQU16" s="3" t="s">
        <v>76</v>
      </c>
      <c r="JQV16" s="3" t="s">
        <v>77</v>
      </c>
      <c r="JQW16" s="3" t="s">
        <v>76</v>
      </c>
      <c r="JQX16" s="3" t="s">
        <v>77</v>
      </c>
      <c r="JQY16" s="3" t="s">
        <v>76</v>
      </c>
      <c r="JQZ16" s="3" t="s">
        <v>77</v>
      </c>
      <c r="JRA16" s="3" t="s">
        <v>76</v>
      </c>
      <c r="JRB16" s="3" t="s">
        <v>77</v>
      </c>
      <c r="JRC16" s="3" t="s">
        <v>76</v>
      </c>
      <c r="JRD16" s="3" t="s">
        <v>77</v>
      </c>
      <c r="JRE16" s="3" t="s">
        <v>76</v>
      </c>
      <c r="JRF16" s="3" t="s">
        <v>77</v>
      </c>
      <c r="JRG16" s="3" t="s">
        <v>76</v>
      </c>
      <c r="JRH16" s="3" t="s">
        <v>77</v>
      </c>
      <c r="JRI16" s="3" t="s">
        <v>76</v>
      </c>
      <c r="JRJ16" s="3" t="s">
        <v>77</v>
      </c>
      <c r="JRK16" s="3" t="s">
        <v>76</v>
      </c>
      <c r="JRL16" s="3" t="s">
        <v>77</v>
      </c>
      <c r="JRM16" s="3" t="s">
        <v>76</v>
      </c>
      <c r="JRN16" s="3" t="s">
        <v>77</v>
      </c>
      <c r="JRO16" s="3" t="s">
        <v>76</v>
      </c>
      <c r="JRP16" s="3" t="s">
        <v>77</v>
      </c>
      <c r="JRQ16" s="3" t="s">
        <v>76</v>
      </c>
      <c r="JRR16" s="3" t="s">
        <v>77</v>
      </c>
      <c r="JRS16" s="3" t="s">
        <v>76</v>
      </c>
      <c r="JRT16" s="3" t="s">
        <v>77</v>
      </c>
      <c r="JRU16" s="3" t="s">
        <v>76</v>
      </c>
      <c r="JRV16" s="3" t="s">
        <v>77</v>
      </c>
      <c r="JRW16" s="3" t="s">
        <v>76</v>
      </c>
      <c r="JRX16" s="3" t="s">
        <v>77</v>
      </c>
      <c r="JRY16" s="3" t="s">
        <v>76</v>
      </c>
      <c r="JRZ16" s="3" t="s">
        <v>77</v>
      </c>
      <c r="JSA16" s="3" t="s">
        <v>76</v>
      </c>
      <c r="JSB16" s="3" t="s">
        <v>77</v>
      </c>
      <c r="JSC16" s="3" t="s">
        <v>76</v>
      </c>
      <c r="JSD16" s="3" t="s">
        <v>77</v>
      </c>
      <c r="JSE16" s="3" t="s">
        <v>76</v>
      </c>
      <c r="JSF16" s="3" t="s">
        <v>77</v>
      </c>
      <c r="JSG16" s="3" t="s">
        <v>76</v>
      </c>
      <c r="JSH16" s="3" t="s">
        <v>77</v>
      </c>
      <c r="JSI16" s="3" t="s">
        <v>76</v>
      </c>
      <c r="JSJ16" s="3" t="s">
        <v>77</v>
      </c>
      <c r="JSK16" s="3" t="s">
        <v>76</v>
      </c>
      <c r="JSL16" s="3" t="s">
        <v>77</v>
      </c>
      <c r="JSM16" s="3" t="s">
        <v>76</v>
      </c>
      <c r="JSN16" s="3" t="s">
        <v>77</v>
      </c>
      <c r="JSO16" s="3" t="s">
        <v>76</v>
      </c>
      <c r="JSP16" s="3" t="s">
        <v>77</v>
      </c>
      <c r="JSQ16" s="3" t="s">
        <v>76</v>
      </c>
      <c r="JSR16" s="3" t="s">
        <v>77</v>
      </c>
      <c r="JSS16" s="3" t="s">
        <v>76</v>
      </c>
      <c r="JST16" s="3" t="s">
        <v>77</v>
      </c>
      <c r="JSU16" s="3" t="s">
        <v>76</v>
      </c>
      <c r="JSV16" s="3" t="s">
        <v>77</v>
      </c>
      <c r="JSW16" s="3" t="s">
        <v>76</v>
      </c>
      <c r="JSX16" s="3" t="s">
        <v>77</v>
      </c>
      <c r="JSY16" s="3" t="s">
        <v>76</v>
      </c>
      <c r="JSZ16" s="3" t="s">
        <v>77</v>
      </c>
      <c r="JTA16" s="3" t="s">
        <v>76</v>
      </c>
      <c r="JTB16" s="3" t="s">
        <v>77</v>
      </c>
      <c r="JTC16" s="3" t="s">
        <v>76</v>
      </c>
      <c r="JTD16" s="3" t="s">
        <v>77</v>
      </c>
      <c r="JTE16" s="3" t="s">
        <v>76</v>
      </c>
      <c r="JTF16" s="3" t="s">
        <v>77</v>
      </c>
      <c r="JTG16" s="3" t="s">
        <v>76</v>
      </c>
      <c r="JTH16" s="3" t="s">
        <v>77</v>
      </c>
      <c r="JTI16" s="3" t="s">
        <v>76</v>
      </c>
      <c r="JTJ16" s="3" t="s">
        <v>77</v>
      </c>
      <c r="JTK16" s="3" t="s">
        <v>76</v>
      </c>
      <c r="JTL16" s="3" t="s">
        <v>77</v>
      </c>
      <c r="JTM16" s="3" t="s">
        <v>76</v>
      </c>
      <c r="JTN16" s="3" t="s">
        <v>77</v>
      </c>
      <c r="JTO16" s="3" t="s">
        <v>76</v>
      </c>
      <c r="JTP16" s="3" t="s">
        <v>77</v>
      </c>
      <c r="JTQ16" s="3" t="s">
        <v>76</v>
      </c>
      <c r="JTR16" s="3" t="s">
        <v>77</v>
      </c>
      <c r="JTS16" s="3" t="s">
        <v>76</v>
      </c>
      <c r="JTT16" s="3" t="s">
        <v>77</v>
      </c>
      <c r="JTU16" s="3" t="s">
        <v>76</v>
      </c>
      <c r="JTV16" s="3" t="s">
        <v>77</v>
      </c>
      <c r="JTW16" s="3" t="s">
        <v>76</v>
      </c>
      <c r="JTX16" s="3" t="s">
        <v>77</v>
      </c>
      <c r="JTY16" s="3" t="s">
        <v>76</v>
      </c>
      <c r="JTZ16" s="3" t="s">
        <v>77</v>
      </c>
      <c r="JUA16" s="3" t="s">
        <v>76</v>
      </c>
      <c r="JUB16" s="3" t="s">
        <v>77</v>
      </c>
      <c r="JUC16" s="3" t="s">
        <v>76</v>
      </c>
      <c r="JUD16" s="3" t="s">
        <v>77</v>
      </c>
      <c r="JUE16" s="3" t="s">
        <v>76</v>
      </c>
      <c r="JUF16" s="3" t="s">
        <v>77</v>
      </c>
      <c r="JUG16" s="3" t="s">
        <v>76</v>
      </c>
      <c r="JUH16" s="3" t="s">
        <v>77</v>
      </c>
      <c r="JUI16" s="3" t="s">
        <v>76</v>
      </c>
      <c r="JUJ16" s="3" t="s">
        <v>77</v>
      </c>
      <c r="JUK16" s="3" t="s">
        <v>76</v>
      </c>
      <c r="JUL16" s="3" t="s">
        <v>77</v>
      </c>
      <c r="JUM16" s="3" t="s">
        <v>76</v>
      </c>
      <c r="JUN16" s="3" t="s">
        <v>77</v>
      </c>
      <c r="JUO16" s="3" t="s">
        <v>76</v>
      </c>
      <c r="JUP16" s="3" t="s">
        <v>77</v>
      </c>
      <c r="JUQ16" s="3" t="s">
        <v>76</v>
      </c>
      <c r="JUR16" s="3" t="s">
        <v>77</v>
      </c>
      <c r="JUS16" s="3" t="s">
        <v>76</v>
      </c>
      <c r="JUT16" s="3" t="s">
        <v>77</v>
      </c>
      <c r="JUU16" s="3" t="s">
        <v>76</v>
      </c>
      <c r="JUV16" s="3" t="s">
        <v>77</v>
      </c>
      <c r="JUW16" s="3" t="s">
        <v>76</v>
      </c>
      <c r="JUX16" s="3" t="s">
        <v>77</v>
      </c>
      <c r="JUY16" s="3" t="s">
        <v>76</v>
      </c>
      <c r="JUZ16" s="3" t="s">
        <v>77</v>
      </c>
      <c r="JVA16" s="3" t="s">
        <v>76</v>
      </c>
      <c r="JVB16" s="3" t="s">
        <v>77</v>
      </c>
      <c r="JVC16" s="3" t="s">
        <v>76</v>
      </c>
      <c r="JVD16" s="3" t="s">
        <v>77</v>
      </c>
      <c r="JVE16" s="3" t="s">
        <v>76</v>
      </c>
      <c r="JVF16" s="3" t="s">
        <v>77</v>
      </c>
      <c r="JVG16" s="3" t="s">
        <v>76</v>
      </c>
      <c r="JVH16" s="3" t="s">
        <v>77</v>
      </c>
      <c r="JVI16" s="3" t="s">
        <v>76</v>
      </c>
      <c r="JVJ16" s="3" t="s">
        <v>77</v>
      </c>
      <c r="JVK16" s="3" t="s">
        <v>76</v>
      </c>
      <c r="JVL16" s="3" t="s">
        <v>77</v>
      </c>
      <c r="JVM16" s="3" t="s">
        <v>76</v>
      </c>
      <c r="JVN16" s="3" t="s">
        <v>77</v>
      </c>
      <c r="JVO16" s="3" t="s">
        <v>76</v>
      </c>
      <c r="JVP16" s="3" t="s">
        <v>77</v>
      </c>
      <c r="JVQ16" s="3" t="s">
        <v>76</v>
      </c>
      <c r="JVR16" s="3" t="s">
        <v>77</v>
      </c>
      <c r="JVS16" s="3" t="s">
        <v>76</v>
      </c>
      <c r="JVT16" s="3" t="s">
        <v>77</v>
      </c>
      <c r="JVU16" s="3" t="s">
        <v>76</v>
      </c>
      <c r="JVV16" s="3" t="s">
        <v>77</v>
      </c>
      <c r="JVW16" s="3" t="s">
        <v>76</v>
      </c>
      <c r="JVX16" s="3" t="s">
        <v>77</v>
      </c>
      <c r="JVY16" s="3" t="s">
        <v>76</v>
      </c>
      <c r="JVZ16" s="3" t="s">
        <v>77</v>
      </c>
      <c r="JWA16" s="3" t="s">
        <v>76</v>
      </c>
      <c r="JWB16" s="3" t="s">
        <v>77</v>
      </c>
      <c r="JWC16" s="3" t="s">
        <v>76</v>
      </c>
      <c r="JWD16" s="3" t="s">
        <v>77</v>
      </c>
      <c r="JWE16" s="3" t="s">
        <v>76</v>
      </c>
      <c r="JWF16" s="3" t="s">
        <v>77</v>
      </c>
      <c r="JWG16" s="3" t="s">
        <v>76</v>
      </c>
      <c r="JWH16" s="3" t="s">
        <v>77</v>
      </c>
      <c r="JWI16" s="3" t="s">
        <v>76</v>
      </c>
      <c r="JWJ16" s="3" t="s">
        <v>77</v>
      </c>
      <c r="JWK16" s="3" t="s">
        <v>76</v>
      </c>
      <c r="JWL16" s="3" t="s">
        <v>77</v>
      </c>
      <c r="JWM16" s="3" t="s">
        <v>76</v>
      </c>
      <c r="JWN16" s="3" t="s">
        <v>77</v>
      </c>
      <c r="JWO16" s="3" t="s">
        <v>76</v>
      </c>
      <c r="JWP16" s="3" t="s">
        <v>77</v>
      </c>
      <c r="JWQ16" s="3" t="s">
        <v>76</v>
      </c>
      <c r="JWR16" s="3" t="s">
        <v>77</v>
      </c>
      <c r="JWS16" s="3" t="s">
        <v>76</v>
      </c>
      <c r="JWT16" s="3" t="s">
        <v>77</v>
      </c>
      <c r="JWU16" s="3" t="s">
        <v>76</v>
      </c>
      <c r="JWV16" s="3" t="s">
        <v>77</v>
      </c>
      <c r="JWW16" s="3" t="s">
        <v>76</v>
      </c>
      <c r="JWX16" s="3" t="s">
        <v>77</v>
      </c>
      <c r="JWY16" s="3" t="s">
        <v>76</v>
      </c>
      <c r="JWZ16" s="3" t="s">
        <v>77</v>
      </c>
      <c r="JXA16" s="3" t="s">
        <v>76</v>
      </c>
      <c r="JXB16" s="3" t="s">
        <v>77</v>
      </c>
      <c r="JXC16" s="3" t="s">
        <v>76</v>
      </c>
      <c r="JXD16" s="3" t="s">
        <v>77</v>
      </c>
      <c r="JXE16" s="3" t="s">
        <v>76</v>
      </c>
      <c r="JXF16" s="3" t="s">
        <v>77</v>
      </c>
      <c r="JXG16" s="3" t="s">
        <v>76</v>
      </c>
      <c r="JXH16" s="3" t="s">
        <v>77</v>
      </c>
      <c r="JXI16" s="3" t="s">
        <v>76</v>
      </c>
      <c r="JXJ16" s="3" t="s">
        <v>77</v>
      </c>
      <c r="JXK16" s="3" t="s">
        <v>76</v>
      </c>
      <c r="JXL16" s="3" t="s">
        <v>77</v>
      </c>
      <c r="JXM16" s="3" t="s">
        <v>76</v>
      </c>
      <c r="JXN16" s="3" t="s">
        <v>77</v>
      </c>
      <c r="JXO16" s="3" t="s">
        <v>76</v>
      </c>
      <c r="JXP16" s="3" t="s">
        <v>77</v>
      </c>
      <c r="JXQ16" s="3" t="s">
        <v>76</v>
      </c>
      <c r="JXR16" s="3" t="s">
        <v>77</v>
      </c>
      <c r="JXS16" s="3" t="s">
        <v>76</v>
      </c>
      <c r="JXT16" s="3" t="s">
        <v>77</v>
      </c>
      <c r="JXU16" s="3" t="s">
        <v>76</v>
      </c>
      <c r="JXV16" s="3" t="s">
        <v>77</v>
      </c>
      <c r="JXW16" s="3" t="s">
        <v>76</v>
      </c>
      <c r="JXX16" s="3" t="s">
        <v>77</v>
      </c>
      <c r="JXY16" s="3" t="s">
        <v>76</v>
      </c>
      <c r="JXZ16" s="3" t="s">
        <v>77</v>
      </c>
      <c r="JYA16" s="3" t="s">
        <v>76</v>
      </c>
      <c r="JYB16" s="3" t="s">
        <v>77</v>
      </c>
      <c r="JYC16" s="3" t="s">
        <v>76</v>
      </c>
      <c r="JYD16" s="3" t="s">
        <v>77</v>
      </c>
      <c r="JYE16" s="3" t="s">
        <v>76</v>
      </c>
      <c r="JYF16" s="3" t="s">
        <v>77</v>
      </c>
      <c r="JYG16" s="3" t="s">
        <v>76</v>
      </c>
      <c r="JYH16" s="3" t="s">
        <v>77</v>
      </c>
      <c r="JYI16" s="3" t="s">
        <v>76</v>
      </c>
      <c r="JYJ16" s="3" t="s">
        <v>77</v>
      </c>
      <c r="JYK16" s="3" t="s">
        <v>76</v>
      </c>
      <c r="JYL16" s="3" t="s">
        <v>77</v>
      </c>
      <c r="JYM16" s="3" t="s">
        <v>76</v>
      </c>
      <c r="JYN16" s="3" t="s">
        <v>77</v>
      </c>
      <c r="JYO16" s="3" t="s">
        <v>76</v>
      </c>
      <c r="JYP16" s="3" t="s">
        <v>77</v>
      </c>
      <c r="JYQ16" s="3" t="s">
        <v>76</v>
      </c>
      <c r="JYR16" s="3" t="s">
        <v>77</v>
      </c>
      <c r="JYS16" s="3" t="s">
        <v>76</v>
      </c>
      <c r="JYT16" s="3" t="s">
        <v>77</v>
      </c>
      <c r="JYU16" s="3" t="s">
        <v>76</v>
      </c>
      <c r="JYV16" s="3" t="s">
        <v>77</v>
      </c>
      <c r="JYW16" s="3" t="s">
        <v>76</v>
      </c>
      <c r="JYX16" s="3" t="s">
        <v>77</v>
      </c>
      <c r="JYY16" s="3" t="s">
        <v>76</v>
      </c>
      <c r="JYZ16" s="3" t="s">
        <v>77</v>
      </c>
      <c r="JZA16" s="3" t="s">
        <v>76</v>
      </c>
      <c r="JZB16" s="3" t="s">
        <v>77</v>
      </c>
      <c r="JZC16" s="3" t="s">
        <v>76</v>
      </c>
      <c r="JZD16" s="3" t="s">
        <v>77</v>
      </c>
      <c r="JZE16" s="3" t="s">
        <v>76</v>
      </c>
      <c r="JZF16" s="3" t="s">
        <v>77</v>
      </c>
      <c r="JZG16" s="3" t="s">
        <v>76</v>
      </c>
      <c r="JZH16" s="3" t="s">
        <v>77</v>
      </c>
      <c r="JZI16" s="3" t="s">
        <v>76</v>
      </c>
      <c r="JZJ16" s="3" t="s">
        <v>77</v>
      </c>
      <c r="JZK16" s="3" t="s">
        <v>76</v>
      </c>
      <c r="JZL16" s="3" t="s">
        <v>77</v>
      </c>
      <c r="JZM16" s="3" t="s">
        <v>76</v>
      </c>
      <c r="JZN16" s="3" t="s">
        <v>77</v>
      </c>
      <c r="JZO16" s="3" t="s">
        <v>76</v>
      </c>
      <c r="JZP16" s="3" t="s">
        <v>77</v>
      </c>
      <c r="JZQ16" s="3" t="s">
        <v>76</v>
      </c>
      <c r="JZR16" s="3" t="s">
        <v>77</v>
      </c>
      <c r="JZS16" s="3" t="s">
        <v>76</v>
      </c>
      <c r="JZT16" s="3" t="s">
        <v>77</v>
      </c>
      <c r="JZU16" s="3" t="s">
        <v>76</v>
      </c>
      <c r="JZV16" s="3" t="s">
        <v>77</v>
      </c>
      <c r="JZW16" s="3" t="s">
        <v>76</v>
      </c>
      <c r="JZX16" s="3" t="s">
        <v>77</v>
      </c>
      <c r="JZY16" s="3" t="s">
        <v>76</v>
      </c>
      <c r="JZZ16" s="3" t="s">
        <v>77</v>
      </c>
      <c r="KAA16" s="3" t="s">
        <v>76</v>
      </c>
      <c r="KAB16" s="3" t="s">
        <v>77</v>
      </c>
      <c r="KAC16" s="3" t="s">
        <v>76</v>
      </c>
      <c r="KAD16" s="3" t="s">
        <v>77</v>
      </c>
      <c r="KAE16" s="3" t="s">
        <v>76</v>
      </c>
      <c r="KAF16" s="3" t="s">
        <v>77</v>
      </c>
      <c r="KAG16" s="3" t="s">
        <v>76</v>
      </c>
      <c r="KAH16" s="3" t="s">
        <v>77</v>
      </c>
      <c r="KAI16" s="3" t="s">
        <v>76</v>
      </c>
      <c r="KAJ16" s="3" t="s">
        <v>77</v>
      </c>
      <c r="KAK16" s="3" t="s">
        <v>76</v>
      </c>
      <c r="KAL16" s="3" t="s">
        <v>77</v>
      </c>
      <c r="KAM16" s="3" t="s">
        <v>76</v>
      </c>
      <c r="KAN16" s="3" t="s">
        <v>77</v>
      </c>
      <c r="KAO16" s="3" t="s">
        <v>76</v>
      </c>
      <c r="KAP16" s="3" t="s">
        <v>77</v>
      </c>
      <c r="KAQ16" s="3" t="s">
        <v>76</v>
      </c>
      <c r="KAR16" s="3" t="s">
        <v>77</v>
      </c>
      <c r="KAS16" s="3" t="s">
        <v>76</v>
      </c>
      <c r="KAT16" s="3" t="s">
        <v>77</v>
      </c>
      <c r="KAU16" s="3" t="s">
        <v>76</v>
      </c>
      <c r="KAV16" s="3" t="s">
        <v>77</v>
      </c>
      <c r="KAW16" s="3" t="s">
        <v>76</v>
      </c>
      <c r="KAX16" s="3" t="s">
        <v>77</v>
      </c>
      <c r="KAY16" s="3" t="s">
        <v>76</v>
      </c>
      <c r="KAZ16" s="3" t="s">
        <v>77</v>
      </c>
      <c r="KBA16" s="3" t="s">
        <v>76</v>
      </c>
      <c r="KBB16" s="3" t="s">
        <v>77</v>
      </c>
      <c r="KBC16" s="3" t="s">
        <v>76</v>
      </c>
      <c r="KBD16" s="3" t="s">
        <v>77</v>
      </c>
      <c r="KBE16" s="3" t="s">
        <v>76</v>
      </c>
      <c r="KBF16" s="3" t="s">
        <v>77</v>
      </c>
      <c r="KBG16" s="3" t="s">
        <v>76</v>
      </c>
      <c r="KBH16" s="3" t="s">
        <v>77</v>
      </c>
      <c r="KBI16" s="3" t="s">
        <v>76</v>
      </c>
      <c r="KBJ16" s="3" t="s">
        <v>77</v>
      </c>
      <c r="KBK16" s="3" t="s">
        <v>76</v>
      </c>
      <c r="KBL16" s="3" t="s">
        <v>77</v>
      </c>
      <c r="KBM16" s="3" t="s">
        <v>76</v>
      </c>
      <c r="KBN16" s="3" t="s">
        <v>77</v>
      </c>
      <c r="KBO16" s="3" t="s">
        <v>76</v>
      </c>
      <c r="KBP16" s="3" t="s">
        <v>77</v>
      </c>
      <c r="KBQ16" s="3" t="s">
        <v>76</v>
      </c>
      <c r="KBR16" s="3" t="s">
        <v>77</v>
      </c>
      <c r="KBS16" s="3" t="s">
        <v>76</v>
      </c>
      <c r="KBT16" s="3" t="s">
        <v>77</v>
      </c>
      <c r="KBU16" s="3" t="s">
        <v>76</v>
      </c>
      <c r="KBV16" s="3" t="s">
        <v>77</v>
      </c>
      <c r="KBW16" s="3" t="s">
        <v>76</v>
      </c>
      <c r="KBX16" s="3" t="s">
        <v>77</v>
      </c>
      <c r="KBY16" s="3" t="s">
        <v>76</v>
      </c>
      <c r="KBZ16" s="3" t="s">
        <v>77</v>
      </c>
      <c r="KCA16" s="3" t="s">
        <v>76</v>
      </c>
      <c r="KCB16" s="3" t="s">
        <v>77</v>
      </c>
      <c r="KCC16" s="3" t="s">
        <v>76</v>
      </c>
      <c r="KCD16" s="3" t="s">
        <v>77</v>
      </c>
      <c r="KCE16" s="3" t="s">
        <v>76</v>
      </c>
      <c r="KCF16" s="3" t="s">
        <v>77</v>
      </c>
      <c r="KCG16" s="3" t="s">
        <v>76</v>
      </c>
      <c r="KCH16" s="3" t="s">
        <v>77</v>
      </c>
      <c r="KCI16" s="3" t="s">
        <v>76</v>
      </c>
      <c r="KCJ16" s="3" t="s">
        <v>77</v>
      </c>
      <c r="KCK16" s="3" t="s">
        <v>76</v>
      </c>
      <c r="KCL16" s="3" t="s">
        <v>77</v>
      </c>
      <c r="KCM16" s="3" t="s">
        <v>76</v>
      </c>
      <c r="KCN16" s="3" t="s">
        <v>77</v>
      </c>
      <c r="KCO16" s="3" t="s">
        <v>76</v>
      </c>
      <c r="KCP16" s="3" t="s">
        <v>77</v>
      </c>
      <c r="KCQ16" s="3" t="s">
        <v>76</v>
      </c>
      <c r="KCR16" s="3" t="s">
        <v>77</v>
      </c>
      <c r="KCS16" s="3" t="s">
        <v>76</v>
      </c>
      <c r="KCT16" s="3" t="s">
        <v>77</v>
      </c>
      <c r="KCU16" s="3" t="s">
        <v>76</v>
      </c>
      <c r="KCV16" s="3" t="s">
        <v>77</v>
      </c>
      <c r="KCW16" s="3" t="s">
        <v>76</v>
      </c>
      <c r="KCX16" s="3" t="s">
        <v>77</v>
      </c>
      <c r="KCY16" s="3" t="s">
        <v>76</v>
      </c>
      <c r="KCZ16" s="3" t="s">
        <v>77</v>
      </c>
      <c r="KDA16" s="3" t="s">
        <v>76</v>
      </c>
      <c r="KDB16" s="3" t="s">
        <v>77</v>
      </c>
      <c r="KDC16" s="3" t="s">
        <v>76</v>
      </c>
      <c r="KDD16" s="3" t="s">
        <v>77</v>
      </c>
      <c r="KDE16" s="3" t="s">
        <v>76</v>
      </c>
      <c r="KDF16" s="3" t="s">
        <v>77</v>
      </c>
      <c r="KDG16" s="3" t="s">
        <v>76</v>
      </c>
      <c r="KDH16" s="3" t="s">
        <v>77</v>
      </c>
      <c r="KDI16" s="3" t="s">
        <v>76</v>
      </c>
      <c r="KDJ16" s="3" t="s">
        <v>77</v>
      </c>
      <c r="KDK16" s="3" t="s">
        <v>76</v>
      </c>
      <c r="KDL16" s="3" t="s">
        <v>77</v>
      </c>
      <c r="KDM16" s="3" t="s">
        <v>76</v>
      </c>
      <c r="KDN16" s="3" t="s">
        <v>77</v>
      </c>
      <c r="KDO16" s="3" t="s">
        <v>76</v>
      </c>
      <c r="KDP16" s="3" t="s">
        <v>77</v>
      </c>
      <c r="KDQ16" s="3" t="s">
        <v>76</v>
      </c>
      <c r="KDR16" s="3" t="s">
        <v>77</v>
      </c>
      <c r="KDS16" s="3" t="s">
        <v>76</v>
      </c>
      <c r="KDT16" s="3" t="s">
        <v>77</v>
      </c>
      <c r="KDU16" s="3" t="s">
        <v>76</v>
      </c>
      <c r="KDV16" s="3" t="s">
        <v>77</v>
      </c>
      <c r="KDW16" s="3" t="s">
        <v>76</v>
      </c>
      <c r="KDX16" s="3" t="s">
        <v>77</v>
      </c>
      <c r="KDY16" s="3" t="s">
        <v>76</v>
      </c>
      <c r="KDZ16" s="3" t="s">
        <v>77</v>
      </c>
      <c r="KEA16" s="3" t="s">
        <v>76</v>
      </c>
      <c r="KEB16" s="3" t="s">
        <v>77</v>
      </c>
      <c r="KEC16" s="3" t="s">
        <v>76</v>
      </c>
      <c r="KED16" s="3" t="s">
        <v>77</v>
      </c>
      <c r="KEE16" s="3" t="s">
        <v>76</v>
      </c>
      <c r="KEF16" s="3" t="s">
        <v>77</v>
      </c>
      <c r="KEG16" s="3" t="s">
        <v>76</v>
      </c>
      <c r="KEH16" s="3" t="s">
        <v>77</v>
      </c>
      <c r="KEI16" s="3" t="s">
        <v>76</v>
      </c>
      <c r="KEJ16" s="3" t="s">
        <v>77</v>
      </c>
      <c r="KEK16" s="3" t="s">
        <v>76</v>
      </c>
      <c r="KEL16" s="3" t="s">
        <v>77</v>
      </c>
      <c r="KEM16" s="3" t="s">
        <v>76</v>
      </c>
      <c r="KEN16" s="3" t="s">
        <v>77</v>
      </c>
      <c r="KEO16" s="3" t="s">
        <v>76</v>
      </c>
      <c r="KEP16" s="3" t="s">
        <v>77</v>
      </c>
      <c r="KEQ16" s="3" t="s">
        <v>76</v>
      </c>
      <c r="KER16" s="3" t="s">
        <v>77</v>
      </c>
      <c r="KES16" s="3" t="s">
        <v>76</v>
      </c>
      <c r="KET16" s="3" t="s">
        <v>77</v>
      </c>
      <c r="KEU16" s="3" t="s">
        <v>76</v>
      </c>
      <c r="KEV16" s="3" t="s">
        <v>77</v>
      </c>
      <c r="KEW16" s="3" t="s">
        <v>76</v>
      </c>
      <c r="KEX16" s="3" t="s">
        <v>77</v>
      </c>
      <c r="KEY16" s="3" t="s">
        <v>76</v>
      </c>
      <c r="KEZ16" s="3" t="s">
        <v>77</v>
      </c>
      <c r="KFA16" s="3" t="s">
        <v>76</v>
      </c>
      <c r="KFB16" s="3" t="s">
        <v>77</v>
      </c>
      <c r="KFC16" s="3" t="s">
        <v>76</v>
      </c>
      <c r="KFD16" s="3" t="s">
        <v>77</v>
      </c>
      <c r="KFE16" s="3" t="s">
        <v>76</v>
      </c>
      <c r="KFF16" s="3" t="s">
        <v>77</v>
      </c>
      <c r="KFG16" s="3" t="s">
        <v>76</v>
      </c>
      <c r="KFH16" s="3" t="s">
        <v>77</v>
      </c>
      <c r="KFI16" s="3" t="s">
        <v>76</v>
      </c>
      <c r="KFJ16" s="3" t="s">
        <v>77</v>
      </c>
      <c r="KFK16" s="3" t="s">
        <v>76</v>
      </c>
      <c r="KFL16" s="3" t="s">
        <v>77</v>
      </c>
      <c r="KFM16" s="3" t="s">
        <v>76</v>
      </c>
      <c r="KFN16" s="3" t="s">
        <v>77</v>
      </c>
      <c r="KFO16" s="3" t="s">
        <v>76</v>
      </c>
      <c r="KFP16" s="3" t="s">
        <v>77</v>
      </c>
      <c r="KFQ16" s="3" t="s">
        <v>76</v>
      </c>
      <c r="KFR16" s="3" t="s">
        <v>77</v>
      </c>
      <c r="KFS16" s="3" t="s">
        <v>76</v>
      </c>
      <c r="KFT16" s="3" t="s">
        <v>77</v>
      </c>
      <c r="KFU16" s="3" t="s">
        <v>76</v>
      </c>
      <c r="KFV16" s="3" t="s">
        <v>77</v>
      </c>
      <c r="KFW16" s="3" t="s">
        <v>76</v>
      </c>
      <c r="KFX16" s="3" t="s">
        <v>77</v>
      </c>
      <c r="KFY16" s="3" t="s">
        <v>76</v>
      </c>
      <c r="KFZ16" s="3" t="s">
        <v>77</v>
      </c>
      <c r="KGA16" s="3" t="s">
        <v>76</v>
      </c>
      <c r="KGB16" s="3" t="s">
        <v>77</v>
      </c>
      <c r="KGC16" s="3" t="s">
        <v>76</v>
      </c>
      <c r="KGD16" s="3" t="s">
        <v>77</v>
      </c>
      <c r="KGE16" s="3" t="s">
        <v>76</v>
      </c>
      <c r="KGF16" s="3" t="s">
        <v>77</v>
      </c>
      <c r="KGG16" s="3" t="s">
        <v>76</v>
      </c>
      <c r="KGH16" s="3" t="s">
        <v>77</v>
      </c>
      <c r="KGI16" s="3" t="s">
        <v>76</v>
      </c>
      <c r="KGJ16" s="3" t="s">
        <v>77</v>
      </c>
      <c r="KGK16" s="3" t="s">
        <v>76</v>
      </c>
      <c r="KGL16" s="3" t="s">
        <v>77</v>
      </c>
      <c r="KGM16" s="3" t="s">
        <v>76</v>
      </c>
      <c r="KGN16" s="3" t="s">
        <v>77</v>
      </c>
      <c r="KGO16" s="3" t="s">
        <v>76</v>
      </c>
      <c r="KGP16" s="3" t="s">
        <v>77</v>
      </c>
      <c r="KGQ16" s="3" t="s">
        <v>76</v>
      </c>
      <c r="KGR16" s="3" t="s">
        <v>77</v>
      </c>
      <c r="KGS16" s="3" t="s">
        <v>76</v>
      </c>
      <c r="KGT16" s="3" t="s">
        <v>77</v>
      </c>
      <c r="KGU16" s="3" t="s">
        <v>76</v>
      </c>
      <c r="KGV16" s="3" t="s">
        <v>77</v>
      </c>
      <c r="KGW16" s="3" t="s">
        <v>76</v>
      </c>
      <c r="KGX16" s="3" t="s">
        <v>77</v>
      </c>
      <c r="KGY16" s="3" t="s">
        <v>76</v>
      </c>
      <c r="KGZ16" s="3" t="s">
        <v>77</v>
      </c>
      <c r="KHA16" s="3" t="s">
        <v>76</v>
      </c>
      <c r="KHB16" s="3" t="s">
        <v>77</v>
      </c>
      <c r="KHC16" s="3" t="s">
        <v>76</v>
      </c>
      <c r="KHD16" s="3" t="s">
        <v>77</v>
      </c>
      <c r="KHE16" s="3" t="s">
        <v>76</v>
      </c>
      <c r="KHF16" s="3" t="s">
        <v>77</v>
      </c>
      <c r="KHG16" s="3" t="s">
        <v>76</v>
      </c>
      <c r="KHH16" s="3" t="s">
        <v>77</v>
      </c>
      <c r="KHI16" s="3" t="s">
        <v>76</v>
      </c>
      <c r="KHJ16" s="3" t="s">
        <v>77</v>
      </c>
      <c r="KHK16" s="3" t="s">
        <v>76</v>
      </c>
      <c r="KHL16" s="3" t="s">
        <v>77</v>
      </c>
      <c r="KHM16" s="3" t="s">
        <v>76</v>
      </c>
      <c r="KHN16" s="3" t="s">
        <v>77</v>
      </c>
      <c r="KHO16" s="3" t="s">
        <v>76</v>
      </c>
      <c r="KHP16" s="3" t="s">
        <v>77</v>
      </c>
      <c r="KHQ16" s="3" t="s">
        <v>76</v>
      </c>
      <c r="KHR16" s="3" t="s">
        <v>77</v>
      </c>
      <c r="KHS16" s="3" t="s">
        <v>76</v>
      </c>
      <c r="KHT16" s="3" t="s">
        <v>77</v>
      </c>
      <c r="KHU16" s="3" t="s">
        <v>76</v>
      </c>
      <c r="KHV16" s="3" t="s">
        <v>77</v>
      </c>
      <c r="KHW16" s="3" t="s">
        <v>76</v>
      </c>
      <c r="KHX16" s="3" t="s">
        <v>77</v>
      </c>
      <c r="KHY16" s="3" t="s">
        <v>76</v>
      </c>
      <c r="KHZ16" s="3" t="s">
        <v>77</v>
      </c>
      <c r="KIA16" s="3" t="s">
        <v>76</v>
      </c>
      <c r="KIB16" s="3" t="s">
        <v>77</v>
      </c>
      <c r="KIC16" s="3" t="s">
        <v>76</v>
      </c>
      <c r="KID16" s="3" t="s">
        <v>77</v>
      </c>
      <c r="KIE16" s="3" t="s">
        <v>76</v>
      </c>
      <c r="KIF16" s="3" t="s">
        <v>77</v>
      </c>
      <c r="KIG16" s="3" t="s">
        <v>76</v>
      </c>
      <c r="KIH16" s="3" t="s">
        <v>77</v>
      </c>
      <c r="KII16" s="3" t="s">
        <v>76</v>
      </c>
      <c r="KIJ16" s="3" t="s">
        <v>77</v>
      </c>
      <c r="KIK16" s="3" t="s">
        <v>76</v>
      </c>
      <c r="KIL16" s="3" t="s">
        <v>77</v>
      </c>
      <c r="KIM16" s="3" t="s">
        <v>76</v>
      </c>
      <c r="KIN16" s="3" t="s">
        <v>77</v>
      </c>
      <c r="KIO16" s="3" t="s">
        <v>76</v>
      </c>
      <c r="KIP16" s="3" t="s">
        <v>77</v>
      </c>
      <c r="KIQ16" s="3" t="s">
        <v>76</v>
      </c>
      <c r="KIR16" s="3" t="s">
        <v>77</v>
      </c>
      <c r="KIS16" s="3" t="s">
        <v>76</v>
      </c>
      <c r="KIT16" s="3" t="s">
        <v>77</v>
      </c>
      <c r="KIU16" s="3" t="s">
        <v>76</v>
      </c>
      <c r="KIV16" s="3" t="s">
        <v>77</v>
      </c>
      <c r="KIW16" s="3" t="s">
        <v>76</v>
      </c>
      <c r="KIX16" s="3" t="s">
        <v>77</v>
      </c>
      <c r="KIY16" s="3" t="s">
        <v>76</v>
      </c>
      <c r="KIZ16" s="3" t="s">
        <v>77</v>
      </c>
      <c r="KJA16" s="3" t="s">
        <v>76</v>
      </c>
      <c r="KJB16" s="3" t="s">
        <v>77</v>
      </c>
      <c r="KJC16" s="3" t="s">
        <v>76</v>
      </c>
      <c r="KJD16" s="3" t="s">
        <v>77</v>
      </c>
      <c r="KJE16" s="3" t="s">
        <v>76</v>
      </c>
      <c r="KJF16" s="3" t="s">
        <v>77</v>
      </c>
      <c r="KJG16" s="3" t="s">
        <v>76</v>
      </c>
      <c r="KJH16" s="3" t="s">
        <v>77</v>
      </c>
      <c r="KJI16" s="3" t="s">
        <v>76</v>
      </c>
      <c r="KJJ16" s="3" t="s">
        <v>77</v>
      </c>
      <c r="KJK16" s="3" t="s">
        <v>76</v>
      </c>
      <c r="KJL16" s="3" t="s">
        <v>77</v>
      </c>
      <c r="KJM16" s="3" t="s">
        <v>76</v>
      </c>
      <c r="KJN16" s="3" t="s">
        <v>77</v>
      </c>
      <c r="KJO16" s="3" t="s">
        <v>76</v>
      </c>
      <c r="KJP16" s="3" t="s">
        <v>77</v>
      </c>
      <c r="KJQ16" s="3" t="s">
        <v>76</v>
      </c>
      <c r="KJR16" s="3" t="s">
        <v>77</v>
      </c>
      <c r="KJS16" s="3" t="s">
        <v>76</v>
      </c>
      <c r="KJT16" s="3" t="s">
        <v>77</v>
      </c>
      <c r="KJU16" s="3" t="s">
        <v>76</v>
      </c>
      <c r="KJV16" s="3" t="s">
        <v>77</v>
      </c>
      <c r="KJW16" s="3" t="s">
        <v>76</v>
      </c>
      <c r="KJX16" s="3" t="s">
        <v>77</v>
      </c>
      <c r="KJY16" s="3" t="s">
        <v>76</v>
      </c>
      <c r="KJZ16" s="3" t="s">
        <v>77</v>
      </c>
      <c r="KKA16" s="3" t="s">
        <v>76</v>
      </c>
      <c r="KKB16" s="3" t="s">
        <v>77</v>
      </c>
      <c r="KKC16" s="3" t="s">
        <v>76</v>
      </c>
      <c r="KKD16" s="3" t="s">
        <v>77</v>
      </c>
      <c r="KKE16" s="3" t="s">
        <v>76</v>
      </c>
      <c r="KKF16" s="3" t="s">
        <v>77</v>
      </c>
      <c r="KKG16" s="3" t="s">
        <v>76</v>
      </c>
      <c r="KKH16" s="3" t="s">
        <v>77</v>
      </c>
      <c r="KKI16" s="3" t="s">
        <v>76</v>
      </c>
      <c r="KKJ16" s="3" t="s">
        <v>77</v>
      </c>
      <c r="KKK16" s="3" t="s">
        <v>76</v>
      </c>
      <c r="KKL16" s="3" t="s">
        <v>77</v>
      </c>
      <c r="KKM16" s="3" t="s">
        <v>76</v>
      </c>
      <c r="KKN16" s="3" t="s">
        <v>77</v>
      </c>
      <c r="KKO16" s="3" t="s">
        <v>76</v>
      </c>
      <c r="KKP16" s="3" t="s">
        <v>77</v>
      </c>
      <c r="KKQ16" s="3" t="s">
        <v>76</v>
      </c>
      <c r="KKR16" s="3" t="s">
        <v>77</v>
      </c>
      <c r="KKS16" s="3" t="s">
        <v>76</v>
      </c>
      <c r="KKT16" s="3" t="s">
        <v>77</v>
      </c>
      <c r="KKU16" s="3" t="s">
        <v>76</v>
      </c>
      <c r="KKV16" s="3" t="s">
        <v>77</v>
      </c>
      <c r="KKW16" s="3" t="s">
        <v>76</v>
      </c>
      <c r="KKX16" s="3" t="s">
        <v>77</v>
      </c>
      <c r="KKY16" s="3" t="s">
        <v>76</v>
      </c>
      <c r="KKZ16" s="3" t="s">
        <v>77</v>
      </c>
      <c r="KLA16" s="3" t="s">
        <v>76</v>
      </c>
      <c r="KLB16" s="3" t="s">
        <v>77</v>
      </c>
      <c r="KLC16" s="3" t="s">
        <v>76</v>
      </c>
      <c r="KLD16" s="3" t="s">
        <v>77</v>
      </c>
      <c r="KLE16" s="3" t="s">
        <v>76</v>
      </c>
      <c r="KLF16" s="3" t="s">
        <v>77</v>
      </c>
      <c r="KLG16" s="3" t="s">
        <v>76</v>
      </c>
      <c r="KLH16" s="3" t="s">
        <v>77</v>
      </c>
      <c r="KLI16" s="3" t="s">
        <v>76</v>
      </c>
      <c r="KLJ16" s="3" t="s">
        <v>77</v>
      </c>
      <c r="KLK16" s="3" t="s">
        <v>76</v>
      </c>
      <c r="KLL16" s="3" t="s">
        <v>77</v>
      </c>
      <c r="KLM16" s="3" t="s">
        <v>76</v>
      </c>
      <c r="KLN16" s="3" t="s">
        <v>77</v>
      </c>
      <c r="KLO16" s="3" t="s">
        <v>76</v>
      </c>
      <c r="KLP16" s="3" t="s">
        <v>77</v>
      </c>
      <c r="KLQ16" s="3" t="s">
        <v>76</v>
      </c>
      <c r="KLR16" s="3" t="s">
        <v>77</v>
      </c>
      <c r="KLS16" s="3" t="s">
        <v>76</v>
      </c>
      <c r="KLT16" s="3" t="s">
        <v>77</v>
      </c>
      <c r="KLU16" s="3" t="s">
        <v>76</v>
      </c>
      <c r="KLV16" s="3" t="s">
        <v>77</v>
      </c>
      <c r="KLW16" s="3" t="s">
        <v>76</v>
      </c>
      <c r="KLX16" s="3" t="s">
        <v>77</v>
      </c>
      <c r="KLY16" s="3" t="s">
        <v>76</v>
      </c>
      <c r="KLZ16" s="3" t="s">
        <v>77</v>
      </c>
      <c r="KMA16" s="3" t="s">
        <v>76</v>
      </c>
      <c r="KMB16" s="3" t="s">
        <v>77</v>
      </c>
      <c r="KMC16" s="3" t="s">
        <v>76</v>
      </c>
      <c r="KMD16" s="3" t="s">
        <v>77</v>
      </c>
      <c r="KME16" s="3" t="s">
        <v>76</v>
      </c>
      <c r="KMF16" s="3" t="s">
        <v>77</v>
      </c>
      <c r="KMG16" s="3" t="s">
        <v>76</v>
      </c>
      <c r="KMH16" s="3" t="s">
        <v>77</v>
      </c>
      <c r="KMI16" s="3" t="s">
        <v>76</v>
      </c>
      <c r="KMJ16" s="3" t="s">
        <v>77</v>
      </c>
      <c r="KMK16" s="3" t="s">
        <v>76</v>
      </c>
      <c r="KML16" s="3" t="s">
        <v>77</v>
      </c>
      <c r="KMM16" s="3" t="s">
        <v>76</v>
      </c>
      <c r="KMN16" s="3" t="s">
        <v>77</v>
      </c>
      <c r="KMO16" s="3" t="s">
        <v>76</v>
      </c>
      <c r="KMP16" s="3" t="s">
        <v>77</v>
      </c>
      <c r="KMQ16" s="3" t="s">
        <v>76</v>
      </c>
      <c r="KMR16" s="3" t="s">
        <v>77</v>
      </c>
      <c r="KMS16" s="3" t="s">
        <v>76</v>
      </c>
      <c r="KMT16" s="3" t="s">
        <v>77</v>
      </c>
      <c r="KMU16" s="3" t="s">
        <v>76</v>
      </c>
      <c r="KMV16" s="3" t="s">
        <v>77</v>
      </c>
      <c r="KMW16" s="3" t="s">
        <v>76</v>
      </c>
      <c r="KMX16" s="3" t="s">
        <v>77</v>
      </c>
      <c r="KMY16" s="3" t="s">
        <v>76</v>
      </c>
      <c r="KMZ16" s="3" t="s">
        <v>77</v>
      </c>
      <c r="KNA16" s="3" t="s">
        <v>76</v>
      </c>
      <c r="KNB16" s="3" t="s">
        <v>77</v>
      </c>
      <c r="KNC16" s="3" t="s">
        <v>76</v>
      </c>
      <c r="KND16" s="3" t="s">
        <v>77</v>
      </c>
      <c r="KNE16" s="3" t="s">
        <v>76</v>
      </c>
      <c r="KNF16" s="3" t="s">
        <v>77</v>
      </c>
      <c r="KNG16" s="3" t="s">
        <v>76</v>
      </c>
      <c r="KNH16" s="3" t="s">
        <v>77</v>
      </c>
      <c r="KNI16" s="3" t="s">
        <v>76</v>
      </c>
      <c r="KNJ16" s="3" t="s">
        <v>77</v>
      </c>
      <c r="KNK16" s="3" t="s">
        <v>76</v>
      </c>
      <c r="KNL16" s="3" t="s">
        <v>77</v>
      </c>
      <c r="KNM16" s="3" t="s">
        <v>76</v>
      </c>
      <c r="KNN16" s="3" t="s">
        <v>77</v>
      </c>
      <c r="KNO16" s="3" t="s">
        <v>76</v>
      </c>
      <c r="KNP16" s="3" t="s">
        <v>77</v>
      </c>
      <c r="KNQ16" s="3" t="s">
        <v>76</v>
      </c>
      <c r="KNR16" s="3" t="s">
        <v>77</v>
      </c>
      <c r="KNS16" s="3" t="s">
        <v>76</v>
      </c>
      <c r="KNT16" s="3" t="s">
        <v>77</v>
      </c>
      <c r="KNU16" s="3" t="s">
        <v>76</v>
      </c>
      <c r="KNV16" s="3" t="s">
        <v>77</v>
      </c>
      <c r="KNW16" s="3" t="s">
        <v>76</v>
      </c>
      <c r="KNX16" s="3" t="s">
        <v>77</v>
      </c>
      <c r="KNY16" s="3" t="s">
        <v>76</v>
      </c>
      <c r="KNZ16" s="3" t="s">
        <v>77</v>
      </c>
      <c r="KOA16" s="3" t="s">
        <v>76</v>
      </c>
      <c r="KOB16" s="3" t="s">
        <v>77</v>
      </c>
      <c r="KOC16" s="3" t="s">
        <v>76</v>
      </c>
      <c r="KOD16" s="3" t="s">
        <v>77</v>
      </c>
      <c r="KOE16" s="3" t="s">
        <v>76</v>
      </c>
      <c r="KOF16" s="3" t="s">
        <v>77</v>
      </c>
      <c r="KOG16" s="3" t="s">
        <v>76</v>
      </c>
      <c r="KOH16" s="3" t="s">
        <v>77</v>
      </c>
      <c r="KOI16" s="3" t="s">
        <v>76</v>
      </c>
      <c r="KOJ16" s="3" t="s">
        <v>77</v>
      </c>
      <c r="KOK16" s="3" t="s">
        <v>76</v>
      </c>
      <c r="KOL16" s="3" t="s">
        <v>77</v>
      </c>
      <c r="KOM16" s="3" t="s">
        <v>76</v>
      </c>
      <c r="KON16" s="3" t="s">
        <v>77</v>
      </c>
      <c r="KOO16" s="3" t="s">
        <v>76</v>
      </c>
      <c r="KOP16" s="3" t="s">
        <v>77</v>
      </c>
      <c r="KOQ16" s="3" t="s">
        <v>76</v>
      </c>
      <c r="KOR16" s="3" t="s">
        <v>77</v>
      </c>
      <c r="KOS16" s="3" t="s">
        <v>76</v>
      </c>
      <c r="KOT16" s="3" t="s">
        <v>77</v>
      </c>
      <c r="KOU16" s="3" t="s">
        <v>76</v>
      </c>
      <c r="KOV16" s="3" t="s">
        <v>77</v>
      </c>
      <c r="KOW16" s="3" t="s">
        <v>76</v>
      </c>
      <c r="KOX16" s="3" t="s">
        <v>77</v>
      </c>
      <c r="KOY16" s="3" t="s">
        <v>76</v>
      </c>
      <c r="KOZ16" s="3" t="s">
        <v>77</v>
      </c>
      <c r="KPA16" s="3" t="s">
        <v>76</v>
      </c>
      <c r="KPB16" s="3" t="s">
        <v>77</v>
      </c>
      <c r="KPC16" s="3" t="s">
        <v>76</v>
      </c>
      <c r="KPD16" s="3" t="s">
        <v>77</v>
      </c>
      <c r="KPE16" s="3" t="s">
        <v>76</v>
      </c>
      <c r="KPF16" s="3" t="s">
        <v>77</v>
      </c>
      <c r="KPG16" s="3" t="s">
        <v>76</v>
      </c>
      <c r="KPH16" s="3" t="s">
        <v>77</v>
      </c>
      <c r="KPI16" s="3" t="s">
        <v>76</v>
      </c>
      <c r="KPJ16" s="3" t="s">
        <v>77</v>
      </c>
      <c r="KPK16" s="3" t="s">
        <v>76</v>
      </c>
      <c r="KPL16" s="3" t="s">
        <v>77</v>
      </c>
      <c r="KPM16" s="3" t="s">
        <v>76</v>
      </c>
      <c r="KPN16" s="3" t="s">
        <v>77</v>
      </c>
      <c r="KPO16" s="3" t="s">
        <v>76</v>
      </c>
      <c r="KPP16" s="3" t="s">
        <v>77</v>
      </c>
      <c r="KPQ16" s="3" t="s">
        <v>76</v>
      </c>
      <c r="KPR16" s="3" t="s">
        <v>77</v>
      </c>
      <c r="KPS16" s="3" t="s">
        <v>76</v>
      </c>
      <c r="KPT16" s="3" t="s">
        <v>77</v>
      </c>
      <c r="KPU16" s="3" t="s">
        <v>76</v>
      </c>
      <c r="KPV16" s="3" t="s">
        <v>77</v>
      </c>
      <c r="KPW16" s="3" t="s">
        <v>76</v>
      </c>
      <c r="KPX16" s="3" t="s">
        <v>77</v>
      </c>
      <c r="KPY16" s="3" t="s">
        <v>76</v>
      </c>
      <c r="KPZ16" s="3" t="s">
        <v>77</v>
      </c>
      <c r="KQA16" s="3" t="s">
        <v>76</v>
      </c>
      <c r="KQB16" s="3" t="s">
        <v>77</v>
      </c>
      <c r="KQC16" s="3" t="s">
        <v>76</v>
      </c>
      <c r="KQD16" s="3" t="s">
        <v>77</v>
      </c>
      <c r="KQE16" s="3" t="s">
        <v>76</v>
      </c>
      <c r="KQF16" s="3" t="s">
        <v>77</v>
      </c>
      <c r="KQG16" s="3" t="s">
        <v>76</v>
      </c>
      <c r="KQH16" s="3" t="s">
        <v>77</v>
      </c>
      <c r="KQI16" s="3" t="s">
        <v>76</v>
      </c>
      <c r="KQJ16" s="3" t="s">
        <v>77</v>
      </c>
      <c r="KQK16" s="3" t="s">
        <v>76</v>
      </c>
      <c r="KQL16" s="3" t="s">
        <v>77</v>
      </c>
      <c r="KQM16" s="3" t="s">
        <v>76</v>
      </c>
      <c r="KQN16" s="3" t="s">
        <v>77</v>
      </c>
      <c r="KQO16" s="3" t="s">
        <v>76</v>
      </c>
      <c r="KQP16" s="3" t="s">
        <v>77</v>
      </c>
      <c r="KQQ16" s="3" t="s">
        <v>76</v>
      </c>
      <c r="KQR16" s="3" t="s">
        <v>77</v>
      </c>
      <c r="KQS16" s="3" t="s">
        <v>76</v>
      </c>
      <c r="KQT16" s="3" t="s">
        <v>77</v>
      </c>
      <c r="KQU16" s="3" t="s">
        <v>76</v>
      </c>
      <c r="KQV16" s="3" t="s">
        <v>77</v>
      </c>
      <c r="KQW16" s="3" t="s">
        <v>76</v>
      </c>
      <c r="KQX16" s="3" t="s">
        <v>77</v>
      </c>
      <c r="KQY16" s="3" t="s">
        <v>76</v>
      </c>
      <c r="KQZ16" s="3" t="s">
        <v>77</v>
      </c>
      <c r="KRA16" s="3" t="s">
        <v>76</v>
      </c>
      <c r="KRB16" s="3" t="s">
        <v>77</v>
      </c>
      <c r="KRC16" s="3" t="s">
        <v>76</v>
      </c>
      <c r="KRD16" s="3" t="s">
        <v>77</v>
      </c>
      <c r="KRE16" s="3" t="s">
        <v>76</v>
      </c>
      <c r="KRF16" s="3" t="s">
        <v>77</v>
      </c>
      <c r="KRG16" s="3" t="s">
        <v>76</v>
      </c>
      <c r="KRH16" s="3" t="s">
        <v>77</v>
      </c>
      <c r="KRI16" s="3" t="s">
        <v>76</v>
      </c>
      <c r="KRJ16" s="3" t="s">
        <v>77</v>
      </c>
      <c r="KRK16" s="3" t="s">
        <v>76</v>
      </c>
      <c r="KRL16" s="3" t="s">
        <v>77</v>
      </c>
      <c r="KRM16" s="3" t="s">
        <v>76</v>
      </c>
      <c r="KRN16" s="3" t="s">
        <v>77</v>
      </c>
      <c r="KRO16" s="3" t="s">
        <v>76</v>
      </c>
      <c r="KRP16" s="3" t="s">
        <v>77</v>
      </c>
      <c r="KRQ16" s="3" t="s">
        <v>76</v>
      </c>
      <c r="KRR16" s="3" t="s">
        <v>77</v>
      </c>
      <c r="KRS16" s="3" t="s">
        <v>76</v>
      </c>
      <c r="KRT16" s="3" t="s">
        <v>77</v>
      </c>
      <c r="KRU16" s="3" t="s">
        <v>76</v>
      </c>
      <c r="KRV16" s="3" t="s">
        <v>77</v>
      </c>
      <c r="KRW16" s="3" t="s">
        <v>76</v>
      </c>
      <c r="KRX16" s="3" t="s">
        <v>77</v>
      </c>
      <c r="KRY16" s="3" t="s">
        <v>76</v>
      </c>
      <c r="KRZ16" s="3" t="s">
        <v>77</v>
      </c>
      <c r="KSA16" s="3" t="s">
        <v>76</v>
      </c>
      <c r="KSB16" s="3" t="s">
        <v>77</v>
      </c>
      <c r="KSC16" s="3" t="s">
        <v>76</v>
      </c>
      <c r="KSD16" s="3" t="s">
        <v>77</v>
      </c>
      <c r="KSE16" s="3" t="s">
        <v>76</v>
      </c>
      <c r="KSF16" s="3" t="s">
        <v>77</v>
      </c>
      <c r="KSG16" s="3" t="s">
        <v>76</v>
      </c>
      <c r="KSH16" s="3" t="s">
        <v>77</v>
      </c>
      <c r="KSI16" s="3" t="s">
        <v>76</v>
      </c>
      <c r="KSJ16" s="3" t="s">
        <v>77</v>
      </c>
      <c r="KSK16" s="3" t="s">
        <v>76</v>
      </c>
      <c r="KSL16" s="3" t="s">
        <v>77</v>
      </c>
      <c r="KSM16" s="3" t="s">
        <v>76</v>
      </c>
      <c r="KSN16" s="3" t="s">
        <v>77</v>
      </c>
      <c r="KSO16" s="3" t="s">
        <v>76</v>
      </c>
      <c r="KSP16" s="3" t="s">
        <v>77</v>
      </c>
      <c r="KSQ16" s="3" t="s">
        <v>76</v>
      </c>
      <c r="KSR16" s="3" t="s">
        <v>77</v>
      </c>
      <c r="KSS16" s="3" t="s">
        <v>76</v>
      </c>
      <c r="KST16" s="3" t="s">
        <v>77</v>
      </c>
      <c r="KSU16" s="3" t="s">
        <v>76</v>
      </c>
      <c r="KSV16" s="3" t="s">
        <v>77</v>
      </c>
      <c r="KSW16" s="3" t="s">
        <v>76</v>
      </c>
      <c r="KSX16" s="3" t="s">
        <v>77</v>
      </c>
      <c r="KSY16" s="3" t="s">
        <v>76</v>
      </c>
      <c r="KSZ16" s="3" t="s">
        <v>77</v>
      </c>
      <c r="KTA16" s="3" t="s">
        <v>76</v>
      </c>
      <c r="KTB16" s="3" t="s">
        <v>77</v>
      </c>
      <c r="KTC16" s="3" t="s">
        <v>76</v>
      </c>
      <c r="KTD16" s="3" t="s">
        <v>77</v>
      </c>
      <c r="KTE16" s="3" t="s">
        <v>76</v>
      </c>
      <c r="KTF16" s="3" t="s">
        <v>77</v>
      </c>
      <c r="KTG16" s="3" t="s">
        <v>76</v>
      </c>
      <c r="KTH16" s="3" t="s">
        <v>77</v>
      </c>
      <c r="KTI16" s="3" t="s">
        <v>76</v>
      </c>
      <c r="KTJ16" s="3" t="s">
        <v>77</v>
      </c>
      <c r="KTK16" s="3" t="s">
        <v>76</v>
      </c>
      <c r="KTL16" s="3" t="s">
        <v>77</v>
      </c>
      <c r="KTM16" s="3" t="s">
        <v>76</v>
      </c>
      <c r="KTN16" s="3" t="s">
        <v>77</v>
      </c>
      <c r="KTO16" s="3" t="s">
        <v>76</v>
      </c>
      <c r="KTP16" s="3" t="s">
        <v>77</v>
      </c>
      <c r="KTQ16" s="3" t="s">
        <v>76</v>
      </c>
      <c r="KTR16" s="3" t="s">
        <v>77</v>
      </c>
      <c r="KTS16" s="3" t="s">
        <v>76</v>
      </c>
      <c r="KTT16" s="3" t="s">
        <v>77</v>
      </c>
      <c r="KTU16" s="3" t="s">
        <v>76</v>
      </c>
      <c r="KTV16" s="3" t="s">
        <v>77</v>
      </c>
      <c r="KTW16" s="3" t="s">
        <v>76</v>
      </c>
      <c r="KTX16" s="3" t="s">
        <v>77</v>
      </c>
      <c r="KTY16" s="3" t="s">
        <v>76</v>
      </c>
      <c r="KTZ16" s="3" t="s">
        <v>77</v>
      </c>
      <c r="KUA16" s="3" t="s">
        <v>76</v>
      </c>
      <c r="KUB16" s="3" t="s">
        <v>77</v>
      </c>
      <c r="KUC16" s="3" t="s">
        <v>76</v>
      </c>
      <c r="KUD16" s="3" t="s">
        <v>77</v>
      </c>
      <c r="KUE16" s="3" t="s">
        <v>76</v>
      </c>
      <c r="KUF16" s="3" t="s">
        <v>77</v>
      </c>
      <c r="KUG16" s="3" t="s">
        <v>76</v>
      </c>
      <c r="KUH16" s="3" t="s">
        <v>77</v>
      </c>
      <c r="KUI16" s="3" t="s">
        <v>76</v>
      </c>
      <c r="KUJ16" s="3" t="s">
        <v>77</v>
      </c>
      <c r="KUK16" s="3" t="s">
        <v>76</v>
      </c>
      <c r="KUL16" s="3" t="s">
        <v>77</v>
      </c>
      <c r="KUM16" s="3" t="s">
        <v>76</v>
      </c>
      <c r="KUN16" s="3" t="s">
        <v>77</v>
      </c>
      <c r="KUO16" s="3" t="s">
        <v>76</v>
      </c>
      <c r="KUP16" s="3" t="s">
        <v>77</v>
      </c>
      <c r="KUQ16" s="3" t="s">
        <v>76</v>
      </c>
      <c r="KUR16" s="3" t="s">
        <v>77</v>
      </c>
      <c r="KUS16" s="3" t="s">
        <v>76</v>
      </c>
      <c r="KUT16" s="3" t="s">
        <v>77</v>
      </c>
      <c r="KUU16" s="3" t="s">
        <v>76</v>
      </c>
      <c r="KUV16" s="3" t="s">
        <v>77</v>
      </c>
      <c r="KUW16" s="3" t="s">
        <v>76</v>
      </c>
      <c r="KUX16" s="3" t="s">
        <v>77</v>
      </c>
      <c r="KUY16" s="3" t="s">
        <v>76</v>
      </c>
      <c r="KUZ16" s="3" t="s">
        <v>77</v>
      </c>
      <c r="KVA16" s="3" t="s">
        <v>76</v>
      </c>
      <c r="KVB16" s="3" t="s">
        <v>77</v>
      </c>
      <c r="KVC16" s="3" t="s">
        <v>76</v>
      </c>
      <c r="KVD16" s="3" t="s">
        <v>77</v>
      </c>
      <c r="KVE16" s="3" t="s">
        <v>76</v>
      </c>
      <c r="KVF16" s="3" t="s">
        <v>77</v>
      </c>
      <c r="KVG16" s="3" t="s">
        <v>76</v>
      </c>
      <c r="KVH16" s="3" t="s">
        <v>77</v>
      </c>
      <c r="KVI16" s="3" t="s">
        <v>76</v>
      </c>
      <c r="KVJ16" s="3" t="s">
        <v>77</v>
      </c>
      <c r="KVK16" s="3" t="s">
        <v>76</v>
      </c>
      <c r="KVL16" s="3" t="s">
        <v>77</v>
      </c>
      <c r="KVM16" s="3" t="s">
        <v>76</v>
      </c>
      <c r="KVN16" s="3" t="s">
        <v>77</v>
      </c>
      <c r="KVO16" s="3" t="s">
        <v>76</v>
      </c>
      <c r="KVP16" s="3" t="s">
        <v>77</v>
      </c>
      <c r="KVQ16" s="3" t="s">
        <v>76</v>
      </c>
      <c r="KVR16" s="3" t="s">
        <v>77</v>
      </c>
      <c r="KVS16" s="3" t="s">
        <v>76</v>
      </c>
      <c r="KVT16" s="3" t="s">
        <v>77</v>
      </c>
      <c r="KVU16" s="3" t="s">
        <v>76</v>
      </c>
      <c r="KVV16" s="3" t="s">
        <v>77</v>
      </c>
      <c r="KVW16" s="3" t="s">
        <v>76</v>
      </c>
      <c r="KVX16" s="3" t="s">
        <v>77</v>
      </c>
      <c r="KVY16" s="3" t="s">
        <v>76</v>
      </c>
      <c r="KVZ16" s="3" t="s">
        <v>77</v>
      </c>
      <c r="KWA16" s="3" t="s">
        <v>76</v>
      </c>
      <c r="KWB16" s="3" t="s">
        <v>77</v>
      </c>
      <c r="KWC16" s="3" t="s">
        <v>76</v>
      </c>
      <c r="KWD16" s="3" t="s">
        <v>77</v>
      </c>
      <c r="KWE16" s="3" t="s">
        <v>76</v>
      </c>
      <c r="KWF16" s="3" t="s">
        <v>77</v>
      </c>
      <c r="KWG16" s="3" t="s">
        <v>76</v>
      </c>
      <c r="KWH16" s="3" t="s">
        <v>77</v>
      </c>
      <c r="KWI16" s="3" t="s">
        <v>76</v>
      </c>
      <c r="KWJ16" s="3" t="s">
        <v>77</v>
      </c>
      <c r="KWK16" s="3" t="s">
        <v>76</v>
      </c>
      <c r="KWL16" s="3" t="s">
        <v>77</v>
      </c>
      <c r="KWM16" s="3" t="s">
        <v>76</v>
      </c>
      <c r="KWN16" s="3" t="s">
        <v>77</v>
      </c>
      <c r="KWO16" s="3" t="s">
        <v>76</v>
      </c>
      <c r="KWP16" s="3" t="s">
        <v>77</v>
      </c>
      <c r="KWQ16" s="3" t="s">
        <v>76</v>
      </c>
      <c r="KWR16" s="3" t="s">
        <v>77</v>
      </c>
      <c r="KWS16" s="3" t="s">
        <v>76</v>
      </c>
      <c r="KWT16" s="3" t="s">
        <v>77</v>
      </c>
      <c r="KWU16" s="3" t="s">
        <v>76</v>
      </c>
      <c r="KWV16" s="3" t="s">
        <v>77</v>
      </c>
      <c r="KWW16" s="3" t="s">
        <v>76</v>
      </c>
      <c r="KWX16" s="3" t="s">
        <v>77</v>
      </c>
      <c r="KWY16" s="3" t="s">
        <v>76</v>
      </c>
      <c r="KWZ16" s="3" t="s">
        <v>77</v>
      </c>
      <c r="KXA16" s="3" t="s">
        <v>76</v>
      </c>
      <c r="KXB16" s="3" t="s">
        <v>77</v>
      </c>
      <c r="KXC16" s="3" t="s">
        <v>76</v>
      </c>
      <c r="KXD16" s="3" t="s">
        <v>77</v>
      </c>
      <c r="KXE16" s="3" t="s">
        <v>76</v>
      </c>
      <c r="KXF16" s="3" t="s">
        <v>77</v>
      </c>
      <c r="KXG16" s="3" t="s">
        <v>76</v>
      </c>
      <c r="KXH16" s="3" t="s">
        <v>77</v>
      </c>
      <c r="KXI16" s="3" t="s">
        <v>76</v>
      </c>
      <c r="KXJ16" s="3" t="s">
        <v>77</v>
      </c>
      <c r="KXK16" s="3" t="s">
        <v>76</v>
      </c>
      <c r="KXL16" s="3" t="s">
        <v>77</v>
      </c>
      <c r="KXM16" s="3" t="s">
        <v>76</v>
      </c>
      <c r="KXN16" s="3" t="s">
        <v>77</v>
      </c>
      <c r="KXO16" s="3" t="s">
        <v>76</v>
      </c>
      <c r="KXP16" s="3" t="s">
        <v>77</v>
      </c>
      <c r="KXQ16" s="3" t="s">
        <v>76</v>
      </c>
      <c r="KXR16" s="3" t="s">
        <v>77</v>
      </c>
      <c r="KXS16" s="3" t="s">
        <v>76</v>
      </c>
      <c r="KXT16" s="3" t="s">
        <v>77</v>
      </c>
      <c r="KXU16" s="3" t="s">
        <v>76</v>
      </c>
      <c r="KXV16" s="3" t="s">
        <v>77</v>
      </c>
      <c r="KXW16" s="3" t="s">
        <v>76</v>
      </c>
      <c r="KXX16" s="3" t="s">
        <v>77</v>
      </c>
      <c r="KXY16" s="3" t="s">
        <v>76</v>
      </c>
      <c r="KXZ16" s="3" t="s">
        <v>77</v>
      </c>
      <c r="KYA16" s="3" t="s">
        <v>76</v>
      </c>
      <c r="KYB16" s="3" t="s">
        <v>77</v>
      </c>
      <c r="KYC16" s="3" t="s">
        <v>76</v>
      </c>
      <c r="KYD16" s="3" t="s">
        <v>77</v>
      </c>
      <c r="KYE16" s="3" t="s">
        <v>76</v>
      </c>
      <c r="KYF16" s="3" t="s">
        <v>77</v>
      </c>
      <c r="KYG16" s="3" t="s">
        <v>76</v>
      </c>
      <c r="KYH16" s="3" t="s">
        <v>77</v>
      </c>
      <c r="KYI16" s="3" t="s">
        <v>76</v>
      </c>
      <c r="KYJ16" s="3" t="s">
        <v>77</v>
      </c>
      <c r="KYK16" s="3" t="s">
        <v>76</v>
      </c>
      <c r="KYL16" s="3" t="s">
        <v>77</v>
      </c>
      <c r="KYM16" s="3" t="s">
        <v>76</v>
      </c>
      <c r="KYN16" s="3" t="s">
        <v>77</v>
      </c>
      <c r="KYO16" s="3" t="s">
        <v>76</v>
      </c>
      <c r="KYP16" s="3" t="s">
        <v>77</v>
      </c>
      <c r="KYQ16" s="3" t="s">
        <v>76</v>
      </c>
      <c r="KYR16" s="3" t="s">
        <v>77</v>
      </c>
      <c r="KYS16" s="3" t="s">
        <v>76</v>
      </c>
      <c r="KYT16" s="3" t="s">
        <v>77</v>
      </c>
      <c r="KYU16" s="3" t="s">
        <v>76</v>
      </c>
      <c r="KYV16" s="3" t="s">
        <v>77</v>
      </c>
      <c r="KYW16" s="3" t="s">
        <v>76</v>
      </c>
      <c r="KYX16" s="3" t="s">
        <v>77</v>
      </c>
      <c r="KYY16" s="3" t="s">
        <v>76</v>
      </c>
      <c r="KYZ16" s="3" t="s">
        <v>77</v>
      </c>
      <c r="KZA16" s="3" t="s">
        <v>76</v>
      </c>
      <c r="KZB16" s="3" t="s">
        <v>77</v>
      </c>
      <c r="KZC16" s="3" t="s">
        <v>76</v>
      </c>
      <c r="KZD16" s="3" t="s">
        <v>77</v>
      </c>
      <c r="KZE16" s="3" t="s">
        <v>76</v>
      </c>
      <c r="KZF16" s="3" t="s">
        <v>77</v>
      </c>
      <c r="KZG16" s="3" t="s">
        <v>76</v>
      </c>
      <c r="KZH16" s="3" t="s">
        <v>77</v>
      </c>
      <c r="KZI16" s="3" t="s">
        <v>76</v>
      </c>
      <c r="KZJ16" s="3" t="s">
        <v>77</v>
      </c>
      <c r="KZK16" s="3" t="s">
        <v>76</v>
      </c>
      <c r="KZL16" s="3" t="s">
        <v>77</v>
      </c>
      <c r="KZM16" s="3" t="s">
        <v>76</v>
      </c>
      <c r="KZN16" s="3" t="s">
        <v>77</v>
      </c>
      <c r="KZO16" s="3" t="s">
        <v>76</v>
      </c>
      <c r="KZP16" s="3" t="s">
        <v>77</v>
      </c>
      <c r="KZQ16" s="3" t="s">
        <v>76</v>
      </c>
      <c r="KZR16" s="3" t="s">
        <v>77</v>
      </c>
      <c r="KZS16" s="3" t="s">
        <v>76</v>
      </c>
      <c r="KZT16" s="3" t="s">
        <v>77</v>
      </c>
      <c r="KZU16" s="3" t="s">
        <v>76</v>
      </c>
      <c r="KZV16" s="3" t="s">
        <v>77</v>
      </c>
      <c r="KZW16" s="3" t="s">
        <v>76</v>
      </c>
      <c r="KZX16" s="3" t="s">
        <v>77</v>
      </c>
      <c r="KZY16" s="3" t="s">
        <v>76</v>
      </c>
      <c r="KZZ16" s="3" t="s">
        <v>77</v>
      </c>
      <c r="LAA16" s="3" t="s">
        <v>76</v>
      </c>
      <c r="LAB16" s="3" t="s">
        <v>77</v>
      </c>
      <c r="LAC16" s="3" t="s">
        <v>76</v>
      </c>
      <c r="LAD16" s="3" t="s">
        <v>77</v>
      </c>
      <c r="LAE16" s="3" t="s">
        <v>76</v>
      </c>
      <c r="LAF16" s="3" t="s">
        <v>77</v>
      </c>
      <c r="LAG16" s="3" t="s">
        <v>76</v>
      </c>
      <c r="LAH16" s="3" t="s">
        <v>77</v>
      </c>
      <c r="LAI16" s="3" t="s">
        <v>76</v>
      </c>
      <c r="LAJ16" s="3" t="s">
        <v>77</v>
      </c>
      <c r="LAK16" s="3" t="s">
        <v>76</v>
      </c>
      <c r="LAL16" s="3" t="s">
        <v>77</v>
      </c>
      <c r="LAM16" s="3" t="s">
        <v>76</v>
      </c>
      <c r="LAN16" s="3" t="s">
        <v>77</v>
      </c>
      <c r="LAO16" s="3" t="s">
        <v>76</v>
      </c>
      <c r="LAP16" s="3" t="s">
        <v>77</v>
      </c>
      <c r="LAQ16" s="3" t="s">
        <v>76</v>
      </c>
      <c r="LAR16" s="3" t="s">
        <v>77</v>
      </c>
      <c r="LAS16" s="3" t="s">
        <v>76</v>
      </c>
      <c r="LAT16" s="3" t="s">
        <v>77</v>
      </c>
      <c r="LAU16" s="3" t="s">
        <v>76</v>
      </c>
      <c r="LAV16" s="3" t="s">
        <v>77</v>
      </c>
      <c r="LAW16" s="3" t="s">
        <v>76</v>
      </c>
      <c r="LAX16" s="3" t="s">
        <v>77</v>
      </c>
      <c r="LAY16" s="3" t="s">
        <v>76</v>
      </c>
      <c r="LAZ16" s="3" t="s">
        <v>77</v>
      </c>
      <c r="LBA16" s="3" t="s">
        <v>76</v>
      </c>
      <c r="LBB16" s="3" t="s">
        <v>77</v>
      </c>
      <c r="LBC16" s="3" t="s">
        <v>76</v>
      </c>
      <c r="LBD16" s="3" t="s">
        <v>77</v>
      </c>
      <c r="LBE16" s="3" t="s">
        <v>76</v>
      </c>
      <c r="LBF16" s="3" t="s">
        <v>77</v>
      </c>
      <c r="LBG16" s="3" t="s">
        <v>76</v>
      </c>
      <c r="LBH16" s="3" t="s">
        <v>77</v>
      </c>
      <c r="LBI16" s="3" t="s">
        <v>76</v>
      </c>
      <c r="LBJ16" s="3" t="s">
        <v>77</v>
      </c>
      <c r="LBK16" s="3" t="s">
        <v>76</v>
      </c>
      <c r="LBL16" s="3" t="s">
        <v>77</v>
      </c>
      <c r="LBM16" s="3" t="s">
        <v>76</v>
      </c>
      <c r="LBN16" s="3" t="s">
        <v>77</v>
      </c>
      <c r="LBO16" s="3" t="s">
        <v>76</v>
      </c>
      <c r="LBP16" s="3" t="s">
        <v>77</v>
      </c>
      <c r="LBQ16" s="3" t="s">
        <v>76</v>
      </c>
      <c r="LBR16" s="3" t="s">
        <v>77</v>
      </c>
      <c r="LBS16" s="3" t="s">
        <v>76</v>
      </c>
      <c r="LBT16" s="3" t="s">
        <v>77</v>
      </c>
      <c r="LBU16" s="3" t="s">
        <v>76</v>
      </c>
      <c r="LBV16" s="3" t="s">
        <v>77</v>
      </c>
      <c r="LBW16" s="3" t="s">
        <v>76</v>
      </c>
      <c r="LBX16" s="3" t="s">
        <v>77</v>
      </c>
      <c r="LBY16" s="3" t="s">
        <v>76</v>
      </c>
      <c r="LBZ16" s="3" t="s">
        <v>77</v>
      </c>
      <c r="LCA16" s="3" t="s">
        <v>76</v>
      </c>
      <c r="LCB16" s="3" t="s">
        <v>77</v>
      </c>
      <c r="LCC16" s="3" t="s">
        <v>76</v>
      </c>
      <c r="LCD16" s="3" t="s">
        <v>77</v>
      </c>
      <c r="LCE16" s="3" t="s">
        <v>76</v>
      </c>
      <c r="LCF16" s="3" t="s">
        <v>77</v>
      </c>
      <c r="LCG16" s="3" t="s">
        <v>76</v>
      </c>
      <c r="LCH16" s="3" t="s">
        <v>77</v>
      </c>
      <c r="LCI16" s="3" t="s">
        <v>76</v>
      </c>
      <c r="LCJ16" s="3" t="s">
        <v>77</v>
      </c>
      <c r="LCK16" s="3" t="s">
        <v>76</v>
      </c>
      <c r="LCL16" s="3" t="s">
        <v>77</v>
      </c>
      <c r="LCM16" s="3" t="s">
        <v>76</v>
      </c>
      <c r="LCN16" s="3" t="s">
        <v>77</v>
      </c>
      <c r="LCO16" s="3" t="s">
        <v>76</v>
      </c>
      <c r="LCP16" s="3" t="s">
        <v>77</v>
      </c>
      <c r="LCQ16" s="3" t="s">
        <v>76</v>
      </c>
      <c r="LCR16" s="3" t="s">
        <v>77</v>
      </c>
      <c r="LCS16" s="3" t="s">
        <v>76</v>
      </c>
      <c r="LCT16" s="3" t="s">
        <v>77</v>
      </c>
      <c r="LCU16" s="3" t="s">
        <v>76</v>
      </c>
      <c r="LCV16" s="3" t="s">
        <v>77</v>
      </c>
      <c r="LCW16" s="3" t="s">
        <v>76</v>
      </c>
      <c r="LCX16" s="3" t="s">
        <v>77</v>
      </c>
      <c r="LCY16" s="3" t="s">
        <v>76</v>
      </c>
      <c r="LCZ16" s="3" t="s">
        <v>77</v>
      </c>
      <c r="LDA16" s="3" t="s">
        <v>76</v>
      </c>
      <c r="LDB16" s="3" t="s">
        <v>77</v>
      </c>
      <c r="LDC16" s="3" t="s">
        <v>76</v>
      </c>
      <c r="LDD16" s="3" t="s">
        <v>77</v>
      </c>
      <c r="LDE16" s="3" t="s">
        <v>76</v>
      </c>
      <c r="LDF16" s="3" t="s">
        <v>77</v>
      </c>
      <c r="LDG16" s="3" t="s">
        <v>76</v>
      </c>
      <c r="LDH16" s="3" t="s">
        <v>77</v>
      </c>
      <c r="LDI16" s="3" t="s">
        <v>76</v>
      </c>
      <c r="LDJ16" s="3" t="s">
        <v>77</v>
      </c>
      <c r="LDK16" s="3" t="s">
        <v>76</v>
      </c>
      <c r="LDL16" s="3" t="s">
        <v>77</v>
      </c>
      <c r="LDM16" s="3" t="s">
        <v>76</v>
      </c>
      <c r="LDN16" s="3" t="s">
        <v>77</v>
      </c>
      <c r="LDO16" s="3" t="s">
        <v>76</v>
      </c>
      <c r="LDP16" s="3" t="s">
        <v>77</v>
      </c>
      <c r="LDQ16" s="3" t="s">
        <v>76</v>
      </c>
      <c r="LDR16" s="3" t="s">
        <v>77</v>
      </c>
      <c r="LDS16" s="3" t="s">
        <v>76</v>
      </c>
      <c r="LDT16" s="3" t="s">
        <v>77</v>
      </c>
      <c r="LDU16" s="3" t="s">
        <v>76</v>
      </c>
      <c r="LDV16" s="3" t="s">
        <v>77</v>
      </c>
      <c r="LDW16" s="3" t="s">
        <v>76</v>
      </c>
      <c r="LDX16" s="3" t="s">
        <v>77</v>
      </c>
      <c r="LDY16" s="3" t="s">
        <v>76</v>
      </c>
      <c r="LDZ16" s="3" t="s">
        <v>77</v>
      </c>
      <c r="LEA16" s="3" t="s">
        <v>76</v>
      </c>
      <c r="LEB16" s="3" t="s">
        <v>77</v>
      </c>
      <c r="LEC16" s="3" t="s">
        <v>76</v>
      </c>
      <c r="LED16" s="3" t="s">
        <v>77</v>
      </c>
      <c r="LEE16" s="3" t="s">
        <v>76</v>
      </c>
      <c r="LEF16" s="3" t="s">
        <v>77</v>
      </c>
      <c r="LEG16" s="3" t="s">
        <v>76</v>
      </c>
      <c r="LEH16" s="3" t="s">
        <v>77</v>
      </c>
      <c r="LEI16" s="3" t="s">
        <v>76</v>
      </c>
      <c r="LEJ16" s="3" t="s">
        <v>77</v>
      </c>
      <c r="LEK16" s="3" t="s">
        <v>76</v>
      </c>
      <c r="LEL16" s="3" t="s">
        <v>77</v>
      </c>
      <c r="LEM16" s="3" t="s">
        <v>76</v>
      </c>
      <c r="LEN16" s="3" t="s">
        <v>77</v>
      </c>
      <c r="LEO16" s="3" t="s">
        <v>76</v>
      </c>
      <c r="LEP16" s="3" t="s">
        <v>77</v>
      </c>
      <c r="LEQ16" s="3" t="s">
        <v>76</v>
      </c>
      <c r="LER16" s="3" t="s">
        <v>77</v>
      </c>
      <c r="LES16" s="3" t="s">
        <v>76</v>
      </c>
      <c r="LET16" s="3" t="s">
        <v>77</v>
      </c>
      <c r="LEU16" s="3" t="s">
        <v>76</v>
      </c>
      <c r="LEV16" s="3" t="s">
        <v>77</v>
      </c>
      <c r="LEW16" s="3" t="s">
        <v>76</v>
      </c>
      <c r="LEX16" s="3" t="s">
        <v>77</v>
      </c>
      <c r="LEY16" s="3" t="s">
        <v>76</v>
      </c>
      <c r="LEZ16" s="3" t="s">
        <v>77</v>
      </c>
      <c r="LFA16" s="3" t="s">
        <v>76</v>
      </c>
      <c r="LFB16" s="3" t="s">
        <v>77</v>
      </c>
      <c r="LFC16" s="3" t="s">
        <v>76</v>
      </c>
      <c r="LFD16" s="3" t="s">
        <v>77</v>
      </c>
      <c r="LFE16" s="3" t="s">
        <v>76</v>
      </c>
      <c r="LFF16" s="3" t="s">
        <v>77</v>
      </c>
      <c r="LFG16" s="3" t="s">
        <v>76</v>
      </c>
      <c r="LFH16" s="3" t="s">
        <v>77</v>
      </c>
      <c r="LFI16" s="3" t="s">
        <v>76</v>
      </c>
      <c r="LFJ16" s="3" t="s">
        <v>77</v>
      </c>
      <c r="LFK16" s="3" t="s">
        <v>76</v>
      </c>
      <c r="LFL16" s="3" t="s">
        <v>77</v>
      </c>
      <c r="LFM16" s="3" t="s">
        <v>76</v>
      </c>
      <c r="LFN16" s="3" t="s">
        <v>77</v>
      </c>
      <c r="LFO16" s="3" t="s">
        <v>76</v>
      </c>
      <c r="LFP16" s="3" t="s">
        <v>77</v>
      </c>
      <c r="LFQ16" s="3" t="s">
        <v>76</v>
      </c>
      <c r="LFR16" s="3" t="s">
        <v>77</v>
      </c>
      <c r="LFS16" s="3" t="s">
        <v>76</v>
      </c>
      <c r="LFT16" s="3" t="s">
        <v>77</v>
      </c>
      <c r="LFU16" s="3" t="s">
        <v>76</v>
      </c>
      <c r="LFV16" s="3" t="s">
        <v>77</v>
      </c>
      <c r="LFW16" s="3" t="s">
        <v>76</v>
      </c>
      <c r="LFX16" s="3" t="s">
        <v>77</v>
      </c>
      <c r="LFY16" s="3" t="s">
        <v>76</v>
      </c>
      <c r="LFZ16" s="3" t="s">
        <v>77</v>
      </c>
      <c r="LGA16" s="3" t="s">
        <v>76</v>
      </c>
      <c r="LGB16" s="3" t="s">
        <v>77</v>
      </c>
      <c r="LGC16" s="3" t="s">
        <v>76</v>
      </c>
      <c r="LGD16" s="3" t="s">
        <v>77</v>
      </c>
      <c r="LGE16" s="3" t="s">
        <v>76</v>
      </c>
      <c r="LGF16" s="3" t="s">
        <v>77</v>
      </c>
      <c r="LGG16" s="3" t="s">
        <v>76</v>
      </c>
      <c r="LGH16" s="3" t="s">
        <v>77</v>
      </c>
      <c r="LGI16" s="3" t="s">
        <v>76</v>
      </c>
      <c r="LGJ16" s="3" t="s">
        <v>77</v>
      </c>
      <c r="LGK16" s="3" t="s">
        <v>76</v>
      </c>
      <c r="LGL16" s="3" t="s">
        <v>77</v>
      </c>
      <c r="LGM16" s="3" t="s">
        <v>76</v>
      </c>
      <c r="LGN16" s="3" t="s">
        <v>77</v>
      </c>
      <c r="LGO16" s="3" t="s">
        <v>76</v>
      </c>
      <c r="LGP16" s="3" t="s">
        <v>77</v>
      </c>
      <c r="LGQ16" s="3" t="s">
        <v>76</v>
      </c>
      <c r="LGR16" s="3" t="s">
        <v>77</v>
      </c>
      <c r="LGS16" s="3" t="s">
        <v>76</v>
      </c>
      <c r="LGT16" s="3" t="s">
        <v>77</v>
      </c>
      <c r="LGU16" s="3" t="s">
        <v>76</v>
      </c>
      <c r="LGV16" s="3" t="s">
        <v>77</v>
      </c>
      <c r="LGW16" s="3" t="s">
        <v>76</v>
      </c>
      <c r="LGX16" s="3" t="s">
        <v>77</v>
      </c>
      <c r="LGY16" s="3" t="s">
        <v>76</v>
      </c>
      <c r="LGZ16" s="3" t="s">
        <v>77</v>
      </c>
      <c r="LHA16" s="3" t="s">
        <v>76</v>
      </c>
      <c r="LHB16" s="3" t="s">
        <v>77</v>
      </c>
      <c r="LHC16" s="3" t="s">
        <v>76</v>
      </c>
      <c r="LHD16" s="3" t="s">
        <v>77</v>
      </c>
      <c r="LHE16" s="3" t="s">
        <v>76</v>
      </c>
      <c r="LHF16" s="3" t="s">
        <v>77</v>
      </c>
      <c r="LHG16" s="3" t="s">
        <v>76</v>
      </c>
      <c r="LHH16" s="3" t="s">
        <v>77</v>
      </c>
      <c r="LHI16" s="3" t="s">
        <v>76</v>
      </c>
      <c r="LHJ16" s="3" t="s">
        <v>77</v>
      </c>
      <c r="LHK16" s="3" t="s">
        <v>76</v>
      </c>
      <c r="LHL16" s="3" t="s">
        <v>77</v>
      </c>
      <c r="LHM16" s="3" t="s">
        <v>76</v>
      </c>
      <c r="LHN16" s="3" t="s">
        <v>77</v>
      </c>
      <c r="LHO16" s="3" t="s">
        <v>76</v>
      </c>
      <c r="LHP16" s="3" t="s">
        <v>77</v>
      </c>
      <c r="LHQ16" s="3" t="s">
        <v>76</v>
      </c>
      <c r="LHR16" s="3" t="s">
        <v>77</v>
      </c>
      <c r="LHS16" s="3" t="s">
        <v>76</v>
      </c>
      <c r="LHT16" s="3" t="s">
        <v>77</v>
      </c>
      <c r="LHU16" s="3" t="s">
        <v>76</v>
      </c>
      <c r="LHV16" s="3" t="s">
        <v>77</v>
      </c>
      <c r="LHW16" s="3" t="s">
        <v>76</v>
      </c>
      <c r="LHX16" s="3" t="s">
        <v>77</v>
      </c>
      <c r="LHY16" s="3" t="s">
        <v>76</v>
      </c>
      <c r="LHZ16" s="3" t="s">
        <v>77</v>
      </c>
      <c r="LIA16" s="3" t="s">
        <v>76</v>
      </c>
      <c r="LIB16" s="3" t="s">
        <v>77</v>
      </c>
      <c r="LIC16" s="3" t="s">
        <v>76</v>
      </c>
      <c r="LID16" s="3" t="s">
        <v>77</v>
      </c>
      <c r="LIE16" s="3" t="s">
        <v>76</v>
      </c>
      <c r="LIF16" s="3" t="s">
        <v>77</v>
      </c>
      <c r="LIG16" s="3" t="s">
        <v>76</v>
      </c>
      <c r="LIH16" s="3" t="s">
        <v>77</v>
      </c>
      <c r="LII16" s="3" t="s">
        <v>76</v>
      </c>
      <c r="LIJ16" s="3" t="s">
        <v>77</v>
      </c>
      <c r="LIK16" s="3" t="s">
        <v>76</v>
      </c>
      <c r="LIL16" s="3" t="s">
        <v>77</v>
      </c>
      <c r="LIM16" s="3" t="s">
        <v>76</v>
      </c>
      <c r="LIN16" s="3" t="s">
        <v>77</v>
      </c>
      <c r="LIO16" s="3" t="s">
        <v>76</v>
      </c>
      <c r="LIP16" s="3" t="s">
        <v>77</v>
      </c>
      <c r="LIQ16" s="3" t="s">
        <v>76</v>
      </c>
      <c r="LIR16" s="3" t="s">
        <v>77</v>
      </c>
      <c r="LIS16" s="3" t="s">
        <v>76</v>
      </c>
      <c r="LIT16" s="3" t="s">
        <v>77</v>
      </c>
      <c r="LIU16" s="3" t="s">
        <v>76</v>
      </c>
      <c r="LIV16" s="3" t="s">
        <v>77</v>
      </c>
      <c r="LIW16" s="3" t="s">
        <v>76</v>
      </c>
      <c r="LIX16" s="3" t="s">
        <v>77</v>
      </c>
      <c r="LIY16" s="3" t="s">
        <v>76</v>
      </c>
      <c r="LIZ16" s="3" t="s">
        <v>77</v>
      </c>
      <c r="LJA16" s="3" t="s">
        <v>76</v>
      </c>
      <c r="LJB16" s="3" t="s">
        <v>77</v>
      </c>
      <c r="LJC16" s="3" t="s">
        <v>76</v>
      </c>
      <c r="LJD16" s="3" t="s">
        <v>77</v>
      </c>
      <c r="LJE16" s="3" t="s">
        <v>76</v>
      </c>
      <c r="LJF16" s="3" t="s">
        <v>77</v>
      </c>
      <c r="LJG16" s="3" t="s">
        <v>76</v>
      </c>
      <c r="LJH16" s="3" t="s">
        <v>77</v>
      </c>
      <c r="LJI16" s="3" t="s">
        <v>76</v>
      </c>
      <c r="LJJ16" s="3" t="s">
        <v>77</v>
      </c>
      <c r="LJK16" s="3" t="s">
        <v>76</v>
      </c>
      <c r="LJL16" s="3" t="s">
        <v>77</v>
      </c>
      <c r="LJM16" s="3" t="s">
        <v>76</v>
      </c>
      <c r="LJN16" s="3" t="s">
        <v>77</v>
      </c>
      <c r="LJO16" s="3" t="s">
        <v>76</v>
      </c>
      <c r="LJP16" s="3" t="s">
        <v>77</v>
      </c>
      <c r="LJQ16" s="3" t="s">
        <v>76</v>
      </c>
      <c r="LJR16" s="3" t="s">
        <v>77</v>
      </c>
      <c r="LJS16" s="3" t="s">
        <v>76</v>
      </c>
      <c r="LJT16" s="3" t="s">
        <v>77</v>
      </c>
      <c r="LJU16" s="3" t="s">
        <v>76</v>
      </c>
      <c r="LJV16" s="3" t="s">
        <v>77</v>
      </c>
      <c r="LJW16" s="3" t="s">
        <v>76</v>
      </c>
      <c r="LJX16" s="3" t="s">
        <v>77</v>
      </c>
      <c r="LJY16" s="3" t="s">
        <v>76</v>
      </c>
      <c r="LJZ16" s="3" t="s">
        <v>77</v>
      </c>
      <c r="LKA16" s="3" t="s">
        <v>76</v>
      </c>
      <c r="LKB16" s="3" t="s">
        <v>77</v>
      </c>
      <c r="LKC16" s="3" t="s">
        <v>76</v>
      </c>
      <c r="LKD16" s="3" t="s">
        <v>77</v>
      </c>
      <c r="LKE16" s="3" t="s">
        <v>76</v>
      </c>
      <c r="LKF16" s="3" t="s">
        <v>77</v>
      </c>
      <c r="LKG16" s="3" t="s">
        <v>76</v>
      </c>
      <c r="LKH16" s="3" t="s">
        <v>77</v>
      </c>
      <c r="LKI16" s="3" t="s">
        <v>76</v>
      </c>
      <c r="LKJ16" s="3" t="s">
        <v>77</v>
      </c>
      <c r="LKK16" s="3" t="s">
        <v>76</v>
      </c>
      <c r="LKL16" s="3" t="s">
        <v>77</v>
      </c>
      <c r="LKM16" s="3" t="s">
        <v>76</v>
      </c>
      <c r="LKN16" s="3" t="s">
        <v>77</v>
      </c>
      <c r="LKO16" s="3" t="s">
        <v>76</v>
      </c>
      <c r="LKP16" s="3" t="s">
        <v>77</v>
      </c>
      <c r="LKQ16" s="3" t="s">
        <v>76</v>
      </c>
      <c r="LKR16" s="3" t="s">
        <v>77</v>
      </c>
      <c r="LKS16" s="3" t="s">
        <v>76</v>
      </c>
      <c r="LKT16" s="3" t="s">
        <v>77</v>
      </c>
      <c r="LKU16" s="3" t="s">
        <v>76</v>
      </c>
      <c r="LKV16" s="3" t="s">
        <v>77</v>
      </c>
      <c r="LKW16" s="3" t="s">
        <v>76</v>
      </c>
      <c r="LKX16" s="3" t="s">
        <v>77</v>
      </c>
      <c r="LKY16" s="3" t="s">
        <v>76</v>
      </c>
      <c r="LKZ16" s="3" t="s">
        <v>77</v>
      </c>
      <c r="LLA16" s="3" t="s">
        <v>76</v>
      </c>
      <c r="LLB16" s="3" t="s">
        <v>77</v>
      </c>
      <c r="LLC16" s="3" t="s">
        <v>76</v>
      </c>
      <c r="LLD16" s="3" t="s">
        <v>77</v>
      </c>
      <c r="LLE16" s="3" t="s">
        <v>76</v>
      </c>
      <c r="LLF16" s="3" t="s">
        <v>77</v>
      </c>
      <c r="LLG16" s="3" t="s">
        <v>76</v>
      </c>
      <c r="LLH16" s="3" t="s">
        <v>77</v>
      </c>
      <c r="LLI16" s="3" t="s">
        <v>76</v>
      </c>
      <c r="LLJ16" s="3" t="s">
        <v>77</v>
      </c>
      <c r="LLK16" s="3" t="s">
        <v>76</v>
      </c>
      <c r="LLL16" s="3" t="s">
        <v>77</v>
      </c>
      <c r="LLM16" s="3" t="s">
        <v>76</v>
      </c>
      <c r="LLN16" s="3" t="s">
        <v>77</v>
      </c>
      <c r="LLO16" s="3" t="s">
        <v>76</v>
      </c>
      <c r="LLP16" s="3" t="s">
        <v>77</v>
      </c>
      <c r="LLQ16" s="3" t="s">
        <v>76</v>
      </c>
      <c r="LLR16" s="3" t="s">
        <v>77</v>
      </c>
      <c r="LLS16" s="3" t="s">
        <v>76</v>
      </c>
      <c r="LLT16" s="3" t="s">
        <v>77</v>
      </c>
      <c r="LLU16" s="3" t="s">
        <v>76</v>
      </c>
      <c r="LLV16" s="3" t="s">
        <v>77</v>
      </c>
      <c r="LLW16" s="3" t="s">
        <v>76</v>
      </c>
      <c r="LLX16" s="3" t="s">
        <v>77</v>
      </c>
      <c r="LLY16" s="3" t="s">
        <v>76</v>
      </c>
      <c r="LLZ16" s="3" t="s">
        <v>77</v>
      </c>
      <c r="LMA16" s="3" t="s">
        <v>76</v>
      </c>
      <c r="LMB16" s="3" t="s">
        <v>77</v>
      </c>
      <c r="LMC16" s="3" t="s">
        <v>76</v>
      </c>
      <c r="LMD16" s="3" t="s">
        <v>77</v>
      </c>
      <c r="LME16" s="3" t="s">
        <v>76</v>
      </c>
      <c r="LMF16" s="3" t="s">
        <v>77</v>
      </c>
      <c r="LMG16" s="3" t="s">
        <v>76</v>
      </c>
      <c r="LMH16" s="3" t="s">
        <v>77</v>
      </c>
      <c r="LMI16" s="3" t="s">
        <v>76</v>
      </c>
      <c r="LMJ16" s="3" t="s">
        <v>77</v>
      </c>
      <c r="LMK16" s="3" t="s">
        <v>76</v>
      </c>
      <c r="LML16" s="3" t="s">
        <v>77</v>
      </c>
      <c r="LMM16" s="3" t="s">
        <v>76</v>
      </c>
      <c r="LMN16" s="3" t="s">
        <v>77</v>
      </c>
      <c r="LMO16" s="3" t="s">
        <v>76</v>
      </c>
      <c r="LMP16" s="3" t="s">
        <v>77</v>
      </c>
      <c r="LMQ16" s="3" t="s">
        <v>76</v>
      </c>
      <c r="LMR16" s="3" t="s">
        <v>77</v>
      </c>
      <c r="LMS16" s="3" t="s">
        <v>76</v>
      </c>
      <c r="LMT16" s="3" t="s">
        <v>77</v>
      </c>
      <c r="LMU16" s="3" t="s">
        <v>76</v>
      </c>
      <c r="LMV16" s="3" t="s">
        <v>77</v>
      </c>
      <c r="LMW16" s="3" t="s">
        <v>76</v>
      </c>
      <c r="LMX16" s="3" t="s">
        <v>77</v>
      </c>
      <c r="LMY16" s="3" t="s">
        <v>76</v>
      </c>
      <c r="LMZ16" s="3" t="s">
        <v>77</v>
      </c>
      <c r="LNA16" s="3" t="s">
        <v>76</v>
      </c>
      <c r="LNB16" s="3" t="s">
        <v>77</v>
      </c>
      <c r="LNC16" s="3" t="s">
        <v>76</v>
      </c>
      <c r="LND16" s="3" t="s">
        <v>77</v>
      </c>
      <c r="LNE16" s="3" t="s">
        <v>76</v>
      </c>
      <c r="LNF16" s="3" t="s">
        <v>77</v>
      </c>
      <c r="LNG16" s="3" t="s">
        <v>76</v>
      </c>
      <c r="LNH16" s="3" t="s">
        <v>77</v>
      </c>
      <c r="LNI16" s="3" t="s">
        <v>76</v>
      </c>
      <c r="LNJ16" s="3" t="s">
        <v>77</v>
      </c>
      <c r="LNK16" s="3" t="s">
        <v>76</v>
      </c>
      <c r="LNL16" s="3" t="s">
        <v>77</v>
      </c>
      <c r="LNM16" s="3" t="s">
        <v>76</v>
      </c>
      <c r="LNN16" s="3" t="s">
        <v>77</v>
      </c>
      <c r="LNO16" s="3" t="s">
        <v>76</v>
      </c>
      <c r="LNP16" s="3" t="s">
        <v>77</v>
      </c>
      <c r="LNQ16" s="3" t="s">
        <v>76</v>
      </c>
      <c r="LNR16" s="3" t="s">
        <v>77</v>
      </c>
      <c r="LNS16" s="3" t="s">
        <v>76</v>
      </c>
      <c r="LNT16" s="3" t="s">
        <v>77</v>
      </c>
      <c r="LNU16" s="3" t="s">
        <v>76</v>
      </c>
      <c r="LNV16" s="3" t="s">
        <v>77</v>
      </c>
      <c r="LNW16" s="3" t="s">
        <v>76</v>
      </c>
      <c r="LNX16" s="3" t="s">
        <v>77</v>
      </c>
      <c r="LNY16" s="3" t="s">
        <v>76</v>
      </c>
      <c r="LNZ16" s="3" t="s">
        <v>77</v>
      </c>
      <c r="LOA16" s="3" t="s">
        <v>76</v>
      </c>
      <c r="LOB16" s="3" t="s">
        <v>77</v>
      </c>
      <c r="LOC16" s="3" t="s">
        <v>76</v>
      </c>
      <c r="LOD16" s="3" t="s">
        <v>77</v>
      </c>
      <c r="LOE16" s="3" t="s">
        <v>76</v>
      </c>
      <c r="LOF16" s="3" t="s">
        <v>77</v>
      </c>
      <c r="LOG16" s="3" t="s">
        <v>76</v>
      </c>
      <c r="LOH16" s="3" t="s">
        <v>77</v>
      </c>
      <c r="LOI16" s="3" t="s">
        <v>76</v>
      </c>
      <c r="LOJ16" s="3" t="s">
        <v>77</v>
      </c>
      <c r="LOK16" s="3" t="s">
        <v>76</v>
      </c>
      <c r="LOL16" s="3" t="s">
        <v>77</v>
      </c>
      <c r="LOM16" s="3" t="s">
        <v>76</v>
      </c>
      <c r="LON16" s="3" t="s">
        <v>77</v>
      </c>
      <c r="LOO16" s="3" t="s">
        <v>76</v>
      </c>
      <c r="LOP16" s="3" t="s">
        <v>77</v>
      </c>
      <c r="LOQ16" s="3" t="s">
        <v>76</v>
      </c>
      <c r="LOR16" s="3" t="s">
        <v>77</v>
      </c>
      <c r="LOS16" s="3" t="s">
        <v>76</v>
      </c>
      <c r="LOT16" s="3" t="s">
        <v>77</v>
      </c>
      <c r="LOU16" s="3" t="s">
        <v>76</v>
      </c>
      <c r="LOV16" s="3" t="s">
        <v>77</v>
      </c>
      <c r="LOW16" s="3" t="s">
        <v>76</v>
      </c>
      <c r="LOX16" s="3" t="s">
        <v>77</v>
      </c>
      <c r="LOY16" s="3" t="s">
        <v>76</v>
      </c>
      <c r="LOZ16" s="3" t="s">
        <v>77</v>
      </c>
      <c r="LPA16" s="3" t="s">
        <v>76</v>
      </c>
      <c r="LPB16" s="3" t="s">
        <v>77</v>
      </c>
      <c r="LPC16" s="3" t="s">
        <v>76</v>
      </c>
      <c r="LPD16" s="3" t="s">
        <v>77</v>
      </c>
      <c r="LPE16" s="3" t="s">
        <v>76</v>
      </c>
      <c r="LPF16" s="3" t="s">
        <v>77</v>
      </c>
      <c r="LPG16" s="3" t="s">
        <v>76</v>
      </c>
      <c r="LPH16" s="3" t="s">
        <v>77</v>
      </c>
      <c r="LPI16" s="3" t="s">
        <v>76</v>
      </c>
      <c r="LPJ16" s="3" t="s">
        <v>77</v>
      </c>
      <c r="LPK16" s="3" t="s">
        <v>76</v>
      </c>
      <c r="LPL16" s="3" t="s">
        <v>77</v>
      </c>
      <c r="LPM16" s="3" t="s">
        <v>76</v>
      </c>
      <c r="LPN16" s="3" t="s">
        <v>77</v>
      </c>
      <c r="LPO16" s="3" t="s">
        <v>76</v>
      </c>
      <c r="LPP16" s="3" t="s">
        <v>77</v>
      </c>
      <c r="LPQ16" s="3" t="s">
        <v>76</v>
      </c>
      <c r="LPR16" s="3" t="s">
        <v>77</v>
      </c>
      <c r="LPS16" s="3" t="s">
        <v>76</v>
      </c>
      <c r="LPT16" s="3" t="s">
        <v>77</v>
      </c>
      <c r="LPU16" s="3" t="s">
        <v>76</v>
      </c>
      <c r="LPV16" s="3" t="s">
        <v>77</v>
      </c>
      <c r="LPW16" s="3" t="s">
        <v>76</v>
      </c>
      <c r="LPX16" s="3" t="s">
        <v>77</v>
      </c>
      <c r="LPY16" s="3" t="s">
        <v>76</v>
      </c>
      <c r="LPZ16" s="3" t="s">
        <v>77</v>
      </c>
      <c r="LQA16" s="3" t="s">
        <v>76</v>
      </c>
      <c r="LQB16" s="3" t="s">
        <v>77</v>
      </c>
      <c r="LQC16" s="3" t="s">
        <v>76</v>
      </c>
      <c r="LQD16" s="3" t="s">
        <v>77</v>
      </c>
      <c r="LQE16" s="3" t="s">
        <v>76</v>
      </c>
      <c r="LQF16" s="3" t="s">
        <v>77</v>
      </c>
      <c r="LQG16" s="3" t="s">
        <v>76</v>
      </c>
      <c r="LQH16" s="3" t="s">
        <v>77</v>
      </c>
      <c r="LQI16" s="3" t="s">
        <v>76</v>
      </c>
      <c r="LQJ16" s="3" t="s">
        <v>77</v>
      </c>
      <c r="LQK16" s="3" t="s">
        <v>76</v>
      </c>
      <c r="LQL16" s="3" t="s">
        <v>77</v>
      </c>
      <c r="LQM16" s="3" t="s">
        <v>76</v>
      </c>
      <c r="LQN16" s="3" t="s">
        <v>77</v>
      </c>
      <c r="LQO16" s="3" t="s">
        <v>76</v>
      </c>
      <c r="LQP16" s="3" t="s">
        <v>77</v>
      </c>
      <c r="LQQ16" s="3" t="s">
        <v>76</v>
      </c>
      <c r="LQR16" s="3" t="s">
        <v>77</v>
      </c>
      <c r="LQS16" s="3" t="s">
        <v>76</v>
      </c>
      <c r="LQT16" s="3" t="s">
        <v>77</v>
      </c>
      <c r="LQU16" s="3" t="s">
        <v>76</v>
      </c>
      <c r="LQV16" s="3" t="s">
        <v>77</v>
      </c>
      <c r="LQW16" s="3" t="s">
        <v>76</v>
      </c>
      <c r="LQX16" s="3" t="s">
        <v>77</v>
      </c>
      <c r="LQY16" s="3" t="s">
        <v>76</v>
      </c>
      <c r="LQZ16" s="3" t="s">
        <v>77</v>
      </c>
      <c r="LRA16" s="3" t="s">
        <v>76</v>
      </c>
      <c r="LRB16" s="3" t="s">
        <v>77</v>
      </c>
      <c r="LRC16" s="3" t="s">
        <v>76</v>
      </c>
      <c r="LRD16" s="3" t="s">
        <v>77</v>
      </c>
      <c r="LRE16" s="3" t="s">
        <v>76</v>
      </c>
      <c r="LRF16" s="3" t="s">
        <v>77</v>
      </c>
      <c r="LRG16" s="3" t="s">
        <v>76</v>
      </c>
      <c r="LRH16" s="3" t="s">
        <v>77</v>
      </c>
      <c r="LRI16" s="3" t="s">
        <v>76</v>
      </c>
      <c r="LRJ16" s="3" t="s">
        <v>77</v>
      </c>
      <c r="LRK16" s="3" t="s">
        <v>76</v>
      </c>
      <c r="LRL16" s="3" t="s">
        <v>77</v>
      </c>
      <c r="LRM16" s="3" t="s">
        <v>76</v>
      </c>
      <c r="LRN16" s="3" t="s">
        <v>77</v>
      </c>
      <c r="LRO16" s="3" t="s">
        <v>76</v>
      </c>
      <c r="LRP16" s="3" t="s">
        <v>77</v>
      </c>
      <c r="LRQ16" s="3" t="s">
        <v>76</v>
      </c>
      <c r="LRR16" s="3" t="s">
        <v>77</v>
      </c>
      <c r="LRS16" s="3" t="s">
        <v>76</v>
      </c>
      <c r="LRT16" s="3" t="s">
        <v>77</v>
      </c>
      <c r="LRU16" s="3" t="s">
        <v>76</v>
      </c>
      <c r="LRV16" s="3" t="s">
        <v>77</v>
      </c>
      <c r="LRW16" s="3" t="s">
        <v>76</v>
      </c>
      <c r="LRX16" s="3" t="s">
        <v>77</v>
      </c>
      <c r="LRY16" s="3" t="s">
        <v>76</v>
      </c>
      <c r="LRZ16" s="3" t="s">
        <v>77</v>
      </c>
      <c r="LSA16" s="3" t="s">
        <v>76</v>
      </c>
      <c r="LSB16" s="3" t="s">
        <v>77</v>
      </c>
      <c r="LSC16" s="3" t="s">
        <v>76</v>
      </c>
      <c r="LSD16" s="3" t="s">
        <v>77</v>
      </c>
      <c r="LSE16" s="3" t="s">
        <v>76</v>
      </c>
      <c r="LSF16" s="3" t="s">
        <v>77</v>
      </c>
      <c r="LSG16" s="3" t="s">
        <v>76</v>
      </c>
      <c r="LSH16" s="3" t="s">
        <v>77</v>
      </c>
      <c r="LSI16" s="3" t="s">
        <v>76</v>
      </c>
      <c r="LSJ16" s="3" t="s">
        <v>77</v>
      </c>
      <c r="LSK16" s="3" t="s">
        <v>76</v>
      </c>
      <c r="LSL16" s="3" t="s">
        <v>77</v>
      </c>
      <c r="LSM16" s="3" t="s">
        <v>76</v>
      </c>
      <c r="LSN16" s="3" t="s">
        <v>77</v>
      </c>
      <c r="LSO16" s="3" t="s">
        <v>76</v>
      </c>
      <c r="LSP16" s="3" t="s">
        <v>77</v>
      </c>
      <c r="LSQ16" s="3" t="s">
        <v>76</v>
      </c>
      <c r="LSR16" s="3" t="s">
        <v>77</v>
      </c>
      <c r="LSS16" s="3" t="s">
        <v>76</v>
      </c>
      <c r="LST16" s="3" t="s">
        <v>77</v>
      </c>
      <c r="LSU16" s="3" t="s">
        <v>76</v>
      </c>
      <c r="LSV16" s="3" t="s">
        <v>77</v>
      </c>
      <c r="LSW16" s="3" t="s">
        <v>76</v>
      </c>
      <c r="LSX16" s="3" t="s">
        <v>77</v>
      </c>
      <c r="LSY16" s="3" t="s">
        <v>76</v>
      </c>
      <c r="LSZ16" s="3" t="s">
        <v>77</v>
      </c>
      <c r="LTA16" s="3" t="s">
        <v>76</v>
      </c>
      <c r="LTB16" s="3" t="s">
        <v>77</v>
      </c>
      <c r="LTC16" s="3" t="s">
        <v>76</v>
      </c>
      <c r="LTD16" s="3" t="s">
        <v>77</v>
      </c>
      <c r="LTE16" s="3" t="s">
        <v>76</v>
      </c>
      <c r="LTF16" s="3" t="s">
        <v>77</v>
      </c>
      <c r="LTG16" s="3" t="s">
        <v>76</v>
      </c>
      <c r="LTH16" s="3" t="s">
        <v>77</v>
      </c>
      <c r="LTI16" s="3" t="s">
        <v>76</v>
      </c>
      <c r="LTJ16" s="3" t="s">
        <v>77</v>
      </c>
      <c r="LTK16" s="3" t="s">
        <v>76</v>
      </c>
      <c r="LTL16" s="3" t="s">
        <v>77</v>
      </c>
      <c r="LTM16" s="3" t="s">
        <v>76</v>
      </c>
      <c r="LTN16" s="3" t="s">
        <v>77</v>
      </c>
      <c r="LTO16" s="3" t="s">
        <v>76</v>
      </c>
      <c r="LTP16" s="3" t="s">
        <v>77</v>
      </c>
      <c r="LTQ16" s="3" t="s">
        <v>76</v>
      </c>
      <c r="LTR16" s="3" t="s">
        <v>77</v>
      </c>
      <c r="LTS16" s="3" t="s">
        <v>76</v>
      </c>
      <c r="LTT16" s="3" t="s">
        <v>77</v>
      </c>
      <c r="LTU16" s="3" t="s">
        <v>76</v>
      </c>
      <c r="LTV16" s="3" t="s">
        <v>77</v>
      </c>
      <c r="LTW16" s="3" t="s">
        <v>76</v>
      </c>
      <c r="LTX16" s="3" t="s">
        <v>77</v>
      </c>
      <c r="LTY16" s="3" t="s">
        <v>76</v>
      </c>
      <c r="LTZ16" s="3" t="s">
        <v>77</v>
      </c>
      <c r="LUA16" s="3" t="s">
        <v>76</v>
      </c>
      <c r="LUB16" s="3" t="s">
        <v>77</v>
      </c>
      <c r="LUC16" s="3" t="s">
        <v>76</v>
      </c>
      <c r="LUD16" s="3" t="s">
        <v>77</v>
      </c>
      <c r="LUE16" s="3" t="s">
        <v>76</v>
      </c>
      <c r="LUF16" s="3" t="s">
        <v>77</v>
      </c>
      <c r="LUG16" s="3" t="s">
        <v>76</v>
      </c>
      <c r="LUH16" s="3" t="s">
        <v>77</v>
      </c>
      <c r="LUI16" s="3" t="s">
        <v>76</v>
      </c>
      <c r="LUJ16" s="3" t="s">
        <v>77</v>
      </c>
      <c r="LUK16" s="3" t="s">
        <v>76</v>
      </c>
      <c r="LUL16" s="3" t="s">
        <v>77</v>
      </c>
      <c r="LUM16" s="3" t="s">
        <v>76</v>
      </c>
      <c r="LUN16" s="3" t="s">
        <v>77</v>
      </c>
      <c r="LUO16" s="3" t="s">
        <v>76</v>
      </c>
      <c r="LUP16" s="3" t="s">
        <v>77</v>
      </c>
      <c r="LUQ16" s="3" t="s">
        <v>76</v>
      </c>
      <c r="LUR16" s="3" t="s">
        <v>77</v>
      </c>
      <c r="LUS16" s="3" t="s">
        <v>76</v>
      </c>
      <c r="LUT16" s="3" t="s">
        <v>77</v>
      </c>
      <c r="LUU16" s="3" t="s">
        <v>76</v>
      </c>
      <c r="LUV16" s="3" t="s">
        <v>77</v>
      </c>
      <c r="LUW16" s="3" t="s">
        <v>76</v>
      </c>
      <c r="LUX16" s="3" t="s">
        <v>77</v>
      </c>
      <c r="LUY16" s="3" t="s">
        <v>76</v>
      </c>
      <c r="LUZ16" s="3" t="s">
        <v>77</v>
      </c>
      <c r="LVA16" s="3" t="s">
        <v>76</v>
      </c>
      <c r="LVB16" s="3" t="s">
        <v>77</v>
      </c>
      <c r="LVC16" s="3" t="s">
        <v>76</v>
      </c>
      <c r="LVD16" s="3" t="s">
        <v>77</v>
      </c>
      <c r="LVE16" s="3" t="s">
        <v>76</v>
      </c>
      <c r="LVF16" s="3" t="s">
        <v>77</v>
      </c>
      <c r="LVG16" s="3" t="s">
        <v>76</v>
      </c>
      <c r="LVH16" s="3" t="s">
        <v>77</v>
      </c>
      <c r="LVI16" s="3" t="s">
        <v>76</v>
      </c>
      <c r="LVJ16" s="3" t="s">
        <v>77</v>
      </c>
      <c r="LVK16" s="3" t="s">
        <v>76</v>
      </c>
      <c r="LVL16" s="3" t="s">
        <v>77</v>
      </c>
      <c r="LVM16" s="3" t="s">
        <v>76</v>
      </c>
      <c r="LVN16" s="3" t="s">
        <v>77</v>
      </c>
      <c r="LVO16" s="3" t="s">
        <v>76</v>
      </c>
      <c r="LVP16" s="3" t="s">
        <v>77</v>
      </c>
      <c r="LVQ16" s="3" t="s">
        <v>76</v>
      </c>
      <c r="LVR16" s="3" t="s">
        <v>77</v>
      </c>
      <c r="LVS16" s="3" t="s">
        <v>76</v>
      </c>
      <c r="LVT16" s="3" t="s">
        <v>77</v>
      </c>
      <c r="LVU16" s="3" t="s">
        <v>76</v>
      </c>
      <c r="LVV16" s="3" t="s">
        <v>77</v>
      </c>
      <c r="LVW16" s="3" t="s">
        <v>76</v>
      </c>
      <c r="LVX16" s="3" t="s">
        <v>77</v>
      </c>
      <c r="LVY16" s="3" t="s">
        <v>76</v>
      </c>
      <c r="LVZ16" s="3" t="s">
        <v>77</v>
      </c>
      <c r="LWA16" s="3" t="s">
        <v>76</v>
      </c>
      <c r="LWB16" s="3" t="s">
        <v>77</v>
      </c>
      <c r="LWC16" s="3" t="s">
        <v>76</v>
      </c>
      <c r="LWD16" s="3" t="s">
        <v>77</v>
      </c>
      <c r="LWE16" s="3" t="s">
        <v>76</v>
      </c>
      <c r="LWF16" s="3" t="s">
        <v>77</v>
      </c>
      <c r="LWG16" s="3" t="s">
        <v>76</v>
      </c>
      <c r="LWH16" s="3" t="s">
        <v>77</v>
      </c>
      <c r="LWI16" s="3" t="s">
        <v>76</v>
      </c>
      <c r="LWJ16" s="3" t="s">
        <v>77</v>
      </c>
      <c r="LWK16" s="3" t="s">
        <v>76</v>
      </c>
      <c r="LWL16" s="3" t="s">
        <v>77</v>
      </c>
      <c r="LWM16" s="3" t="s">
        <v>76</v>
      </c>
      <c r="LWN16" s="3" t="s">
        <v>77</v>
      </c>
      <c r="LWO16" s="3" t="s">
        <v>76</v>
      </c>
      <c r="LWP16" s="3" t="s">
        <v>77</v>
      </c>
      <c r="LWQ16" s="3" t="s">
        <v>76</v>
      </c>
      <c r="LWR16" s="3" t="s">
        <v>77</v>
      </c>
      <c r="LWS16" s="3" t="s">
        <v>76</v>
      </c>
      <c r="LWT16" s="3" t="s">
        <v>77</v>
      </c>
      <c r="LWU16" s="3" t="s">
        <v>76</v>
      </c>
      <c r="LWV16" s="3" t="s">
        <v>77</v>
      </c>
      <c r="LWW16" s="3" t="s">
        <v>76</v>
      </c>
      <c r="LWX16" s="3" t="s">
        <v>77</v>
      </c>
      <c r="LWY16" s="3" t="s">
        <v>76</v>
      </c>
      <c r="LWZ16" s="3" t="s">
        <v>77</v>
      </c>
      <c r="LXA16" s="3" t="s">
        <v>76</v>
      </c>
      <c r="LXB16" s="3" t="s">
        <v>77</v>
      </c>
      <c r="LXC16" s="3" t="s">
        <v>76</v>
      </c>
      <c r="LXD16" s="3" t="s">
        <v>77</v>
      </c>
      <c r="LXE16" s="3" t="s">
        <v>76</v>
      </c>
      <c r="LXF16" s="3" t="s">
        <v>77</v>
      </c>
      <c r="LXG16" s="3" t="s">
        <v>76</v>
      </c>
      <c r="LXH16" s="3" t="s">
        <v>77</v>
      </c>
      <c r="LXI16" s="3" t="s">
        <v>76</v>
      </c>
      <c r="LXJ16" s="3" t="s">
        <v>77</v>
      </c>
      <c r="LXK16" s="3" t="s">
        <v>76</v>
      </c>
      <c r="LXL16" s="3" t="s">
        <v>77</v>
      </c>
      <c r="LXM16" s="3" t="s">
        <v>76</v>
      </c>
      <c r="LXN16" s="3" t="s">
        <v>77</v>
      </c>
      <c r="LXO16" s="3" t="s">
        <v>76</v>
      </c>
      <c r="LXP16" s="3" t="s">
        <v>77</v>
      </c>
      <c r="LXQ16" s="3" t="s">
        <v>76</v>
      </c>
      <c r="LXR16" s="3" t="s">
        <v>77</v>
      </c>
      <c r="LXS16" s="3" t="s">
        <v>76</v>
      </c>
      <c r="LXT16" s="3" t="s">
        <v>77</v>
      </c>
      <c r="LXU16" s="3" t="s">
        <v>76</v>
      </c>
      <c r="LXV16" s="3" t="s">
        <v>77</v>
      </c>
      <c r="LXW16" s="3" t="s">
        <v>76</v>
      </c>
      <c r="LXX16" s="3" t="s">
        <v>77</v>
      </c>
      <c r="LXY16" s="3" t="s">
        <v>76</v>
      </c>
      <c r="LXZ16" s="3" t="s">
        <v>77</v>
      </c>
      <c r="LYA16" s="3" t="s">
        <v>76</v>
      </c>
      <c r="LYB16" s="3" t="s">
        <v>77</v>
      </c>
      <c r="LYC16" s="3" t="s">
        <v>76</v>
      </c>
      <c r="LYD16" s="3" t="s">
        <v>77</v>
      </c>
      <c r="LYE16" s="3" t="s">
        <v>76</v>
      </c>
      <c r="LYF16" s="3" t="s">
        <v>77</v>
      </c>
      <c r="LYG16" s="3" t="s">
        <v>76</v>
      </c>
      <c r="LYH16" s="3" t="s">
        <v>77</v>
      </c>
      <c r="LYI16" s="3" t="s">
        <v>76</v>
      </c>
      <c r="LYJ16" s="3" t="s">
        <v>77</v>
      </c>
      <c r="LYK16" s="3" t="s">
        <v>76</v>
      </c>
      <c r="LYL16" s="3" t="s">
        <v>77</v>
      </c>
      <c r="LYM16" s="3" t="s">
        <v>76</v>
      </c>
      <c r="LYN16" s="3" t="s">
        <v>77</v>
      </c>
      <c r="LYO16" s="3" t="s">
        <v>76</v>
      </c>
      <c r="LYP16" s="3" t="s">
        <v>77</v>
      </c>
      <c r="LYQ16" s="3" t="s">
        <v>76</v>
      </c>
      <c r="LYR16" s="3" t="s">
        <v>77</v>
      </c>
      <c r="LYS16" s="3" t="s">
        <v>76</v>
      </c>
      <c r="LYT16" s="3" t="s">
        <v>77</v>
      </c>
      <c r="LYU16" s="3" t="s">
        <v>76</v>
      </c>
      <c r="LYV16" s="3" t="s">
        <v>77</v>
      </c>
      <c r="LYW16" s="3" t="s">
        <v>76</v>
      </c>
      <c r="LYX16" s="3" t="s">
        <v>77</v>
      </c>
      <c r="LYY16" s="3" t="s">
        <v>76</v>
      </c>
      <c r="LYZ16" s="3" t="s">
        <v>77</v>
      </c>
      <c r="LZA16" s="3" t="s">
        <v>76</v>
      </c>
      <c r="LZB16" s="3" t="s">
        <v>77</v>
      </c>
      <c r="LZC16" s="3" t="s">
        <v>76</v>
      </c>
      <c r="LZD16" s="3" t="s">
        <v>77</v>
      </c>
      <c r="LZE16" s="3" t="s">
        <v>76</v>
      </c>
      <c r="LZF16" s="3" t="s">
        <v>77</v>
      </c>
      <c r="LZG16" s="3" t="s">
        <v>76</v>
      </c>
      <c r="LZH16" s="3" t="s">
        <v>77</v>
      </c>
      <c r="LZI16" s="3" t="s">
        <v>76</v>
      </c>
      <c r="LZJ16" s="3" t="s">
        <v>77</v>
      </c>
      <c r="LZK16" s="3" t="s">
        <v>76</v>
      </c>
      <c r="LZL16" s="3" t="s">
        <v>77</v>
      </c>
      <c r="LZM16" s="3" t="s">
        <v>76</v>
      </c>
      <c r="LZN16" s="3" t="s">
        <v>77</v>
      </c>
      <c r="LZO16" s="3" t="s">
        <v>76</v>
      </c>
      <c r="LZP16" s="3" t="s">
        <v>77</v>
      </c>
      <c r="LZQ16" s="3" t="s">
        <v>76</v>
      </c>
      <c r="LZR16" s="3" t="s">
        <v>77</v>
      </c>
      <c r="LZS16" s="3" t="s">
        <v>76</v>
      </c>
      <c r="LZT16" s="3" t="s">
        <v>77</v>
      </c>
      <c r="LZU16" s="3" t="s">
        <v>76</v>
      </c>
      <c r="LZV16" s="3" t="s">
        <v>77</v>
      </c>
      <c r="LZW16" s="3" t="s">
        <v>76</v>
      </c>
      <c r="LZX16" s="3" t="s">
        <v>77</v>
      </c>
      <c r="LZY16" s="3" t="s">
        <v>76</v>
      </c>
      <c r="LZZ16" s="3" t="s">
        <v>77</v>
      </c>
      <c r="MAA16" s="3" t="s">
        <v>76</v>
      </c>
      <c r="MAB16" s="3" t="s">
        <v>77</v>
      </c>
      <c r="MAC16" s="3" t="s">
        <v>76</v>
      </c>
      <c r="MAD16" s="3" t="s">
        <v>77</v>
      </c>
      <c r="MAE16" s="3" t="s">
        <v>76</v>
      </c>
      <c r="MAF16" s="3" t="s">
        <v>77</v>
      </c>
      <c r="MAG16" s="3" t="s">
        <v>76</v>
      </c>
      <c r="MAH16" s="3" t="s">
        <v>77</v>
      </c>
      <c r="MAI16" s="3" t="s">
        <v>76</v>
      </c>
      <c r="MAJ16" s="3" t="s">
        <v>77</v>
      </c>
      <c r="MAK16" s="3" t="s">
        <v>76</v>
      </c>
      <c r="MAL16" s="3" t="s">
        <v>77</v>
      </c>
      <c r="MAM16" s="3" t="s">
        <v>76</v>
      </c>
      <c r="MAN16" s="3" t="s">
        <v>77</v>
      </c>
      <c r="MAO16" s="3" t="s">
        <v>76</v>
      </c>
      <c r="MAP16" s="3" t="s">
        <v>77</v>
      </c>
      <c r="MAQ16" s="3" t="s">
        <v>76</v>
      </c>
      <c r="MAR16" s="3" t="s">
        <v>77</v>
      </c>
      <c r="MAS16" s="3" t="s">
        <v>76</v>
      </c>
      <c r="MAT16" s="3" t="s">
        <v>77</v>
      </c>
      <c r="MAU16" s="3" t="s">
        <v>76</v>
      </c>
      <c r="MAV16" s="3" t="s">
        <v>77</v>
      </c>
      <c r="MAW16" s="3" t="s">
        <v>76</v>
      </c>
      <c r="MAX16" s="3" t="s">
        <v>77</v>
      </c>
      <c r="MAY16" s="3" t="s">
        <v>76</v>
      </c>
      <c r="MAZ16" s="3" t="s">
        <v>77</v>
      </c>
      <c r="MBA16" s="3" t="s">
        <v>76</v>
      </c>
      <c r="MBB16" s="3" t="s">
        <v>77</v>
      </c>
      <c r="MBC16" s="3" t="s">
        <v>76</v>
      </c>
      <c r="MBD16" s="3" t="s">
        <v>77</v>
      </c>
      <c r="MBE16" s="3" t="s">
        <v>76</v>
      </c>
      <c r="MBF16" s="3" t="s">
        <v>77</v>
      </c>
      <c r="MBG16" s="3" t="s">
        <v>76</v>
      </c>
      <c r="MBH16" s="3" t="s">
        <v>77</v>
      </c>
      <c r="MBI16" s="3" t="s">
        <v>76</v>
      </c>
      <c r="MBJ16" s="3" t="s">
        <v>77</v>
      </c>
      <c r="MBK16" s="3" t="s">
        <v>76</v>
      </c>
      <c r="MBL16" s="3" t="s">
        <v>77</v>
      </c>
      <c r="MBM16" s="3" t="s">
        <v>76</v>
      </c>
      <c r="MBN16" s="3" t="s">
        <v>77</v>
      </c>
      <c r="MBO16" s="3" t="s">
        <v>76</v>
      </c>
      <c r="MBP16" s="3" t="s">
        <v>77</v>
      </c>
      <c r="MBQ16" s="3" t="s">
        <v>76</v>
      </c>
      <c r="MBR16" s="3" t="s">
        <v>77</v>
      </c>
      <c r="MBS16" s="3" t="s">
        <v>76</v>
      </c>
      <c r="MBT16" s="3" t="s">
        <v>77</v>
      </c>
      <c r="MBU16" s="3" t="s">
        <v>76</v>
      </c>
      <c r="MBV16" s="3" t="s">
        <v>77</v>
      </c>
      <c r="MBW16" s="3" t="s">
        <v>76</v>
      </c>
      <c r="MBX16" s="3" t="s">
        <v>77</v>
      </c>
      <c r="MBY16" s="3" t="s">
        <v>76</v>
      </c>
      <c r="MBZ16" s="3" t="s">
        <v>77</v>
      </c>
      <c r="MCA16" s="3" t="s">
        <v>76</v>
      </c>
      <c r="MCB16" s="3" t="s">
        <v>77</v>
      </c>
      <c r="MCC16" s="3" t="s">
        <v>76</v>
      </c>
      <c r="MCD16" s="3" t="s">
        <v>77</v>
      </c>
      <c r="MCE16" s="3" t="s">
        <v>76</v>
      </c>
      <c r="MCF16" s="3" t="s">
        <v>77</v>
      </c>
      <c r="MCG16" s="3" t="s">
        <v>76</v>
      </c>
      <c r="MCH16" s="3" t="s">
        <v>77</v>
      </c>
      <c r="MCI16" s="3" t="s">
        <v>76</v>
      </c>
      <c r="MCJ16" s="3" t="s">
        <v>77</v>
      </c>
      <c r="MCK16" s="3" t="s">
        <v>76</v>
      </c>
      <c r="MCL16" s="3" t="s">
        <v>77</v>
      </c>
      <c r="MCM16" s="3" t="s">
        <v>76</v>
      </c>
      <c r="MCN16" s="3" t="s">
        <v>77</v>
      </c>
      <c r="MCO16" s="3" t="s">
        <v>76</v>
      </c>
      <c r="MCP16" s="3" t="s">
        <v>77</v>
      </c>
      <c r="MCQ16" s="3" t="s">
        <v>76</v>
      </c>
      <c r="MCR16" s="3" t="s">
        <v>77</v>
      </c>
      <c r="MCS16" s="3" t="s">
        <v>76</v>
      </c>
      <c r="MCT16" s="3" t="s">
        <v>77</v>
      </c>
      <c r="MCU16" s="3" t="s">
        <v>76</v>
      </c>
      <c r="MCV16" s="3" t="s">
        <v>77</v>
      </c>
      <c r="MCW16" s="3" t="s">
        <v>76</v>
      </c>
      <c r="MCX16" s="3" t="s">
        <v>77</v>
      </c>
      <c r="MCY16" s="3" t="s">
        <v>76</v>
      </c>
      <c r="MCZ16" s="3" t="s">
        <v>77</v>
      </c>
      <c r="MDA16" s="3" t="s">
        <v>76</v>
      </c>
      <c r="MDB16" s="3" t="s">
        <v>77</v>
      </c>
      <c r="MDC16" s="3" t="s">
        <v>76</v>
      </c>
      <c r="MDD16" s="3" t="s">
        <v>77</v>
      </c>
      <c r="MDE16" s="3" t="s">
        <v>76</v>
      </c>
      <c r="MDF16" s="3" t="s">
        <v>77</v>
      </c>
      <c r="MDG16" s="3" t="s">
        <v>76</v>
      </c>
      <c r="MDH16" s="3" t="s">
        <v>77</v>
      </c>
      <c r="MDI16" s="3" t="s">
        <v>76</v>
      </c>
      <c r="MDJ16" s="3" t="s">
        <v>77</v>
      </c>
      <c r="MDK16" s="3" t="s">
        <v>76</v>
      </c>
      <c r="MDL16" s="3" t="s">
        <v>77</v>
      </c>
      <c r="MDM16" s="3" t="s">
        <v>76</v>
      </c>
      <c r="MDN16" s="3" t="s">
        <v>77</v>
      </c>
      <c r="MDO16" s="3" t="s">
        <v>76</v>
      </c>
      <c r="MDP16" s="3" t="s">
        <v>77</v>
      </c>
      <c r="MDQ16" s="3" t="s">
        <v>76</v>
      </c>
      <c r="MDR16" s="3" t="s">
        <v>77</v>
      </c>
      <c r="MDS16" s="3" t="s">
        <v>76</v>
      </c>
      <c r="MDT16" s="3" t="s">
        <v>77</v>
      </c>
      <c r="MDU16" s="3" t="s">
        <v>76</v>
      </c>
      <c r="MDV16" s="3" t="s">
        <v>77</v>
      </c>
      <c r="MDW16" s="3" t="s">
        <v>76</v>
      </c>
      <c r="MDX16" s="3" t="s">
        <v>77</v>
      </c>
      <c r="MDY16" s="3" t="s">
        <v>76</v>
      </c>
      <c r="MDZ16" s="3" t="s">
        <v>77</v>
      </c>
      <c r="MEA16" s="3" t="s">
        <v>76</v>
      </c>
      <c r="MEB16" s="3" t="s">
        <v>77</v>
      </c>
      <c r="MEC16" s="3" t="s">
        <v>76</v>
      </c>
      <c r="MED16" s="3" t="s">
        <v>77</v>
      </c>
      <c r="MEE16" s="3" t="s">
        <v>76</v>
      </c>
      <c r="MEF16" s="3" t="s">
        <v>77</v>
      </c>
      <c r="MEG16" s="3" t="s">
        <v>76</v>
      </c>
      <c r="MEH16" s="3" t="s">
        <v>77</v>
      </c>
      <c r="MEI16" s="3" t="s">
        <v>76</v>
      </c>
      <c r="MEJ16" s="3" t="s">
        <v>77</v>
      </c>
      <c r="MEK16" s="3" t="s">
        <v>76</v>
      </c>
      <c r="MEL16" s="3" t="s">
        <v>77</v>
      </c>
      <c r="MEM16" s="3" t="s">
        <v>76</v>
      </c>
      <c r="MEN16" s="3" t="s">
        <v>77</v>
      </c>
      <c r="MEO16" s="3" t="s">
        <v>76</v>
      </c>
      <c r="MEP16" s="3" t="s">
        <v>77</v>
      </c>
      <c r="MEQ16" s="3" t="s">
        <v>76</v>
      </c>
      <c r="MER16" s="3" t="s">
        <v>77</v>
      </c>
      <c r="MES16" s="3" t="s">
        <v>76</v>
      </c>
      <c r="MET16" s="3" t="s">
        <v>77</v>
      </c>
      <c r="MEU16" s="3" t="s">
        <v>76</v>
      </c>
      <c r="MEV16" s="3" t="s">
        <v>77</v>
      </c>
      <c r="MEW16" s="3" t="s">
        <v>76</v>
      </c>
      <c r="MEX16" s="3" t="s">
        <v>77</v>
      </c>
      <c r="MEY16" s="3" t="s">
        <v>76</v>
      </c>
      <c r="MEZ16" s="3" t="s">
        <v>77</v>
      </c>
      <c r="MFA16" s="3" t="s">
        <v>76</v>
      </c>
      <c r="MFB16" s="3" t="s">
        <v>77</v>
      </c>
      <c r="MFC16" s="3" t="s">
        <v>76</v>
      </c>
      <c r="MFD16" s="3" t="s">
        <v>77</v>
      </c>
      <c r="MFE16" s="3" t="s">
        <v>76</v>
      </c>
      <c r="MFF16" s="3" t="s">
        <v>77</v>
      </c>
      <c r="MFG16" s="3" t="s">
        <v>76</v>
      </c>
      <c r="MFH16" s="3" t="s">
        <v>77</v>
      </c>
      <c r="MFI16" s="3" t="s">
        <v>76</v>
      </c>
      <c r="MFJ16" s="3" t="s">
        <v>77</v>
      </c>
      <c r="MFK16" s="3" t="s">
        <v>76</v>
      </c>
      <c r="MFL16" s="3" t="s">
        <v>77</v>
      </c>
      <c r="MFM16" s="3" t="s">
        <v>76</v>
      </c>
      <c r="MFN16" s="3" t="s">
        <v>77</v>
      </c>
      <c r="MFO16" s="3" t="s">
        <v>76</v>
      </c>
      <c r="MFP16" s="3" t="s">
        <v>77</v>
      </c>
      <c r="MFQ16" s="3" t="s">
        <v>76</v>
      </c>
      <c r="MFR16" s="3" t="s">
        <v>77</v>
      </c>
      <c r="MFS16" s="3" t="s">
        <v>76</v>
      </c>
      <c r="MFT16" s="3" t="s">
        <v>77</v>
      </c>
      <c r="MFU16" s="3" t="s">
        <v>76</v>
      </c>
      <c r="MFV16" s="3" t="s">
        <v>77</v>
      </c>
      <c r="MFW16" s="3" t="s">
        <v>76</v>
      </c>
      <c r="MFX16" s="3" t="s">
        <v>77</v>
      </c>
      <c r="MFY16" s="3" t="s">
        <v>76</v>
      </c>
      <c r="MFZ16" s="3" t="s">
        <v>77</v>
      </c>
      <c r="MGA16" s="3" t="s">
        <v>76</v>
      </c>
      <c r="MGB16" s="3" t="s">
        <v>77</v>
      </c>
      <c r="MGC16" s="3" t="s">
        <v>76</v>
      </c>
      <c r="MGD16" s="3" t="s">
        <v>77</v>
      </c>
      <c r="MGE16" s="3" t="s">
        <v>76</v>
      </c>
      <c r="MGF16" s="3" t="s">
        <v>77</v>
      </c>
      <c r="MGG16" s="3" t="s">
        <v>76</v>
      </c>
      <c r="MGH16" s="3" t="s">
        <v>77</v>
      </c>
      <c r="MGI16" s="3" t="s">
        <v>76</v>
      </c>
      <c r="MGJ16" s="3" t="s">
        <v>77</v>
      </c>
      <c r="MGK16" s="3" t="s">
        <v>76</v>
      </c>
      <c r="MGL16" s="3" t="s">
        <v>77</v>
      </c>
      <c r="MGM16" s="3" t="s">
        <v>76</v>
      </c>
      <c r="MGN16" s="3" t="s">
        <v>77</v>
      </c>
      <c r="MGO16" s="3" t="s">
        <v>76</v>
      </c>
      <c r="MGP16" s="3" t="s">
        <v>77</v>
      </c>
      <c r="MGQ16" s="3" t="s">
        <v>76</v>
      </c>
      <c r="MGR16" s="3" t="s">
        <v>77</v>
      </c>
      <c r="MGS16" s="3" t="s">
        <v>76</v>
      </c>
      <c r="MGT16" s="3" t="s">
        <v>77</v>
      </c>
      <c r="MGU16" s="3" t="s">
        <v>76</v>
      </c>
      <c r="MGV16" s="3" t="s">
        <v>77</v>
      </c>
      <c r="MGW16" s="3" t="s">
        <v>76</v>
      </c>
      <c r="MGX16" s="3" t="s">
        <v>77</v>
      </c>
      <c r="MGY16" s="3" t="s">
        <v>76</v>
      </c>
      <c r="MGZ16" s="3" t="s">
        <v>77</v>
      </c>
      <c r="MHA16" s="3" t="s">
        <v>76</v>
      </c>
      <c r="MHB16" s="3" t="s">
        <v>77</v>
      </c>
      <c r="MHC16" s="3" t="s">
        <v>76</v>
      </c>
      <c r="MHD16" s="3" t="s">
        <v>77</v>
      </c>
      <c r="MHE16" s="3" t="s">
        <v>76</v>
      </c>
      <c r="MHF16" s="3" t="s">
        <v>77</v>
      </c>
      <c r="MHG16" s="3" t="s">
        <v>76</v>
      </c>
      <c r="MHH16" s="3" t="s">
        <v>77</v>
      </c>
      <c r="MHI16" s="3" t="s">
        <v>76</v>
      </c>
      <c r="MHJ16" s="3" t="s">
        <v>77</v>
      </c>
      <c r="MHK16" s="3" t="s">
        <v>76</v>
      </c>
      <c r="MHL16" s="3" t="s">
        <v>77</v>
      </c>
      <c r="MHM16" s="3" t="s">
        <v>76</v>
      </c>
      <c r="MHN16" s="3" t="s">
        <v>77</v>
      </c>
      <c r="MHO16" s="3" t="s">
        <v>76</v>
      </c>
      <c r="MHP16" s="3" t="s">
        <v>77</v>
      </c>
      <c r="MHQ16" s="3" t="s">
        <v>76</v>
      </c>
      <c r="MHR16" s="3" t="s">
        <v>77</v>
      </c>
      <c r="MHS16" s="3" t="s">
        <v>76</v>
      </c>
      <c r="MHT16" s="3" t="s">
        <v>77</v>
      </c>
      <c r="MHU16" s="3" t="s">
        <v>76</v>
      </c>
      <c r="MHV16" s="3" t="s">
        <v>77</v>
      </c>
      <c r="MHW16" s="3" t="s">
        <v>76</v>
      </c>
      <c r="MHX16" s="3" t="s">
        <v>77</v>
      </c>
      <c r="MHY16" s="3" t="s">
        <v>76</v>
      </c>
      <c r="MHZ16" s="3" t="s">
        <v>77</v>
      </c>
      <c r="MIA16" s="3" t="s">
        <v>76</v>
      </c>
      <c r="MIB16" s="3" t="s">
        <v>77</v>
      </c>
      <c r="MIC16" s="3" t="s">
        <v>76</v>
      </c>
      <c r="MID16" s="3" t="s">
        <v>77</v>
      </c>
      <c r="MIE16" s="3" t="s">
        <v>76</v>
      </c>
      <c r="MIF16" s="3" t="s">
        <v>77</v>
      </c>
      <c r="MIG16" s="3" t="s">
        <v>76</v>
      </c>
      <c r="MIH16" s="3" t="s">
        <v>77</v>
      </c>
      <c r="MII16" s="3" t="s">
        <v>76</v>
      </c>
      <c r="MIJ16" s="3" t="s">
        <v>77</v>
      </c>
      <c r="MIK16" s="3" t="s">
        <v>76</v>
      </c>
      <c r="MIL16" s="3" t="s">
        <v>77</v>
      </c>
      <c r="MIM16" s="3" t="s">
        <v>76</v>
      </c>
      <c r="MIN16" s="3" t="s">
        <v>77</v>
      </c>
      <c r="MIO16" s="3" t="s">
        <v>76</v>
      </c>
      <c r="MIP16" s="3" t="s">
        <v>77</v>
      </c>
      <c r="MIQ16" s="3" t="s">
        <v>76</v>
      </c>
      <c r="MIR16" s="3" t="s">
        <v>77</v>
      </c>
      <c r="MIS16" s="3" t="s">
        <v>76</v>
      </c>
      <c r="MIT16" s="3" t="s">
        <v>77</v>
      </c>
      <c r="MIU16" s="3" t="s">
        <v>76</v>
      </c>
      <c r="MIV16" s="3" t="s">
        <v>77</v>
      </c>
      <c r="MIW16" s="3" t="s">
        <v>76</v>
      </c>
      <c r="MIX16" s="3" t="s">
        <v>77</v>
      </c>
      <c r="MIY16" s="3" t="s">
        <v>76</v>
      </c>
      <c r="MIZ16" s="3" t="s">
        <v>77</v>
      </c>
      <c r="MJA16" s="3" t="s">
        <v>76</v>
      </c>
      <c r="MJB16" s="3" t="s">
        <v>77</v>
      </c>
      <c r="MJC16" s="3" t="s">
        <v>76</v>
      </c>
      <c r="MJD16" s="3" t="s">
        <v>77</v>
      </c>
      <c r="MJE16" s="3" t="s">
        <v>76</v>
      </c>
      <c r="MJF16" s="3" t="s">
        <v>77</v>
      </c>
      <c r="MJG16" s="3" t="s">
        <v>76</v>
      </c>
      <c r="MJH16" s="3" t="s">
        <v>77</v>
      </c>
      <c r="MJI16" s="3" t="s">
        <v>76</v>
      </c>
      <c r="MJJ16" s="3" t="s">
        <v>77</v>
      </c>
      <c r="MJK16" s="3" t="s">
        <v>76</v>
      </c>
      <c r="MJL16" s="3" t="s">
        <v>77</v>
      </c>
      <c r="MJM16" s="3" t="s">
        <v>76</v>
      </c>
      <c r="MJN16" s="3" t="s">
        <v>77</v>
      </c>
      <c r="MJO16" s="3" t="s">
        <v>76</v>
      </c>
      <c r="MJP16" s="3" t="s">
        <v>77</v>
      </c>
      <c r="MJQ16" s="3" t="s">
        <v>76</v>
      </c>
      <c r="MJR16" s="3" t="s">
        <v>77</v>
      </c>
      <c r="MJS16" s="3" t="s">
        <v>76</v>
      </c>
      <c r="MJT16" s="3" t="s">
        <v>77</v>
      </c>
      <c r="MJU16" s="3" t="s">
        <v>76</v>
      </c>
      <c r="MJV16" s="3" t="s">
        <v>77</v>
      </c>
      <c r="MJW16" s="3" t="s">
        <v>76</v>
      </c>
      <c r="MJX16" s="3" t="s">
        <v>77</v>
      </c>
      <c r="MJY16" s="3" t="s">
        <v>76</v>
      </c>
      <c r="MJZ16" s="3" t="s">
        <v>77</v>
      </c>
      <c r="MKA16" s="3" t="s">
        <v>76</v>
      </c>
      <c r="MKB16" s="3" t="s">
        <v>77</v>
      </c>
      <c r="MKC16" s="3" t="s">
        <v>76</v>
      </c>
      <c r="MKD16" s="3" t="s">
        <v>77</v>
      </c>
      <c r="MKE16" s="3" t="s">
        <v>76</v>
      </c>
      <c r="MKF16" s="3" t="s">
        <v>77</v>
      </c>
      <c r="MKG16" s="3" t="s">
        <v>76</v>
      </c>
      <c r="MKH16" s="3" t="s">
        <v>77</v>
      </c>
      <c r="MKI16" s="3" t="s">
        <v>76</v>
      </c>
      <c r="MKJ16" s="3" t="s">
        <v>77</v>
      </c>
      <c r="MKK16" s="3" t="s">
        <v>76</v>
      </c>
      <c r="MKL16" s="3" t="s">
        <v>77</v>
      </c>
      <c r="MKM16" s="3" t="s">
        <v>76</v>
      </c>
      <c r="MKN16" s="3" t="s">
        <v>77</v>
      </c>
      <c r="MKO16" s="3" t="s">
        <v>76</v>
      </c>
      <c r="MKP16" s="3" t="s">
        <v>77</v>
      </c>
      <c r="MKQ16" s="3" t="s">
        <v>76</v>
      </c>
      <c r="MKR16" s="3" t="s">
        <v>77</v>
      </c>
      <c r="MKS16" s="3" t="s">
        <v>76</v>
      </c>
      <c r="MKT16" s="3" t="s">
        <v>77</v>
      </c>
      <c r="MKU16" s="3" t="s">
        <v>76</v>
      </c>
      <c r="MKV16" s="3" t="s">
        <v>77</v>
      </c>
      <c r="MKW16" s="3" t="s">
        <v>76</v>
      </c>
      <c r="MKX16" s="3" t="s">
        <v>77</v>
      </c>
      <c r="MKY16" s="3" t="s">
        <v>76</v>
      </c>
      <c r="MKZ16" s="3" t="s">
        <v>77</v>
      </c>
      <c r="MLA16" s="3" t="s">
        <v>76</v>
      </c>
      <c r="MLB16" s="3" t="s">
        <v>77</v>
      </c>
      <c r="MLC16" s="3" t="s">
        <v>76</v>
      </c>
      <c r="MLD16" s="3" t="s">
        <v>77</v>
      </c>
      <c r="MLE16" s="3" t="s">
        <v>76</v>
      </c>
      <c r="MLF16" s="3" t="s">
        <v>77</v>
      </c>
      <c r="MLG16" s="3" t="s">
        <v>76</v>
      </c>
      <c r="MLH16" s="3" t="s">
        <v>77</v>
      </c>
      <c r="MLI16" s="3" t="s">
        <v>76</v>
      </c>
      <c r="MLJ16" s="3" t="s">
        <v>77</v>
      </c>
      <c r="MLK16" s="3" t="s">
        <v>76</v>
      </c>
      <c r="MLL16" s="3" t="s">
        <v>77</v>
      </c>
      <c r="MLM16" s="3" t="s">
        <v>76</v>
      </c>
      <c r="MLN16" s="3" t="s">
        <v>77</v>
      </c>
      <c r="MLO16" s="3" t="s">
        <v>76</v>
      </c>
      <c r="MLP16" s="3" t="s">
        <v>77</v>
      </c>
      <c r="MLQ16" s="3" t="s">
        <v>76</v>
      </c>
      <c r="MLR16" s="3" t="s">
        <v>77</v>
      </c>
      <c r="MLS16" s="3" t="s">
        <v>76</v>
      </c>
      <c r="MLT16" s="3" t="s">
        <v>77</v>
      </c>
      <c r="MLU16" s="3" t="s">
        <v>76</v>
      </c>
      <c r="MLV16" s="3" t="s">
        <v>77</v>
      </c>
      <c r="MLW16" s="3" t="s">
        <v>76</v>
      </c>
      <c r="MLX16" s="3" t="s">
        <v>77</v>
      </c>
      <c r="MLY16" s="3" t="s">
        <v>76</v>
      </c>
      <c r="MLZ16" s="3" t="s">
        <v>77</v>
      </c>
      <c r="MMA16" s="3" t="s">
        <v>76</v>
      </c>
      <c r="MMB16" s="3" t="s">
        <v>77</v>
      </c>
      <c r="MMC16" s="3" t="s">
        <v>76</v>
      </c>
      <c r="MMD16" s="3" t="s">
        <v>77</v>
      </c>
      <c r="MME16" s="3" t="s">
        <v>76</v>
      </c>
      <c r="MMF16" s="3" t="s">
        <v>77</v>
      </c>
      <c r="MMG16" s="3" t="s">
        <v>76</v>
      </c>
      <c r="MMH16" s="3" t="s">
        <v>77</v>
      </c>
      <c r="MMI16" s="3" t="s">
        <v>76</v>
      </c>
      <c r="MMJ16" s="3" t="s">
        <v>77</v>
      </c>
      <c r="MMK16" s="3" t="s">
        <v>76</v>
      </c>
      <c r="MML16" s="3" t="s">
        <v>77</v>
      </c>
      <c r="MMM16" s="3" t="s">
        <v>76</v>
      </c>
      <c r="MMN16" s="3" t="s">
        <v>77</v>
      </c>
      <c r="MMO16" s="3" t="s">
        <v>76</v>
      </c>
      <c r="MMP16" s="3" t="s">
        <v>77</v>
      </c>
      <c r="MMQ16" s="3" t="s">
        <v>76</v>
      </c>
      <c r="MMR16" s="3" t="s">
        <v>77</v>
      </c>
      <c r="MMS16" s="3" t="s">
        <v>76</v>
      </c>
      <c r="MMT16" s="3" t="s">
        <v>77</v>
      </c>
      <c r="MMU16" s="3" t="s">
        <v>76</v>
      </c>
      <c r="MMV16" s="3" t="s">
        <v>77</v>
      </c>
      <c r="MMW16" s="3" t="s">
        <v>76</v>
      </c>
      <c r="MMX16" s="3" t="s">
        <v>77</v>
      </c>
      <c r="MMY16" s="3" t="s">
        <v>76</v>
      </c>
      <c r="MMZ16" s="3" t="s">
        <v>77</v>
      </c>
      <c r="MNA16" s="3" t="s">
        <v>76</v>
      </c>
      <c r="MNB16" s="3" t="s">
        <v>77</v>
      </c>
      <c r="MNC16" s="3" t="s">
        <v>76</v>
      </c>
      <c r="MND16" s="3" t="s">
        <v>77</v>
      </c>
      <c r="MNE16" s="3" t="s">
        <v>76</v>
      </c>
      <c r="MNF16" s="3" t="s">
        <v>77</v>
      </c>
      <c r="MNG16" s="3" t="s">
        <v>76</v>
      </c>
      <c r="MNH16" s="3" t="s">
        <v>77</v>
      </c>
      <c r="MNI16" s="3" t="s">
        <v>76</v>
      </c>
      <c r="MNJ16" s="3" t="s">
        <v>77</v>
      </c>
      <c r="MNK16" s="3" t="s">
        <v>76</v>
      </c>
      <c r="MNL16" s="3" t="s">
        <v>77</v>
      </c>
      <c r="MNM16" s="3" t="s">
        <v>76</v>
      </c>
      <c r="MNN16" s="3" t="s">
        <v>77</v>
      </c>
      <c r="MNO16" s="3" t="s">
        <v>76</v>
      </c>
      <c r="MNP16" s="3" t="s">
        <v>77</v>
      </c>
      <c r="MNQ16" s="3" t="s">
        <v>76</v>
      </c>
      <c r="MNR16" s="3" t="s">
        <v>77</v>
      </c>
      <c r="MNS16" s="3" t="s">
        <v>76</v>
      </c>
      <c r="MNT16" s="3" t="s">
        <v>77</v>
      </c>
      <c r="MNU16" s="3" t="s">
        <v>76</v>
      </c>
      <c r="MNV16" s="3" t="s">
        <v>77</v>
      </c>
      <c r="MNW16" s="3" t="s">
        <v>76</v>
      </c>
      <c r="MNX16" s="3" t="s">
        <v>77</v>
      </c>
      <c r="MNY16" s="3" t="s">
        <v>76</v>
      </c>
      <c r="MNZ16" s="3" t="s">
        <v>77</v>
      </c>
      <c r="MOA16" s="3" t="s">
        <v>76</v>
      </c>
      <c r="MOB16" s="3" t="s">
        <v>77</v>
      </c>
      <c r="MOC16" s="3" t="s">
        <v>76</v>
      </c>
      <c r="MOD16" s="3" t="s">
        <v>77</v>
      </c>
      <c r="MOE16" s="3" t="s">
        <v>76</v>
      </c>
      <c r="MOF16" s="3" t="s">
        <v>77</v>
      </c>
      <c r="MOG16" s="3" t="s">
        <v>76</v>
      </c>
      <c r="MOH16" s="3" t="s">
        <v>77</v>
      </c>
      <c r="MOI16" s="3" t="s">
        <v>76</v>
      </c>
      <c r="MOJ16" s="3" t="s">
        <v>77</v>
      </c>
      <c r="MOK16" s="3" t="s">
        <v>76</v>
      </c>
      <c r="MOL16" s="3" t="s">
        <v>77</v>
      </c>
      <c r="MOM16" s="3" t="s">
        <v>76</v>
      </c>
      <c r="MON16" s="3" t="s">
        <v>77</v>
      </c>
      <c r="MOO16" s="3" t="s">
        <v>76</v>
      </c>
      <c r="MOP16" s="3" t="s">
        <v>77</v>
      </c>
      <c r="MOQ16" s="3" t="s">
        <v>76</v>
      </c>
      <c r="MOR16" s="3" t="s">
        <v>77</v>
      </c>
      <c r="MOS16" s="3" t="s">
        <v>76</v>
      </c>
      <c r="MOT16" s="3" t="s">
        <v>77</v>
      </c>
      <c r="MOU16" s="3" t="s">
        <v>76</v>
      </c>
      <c r="MOV16" s="3" t="s">
        <v>77</v>
      </c>
      <c r="MOW16" s="3" t="s">
        <v>76</v>
      </c>
      <c r="MOX16" s="3" t="s">
        <v>77</v>
      </c>
      <c r="MOY16" s="3" t="s">
        <v>76</v>
      </c>
      <c r="MOZ16" s="3" t="s">
        <v>77</v>
      </c>
      <c r="MPA16" s="3" t="s">
        <v>76</v>
      </c>
      <c r="MPB16" s="3" t="s">
        <v>77</v>
      </c>
      <c r="MPC16" s="3" t="s">
        <v>76</v>
      </c>
      <c r="MPD16" s="3" t="s">
        <v>77</v>
      </c>
      <c r="MPE16" s="3" t="s">
        <v>76</v>
      </c>
      <c r="MPF16" s="3" t="s">
        <v>77</v>
      </c>
      <c r="MPG16" s="3" t="s">
        <v>76</v>
      </c>
      <c r="MPH16" s="3" t="s">
        <v>77</v>
      </c>
      <c r="MPI16" s="3" t="s">
        <v>76</v>
      </c>
      <c r="MPJ16" s="3" t="s">
        <v>77</v>
      </c>
      <c r="MPK16" s="3" t="s">
        <v>76</v>
      </c>
      <c r="MPL16" s="3" t="s">
        <v>77</v>
      </c>
      <c r="MPM16" s="3" t="s">
        <v>76</v>
      </c>
      <c r="MPN16" s="3" t="s">
        <v>77</v>
      </c>
      <c r="MPO16" s="3" t="s">
        <v>76</v>
      </c>
      <c r="MPP16" s="3" t="s">
        <v>77</v>
      </c>
      <c r="MPQ16" s="3" t="s">
        <v>76</v>
      </c>
      <c r="MPR16" s="3" t="s">
        <v>77</v>
      </c>
      <c r="MPS16" s="3" t="s">
        <v>76</v>
      </c>
      <c r="MPT16" s="3" t="s">
        <v>77</v>
      </c>
      <c r="MPU16" s="3" t="s">
        <v>76</v>
      </c>
      <c r="MPV16" s="3" t="s">
        <v>77</v>
      </c>
      <c r="MPW16" s="3" t="s">
        <v>76</v>
      </c>
      <c r="MPX16" s="3" t="s">
        <v>77</v>
      </c>
      <c r="MPY16" s="3" t="s">
        <v>76</v>
      </c>
      <c r="MPZ16" s="3" t="s">
        <v>77</v>
      </c>
      <c r="MQA16" s="3" t="s">
        <v>76</v>
      </c>
      <c r="MQB16" s="3" t="s">
        <v>77</v>
      </c>
      <c r="MQC16" s="3" t="s">
        <v>76</v>
      </c>
      <c r="MQD16" s="3" t="s">
        <v>77</v>
      </c>
      <c r="MQE16" s="3" t="s">
        <v>76</v>
      </c>
      <c r="MQF16" s="3" t="s">
        <v>77</v>
      </c>
      <c r="MQG16" s="3" t="s">
        <v>76</v>
      </c>
      <c r="MQH16" s="3" t="s">
        <v>77</v>
      </c>
      <c r="MQI16" s="3" t="s">
        <v>76</v>
      </c>
      <c r="MQJ16" s="3" t="s">
        <v>77</v>
      </c>
      <c r="MQK16" s="3" t="s">
        <v>76</v>
      </c>
      <c r="MQL16" s="3" t="s">
        <v>77</v>
      </c>
      <c r="MQM16" s="3" t="s">
        <v>76</v>
      </c>
      <c r="MQN16" s="3" t="s">
        <v>77</v>
      </c>
      <c r="MQO16" s="3" t="s">
        <v>76</v>
      </c>
      <c r="MQP16" s="3" t="s">
        <v>77</v>
      </c>
      <c r="MQQ16" s="3" t="s">
        <v>76</v>
      </c>
      <c r="MQR16" s="3" t="s">
        <v>77</v>
      </c>
      <c r="MQS16" s="3" t="s">
        <v>76</v>
      </c>
      <c r="MQT16" s="3" t="s">
        <v>77</v>
      </c>
      <c r="MQU16" s="3" t="s">
        <v>76</v>
      </c>
      <c r="MQV16" s="3" t="s">
        <v>77</v>
      </c>
      <c r="MQW16" s="3" t="s">
        <v>76</v>
      </c>
      <c r="MQX16" s="3" t="s">
        <v>77</v>
      </c>
      <c r="MQY16" s="3" t="s">
        <v>76</v>
      </c>
      <c r="MQZ16" s="3" t="s">
        <v>77</v>
      </c>
      <c r="MRA16" s="3" t="s">
        <v>76</v>
      </c>
      <c r="MRB16" s="3" t="s">
        <v>77</v>
      </c>
      <c r="MRC16" s="3" t="s">
        <v>76</v>
      </c>
      <c r="MRD16" s="3" t="s">
        <v>77</v>
      </c>
      <c r="MRE16" s="3" t="s">
        <v>76</v>
      </c>
      <c r="MRF16" s="3" t="s">
        <v>77</v>
      </c>
      <c r="MRG16" s="3" t="s">
        <v>76</v>
      </c>
      <c r="MRH16" s="3" t="s">
        <v>77</v>
      </c>
      <c r="MRI16" s="3" t="s">
        <v>76</v>
      </c>
      <c r="MRJ16" s="3" t="s">
        <v>77</v>
      </c>
      <c r="MRK16" s="3" t="s">
        <v>76</v>
      </c>
      <c r="MRL16" s="3" t="s">
        <v>77</v>
      </c>
      <c r="MRM16" s="3" t="s">
        <v>76</v>
      </c>
      <c r="MRN16" s="3" t="s">
        <v>77</v>
      </c>
      <c r="MRO16" s="3" t="s">
        <v>76</v>
      </c>
      <c r="MRP16" s="3" t="s">
        <v>77</v>
      </c>
      <c r="MRQ16" s="3" t="s">
        <v>76</v>
      </c>
      <c r="MRR16" s="3" t="s">
        <v>77</v>
      </c>
      <c r="MRS16" s="3" t="s">
        <v>76</v>
      </c>
      <c r="MRT16" s="3" t="s">
        <v>77</v>
      </c>
      <c r="MRU16" s="3" t="s">
        <v>76</v>
      </c>
      <c r="MRV16" s="3" t="s">
        <v>77</v>
      </c>
      <c r="MRW16" s="3" t="s">
        <v>76</v>
      </c>
      <c r="MRX16" s="3" t="s">
        <v>77</v>
      </c>
      <c r="MRY16" s="3" t="s">
        <v>76</v>
      </c>
      <c r="MRZ16" s="3" t="s">
        <v>77</v>
      </c>
      <c r="MSA16" s="3" t="s">
        <v>76</v>
      </c>
      <c r="MSB16" s="3" t="s">
        <v>77</v>
      </c>
      <c r="MSC16" s="3" t="s">
        <v>76</v>
      </c>
      <c r="MSD16" s="3" t="s">
        <v>77</v>
      </c>
      <c r="MSE16" s="3" t="s">
        <v>76</v>
      </c>
      <c r="MSF16" s="3" t="s">
        <v>77</v>
      </c>
      <c r="MSG16" s="3" t="s">
        <v>76</v>
      </c>
      <c r="MSH16" s="3" t="s">
        <v>77</v>
      </c>
      <c r="MSI16" s="3" t="s">
        <v>76</v>
      </c>
      <c r="MSJ16" s="3" t="s">
        <v>77</v>
      </c>
      <c r="MSK16" s="3" t="s">
        <v>76</v>
      </c>
      <c r="MSL16" s="3" t="s">
        <v>77</v>
      </c>
      <c r="MSM16" s="3" t="s">
        <v>76</v>
      </c>
      <c r="MSN16" s="3" t="s">
        <v>77</v>
      </c>
      <c r="MSO16" s="3" t="s">
        <v>76</v>
      </c>
      <c r="MSP16" s="3" t="s">
        <v>77</v>
      </c>
      <c r="MSQ16" s="3" t="s">
        <v>76</v>
      </c>
      <c r="MSR16" s="3" t="s">
        <v>77</v>
      </c>
      <c r="MSS16" s="3" t="s">
        <v>76</v>
      </c>
      <c r="MST16" s="3" t="s">
        <v>77</v>
      </c>
      <c r="MSU16" s="3" t="s">
        <v>76</v>
      </c>
      <c r="MSV16" s="3" t="s">
        <v>77</v>
      </c>
      <c r="MSW16" s="3" t="s">
        <v>76</v>
      </c>
      <c r="MSX16" s="3" t="s">
        <v>77</v>
      </c>
      <c r="MSY16" s="3" t="s">
        <v>76</v>
      </c>
      <c r="MSZ16" s="3" t="s">
        <v>77</v>
      </c>
      <c r="MTA16" s="3" t="s">
        <v>76</v>
      </c>
      <c r="MTB16" s="3" t="s">
        <v>77</v>
      </c>
      <c r="MTC16" s="3" t="s">
        <v>76</v>
      </c>
      <c r="MTD16" s="3" t="s">
        <v>77</v>
      </c>
      <c r="MTE16" s="3" t="s">
        <v>76</v>
      </c>
      <c r="MTF16" s="3" t="s">
        <v>77</v>
      </c>
      <c r="MTG16" s="3" t="s">
        <v>76</v>
      </c>
      <c r="MTH16" s="3" t="s">
        <v>77</v>
      </c>
      <c r="MTI16" s="3" t="s">
        <v>76</v>
      </c>
      <c r="MTJ16" s="3" t="s">
        <v>77</v>
      </c>
      <c r="MTK16" s="3" t="s">
        <v>76</v>
      </c>
      <c r="MTL16" s="3" t="s">
        <v>77</v>
      </c>
      <c r="MTM16" s="3" t="s">
        <v>76</v>
      </c>
      <c r="MTN16" s="3" t="s">
        <v>77</v>
      </c>
      <c r="MTO16" s="3" t="s">
        <v>76</v>
      </c>
      <c r="MTP16" s="3" t="s">
        <v>77</v>
      </c>
      <c r="MTQ16" s="3" t="s">
        <v>76</v>
      </c>
      <c r="MTR16" s="3" t="s">
        <v>77</v>
      </c>
      <c r="MTS16" s="3" t="s">
        <v>76</v>
      </c>
      <c r="MTT16" s="3" t="s">
        <v>77</v>
      </c>
      <c r="MTU16" s="3" t="s">
        <v>76</v>
      </c>
      <c r="MTV16" s="3" t="s">
        <v>77</v>
      </c>
      <c r="MTW16" s="3" t="s">
        <v>76</v>
      </c>
      <c r="MTX16" s="3" t="s">
        <v>77</v>
      </c>
      <c r="MTY16" s="3" t="s">
        <v>76</v>
      </c>
      <c r="MTZ16" s="3" t="s">
        <v>77</v>
      </c>
      <c r="MUA16" s="3" t="s">
        <v>76</v>
      </c>
      <c r="MUB16" s="3" t="s">
        <v>77</v>
      </c>
      <c r="MUC16" s="3" t="s">
        <v>76</v>
      </c>
      <c r="MUD16" s="3" t="s">
        <v>77</v>
      </c>
      <c r="MUE16" s="3" t="s">
        <v>76</v>
      </c>
      <c r="MUF16" s="3" t="s">
        <v>77</v>
      </c>
      <c r="MUG16" s="3" t="s">
        <v>76</v>
      </c>
      <c r="MUH16" s="3" t="s">
        <v>77</v>
      </c>
      <c r="MUI16" s="3" t="s">
        <v>76</v>
      </c>
      <c r="MUJ16" s="3" t="s">
        <v>77</v>
      </c>
      <c r="MUK16" s="3" t="s">
        <v>76</v>
      </c>
      <c r="MUL16" s="3" t="s">
        <v>77</v>
      </c>
      <c r="MUM16" s="3" t="s">
        <v>76</v>
      </c>
      <c r="MUN16" s="3" t="s">
        <v>77</v>
      </c>
      <c r="MUO16" s="3" t="s">
        <v>76</v>
      </c>
      <c r="MUP16" s="3" t="s">
        <v>77</v>
      </c>
      <c r="MUQ16" s="3" t="s">
        <v>76</v>
      </c>
      <c r="MUR16" s="3" t="s">
        <v>77</v>
      </c>
      <c r="MUS16" s="3" t="s">
        <v>76</v>
      </c>
      <c r="MUT16" s="3" t="s">
        <v>77</v>
      </c>
      <c r="MUU16" s="3" t="s">
        <v>76</v>
      </c>
      <c r="MUV16" s="3" t="s">
        <v>77</v>
      </c>
      <c r="MUW16" s="3" t="s">
        <v>76</v>
      </c>
      <c r="MUX16" s="3" t="s">
        <v>77</v>
      </c>
      <c r="MUY16" s="3" t="s">
        <v>76</v>
      </c>
      <c r="MUZ16" s="3" t="s">
        <v>77</v>
      </c>
      <c r="MVA16" s="3" t="s">
        <v>76</v>
      </c>
      <c r="MVB16" s="3" t="s">
        <v>77</v>
      </c>
      <c r="MVC16" s="3" t="s">
        <v>76</v>
      </c>
      <c r="MVD16" s="3" t="s">
        <v>77</v>
      </c>
      <c r="MVE16" s="3" t="s">
        <v>76</v>
      </c>
      <c r="MVF16" s="3" t="s">
        <v>77</v>
      </c>
      <c r="MVG16" s="3" t="s">
        <v>76</v>
      </c>
      <c r="MVH16" s="3" t="s">
        <v>77</v>
      </c>
      <c r="MVI16" s="3" t="s">
        <v>76</v>
      </c>
      <c r="MVJ16" s="3" t="s">
        <v>77</v>
      </c>
      <c r="MVK16" s="3" t="s">
        <v>76</v>
      </c>
      <c r="MVL16" s="3" t="s">
        <v>77</v>
      </c>
      <c r="MVM16" s="3" t="s">
        <v>76</v>
      </c>
      <c r="MVN16" s="3" t="s">
        <v>77</v>
      </c>
      <c r="MVO16" s="3" t="s">
        <v>76</v>
      </c>
      <c r="MVP16" s="3" t="s">
        <v>77</v>
      </c>
      <c r="MVQ16" s="3" t="s">
        <v>76</v>
      </c>
      <c r="MVR16" s="3" t="s">
        <v>77</v>
      </c>
      <c r="MVS16" s="3" t="s">
        <v>76</v>
      </c>
      <c r="MVT16" s="3" t="s">
        <v>77</v>
      </c>
      <c r="MVU16" s="3" t="s">
        <v>76</v>
      </c>
      <c r="MVV16" s="3" t="s">
        <v>77</v>
      </c>
      <c r="MVW16" s="3" t="s">
        <v>76</v>
      </c>
      <c r="MVX16" s="3" t="s">
        <v>77</v>
      </c>
      <c r="MVY16" s="3" t="s">
        <v>76</v>
      </c>
      <c r="MVZ16" s="3" t="s">
        <v>77</v>
      </c>
      <c r="MWA16" s="3" t="s">
        <v>76</v>
      </c>
      <c r="MWB16" s="3" t="s">
        <v>77</v>
      </c>
      <c r="MWC16" s="3" t="s">
        <v>76</v>
      </c>
      <c r="MWD16" s="3" t="s">
        <v>77</v>
      </c>
      <c r="MWE16" s="3" t="s">
        <v>76</v>
      </c>
      <c r="MWF16" s="3" t="s">
        <v>77</v>
      </c>
      <c r="MWG16" s="3" t="s">
        <v>76</v>
      </c>
      <c r="MWH16" s="3" t="s">
        <v>77</v>
      </c>
      <c r="MWI16" s="3" t="s">
        <v>76</v>
      </c>
      <c r="MWJ16" s="3" t="s">
        <v>77</v>
      </c>
      <c r="MWK16" s="3" t="s">
        <v>76</v>
      </c>
      <c r="MWL16" s="3" t="s">
        <v>77</v>
      </c>
      <c r="MWM16" s="3" t="s">
        <v>76</v>
      </c>
      <c r="MWN16" s="3" t="s">
        <v>77</v>
      </c>
      <c r="MWO16" s="3" t="s">
        <v>76</v>
      </c>
      <c r="MWP16" s="3" t="s">
        <v>77</v>
      </c>
      <c r="MWQ16" s="3" t="s">
        <v>76</v>
      </c>
      <c r="MWR16" s="3" t="s">
        <v>77</v>
      </c>
      <c r="MWS16" s="3" t="s">
        <v>76</v>
      </c>
      <c r="MWT16" s="3" t="s">
        <v>77</v>
      </c>
      <c r="MWU16" s="3" t="s">
        <v>76</v>
      </c>
      <c r="MWV16" s="3" t="s">
        <v>77</v>
      </c>
      <c r="MWW16" s="3" t="s">
        <v>76</v>
      </c>
      <c r="MWX16" s="3" t="s">
        <v>77</v>
      </c>
      <c r="MWY16" s="3" t="s">
        <v>76</v>
      </c>
      <c r="MWZ16" s="3" t="s">
        <v>77</v>
      </c>
      <c r="MXA16" s="3" t="s">
        <v>76</v>
      </c>
      <c r="MXB16" s="3" t="s">
        <v>77</v>
      </c>
      <c r="MXC16" s="3" t="s">
        <v>76</v>
      </c>
      <c r="MXD16" s="3" t="s">
        <v>77</v>
      </c>
      <c r="MXE16" s="3" t="s">
        <v>76</v>
      </c>
      <c r="MXF16" s="3" t="s">
        <v>77</v>
      </c>
      <c r="MXG16" s="3" t="s">
        <v>76</v>
      </c>
      <c r="MXH16" s="3" t="s">
        <v>77</v>
      </c>
      <c r="MXI16" s="3" t="s">
        <v>76</v>
      </c>
      <c r="MXJ16" s="3" t="s">
        <v>77</v>
      </c>
      <c r="MXK16" s="3" t="s">
        <v>76</v>
      </c>
      <c r="MXL16" s="3" t="s">
        <v>77</v>
      </c>
      <c r="MXM16" s="3" t="s">
        <v>76</v>
      </c>
      <c r="MXN16" s="3" t="s">
        <v>77</v>
      </c>
      <c r="MXO16" s="3" t="s">
        <v>76</v>
      </c>
      <c r="MXP16" s="3" t="s">
        <v>77</v>
      </c>
      <c r="MXQ16" s="3" t="s">
        <v>76</v>
      </c>
      <c r="MXR16" s="3" t="s">
        <v>77</v>
      </c>
      <c r="MXS16" s="3" t="s">
        <v>76</v>
      </c>
      <c r="MXT16" s="3" t="s">
        <v>77</v>
      </c>
      <c r="MXU16" s="3" t="s">
        <v>76</v>
      </c>
      <c r="MXV16" s="3" t="s">
        <v>77</v>
      </c>
      <c r="MXW16" s="3" t="s">
        <v>76</v>
      </c>
      <c r="MXX16" s="3" t="s">
        <v>77</v>
      </c>
      <c r="MXY16" s="3" t="s">
        <v>76</v>
      </c>
      <c r="MXZ16" s="3" t="s">
        <v>77</v>
      </c>
      <c r="MYA16" s="3" t="s">
        <v>76</v>
      </c>
      <c r="MYB16" s="3" t="s">
        <v>77</v>
      </c>
      <c r="MYC16" s="3" t="s">
        <v>76</v>
      </c>
      <c r="MYD16" s="3" t="s">
        <v>77</v>
      </c>
      <c r="MYE16" s="3" t="s">
        <v>76</v>
      </c>
      <c r="MYF16" s="3" t="s">
        <v>77</v>
      </c>
      <c r="MYG16" s="3" t="s">
        <v>76</v>
      </c>
      <c r="MYH16" s="3" t="s">
        <v>77</v>
      </c>
      <c r="MYI16" s="3" t="s">
        <v>76</v>
      </c>
      <c r="MYJ16" s="3" t="s">
        <v>77</v>
      </c>
      <c r="MYK16" s="3" t="s">
        <v>76</v>
      </c>
      <c r="MYL16" s="3" t="s">
        <v>77</v>
      </c>
      <c r="MYM16" s="3" t="s">
        <v>76</v>
      </c>
      <c r="MYN16" s="3" t="s">
        <v>77</v>
      </c>
      <c r="MYO16" s="3" t="s">
        <v>76</v>
      </c>
      <c r="MYP16" s="3" t="s">
        <v>77</v>
      </c>
      <c r="MYQ16" s="3" t="s">
        <v>76</v>
      </c>
      <c r="MYR16" s="3" t="s">
        <v>77</v>
      </c>
      <c r="MYS16" s="3" t="s">
        <v>76</v>
      </c>
      <c r="MYT16" s="3" t="s">
        <v>77</v>
      </c>
      <c r="MYU16" s="3" t="s">
        <v>76</v>
      </c>
      <c r="MYV16" s="3" t="s">
        <v>77</v>
      </c>
      <c r="MYW16" s="3" t="s">
        <v>76</v>
      </c>
      <c r="MYX16" s="3" t="s">
        <v>77</v>
      </c>
      <c r="MYY16" s="3" t="s">
        <v>76</v>
      </c>
      <c r="MYZ16" s="3" t="s">
        <v>77</v>
      </c>
      <c r="MZA16" s="3" t="s">
        <v>76</v>
      </c>
      <c r="MZB16" s="3" t="s">
        <v>77</v>
      </c>
      <c r="MZC16" s="3" t="s">
        <v>76</v>
      </c>
      <c r="MZD16" s="3" t="s">
        <v>77</v>
      </c>
      <c r="MZE16" s="3" t="s">
        <v>76</v>
      </c>
      <c r="MZF16" s="3" t="s">
        <v>77</v>
      </c>
      <c r="MZG16" s="3" t="s">
        <v>76</v>
      </c>
      <c r="MZH16" s="3" t="s">
        <v>77</v>
      </c>
      <c r="MZI16" s="3" t="s">
        <v>76</v>
      </c>
      <c r="MZJ16" s="3" t="s">
        <v>77</v>
      </c>
      <c r="MZK16" s="3" t="s">
        <v>76</v>
      </c>
      <c r="MZL16" s="3" t="s">
        <v>77</v>
      </c>
      <c r="MZM16" s="3" t="s">
        <v>76</v>
      </c>
      <c r="MZN16" s="3" t="s">
        <v>77</v>
      </c>
      <c r="MZO16" s="3" t="s">
        <v>76</v>
      </c>
      <c r="MZP16" s="3" t="s">
        <v>77</v>
      </c>
      <c r="MZQ16" s="3" t="s">
        <v>76</v>
      </c>
      <c r="MZR16" s="3" t="s">
        <v>77</v>
      </c>
      <c r="MZS16" s="3" t="s">
        <v>76</v>
      </c>
      <c r="MZT16" s="3" t="s">
        <v>77</v>
      </c>
      <c r="MZU16" s="3" t="s">
        <v>76</v>
      </c>
      <c r="MZV16" s="3" t="s">
        <v>77</v>
      </c>
      <c r="MZW16" s="3" t="s">
        <v>76</v>
      </c>
      <c r="MZX16" s="3" t="s">
        <v>77</v>
      </c>
      <c r="MZY16" s="3" t="s">
        <v>76</v>
      </c>
      <c r="MZZ16" s="3" t="s">
        <v>77</v>
      </c>
      <c r="NAA16" s="3" t="s">
        <v>76</v>
      </c>
      <c r="NAB16" s="3" t="s">
        <v>77</v>
      </c>
      <c r="NAC16" s="3" t="s">
        <v>76</v>
      </c>
      <c r="NAD16" s="3" t="s">
        <v>77</v>
      </c>
      <c r="NAE16" s="3" t="s">
        <v>76</v>
      </c>
      <c r="NAF16" s="3" t="s">
        <v>77</v>
      </c>
      <c r="NAG16" s="3" t="s">
        <v>76</v>
      </c>
      <c r="NAH16" s="3" t="s">
        <v>77</v>
      </c>
      <c r="NAI16" s="3" t="s">
        <v>76</v>
      </c>
      <c r="NAJ16" s="3" t="s">
        <v>77</v>
      </c>
      <c r="NAK16" s="3" t="s">
        <v>76</v>
      </c>
      <c r="NAL16" s="3" t="s">
        <v>77</v>
      </c>
      <c r="NAM16" s="3" t="s">
        <v>76</v>
      </c>
      <c r="NAN16" s="3" t="s">
        <v>77</v>
      </c>
      <c r="NAO16" s="3" t="s">
        <v>76</v>
      </c>
      <c r="NAP16" s="3" t="s">
        <v>77</v>
      </c>
      <c r="NAQ16" s="3" t="s">
        <v>76</v>
      </c>
      <c r="NAR16" s="3" t="s">
        <v>77</v>
      </c>
      <c r="NAS16" s="3" t="s">
        <v>76</v>
      </c>
      <c r="NAT16" s="3" t="s">
        <v>77</v>
      </c>
      <c r="NAU16" s="3" t="s">
        <v>76</v>
      </c>
      <c r="NAV16" s="3" t="s">
        <v>77</v>
      </c>
      <c r="NAW16" s="3" t="s">
        <v>76</v>
      </c>
      <c r="NAX16" s="3" t="s">
        <v>77</v>
      </c>
      <c r="NAY16" s="3" t="s">
        <v>76</v>
      </c>
      <c r="NAZ16" s="3" t="s">
        <v>77</v>
      </c>
      <c r="NBA16" s="3" t="s">
        <v>76</v>
      </c>
      <c r="NBB16" s="3" t="s">
        <v>77</v>
      </c>
      <c r="NBC16" s="3" t="s">
        <v>76</v>
      </c>
      <c r="NBD16" s="3" t="s">
        <v>77</v>
      </c>
      <c r="NBE16" s="3" t="s">
        <v>76</v>
      </c>
      <c r="NBF16" s="3" t="s">
        <v>77</v>
      </c>
      <c r="NBG16" s="3" t="s">
        <v>76</v>
      </c>
      <c r="NBH16" s="3" t="s">
        <v>77</v>
      </c>
      <c r="NBI16" s="3" t="s">
        <v>76</v>
      </c>
      <c r="NBJ16" s="3" t="s">
        <v>77</v>
      </c>
      <c r="NBK16" s="3" t="s">
        <v>76</v>
      </c>
      <c r="NBL16" s="3" t="s">
        <v>77</v>
      </c>
      <c r="NBM16" s="3" t="s">
        <v>76</v>
      </c>
      <c r="NBN16" s="3" t="s">
        <v>77</v>
      </c>
      <c r="NBO16" s="3" t="s">
        <v>76</v>
      </c>
      <c r="NBP16" s="3" t="s">
        <v>77</v>
      </c>
      <c r="NBQ16" s="3" t="s">
        <v>76</v>
      </c>
      <c r="NBR16" s="3" t="s">
        <v>77</v>
      </c>
      <c r="NBS16" s="3" t="s">
        <v>76</v>
      </c>
      <c r="NBT16" s="3" t="s">
        <v>77</v>
      </c>
      <c r="NBU16" s="3" t="s">
        <v>76</v>
      </c>
      <c r="NBV16" s="3" t="s">
        <v>77</v>
      </c>
      <c r="NBW16" s="3" t="s">
        <v>76</v>
      </c>
      <c r="NBX16" s="3" t="s">
        <v>77</v>
      </c>
      <c r="NBY16" s="3" t="s">
        <v>76</v>
      </c>
      <c r="NBZ16" s="3" t="s">
        <v>77</v>
      </c>
      <c r="NCA16" s="3" t="s">
        <v>76</v>
      </c>
      <c r="NCB16" s="3" t="s">
        <v>77</v>
      </c>
      <c r="NCC16" s="3" t="s">
        <v>76</v>
      </c>
      <c r="NCD16" s="3" t="s">
        <v>77</v>
      </c>
      <c r="NCE16" s="3" t="s">
        <v>76</v>
      </c>
      <c r="NCF16" s="3" t="s">
        <v>77</v>
      </c>
      <c r="NCG16" s="3" t="s">
        <v>76</v>
      </c>
      <c r="NCH16" s="3" t="s">
        <v>77</v>
      </c>
      <c r="NCI16" s="3" t="s">
        <v>76</v>
      </c>
      <c r="NCJ16" s="3" t="s">
        <v>77</v>
      </c>
      <c r="NCK16" s="3" t="s">
        <v>76</v>
      </c>
      <c r="NCL16" s="3" t="s">
        <v>77</v>
      </c>
      <c r="NCM16" s="3" t="s">
        <v>76</v>
      </c>
      <c r="NCN16" s="3" t="s">
        <v>77</v>
      </c>
      <c r="NCO16" s="3" t="s">
        <v>76</v>
      </c>
      <c r="NCP16" s="3" t="s">
        <v>77</v>
      </c>
      <c r="NCQ16" s="3" t="s">
        <v>76</v>
      </c>
      <c r="NCR16" s="3" t="s">
        <v>77</v>
      </c>
      <c r="NCS16" s="3" t="s">
        <v>76</v>
      </c>
      <c r="NCT16" s="3" t="s">
        <v>77</v>
      </c>
      <c r="NCU16" s="3" t="s">
        <v>76</v>
      </c>
      <c r="NCV16" s="3" t="s">
        <v>77</v>
      </c>
      <c r="NCW16" s="3" t="s">
        <v>76</v>
      </c>
      <c r="NCX16" s="3" t="s">
        <v>77</v>
      </c>
      <c r="NCY16" s="3" t="s">
        <v>76</v>
      </c>
      <c r="NCZ16" s="3" t="s">
        <v>77</v>
      </c>
      <c r="NDA16" s="3" t="s">
        <v>76</v>
      </c>
      <c r="NDB16" s="3" t="s">
        <v>77</v>
      </c>
      <c r="NDC16" s="3" t="s">
        <v>76</v>
      </c>
      <c r="NDD16" s="3" t="s">
        <v>77</v>
      </c>
      <c r="NDE16" s="3" t="s">
        <v>76</v>
      </c>
      <c r="NDF16" s="3" t="s">
        <v>77</v>
      </c>
      <c r="NDG16" s="3" t="s">
        <v>76</v>
      </c>
      <c r="NDH16" s="3" t="s">
        <v>77</v>
      </c>
      <c r="NDI16" s="3" t="s">
        <v>76</v>
      </c>
      <c r="NDJ16" s="3" t="s">
        <v>77</v>
      </c>
      <c r="NDK16" s="3" t="s">
        <v>76</v>
      </c>
      <c r="NDL16" s="3" t="s">
        <v>77</v>
      </c>
      <c r="NDM16" s="3" t="s">
        <v>76</v>
      </c>
      <c r="NDN16" s="3" t="s">
        <v>77</v>
      </c>
      <c r="NDO16" s="3" t="s">
        <v>76</v>
      </c>
      <c r="NDP16" s="3" t="s">
        <v>77</v>
      </c>
      <c r="NDQ16" s="3" t="s">
        <v>76</v>
      </c>
      <c r="NDR16" s="3" t="s">
        <v>77</v>
      </c>
      <c r="NDS16" s="3" t="s">
        <v>76</v>
      </c>
      <c r="NDT16" s="3" t="s">
        <v>77</v>
      </c>
      <c r="NDU16" s="3" t="s">
        <v>76</v>
      </c>
      <c r="NDV16" s="3" t="s">
        <v>77</v>
      </c>
      <c r="NDW16" s="3" t="s">
        <v>76</v>
      </c>
      <c r="NDX16" s="3" t="s">
        <v>77</v>
      </c>
      <c r="NDY16" s="3" t="s">
        <v>76</v>
      </c>
      <c r="NDZ16" s="3" t="s">
        <v>77</v>
      </c>
      <c r="NEA16" s="3" t="s">
        <v>76</v>
      </c>
      <c r="NEB16" s="3" t="s">
        <v>77</v>
      </c>
      <c r="NEC16" s="3" t="s">
        <v>76</v>
      </c>
      <c r="NED16" s="3" t="s">
        <v>77</v>
      </c>
      <c r="NEE16" s="3" t="s">
        <v>76</v>
      </c>
      <c r="NEF16" s="3" t="s">
        <v>77</v>
      </c>
      <c r="NEG16" s="3" t="s">
        <v>76</v>
      </c>
      <c r="NEH16" s="3" t="s">
        <v>77</v>
      </c>
      <c r="NEI16" s="3" t="s">
        <v>76</v>
      </c>
      <c r="NEJ16" s="3" t="s">
        <v>77</v>
      </c>
      <c r="NEK16" s="3" t="s">
        <v>76</v>
      </c>
      <c r="NEL16" s="3" t="s">
        <v>77</v>
      </c>
      <c r="NEM16" s="3" t="s">
        <v>76</v>
      </c>
      <c r="NEN16" s="3" t="s">
        <v>77</v>
      </c>
      <c r="NEO16" s="3" t="s">
        <v>76</v>
      </c>
      <c r="NEP16" s="3" t="s">
        <v>77</v>
      </c>
      <c r="NEQ16" s="3" t="s">
        <v>76</v>
      </c>
      <c r="NER16" s="3" t="s">
        <v>77</v>
      </c>
      <c r="NES16" s="3" t="s">
        <v>76</v>
      </c>
      <c r="NET16" s="3" t="s">
        <v>77</v>
      </c>
      <c r="NEU16" s="3" t="s">
        <v>76</v>
      </c>
      <c r="NEV16" s="3" t="s">
        <v>77</v>
      </c>
      <c r="NEW16" s="3" t="s">
        <v>76</v>
      </c>
      <c r="NEX16" s="3" t="s">
        <v>77</v>
      </c>
      <c r="NEY16" s="3" t="s">
        <v>76</v>
      </c>
      <c r="NEZ16" s="3" t="s">
        <v>77</v>
      </c>
      <c r="NFA16" s="3" t="s">
        <v>76</v>
      </c>
      <c r="NFB16" s="3" t="s">
        <v>77</v>
      </c>
      <c r="NFC16" s="3" t="s">
        <v>76</v>
      </c>
      <c r="NFD16" s="3" t="s">
        <v>77</v>
      </c>
      <c r="NFE16" s="3" t="s">
        <v>76</v>
      </c>
      <c r="NFF16" s="3" t="s">
        <v>77</v>
      </c>
      <c r="NFG16" s="3" t="s">
        <v>76</v>
      </c>
      <c r="NFH16" s="3" t="s">
        <v>77</v>
      </c>
      <c r="NFI16" s="3" t="s">
        <v>76</v>
      </c>
      <c r="NFJ16" s="3" t="s">
        <v>77</v>
      </c>
      <c r="NFK16" s="3" t="s">
        <v>76</v>
      </c>
      <c r="NFL16" s="3" t="s">
        <v>77</v>
      </c>
      <c r="NFM16" s="3" t="s">
        <v>76</v>
      </c>
      <c r="NFN16" s="3" t="s">
        <v>77</v>
      </c>
      <c r="NFO16" s="3" t="s">
        <v>76</v>
      </c>
      <c r="NFP16" s="3" t="s">
        <v>77</v>
      </c>
      <c r="NFQ16" s="3" t="s">
        <v>76</v>
      </c>
      <c r="NFR16" s="3" t="s">
        <v>77</v>
      </c>
      <c r="NFS16" s="3" t="s">
        <v>76</v>
      </c>
      <c r="NFT16" s="3" t="s">
        <v>77</v>
      </c>
      <c r="NFU16" s="3" t="s">
        <v>76</v>
      </c>
      <c r="NFV16" s="3" t="s">
        <v>77</v>
      </c>
      <c r="NFW16" s="3" t="s">
        <v>76</v>
      </c>
      <c r="NFX16" s="3" t="s">
        <v>77</v>
      </c>
      <c r="NFY16" s="3" t="s">
        <v>76</v>
      </c>
      <c r="NFZ16" s="3" t="s">
        <v>77</v>
      </c>
      <c r="NGA16" s="3" t="s">
        <v>76</v>
      </c>
      <c r="NGB16" s="3" t="s">
        <v>77</v>
      </c>
      <c r="NGC16" s="3" t="s">
        <v>76</v>
      </c>
      <c r="NGD16" s="3" t="s">
        <v>77</v>
      </c>
      <c r="NGE16" s="3" t="s">
        <v>76</v>
      </c>
      <c r="NGF16" s="3" t="s">
        <v>77</v>
      </c>
      <c r="NGG16" s="3" t="s">
        <v>76</v>
      </c>
      <c r="NGH16" s="3" t="s">
        <v>77</v>
      </c>
      <c r="NGI16" s="3" t="s">
        <v>76</v>
      </c>
      <c r="NGJ16" s="3" t="s">
        <v>77</v>
      </c>
      <c r="NGK16" s="3" t="s">
        <v>76</v>
      </c>
      <c r="NGL16" s="3" t="s">
        <v>77</v>
      </c>
      <c r="NGM16" s="3" t="s">
        <v>76</v>
      </c>
      <c r="NGN16" s="3" t="s">
        <v>77</v>
      </c>
      <c r="NGO16" s="3" t="s">
        <v>76</v>
      </c>
      <c r="NGP16" s="3" t="s">
        <v>77</v>
      </c>
      <c r="NGQ16" s="3" t="s">
        <v>76</v>
      </c>
      <c r="NGR16" s="3" t="s">
        <v>77</v>
      </c>
      <c r="NGS16" s="3" t="s">
        <v>76</v>
      </c>
      <c r="NGT16" s="3" t="s">
        <v>77</v>
      </c>
      <c r="NGU16" s="3" t="s">
        <v>76</v>
      </c>
      <c r="NGV16" s="3" t="s">
        <v>77</v>
      </c>
      <c r="NGW16" s="3" t="s">
        <v>76</v>
      </c>
      <c r="NGX16" s="3" t="s">
        <v>77</v>
      </c>
      <c r="NGY16" s="3" t="s">
        <v>76</v>
      </c>
      <c r="NGZ16" s="3" t="s">
        <v>77</v>
      </c>
      <c r="NHA16" s="3" t="s">
        <v>76</v>
      </c>
      <c r="NHB16" s="3" t="s">
        <v>77</v>
      </c>
      <c r="NHC16" s="3" t="s">
        <v>76</v>
      </c>
      <c r="NHD16" s="3" t="s">
        <v>77</v>
      </c>
      <c r="NHE16" s="3" t="s">
        <v>76</v>
      </c>
      <c r="NHF16" s="3" t="s">
        <v>77</v>
      </c>
      <c r="NHG16" s="3" t="s">
        <v>76</v>
      </c>
      <c r="NHH16" s="3" t="s">
        <v>77</v>
      </c>
      <c r="NHI16" s="3" t="s">
        <v>76</v>
      </c>
      <c r="NHJ16" s="3" t="s">
        <v>77</v>
      </c>
      <c r="NHK16" s="3" t="s">
        <v>76</v>
      </c>
      <c r="NHL16" s="3" t="s">
        <v>77</v>
      </c>
      <c r="NHM16" s="3" t="s">
        <v>76</v>
      </c>
      <c r="NHN16" s="3" t="s">
        <v>77</v>
      </c>
      <c r="NHO16" s="3" t="s">
        <v>76</v>
      </c>
      <c r="NHP16" s="3" t="s">
        <v>77</v>
      </c>
      <c r="NHQ16" s="3" t="s">
        <v>76</v>
      </c>
      <c r="NHR16" s="3" t="s">
        <v>77</v>
      </c>
      <c r="NHS16" s="3" t="s">
        <v>76</v>
      </c>
      <c r="NHT16" s="3" t="s">
        <v>77</v>
      </c>
      <c r="NHU16" s="3" t="s">
        <v>76</v>
      </c>
      <c r="NHV16" s="3" t="s">
        <v>77</v>
      </c>
      <c r="NHW16" s="3" t="s">
        <v>76</v>
      </c>
      <c r="NHX16" s="3" t="s">
        <v>77</v>
      </c>
      <c r="NHY16" s="3" t="s">
        <v>76</v>
      </c>
      <c r="NHZ16" s="3" t="s">
        <v>77</v>
      </c>
      <c r="NIA16" s="3" t="s">
        <v>76</v>
      </c>
      <c r="NIB16" s="3" t="s">
        <v>77</v>
      </c>
      <c r="NIC16" s="3" t="s">
        <v>76</v>
      </c>
      <c r="NID16" s="3" t="s">
        <v>77</v>
      </c>
      <c r="NIE16" s="3" t="s">
        <v>76</v>
      </c>
      <c r="NIF16" s="3" t="s">
        <v>77</v>
      </c>
      <c r="NIG16" s="3" t="s">
        <v>76</v>
      </c>
      <c r="NIH16" s="3" t="s">
        <v>77</v>
      </c>
      <c r="NII16" s="3" t="s">
        <v>76</v>
      </c>
      <c r="NIJ16" s="3" t="s">
        <v>77</v>
      </c>
      <c r="NIK16" s="3" t="s">
        <v>76</v>
      </c>
      <c r="NIL16" s="3" t="s">
        <v>77</v>
      </c>
      <c r="NIM16" s="3" t="s">
        <v>76</v>
      </c>
      <c r="NIN16" s="3" t="s">
        <v>77</v>
      </c>
      <c r="NIO16" s="3" t="s">
        <v>76</v>
      </c>
      <c r="NIP16" s="3" t="s">
        <v>77</v>
      </c>
      <c r="NIQ16" s="3" t="s">
        <v>76</v>
      </c>
      <c r="NIR16" s="3" t="s">
        <v>77</v>
      </c>
      <c r="NIS16" s="3" t="s">
        <v>76</v>
      </c>
      <c r="NIT16" s="3" t="s">
        <v>77</v>
      </c>
      <c r="NIU16" s="3" t="s">
        <v>76</v>
      </c>
      <c r="NIV16" s="3" t="s">
        <v>77</v>
      </c>
      <c r="NIW16" s="3" t="s">
        <v>76</v>
      </c>
      <c r="NIX16" s="3" t="s">
        <v>77</v>
      </c>
      <c r="NIY16" s="3" t="s">
        <v>76</v>
      </c>
      <c r="NIZ16" s="3" t="s">
        <v>77</v>
      </c>
      <c r="NJA16" s="3" t="s">
        <v>76</v>
      </c>
      <c r="NJB16" s="3" t="s">
        <v>77</v>
      </c>
      <c r="NJC16" s="3" t="s">
        <v>76</v>
      </c>
      <c r="NJD16" s="3" t="s">
        <v>77</v>
      </c>
      <c r="NJE16" s="3" t="s">
        <v>76</v>
      </c>
      <c r="NJF16" s="3" t="s">
        <v>77</v>
      </c>
      <c r="NJG16" s="3" t="s">
        <v>76</v>
      </c>
      <c r="NJH16" s="3" t="s">
        <v>77</v>
      </c>
      <c r="NJI16" s="3" t="s">
        <v>76</v>
      </c>
      <c r="NJJ16" s="3" t="s">
        <v>77</v>
      </c>
      <c r="NJK16" s="3" t="s">
        <v>76</v>
      </c>
      <c r="NJL16" s="3" t="s">
        <v>77</v>
      </c>
      <c r="NJM16" s="3" t="s">
        <v>76</v>
      </c>
      <c r="NJN16" s="3" t="s">
        <v>77</v>
      </c>
      <c r="NJO16" s="3" t="s">
        <v>76</v>
      </c>
      <c r="NJP16" s="3" t="s">
        <v>77</v>
      </c>
      <c r="NJQ16" s="3" t="s">
        <v>76</v>
      </c>
      <c r="NJR16" s="3" t="s">
        <v>77</v>
      </c>
      <c r="NJS16" s="3" t="s">
        <v>76</v>
      </c>
      <c r="NJT16" s="3" t="s">
        <v>77</v>
      </c>
      <c r="NJU16" s="3" t="s">
        <v>76</v>
      </c>
      <c r="NJV16" s="3" t="s">
        <v>77</v>
      </c>
      <c r="NJW16" s="3" t="s">
        <v>76</v>
      </c>
      <c r="NJX16" s="3" t="s">
        <v>77</v>
      </c>
      <c r="NJY16" s="3" t="s">
        <v>76</v>
      </c>
      <c r="NJZ16" s="3" t="s">
        <v>77</v>
      </c>
      <c r="NKA16" s="3" t="s">
        <v>76</v>
      </c>
      <c r="NKB16" s="3" t="s">
        <v>77</v>
      </c>
      <c r="NKC16" s="3" t="s">
        <v>76</v>
      </c>
      <c r="NKD16" s="3" t="s">
        <v>77</v>
      </c>
      <c r="NKE16" s="3" t="s">
        <v>76</v>
      </c>
      <c r="NKF16" s="3" t="s">
        <v>77</v>
      </c>
      <c r="NKG16" s="3" t="s">
        <v>76</v>
      </c>
      <c r="NKH16" s="3" t="s">
        <v>77</v>
      </c>
      <c r="NKI16" s="3" t="s">
        <v>76</v>
      </c>
      <c r="NKJ16" s="3" t="s">
        <v>77</v>
      </c>
      <c r="NKK16" s="3" t="s">
        <v>76</v>
      </c>
      <c r="NKL16" s="3" t="s">
        <v>77</v>
      </c>
      <c r="NKM16" s="3" t="s">
        <v>76</v>
      </c>
      <c r="NKN16" s="3" t="s">
        <v>77</v>
      </c>
      <c r="NKO16" s="3" t="s">
        <v>76</v>
      </c>
      <c r="NKP16" s="3" t="s">
        <v>77</v>
      </c>
      <c r="NKQ16" s="3" t="s">
        <v>76</v>
      </c>
      <c r="NKR16" s="3" t="s">
        <v>77</v>
      </c>
      <c r="NKS16" s="3" t="s">
        <v>76</v>
      </c>
      <c r="NKT16" s="3" t="s">
        <v>77</v>
      </c>
      <c r="NKU16" s="3" t="s">
        <v>76</v>
      </c>
      <c r="NKV16" s="3" t="s">
        <v>77</v>
      </c>
      <c r="NKW16" s="3" t="s">
        <v>76</v>
      </c>
      <c r="NKX16" s="3" t="s">
        <v>77</v>
      </c>
      <c r="NKY16" s="3" t="s">
        <v>76</v>
      </c>
      <c r="NKZ16" s="3" t="s">
        <v>77</v>
      </c>
      <c r="NLA16" s="3" t="s">
        <v>76</v>
      </c>
      <c r="NLB16" s="3" t="s">
        <v>77</v>
      </c>
      <c r="NLC16" s="3" t="s">
        <v>76</v>
      </c>
      <c r="NLD16" s="3" t="s">
        <v>77</v>
      </c>
      <c r="NLE16" s="3" t="s">
        <v>76</v>
      </c>
      <c r="NLF16" s="3" t="s">
        <v>77</v>
      </c>
      <c r="NLG16" s="3" t="s">
        <v>76</v>
      </c>
      <c r="NLH16" s="3" t="s">
        <v>77</v>
      </c>
      <c r="NLI16" s="3" t="s">
        <v>76</v>
      </c>
      <c r="NLJ16" s="3" t="s">
        <v>77</v>
      </c>
      <c r="NLK16" s="3" t="s">
        <v>76</v>
      </c>
      <c r="NLL16" s="3" t="s">
        <v>77</v>
      </c>
      <c r="NLM16" s="3" t="s">
        <v>76</v>
      </c>
      <c r="NLN16" s="3" t="s">
        <v>77</v>
      </c>
      <c r="NLO16" s="3" t="s">
        <v>76</v>
      </c>
      <c r="NLP16" s="3" t="s">
        <v>77</v>
      </c>
      <c r="NLQ16" s="3" t="s">
        <v>76</v>
      </c>
      <c r="NLR16" s="3" t="s">
        <v>77</v>
      </c>
      <c r="NLS16" s="3" t="s">
        <v>76</v>
      </c>
      <c r="NLT16" s="3" t="s">
        <v>77</v>
      </c>
      <c r="NLU16" s="3" t="s">
        <v>76</v>
      </c>
      <c r="NLV16" s="3" t="s">
        <v>77</v>
      </c>
      <c r="NLW16" s="3" t="s">
        <v>76</v>
      </c>
      <c r="NLX16" s="3" t="s">
        <v>77</v>
      </c>
      <c r="NLY16" s="3" t="s">
        <v>76</v>
      </c>
      <c r="NLZ16" s="3" t="s">
        <v>77</v>
      </c>
      <c r="NMA16" s="3" t="s">
        <v>76</v>
      </c>
      <c r="NMB16" s="3" t="s">
        <v>77</v>
      </c>
      <c r="NMC16" s="3" t="s">
        <v>76</v>
      </c>
      <c r="NMD16" s="3" t="s">
        <v>77</v>
      </c>
      <c r="NME16" s="3" t="s">
        <v>76</v>
      </c>
      <c r="NMF16" s="3" t="s">
        <v>77</v>
      </c>
      <c r="NMG16" s="3" t="s">
        <v>76</v>
      </c>
      <c r="NMH16" s="3" t="s">
        <v>77</v>
      </c>
      <c r="NMI16" s="3" t="s">
        <v>76</v>
      </c>
      <c r="NMJ16" s="3" t="s">
        <v>77</v>
      </c>
      <c r="NMK16" s="3" t="s">
        <v>76</v>
      </c>
      <c r="NML16" s="3" t="s">
        <v>77</v>
      </c>
      <c r="NMM16" s="3" t="s">
        <v>76</v>
      </c>
      <c r="NMN16" s="3" t="s">
        <v>77</v>
      </c>
      <c r="NMO16" s="3" t="s">
        <v>76</v>
      </c>
      <c r="NMP16" s="3" t="s">
        <v>77</v>
      </c>
      <c r="NMQ16" s="3" t="s">
        <v>76</v>
      </c>
      <c r="NMR16" s="3" t="s">
        <v>77</v>
      </c>
      <c r="NMS16" s="3" t="s">
        <v>76</v>
      </c>
      <c r="NMT16" s="3" t="s">
        <v>77</v>
      </c>
      <c r="NMU16" s="3" t="s">
        <v>76</v>
      </c>
      <c r="NMV16" s="3" t="s">
        <v>77</v>
      </c>
      <c r="NMW16" s="3" t="s">
        <v>76</v>
      </c>
      <c r="NMX16" s="3" t="s">
        <v>77</v>
      </c>
      <c r="NMY16" s="3" t="s">
        <v>76</v>
      </c>
      <c r="NMZ16" s="3" t="s">
        <v>77</v>
      </c>
      <c r="NNA16" s="3" t="s">
        <v>76</v>
      </c>
      <c r="NNB16" s="3" t="s">
        <v>77</v>
      </c>
      <c r="NNC16" s="3" t="s">
        <v>76</v>
      </c>
      <c r="NND16" s="3" t="s">
        <v>77</v>
      </c>
      <c r="NNE16" s="3" t="s">
        <v>76</v>
      </c>
      <c r="NNF16" s="3" t="s">
        <v>77</v>
      </c>
      <c r="NNG16" s="3" t="s">
        <v>76</v>
      </c>
      <c r="NNH16" s="3" t="s">
        <v>77</v>
      </c>
      <c r="NNI16" s="3" t="s">
        <v>76</v>
      </c>
      <c r="NNJ16" s="3" t="s">
        <v>77</v>
      </c>
      <c r="NNK16" s="3" t="s">
        <v>76</v>
      </c>
      <c r="NNL16" s="3" t="s">
        <v>77</v>
      </c>
      <c r="NNM16" s="3" t="s">
        <v>76</v>
      </c>
      <c r="NNN16" s="3" t="s">
        <v>77</v>
      </c>
      <c r="NNO16" s="3" t="s">
        <v>76</v>
      </c>
      <c r="NNP16" s="3" t="s">
        <v>77</v>
      </c>
      <c r="NNQ16" s="3" t="s">
        <v>76</v>
      </c>
      <c r="NNR16" s="3" t="s">
        <v>77</v>
      </c>
      <c r="NNS16" s="3" t="s">
        <v>76</v>
      </c>
      <c r="NNT16" s="3" t="s">
        <v>77</v>
      </c>
      <c r="NNU16" s="3" t="s">
        <v>76</v>
      </c>
      <c r="NNV16" s="3" t="s">
        <v>77</v>
      </c>
      <c r="NNW16" s="3" t="s">
        <v>76</v>
      </c>
      <c r="NNX16" s="3" t="s">
        <v>77</v>
      </c>
      <c r="NNY16" s="3" t="s">
        <v>76</v>
      </c>
      <c r="NNZ16" s="3" t="s">
        <v>77</v>
      </c>
      <c r="NOA16" s="3" t="s">
        <v>76</v>
      </c>
      <c r="NOB16" s="3" t="s">
        <v>77</v>
      </c>
      <c r="NOC16" s="3" t="s">
        <v>76</v>
      </c>
      <c r="NOD16" s="3" t="s">
        <v>77</v>
      </c>
      <c r="NOE16" s="3" t="s">
        <v>76</v>
      </c>
      <c r="NOF16" s="3" t="s">
        <v>77</v>
      </c>
      <c r="NOG16" s="3" t="s">
        <v>76</v>
      </c>
      <c r="NOH16" s="3" t="s">
        <v>77</v>
      </c>
      <c r="NOI16" s="3" t="s">
        <v>76</v>
      </c>
      <c r="NOJ16" s="3" t="s">
        <v>77</v>
      </c>
      <c r="NOK16" s="3" t="s">
        <v>76</v>
      </c>
      <c r="NOL16" s="3" t="s">
        <v>77</v>
      </c>
      <c r="NOM16" s="3" t="s">
        <v>76</v>
      </c>
      <c r="NON16" s="3" t="s">
        <v>77</v>
      </c>
      <c r="NOO16" s="3" t="s">
        <v>76</v>
      </c>
      <c r="NOP16" s="3" t="s">
        <v>77</v>
      </c>
      <c r="NOQ16" s="3" t="s">
        <v>76</v>
      </c>
      <c r="NOR16" s="3" t="s">
        <v>77</v>
      </c>
      <c r="NOS16" s="3" t="s">
        <v>76</v>
      </c>
      <c r="NOT16" s="3" t="s">
        <v>77</v>
      </c>
      <c r="NOU16" s="3" t="s">
        <v>76</v>
      </c>
      <c r="NOV16" s="3" t="s">
        <v>77</v>
      </c>
      <c r="NOW16" s="3" t="s">
        <v>76</v>
      </c>
      <c r="NOX16" s="3" t="s">
        <v>77</v>
      </c>
      <c r="NOY16" s="3" t="s">
        <v>76</v>
      </c>
      <c r="NOZ16" s="3" t="s">
        <v>77</v>
      </c>
      <c r="NPA16" s="3" t="s">
        <v>76</v>
      </c>
      <c r="NPB16" s="3" t="s">
        <v>77</v>
      </c>
      <c r="NPC16" s="3" t="s">
        <v>76</v>
      </c>
      <c r="NPD16" s="3" t="s">
        <v>77</v>
      </c>
      <c r="NPE16" s="3" t="s">
        <v>76</v>
      </c>
      <c r="NPF16" s="3" t="s">
        <v>77</v>
      </c>
      <c r="NPG16" s="3" t="s">
        <v>76</v>
      </c>
      <c r="NPH16" s="3" t="s">
        <v>77</v>
      </c>
      <c r="NPI16" s="3" t="s">
        <v>76</v>
      </c>
      <c r="NPJ16" s="3" t="s">
        <v>77</v>
      </c>
      <c r="NPK16" s="3" t="s">
        <v>76</v>
      </c>
      <c r="NPL16" s="3" t="s">
        <v>77</v>
      </c>
      <c r="NPM16" s="3" t="s">
        <v>76</v>
      </c>
      <c r="NPN16" s="3" t="s">
        <v>77</v>
      </c>
      <c r="NPO16" s="3" t="s">
        <v>76</v>
      </c>
      <c r="NPP16" s="3" t="s">
        <v>77</v>
      </c>
      <c r="NPQ16" s="3" t="s">
        <v>76</v>
      </c>
      <c r="NPR16" s="3" t="s">
        <v>77</v>
      </c>
      <c r="NPS16" s="3" t="s">
        <v>76</v>
      </c>
      <c r="NPT16" s="3" t="s">
        <v>77</v>
      </c>
      <c r="NPU16" s="3" t="s">
        <v>76</v>
      </c>
      <c r="NPV16" s="3" t="s">
        <v>77</v>
      </c>
      <c r="NPW16" s="3" t="s">
        <v>76</v>
      </c>
      <c r="NPX16" s="3" t="s">
        <v>77</v>
      </c>
      <c r="NPY16" s="3" t="s">
        <v>76</v>
      </c>
      <c r="NPZ16" s="3" t="s">
        <v>77</v>
      </c>
      <c r="NQA16" s="3" t="s">
        <v>76</v>
      </c>
      <c r="NQB16" s="3" t="s">
        <v>77</v>
      </c>
      <c r="NQC16" s="3" t="s">
        <v>76</v>
      </c>
      <c r="NQD16" s="3" t="s">
        <v>77</v>
      </c>
      <c r="NQE16" s="3" t="s">
        <v>76</v>
      </c>
      <c r="NQF16" s="3" t="s">
        <v>77</v>
      </c>
      <c r="NQG16" s="3" t="s">
        <v>76</v>
      </c>
      <c r="NQH16" s="3" t="s">
        <v>77</v>
      </c>
      <c r="NQI16" s="3" t="s">
        <v>76</v>
      </c>
      <c r="NQJ16" s="3" t="s">
        <v>77</v>
      </c>
      <c r="NQK16" s="3" t="s">
        <v>76</v>
      </c>
      <c r="NQL16" s="3" t="s">
        <v>77</v>
      </c>
      <c r="NQM16" s="3" t="s">
        <v>76</v>
      </c>
      <c r="NQN16" s="3" t="s">
        <v>77</v>
      </c>
      <c r="NQO16" s="3" t="s">
        <v>76</v>
      </c>
      <c r="NQP16" s="3" t="s">
        <v>77</v>
      </c>
      <c r="NQQ16" s="3" t="s">
        <v>76</v>
      </c>
      <c r="NQR16" s="3" t="s">
        <v>77</v>
      </c>
      <c r="NQS16" s="3" t="s">
        <v>76</v>
      </c>
      <c r="NQT16" s="3" t="s">
        <v>77</v>
      </c>
      <c r="NQU16" s="3" t="s">
        <v>76</v>
      </c>
      <c r="NQV16" s="3" t="s">
        <v>77</v>
      </c>
      <c r="NQW16" s="3" t="s">
        <v>76</v>
      </c>
      <c r="NQX16" s="3" t="s">
        <v>77</v>
      </c>
      <c r="NQY16" s="3" t="s">
        <v>76</v>
      </c>
      <c r="NQZ16" s="3" t="s">
        <v>77</v>
      </c>
      <c r="NRA16" s="3" t="s">
        <v>76</v>
      </c>
      <c r="NRB16" s="3" t="s">
        <v>77</v>
      </c>
      <c r="NRC16" s="3" t="s">
        <v>76</v>
      </c>
      <c r="NRD16" s="3" t="s">
        <v>77</v>
      </c>
      <c r="NRE16" s="3" t="s">
        <v>76</v>
      </c>
      <c r="NRF16" s="3" t="s">
        <v>77</v>
      </c>
      <c r="NRG16" s="3" t="s">
        <v>76</v>
      </c>
      <c r="NRH16" s="3" t="s">
        <v>77</v>
      </c>
      <c r="NRI16" s="3" t="s">
        <v>76</v>
      </c>
      <c r="NRJ16" s="3" t="s">
        <v>77</v>
      </c>
      <c r="NRK16" s="3" t="s">
        <v>76</v>
      </c>
      <c r="NRL16" s="3" t="s">
        <v>77</v>
      </c>
      <c r="NRM16" s="3" t="s">
        <v>76</v>
      </c>
      <c r="NRN16" s="3" t="s">
        <v>77</v>
      </c>
      <c r="NRO16" s="3" t="s">
        <v>76</v>
      </c>
      <c r="NRP16" s="3" t="s">
        <v>77</v>
      </c>
      <c r="NRQ16" s="3" t="s">
        <v>76</v>
      </c>
      <c r="NRR16" s="3" t="s">
        <v>77</v>
      </c>
      <c r="NRS16" s="3" t="s">
        <v>76</v>
      </c>
      <c r="NRT16" s="3" t="s">
        <v>77</v>
      </c>
      <c r="NRU16" s="3" t="s">
        <v>76</v>
      </c>
      <c r="NRV16" s="3" t="s">
        <v>77</v>
      </c>
      <c r="NRW16" s="3" t="s">
        <v>76</v>
      </c>
      <c r="NRX16" s="3" t="s">
        <v>77</v>
      </c>
      <c r="NRY16" s="3" t="s">
        <v>76</v>
      </c>
      <c r="NRZ16" s="3" t="s">
        <v>77</v>
      </c>
      <c r="NSA16" s="3" t="s">
        <v>76</v>
      </c>
      <c r="NSB16" s="3" t="s">
        <v>77</v>
      </c>
      <c r="NSC16" s="3" t="s">
        <v>76</v>
      </c>
      <c r="NSD16" s="3" t="s">
        <v>77</v>
      </c>
      <c r="NSE16" s="3" t="s">
        <v>76</v>
      </c>
      <c r="NSF16" s="3" t="s">
        <v>77</v>
      </c>
      <c r="NSG16" s="3" t="s">
        <v>76</v>
      </c>
      <c r="NSH16" s="3" t="s">
        <v>77</v>
      </c>
      <c r="NSI16" s="3" t="s">
        <v>76</v>
      </c>
      <c r="NSJ16" s="3" t="s">
        <v>77</v>
      </c>
      <c r="NSK16" s="3" t="s">
        <v>76</v>
      </c>
      <c r="NSL16" s="3" t="s">
        <v>77</v>
      </c>
      <c r="NSM16" s="3" t="s">
        <v>76</v>
      </c>
      <c r="NSN16" s="3" t="s">
        <v>77</v>
      </c>
      <c r="NSO16" s="3" t="s">
        <v>76</v>
      </c>
      <c r="NSP16" s="3" t="s">
        <v>77</v>
      </c>
      <c r="NSQ16" s="3" t="s">
        <v>76</v>
      </c>
      <c r="NSR16" s="3" t="s">
        <v>77</v>
      </c>
      <c r="NSS16" s="3" t="s">
        <v>76</v>
      </c>
      <c r="NST16" s="3" t="s">
        <v>77</v>
      </c>
      <c r="NSU16" s="3" t="s">
        <v>76</v>
      </c>
      <c r="NSV16" s="3" t="s">
        <v>77</v>
      </c>
      <c r="NSW16" s="3" t="s">
        <v>76</v>
      </c>
      <c r="NSX16" s="3" t="s">
        <v>77</v>
      </c>
      <c r="NSY16" s="3" t="s">
        <v>76</v>
      </c>
      <c r="NSZ16" s="3" t="s">
        <v>77</v>
      </c>
      <c r="NTA16" s="3" t="s">
        <v>76</v>
      </c>
      <c r="NTB16" s="3" t="s">
        <v>77</v>
      </c>
      <c r="NTC16" s="3" t="s">
        <v>76</v>
      </c>
      <c r="NTD16" s="3" t="s">
        <v>77</v>
      </c>
      <c r="NTE16" s="3" t="s">
        <v>76</v>
      </c>
      <c r="NTF16" s="3" t="s">
        <v>77</v>
      </c>
      <c r="NTG16" s="3" t="s">
        <v>76</v>
      </c>
      <c r="NTH16" s="3" t="s">
        <v>77</v>
      </c>
      <c r="NTI16" s="3" t="s">
        <v>76</v>
      </c>
      <c r="NTJ16" s="3" t="s">
        <v>77</v>
      </c>
      <c r="NTK16" s="3" t="s">
        <v>76</v>
      </c>
      <c r="NTL16" s="3" t="s">
        <v>77</v>
      </c>
      <c r="NTM16" s="3" t="s">
        <v>76</v>
      </c>
      <c r="NTN16" s="3" t="s">
        <v>77</v>
      </c>
      <c r="NTO16" s="3" t="s">
        <v>76</v>
      </c>
      <c r="NTP16" s="3" t="s">
        <v>77</v>
      </c>
      <c r="NTQ16" s="3" t="s">
        <v>76</v>
      </c>
      <c r="NTR16" s="3" t="s">
        <v>77</v>
      </c>
      <c r="NTS16" s="3" t="s">
        <v>76</v>
      </c>
      <c r="NTT16" s="3" t="s">
        <v>77</v>
      </c>
      <c r="NTU16" s="3" t="s">
        <v>76</v>
      </c>
      <c r="NTV16" s="3" t="s">
        <v>77</v>
      </c>
      <c r="NTW16" s="3" t="s">
        <v>76</v>
      </c>
      <c r="NTX16" s="3" t="s">
        <v>77</v>
      </c>
      <c r="NTY16" s="3" t="s">
        <v>76</v>
      </c>
      <c r="NTZ16" s="3" t="s">
        <v>77</v>
      </c>
      <c r="NUA16" s="3" t="s">
        <v>76</v>
      </c>
      <c r="NUB16" s="3" t="s">
        <v>77</v>
      </c>
      <c r="NUC16" s="3" t="s">
        <v>76</v>
      </c>
      <c r="NUD16" s="3" t="s">
        <v>77</v>
      </c>
      <c r="NUE16" s="3" t="s">
        <v>76</v>
      </c>
      <c r="NUF16" s="3" t="s">
        <v>77</v>
      </c>
      <c r="NUG16" s="3" t="s">
        <v>76</v>
      </c>
      <c r="NUH16" s="3" t="s">
        <v>77</v>
      </c>
      <c r="NUI16" s="3" t="s">
        <v>76</v>
      </c>
      <c r="NUJ16" s="3" t="s">
        <v>77</v>
      </c>
      <c r="NUK16" s="3" t="s">
        <v>76</v>
      </c>
      <c r="NUL16" s="3" t="s">
        <v>77</v>
      </c>
      <c r="NUM16" s="3" t="s">
        <v>76</v>
      </c>
      <c r="NUN16" s="3" t="s">
        <v>77</v>
      </c>
      <c r="NUO16" s="3" t="s">
        <v>76</v>
      </c>
      <c r="NUP16" s="3" t="s">
        <v>77</v>
      </c>
      <c r="NUQ16" s="3" t="s">
        <v>76</v>
      </c>
      <c r="NUR16" s="3" t="s">
        <v>77</v>
      </c>
      <c r="NUS16" s="3" t="s">
        <v>76</v>
      </c>
      <c r="NUT16" s="3" t="s">
        <v>77</v>
      </c>
      <c r="NUU16" s="3" t="s">
        <v>76</v>
      </c>
      <c r="NUV16" s="3" t="s">
        <v>77</v>
      </c>
      <c r="NUW16" s="3" t="s">
        <v>76</v>
      </c>
      <c r="NUX16" s="3" t="s">
        <v>77</v>
      </c>
      <c r="NUY16" s="3" t="s">
        <v>76</v>
      </c>
      <c r="NUZ16" s="3" t="s">
        <v>77</v>
      </c>
      <c r="NVA16" s="3" t="s">
        <v>76</v>
      </c>
      <c r="NVB16" s="3" t="s">
        <v>77</v>
      </c>
      <c r="NVC16" s="3" t="s">
        <v>76</v>
      </c>
      <c r="NVD16" s="3" t="s">
        <v>77</v>
      </c>
      <c r="NVE16" s="3" t="s">
        <v>76</v>
      </c>
      <c r="NVF16" s="3" t="s">
        <v>77</v>
      </c>
      <c r="NVG16" s="3" t="s">
        <v>76</v>
      </c>
      <c r="NVH16" s="3" t="s">
        <v>77</v>
      </c>
      <c r="NVI16" s="3" t="s">
        <v>76</v>
      </c>
      <c r="NVJ16" s="3" t="s">
        <v>77</v>
      </c>
      <c r="NVK16" s="3" t="s">
        <v>76</v>
      </c>
      <c r="NVL16" s="3" t="s">
        <v>77</v>
      </c>
      <c r="NVM16" s="3" t="s">
        <v>76</v>
      </c>
      <c r="NVN16" s="3" t="s">
        <v>77</v>
      </c>
      <c r="NVO16" s="3" t="s">
        <v>76</v>
      </c>
      <c r="NVP16" s="3" t="s">
        <v>77</v>
      </c>
      <c r="NVQ16" s="3" t="s">
        <v>76</v>
      </c>
      <c r="NVR16" s="3" t="s">
        <v>77</v>
      </c>
      <c r="NVS16" s="3" t="s">
        <v>76</v>
      </c>
      <c r="NVT16" s="3" t="s">
        <v>77</v>
      </c>
      <c r="NVU16" s="3" t="s">
        <v>76</v>
      </c>
      <c r="NVV16" s="3" t="s">
        <v>77</v>
      </c>
      <c r="NVW16" s="3" t="s">
        <v>76</v>
      </c>
      <c r="NVX16" s="3" t="s">
        <v>77</v>
      </c>
      <c r="NVY16" s="3" t="s">
        <v>76</v>
      </c>
      <c r="NVZ16" s="3" t="s">
        <v>77</v>
      </c>
      <c r="NWA16" s="3" t="s">
        <v>76</v>
      </c>
      <c r="NWB16" s="3" t="s">
        <v>77</v>
      </c>
      <c r="NWC16" s="3" t="s">
        <v>76</v>
      </c>
      <c r="NWD16" s="3" t="s">
        <v>77</v>
      </c>
      <c r="NWE16" s="3" t="s">
        <v>76</v>
      </c>
      <c r="NWF16" s="3" t="s">
        <v>77</v>
      </c>
      <c r="NWG16" s="3" t="s">
        <v>76</v>
      </c>
      <c r="NWH16" s="3" t="s">
        <v>77</v>
      </c>
      <c r="NWI16" s="3" t="s">
        <v>76</v>
      </c>
      <c r="NWJ16" s="3" t="s">
        <v>77</v>
      </c>
      <c r="NWK16" s="3" t="s">
        <v>76</v>
      </c>
      <c r="NWL16" s="3" t="s">
        <v>77</v>
      </c>
      <c r="NWM16" s="3" t="s">
        <v>76</v>
      </c>
      <c r="NWN16" s="3" t="s">
        <v>77</v>
      </c>
      <c r="NWO16" s="3" t="s">
        <v>76</v>
      </c>
      <c r="NWP16" s="3" t="s">
        <v>77</v>
      </c>
      <c r="NWQ16" s="3" t="s">
        <v>76</v>
      </c>
      <c r="NWR16" s="3" t="s">
        <v>77</v>
      </c>
      <c r="NWS16" s="3" t="s">
        <v>76</v>
      </c>
      <c r="NWT16" s="3" t="s">
        <v>77</v>
      </c>
      <c r="NWU16" s="3" t="s">
        <v>76</v>
      </c>
      <c r="NWV16" s="3" t="s">
        <v>77</v>
      </c>
      <c r="NWW16" s="3" t="s">
        <v>76</v>
      </c>
      <c r="NWX16" s="3" t="s">
        <v>77</v>
      </c>
      <c r="NWY16" s="3" t="s">
        <v>76</v>
      </c>
      <c r="NWZ16" s="3" t="s">
        <v>77</v>
      </c>
      <c r="NXA16" s="3" t="s">
        <v>76</v>
      </c>
      <c r="NXB16" s="3" t="s">
        <v>77</v>
      </c>
      <c r="NXC16" s="3" t="s">
        <v>76</v>
      </c>
      <c r="NXD16" s="3" t="s">
        <v>77</v>
      </c>
      <c r="NXE16" s="3" t="s">
        <v>76</v>
      </c>
      <c r="NXF16" s="3" t="s">
        <v>77</v>
      </c>
      <c r="NXG16" s="3" t="s">
        <v>76</v>
      </c>
      <c r="NXH16" s="3" t="s">
        <v>77</v>
      </c>
      <c r="NXI16" s="3" t="s">
        <v>76</v>
      </c>
      <c r="NXJ16" s="3" t="s">
        <v>77</v>
      </c>
      <c r="NXK16" s="3" t="s">
        <v>76</v>
      </c>
      <c r="NXL16" s="3" t="s">
        <v>77</v>
      </c>
      <c r="NXM16" s="3" t="s">
        <v>76</v>
      </c>
      <c r="NXN16" s="3" t="s">
        <v>77</v>
      </c>
      <c r="NXO16" s="3" t="s">
        <v>76</v>
      </c>
      <c r="NXP16" s="3" t="s">
        <v>77</v>
      </c>
      <c r="NXQ16" s="3" t="s">
        <v>76</v>
      </c>
      <c r="NXR16" s="3" t="s">
        <v>77</v>
      </c>
      <c r="NXS16" s="3" t="s">
        <v>76</v>
      </c>
      <c r="NXT16" s="3" t="s">
        <v>77</v>
      </c>
      <c r="NXU16" s="3" t="s">
        <v>76</v>
      </c>
      <c r="NXV16" s="3" t="s">
        <v>77</v>
      </c>
      <c r="NXW16" s="3" t="s">
        <v>76</v>
      </c>
      <c r="NXX16" s="3" t="s">
        <v>77</v>
      </c>
      <c r="NXY16" s="3" t="s">
        <v>76</v>
      </c>
      <c r="NXZ16" s="3" t="s">
        <v>77</v>
      </c>
      <c r="NYA16" s="3" t="s">
        <v>76</v>
      </c>
      <c r="NYB16" s="3" t="s">
        <v>77</v>
      </c>
      <c r="NYC16" s="3" t="s">
        <v>76</v>
      </c>
      <c r="NYD16" s="3" t="s">
        <v>77</v>
      </c>
      <c r="NYE16" s="3" t="s">
        <v>76</v>
      </c>
      <c r="NYF16" s="3" t="s">
        <v>77</v>
      </c>
      <c r="NYG16" s="3" t="s">
        <v>76</v>
      </c>
      <c r="NYH16" s="3" t="s">
        <v>77</v>
      </c>
      <c r="NYI16" s="3" t="s">
        <v>76</v>
      </c>
      <c r="NYJ16" s="3" t="s">
        <v>77</v>
      </c>
      <c r="NYK16" s="3" t="s">
        <v>76</v>
      </c>
      <c r="NYL16" s="3" t="s">
        <v>77</v>
      </c>
      <c r="NYM16" s="3" t="s">
        <v>76</v>
      </c>
      <c r="NYN16" s="3" t="s">
        <v>77</v>
      </c>
      <c r="NYO16" s="3" t="s">
        <v>76</v>
      </c>
      <c r="NYP16" s="3" t="s">
        <v>77</v>
      </c>
      <c r="NYQ16" s="3" t="s">
        <v>76</v>
      </c>
      <c r="NYR16" s="3" t="s">
        <v>77</v>
      </c>
      <c r="NYS16" s="3" t="s">
        <v>76</v>
      </c>
      <c r="NYT16" s="3" t="s">
        <v>77</v>
      </c>
      <c r="NYU16" s="3" t="s">
        <v>76</v>
      </c>
      <c r="NYV16" s="3" t="s">
        <v>77</v>
      </c>
      <c r="NYW16" s="3" t="s">
        <v>76</v>
      </c>
      <c r="NYX16" s="3" t="s">
        <v>77</v>
      </c>
      <c r="NYY16" s="3" t="s">
        <v>76</v>
      </c>
      <c r="NYZ16" s="3" t="s">
        <v>77</v>
      </c>
      <c r="NZA16" s="3" t="s">
        <v>76</v>
      </c>
      <c r="NZB16" s="3" t="s">
        <v>77</v>
      </c>
      <c r="NZC16" s="3" t="s">
        <v>76</v>
      </c>
      <c r="NZD16" s="3" t="s">
        <v>77</v>
      </c>
      <c r="NZE16" s="3" t="s">
        <v>76</v>
      </c>
      <c r="NZF16" s="3" t="s">
        <v>77</v>
      </c>
      <c r="NZG16" s="3" t="s">
        <v>76</v>
      </c>
      <c r="NZH16" s="3" t="s">
        <v>77</v>
      </c>
      <c r="NZI16" s="3" t="s">
        <v>76</v>
      </c>
      <c r="NZJ16" s="3" t="s">
        <v>77</v>
      </c>
      <c r="NZK16" s="3" t="s">
        <v>76</v>
      </c>
      <c r="NZL16" s="3" t="s">
        <v>77</v>
      </c>
      <c r="NZM16" s="3" t="s">
        <v>76</v>
      </c>
      <c r="NZN16" s="3" t="s">
        <v>77</v>
      </c>
      <c r="NZO16" s="3" t="s">
        <v>76</v>
      </c>
      <c r="NZP16" s="3" t="s">
        <v>77</v>
      </c>
      <c r="NZQ16" s="3" t="s">
        <v>76</v>
      </c>
      <c r="NZR16" s="3" t="s">
        <v>77</v>
      </c>
      <c r="NZS16" s="3" t="s">
        <v>76</v>
      </c>
      <c r="NZT16" s="3" t="s">
        <v>77</v>
      </c>
      <c r="NZU16" s="3" t="s">
        <v>76</v>
      </c>
      <c r="NZV16" s="3" t="s">
        <v>77</v>
      </c>
      <c r="NZW16" s="3" t="s">
        <v>76</v>
      </c>
      <c r="NZX16" s="3" t="s">
        <v>77</v>
      </c>
      <c r="NZY16" s="3" t="s">
        <v>76</v>
      </c>
      <c r="NZZ16" s="3" t="s">
        <v>77</v>
      </c>
      <c r="OAA16" s="3" t="s">
        <v>76</v>
      </c>
      <c r="OAB16" s="3" t="s">
        <v>77</v>
      </c>
      <c r="OAC16" s="3" t="s">
        <v>76</v>
      </c>
      <c r="OAD16" s="3" t="s">
        <v>77</v>
      </c>
      <c r="OAE16" s="3" t="s">
        <v>76</v>
      </c>
      <c r="OAF16" s="3" t="s">
        <v>77</v>
      </c>
      <c r="OAG16" s="3" t="s">
        <v>76</v>
      </c>
      <c r="OAH16" s="3" t="s">
        <v>77</v>
      </c>
      <c r="OAI16" s="3" t="s">
        <v>76</v>
      </c>
      <c r="OAJ16" s="3" t="s">
        <v>77</v>
      </c>
      <c r="OAK16" s="3" t="s">
        <v>76</v>
      </c>
      <c r="OAL16" s="3" t="s">
        <v>77</v>
      </c>
      <c r="OAM16" s="3" t="s">
        <v>76</v>
      </c>
      <c r="OAN16" s="3" t="s">
        <v>77</v>
      </c>
      <c r="OAO16" s="3" t="s">
        <v>76</v>
      </c>
      <c r="OAP16" s="3" t="s">
        <v>77</v>
      </c>
      <c r="OAQ16" s="3" t="s">
        <v>76</v>
      </c>
      <c r="OAR16" s="3" t="s">
        <v>77</v>
      </c>
      <c r="OAS16" s="3" t="s">
        <v>76</v>
      </c>
      <c r="OAT16" s="3" t="s">
        <v>77</v>
      </c>
      <c r="OAU16" s="3" t="s">
        <v>76</v>
      </c>
      <c r="OAV16" s="3" t="s">
        <v>77</v>
      </c>
      <c r="OAW16" s="3" t="s">
        <v>76</v>
      </c>
      <c r="OAX16" s="3" t="s">
        <v>77</v>
      </c>
      <c r="OAY16" s="3" t="s">
        <v>76</v>
      </c>
      <c r="OAZ16" s="3" t="s">
        <v>77</v>
      </c>
      <c r="OBA16" s="3" t="s">
        <v>76</v>
      </c>
      <c r="OBB16" s="3" t="s">
        <v>77</v>
      </c>
      <c r="OBC16" s="3" t="s">
        <v>76</v>
      </c>
      <c r="OBD16" s="3" t="s">
        <v>77</v>
      </c>
      <c r="OBE16" s="3" t="s">
        <v>76</v>
      </c>
      <c r="OBF16" s="3" t="s">
        <v>77</v>
      </c>
      <c r="OBG16" s="3" t="s">
        <v>76</v>
      </c>
      <c r="OBH16" s="3" t="s">
        <v>77</v>
      </c>
      <c r="OBI16" s="3" t="s">
        <v>76</v>
      </c>
      <c r="OBJ16" s="3" t="s">
        <v>77</v>
      </c>
      <c r="OBK16" s="3" t="s">
        <v>76</v>
      </c>
      <c r="OBL16" s="3" t="s">
        <v>77</v>
      </c>
      <c r="OBM16" s="3" t="s">
        <v>76</v>
      </c>
      <c r="OBN16" s="3" t="s">
        <v>77</v>
      </c>
      <c r="OBO16" s="3" t="s">
        <v>76</v>
      </c>
      <c r="OBP16" s="3" t="s">
        <v>77</v>
      </c>
      <c r="OBQ16" s="3" t="s">
        <v>76</v>
      </c>
      <c r="OBR16" s="3" t="s">
        <v>77</v>
      </c>
      <c r="OBS16" s="3" t="s">
        <v>76</v>
      </c>
      <c r="OBT16" s="3" t="s">
        <v>77</v>
      </c>
      <c r="OBU16" s="3" t="s">
        <v>76</v>
      </c>
      <c r="OBV16" s="3" t="s">
        <v>77</v>
      </c>
      <c r="OBW16" s="3" t="s">
        <v>76</v>
      </c>
      <c r="OBX16" s="3" t="s">
        <v>77</v>
      </c>
      <c r="OBY16" s="3" t="s">
        <v>76</v>
      </c>
      <c r="OBZ16" s="3" t="s">
        <v>77</v>
      </c>
      <c r="OCA16" s="3" t="s">
        <v>76</v>
      </c>
      <c r="OCB16" s="3" t="s">
        <v>77</v>
      </c>
      <c r="OCC16" s="3" t="s">
        <v>76</v>
      </c>
      <c r="OCD16" s="3" t="s">
        <v>77</v>
      </c>
      <c r="OCE16" s="3" t="s">
        <v>76</v>
      </c>
      <c r="OCF16" s="3" t="s">
        <v>77</v>
      </c>
      <c r="OCG16" s="3" t="s">
        <v>76</v>
      </c>
      <c r="OCH16" s="3" t="s">
        <v>77</v>
      </c>
      <c r="OCI16" s="3" t="s">
        <v>76</v>
      </c>
      <c r="OCJ16" s="3" t="s">
        <v>77</v>
      </c>
      <c r="OCK16" s="3" t="s">
        <v>76</v>
      </c>
      <c r="OCL16" s="3" t="s">
        <v>77</v>
      </c>
      <c r="OCM16" s="3" t="s">
        <v>76</v>
      </c>
      <c r="OCN16" s="3" t="s">
        <v>77</v>
      </c>
      <c r="OCO16" s="3" t="s">
        <v>76</v>
      </c>
      <c r="OCP16" s="3" t="s">
        <v>77</v>
      </c>
      <c r="OCQ16" s="3" t="s">
        <v>76</v>
      </c>
      <c r="OCR16" s="3" t="s">
        <v>77</v>
      </c>
      <c r="OCS16" s="3" t="s">
        <v>76</v>
      </c>
      <c r="OCT16" s="3" t="s">
        <v>77</v>
      </c>
      <c r="OCU16" s="3" t="s">
        <v>76</v>
      </c>
      <c r="OCV16" s="3" t="s">
        <v>77</v>
      </c>
      <c r="OCW16" s="3" t="s">
        <v>76</v>
      </c>
      <c r="OCX16" s="3" t="s">
        <v>77</v>
      </c>
      <c r="OCY16" s="3" t="s">
        <v>76</v>
      </c>
      <c r="OCZ16" s="3" t="s">
        <v>77</v>
      </c>
      <c r="ODA16" s="3" t="s">
        <v>76</v>
      </c>
      <c r="ODB16" s="3" t="s">
        <v>77</v>
      </c>
      <c r="ODC16" s="3" t="s">
        <v>76</v>
      </c>
      <c r="ODD16" s="3" t="s">
        <v>77</v>
      </c>
      <c r="ODE16" s="3" t="s">
        <v>76</v>
      </c>
      <c r="ODF16" s="3" t="s">
        <v>77</v>
      </c>
      <c r="ODG16" s="3" t="s">
        <v>76</v>
      </c>
      <c r="ODH16" s="3" t="s">
        <v>77</v>
      </c>
      <c r="ODI16" s="3" t="s">
        <v>76</v>
      </c>
      <c r="ODJ16" s="3" t="s">
        <v>77</v>
      </c>
      <c r="ODK16" s="3" t="s">
        <v>76</v>
      </c>
      <c r="ODL16" s="3" t="s">
        <v>77</v>
      </c>
      <c r="ODM16" s="3" t="s">
        <v>76</v>
      </c>
      <c r="ODN16" s="3" t="s">
        <v>77</v>
      </c>
      <c r="ODO16" s="3" t="s">
        <v>76</v>
      </c>
      <c r="ODP16" s="3" t="s">
        <v>77</v>
      </c>
      <c r="ODQ16" s="3" t="s">
        <v>76</v>
      </c>
      <c r="ODR16" s="3" t="s">
        <v>77</v>
      </c>
      <c r="ODS16" s="3" t="s">
        <v>76</v>
      </c>
      <c r="ODT16" s="3" t="s">
        <v>77</v>
      </c>
      <c r="ODU16" s="3" t="s">
        <v>76</v>
      </c>
      <c r="ODV16" s="3" t="s">
        <v>77</v>
      </c>
      <c r="ODW16" s="3" t="s">
        <v>76</v>
      </c>
      <c r="ODX16" s="3" t="s">
        <v>77</v>
      </c>
      <c r="ODY16" s="3" t="s">
        <v>76</v>
      </c>
      <c r="ODZ16" s="3" t="s">
        <v>77</v>
      </c>
      <c r="OEA16" s="3" t="s">
        <v>76</v>
      </c>
      <c r="OEB16" s="3" t="s">
        <v>77</v>
      </c>
      <c r="OEC16" s="3" t="s">
        <v>76</v>
      </c>
      <c r="OED16" s="3" t="s">
        <v>77</v>
      </c>
      <c r="OEE16" s="3" t="s">
        <v>76</v>
      </c>
      <c r="OEF16" s="3" t="s">
        <v>77</v>
      </c>
      <c r="OEG16" s="3" t="s">
        <v>76</v>
      </c>
      <c r="OEH16" s="3" t="s">
        <v>77</v>
      </c>
      <c r="OEI16" s="3" t="s">
        <v>76</v>
      </c>
      <c r="OEJ16" s="3" t="s">
        <v>77</v>
      </c>
      <c r="OEK16" s="3" t="s">
        <v>76</v>
      </c>
      <c r="OEL16" s="3" t="s">
        <v>77</v>
      </c>
      <c r="OEM16" s="3" t="s">
        <v>76</v>
      </c>
      <c r="OEN16" s="3" t="s">
        <v>77</v>
      </c>
      <c r="OEO16" s="3" t="s">
        <v>76</v>
      </c>
      <c r="OEP16" s="3" t="s">
        <v>77</v>
      </c>
      <c r="OEQ16" s="3" t="s">
        <v>76</v>
      </c>
      <c r="OER16" s="3" t="s">
        <v>77</v>
      </c>
      <c r="OES16" s="3" t="s">
        <v>76</v>
      </c>
      <c r="OET16" s="3" t="s">
        <v>77</v>
      </c>
      <c r="OEU16" s="3" t="s">
        <v>76</v>
      </c>
      <c r="OEV16" s="3" t="s">
        <v>77</v>
      </c>
      <c r="OEW16" s="3" t="s">
        <v>76</v>
      </c>
      <c r="OEX16" s="3" t="s">
        <v>77</v>
      </c>
      <c r="OEY16" s="3" t="s">
        <v>76</v>
      </c>
      <c r="OEZ16" s="3" t="s">
        <v>77</v>
      </c>
      <c r="OFA16" s="3" t="s">
        <v>76</v>
      </c>
      <c r="OFB16" s="3" t="s">
        <v>77</v>
      </c>
      <c r="OFC16" s="3" t="s">
        <v>76</v>
      </c>
      <c r="OFD16" s="3" t="s">
        <v>77</v>
      </c>
      <c r="OFE16" s="3" t="s">
        <v>76</v>
      </c>
      <c r="OFF16" s="3" t="s">
        <v>77</v>
      </c>
      <c r="OFG16" s="3" t="s">
        <v>76</v>
      </c>
      <c r="OFH16" s="3" t="s">
        <v>77</v>
      </c>
      <c r="OFI16" s="3" t="s">
        <v>76</v>
      </c>
      <c r="OFJ16" s="3" t="s">
        <v>77</v>
      </c>
      <c r="OFK16" s="3" t="s">
        <v>76</v>
      </c>
      <c r="OFL16" s="3" t="s">
        <v>77</v>
      </c>
      <c r="OFM16" s="3" t="s">
        <v>76</v>
      </c>
      <c r="OFN16" s="3" t="s">
        <v>77</v>
      </c>
      <c r="OFO16" s="3" t="s">
        <v>76</v>
      </c>
      <c r="OFP16" s="3" t="s">
        <v>77</v>
      </c>
      <c r="OFQ16" s="3" t="s">
        <v>76</v>
      </c>
      <c r="OFR16" s="3" t="s">
        <v>77</v>
      </c>
      <c r="OFS16" s="3" t="s">
        <v>76</v>
      </c>
      <c r="OFT16" s="3" t="s">
        <v>77</v>
      </c>
      <c r="OFU16" s="3" t="s">
        <v>76</v>
      </c>
      <c r="OFV16" s="3" t="s">
        <v>77</v>
      </c>
      <c r="OFW16" s="3" t="s">
        <v>76</v>
      </c>
      <c r="OFX16" s="3" t="s">
        <v>77</v>
      </c>
      <c r="OFY16" s="3" t="s">
        <v>76</v>
      </c>
      <c r="OFZ16" s="3" t="s">
        <v>77</v>
      </c>
      <c r="OGA16" s="3" t="s">
        <v>76</v>
      </c>
      <c r="OGB16" s="3" t="s">
        <v>77</v>
      </c>
      <c r="OGC16" s="3" t="s">
        <v>76</v>
      </c>
      <c r="OGD16" s="3" t="s">
        <v>77</v>
      </c>
      <c r="OGE16" s="3" t="s">
        <v>76</v>
      </c>
      <c r="OGF16" s="3" t="s">
        <v>77</v>
      </c>
      <c r="OGG16" s="3" t="s">
        <v>76</v>
      </c>
      <c r="OGH16" s="3" t="s">
        <v>77</v>
      </c>
      <c r="OGI16" s="3" t="s">
        <v>76</v>
      </c>
      <c r="OGJ16" s="3" t="s">
        <v>77</v>
      </c>
      <c r="OGK16" s="3" t="s">
        <v>76</v>
      </c>
      <c r="OGL16" s="3" t="s">
        <v>77</v>
      </c>
      <c r="OGM16" s="3" t="s">
        <v>76</v>
      </c>
      <c r="OGN16" s="3" t="s">
        <v>77</v>
      </c>
      <c r="OGO16" s="3" t="s">
        <v>76</v>
      </c>
      <c r="OGP16" s="3" t="s">
        <v>77</v>
      </c>
      <c r="OGQ16" s="3" t="s">
        <v>76</v>
      </c>
      <c r="OGR16" s="3" t="s">
        <v>77</v>
      </c>
      <c r="OGS16" s="3" t="s">
        <v>76</v>
      </c>
      <c r="OGT16" s="3" t="s">
        <v>77</v>
      </c>
      <c r="OGU16" s="3" t="s">
        <v>76</v>
      </c>
      <c r="OGV16" s="3" t="s">
        <v>77</v>
      </c>
      <c r="OGW16" s="3" t="s">
        <v>76</v>
      </c>
      <c r="OGX16" s="3" t="s">
        <v>77</v>
      </c>
      <c r="OGY16" s="3" t="s">
        <v>76</v>
      </c>
      <c r="OGZ16" s="3" t="s">
        <v>77</v>
      </c>
      <c r="OHA16" s="3" t="s">
        <v>76</v>
      </c>
      <c r="OHB16" s="3" t="s">
        <v>77</v>
      </c>
      <c r="OHC16" s="3" t="s">
        <v>76</v>
      </c>
      <c r="OHD16" s="3" t="s">
        <v>77</v>
      </c>
      <c r="OHE16" s="3" t="s">
        <v>76</v>
      </c>
      <c r="OHF16" s="3" t="s">
        <v>77</v>
      </c>
      <c r="OHG16" s="3" t="s">
        <v>76</v>
      </c>
      <c r="OHH16" s="3" t="s">
        <v>77</v>
      </c>
      <c r="OHI16" s="3" t="s">
        <v>76</v>
      </c>
      <c r="OHJ16" s="3" t="s">
        <v>77</v>
      </c>
      <c r="OHK16" s="3" t="s">
        <v>76</v>
      </c>
      <c r="OHL16" s="3" t="s">
        <v>77</v>
      </c>
      <c r="OHM16" s="3" t="s">
        <v>76</v>
      </c>
      <c r="OHN16" s="3" t="s">
        <v>77</v>
      </c>
      <c r="OHO16" s="3" t="s">
        <v>76</v>
      </c>
      <c r="OHP16" s="3" t="s">
        <v>77</v>
      </c>
      <c r="OHQ16" s="3" t="s">
        <v>76</v>
      </c>
      <c r="OHR16" s="3" t="s">
        <v>77</v>
      </c>
      <c r="OHS16" s="3" t="s">
        <v>76</v>
      </c>
      <c r="OHT16" s="3" t="s">
        <v>77</v>
      </c>
      <c r="OHU16" s="3" t="s">
        <v>76</v>
      </c>
      <c r="OHV16" s="3" t="s">
        <v>77</v>
      </c>
      <c r="OHW16" s="3" t="s">
        <v>76</v>
      </c>
      <c r="OHX16" s="3" t="s">
        <v>77</v>
      </c>
      <c r="OHY16" s="3" t="s">
        <v>76</v>
      </c>
      <c r="OHZ16" s="3" t="s">
        <v>77</v>
      </c>
      <c r="OIA16" s="3" t="s">
        <v>76</v>
      </c>
      <c r="OIB16" s="3" t="s">
        <v>77</v>
      </c>
      <c r="OIC16" s="3" t="s">
        <v>76</v>
      </c>
      <c r="OID16" s="3" t="s">
        <v>77</v>
      </c>
      <c r="OIE16" s="3" t="s">
        <v>76</v>
      </c>
      <c r="OIF16" s="3" t="s">
        <v>77</v>
      </c>
      <c r="OIG16" s="3" t="s">
        <v>76</v>
      </c>
      <c r="OIH16" s="3" t="s">
        <v>77</v>
      </c>
      <c r="OII16" s="3" t="s">
        <v>76</v>
      </c>
      <c r="OIJ16" s="3" t="s">
        <v>77</v>
      </c>
      <c r="OIK16" s="3" t="s">
        <v>76</v>
      </c>
      <c r="OIL16" s="3" t="s">
        <v>77</v>
      </c>
      <c r="OIM16" s="3" t="s">
        <v>76</v>
      </c>
      <c r="OIN16" s="3" t="s">
        <v>77</v>
      </c>
      <c r="OIO16" s="3" t="s">
        <v>76</v>
      </c>
      <c r="OIP16" s="3" t="s">
        <v>77</v>
      </c>
      <c r="OIQ16" s="3" t="s">
        <v>76</v>
      </c>
      <c r="OIR16" s="3" t="s">
        <v>77</v>
      </c>
      <c r="OIS16" s="3" t="s">
        <v>76</v>
      </c>
      <c r="OIT16" s="3" t="s">
        <v>77</v>
      </c>
      <c r="OIU16" s="3" t="s">
        <v>76</v>
      </c>
      <c r="OIV16" s="3" t="s">
        <v>77</v>
      </c>
      <c r="OIW16" s="3" t="s">
        <v>76</v>
      </c>
      <c r="OIX16" s="3" t="s">
        <v>77</v>
      </c>
      <c r="OIY16" s="3" t="s">
        <v>76</v>
      </c>
      <c r="OIZ16" s="3" t="s">
        <v>77</v>
      </c>
      <c r="OJA16" s="3" t="s">
        <v>76</v>
      </c>
      <c r="OJB16" s="3" t="s">
        <v>77</v>
      </c>
      <c r="OJC16" s="3" t="s">
        <v>76</v>
      </c>
      <c r="OJD16" s="3" t="s">
        <v>77</v>
      </c>
      <c r="OJE16" s="3" t="s">
        <v>76</v>
      </c>
      <c r="OJF16" s="3" t="s">
        <v>77</v>
      </c>
      <c r="OJG16" s="3" t="s">
        <v>76</v>
      </c>
      <c r="OJH16" s="3" t="s">
        <v>77</v>
      </c>
      <c r="OJI16" s="3" t="s">
        <v>76</v>
      </c>
      <c r="OJJ16" s="3" t="s">
        <v>77</v>
      </c>
      <c r="OJK16" s="3" t="s">
        <v>76</v>
      </c>
      <c r="OJL16" s="3" t="s">
        <v>77</v>
      </c>
      <c r="OJM16" s="3" t="s">
        <v>76</v>
      </c>
      <c r="OJN16" s="3" t="s">
        <v>77</v>
      </c>
      <c r="OJO16" s="3" t="s">
        <v>76</v>
      </c>
      <c r="OJP16" s="3" t="s">
        <v>77</v>
      </c>
      <c r="OJQ16" s="3" t="s">
        <v>76</v>
      </c>
      <c r="OJR16" s="3" t="s">
        <v>77</v>
      </c>
      <c r="OJS16" s="3" t="s">
        <v>76</v>
      </c>
      <c r="OJT16" s="3" t="s">
        <v>77</v>
      </c>
      <c r="OJU16" s="3" t="s">
        <v>76</v>
      </c>
      <c r="OJV16" s="3" t="s">
        <v>77</v>
      </c>
      <c r="OJW16" s="3" t="s">
        <v>76</v>
      </c>
      <c r="OJX16" s="3" t="s">
        <v>77</v>
      </c>
      <c r="OJY16" s="3" t="s">
        <v>76</v>
      </c>
      <c r="OJZ16" s="3" t="s">
        <v>77</v>
      </c>
      <c r="OKA16" s="3" t="s">
        <v>76</v>
      </c>
      <c r="OKB16" s="3" t="s">
        <v>77</v>
      </c>
      <c r="OKC16" s="3" t="s">
        <v>76</v>
      </c>
      <c r="OKD16" s="3" t="s">
        <v>77</v>
      </c>
      <c r="OKE16" s="3" t="s">
        <v>76</v>
      </c>
      <c r="OKF16" s="3" t="s">
        <v>77</v>
      </c>
      <c r="OKG16" s="3" t="s">
        <v>76</v>
      </c>
      <c r="OKH16" s="3" t="s">
        <v>77</v>
      </c>
      <c r="OKI16" s="3" t="s">
        <v>76</v>
      </c>
      <c r="OKJ16" s="3" t="s">
        <v>77</v>
      </c>
      <c r="OKK16" s="3" t="s">
        <v>76</v>
      </c>
      <c r="OKL16" s="3" t="s">
        <v>77</v>
      </c>
      <c r="OKM16" s="3" t="s">
        <v>76</v>
      </c>
      <c r="OKN16" s="3" t="s">
        <v>77</v>
      </c>
      <c r="OKO16" s="3" t="s">
        <v>76</v>
      </c>
      <c r="OKP16" s="3" t="s">
        <v>77</v>
      </c>
      <c r="OKQ16" s="3" t="s">
        <v>76</v>
      </c>
      <c r="OKR16" s="3" t="s">
        <v>77</v>
      </c>
      <c r="OKS16" s="3" t="s">
        <v>76</v>
      </c>
      <c r="OKT16" s="3" t="s">
        <v>77</v>
      </c>
      <c r="OKU16" s="3" t="s">
        <v>76</v>
      </c>
      <c r="OKV16" s="3" t="s">
        <v>77</v>
      </c>
      <c r="OKW16" s="3" t="s">
        <v>76</v>
      </c>
      <c r="OKX16" s="3" t="s">
        <v>77</v>
      </c>
      <c r="OKY16" s="3" t="s">
        <v>76</v>
      </c>
      <c r="OKZ16" s="3" t="s">
        <v>77</v>
      </c>
      <c r="OLA16" s="3" t="s">
        <v>76</v>
      </c>
      <c r="OLB16" s="3" t="s">
        <v>77</v>
      </c>
      <c r="OLC16" s="3" t="s">
        <v>76</v>
      </c>
      <c r="OLD16" s="3" t="s">
        <v>77</v>
      </c>
      <c r="OLE16" s="3" t="s">
        <v>76</v>
      </c>
      <c r="OLF16" s="3" t="s">
        <v>77</v>
      </c>
      <c r="OLG16" s="3" t="s">
        <v>76</v>
      </c>
      <c r="OLH16" s="3" t="s">
        <v>77</v>
      </c>
      <c r="OLI16" s="3" t="s">
        <v>76</v>
      </c>
      <c r="OLJ16" s="3" t="s">
        <v>77</v>
      </c>
      <c r="OLK16" s="3" t="s">
        <v>76</v>
      </c>
      <c r="OLL16" s="3" t="s">
        <v>77</v>
      </c>
      <c r="OLM16" s="3" t="s">
        <v>76</v>
      </c>
      <c r="OLN16" s="3" t="s">
        <v>77</v>
      </c>
      <c r="OLO16" s="3" t="s">
        <v>76</v>
      </c>
      <c r="OLP16" s="3" t="s">
        <v>77</v>
      </c>
      <c r="OLQ16" s="3" t="s">
        <v>76</v>
      </c>
      <c r="OLR16" s="3" t="s">
        <v>77</v>
      </c>
      <c r="OLS16" s="3" t="s">
        <v>76</v>
      </c>
      <c r="OLT16" s="3" t="s">
        <v>77</v>
      </c>
      <c r="OLU16" s="3" t="s">
        <v>76</v>
      </c>
      <c r="OLV16" s="3" t="s">
        <v>77</v>
      </c>
      <c r="OLW16" s="3" t="s">
        <v>76</v>
      </c>
      <c r="OLX16" s="3" t="s">
        <v>77</v>
      </c>
      <c r="OLY16" s="3" t="s">
        <v>76</v>
      </c>
      <c r="OLZ16" s="3" t="s">
        <v>77</v>
      </c>
      <c r="OMA16" s="3" t="s">
        <v>76</v>
      </c>
      <c r="OMB16" s="3" t="s">
        <v>77</v>
      </c>
      <c r="OMC16" s="3" t="s">
        <v>76</v>
      </c>
      <c r="OMD16" s="3" t="s">
        <v>77</v>
      </c>
      <c r="OME16" s="3" t="s">
        <v>76</v>
      </c>
      <c r="OMF16" s="3" t="s">
        <v>77</v>
      </c>
      <c r="OMG16" s="3" t="s">
        <v>76</v>
      </c>
      <c r="OMH16" s="3" t="s">
        <v>77</v>
      </c>
      <c r="OMI16" s="3" t="s">
        <v>76</v>
      </c>
      <c r="OMJ16" s="3" t="s">
        <v>77</v>
      </c>
      <c r="OMK16" s="3" t="s">
        <v>76</v>
      </c>
      <c r="OML16" s="3" t="s">
        <v>77</v>
      </c>
      <c r="OMM16" s="3" t="s">
        <v>76</v>
      </c>
      <c r="OMN16" s="3" t="s">
        <v>77</v>
      </c>
      <c r="OMO16" s="3" t="s">
        <v>76</v>
      </c>
      <c r="OMP16" s="3" t="s">
        <v>77</v>
      </c>
      <c r="OMQ16" s="3" t="s">
        <v>76</v>
      </c>
      <c r="OMR16" s="3" t="s">
        <v>77</v>
      </c>
      <c r="OMS16" s="3" t="s">
        <v>76</v>
      </c>
      <c r="OMT16" s="3" t="s">
        <v>77</v>
      </c>
      <c r="OMU16" s="3" t="s">
        <v>76</v>
      </c>
      <c r="OMV16" s="3" t="s">
        <v>77</v>
      </c>
      <c r="OMW16" s="3" t="s">
        <v>76</v>
      </c>
      <c r="OMX16" s="3" t="s">
        <v>77</v>
      </c>
      <c r="OMY16" s="3" t="s">
        <v>76</v>
      </c>
      <c r="OMZ16" s="3" t="s">
        <v>77</v>
      </c>
      <c r="ONA16" s="3" t="s">
        <v>76</v>
      </c>
      <c r="ONB16" s="3" t="s">
        <v>77</v>
      </c>
      <c r="ONC16" s="3" t="s">
        <v>76</v>
      </c>
      <c r="OND16" s="3" t="s">
        <v>77</v>
      </c>
      <c r="ONE16" s="3" t="s">
        <v>76</v>
      </c>
      <c r="ONF16" s="3" t="s">
        <v>77</v>
      </c>
      <c r="ONG16" s="3" t="s">
        <v>76</v>
      </c>
      <c r="ONH16" s="3" t="s">
        <v>77</v>
      </c>
      <c r="ONI16" s="3" t="s">
        <v>76</v>
      </c>
      <c r="ONJ16" s="3" t="s">
        <v>77</v>
      </c>
      <c r="ONK16" s="3" t="s">
        <v>76</v>
      </c>
      <c r="ONL16" s="3" t="s">
        <v>77</v>
      </c>
      <c r="ONM16" s="3" t="s">
        <v>76</v>
      </c>
      <c r="ONN16" s="3" t="s">
        <v>77</v>
      </c>
      <c r="ONO16" s="3" t="s">
        <v>76</v>
      </c>
      <c r="ONP16" s="3" t="s">
        <v>77</v>
      </c>
      <c r="ONQ16" s="3" t="s">
        <v>76</v>
      </c>
      <c r="ONR16" s="3" t="s">
        <v>77</v>
      </c>
      <c r="ONS16" s="3" t="s">
        <v>76</v>
      </c>
      <c r="ONT16" s="3" t="s">
        <v>77</v>
      </c>
      <c r="ONU16" s="3" t="s">
        <v>76</v>
      </c>
      <c r="ONV16" s="3" t="s">
        <v>77</v>
      </c>
      <c r="ONW16" s="3" t="s">
        <v>76</v>
      </c>
      <c r="ONX16" s="3" t="s">
        <v>77</v>
      </c>
      <c r="ONY16" s="3" t="s">
        <v>76</v>
      </c>
      <c r="ONZ16" s="3" t="s">
        <v>77</v>
      </c>
      <c r="OOA16" s="3" t="s">
        <v>76</v>
      </c>
      <c r="OOB16" s="3" t="s">
        <v>77</v>
      </c>
      <c r="OOC16" s="3" t="s">
        <v>76</v>
      </c>
      <c r="OOD16" s="3" t="s">
        <v>77</v>
      </c>
      <c r="OOE16" s="3" t="s">
        <v>76</v>
      </c>
      <c r="OOF16" s="3" t="s">
        <v>77</v>
      </c>
      <c r="OOG16" s="3" t="s">
        <v>76</v>
      </c>
      <c r="OOH16" s="3" t="s">
        <v>77</v>
      </c>
      <c r="OOI16" s="3" t="s">
        <v>76</v>
      </c>
      <c r="OOJ16" s="3" t="s">
        <v>77</v>
      </c>
      <c r="OOK16" s="3" t="s">
        <v>76</v>
      </c>
      <c r="OOL16" s="3" t="s">
        <v>77</v>
      </c>
      <c r="OOM16" s="3" t="s">
        <v>76</v>
      </c>
      <c r="OON16" s="3" t="s">
        <v>77</v>
      </c>
      <c r="OOO16" s="3" t="s">
        <v>76</v>
      </c>
      <c r="OOP16" s="3" t="s">
        <v>77</v>
      </c>
      <c r="OOQ16" s="3" t="s">
        <v>76</v>
      </c>
      <c r="OOR16" s="3" t="s">
        <v>77</v>
      </c>
      <c r="OOS16" s="3" t="s">
        <v>76</v>
      </c>
      <c r="OOT16" s="3" t="s">
        <v>77</v>
      </c>
      <c r="OOU16" s="3" t="s">
        <v>76</v>
      </c>
      <c r="OOV16" s="3" t="s">
        <v>77</v>
      </c>
      <c r="OOW16" s="3" t="s">
        <v>76</v>
      </c>
      <c r="OOX16" s="3" t="s">
        <v>77</v>
      </c>
      <c r="OOY16" s="3" t="s">
        <v>76</v>
      </c>
      <c r="OOZ16" s="3" t="s">
        <v>77</v>
      </c>
      <c r="OPA16" s="3" t="s">
        <v>76</v>
      </c>
      <c r="OPB16" s="3" t="s">
        <v>77</v>
      </c>
      <c r="OPC16" s="3" t="s">
        <v>76</v>
      </c>
      <c r="OPD16" s="3" t="s">
        <v>77</v>
      </c>
      <c r="OPE16" s="3" t="s">
        <v>76</v>
      </c>
      <c r="OPF16" s="3" t="s">
        <v>77</v>
      </c>
      <c r="OPG16" s="3" t="s">
        <v>76</v>
      </c>
      <c r="OPH16" s="3" t="s">
        <v>77</v>
      </c>
      <c r="OPI16" s="3" t="s">
        <v>76</v>
      </c>
      <c r="OPJ16" s="3" t="s">
        <v>77</v>
      </c>
      <c r="OPK16" s="3" t="s">
        <v>76</v>
      </c>
      <c r="OPL16" s="3" t="s">
        <v>77</v>
      </c>
      <c r="OPM16" s="3" t="s">
        <v>76</v>
      </c>
      <c r="OPN16" s="3" t="s">
        <v>77</v>
      </c>
      <c r="OPO16" s="3" t="s">
        <v>76</v>
      </c>
      <c r="OPP16" s="3" t="s">
        <v>77</v>
      </c>
      <c r="OPQ16" s="3" t="s">
        <v>76</v>
      </c>
      <c r="OPR16" s="3" t="s">
        <v>77</v>
      </c>
      <c r="OPS16" s="3" t="s">
        <v>76</v>
      </c>
      <c r="OPT16" s="3" t="s">
        <v>77</v>
      </c>
      <c r="OPU16" s="3" t="s">
        <v>76</v>
      </c>
      <c r="OPV16" s="3" t="s">
        <v>77</v>
      </c>
      <c r="OPW16" s="3" t="s">
        <v>76</v>
      </c>
      <c r="OPX16" s="3" t="s">
        <v>77</v>
      </c>
      <c r="OPY16" s="3" t="s">
        <v>76</v>
      </c>
      <c r="OPZ16" s="3" t="s">
        <v>77</v>
      </c>
      <c r="OQA16" s="3" t="s">
        <v>76</v>
      </c>
      <c r="OQB16" s="3" t="s">
        <v>77</v>
      </c>
      <c r="OQC16" s="3" t="s">
        <v>76</v>
      </c>
      <c r="OQD16" s="3" t="s">
        <v>77</v>
      </c>
      <c r="OQE16" s="3" t="s">
        <v>76</v>
      </c>
      <c r="OQF16" s="3" t="s">
        <v>77</v>
      </c>
      <c r="OQG16" s="3" t="s">
        <v>76</v>
      </c>
      <c r="OQH16" s="3" t="s">
        <v>77</v>
      </c>
      <c r="OQI16" s="3" t="s">
        <v>76</v>
      </c>
      <c r="OQJ16" s="3" t="s">
        <v>77</v>
      </c>
      <c r="OQK16" s="3" t="s">
        <v>76</v>
      </c>
      <c r="OQL16" s="3" t="s">
        <v>77</v>
      </c>
      <c r="OQM16" s="3" t="s">
        <v>76</v>
      </c>
      <c r="OQN16" s="3" t="s">
        <v>77</v>
      </c>
      <c r="OQO16" s="3" t="s">
        <v>76</v>
      </c>
      <c r="OQP16" s="3" t="s">
        <v>77</v>
      </c>
      <c r="OQQ16" s="3" t="s">
        <v>76</v>
      </c>
      <c r="OQR16" s="3" t="s">
        <v>77</v>
      </c>
      <c r="OQS16" s="3" t="s">
        <v>76</v>
      </c>
      <c r="OQT16" s="3" t="s">
        <v>77</v>
      </c>
      <c r="OQU16" s="3" t="s">
        <v>76</v>
      </c>
      <c r="OQV16" s="3" t="s">
        <v>77</v>
      </c>
      <c r="OQW16" s="3" t="s">
        <v>76</v>
      </c>
      <c r="OQX16" s="3" t="s">
        <v>77</v>
      </c>
      <c r="OQY16" s="3" t="s">
        <v>76</v>
      </c>
      <c r="OQZ16" s="3" t="s">
        <v>77</v>
      </c>
      <c r="ORA16" s="3" t="s">
        <v>76</v>
      </c>
      <c r="ORB16" s="3" t="s">
        <v>77</v>
      </c>
      <c r="ORC16" s="3" t="s">
        <v>76</v>
      </c>
      <c r="ORD16" s="3" t="s">
        <v>77</v>
      </c>
      <c r="ORE16" s="3" t="s">
        <v>76</v>
      </c>
      <c r="ORF16" s="3" t="s">
        <v>77</v>
      </c>
      <c r="ORG16" s="3" t="s">
        <v>76</v>
      </c>
      <c r="ORH16" s="3" t="s">
        <v>77</v>
      </c>
      <c r="ORI16" s="3" t="s">
        <v>76</v>
      </c>
      <c r="ORJ16" s="3" t="s">
        <v>77</v>
      </c>
      <c r="ORK16" s="3" t="s">
        <v>76</v>
      </c>
      <c r="ORL16" s="3" t="s">
        <v>77</v>
      </c>
      <c r="ORM16" s="3" t="s">
        <v>76</v>
      </c>
      <c r="ORN16" s="3" t="s">
        <v>77</v>
      </c>
      <c r="ORO16" s="3" t="s">
        <v>76</v>
      </c>
      <c r="ORP16" s="3" t="s">
        <v>77</v>
      </c>
      <c r="ORQ16" s="3" t="s">
        <v>76</v>
      </c>
      <c r="ORR16" s="3" t="s">
        <v>77</v>
      </c>
      <c r="ORS16" s="3" t="s">
        <v>76</v>
      </c>
      <c r="ORT16" s="3" t="s">
        <v>77</v>
      </c>
      <c r="ORU16" s="3" t="s">
        <v>76</v>
      </c>
      <c r="ORV16" s="3" t="s">
        <v>77</v>
      </c>
      <c r="ORW16" s="3" t="s">
        <v>76</v>
      </c>
      <c r="ORX16" s="3" t="s">
        <v>77</v>
      </c>
      <c r="ORY16" s="3" t="s">
        <v>76</v>
      </c>
      <c r="ORZ16" s="3" t="s">
        <v>77</v>
      </c>
      <c r="OSA16" s="3" t="s">
        <v>76</v>
      </c>
      <c r="OSB16" s="3" t="s">
        <v>77</v>
      </c>
      <c r="OSC16" s="3" t="s">
        <v>76</v>
      </c>
      <c r="OSD16" s="3" t="s">
        <v>77</v>
      </c>
      <c r="OSE16" s="3" t="s">
        <v>76</v>
      </c>
      <c r="OSF16" s="3" t="s">
        <v>77</v>
      </c>
      <c r="OSG16" s="3" t="s">
        <v>76</v>
      </c>
      <c r="OSH16" s="3" t="s">
        <v>77</v>
      </c>
      <c r="OSI16" s="3" t="s">
        <v>76</v>
      </c>
      <c r="OSJ16" s="3" t="s">
        <v>77</v>
      </c>
      <c r="OSK16" s="3" t="s">
        <v>76</v>
      </c>
      <c r="OSL16" s="3" t="s">
        <v>77</v>
      </c>
      <c r="OSM16" s="3" t="s">
        <v>76</v>
      </c>
      <c r="OSN16" s="3" t="s">
        <v>77</v>
      </c>
      <c r="OSO16" s="3" t="s">
        <v>76</v>
      </c>
      <c r="OSP16" s="3" t="s">
        <v>77</v>
      </c>
      <c r="OSQ16" s="3" t="s">
        <v>76</v>
      </c>
      <c r="OSR16" s="3" t="s">
        <v>77</v>
      </c>
      <c r="OSS16" s="3" t="s">
        <v>76</v>
      </c>
      <c r="OST16" s="3" t="s">
        <v>77</v>
      </c>
      <c r="OSU16" s="3" t="s">
        <v>76</v>
      </c>
      <c r="OSV16" s="3" t="s">
        <v>77</v>
      </c>
      <c r="OSW16" s="3" t="s">
        <v>76</v>
      </c>
      <c r="OSX16" s="3" t="s">
        <v>77</v>
      </c>
      <c r="OSY16" s="3" t="s">
        <v>76</v>
      </c>
      <c r="OSZ16" s="3" t="s">
        <v>77</v>
      </c>
      <c r="OTA16" s="3" t="s">
        <v>76</v>
      </c>
      <c r="OTB16" s="3" t="s">
        <v>77</v>
      </c>
      <c r="OTC16" s="3" t="s">
        <v>76</v>
      </c>
      <c r="OTD16" s="3" t="s">
        <v>77</v>
      </c>
      <c r="OTE16" s="3" t="s">
        <v>76</v>
      </c>
      <c r="OTF16" s="3" t="s">
        <v>77</v>
      </c>
      <c r="OTG16" s="3" t="s">
        <v>76</v>
      </c>
      <c r="OTH16" s="3" t="s">
        <v>77</v>
      </c>
      <c r="OTI16" s="3" t="s">
        <v>76</v>
      </c>
      <c r="OTJ16" s="3" t="s">
        <v>77</v>
      </c>
      <c r="OTK16" s="3" t="s">
        <v>76</v>
      </c>
      <c r="OTL16" s="3" t="s">
        <v>77</v>
      </c>
      <c r="OTM16" s="3" t="s">
        <v>76</v>
      </c>
      <c r="OTN16" s="3" t="s">
        <v>77</v>
      </c>
      <c r="OTO16" s="3" t="s">
        <v>76</v>
      </c>
      <c r="OTP16" s="3" t="s">
        <v>77</v>
      </c>
      <c r="OTQ16" s="3" t="s">
        <v>76</v>
      </c>
      <c r="OTR16" s="3" t="s">
        <v>77</v>
      </c>
      <c r="OTS16" s="3" t="s">
        <v>76</v>
      </c>
      <c r="OTT16" s="3" t="s">
        <v>77</v>
      </c>
      <c r="OTU16" s="3" t="s">
        <v>76</v>
      </c>
      <c r="OTV16" s="3" t="s">
        <v>77</v>
      </c>
      <c r="OTW16" s="3" t="s">
        <v>76</v>
      </c>
      <c r="OTX16" s="3" t="s">
        <v>77</v>
      </c>
      <c r="OTY16" s="3" t="s">
        <v>76</v>
      </c>
      <c r="OTZ16" s="3" t="s">
        <v>77</v>
      </c>
      <c r="OUA16" s="3" t="s">
        <v>76</v>
      </c>
      <c r="OUB16" s="3" t="s">
        <v>77</v>
      </c>
      <c r="OUC16" s="3" t="s">
        <v>76</v>
      </c>
      <c r="OUD16" s="3" t="s">
        <v>77</v>
      </c>
      <c r="OUE16" s="3" t="s">
        <v>76</v>
      </c>
      <c r="OUF16" s="3" t="s">
        <v>77</v>
      </c>
      <c r="OUG16" s="3" t="s">
        <v>76</v>
      </c>
      <c r="OUH16" s="3" t="s">
        <v>77</v>
      </c>
      <c r="OUI16" s="3" t="s">
        <v>76</v>
      </c>
      <c r="OUJ16" s="3" t="s">
        <v>77</v>
      </c>
      <c r="OUK16" s="3" t="s">
        <v>76</v>
      </c>
      <c r="OUL16" s="3" t="s">
        <v>77</v>
      </c>
      <c r="OUM16" s="3" t="s">
        <v>76</v>
      </c>
      <c r="OUN16" s="3" t="s">
        <v>77</v>
      </c>
      <c r="OUO16" s="3" t="s">
        <v>76</v>
      </c>
      <c r="OUP16" s="3" t="s">
        <v>77</v>
      </c>
      <c r="OUQ16" s="3" t="s">
        <v>76</v>
      </c>
      <c r="OUR16" s="3" t="s">
        <v>77</v>
      </c>
      <c r="OUS16" s="3" t="s">
        <v>76</v>
      </c>
      <c r="OUT16" s="3" t="s">
        <v>77</v>
      </c>
      <c r="OUU16" s="3" t="s">
        <v>76</v>
      </c>
      <c r="OUV16" s="3" t="s">
        <v>77</v>
      </c>
      <c r="OUW16" s="3" t="s">
        <v>76</v>
      </c>
      <c r="OUX16" s="3" t="s">
        <v>77</v>
      </c>
      <c r="OUY16" s="3" t="s">
        <v>76</v>
      </c>
      <c r="OUZ16" s="3" t="s">
        <v>77</v>
      </c>
      <c r="OVA16" s="3" t="s">
        <v>76</v>
      </c>
      <c r="OVB16" s="3" t="s">
        <v>77</v>
      </c>
      <c r="OVC16" s="3" t="s">
        <v>76</v>
      </c>
      <c r="OVD16" s="3" t="s">
        <v>77</v>
      </c>
      <c r="OVE16" s="3" t="s">
        <v>76</v>
      </c>
      <c r="OVF16" s="3" t="s">
        <v>77</v>
      </c>
      <c r="OVG16" s="3" t="s">
        <v>76</v>
      </c>
      <c r="OVH16" s="3" t="s">
        <v>77</v>
      </c>
      <c r="OVI16" s="3" t="s">
        <v>76</v>
      </c>
      <c r="OVJ16" s="3" t="s">
        <v>77</v>
      </c>
      <c r="OVK16" s="3" t="s">
        <v>76</v>
      </c>
      <c r="OVL16" s="3" t="s">
        <v>77</v>
      </c>
      <c r="OVM16" s="3" t="s">
        <v>76</v>
      </c>
      <c r="OVN16" s="3" t="s">
        <v>77</v>
      </c>
      <c r="OVO16" s="3" t="s">
        <v>76</v>
      </c>
      <c r="OVP16" s="3" t="s">
        <v>77</v>
      </c>
      <c r="OVQ16" s="3" t="s">
        <v>76</v>
      </c>
      <c r="OVR16" s="3" t="s">
        <v>77</v>
      </c>
      <c r="OVS16" s="3" t="s">
        <v>76</v>
      </c>
      <c r="OVT16" s="3" t="s">
        <v>77</v>
      </c>
      <c r="OVU16" s="3" t="s">
        <v>76</v>
      </c>
      <c r="OVV16" s="3" t="s">
        <v>77</v>
      </c>
      <c r="OVW16" s="3" t="s">
        <v>76</v>
      </c>
      <c r="OVX16" s="3" t="s">
        <v>77</v>
      </c>
      <c r="OVY16" s="3" t="s">
        <v>76</v>
      </c>
      <c r="OVZ16" s="3" t="s">
        <v>77</v>
      </c>
      <c r="OWA16" s="3" t="s">
        <v>76</v>
      </c>
      <c r="OWB16" s="3" t="s">
        <v>77</v>
      </c>
      <c r="OWC16" s="3" t="s">
        <v>76</v>
      </c>
      <c r="OWD16" s="3" t="s">
        <v>77</v>
      </c>
      <c r="OWE16" s="3" t="s">
        <v>76</v>
      </c>
      <c r="OWF16" s="3" t="s">
        <v>77</v>
      </c>
      <c r="OWG16" s="3" t="s">
        <v>76</v>
      </c>
      <c r="OWH16" s="3" t="s">
        <v>77</v>
      </c>
      <c r="OWI16" s="3" t="s">
        <v>76</v>
      </c>
      <c r="OWJ16" s="3" t="s">
        <v>77</v>
      </c>
      <c r="OWK16" s="3" t="s">
        <v>76</v>
      </c>
      <c r="OWL16" s="3" t="s">
        <v>77</v>
      </c>
      <c r="OWM16" s="3" t="s">
        <v>76</v>
      </c>
      <c r="OWN16" s="3" t="s">
        <v>77</v>
      </c>
      <c r="OWO16" s="3" t="s">
        <v>76</v>
      </c>
      <c r="OWP16" s="3" t="s">
        <v>77</v>
      </c>
      <c r="OWQ16" s="3" t="s">
        <v>76</v>
      </c>
      <c r="OWR16" s="3" t="s">
        <v>77</v>
      </c>
      <c r="OWS16" s="3" t="s">
        <v>76</v>
      </c>
      <c r="OWT16" s="3" t="s">
        <v>77</v>
      </c>
      <c r="OWU16" s="3" t="s">
        <v>76</v>
      </c>
      <c r="OWV16" s="3" t="s">
        <v>77</v>
      </c>
      <c r="OWW16" s="3" t="s">
        <v>76</v>
      </c>
      <c r="OWX16" s="3" t="s">
        <v>77</v>
      </c>
      <c r="OWY16" s="3" t="s">
        <v>76</v>
      </c>
      <c r="OWZ16" s="3" t="s">
        <v>77</v>
      </c>
      <c r="OXA16" s="3" t="s">
        <v>76</v>
      </c>
      <c r="OXB16" s="3" t="s">
        <v>77</v>
      </c>
      <c r="OXC16" s="3" t="s">
        <v>76</v>
      </c>
      <c r="OXD16" s="3" t="s">
        <v>77</v>
      </c>
      <c r="OXE16" s="3" t="s">
        <v>76</v>
      </c>
      <c r="OXF16" s="3" t="s">
        <v>77</v>
      </c>
      <c r="OXG16" s="3" t="s">
        <v>76</v>
      </c>
      <c r="OXH16" s="3" t="s">
        <v>77</v>
      </c>
      <c r="OXI16" s="3" t="s">
        <v>76</v>
      </c>
      <c r="OXJ16" s="3" t="s">
        <v>77</v>
      </c>
      <c r="OXK16" s="3" t="s">
        <v>76</v>
      </c>
      <c r="OXL16" s="3" t="s">
        <v>77</v>
      </c>
      <c r="OXM16" s="3" t="s">
        <v>76</v>
      </c>
      <c r="OXN16" s="3" t="s">
        <v>77</v>
      </c>
      <c r="OXO16" s="3" t="s">
        <v>76</v>
      </c>
      <c r="OXP16" s="3" t="s">
        <v>77</v>
      </c>
      <c r="OXQ16" s="3" t="s">
        <v>76</v>
      </c>
      <c r="OXR16" s="3" t="s">
        <v>77</v>
      </c>
      <c r="OXS16" s="3" t="s">
        <v>76</v>
      </c>
      <c r="OXT16" s="3" t="s">
        <v>77</v>
      </c>
      <c r="OXU16" s="3" t="s">
        <v>76</v>
      </c>
      <c r="OXV16" s="3" t="s">
        <v>77</v>
      </c>
      <c r="OXW16" s="3" t="s">
        <v>76</v>
      </c>
      <c r="OXX16" s="3" t="s">
        <v>77</v>
      </c>
      <c r="OXY16" s="3" t="s">
        <v>76</v>
      </c>
      <c r="OXZ16" s="3" t="s">
        <v>77</v>
      </c>
      <c r="OYA16" s="3" t="s">
        <v>76</v>
      </c>
      <c r="OYB16" s="3" t="s">
        <v>77</v>
      </c>
      <c r="OYC16" s="3" t="s">
        <v>76</v>
      </c>
      <c r="OYD16" s="3" t="s">
        <v>77</v>
      </c>
      <c r="OYE16" s="3" t="s">
        <v>76</v>
      </c>
      <c r="OYF16" s="3" t="s">
        <v>77</v>
      </c>
      <c r="OYG16" s="3" t="s">
        <v>76</v>
      </c>
      <c r="OYH16" s="3" t="s">
        <v>77</v>
      </c>
      <c r="OYI16" s="3" t="s">
        <v>76</v>
      </c>
      <c r="OYJ16" s="3" t="s">
        <v>77</v>
      </c>
      <c r="OYK16" s="3" t="s">
        <v>76</v>
      </c>
      <c r="OYL16" s="3" t="s">
        <v>77</v>
      </c>
      <c r="OYM16" s="3" t="s">
        <v>76</v>
      </c>
      <c r="OYN16" s="3" t="s">
        <v>77</v>
      </c>
      <c r="OYO16" s="3" t="s">
        <v>76</v>
      </c>
      <c r="OYP16" s="3" t="s">
        <v>77</v>
      </c>
      <c r="OYQ16" s="3" t="s">
        <v>76</v>
      </c>
      <c r="OYR16" s="3" t="s">
        <v>77</v>
      </c>
      <c r="OYS16" s="3" t="s">
        <v>76</v>
      </c>
      <c r="OYT16" s="3" t="s">
        <v>77</v>
      </c>
      <c r="OYU16" s="3" t="s">
        <v>76</v>
      </c>
      <c r="OYV16" s="3" t="s">
        <v>77</v>
      </c>
      <c r="OYW16" s="3" t="s">
        <v>76</v>
      </c>
      <c r="OYX16" s="3" t="s">
        <v>77</v>
      </c>
      <c r="OYY16" s="3" t="s">
        <v>76</v>
      </c>
      <c r="OYZ16" s="3" t="s">
        <v>77</v>
      </c>
      <c r="OZA16" s="3" t="s">
        <v>76</v>
      </c>
      <c r="OZB16" s="3" t="s">
        <v>77</v>
      </c>
      <c r="OZC16" s="3" t="s">
        <v>76</v>
      </c>
      <c r="OZD16" s="3" t="s">
        <v>77</v>
      </c>
      <c r="OZE16" s="3" t="s">
        <v>76</v>
      </c>
      <c r="OZF16" s="3" t="s">
        <v>77</v>
      </c>
      <c r="OZG16" s="3" t="s">
        <v>76</v>
      </c>
      <c r="OZH16" s="3" t="s">
        <v>77</v>
      </c>
      <c r="OZI16" s="3" t="s">
        <v>76</v>
      </c>
      <c r="OZJ16" s="3" t="s">
        <v>77</v>
      </c>
      <c r="OZK16" s="3" t="s">
        <v>76</v>
      </c>
      <c r="OZL16" s="3" t="s">
        <v>77</v>
      </c>
      <c r="OZM16" s="3" t="s">
        <v>76</v>
      </c>
      <c r="OZN16" s="3" t="s">
        <v>77</v>
      </c>
      <c r="OZO16" s="3" t="s">
        <v>76</v>
      </c>
      <c r="OZP16" s="3" t="s">
        <v>77</v>
      </c>
      <c r="OZQ16" s="3" t="s">
        <v>76</v>
      </c>
      <c r="OZR16" s="3" t="s">
        <v>77</v>
      </c>
      <c r="OZS16" s="3" t="s">
        <v>76</v>
      </c>
      <c r="OZT16" s="3" t="s">
        <v>77</v>
      </c>
      <c r="OZU16" s="3" t="s">
        <v>76</v>
      </c>
      <c r="OZV16" s="3" t="s">
        <v>77</v>
      </c>
      <c r="OZW16" s="3" t="s">
        <v>76</v>
      </c>
      <c r="OZX16" s="3" t="s">
        <v>77</v>
      </c>
      <c r="OZY16" s="3" t="s">
        <v>76</v>
      </c>
      <c r="OZZ16" s="3" t="s">
        <v>77</v>
      </c>
      <c r="PAA16" s="3" t="s">
        <v>76</v>
      </c>
      <c r="PAB16" s="3" t="s">
        <v>77</v>
      </c>
      <c r="PAC16" s="3" t="s">
        <v>76</v>
      </c>
      <c r="PAD16" s="3" t="s">
        <v>77</v>
      </c>
      <c r="PAE16" s="3" t="s">
        <v>76</v>
      </c>
      <c r="PAF16" s="3" t="s">
        <v>77</v>
      </c>
      <c r="PAG16" s="3" t="s">
        <v>76</v>
      </c>
      <c r="PAH16" s="3" t="s">
        <v>77</v>
      </c>
      <c r="PAI16" s="3" t="s">
        <v>76</v>
      </c>
      <c r="PAJ16" s="3" t="s">
        <v>77</v>
      </c>
      <c r="PAK16" s="3" t="s">
        <v>76</v>
      </c>
      <c r="PAL16" s="3" t="s">
        <v>77</v>
      </c>
      <c r="PAM16" s="3" t="s">
        <v>76</v>
      </c>
      <c r="PAN16" s="3" t="s">
        <v>77</v>
      </c>
      <c r="PAO16" s="3" t="s">
        <v>76</v>
      </c>
      <c r="PAP16" s="3" t="s">
        <v>77</v>
      </c>
      <c r="PAQ16" s="3" t="s">
        <v>76</v>
      </c>
      <c r="PAR16" s="3" t="s">
        <v>77</v>
      </c>
      <c r="PAS16" s="3" t="s">
        <v>76</v>
      </c>
      <c r="PAT16" s="3" t="s">
        <v>77</v>
      </c>
      <c r="PAU16" s="3" t="s">
        <v>76</v>
      </c>
      <c r="PAV16" s="3" t="s">
        <v>77</v>
      </c>
      <c r="PAW16" s="3" t="s">
        <v>76</v>
      </c>
      <c r="PAX16" s="3" t="s">
        <v>77</v>
      </c>
      <c r="PAY16" s="3" t="s">
        <v>76</v>
      </c>
      <c r="PAZ16" s="3" t="s">
        <v>77</v>
      </c>
      <c r="PBA16" s="3" t="s">
        <v>76</v>
      </c>
      <c r="PBB16" s="3" t="s">
        <v>77</v>
      </c>
      <c r="PBC16" s="3" t="s">
        <v>76</v>
      </c>
      <c r="PBD16" s="3" t="s">
        <v>77</v>
      </c>
      <c r="PBE16" s="3" t="s">
        <v>76</v>
      </c>
      <c r="PBF16" s="3" t="s">
        <v>77</v>
      </c>
      <c r="PBG16" s="3" t="s">
        <v>76</v>
      </c>
      <c r="PBH16" s="3" t="s">
        <v>77</v>
      </c>
      <c r="PBI16" s="3" t="s">
        <v>76</v>
      </c>
      <c r="PBJ16" s="3" t="s">
        <v>77</v>
      </c>
      <c r="PBK16" s="3" t="s">
        <v>76</v>
      </c>
      <c r="PBL16" s="3" t="s">
        <v>77</v>
      </c>
      <c r="PBM16" s="3" t="s">
        <v>76</v>
      </c>
      <c r="PBN16" s="3" t="s">
        <v>77</v>
      </c>
      <c r="PBO16" s="3" t="s">
        <v>76</v>
      </c>
      <c r="PBP16" s="3" t="s">
        <v>77</v>
      </c>
      <c r="PBQ16" s="3" t="s">
        <v>76</v>
      </c>
      <c r="PBR16" s="3" t="s">
        <v>77</v>
      </c>
      <c r="PBS16" s="3" t="s">
        <v>76</v>
      </c>
      <c r="PBT16" s="3" t="s">
        <v>77</v>
      </c>
      <c r="PBU16" s="3" t="s">
        <v>76</v>
      </c>
      <c r="PBV16" s="3" t="s">
        <v>77</v>
      </c>
      <c r="PBW16" s="3" t="s">
        <v>76</v>
      </c>
      <c r="PBX16" s="3" t="s">
        <v>77</v>
      </c>
      <c r="PBY16" s="3" t="s">
        <v>76</v>
      </c>
      <c r="PBZ16" s="3" t="s">
        <v>77</v>
      </c>
      <c r="PCA16" s="3" t="s">
        <v>76</v>
      </c>
      <c r="PCB16" s="3" t="s">
        <v>77</v>
      </c>
      <c r="PCC16" s="3" t="s">
        <v>76</v>
      </c>
      <c r="PCD16" s="3" t="s">
        <v>77</v>
      </c>
      <c r="PCE16" s="3" t="s">
        <v>76</v>
      </c>
      <c r="PCF16" s="3" t="s">
        <v>77</v>
      </c>
      <c r="PCG16" s="3" t="s">
        <v>76</v>
      </c>
      <c r="PCH16" s="3" t="s">
        <v>77</v>
      </c>
      <c r="PCI16" s="3" t="s">
        <v>76</v>
      </c>
      <c r="PCJ16" s="3" t="s">
        <v>77</v>
      </c>
      <c r="PCK16" s="3" t="s">
        <v>76</v>
      </c>
      <c r="PCL16" s="3" t="s">
        <v>77</v>
      </c>
      <c r="PCM16" s="3" t="s">
        <v>76</v>
      </c>
      <c r="PCN16" s="3" t="s">
        <v>77</v>
      </c>
      <c r="PCO16" s="3" t="s">
        <v>76</v>
      </c>
      <c r="PCP16" s="3" t="s">
        <v>77</v>
      </c>
      <c r="PCQ16" s="3" t="s">
        <v>76</v>
      </c>
      <c r="PCR16" s="3" t="s">
        <v>77</v>
      </c>
      <c r="PCS16" s="3" t="s">
        <v>76</v>
      </c>
      <c r="PCT16" s="3" t="s">
        <v>77</v>
      </c>
      <c r="PCU16" s="3" t="s">
        <v>76</v>
      </c>
      <c r="PCV16" s="3" t="s">
        <v>77</v>
      </c>
      <c r="PCW16" s="3" t="s">
        <v>76</v>
      </c>
      <c r="PCX16" s="3" t="s">
        <v>77</v>
      </c>
      <c r="PCY16" s="3" t="s">
        <v>76</v>
      </c>
      <c r="PCZ16" s="3" t="s">
        <v>77</v>
      </c>
      <c r="PDA16" s="3" t="s">
        <v>76</v>
      </c>
      <c r="PDB16" s="3" t="s">
        <v>77</v>
      </c>
      <c r="PDC16" s="3" t="s">
        <v>76</v>
      </c>
      <c r="PDD16" s="3" t="s">
        <v>77</v>
      </c>
      <c r="PDE16" s="3" t="s">
        <v>76</v>
      </c>
      <c r="PDF16" s="3" t="s">
        <v>77</v>
      </c>
      <c r="PDG16" s="3" t="s">
        <v>76</v>
      </c>
      <c r="PDH16" s="3" t="s">
        <v>77</v>
      </c>
      <c r="PDI16" s="3" t="s">
        <v>76</v>
      </c>
      <c r="PDJ16" s="3" t="s">
        <v>77</v>
      </c>
      <c r="PDK16" s="3" t="s">
        <v>76</v>
      </c>
      <c r="PDL16" s="3" t="s">
        <v>77</v>
      </c>
      <c r="PDM16" s="3" t="s">
        <v>76</v>
      </c>
      <c r="PDN16" s="3" t="s">
        <v>77</v>
      </c>
      <c r="PDO16" s="3" t="s">
        <v>76</v>
      </c>
      <c r="PDP16" s="3" t="s">
        <v>77</v>
      </c>
      <c r="PDQ16" s="3" t="s">
        <v>76</v>
      </c>
      <c r="PDR16" s="3" t="s">
        <v>77</v>
      </c>
      <c r="PDS16" s="3" t="s">
        <v>76</v>
      </c>
      <c r="PDT16" s="3" t="s">
        <v>77</v>
      </c>
      <c r="PDU16" s="3" t="s">
        <v>76</v>
      </c>
      <c r="PDV16" s="3" t="s">
        <v>77</v>
      </c>
      <c r="PDW16" s="3" t="s">
        <v>76</v>
      </c>
      <c r="PDX16" s="3" t="s">
        <v>77</v>
      </c>
      <c r="PDY16" s="3" t="s">
        <v>76</v>
      </c>
      <c r="PDZ16" s="3" t="s">
        <v>77</v>
      </c>
      <c r="PEA16" s="3" t="s">
        <v>76</v>
      </c>
      <c r="PEB16" s="3" t="s">
        <v>77</v>
      </c>
      <c r="PEC16" s="3" t="s">
        <v>76</v>
      </c>
      <c r="PED16" s="3" t="s">
        <v>77</v>
      </c>
      <c r="PEE16" s="3" t="s">
        <v>76</v>
      </c>
      <c r="PEF16" s="3" t="s">
        <v>77</v>
      </c>
      <c r="PEG16" s="3" t="s">
        <v>76</v>
      </c>
      <c r="PEH16" s="3" t="s">
        <v>77</v>
      </c>
      <c r="PEI16" s="3" t="s">
        <v>76</v>
      </c>
      <c r="PEJ16" s="3" t="s">
        <v>77</v>
      </c>
      <c r="PEK16" s="3" t="s">
        <v>76</v>
      </c>
      <c r="PEL16" s="3" t="s">
        <v>77</v>
      </c>
      <c r="PEM16" s="3" t="s">
        <v>76</v>
      </c>
      <c r="PEN16" s="3" t="s">
        <v>77</v>
      </c>
      <c r="PEO16" s="3" t="s">
        <v>76</v>
      </c>
      <c r="PEP16" s="3" t="s">
        <v>77</v>
      </c>
      <c r="PEQ16" s="3" t="s">
        <v>76</v>
      </c>
      <c r="PER16" s="3" t="s">
        <v>77</v>
      </c>
      <c r="PES16" s="3" t="s">
        <v>76</v>
      </c>
      <c r="PET16" s="3" t="s">
        <v>77</v>
      </c>
      <c r="PEU16" s="3" t="s">
        <v>76</v>
      </c>
      <c r="PEV16" s="3" t="s">
        <v>77</v>
      </c>
      <c r="PEW16" s="3" t="s">
        <v>76</v>
      </c>
      <c r="PEX16" s="3" t="s">
        <v>77</v>
      </c>
      <c r="PEY16" s="3" t="s">
        <v>76</v>
      </c>
      <c r="PEZ16" s="3" t="s">
        <v>77</v>
      </c>
      <c r="PFA16" s="3" t="s">
        <v>76</v>
      </c>
      <c r="PFB16" s="3" t="s">
        <v>77</v>
      </c>
      <c r="PFC16" s="3" t="s">
        <v>76</v>
      </c>
      <c r="PFD16" s="3" t="s">
        <v>77</v>
      </c>
      <c r="PFE16" s="3" t="s">
        <v>76</v>
      </c>
      <c r="PFF16" s="3" t="s">
        <v>77</v>
      </c>
      <c r="PFG16" s="3" t="s">
        <v>76</v>
      </c>
      <c r="PFH16" s="3" t="s">
        <v>77</v>
      </c>
      <c r="PFI16" s="3" t="s">
        <v>76</v>
      </c>
      <c r="PFJ16" s="3" t="s">
        <v>77</v>
      </c>
      <c r="PFK16" s="3" t="s">
        <v>76</v>
      </c>
      <c r="PFL16" s="3" t="s">
        <v>77</v>
      </c>
      <c r="PFM16" s="3" t="s">
        <v>76</v>
      </c>
      <c r="PFN16" s="3" t="s">
        <v>77</v>
      </c>
      <c r="PFO16" s="3" t="s">
        <v>76</v>
      </c>
      <c r="PFP16" s="3" t="s">
        <v>77</v>
      </c>
      <c r="PFQ16" s="3" t="s">
        <v>76</v>
      </c>
      <c r="PFR16" s="3" t="s">
        <v>77</v>
      </c>
      <c r="PFS16" s="3" t="s">
        <v>76</v>
      </c>
      <c r="PFT16" s="3" t="s">
        <v>77</v>
      </c>
      <c r="PFU16" s="3" t="s">
        <v>76</v>
      </c>
      <c r="PFV16" s="3" t="s">
        <v>77</v>
      </c>
      <c r="PFW16" s="3" t="s">
        <v>76</v>
      </c>
      <c r="PFX16" s="3" t="s">
        <v>77</v>
      </c>
      <c r="PFY16" s="3" t="s">
        <v>76</v>
      </c>
      <c r="PFZ16" s="3" t="s">
        <v>77</v>
      </c>
      <c r="PGA16" s="3" t="s">
        <v>76</v>
      </c>
      <c r="PGB16" s="3" t="s">
        <v>77</v>
      </c>
      <c r="PGC16" s="3" t="s">
        <v>76</v>
      </c>
      <c r="PGD16" s="3" t="s">
        <v>77</v>
      </c>
      <c r="PGE16" s="3" t="s">
        <v>76</v>
      </c>
      <c r="PGF16" s="3" t="s">
        <v>77</v>
      </c>
      <c r="PGG16" s="3" t="s">
        <v>76</v>
      </c>
      <c r="PGH16" s="3" t="s">
        <v>77</v>
      </c>
      <c r="PGI16" s="3" t="s">
        <v>76</v>
      </c>
      <c r="PGJ16" s="3" t="s">
        <v>77</v>
      </c>
      <c r="PGK16" s="3" t="s">
        <v>76</v>
      </c>
      <c r="PGL16" s="3" t="s">
        <v>77</v>
      </c>
      <c r="PGM16" s="3" t="s">
        <v>76</v>
      </c>
      <c r="PGN16" s="3" t="s">
        <v>77</v>
      </c>
      <c r="PGO16" s="3" t="s">
        <v>76</v>
      </c>
      <c r="PGP16" s="3" t="s">
        <v>77</v>
      </c>
      <c r="PGQ16" s="3" t="s">
        <v>76</v>
      </c>
      <c r="PGR16" s="3" t="s">
        <v>77</v>
      </c>
      <c r="PGS16" s="3" t="s">
        <v>76</v>
      </c>
      <c r="PGT16" s="3" t="s">
        <v>77</v>
      </c>
      <c r="PGU16" s="3" t="s">
        <v>76</v>
      </c>
      <c r="PGV16" s="3" t="s">
        <v>77</v>
      </c>
      <c r="PGW16" s="3" t="s">
        <v>76</v>
      </c>
      <c r="PGX16" s="3" t="s">
        <v>77</v>
      </c>
      <c r="PGY16" s="3" t="s">
        <v>76</v>
      </c>
      <c r="PGZ16" s="3" t="s">
        <v>77</v>
      </c>
      <c r="PHA16" s="3" t="s">
        <v>76</v>
      </c>
      <c r="PHB16" s="3" t="s">
        <v>77</v>
      </c>
      <c r="PHC16" s="3" t="s">
        <v>76</v>
      </c>
      <c r="PHD16" s="3" t="s">
        <v>77</v>
      </c>
      <c r="PHE16" s="3" t="s">
        <v>76</v>
      </c>
      <c r="PHF16" s="3" t="s">
        <v>77</v>
      </c>
      <c r="PHG16" s="3" t="s">
        <v>76</v>
      </c>
      <c r="PHH16" s="3" t="s">
        <v>77</v>
      </c>
      <c r="PHI16" s="3" t="s">
        <v>76</v>
      </c>
      <c r="PHJ16" s="3" t="s">
        <v>77</v>
      </c>
      <c r="PHK16" s="3" t="s">
        <v>76</v>
      </c>
      <c r="PHL16" s="3" t="s">
        <v>77</v>
      </c>
      <c r="PHM16" s="3" t="s">
        <v>76</v>
      </c>
      <c r="PHN16" s="3" t="s">
        <v>77</v>
      </c>
      <c r="PHO16" s="3" t="s">
        <v>76</v>
      </c>
      <c r="PHP16" s="3" t="s">
        <v>77</v>
      </c>
      <c r="PHQ16" s="3" t="s">
        <v>76</v>
      </c>
      <c r="PHR16" s="3" t="s">
        <v>77</v>
      </c>
      <c r="PHS16" s="3" t="s">
        <v>76</v>
      </c>
      <c r="PHT16" s="3" t="s">
        <v>77</v>
      </c>
      <c r="PHU16" s="3" t="s">
        <v>76</v>
      </c>
      <c r="PHV16" s="3" t="s">
        <v>77</v>
      </c>
      <c r="PHW16" s="3" t="s">
        <v>76</v>
      </c>
      <c r="PHX16" s="3" t="s">
        <v>77</v>
      </c>
      <c r="PHY16" s="3" t="s">
        <v>76</v>
      </c>
      <c r="PHZ16" s="3" t="s">
        <v>77</v>
      </c>
      <c r="PIA16" s="3" t="s">
        <v>76</v>
      </c>
      <c r="PIB16" s="3" t="s">
        <v>77</v>
      </c>
      <c r="PIC16" s="3" t="s">
        <v>76</v>
      </c>
      <c r="PID16" s="3" t="s">
        <v>77</v>
      </c>
      <c r="PIE16" s="3" t="s">
        <v>76</v>
      </c>
      <c r="PIF16" s="3" t="s">
        <v>77</v>
      </c>
      <c r="PIG16" s="3" t="s">
        <v>76</v>
      </c>
      <c r="PIH16" s="3" t="s">
        <v>77</v>
      </c>
      <c r="PII16" s="3" t="s">
        <v>76</v>
      </c>
      <c r="PIJ16" s="3" t="s">
        <v>77</v>
      </c>
      <c r="PIK16" s="3" t="s">
        <v>76</v>
      </c>
      <c r="PIL16" s="3" t="s">
        <v>77</v>
      </c>
      <c r="PIM16" s="3" t="s">
        <v>76</v>
      </c>
      <c r="PIN16" s="3" t="s">
        <v>77</v>
      </c>
      <c r="PIO16" s="3" t="s">
        <v>76</v>
      </c>
      <c r="PIP16" s="3" t="s">
        <v>77</v>
      </c>
      <c r="PIQ16" s="3" t="s">
        <v>76</v>
      </c>
      <c r="PIR16" s="3" t="s">
        <v>77</v>
      </c>
      <c r="PIS16" s="3" t="s">
        <v>76</v>
      </c>
      <c r="PIT16" s="3" t="s">
        <v>77</v>
      </c>
      <c r="PIU16" s="3" t="s">
        <v>76</v>
      </c>
      <c r="PIV16" s="3" t="s">
        <v>77</v>
      </c>
      <c r="PIW16" s="3" t="s">
        <v>76</v>
      </c>
      <c r="PIX16" s="3" t="s">
        <v>77</v>
      </c>
      <c r="PIY16" s="3" t="s">
        <v>76</v>
      </c>
      <c r="PIZ16" s="3" t="s">
        <v>77</v>
      </c>
      <c r="PJA16" s="3" t="s">
        <v>76</v>
      </c>
      <c r="PJB16" s="3" t="s">
        <v>77</v>
      </c>
      <c r="PJC16" s="3" t="s">
        <v>76</v>
      </c>
      <c r="PJD16" s="3" t="s">
        <v>77</v>
      </c>
      <c r="PJE16" s="3" t="s">
        <v>76</v>
      </c>
      <c r="PJF16" s="3" t="s">
        <v>77</v>
      </c>
      <c r="PJG16" s="3" t="s">
        <v>76</v>
      </c>
      <c r="PJH16" s="3" t="s">
        <v>77</v>
      </c>
      <c r="PJI16" s="3" t="s">
        <v>76</v>
      </c>
      <c r="PJJ16" s="3" t="s">
        <v>77</v>
      </c>
      <c r="PJK16" s="3" t="s">
        <v>76</v>
      </c>
      <c r="PJL16" s="3" t="s">
        <v>77</v>
      </c>
      <c r="PJM16" s="3" t="s">
        <v>76</v>
      </c>
      <c r="PJN16" s="3" t="s">
        <v>77</v>
      </c>
      <c r="PJO16" s="3" t="s">
        <v>76</v>
      </c>
      <c r="PJP16" s="3" t="s">
        <v>77</v>
      </c>
      <c r="PJQ16" s="3" t="s">
        <v>76</v>
      </c>
      <c r="PJR16" s="3" t="s">
        <v>77</v>
      </c>
      <c r="PJS16" s="3" t="s">
        <v>76</v>
      </c>
      <c r="PJT16" s="3" t="s">
        <v>77</v>
      </c>
      <c r="PJU16" s="3" t="s">
        <v>76</v>
      </c>
      <c r="PJV16" s="3" t="s">
        <v>77</v>
      </c>
      <c r="PJW16" s="3" t="s">
        <v>76</v>
      </c>
      <c r="PJX16" s="3" t="s">
        <v>77</v>
      </c>
      <c r="PJY16" s="3" t="s">
        <v>76</v>
      </c>
      <c r="PJZ16" s="3" t="s">
        <v>77</v>
      </c>
      <c r="PKA16" s="3" t="s">
        <v>76</v>
      </c>
      <c r="PKB16" s="3" t="s">
        <v>77</v>
      </c>
      <c r="PKC16" s="3" t="s">
        <v>76</v>
      </c>
      <c r="PKD16" s="3" t="s">
        <v>77</v>
      </c>
      <c r="PKE16" s="3" t="s">
        <v>76</v>
      </c>
      <c r="PKF16" s="3" t="s">
        <v>77</v>
      </c>
      <c r="PKG16" s="3" t="s">
        <v>76</v>
      </c>
      <c r="PKH16" s="3" t="s">
        <v>77</v>
      </c>
      <c r="PKI16" s="3" t="s">
        <v>76</v>
      </c>
      <c r="PKJ16" s="3" t="s">
        <v>77</v>
      </c>
      <c r="PKK16" s="3" t="s">
        <v>76</v>
      </c>
      <c r="PKL16" s="3" t="s">
        <v>77</v>
      </c>
      <c r="PKM16" s="3" t="s">
        <v>76</v>
      </c>
      <c r="PKN16" s="3" t="s">
        <v>77</v>
      </c>
      <c r="PKO16" s="3" t="s">
        <v>76</v>
      </c>
      <c r="PKP16" s="3" t="s">
        <v>77</v>
      </c>
      <c r="PKQ16" s="3" t="s">
        <v>76</v>
      </c>
      <c r="PKR16" s="3" t="s">
        <v>77</v>
      </c>
      <c r="PKS16" s="3" t="s">
        <v>76</v>
      </c>
      <c r="PKT16" s="3" t="s">
        <v>77</v>
      </c>
      <c r="PKU16" s="3" t="s">
        <v>76</v>
      </c>
      <c r="PKV16" s="3" t="s">
        <v>77</v>
      </c>
      <c r="PKW16" s="3" t="s">
        <v>76</v>
      </c>
      <c r="PKX16" s="3" t="s">
        <v>77</v>
      </c>
      <c r="PKY16" s="3" t="s">
        <v>76</v>
      </c>
      <c r="PKZ16" s="3" t="s">
        <v>77</v>
      </c>
      <c r="PLA16" s="3" t="s">
        <v>76</v>
      </c>
      <c r="PLB16" s="3" t="s">
        <v>77</v>
      </c>
      <c r="PLC16" s="3" t="s">
        <v>76</v>
      </c>
      <c r="PLD16" s="3" t="s">
        <v>77</v>
      </c>
      <c r="PLE16" s="3" t="s">
        <v>76</v>
      </c>
      <c r="PLF16" s="3" t="s">
        <v>77</v>
      </c>
      <c r="PLG16" s="3" t="s">
        <v>76</v>
      </c>
      <c r="PLH16" s="3" t="s">
        <v>77</v>
      </c>
      <c r="PLI16" s="3" t="s">
        <v>76</v>
      </c>
      <c r="PLJ16" s="3" t="s">
        <v>77</v>
      </c>
      <c r="PLK16" s="3" t="s">
        <v>76</v>
      </c>
      <c r="PLL16" s="3" t="s">
        <v>77</v>
      </c>
      <c r="PLM16" s="3" t="s">
        <v>76</v>
      </c>
      <c r="PLN16" s="3" t="s">
        <v>77</v>
      </c>
      <c r="PLO16" s="3" t="s">
        <v>76</v>
      </c>
      <c r="PLP16" s="3" t="s">
        <v>77</v>
      </c>
      <c r="PLQ16" s="3" t="s">
        <v>76</v>
      </c>
      <c r="PLR16" s="3" t="s">
        <v>77</v>
      </c>
      <c r="PLS16" s="3" t="s">
        <v>76</v>
      </c>
      <c r="PLT16" s="3" t="s">
        <v>77</v>
      </c>
      <c r="PLU16" s="3" t="s">
        <v>76</v>
      </c>
      <c r="PLV16" s="3" t="s">
        <v>77</v>
      </c>
      <c r="PLW16" s="3" t="s">
        <v>76</v>
      </c>
      <c r="PLX16" s="3" t="s">
        <v>77</v>
      </c>
      <c r="PLY16" s="3" t="s">
        <v>76</v>
      </c>
      <c r="PLZ16" s="3" t="s">
        <v>77</v>
      </c>
      <c r="PMA16" s="3" t="s">
        <v>76</v>
      </c>
      <c r="PMB16" s="3" t="s">
        <v>77</v>
      </c>
      <c r="PMC16" s="3" t="s">
        <v>76</v>
      </c>
      <c r="PMD16" s="3" t="s">
        <v>77</v>
      </c>
      <c r="PME16" s="3" t="s">
        <v>76</v>
      </c>
      <c r="PMF16" s="3" t="s">
        <v>77</v>
      </c>
      <c r="PMG16" s="3" t="s">
        <v>76</v>
      </c>
      <c r="PMH16" s="3" t="s">
        <v>77</v>
      </c>
      <c r="PMI16" s="3" t="s">
        <v>76</v>
      </c>
      <c r="PMJ16" s="3" t="s">
        <v>77</v>
      </c>
      <c r="PMK16" s="3" t="s">
        <v>76</v>
      </c>
      <c r="PML16" s="3" t="s">
        <v>77</v>
      </c>
      <c r="PMM16" s="3" t="s">
        <v>76</v>
      </c>
      <c r="PMN16" s="3" t="s">
        <v>77</v>
      </c>
      <c r="PMO16" s="3" t="s">
        <v>76</v>
      </c>
      <c r="PMP16" s="3" t="s">
        <v>77</v>
      </c>
      <c r="PMQ16" s="3" t="s">
        <v>76</v>
      </c>
      <c r="PMR16" s="3" t="s">
        <v>77</v>
      </c>
      <c r="PMS16" s="3" t="s">
        <v>76</v>
      </c>
      <c r="PMT16" s="3" t="s">
        <v>77</v>
      </c>
      <c r="PMU16" s="3" t="s">
        <v>76</v>
      </c>
      <c r="PMV16" s="3" t="s">
        <v>77</v>
      </c>
      <c r="PMW16" s="3" t="s">
        <v>76</v>
      </c>
      <c r="PMX16" s="3" t="s">
        <v>77</v>
      </c>
      <c r="PMY16" s="3" t="s">
        <v>76</v>
      </c>
      <c r="PMZ16" s="3" t="s">
        <v>77</v>
      </c>
      <c r="PNA16" s="3" t="s">
        <v>76</v>
      </c>
      <c r="PNB16" s="3" t="s">
        <v>77</v>
      </c>
      <c r="PNC16" s="3" t="s">
        <v>76</v>
      </c>
      <c r="PND16" s="3" t="s">
        <v>77</v>
      </c>
      <c r="PNE16" s="3" t="s">
        <v>76</v>
      </c>
      <c r="PNF16" s="3" t="s">
        <v>77</v>
      </c>
      <c r="PNG16" s="3" t="s">
        <v>76</v>
      </c>
      <c r="PNH16" s="3" t="s">
        <v>77</v>
      </c>
      <c r="PNI16" s="3" t="s">
        <v>76</v>
      </c>
      <c r="PNJ16" s="3" t="s">
        <v>77</v>
      </c>
      <c r="PNK16" s="3" t="s">
        <v>76</v>
      </c>
      <c r="PNL16" s="3" t="s">
        <v>77</v>
      </c>
      <c r="PNM16" s="3" t="s">
        <v>76</v>
      </c>
      <c r="PNN16" s="3" t="s">
        <v>77</v>
      </c>
      <c r="PNO16" s="3" t="s">
        <v>76</v>
      </c>
      <c r="PNP16" s="3" t="s">
        <v>77</v>
      </c>
      <c r="PNQ16" s="3" t="s">
        <v>76</v>
      </c>
      <c r="PNR16" s="3" t="s">
        <v>77</v>
      </c>
      <c r="PNS16" s="3" t="s">
        <v>76</v>
      </c>
      <c r="PNT16" s="3" t="s">
        <v>77</v>
      </c>
      <c r="PNU16" s="3" t="s">
        <v>76</v>
      </c>
      <c r="PNV16" s="3" t="s">
        <v>77</v>
      </c>
      <c r="PNW16" s="3" t="s">
        <v>76</v>
      </c>
      <c r="PNX16" s="3" t="s">
        <v>77</v>
      </c>
      <c r="PNY16" s="3" t="s">
        <v>76</v>
      </c>
      <c r="PNZ16" s="3" t="s">
        <v>77</v>
      </c>
      <c r="POA16" s="3" t="s">
        <v>76</v>
      </c>
      <c r="POB16" s="3" t="s">
        <v>77</v>
      </c>
      <c r="POC16" s="3" t="s">
        <v>76</v>
      </c>
      <c r="POD16" s="3" t="s">
        <v>77</v>
      </c>
      <c r="POE16" s="3" t="s">
        <v>76</v>
      </c>
      <c r="POF16" s="3" t="s">
        <v>77</v>
      </c>
      <c r="POG16" s="3" t="s">
        <v>76</v>
      </c>
      <c r="POH16" s="3" t="s">
        <v>77</v>
      </c>
      <c r="POI16" s="3" t="s">
        <v>76</v>
      </c>
      <c r="POJ16" s="3" t="s">
        <v>77</v>
      </c>
      <c r="POK16" s="3" t="s">
        <v>76</v>
      </c>
      <c r="POL16" s="3" t="s">
        <v>77</v>
      </c>
      <c r="POM16" s="3" t="s">
        <v>76</v>
      </c>
      <c r="PON16" s="3" t="s">
        <v>77</v>
      </c>
      <c r="POO16" s="3" t="s">
        <v>76</v>
      </c>
      <c r="POP16" s="3" t="s">
        <v>77</v>
      </c>
      <c r="POQ16" s="3" t="s">
        <v>76</v>
      </c>
      <c r="POR16" s="3" t="s">
        <v>77</v>
      </c>
      <c r="POS16" s="3" t="s">
        <v>76</v>
      </c>
      <c r="POT16" s="3" t="s">
        <v>77</v>
      </c>
      <c r="POU16" s="3" t="s">
        <v>76</v>
      </c>
      <c r="POV16" s="3" t="s">
        <v>77</v>
      </c>
      <c r="POW16" s="3" t="s">
        <v>76</v>
      </c>
      <c r="POX16" s="3" t="s">
        <v>77</v>
      </c>
      <c r="POY16" s="3" t="s">
        <v>76</v>
      </c>
      <c r="POZ16" s="3" t="s">
        <v>77</v>
      </c>
      <c r="PPA16" s="3" t="s">
        <v>76</v>
      </c>
      <c r="PPB16" s="3" t="s">
        <v>77</v>
      </c>
      <c r="PPC16" s="3" t="s">
        <v>76</v>
      </c>
      <c r="PPD16" s="3" t="s">
        <v>77</v>
      </c>
      <c r="PPE16" s="3" t="s">
        <v>76</v>
      </c>
      <c r="PPF16" s="3" t="s">
        <v>77</v>
      </c>
      <c r="PPG16" s="3" t="s">
        <v>76</v>
      </c>
      <c r="PPH16" s="3" t="s">
        <v>77</v>
      </c>
      <c r="PPI16" s="3" t="s">
        <v>76</v>
      </c>
      <c r="PPJ16" s="3" t="s">
        <v>77</v>
      </c>
      <c r="PPK16" s="3" t="s">
        <v>76</v>
      </c>
      <c r="PPL16" s="3" t="s">
        <v>77</v>
      </c>
      <c r="PPM16" s="3" t="s">
        <v>76</v>
      </c>
      <c r="PPN16" s="3" t="s">
        <v>77</v>
      </c>
      <c r="PPO16" s="3" t="s">
        <v>76</v>
      </c>
      <c r="PPP16" s="3" t="s">
        <v>77</v>
      </c>
      <c r="PPQ16" s="3" t="s">
        <v>76</v>
      </c>
      <c r="PPR16" s="3" t="s">
        <v>77</v>
      </c>
      <c r="PPS16" s="3" t="s">
        <v>76</v>
      </c>
      <c r="PPT16" s="3" t="s">
        <v>77</v>
      </c>
      <c r="PPU16" s="3" t="s">
        <v>76</v>
      </c>
      <c r="PPV16" s="3" t="s">
        <v>77</v>
      </c>
      <c r="PPW16" s="3" t="s">
        <v>76</v>
      </c>
      <c r="PPX16" s="3" t="s">
        <v>77</v>
      </c>
      <c r="PPY16" s="3" t="s">
        <v>76</v>
      </c>
      <c r="PPZ16" s="3" t="s">
        <v>77</v>
      </c>
      <c r="PQA16" s="3" t="s">
        <v>76</v>
      </c>
      <c r="PQB16" s="3" t="s">
        <v>77</v>
      </c>
      <c r="PQC16" s="3" t="s">
        <v>76</v>
      </c>
      <c r="PQD16" s="3" t="s">
        <v>77</v>
      </c>
      <c r="PQE16" s="3" t="s">
        <v>76</v>
      </c>
      <c r="PQF16" s="3" t="s">
        <v>77</v>
      </c>
      <c r="PQG16" s="3" t="s">
        <v>76</v>
      </c>
      <c r="PQH16" s="3" t="s">
        <v>77</v>
      </c>
      <c r="PQI16" s="3" t="s">
        <v>76</v>
      </c>
      <c r="PQJ16" s="3" t="s">
        <v>77</v>
      </c>
      <c r="PQK16" s="3" t="s">
        <v>76</v>
      </c>
      <c r="PQL16" s="3" t="s">
        <v>77</v>
      </c>
      <c r="PQM16" s="3" t="s">
        <v>76</v>
      </c>
      <c r="PQN16" s="3" t="s">
        <v>77</v>
      </c>
      <c r="PQO16" s="3" t="s">
        <v>76</v>
      </c>
      <c r="PQP16" s="3" t="s">
        <v>77</v>
      </c>
      <c r="PQQ16" s="3" t="s">
        <v>76</v>
      </c>
      <c r="PQR16" s="3" t="s">
        <v>77</v>
      </c>
      <c r="PQS16" s="3" t="s">
        <v>76</v>
      </c>
      <c r="PQT16" s="3" t="s">
        <v>77</v>
      </c>
      <c r="PQU16" s="3" t="s">
        <v>76</v>
      </c>
      <c r="PQV16" s="3" t="s">
        <v>77</v>
      </c>
      <c r="PQW16" s="3" t="s">
        <v>76</v>
      </c>
      <c r="PQX16" s="3" t="s">
        <v>77</v>
      </c>
      <c r="PQY16" s="3" t="s">
        <v>76</v>
      </c>
      <c r="PQZ16" s="3" t="s">
        <v>77</v>
      </c>
      <c r="PRA16" s="3" t="s">
        <v>76</v>
      </c>
      <c r="PRB16" s="3" t="s">
        <v>77</v>
      </c>
      <c r="PRC16" s="3" t="s">
        <v>76</v>
      </c>
      <c r="PRD16" s="3" t="s">
        <v>77</v>
      </c>
      <c r="PRE16" s="3" t="s">
        <v>76</v>
      </c>
      <c r="PRF16" s="3" t="s">
        <v>77</v>
      </c>
      <c r="PRG16" s="3" t="s">
        <v>76</v>
      </c>
      <c r="PRH16" s="3" t="s">
        <v>77</v>
      </c>
      <c r="PRI16" s="3" t="s">
        <v>76</v>
      </c>
      <c r="PRJ16" s="3" t="s">
        <v>77</v>
      </c>
      <c r="PRK16" s="3" t="s">
        <v>76</v>
      </c>
      <c r="PRL16" s="3" t="s">
        <v>77</v>
      </c>
      <c r="PRM16" s="3" t="s">
        <v>76</v>
      </c>
      <c r="PRN16" s="3" t="s">
        <v>77</v>
      </c>
      <c r="PRO16" s="3" t="s">
        <v>76</v>
      </c>
      <c r="PRP16" s="3" t="s">
        <v>77</v>
      </c>
      <c r="PRQ16" s="3" t="s">
        <v>76</v>
      </c>
      <c r="PRR16" s="3" t="s">
        <v>77</v>
      </c>
      <c r="PRS16" s="3" t="s">
        <v>76</v>
      </c>
      <c r="PRT16" s="3" t="s">
        <v>77</v>
      </c>
      <c r="PRU16" s="3" t="s">
        <v>76</v>
      </c>
      <c r="PRV16" s="3" t="s">
        <v>77</v>
      </c>
      <c r="PRW16" s="3" t="s">
        <v>76</v>
      </c>
      <c r="PRX16" s="3" t="s">
        <v>77</v>
      </c>
      <c r="PRY16" s="3" t="s">
        <v>76</v>
      </c>
      <c r="PRZ16" s="3" t="s">
        <v>77</v>
      </c>
      <c r="PSA16" s="3" t="s">
        <v>76</v>
      </c>
      <c r="PSB16" s="3" t="s">
        <v>77</v>
      </c>
      <c r="PSC16" s="3" t="s">
        <v>76</v>
      </c>
      <c r="PSD16" s="3" t="s">
        <v>77</v>
      </c>
      <c r="PSE16" s="3" t="s">
        <v>76</v>
      </c>
      <c r="PSF16" s="3" t="s">
        <v>77</v>
      </c>
      <c r="PSG16" s="3" t="s">
        <v>76</v>
      </c>
      <c r="PSH16" s="3" t="s">
        <v>77</v>
      </c>
      <c r="PSI16" s="3" t="s">
        <v>76</v>
      </c>
      <c r="PSJ16" s="3" t="s">
        <v>77</v>
      </c>
      <c r="PSK16" s="3" t="s">
        <v>76</v>
      </c>
      <c r="PSL16" s="3" t="s">
        <v>77</v>
      </c>
      <c r="PSM16" s="3" t="s">
        <v>76</v>
      </c>
      <c r="PSN16" s="3" t="s">
        <v>77</v>
      </c>
      <c r="PSO16" s="3" t="s">
        <v>76</v>
      </c>
      <c r="PSP16" s="3" t="s">
        <v>77</v>
      </c>
      <c r="PSQ16" s="3" t="s">
        <v>76</v>
      </c>
      <c r="PSR16" s="3" t="s">
        <v>77</v>
      </c>
      <c r="PSS16" s="3" t="s">
        <v>76</v>
      </c>
      <c r="PST16" s="3" t="s">
        <v>77</v>
      </c>
      <c r="PSU16" s="3" t="s">
        <v>76</v>
      </c>
      <c r="PSV16" s="3" t="s">
        <v>77</v>
      </c>
      <c r="PSW16" s="3" t="s">
        <v>76</v>
      </c>
      <c r="PSX16" s="3" t="s">
        <v>77</v>
      </c>
      <c r="PSY16" s="3" t="s">
        <v>76</v>
      </c>
      <c r="PSZ16" s="3" t="s">
        <v>77</v>
      </c>
      <c r="PTA16" s="3" t="s">
        <v>76</v>
      </c>
      <c r="PTB16" s="3" t="s">
        <v>77</v>
      </c>
      <c r="PTC16" s="3" t="s">
        <v>76</v>
      </c>
      <c r="PTD16" s="3" t="s">
        <v>77</v>
      </c>
      <c r="PTE16" s="3" t="s">
        <v>76</v>
      </c>
      <c r="PTF16" s="3" t="s">
        <v>77</v>
      </c>
      <c r="PTG16" s="3" t="s">
        <v>76</v>
      </c>
      <c r="PTH16" s="3" t="s">
        <v>77</v>
      </c>
      <c r="PTI16" s="3" t="s">
        <v>76</v>
      </c>
      <c r="PTJ16" s="3" t="s">
        <v>77</v>
      </c>
      <c r="PTK16" s="3" t="s">
        <v>76</v>
      </c>
      <c r="PTL16" s="3" t="s">
        <v>77</v>
      </c>
      <c r="PTM16" s="3" t="s">
        <v>76</v>
      </c>
      <c r="PTN16" s="3" t="s">
        <v>77</v>
      </c>
      <c r="PTO16" s="3" t="s">
        <v>76</v>
      </c>
      <c r="PTP16" s="3" t="s">
        <v>77</v>
      </c>
      <c r="PTQ16" s="3" t="s">
        <v>76</v>
      </c>
      <c r="PTR16" s="3" t="s">
        <v>77</v>
      </c>
      <c r="PTS16" s="3" t="s">
        <v>76</v>
      </c>
      <c r="PTT16" s="3" t="s">
        <v>77</v>
      </c>
      <c r="PTU16" s="3" t="s">
        <v>76</v>
      </c>
      <c r="PTV16" s="3" t="s">
        <v>77</v>
      </c>
      <c r="PTW16" s="3" t="s">
        <v>76</v>
      </c>
      <c r="PTX16" s="3" t="s">
        <v>77</v>
      </c>
      <c r="PTY16" s="3" t="s">
        <v>76</v>
      </c>
      <c r="PTZ16" s="3" t="s">
        <v>77</v>
      </c>
      <c r="PUA16" s="3" t="s">
        <v>76</v>
      </c>
      <c r="PUB16" s="3" t="s">
        <v>77</v>
      </c>
      <c r="PUC16" s="3" t="s">
        <v>76</v>
      </c>
      <c r="PUD16" s="3" t="s">
        <v>77</v>
      </c>
      <c r="PUE16" s="3" t="s">
        <v>76</v>
      </c>
      <c r="PUF16" s="3" t="s">
        <v>77</v>
      </c>
      <c r="PUG16" s="3" t="s">
        <v>76</v>
      </c>
      <c r="PUH16" s="3" t="s">
        <v>77</v>
      </c>
      <c r="PUI16" s="3" t="s">
        <v>76</v>
      </c>
      <c r="PUJ16" s="3" t="s">
        <v>77</v>
      </c>
      <c r="PUK16" s="3" t="s">
        <v>76</v>
      </c>
      <c r="PUL16" s="3" t="s">
        <v>77</v>
      </c>
      <c r="PUM16" s="3" t="s">
        <v>76</v>
      </c>
      <c r="PUN16" s="3" t="s">
        <v>77</v>
      </c>
      <c r="PUO16" s="3" t="s">
        <v>76</v>
      </c>
      <c r="PUP16" s="3" t="s">
        <v>77</v>
      </c>
      <c r="PUQ16" s="3" t="s">
        <v>76</v>
      </c>
      <c r="PUR16" s="3" t="s">
        <v>77</v>
      </c>
      <c r="PUS16" s="3" t="s">
        <v>76</v>
      </c>
      <c r="PUT16" s="3" t="s">
        <v>77</v>
      </c>
      <c r="PUU16" s="3" t="s">
        <v>76</v>
      </c>
      <c r="PUV16" s="3" t="s">
        <v>77</v>
      </c>
      <c r="PUW16" s="3" t="s">
        <v>76</v>
      </c>
      <c r="PUX16" s="3" t="s">
        <v>77</v>
      </c>
      <c r="PUY16" s="3" t="s">
        <v>76</v>
      </c>
      <c r="PUZ16" s="3" t="s">
        <v>77</v>
      </c>
      <c r="PVA16" s="3" t="s">
        <v>76</v>
      </c>
      <c r="PVB16" s="3" t="s">
        <v>77</v>
      </c>
      <c r="PVC16" s="3" t="s">
        <v>76</v>
      </c>
      <c r="PVD16" s="3" t="s">
        <v>77</v>
      </c>
      <c r="PVE16" s="3" t="s">
        <v>76</v>
      </c>
      <c r="PVF16" s="3" t="s">
        <v>77</v>
      </c>
      <c r="PVG16" s="3" t="s">
        <v>76</v>
      </c>
      <c r="PVH16" s="3" t="s">
        <v>77</v>
      </c>
      <c r="PVI16" s="3" t="s">
        <v>76</v>
      </c>
      <c r="PVJ16" s="3" t="s">
        <v>77</v>
      </c>
      <c r="PVK16" s="3" t="s">
        <v>76</v>
      </c>
      <c r="PVL16" s="3" t="s">
        <v>77</v>
      </c>
      <c r="PVM16" s="3" t="s">
        <v>76</v>
      </c>
      <c r="PVN16" s="3" t="s">
        <v>77</v>
      </c>
      <c r="PVO16" s="3" t="s">
        <v>76</v>
      </c>
      <c r="PVP16" s="3" t="s">
        <v>77</v>
      </c>
      <c r="PVQ16" s="3" t="s">
        <v>76</v>
      </c>
      <c r="PVR16" s="3" t="s">
        <v>77</v>
      </c>
      <c r="PVS16" s="3" t="s">
        <v>76</v>
      </c>
      <c r="PVT16" s="3" t="s">
        <v>77</v>
      </c>
      <c r="PVU16" s="3" t="s">
        <v>76</v>
      </c>
      <c r="PVV16" s="3" t="s">
        <v>77</v>
      </c>
      <c r="PVW16" s="3" t="s">
        <v>76</v>
      </c>
      <c r="PVX16" s="3" t="s">
        <v>77</v>
      </c>
      <c r="PVY16" s="3" t="s">
        <v>76</v>
      </c>
      <c r="PVZ16" s="3" t="s">
        <v>77</v>
      </c>
      <c r="PWA16" s="3" t="s">
        <v>76</v>
      </c>
      <c r="PWB16" s="3" t="s">
        <v>77</v>
      </c>
      <c r="PWC16" s="3" t="s">
        <v>76</v>
      </c>
      <c r="PWD16" s="3" t="s">
        <v>77</v>
      </c>
      <c r="PWE16" s="3" t="s">
        <v>76</v>
      </c>
      <c r="PWF16" s="3" t="s">
        <v>77</v>
      </c>
      <c r="PWG16" s="3" t="s">
        <v>76</v>
      </c>
      <c r="PWH16" s="3" t="s">
        <v>77</v>
      </c>
      <c r="PWI16" s="3" t="s">
        <v>76</v>
      </c>
      <c r="PWJ16" s="3" t="s">
        <v>77</v>
      </c>
      <c r="PWK16" s="3" t="s">
        <v>76</v>
      </c>
      <c r="PWL16" s="3" t="s">
        <v>77</v>
      </c>
      <c r="PWM16" s="3" t="s">
        <v>76</v>
      </c>
      <c r="PWN16" s="3" t="s">
        <v>77</v>
      </c>
      <c r="PWO16" s="3" t="s">
        <v>76</v>
      </c>
      <c r="PWP16" s="3" t="s">
        <v>77</v>
      </c>
      <c r="PWQ16" s="3" t="s">
        <v>76</v>
      </c>
      <c r="PWR16" s="3" t="s">
        <v>77</v>
      </c>
      <c r="PWS16" s="3" t="s">
        <v>76</v>
      </c>
      <c r="PWT16" s="3" t="s">
        <v>77</v>
      </c>
      <c r="PWU16" s="3" t="s">
        <v>76</v>
      </c>
      <c r="PWV16" s="3" t="s">
        <v>77</v>
      </c>
      <c r="PWW16" s="3" t="s">
        <v>76</v>
      </c>
      <c r="PWX16" s="3" t="s">
        <v>77</v>
      </c>
      <c r="PWY16" s="3" t="s">
        <v>76</v>
      </c>
      <c r="PWZ16" s="3" t="s">
        <v>77</v>
      </c>
      <c r="PXA16" s="3" t="s">
        <v>76</v>
      </c>
      <c r="PXB16" s="3" t="s">
        <v>77</v>
      </c>
      <c r="PXC16" s="3" t="s">
        <v>76</v>
      </c>
      <c r="PXD16" s="3" t="s">
        <v>77</v>
      </c>
      <c r="PXE16" s="3" t="s">
        <v>76</v>
      </c>
      <c r="PXF16" s="3" t="s">
        <v>77</v>
      </c>
      <c r="PXG16" s="3" t="s">
        <v>76</v>
      </c>
      <c r="PXH16" s="3" t="s">
        <v>77</v>
      </c>
      <c r="PXI16" s="3" t="s">
        <v>76</v>
      </c>
      <c r="PXJ16" s="3" t="s">
        <v>77</v>
      </c>
      <c r="PXK16" s="3" t="s">
        <v>76</v>
      </c>
      <c r="PXL16" s="3" t="s">
        <v>77</v>
      </c>
      <c r="PXM16" s="3" t="s">
        <v>76</v>
      </c>
      <c r="PXN16" s="3" t="s">
        <v>77</v>
      </c>
      <c r="PXO16" s="3" t="s">
        <v>76</v>
      </c>
      <c r="PXP16" s="3" t="s">
        <v>77</v>
      </c>
      <c r="PXQ16" s="3" t="s">
        <v>76</v>
      </c>
      <c r="PXR16" s="3" t="s">
        <v>77</v>
      </c>
      <c r="PXS16" s="3" t="s">
        <v>76</v>
      </c>
      <c r="PXT16" s="3" t="s">
        <v>77</v>
      </c>
      <c r="PXU16" s="3" t="s">
        <v>76</v>
      </c>
      <c r="PXV16" s="3" t="s">
        <v>77</v>
      </c>
      <c r="PXW16" s="3" t="s">
        <v>76</v>
      </c>
      <c r="PXX16" s="3" t="s">
        <v>77</v>
      </c>
      <c r="PXY16" s="3" t="s">
        <v>76</v>
      </c>
      <c r="PXZ16" s="3" t="s">
        <v>77</v>
      </c>
      <c r="PYA16" s="3" t="s">
        <v>76</v>
      </c>
      <c r="PYB16" s="3" t="s">
        <v>77</v>
      </c>
      <c r="PYC16" s="3" t="s">
        <v>76</v>
      </c>
      <c r="PYD16" s="3" t="s">
        <v>77</v>
      </c>
      <c r="PYE16" s="3" t="s">
        <v>76</v>
      </c>
      <c r="PYF16" s="3" t="s">
        <v>77</v>
      </c>
      <c r="PYG16" s="3" t="s">
        <v>76</v>
      </c>
      <c r="PYH16" s="3" t="s">
        <v>77</v>
      </c>
      <c r="PYI16" s="3" t="s">
        <v>76</v>
      </c>
      <c r="PYJ16" s="3" t="s">
        <v>77</v>
      </c>
      <c r="PYK16" s="3" t="s">
        <v>76</v>
      </c>
      <c r="PYL16" s="3" t="s">
        <v>77</v>
      </c>
      <c r="PYM16" s="3" t="s">
        <v>76</v>
      </c>
      <c r="PYN16" s="3" t="s">
        <v>77</v>
      </c>
      <c r="PYO16" s="3" t="s">
        <v>76</v>
      </c>
      <c r="PYP16" s="3" t="s">
        <v>77</v>
      </c>
      <c r="PYQ16" s="3" t="s">
        <v>76</v>
      </c>
      <c r="PYR16" s="3" t="s">
        <v>77</v>
      </c>
      <c r="PYS16" s="3" t="s">
        <v>76</v>
      </c>
      <c r="PYT16" s="3" t="s">
        <v>77</v>
      </c>
      <c r="PYU16" s="3" t="s">
        <v>76</v>
      </c>
      <c r="PYV16" s="3" t="s">
        <v>77</v>
      </c>
      <c r="PYW16" s="3" t="s">
        <v>76</v>
      </c>
      <c r="PYX16" s="3" t="s">
        <v>77</v>
      </c>
      <c r="PYY16" s="3" t="s">
        <v>76</v>
      </c>
      <c r="PYZ16" s="3" t="s">
        <v>77</v>
      </c>
      <c r="PZA16" s="3" t="s">
        <v>76</v>
      </c>
      <c r="PZB16" s="3" t="s">
        <v>77</v>
      </c>
      <c r="PZC16" s="3" t="s">
        <v>76</v>
      </c>
      <c r="PZD16" s="3" t="s">
        <v>77</v>
      </c>
      <c r="PZE16" s="3" t="s">
        <v>76</v>
      </c>
      <c r="PZF16" s="3" t="s">
        <v>77</v>
      </c>
      <c r="PZG16" s="3" t="s">
        <v>76</v>
      </c>
      <c r="PZH16" s="3" t="s">
        <v>77</v>
      </c>
      <c r="PZI16" s="3" t="s">
        <v>76</v>
      </c>
      <c r="PZJ16" s="3" t="s">
        <v>77</v>
      </c>
      <c r="PZK16" s="3" t="s">
        <v>76</v>
      </c>
      <c r="PZL16" s="3" t="s">
        <v>77</v>
      </c>
      <c r="PZM16" s="3" t="s">
        <v>76</v>
      </c>
      <c r="PZN16" s="3" t="s">
        <v>77</v>
      </c>
      <c r="PZO16" s="3" t="s">
        <v>76</v>
      </c>
      <c r="PZP16" s="3" t="s">
        <v>77</v>
      </c>
      <c r="PZQ16" s="3" t="s">
        <v>76</v>
      </c>
      <c r="PZR16" s="3" t="s">
        <v>77</v>
      </c>
      <c r="PZS16" s="3" t="s">
        <v>76</v>
      </c>
      <c r="PZT16" s="3" t="s">
        <v>77</v>
      </c>
      <c r="PZU16" s="3" t="s">
        <v>76</v>
      </c>
      <c r="PZV16" s="3" t="s">
        <v>77</v>
      </c>
      <c r="PZW16" s="3" t="s">
        <v>76</v>
      </c>
      <c r="PZX16" s="3" t="s">
        <v>77</v>
      </c>
      <c r="PZY16" s="3" t="s">
        <v>76</v>
      </c>
      <c r="PZZ16" s="3" t="s">
        <v>77</v>
      </c>
      <c r="QAA16" s="3" t="s">
        <v>76</v>
      </c>
      <c r="QAB16" s="3" t="s">
        <v>77</v>
      </c>
      <c r="QAC16" s="3" t="s">
        <v>76</v>
      </c>
      <c r="QAD16" s="3" t="s">
        <v>77</v>
      </c>
      <c r="QAE16" s="3" t="s">
        <v>76</v>
      </c>
      <c r="QAF16" s="3" t="s">
        <v>77</v>
      </c>
      <c r="QAG16" s="3" t="s">
        <v>76</v>
      </c>
      <c r="QAH16" s="3" t="s">
        <v>77</v>
      </c>
      <c r="QAI16" s="3" t="s">
        <v>76</v>
      </c>
      <c r="QAJ16" s="3" t="s">
        <v>77</v>
      </c>
      <c r="QAK16" s="3" t="s">
        <v>76</v>
      </c>
      <c r="QAL16" s="3" t="s">
        <v>77</v>
      </c>
      <c r="QAM16" s="3" t="s">
        <v>76</v>
      </c>
      <c r="QAN16" s="3" t="s">
        <v>77</v>
      </c>
      <c r="QAO16" s="3" t="s">
        <v>76</v>
      </c>
      <c r="QAP16" s="3" t="s">
        <v>77</v>
      </c>
      <c r="QAQ16" s="3" t="s">
        <v>76</v>
      </c>
      <c r="QAR16" s="3" t="s">
        <v>77</v>
      </c>
      <c r="QAS16" s="3" t="s">
        <v>76</v>
      </c>
      <c r="QAT16" s="3" t="s">
        <v>77</v>
      </c>
      <c r="QAU16" s="3" t="s">
        <v>76</v>
      </c>
      <c r="QAV16" s="3" t="s">
        <v>77</v>
      </c>
      <c r="QAW16" s="3" t="s">
        <v>76</v>
      </c>
      <c r="QAX16" s="3" t="s">
        <v>77</v>
      </c>
      <c r="QAY16" s="3" t="s">
        <v>76</v>
      </c>
      <c r="QAZ16" s="3" t="s">
        <v>77</v>
      </c>
      <c r="QBA16" s="3" t="s">
        <v>76</v>
      </c>
      <c r="QBB16" s="3" t="s">
        <v>77</v>
      </c>
      <c r="QBC16" s="3" t="s">
        <v>76</v>
      </c>
      <c r="QBD16" s="3" t="s">
        <v>77</v>
      </c>
      <c r="QBE16" s="3" t="s">
        <v>76</v>
      </c>
      <c r="QBF16" s="3" t="s">
        <v>77</v>
      </c>
      <c r="QBG16" s="3" t="s">
        <v>76</v>
      </c>
      <c r="QBH16" s="3" t="s">
        <v>77</v>
      </c>
      <c r="QBI16" s="3" t="s">
        <v>76</v>
      </c>
      <c r="QBJ16" s="3" t="s">
        <v>77</v>
      </c>
      <c r="QBK16" s="3" t="s">
        <v>76</v>
      </c>
      <c r="QBL16" s="3" t="s">
        <v>77</v>
      </c>
      <c r="QBM16" s="3" t="s">
        <v>76</v>
      </c>
      <c r="QBN16" s="3" t="s">
        <v>77</v>
      </c>
      <c r="QBO16" s="3" t="s">
        <v>76</v>
      </c>
      <c r="QBP16" s="3" t="s">
        <v>77</v>
      </c>
      <c r="QBQ16" s="3" t="s">
        <v>76</v>
      </c>
      <c r="QBR16" s="3" t="s">
        <v>77</v>
      </c>
      <c r="QBS16" s="3" t="s">
        <v>76</v>
      </c>
      <c r="QBT16" s="3" t="s">
        <v>77</v>
      </c>
      <c r="QBU16" s="3" t="s">
        <v>76</v>
      </c>
      <c r="QBV16" s="3" t="s">
        <v>77</v>
      </c>
      <c r="QBW16" s="3" t="s">
        <v>76</v>
      </c>
      <c r="QBX16" s="3" t="s">
        <v>77</v>
      </c>
      <c r="QBY16" s="3" t="s">
        <v>76</v>
      </c>
      <c r="QBZ16" s="3" t="s">
        <v>77</v>
      </c>
      <c r="QCA16" s="3" t="s">
        <v>76</v>
      </c>
      <c r="QCB16" s="3" t="s">
        <v>77</v>
      </c>
      <c r="QCC16" s="3" t="s">
        <v>76</v>
      </c>
      <c r="QCD16" s="3" t="s">
        <v>77</v>
      </c>
      <c r="QCE16" s="3" t="s">
        <v>76</v>
      </c>
      <c r="QCF16" s="3" t="s">
        <v>77</v>
      </c>
      <c r="QCG16" s="3" t="s">
        <v>76</v>
      </c>
      <c r="QCH16" s="3" t="s">
        <v>77</v>
      </c>
      <c r="QCI16" s="3" t="s">
        <v>76</v>
      </c>
      <c r="QCJ16" s="3" t="s">
        <v>77</v>
      </c>
      <c r="QCK16" s="3" t="s">
        <v>76</v>
      </c>
      <c r="QCL16" s="3" t="s">
        <v>77</v>
      </c>
      <c r="QCM16" s="3" t="s">
        <v>76</v>
      </c>
      <c r="QCN16" s="3" t="s">
        <v>77</v>
      </c>
      <c r="QCO16" s="3" t="s">
        <v>76</v>
      </c>
      <c r="QCP16" s="3" t="s">
        <v>77</v>
      </c>
      <c r="QCQ16" s="3" t="s">
        <v>76</v>
      </c>
      <c r="QCR16" s="3" t="s">
        <v>77</v>
      </c>
      <c r="QCS16" s="3" t="s">
        <v>76</v>
      </c>
      <c r="QCT16" s="3" t="s">
        <v>77</v>
      </c>
      <c r="QCU16" s="3" t="s">
        <v>76</v>
      </c>
      <c r="QCV16" s="3" t="s">
        <v>77</v>
      </c>
      <c r="QCW16" s="3" t="s">
        <v>76</v>
      </c>
      <c r="QCX16" s="3" t="s">
        <v>77</v>
      </c>
      <c r="QCY16" s="3" t="s">
        <v>76</v>
      </c>
      <c r="QCZ16" s="3" t="s">
        <v>77</v>
      </c>
      <c r="QDA16" s="3" t="s">
        <v>76</v>
      </c>
      <c r="QDB16" s="3" t="s">
        <v>77</v>
      </c>
      <c r="QDC16" s="3" t="s">
        <v>76</v>
      </c>
      <c r="QDD16" s="3" t="s">
        <v>77</v>
      </c>
      <c r="QDE16" s="3" t="s">
        <v>76</v>
      </c>
      <c r="QDF16" s="3" t="s">
        <v>77</v>
      </c>
      <c r="QDG16" s="3" t="s">
        <v>76</v>
      </c>
      <c r="QDH16" s="3" t="s">
        <v>77</v>
      </c>
      <c r="QDI16" s="3" t="s">
        <v>76</v>
      </c>
      <c r="QDJ16" s="3" t="s">
        <v>77</v>
      </c>
      <c r="QDK16" s="3" t="s">
        <v>76</v>
      </c>
      <c r="QDL16" s="3" t="s">
        <v>77</v>
      </c>
      <c r="QDM16" s="3" t="s">
        <v>76</v>
      </c>
      <c r="QDN16" s="3" t="s">
        <v>77</v>
      </c>
      <c r="QDO16" s="3" t="s">
        <v>76</v>
      </c>
      <c r="QDP16" s="3" t="s">
        <v>77</v>
      </c>
      <c r="QDQ16" s="3" t="s">
        <v>76</v>
      </c>
      <c r="QDR16" s="3" t="s">
        <v>77</v>
      </c>
      <c r="QDS16" s="3" t="s">
        <v>76</v>
      </c>
      <c r="QDT16" s="3" t="s">
        <v>77</v>
      </c>
      <c r="QDU16" s="3" t="s">
        <v>76</v>
      </c>
      <c r="QDV16" s="3" t="s">
        <v>77</v>
      </c>
      <c r="QDW16" s="3" t="s">
        <v>76</v>
      </c>
      <c r="QDX16" s="3" t="s">
        <v>77</v>
      </c>
      <c r="QDY16" s="3" t="s">
        <v>76</v>
      </c>
      <c r="QDZ16" s="3" t="s">
        <v>77</v>
      </c>
      <c r="QEA16" s="3" t="s">
        <v>76</v>
      </c>
      <c r="QEB16" s="3" t="s">
        <v>77</v>
      </c>
      <c r="QEC16" s="3" t="s">
        <v>76</v>
      </c>
      <c r="QED16" s="3" t="s">
        <v>77</v>
      </c>
      <c r="QEE16" s="3" t="s">
        <v>76</v>
      </c>
      <c r="QEF16" s="3" t="s">
        <v>77</v>
      </c>
      <c r="QEG16" s="3" t="s">
        <v>76</v>
      </c>
      <c r="QEH16" s="3" t="s">
        <v>77</v>
      </c>
      <c r="QEI16" s="3" t="s">
        <v>76</v>
      </c>
      <c r="QEJ16" s="3" t="s">
        <v>77</v>
      </c>
      <c r="QEK16" s="3" t="s">
        <v>76</v>
      </c>
      <c r="QEL16" s="3" t="s">
        <v>77</v>
      </c>
      <c r="QEM16" s="3" t="s">
        <v>76</v>
      </c>
      <c r="QEN16" s="3" t="s">
        <v>77</v>
      </c>
      <c r="QEO16" s="3" t="s">
        <v>76</v>
      </c>
      <c r="QEP16" s="3" t="s">
        <v>77</v>
      </c>
      <c r="QEQ16" s="3" t="s">
        <v>76</v>
      </c>
      <c r="QER16" s="3" t="s">
        <v>77</v>
      </c>
      <c r="QES16" s="3" t="s">
        <v>76</v>
      </c>
      <c r="QET16" s="3" t="s">
        <v>77</v>
      </c>
      <c r="QEU16" s="3" t="s">
        <v>76</v>
      </c>
      <c r="QEV16" s="3" t="s">
        <v>77</v>
      </c>
      <c r="QEW16" s="3" t="s">
        <v>76</v>
      </c>
      <c r="QEX16" s="3" t="s">
        <v>77</v>
      </c>
      <c r="QEY16" s="3" t="s">
        <v>76</v>
      </c>
      <c r="QEZ16" s="3" t="s">
        <v>77</v>
      </c>
      <c r="QFA16" s="3" t="s">
        <v>76</v>
      </c>
      <c r="QFB16" s="3" t="s">
        <v>77</v>
      </c>
      <c r="QFC16" s="3" t="s">
        <v>76</v>
      </c>
      <c r="QFD16" s="3" t="s">
        <v>77</v>
      </c>
      <c r="QFE16" s="3" t="s">
        <v>76</v>
      </c>
      <c r="QFF16" s="3" t="s">
        <v>77</v>
      </c>
      <c r="QFG16" s="3" t="s">
        <v>76</v>
      </c>
      <c r="QFH16" s="3" t="s">
        <v>77</v>
      </c>
      <c r="QFI16" s="3" t="s">
        <v>76</v>
      </c>
      <c r="QFJ16" s="3" t="s">
        <v>77</v>
      </c>
      <c r="QFK16" s="3" t="s">
        <v>76</v>
      </c>
      <c r="QFL16" s="3" t="s">
        <v>77</v>
      </c>
      <c r="QFM16" s="3" t="s">
        <v>76</v>
      </c>
      <c r="QFN16" s="3" t="s">
        <v>77</v>
      </c>
      <c r="QFO16" s="3" t="s">
        <v>76</v>
      </c>
      <c r="QFP16" s="3" t="s">
        <v>77</v>
      </c>
      <c r="QFQ16" s="3" t="s">
        <v>76</v>
      </c>
      <c r="QFR16" s="3" t="s">
        <v>77</v>
      </c>
      <c r="QFS16" s="3" t="s">
        <v>76</v>
      </c>
      <c r="QFT16" s="3" t="s">
        <v>77</v>
      </c>
      <c r="QFU16" s="3" t="s">
        <v>76</v>
      </c>
      <c r="QFV16" s="3" t="s">
        <v>77</v>
      </c>
      <c r="QFW16" s="3" t="s">
        <v>76</v>
      </c>
      <c r="QFX16" s="3" t="s">
        <v>77</v>
      </c>
      <c r="QFY16" s="3" t="s">
        <v>76</v>
      </c>
      <c r="QFZ16" s="3" t="s">
        <v>77</v>
      </c>
      <c r="QGA16" s="3" t="s">
        <v>76</v>
      </c>
      <c r="QGB16" s="3" t="s">
        <v>77</v>
      </c>
      <c r="QGC16" s="3" t="s">
        <v>76</v>
      </c>
      <c r="QGD16" s="3" t="s">
        <v>77</v>
      </c>
      <c r="QGE16" s="3" t="s">
        <v>76</v>
      </c>
      <c r="QGF16" s="3" t="s">
        <v>77</v>
      </c>
      <c r="QGG16" s="3" t="s">
        <v>76</v>
      </c>
      <c r="QGH16" s="3" t="s">
        <v>77</v>
      </c>
      <c r="QGI16" s="3" t="s">
        <v>76</v>
      </c>
      <c r="QGJ16" s="3" t="s">
        <v>77</v>
      </c>
      <c r="QGK16" s="3" t="s">
        <v>76</v>
      </c>
      <c r="QGL16" s="3" t="s">
        <v>77</v>
      </c>
      <c r="QGM16" s="3" t="s">
        <v>76</v>
      </c>
      <c r="QGN16" s="3" t="s">
        <v>77</v>
      </c>
      <c r="QGO16" s="3" t="s">
        <v>76</v>
      </c>
      <c r="QGP16" s="3" t="s">
        <v>77</v>
      </c>
      <c r="QGQ16" s="3" t="s">
        <v>76</v>
      </c>
      <c r="QGR16" s="3" t="s">
        <v>77</v>
      </c>
      <c r="QGS16" s="3" t="s">
        <v>76</v>
      </c>
      <c r="QGT16" s="3" t="s">
        <v>77</v>
      </c>
      <c r="QGU16" s="3" t="s">
        <v>76</v>
      </c>
      <c r="QGV16" s="3" t="s">
        <v>77</v>
      </c>
      <c r="QGW16" s="3" t="s">
        <v>76</v>
      </c>
      <c r="QGX16" s="3" t="s">
        <v>77</v>
      </c>
      <c r="QGY16" s="3" t="s">
        <v>76</v>
      </c>
      <c r="QGZ16" s="3" t="s">
        <v>77</v>
      </c>
      <c r="QHA16" s="3" t="s">
        <v>76</v>
      </c>
      <c r="QHB16" s="3" t="s">
        <v>77</v>
      </c>
      <c r="QHC16" s="3" t="s">
        <v>76</v>
      </c>
      <c r="QHD16" s="3" t="s">
        <v>77</v>
      </c>
      <c r="QHE16" s="3" t="s">
        <v>76</v>
      </c>
      <c r="QHF16" s="3" t="s">
        <v>77</v>
      </c>
      <c r="QHG16" s="3" t="s">
        <v>76</v>
      </c>
      <c r="QHH16" s="3" t="s">
        <v>77</v>
      </c>
      <c r="QHI16" s="3" t="s">
        <v>76</v>
      </c>
      <c r="QHJ16" s="3" t="s">
        <v>77</v>
      </c>
      <c r="QHK16" s="3" t="s">
        <v>76</v>
      </c>
      <c r="QHL16" s="3" t="s">
        <v>77</v>
      </c>
      <c r="QHM16" s="3" t="s">
        <v>76</v>
      </c>
      <c r="QHN16" s="3" t="s">
        <v>77</v>
      </c>
      <c r="QHO16" s="3" t="s">
        <v>76</v>
      </c>
      <c r="QHP16" s="3" t="s">
        <v>77</v>
      </c>
      <c r="QHQ16" s="3" t="s">
        <v>76</v>
      </c>
      <c r="QHR16" s="3" t="s">
        <v>77</v>
      </c>
      <c r="QHS16" s="3" t="s">
        <v>76</v>
      </c>
      <c r="QHT16" s="3" t="s">
        <v>77</v>
      </c>
      <c r="QHU16" s="3" t="s">
        <v>76</v>
      </c>
      <c r="QHV16" s="3" t="s">
        <v>77</v>
      </c>
      <c r="QHW16" s="3" t="s">
        <v>76</v>
      </c>
      <c r="QHX16" s="3" t="s">
        <v>77</v>
      </c>
      <c r="QHY16" s="3" t="s">
        <v>76</v>
      </c>
      <c r="QHZ16" s="3" t="s">
        <v>77</v>
      </c>
      <c r="QIA16" s="3" t="s">
        <v>76</v>
      </c>
      <c r="QIB16" s="3" t="s">
        <v>77</v>
      </c>
      <c r="QIC16" s="3" t="s">
        <v>76</v>
      </c>
      <c r="QID16" s="3" t="s">
        <v>77</v>
      </c>
      <c r="QIE16" s="3" t="s">
        <v>76</v>
      </c>
      <c r="QIF16" s="3" t="s">
        <v>77</v>
      </c>
      <c r="QIG16" s="3" t="s">
        <v>76</v>
      </c>
      <c r="QIH16" s="3" t="s">
        <v>77</v>
      </c>
      <c r="QII16" s="3" t="s">
        <v>76</v>
      </c>
      <c r="QIJ16" s="3" t="s">
        <v>77</v>
      </c>
      <c r="QIK16" s="3" t="s">
        <v>76</v>
      </c>
      <c r="QIL16" s="3" t="s">
        <v>77</v>
      </c>
      <c r="QIM16" s="3" t="s">
        <v>76</v>
      </c>
      <c r="QIN16" s="3" t="s">
        <v>77</v>
      </c>
      <c r="QIO16" s="3" t="s">
        <v>76</v>
      </c>
      <c r="QIP16" s="3" t="s">
        <v>77</v>
      </c>
      <c r="QIQ16" s="3" t="s">
        <v>76</v>
      </c>
      <c r="QIR16" s="3" t="s">
        <v>77</v>
      </c>
      <c r="QIS16" s="3" t="s">
        <v>76</v>
      </c>
      <c r="QIT16" s="3" t="s">
        <v>77</v>
      </c>
      <c r="QIU16" s="3" t="s">
        <v>76</v>
      </c>
      <c r="QIV16" s="3" t="s">
        <v>77</v>
      </c>
      <c r="QIW16" s="3" t="s">
        <v>76</v>
      </c>
      <c r="QIX16" s="3" t="s">
        <v>77</v>
      </c>
      <c r="QIY16" s="3" t="s">
        <v>76</v>
      </c>
      <c r="QIZ16" s="3" t="s">
        <v>77</v>
      </c>
      <c r="QJA16" s="3" t="s">
        <v>76</v>
      </c>
      <c r="QJB16" s="3" t="s">
        <v>77</v>
      </c>
      <c r="QJC16" s="3" t="s">
        <v>76</v>
      </c>
      <c r="QJD16" s="3" t="s">
        <v>77</v>
      </c>
      <c r="QJE16" s="3" t="s">
        <v>76</v>
      </c>
      <c r="QJF16" s="3" t="s">
        <v>77</v>
      </c>
      <c r="QJG16" s="3" t="s">
        <v>76</v>
      </c>
      <c r="QJH16" s="3" t="s">
        <v>77</v>
      </c>
      <c r="QJI16" s="3" t="s">
        <v>76</v>
      </c>
      <c r="QJJ16" s="3" t="s">
        <v>77</v>
      </c>
      <c r="QJK16" s="3" t="s">
        <v>76</v>
      </c>
      <c r="QJL16" s="3" t="s">
        <v>77</v>
      </c>
      <c r="QJM16" s="3" t="s">
        <v>76</v>
      </c>
      <c r="QJN16" s="3" t="s">
        <v>77</v>
      </c>
      <c r="QJO16" s="3" t="s">
        <v>76</v>
      </c>
      <c r="QJP16" s="3" t="s">
        <v>77</v>
      </c>
      <c r="QJQ16" s="3" t="s">
        <v>76</v>
      </c>
      <c r="QJR16" s="3" t="s">
        <v>77</v>
      </c>
      <c r="QJS16" s="3" t="s">
        <v>76</v>
      </c>
      <c r="QJT16" s="3" t="s">
        <v>77</v>
      </c>
      <c r="QJU16" s="3" t="s">
        <v>76</v>
      </c>
      <c r="QJV16" s="3" t="s">
        <v>77</v>
      </c>
      <c r="QJW16" s="3" t="s">
        <v>76</v>
      </c>
      <c r="QJX16" s="3" t="s">
        <v>77</v>
      </c>
      <c r="QJY16" s="3" t="s">
        <v>76</v>
      </c>
      <c r="QJZ16" s="3" t="s">
        <v>77</v>
      </c>
      <c r="QKA16" s="3" t="s">
        <v>76</v>
      </c>
      <c r="QKB16" s="3" t="s">
        <v>77</v>
      </c>
      <c r="QKC16" s="3" t="s">
        <v>76</v>
      </c>
      <c r="QKD16" s="3" t="s">
        <v>77</v>
      </c>
      <c r="QKE16" s="3" t="s">
        <v>76</v>
      </c>
      <c r="QKF16" s="3" t="s">
        <v>77</v>
      </c>
      <c r="QKG16" s="3" t="s">
        <v>76</v>
      </c>
      <c r="QKH16" s="3" t="s">
        <v>77</v>
      </c>
      <c r="QKI16" s="3" t="s">
        <v>76</v>
      </c>
      <c r="QKJ16" s="3" t="s">
        <v>77</v>
      </c>
      <c r="QKK16" s="3" t="s">
        <v>76</v>
      </c>
      <c r="QKL16" s="3" t="s">
        <v>77</v>
      </c>
      <c r="QKM16" s="3" t="s">
        <v>76</v>
      </c>
      <c r="QKN16" s="3" t="s">
        <v>77</v>
      </c>
      <c r="QKO16" s="3" t="s">
        <v>76</v>
      </c>
      <c r="QKP16" s="3" t="s">
        <v>77</v>
      </c>
      <c r="QKQ16" s="3" t="s">
        <v>76</v>
      </c>
      <c r="QKR16" s="3" t="s">
        <v>77</v>
      </c>
      <c r="QKS16" s="3" t="s">
        <v>76</v>
      </c>
      <c r="QKT16" s="3" t="s">
        <v>77</v>
      </c>
      <c r="QKU16" s="3" t="s">
        <v>76</v>
      </c>
      <c r="QKV16" s="3" t="s">
        <v>77</v>
      </c>
      <c r="QKW16" s="3" t="s">
        <v>76</v>
      </c>
      <c r="QKX16" s="3" t="s">
        <v>77</v>
      </c>
      <c r="QKY16" s="3" t="s">
        <v>76</v>
      </c>
      <c r="QKZ16" s="3" t="s">
        <v>77</v>
      </c>
      <c r="QLA16" s="3" t="s">
        <v>76</v>
      </c>
      <c r="QLB16" s="3" t="s">
        <v>77</v>
      </c>
      <c r="QLC16" s="3" t="s">
        <v>76</v>
      </c>
      <c r="QLD16" s="3" t="s">
        <v>77</v>
      </c>
      <c r="QLE16" s="3" t="s">
        <v>76</v>
      </c>
      <c r="QLF16" s="3" t="s">
        <v>77</v>
      </c>
      <c r="QLG16" s="3" t="s">
        <v>76</v>
      </c>
      <c r="QLH16" s="3" t="s">
        <v>77</v>
      </c>
      <c r="QLI16" s="3" t="s">
        <v>76</v>
      </c>
      <c r="QLJ16" s="3" t="s">
        <v>77</v>
      </c>
      <c r="QLK16" s="3" t="s">
        <v>76</v>
      </c>
      <c r="QLL16" s="3" t="s">
        <v>77</v>
      </c>
      <c r="QLM16" s="3" t="s">
        <v>76</v>
      </c>
      <c r="QLN16" s="3" t="s">
        <v>77</v>
      </c>
      <c r="QLO16" s="3" t="s">
        <v>76</v>
      </c>
      <c r="QLP16" s="3" t="s">
        <v>77</v>
      </c>
      <c r="QLQ16" s="3" t="s">
        <v>76</v>
      </c>
      <c r="QLR16" s="3" t="s">
        <v>77</v>
      </c>
      <c r="QLS16" s="3" t="s">
        <v>76</v>
      </c>
      <c r="QLT16" s="3" t="s">
        <v>77</v>
      </c>
      <c r="QLU16" s="3" t="s">
        <v>76</v>
      </c>
      <c r="QLV16" s="3" t="s">
        <v>77</v>
      </c>
      <c r="QLW16" s="3" t="s">
        <v>76</v>
      </c>
      <c r="QLX16" s="3" t="s">
        <v>77</v>
      </c>
      <c r="QLY16" s="3" t="s">
        <v>76</v>
      </c>
      <c r="QLZ16" s="3" t="s">
        <v>77</v>
      </c>
      <c r="QMA16" s="3" t="s">
        <v>76</v>
      </c>
      <c r="QMB16" s="3" t="s">
        <v>77</v>
      </c>
      <c r="QMC16" s="3" t="s">
        <v>76</v>
      </c>
      <c r="QMD16" s="3" t="s">
        <v>77</v>
      </c>
      <c r="QME16" s="3" t="s">
        <v>76</v>
      </c>
      <c r="QMF16" s="3" t="s">
        <v>77</v>
      </c>
      <c r="QMG16" s="3" t="s">
        <v>76</v>
      </c>
      <c r="QMH16" s="3" t="s">
        <v>77</v>
      </c>
      <c r="QMI16" s="3" t="s">
        <v>76</v>
      </c>
      <c r="QMJ16" s="3" t="s">
        <v>77</v>
      </c>
      <c r="QMK16" s="3" t="s">
        <v>76</v>
      </c>
      <c r="QML16" s="3" t="s">
        <v>77</v>
      </c>
      <c r="QMM16" s="3" t="s">
        <v>76</v>
      </c>
      <c r="QMN16" s="3" t="s">
        <v>77</v>
      </c>
      <c r="QMO16" s="3" t="s">
        <v>76</v>
      </c>
      <c r="QMP16" s="3" t="s">
        <v>77</v>
      </c>
      <c r="QMQ16" s="3" t="s">
        <v>76</v>
      </c>
      <c r="QMR16" s="3" t="s">
        <v>77</v>
      </c>
      <c r="QMS16" s="3" t="s">
        <v>76</v>
      </c>
      <c r="QMT16" s="3" t="s">
        <v>77</v>
      </c>
      <c r="QMU16" s="3" t="s">
        <v>76</v>
      </c>
      <c r="QMV16" s="3" t="s">
        <v>77</v>
      </c>
      <c r="QMW16" s="3" t="s">
        <v>76</v>
      </c>
      <c r="QMX16" s="3" t="s">
        <v>77</v>
      </c>
      <c r="QMY16" s="3" t="s">
        <v>76</v>
      </c>
      <c r="QMZ16" s="3" t="s">
        <v>77</v>
      </c>
      <c r="QNA16" s="3" t="s">
        <v>76</v>
      </c>
      <c r="QNB16" s="3" t="s">
        <v>77</v>
      </c>
      <c r="QNC16" s="3" t="s">
        <v>76</v>
      </c>
      <c r="QND16" s="3" t="s">
        <v>77</v>
      </c>
      <c r="QNE16" s="3" t="s">
        <v>76</v>
      </c>
      <c r="QNF16" s="3" t="s">
        <v>77</v>
      </c>
      <c r="QNG16" s="3" t="s">
        <v>76</v>
      </c>
      <c r="QNH16" s="3" t="s">
        <v>77</v>
      </c>
      <c r="QNI16" s="3" t="s">
        <v>76</v>
      </c>
      <c r="QNJ16" s="3" t="s">
        <v>77</v>
      </c>
      <c r="QNK16" s="3" t="s">
        <v>76</v>
      </c>
      <c r="QNL16" s="3" t="s">
        <v>77</v>
      </c>
      <c r="QNM16" s="3" t="s">
        <v>76</v>
      </c>
      <c r="QNN16" s="3" t="s">
        <v>77</v>
      </c>
      <c r="QNO16" s="3" t="s">
        <v>76</v>
      </c>
      <c r="QNP16" s="3" t="s">
        <v>77</v>
      </c>
      <c r="QNQ16" s="3" t="s">
        <v>76</v>
      </c>
      <c r="QNR16" s="3" t="s">
        <v>77</v>
      </c>
      <c r="QNS16" s="3" t="s">
        <v>76</v>
      </c>
      <c r="QNT16" s="3" t="s">
        <v>77</v>
      </c>
      <c r="QNU16" s="3" t="s">
        <v>76</v>
      </c>
      <c r="QNV16" s="3" t="s">
        <v>77</v>
      </c>
      <c r="QNW16" s="3" t="s">
        <v>76</v>
      </c>
      <c r="QNX16" s="3" t="s">
        <v>77</v>
      </c>
      <c r="QNY16" s="3" t="s">
        <v>76</v>
      </c>
      <c r="QNZ16" s="3" t="s">
        <v>77</v>
      </c>
      <c r="QOA16" s="3" t="s">
        <v>76</v>
      </c>
      <c r="QOB16" s="3" t="s">
        <v>77</v>
      </c>
      <c r="QOC16" s="3" t="s">
        <v>76</v>
      </c>
      <c r="QOD16" s="3" t="s">
        <v>77</v>
      </c>
      <c r="QOE16" s="3" t="s">
        <v>76</v>
      </c>
      <c r="QOF16" s="3" t="s">
        <v>77</v>
      </c>
      <c r="QOG16" s="3" t="s">
        <v>76</v>
      </c>
      <c r="QOH16" s="3" t="s">
        <v>77</v>
      </c>
      <c r="QOI16" s="3" t="s">
        <v>76</v>
      </c>
      <c r="QOJ16" s="3" t="s">
        <v>77</v>
      </c>
      <c r="QOK16" s="3" t="s">
        <v>76</v>
      </c>
      <c r="QOL16" s="3" t="s">
        <v>77</v>
      </c>
      <c r="QOM16" s="3" t="s">
        <v>76</v>
      </c>
      <c r="QON16" s="3" t="s">
        <v>77</v>
      </c>
      <c r="QOO16" s="3" t="s">
        <v>76</v>
      </c>
      <c r="QOP16" s="3" t="s">
        <v>77</v>
      </c>
      <c r="QOQ16" s="3" t="s">
        <v>76</v>
      </c>
      <c r="QOR16" s="3" t="s">
        <v>77</v>
      </c>
      <c r="QOS16" s="3" t="s">
        <v>76</v>
      </c>
      <c r="QOT16" s="3" t="s">
        <v>77</v>
      </c>
      <c r="QOU16" s="3" t="s">
        <v>76</v>
      </c>
      <c r="QOV16" s="3" t="s">
        <v>77</v>
      </c>
      <c r="QOW16" s="3" t="s">
        <v>76</v>
      </c>
      <c r="QOX16" s="3" t="s">
        <v>77</v>
      </c>
      <c r="QOY16" s="3" t="s">
        <v>76</v>
      </c>
      <c r="QOZ16" s="3" t="s">
        <v>77</v>
      </c>
      <c r="QPA16" s="3" t="s">
        <v>76</v>
      </c>
      <c r="QPB16" s="3" t="s">
        <v>77</v>
      </c>
      <c r="QPC16" s="3" t="s">
        <v>76</v>
      </c>
      <c r="QPD16" s="3" t="s">
        <v>77</v>
      </c>
      <c r="QPE16" s="3" t="s">
        <v>76</v>
      </c>
      <c r="QPF16" s="3" t="s">
        <v>77</v>
      </c>
      <c r="QPG16" s="3" t="s">
        <v>76</v>
      </c>
      <c r="QPH16" s="3" t="s">
        <v>77</v>
      </c>
      <c r="QPI16" s="3" t="s">
        <v>76</v>
      </c>
      <c r="QPJ16" s="3" t="s">
        <v>77</v>
      </c>
      <c r="QPK16" s="3" t="s">
        <v>76</v>
      </c>
      <c r="QPL16" s="3" t="s">
        <v>77</v>
      </c>
      <c r="QPM16" s="3" t="s">
        <v>76</v>
      </c>
      <c r="QPN16" s="3" t="s">
        <v>77</v>
      </c>
      <c r="QPO16" s="3" t="s">
        <v>76</v>
      </c>
      <c r="QPP16" s="3" t="s">
        <v>77</v>
      </c>
      <c r="QPQ16" s="3" t="s">
        <v>76</v>
      </c>
      <c r="QPR16" s="3" t="s">
        <v>77</v>
      </c>
      <c r="QPS16" s="3" t="s">
        <v>76</v>
      </c>
      <c r="QPT16" s="3" t="s">
        <v>77</v>
      </c>
      <c r="QPU16" s="3" t="s">
        <v>76</v>
      </c>
      <c r="QPV16" s="3" t="s">
        <v>77</v>
      </c>
      <c r="QPW16" s="3" t="s">
        <v>76</v>
      </c>
      <c r="QPX16" s="3" t="s">
        <v>77</v>
      </c>
      <c r="QPY16" s="3" t="s">
        <v>76</v>
      </c>
      <c r="QPZ16" s="3" t="s">
        <v>77</v>
      </c>
      <c r="QQA16" s="3" t="s">
        <v>76</v>
      </c>
      <c r="QQB16" s="3" t="s">
        <v>77</v>
      </c>
      <c r="QQC16" s="3" t="s">
        <v>76</v>
      </c>
      <c r="QQD16" s="3" t="s">
        <v>77</v>
      </c>
      <c r="QQE16" s="3" t="s">
        <v>76</v>
      </c>
      <c r="QQF16" s="3" t="s">
        <v>77</v>
      </c>
      <c r="QQG16" s="3" t="s">
        <v>76</v>
      </c>
      <c r="QQH16" s="3" t="s">
        <v>77</v>
      </c>
      <c r="QQI16" s="3" t="s">
        <v>76</v>
      </c>
      <c r="QQJ16" s="3" t="s">
        <v>77</v>
      </c>
      <c r="QQK16" s="3" t="s">
        <v>76</v>
      </c>
      <c r="QQL16" s="3" t="s">
        <v>77</v>
      </c>
      <c r="QQM16" s="3" t="s">
        <v>76</v>
      </c>
      <c r="QQN16" s="3" t="s">
        <v>77</v>
      </c>
      <c r="QQO16" s="3" t="s">
        <v>76</v>
      </c>
      <c r="QQP16" s="3" t="s">
        <v>77</v>
      </c>
      <c r="QQQ16" s="3" t="s">
        <v>76</v>
      </c>
      <c r="QQR16" s="3" t="s">
        <v>77</v>
      </c>
      <c r="QQS16" s="3" t="s">
        <v>76</v>
      </c>
      <c r="QQT16" s="3" t="s">
        <v>77</v>
      </c>
      <c r="QQU16" s="3" t="s">
        <v>76</v>
      </c>
      <c r="QQV16" s="3" t="s">
        <v>77</v>
      </c>
      <c r="QQW16" s="3" t="s">
        <v>76</v>
      </c>
      <c r="QQX16" s="3" t="s">
        <v>77</v>
      </c>
      <c r="QQY16" s="3" t="s">
        <v>76</v>
      </c>
      <c r="QQZ16" s="3" t="s">
        <v>77</v>
      </c>
      <c r="QRA16" s="3" t="s">
        <v>76</v>
      </c>
      <c r="QRB16" s="3" t="s">
        <v>77</v>
      </c>
      <c r="QRC16" s="3" t="s">
        <v>76</v>
      </c>
      <c r="QRD16" s="3" t="s">
        <v>77</v>
      </c>
      <c r="QRE16" s="3" t="s">
        <v>76</v>
      </c>
      <c r="QRF16" s="3" t="s">
        <v>77</v>
      </c>
      <c r="QRG16" s="3" t="s">
        <v>76</v>
      </c>
      <c r="QRH16" s="3" t="s">
        <v>77</v>
      </c>
      <c r="QRI16" s="3" t="s">
        <v>76</v>
      </c>
      <c r="QRJ16" s="3" t="s">
        <v>77</v>
      </c>
      <c r="QRK16" s="3" t="s">
        <v>76</v>
      </c>
      <c r="QRL16" s="3" t="s">
        <v>77</v>
      </c>
      <c r="QRM16" s="3" t="s">
        <v>76</v>
      </c>
      <c r="QRN16" s="3" t="s">
        <v>77</v>
      </c>
      <c r="QRO16" s="3" t="s">
        <v>76</v>
      </c>
      <c r="QRP16" s="3" t="s">
        <v>77</v>
      </c>
      <c r="QRQ16" s="3" t="s">
        <v>76</v>
      </c>
      <c r="QRR16" s="3" t="s">
        <v>77</v>
      </c>
      <c r="QRS16" s="3" t="s">
        <v>76</v>
      </c>
      <c r="QRT16" s="3" t="s">
        <v>77</v>
      </c>
      <c r="QRU16" s="3" t="s">
        <v>76</v>
      </c>
      <c r="QRV16" s="3" t="s">
        <v>77</v>
      </c>
      <c r="QRW16" s="3" t="s">
        <v>76</v>
      </c>
      <c r="QRX16" s="3" t="s">
        <v>77</v>
      </c>
      <c r="QRY16" s="3" t="s">
        <v>76</v>
      </c>
      <c r="QRZ16" s="3" t="s">
        <v>77</v>
      </c>
      <c r="QSA16" s="3" t="s">
        <v>76</v>
      </c>
      <c r="QSB16" s="3" t="s">
        <v>77</v>
      </c>
      <c r="QSC16" s="3" t="s">
        <v>76</v>
      </c>
      <c r="QSD16" s="3" t="s">
        <v>77</v>
      </c>
      <c r="QSE16" s="3" t="s">
        <v>76</v>
      </c>
      <c r="QSF16" s="3" t="s">
        <v>77</v>
      </c>
      <c r="QSG16" s="3" t="s">
        <v>76</v>
      </c>
      <c r="QSH16" s="3" t="s">
        <v>77</v>
      </c>
      <c r="QSI16" s="3" t="s">
        <v>76</v>
      </c>
      <c r="QSJ16" s="3" t="s">
        <v>77</v>
      </c>
      <c r="QSK16" s="3" t="s">
        <v>76</v>
      </c>
      <c r="QSL16" s="3" t="s">
        <v>77</v>
      </c>
      <c r="QSM16" s="3" t="s">
        <v>76</v>
      </c>
      <c r="QSN16" s="3" t="s">
        <v>77</v>
      </c>
      <c r="QSO16" s="3" t="s">
        <v>76</v>
      </c>
      <c r="QSP16" s="3" t="s">
        <v>77</v>
      </c>
      <c r="QSQ16" s="3" t="s">
        <v>76</v>
      </c>
      <c r="QSR16" s="3" t="s">
        <v>77</v>
      </c>
      <c r="QSS16" s="3" t="s">
        <v>76</v>
      </c>
      <c r="QST16" s="3" t="s">
        <v>77</v>
      </c>
      <c r="QSU16" s="3" t="s">
        <v>76</v>
      </c>
      <c r="QSV16" s="3" t="s">
        <v>77</v>
      </c>
      <c r="QSW16" s="3" t="s">
        <v>76</v>
      </c>
      <c r="QSX16" s="3" t="s">
        <v>77</v>
      </c>
      <c r="QSY16" s="3" t="s">
        <v>76</v>
      </c>
      <c r="QSZ16" s="3" t="s">
        <v>77</v>
      </c>
      <c r="QTA16" s="3" t="s">
        <v>76</v>
      </c>
      <c r="QTB16" s="3" t="s">
        <v>77</v>
      </c>
      <c r="QTC16" s="3" t="s">
        <v>76</v>
      </c>
      <c r="QTD16" s="3" t="s">
        <v>77</v>
      </c>
      <c r="QTE16" s="3" t="s">
        <v>76</v>
      </c>
      <c r="QTF16" s="3" t="s">
        <v>77</v>
      </c>
      <c r="QTG16" s="3" t="s">
        <v>76</v>
      </c>
      <c r="QTH16" s="3" t="s">
        <v>77</v>
      </c>
      <c r="QTI16" s="3" t="s">
        <v>76</v>
      </c>
      <c r="QTJ16" s="3" t="s">
        <v>77</v>
      </c>
      <c r="QTK16" s="3" t="s">
        <v>76</v>
      </c>
      <c r="QTL16" s="3" t="s">
        <v>77</v>
      </c>
      <c r="QTM16" s="3" t="s">
        <v>76</v>
      </c>
      <c r="QTN16" s="3" t="s">
        <v>77</v>
      </c>
      <c r="QTO16" s="3" t="s">
        <v>76</v>
      </c>
      <c r="QTP16" s="3" t="s">
        <v>77</v>
      </c>
      <c r="QTQ16" s="3" t="s">
        <v>76</v>
      </c>
      <c r="QTR16" s="3" t="s">
        <v>77</v>
      </c>
      <c r="QTS16" s="3" t="s">
        <v>76</v>
      </c>
      <c r="QTT16" s="3" t="s">
        <v>77</v>
      </c>
      <c r="QTU16" s="3" t="s">
        <v>76</v>
      </c>
      <c r="QTV16" s="3" t="s">
        <v>77</v>
      </c>
      <c r="QTW16" s="3" t="s">
        <v>76</v>
      </c>
      <c r="QTX16" s="3" t="s">
        <v>77</v>
      </c>
      <c r="QTY16" s="3" t="s">
        <v>76</v>
      </c>
      <c r="QTZ16" s="3" t="s">
        <v>77</v>
      </c>
      <c r="QUA16" s="3" t="s">
        <v>76</v>
      </c>
      <c r="QUB16" s="3" t="s">
        <v>77</v>
      </c>
      <c r="QUC16" s="3" t="s">
        <v>76</v>
      </c>
      <c r="QUD16" s="3" t="s">
        <v>77</v>
      </c>
      <c r="QUE16" s="3" t="s">
        <v>76</v>
      </c>
      <c r="QUF16" s="3" t="s">
        <v>77</v>
      </c>
      <c r="QUG16" s="3" t="s">
        <v>76</v>
      </c>
      <c r="QUH16" s="3" t="s">
        <v>77</v>
      </c>
      <c r="QUI16" s="3" t="s">
        <v>76</v>
      </c>
      <c r="QUJ16" s="3" t="s">
        <v>77</v>
      </c>
      <c r="QUK16" s="3" t="s">
        <v>76</v>
      </c>
      <c r="QUL16" s="3" t="s">
        <v>77</v>
      </c>
      <c r="QUM16" s="3" t="s">
        <v>76</v>
      </c>
      <c r="QUN16" s="3" t="s">
        <v>77</v>
      </c>
      <c r="QUO16" s="3" t="s">
        <v>76</v>
      </c>
      <c r="QUP16" s="3" t="s">
        <v>77</v>
      </c>
      <c r="QUQ16" s="3" t="s">
        <v>76</v>
      </c>
      <c r="QUR16" s="3" t="s">
        <v>77</v>
      </c>
      <c r="QUS16" s="3" t="s">
        <v>76</v>
      </c>
      <c r="QUT16" s="3" t="s">
        <v>77</v>
      </c>
      <c r="QUU16" s="3" t="s">
        <v>76</v>
      </c>
      <c r="QUV16" s="3" t="s">
        <v>77</v>
      </c>
      <c r="QUW16" s="3" t="s">
        <v>76</v>
      </c>
      <c r="QUX16" s="3" t="s">
        <v>77</v>
      </c>
      <c r="QUY16" s="3" t="s">
        <v>76</v>
      </c>
      <c r="QUZ16" s="3" t="s">
        <v>77</v>
      </c>
      <c r="QVA16" s="3" t="s">
        <v>76</v>
      </c>
      <c r="QVB16" s="3" t="s">
        <v>77</v>
      </c>
      <c r="QVC16" s="3" t="s">
        <v>76</v>
      </c>
      <c r="QVD16" s="3" t="s">
        <v>77</v>
      </c>
      <c r="QVE16" s="3" t="s">
        <v>76</v>
      </c>
      <c r="QVF16" s="3" t="s">
        <v>77</v>
      </c>
      <c r="QVG16" s="3" t="s">
        <v>76</v>
      </c>
      <c r="QVH16" s="3" t="s">
        <v>77</v>
      </c>
      <c r="QVI16" s="3" t="s">
        <v>76</v>
      </c>
      <c r="QVJ16" s="3" t="s">
        <v>77</v>
      </c>
      <c r="QVK16" s="3" t="s">
        <v>76</v>
      </c>
      <c r="QVL16" s="3" t="s">
        <v>77</v>
      </c>
      <c r="QVM16" s="3" t="s">
        <v>76</v>
      </c>
      <c r="QVN16" s="3" t="s">
        <v>77</v>
      </c>
      <c r="QVO16" s="3" t="s">
        <v>76</v>
      </c>
      <c r="QVP16" s="3" t="s">
        <v>77</v>
      </c>
      <c r="QVQ16" s="3" t="s">
        <v>76</v>
      </c>
      <c r="QVR16" s="3" t="s">
        <v>77</v>
      </c>
      <c r="QVS16" s="3" t="s">
        <v>76</v>
      </c>
      <c r="QVT16" s="3" t="s">
        <v>77</v>
      </c>
      <c r="QVU16" s="3" t="s">
        <v>76</v>
      </c>
      <c r="QVV16" s="3" t="s">
        <v>77</v>
      </c>
      <c r="QVW16" s="3" t="s">
        <v>76</v>
      </c>
      <c r="QVX16" s="3" t="s">
        <v>77</v>
      </c>
      <c r="QVY16" s="3" t="s">
        <v>76</v>
      </c>
      <c r="QVZ16" s="3" t="s">
        <v>77</v>
      </c>
      <c r="QWA16" s="3" t="s">
        <v>76</v>
      </c>
      <c r="QWB16" s="3" t="s">
        <v>77</v>
      </c>
      <c r="QWC16" s="3" t="s">
        <v>76</v>
      </c>
      <c r="QWD16" s="3" t="s">
        <v>77</v>
      </c>
      <c r="QWE16" s="3" t="s">
        <v>76</v>
      </c>
      <c r="QWF16" s="3" t="s">
        <v>77</v>
      </c>
      <c r="QWG16" s="3" t="s">
        <v>76</v>
      </c>
      <c r="QWH16" s="3" t="s">
        <v>77</v>
      </c>
      <c r="QWI16" s="3" t="s">
        <v>76</v>
      </c>
      <c r="QWJ16" s="3" t="s">
        <v>77</v>
      </c>
      <c r="QWK16" s="3" t="s">
        <v>76</v>
      </c>
      <c r="QWL16" s="3" t="s">
        <v>77</v>
      </c>
      <c r="QWM16" s="3" t="s">
        <v>76</v>
      </c>
      <c r="QWN16" s="3" t="s">
        <v>77</v>
      </c>
      <c r="QWO16" s="3" t="s">
        <v>76</v>
      </c>
      <c r="QWP16" s="3" t="s">
        <v>77</v>
      </c>
      <c r="QWQ16" s="3" t="s">
        <v>76</v>
      </c>
      <c r="QWR16" s="3" t="s">
        <v>77</v>
      </c>
      <c r="QWS16" s="3" t="s">
        <v>76</v>
      </c>
      <c r="QWT16" s="3" t="s">
        <v>77</v>
      </c>
      <c r="QWU16" s="3" t="s">
        <v>76</v>
      </c>
      <c r="QWV16" s="3" t="s">
        <v>77</v>
      </c>
      <c r="QWW16" s="3" t="s">
        <v>76</v>
      </c>
      <c r="QWX16" s="3" t="s">
        <v>77</v>
      </c>
      <c r="QWY16" s="3" t="s">
        <v>76</v>
      </c>
      <c r="QWZ16" s="3" t="s">
        <v>77</v>
      </c>
      <c r="QXA16" s="3" t="s">
        <v>76</v>
      </c>
      <c r="QXB16" s="3" t="s">
        <v>77</v>
      </c>
      <c r="QXC16" s="3" t="s">
        <v>76</v>
      </c>
      <c r="QXD16" s="3" t="s">
        <v>77</v>
      </c>
      <c r="QXE16" s="3" t="s">
        <v>76</v>
      </c>
      <c r="QXF16" s="3" t="s">
        <v>77</v>
      </c>
      <c r="QXG16" s="3" t="s">
        <v>76</v>
      </c>
      <c r="QXH16" s="3" t="s">
        <v>77</v>
      </c>
      <c r="QXI16" s="3" t="s">
        <v>76</v>
      </c>
      <c r="QXJ16" s="3" t="s">
        <v>77</v>
      </c>
      <c r="QXK16" s="3" t="s">
        <v>76</v>
      </c>
      <c r="QXL16" s="3" t="s">
        <v>77</v>
      </c>
      <c r="QXM16" s="3" t="s">
        <v>76</v>
      </c>
      <c r="QXN16" s="3" t="s">
        <v>77</v>
      </c>
      <c r="QXO16" s="3" t="s">
        <v>76</v>
      </c>
      <c r="QXP16" s="3" t="s">
        <v>77</v>
      </c>
      <c r="QXQ16" s="3" t="s">
        <v>76</v>
      </c>
      <c r="QXR16" s="3" t="s">
        <v>77</v>
      </c>
      <c r="QXS16" s="3" t="s">
        <v>76</v>
      </c>
      <c r="QXT16" s="3" t="s">
        <v>77</v>
      </c>
      <c r="QXU16" s="3" t="s">
        <v>76</v>
      </c>
      <c r="QXV16" s="3" t="s">
        <v>77</v>
      </c>
      <c r="QXW16" s="3" t="s">
        <v>76</v>
      </c>
      <c r="QXX16" s="3" t="s">
        <v>77</v>
      </c>
      <c r="QXY16" s="3" t="s">
        <v>76</v>
      </c>
      <c r="QXZ16" s="3" t="s">
        <v>77</v>
      </c>
      <c r="QYA16" s="3" t="s">
        <v>76</v>
      </c>
      <c r="QYB16" s="3" t="s">
        <v>77</v>
      </c>
      <c r="QYC16" s="3" t="s">
        <v>76</v>
      </c>
      <c r="QYD16" s="3" t="s">
        <v>77</v>
      </c>
      <c r="QYE16" s="3" t="s">
        <v>76</v>
      </c>
      <c r="QYF16" s="3" t="s">
        <v>77</v>
      </c>
      <c r="QYG16" s="3" t="s">
        <v>76</v>
      </c>
      <c r="QYH16" s="3" t="s">
        <v>77</v>
      </c>
      <c r="QYI16" s="3" t="s">
        <v>76</v>
      </c>
      <c r="QYJ16" s="3" t="s">
        <v>77</v>
      </c>
      <c r="QYK16" s="3" t="s">
        <v>76</v>
      </c>
      <c r="QYL16" s="3" t="s">
        <v>77</v>
      </c>
      <c r="QYM16" s="3" t="s">
        <v>76</v>
      </c>
      <c r="QYN16" s="3" t="s">
        <v>77</v>
      </c>
      <c r="QYO16" s="3" t="s">
        <v>76</v>
      </c>
      <c r="QYP16" s="3" t="s">
        <v>77</v>
      </c>
      <c r="QYQ16" s="3" t="s">
        <v>76</v>
      </c>
      <c r="QYR16" s="3" t="s">
        <v>77</v>
      </c>
      <c r="QYS16" s="3" t="s">
        <v>76</v>
      </c>
      <c r="QYT16" s="3" t="s">
        <v>77</v>
      </c>
      <c r="QYU16" s="3" t="s">
        <v>76</v>
      </c>
      <c r="QYV16" s="3" t="s">
        <v>77</v>
      </c>
      <c r="QYW16" s="3" t="s">
        <v>76</v>
      </c>
      <c r="QYX16" s="3" t="s">
        <v>77</v>
      </c>
      <c r="QYY16" s="3" t="s">
        <v>76</v>
      </c>
      <c r="QYZ16" s="3" t="s">
        <v>77</v>
      </c>
      <c r="QZA16" s="3" t="s">
        <v>76</v>
      </c>
      <c r="QZB16" s="3" t="s">
        <v>77</v>
      </c>
      <c r="QZC16" s="3" t="s">
        <v>76</v>
      </c>
      <c r="QZD16" s="3" t="s">
        <v>77</v>
      </c>
      <c r="QZE16" s="3" t="s">
        <v>76</v>
      </c>
      <c r="QZF16" s="3" t="s">
        <v>77</v>
      </c>
      <c r="QZG16" s="3" t="s">
        <v>76</v>
      </c>
      <c r="QZH16" s="3" t="s">
        <v>77</v>
      </c>
      <c r="QZI16" s="3" t="s">
        <v>76</v>
      </c>
      <c r="QZJ16" s="3" t="s">
        <v>77</v>
      </c>
      <c r="QZK16" s="3" t="s">
        <v>76</v>
      </c>
      <c r="QZL16" s="3" t="s">
        <v>77</v>
      </c>
      <c r="QZM16" s="3" t="s">
        <v>76</v>
      </c>
      <c r="QZN16" s="3" t="s">
        <v>77</v>
      </c>
      <c r="QZO16" s="3" t="s">
        <v>76</v>
      </c>
      <c r="QZP16" s="3" t="s">
        <v>77</v>
      </c>
      <c r="QZQ16" s="3" t="s">
        <v>76</v>
      </c>
      <c r="QZR16" s="3" t="s">
        <v>77</v>
      </c>
      <c r="QZS16" s="3" t="s">
        <v>76</v>
      </c>
      <c r="QZT16" s="3" t="s">
        <v>77</v>
      </c>
      <c r="QZU16" s="3" t="s">
        <v>76</v>
      </c>
      <c r="QZV16" s="3" t="s">
        <v>77</v>
      </c>
      <c r="QZW16" s="3" t="s">
        <v>76</v>
      </c>
      <c r="QZX16" s="3" t="s">
        <v>77</v>
      </c>
      <c r="QZY16" s="3" t="s">
        <v>76</v>
      </c>
      <c r="QZZ16" s="3" t="s">
        <v>77</v>
      </c>
      <c r="RAA16" s="3" t="s">
        <v>76</v>
      </c>
      <c r="RAB16" s="3" t="s">
        <v>77</v>
      </c>
      <c r="RAC16" s="3" t="s">
        <v>76</v>
      </c>
      <c r="RAD16" s="3" t="s">
        <v>77</v>
      </c>
      <c r="RAE16" s="3" t="s">
        <v>76</v>
      </c>
      <c r="RAF16" s="3" t="s">
        <v>77</v>
      </c>
      <c r="RAG16" s="3" t="s">
        <v>76</v>
      </c>
      <c r="RAH16" s="3" t="s">
        <v>77</v>
      </c>
      <c r="RAI16" s="3" t="s">
        <v>76</v>
      </c>
      <c r="RAJ16" s="3" t="s">
        <v>77</v>
      </c>
      <c r="RAK16" s="3" t="s">
        <v>76</v>
      </c>
      <c r="RAL16" s="3" t="s">
        <v>77</v>
      </c>
      <c r="RAM16" s="3" t="s">
        <v>76</v>
      </c>
      <c r="RAN16" s="3" t="s">
        <v>77</v>
      </c>
      <c r="RAO16" s="3" t="s">
        <v>76</v>
      </c>
      <c r="RAP16" s="3" t="s">
        <v>77</v>
      </c>
      <c r="RAQ16" s="3" t="s">
        <v>76</v>
      </c>
      <c r="RAR16" s="3" t="s">
        <v>77</v>
      </c>
      <c r="RAS16" s="3" t="s">
        <v>76</v>
      </c>
      <c r="RAT16" s="3" t="s">
        <v>77</v>
      </c>
      <c r="RAU16" s="3" t="s">
        <v>76</v>
      </c>
      <c r="RAV16" s="3" t="s">
        <v>77</v>
      </c>
      <c r="RAW16" s="3" t="s">
        <v>76</v>
      </c>
      <c r="RAX16" s="3" t="s">
        <v>77</v>
      </c>
      <c r="RAY16" s="3" t="s">
        <v>76</v>
      </c>
      <c r="RAZ16" s="3" t="s">
        <v>77</v>
      </c>
      <c r="RBA16" s="3" t="s">
        <v>76</v>
      </c>
      <c r="RBB16" s="3" t="s">
        <v>77</v>
      </c>
      <c r="RBC16" s="3" t="s">
        <v>76</v>
      </c>
      <c r="RBD16" s="3" t="s">
        <v>77</v>
      </c>
      <c r="RBE16" s="3" t="s">
        <v>76</v>
      </c>
      <c r="RBF16" s="3" t="s">
        <v>77</v>
      </c>
      <c r="RBG16" s="3" t="s">
        <v>76</v>
      </c>
      <c r="RBH16" s="3" t="s">
        <v>77</v>
      </c>
      <c r="RBI16" s="3" t="s">
        <v>76</v>
      </c>
      <c r="RBJ16" s="3" t="s">
        <v>77</v>
      </c>
      <c r="RBK16" s="3" t="s">
        <v>76</v>
      </c>
      <c r="RBL16" s="3" t="s">
        <v>77</v>
      </c>
      <c r="RBM16" s="3" t="s">
        <v>76</v>
      </c>
      <c r="RBN16" s="3" t="s">
        <v>77</v>
      </c>
      <c r="RBO16" s="3" t="s">
        <v>76</v>
      </c>
      <c r="RBP16" s="3" t="s">
        <v>77</v>
      </c>
      <c r="RBQ16" s="3" t="s">
        <v>76</v>
      </c>
      <c r="RBR16" s="3" t="s">
        <v>77</v>
      </c>
      <c r="RBS16" s="3" t="s">
        <v>76</v>
      </c>
      <c r="RBT16" s="3" t="s">
        <v>77</v>
      </c>
      <c r="RBU16" s="3" t="s">
        <v>76</v>
      </c>
      <c r="RBV16" s="3" t="s">
        <v>77</v>
      </c>
      <c r="RBW16" s="3" t="s">
        <v>76</v>
      </c>
      <c r="RBX16" s="3" t="s">
        <v>77</v>
      </c>
      <c r="RBY16" s="3" t="s">
        <v>76</v>
      </c>
      <c r="RBZ16" s="3" t="s">
        <v>77</v>
      </c>
      <c r="RCA16" s="3" t="s">
        <v>76</v>
      </c>
      <c r="RCB16" s="3" t="s">
        <v>77</v>
      </c>
      <c r="RCC16" s="3" t="s">
        <v>76</v>
      </c>
      <c r="RCD16" s="3" t="s">
        <v>77</v>
      </c>
      <c r="RCE16" s="3" t="s">
        <v>76</v>
      </c>
      <c r="RCF16" s="3" t="s">
        <v>77</v>
      </c>
      <c r="RCG16" s="3" t="s">
        <v>76</v>
      </c>
      <c r="RCH16" s="3" t="s">
        <v>77</v>
      </c>
      <c r="RCI16" s="3" t="s">
        <v>76</v>
      </c>
      <c r="RCJ16" s="3" t="s">
        <v>77</v>
      </c>
      <c r="RCK16" s="3" t="s">
        <v>76</v>
      </c>
      <c r="RCL16" s="3" t="s">
        <v>77</v>
      </c>
      <c r="RCM16" s="3" t="s">
        <v>76</v>
      </c>
      <c r="RCN16" s="3" t="s">
        <v>77</v>
      </c>
      <c r="RCO16" s="3" t="s">
        <v>76</v>
      </c>
      <c r="RCP16" s="3" t="s">
        <v>77</v>
      </c>
      <c r="RCQ16" s="3" t="s">
        <v>76</v>
      </c>
      <c r="RCR16" s="3" t="s">
        <v>77</v>
      </c>
      <c r="RCS16" s="3" t="s">
        <v>76</v>
      </c>
      <c r="RCT16" s="3" t="s">
        <v>77</v>
      </c>
      <c r="RCU16" s="3" t="s">
        <v>76</v>
      </c>
      <c r="RCV16" s="3" t="s">
        <v>77</v>
      </c>
      <c r="RCW16" s="3" t="s">
        <v>76</v>
      </c>
      <c r="RCX16" s="3" t="s">
        <v>77</v>
      </c>
      <c r="RCY16" s="3" t="s">
        <v>76</v>
      </c>
      <c r="RCZ16" s="3" t="s">
        <v>77</v>
      </c>
      <c r="RDA16" s="3" t="s">
        <v>76</v>
      </c>
      <c r="RDB16" s="3" t="s">
        <v>77</v>
      </c>
      <c r="RDC16" s="3" t="s">
        <v>76</v>
      </c>
      <c r="RDD16" s="3" t="s">
        <v>77</v>
      </c>
      <c r="RDE16" s="3" t="s">
        <v>76</v>
      </c>
      <c r="RDF16" s="3" t="s">
        <v>77</v>
      </c>
      <c r="RDG16" s="3" t="s">
        <v>76</v>
      </c>
      <c r="RDH16" s="3" t="s">
        <v>77</v>
      </c>
      <c r="RDI16" s="3" t="s">
        <v>76</v>
      </c>
      <c r="RDJ16" s="3" t="s">
        <v>77</v>
      </c>
      <c r="RDK16" s="3" t="s">
        <v>76</v>
      </c>
      <c r="RDL16" s="3" t="s">
        <v>77</v>
      </c>
      <c r="RDM16" s="3" t="s">
        <v>76</v>
      </c>
      <c r="RDN16" s="3" t="s">
        <v>77</v>
      </c>
      <c r="RDO16" s="3" t="s">
        <v>76</v>
      </c>
      <c r="RDP16" s="3" t="s">
        <v>77</v>
      </c>
      <c r="RDQ16" s="3" t="s">
        <v>76</v>
      </c>
      <c r="RDR16" s="3" t="s">
        <v>77</v>
      </c>
      <c r="RDS16" s="3" t="s">
        <v>76</v>
      </c>
      <c r="RDT16" s="3" t="s">
        <v>77</v>
      </c>
      <c r="RDU16" s="3" t="s">
        <v>76</v>
      </c>
      <c r="RDV16" s="3" t="s">
        <v>77</v>
      </c>
      <c r="RDW16" s="3" t="s">
        <v>76</v>
      </c>
      <c r="RDX16" s="3" t="s">
        <v>77</v>
      </c>
      <c r="RDY16" s="3" t="s">
        <v>76</v>
      </c>
      <c r="RDZ16" s="3" t="s">
        <v>77</v>
      </c>
      <c r="REA16" s="3" t="s">
        <v>76</v>
      </c>
      <c r="REB16" s="3" t="s">
        <v>77</v>
      </c>
      <c r="REC16" s="3" t="s">
        <v>76</v>
      </c>
      <c r="RED16" s="3" t="s">
        <v>77</v>
      </c>
      <c r="REE16" s="3" t="s">
        <v>76</v>
      </c>
      <c r="REF16" s="3" t="s">
        <v>77</v>
      </c>
      <c r="REG16" s="3" t="s">
        <v>76</v>
      </c>
      <c r="REH16" s="3" t="s">
        <v>77</v>
      </c>
      <c r="REI16" s="3" t="s">
        <v>76</v>
      </c>
      <c r="REJ16" s="3" t="s">
        <v>77</v>
      </c>
      <c r="REK16" s="3" t="s">
        <v>76</v>
      </c>
      <c r="REL16" s="3" t="s">
        <v>77</v>
      </c>
      <c r="REM16" s="3" t="s">
        <v>76</v>
      </c>
      <c r="REN16" s="3" t="s">
        <v>77</v>
      </c>
      <c r="REO16" s="3" t="s">
        <v>76</v>
      </c>
      <c r="REP16" s="3" t="s">
        <v>77</v>
      </c>
      <c r="REQ16" s="3" t="s">
        <v>76</v>
      </c>
      <c r="RER16" s="3" t="s">
        <v>77</v>
      </c>
      <c r="RES16" s="3" t="s">
        <v>76</v>
      </c>
      <c r="RET16" s="3" t="s">
        <v>77</v>
      </c>
      <c r="REU16" s="3" t="s">
        <v>76</v>
      </c>
      <c r="REV16" s="3" t="s">
        <v>77</v>
      </c>
      <c r="REW16" s="3" t="s">
        <v>76</v>
      </c>
      <c r="REX16" s="3" t="s">
        <v>77</v>
      </c>
      <c r="REY16" s="3" t="s">
        <v>76</v>
      </c>
      <c r="REZ16" s="3" t="s">
        <v>77</v>
      </c>
      <c r="RFA16" s="3" t="s">
        <v>76</v>
      </c>
      <c r="RFB16" s="3" t="s">
        <v>77</v>
      </c>
      <c r="RFC16" s="3" t="s">
        <v>76</v>
      </c>
      <c r="RFD16" s="3" t="s">
        <v>77</v>
      </c>
      <c r="RFE16" s="3" t="s">
        <v>76</v>
      </c>
      <c r="RFF16" s="3" t="s">
        <v>77</v>
      </c>
      <c r="RFG16" s="3" t="s">
        <v>76</v>
      </c>
      <c r="RFH16" s="3" t="s">
        <v>77</v>
      </c>
      <c r="RFI16" s="3" t="s">
        <v>76</v>
      </c>
      <c r="RFJ16" s="3" t="s">
        <v>77</v>
      </c>
      <c r="RFK16" s="3" t="s">
        <v>76</v>
      </c>
      <c r="RFL16" s="3" t="s">
        <v>77</v>
      </c>
      <c r="RFM16" s="3" t="s">
        <v>76</v>
      </c>
      <c r="RFN16" s="3" t="s">
        <v>77</v>
      </c>
      <c r="RFO16" s="3" t="s">
        <v>76</v>
      </c>
      <c r="RFP16" s="3" t="s">
        <v>77</v>
      </c>
      <c r="RFQ16" s="3" t="s">
        <v>76</v>
      </c>
      <c r="RFR16" s="3" t="s">
        <v>77</v>
      </c>
      <c r="RFS16" s="3" t="s">
        <v>76</v>
      </c>
      <c r="RFT16" s="3" t="s">
        <v>77</v>
      </c>
      <c r="RFU16" s="3" t="s">
        <v>76</v>
      </c>
      <c r="RFV16" s="3" t="s">
        <v>77</v>
      </c>
      <c r="RFW16" s="3" t="s">
        <v>76</v>
      </c>
      <c r="RFX16" s="3" t="s">
        <v>77</v>
      </c>
      <c r="RFY16" s="3" t="s">
        <v>76</v>
      </c>
      <c r="RFZ16" s="3" t="s">
        <v>77</v>
      </c>
      <c r="RGA16" s="3" t="s">
        <v>76</v>
      </c>
      <c r="RGB16" s="3" t="s">
        <v>77</v>
      </c>
      <c r="RGC16" s="3" t="s">
        <v>76</v>
      </c>
      <c r="RGD16" s="3" t="s">
        <v>77</v>
      </c>
      <c r="RGE16" s="3" t="s">
        <v>76</v>
      </c>
      <c r="RGF16" s="3" t="s">
        <v>77</v>
      </c>
      <c r="RGG16" s="3" t="s">
        <v>76</v>
      </c>
      <c r="RGH16" s="3" t="s">
        <v>77</v>
      </c>
      <c r="RGI16" s="3" t="s">
        <v>76</v>
      </c>
      <c r="RGJ16" s="3" t="s">
        <v>77</v>
      </c>
      <c r="RGK16" s="3" t="s">
        <v>76</v>
      </c>
      <c r="RGL16" s="3" t="s">
        <v>77</v>
      </c>
      <c r="RGM16" s="3" t="s">
        <v>76</v>
      </c>
      <c r="RGN16" s="3" t="s">
        <v>77</v>
      </c>
      <c r="RGO16" s="3" t="s">
        <v>76</v>
      </c>
      <c r="RGP16" s="3" t="s">
        <v>77</v>
      </c>
      <c r="RGQ16" s="3" t="s">
        <v>76</v>
      </c>
      <c r="RGR16" s="3" t="s">
        <v>77</v>
      </c>
      <c r="RGS16" s="3" t="s">
        <v>76</v>
      </c>
      <c r="RGT16" s="3" t="s">
        <v>77</v>
      </c>
      <c r="RGU16" s="3" t="s">
        <v>76</v>
      </c>
      <c r="RGV16" s="3" t="s">
        <v>77</v>
      </c>
      <c r="RGW16" s="3" t="s">
        <v>76</v>
      </c>
      <c r="RGX16" s="3" t="s">
        <v>77</v>
      </c>
      <c r="RGY16" s="3" t="s">
        <v>76</v>
      </c>
      <c r="RGZ16" s="3" t="s">
        <v>77</v>
      </c>
      <c r="RHA16" s="3" t="s">
        <v>76</v>
      </c>
      <c r="RHB16" s="3" t="s">
        <v>77</v>
      </c>
      <c r="RHC16" s="3" t="s">
        <v>76</v>
      </c>
      <c r="RHD16" s="3" t="s">
        <v>77</v>
      </c>
      <c r="RHE16" s="3" t="s">
        <v>76</v>
      </c>
      <c r="RHF16" s="3" t="s">
        <v>77</v>
      </c>
      <c r="RHG16" s="3" t="s">
        <v>76</v>
      </c>
      <c r="RHH16" s="3" t="s">
        <v>77</v>
      </c>
      <c r="RHI16" s="3" t="s">
        <v>76</v>
      </c>
      <c r="RHJ16" s="3" t="s">
        <v>77</v>
      </c>
      <c r="RHK16" s="3" t="s">
        <v>76</v>
      </c>
      <c r="RHL16" s="3" t="s">
        <v>77</v>
      </c>
      <c r="RHM16" s="3" t="s">
        <v>76</v>
      </c>
      <c r="RHN16" s="3" t="s">
        <v>77</v>
      </c>
      <c r="RHO16" s="3" t="s">
        <v>76</v>
      </c>
      <c r="RHP16" s="3" t="s">
        <v>77</v>
      </c>
      <c r="RHQ16" s="3" t="s">
        <v>76</v>
      </c>
      <c r="RHR16" s="3" t="s">
        <v>77</v>
      </c>
      <c r="RHS16" s="3" t="s">
        <v>76</v>
      </c>
      <c r="RHT16" s="3" t="s">
        <v>77</v>
      </c>
      <c r="RHU16" s="3" t="s">
        <v>76</v>
      </c>
      <c r="RHV16" s="3" t="s">
        <v>77</v>
      </c>
      <c r="RHW16" s="3" t="s">
        <v>76</v>
      </c>
      <c r="RHX16" s="3" t="s">
        <v>77</v>
      </c>
      <c r="RHY16" s="3" t="s">
        <v>76</v>
      </c>
      <c r="RHZ16" s="3" t="s">
        <v>77</v>
      </c>
      <c r="RIA16" s="3" t="s">
        <v>76</v>
      </c>
      <c r="RIB16" s="3" t="s">
        <v>77</v>
      </c>
      <c r="RIC16" s="3" t="s">
        <v>76</v>
      </c>
      <c r="RID16" s="3" t="s">
        <v>77</v>
      </c>
      <c r="RIE16" s="3" t="s">
        <v>76</v>
      </c>
      <c r="RIF16" s="3" t="s">
        <v>77</v>
      </c>
      <c r="RIG16" s="3" t="s">
        <v>76</v>
      </c>
      <c r="RIH16" s="3" t="s">
        <v>77</v>
      </c>
      <c r="RII16" s="3" t="s">
        <v>76</v>
      </c>
      <c r="RIJ16" s="3" t="s">
        <v>77</v>
      </c>
      <c r="RIK16" s="3" t="s">
        <v>76</v>
      </c>
      <c r="RIL16" s="3" t="s">
        <v>77</v>
      </c>
      <c r="RIM16" s="3" t="s">
        <v>76</v>
      </c>
      <c r="RIN16" s="3" t="s">
        <v>77</v>
      </c>
      <c r="RIO16" s="3" t="s">
        <v>76</v>
      </c>
      <c r="RIP16" s="3" t="s">
        <v>77</v>
      </c>
      <c r="RIQ16" s="3" t="s">
        <v>76</v>
      </c>
      <c r="RIR16" s="3" t="s">
        <v>77</v>
      </c>
      <c r="RIS16" s="3" t="s">
        <v>76</v>
      </c>
      <c r="RIT16" s="3" t="s">
        <v>77</v>
      </c>
      <c r="RIU16" s="3" t="s">
        <v>76</v>
      </c>
      <c r="RIV16" s="3" t="s">
        <v>77</v>
      </c>
      <c r="RIW16" s="3" t="s">
        <v>76</v>
      </c>
      <c r="RIX16" s="3" t="s">
        <v>77</v>
      </c>
      <c r="RIY16" s="3" t="s">
        <v>76</v>
      </c>
      <c r="RIZ16" s="3" t="s">
        <v>77</v>
      </c>
      <c r="RJA16" s="3" t="s">
        <v>76</v>
      </c>
      <c r="RJB16" s="3" t="s">
        <v>77</v>
      </c>
      <c r="RJC16" s="3" t="s">
        <v>76</v>
      </c>
      <c r="RJD16" s="3" t="s">
        <v>77</v>
      </c>
      <c r="RJE16" s="3" t="s">
        <v>76</v>
      </c>
      <c r="RJF16" s="3" t="s">
        <v>77</v>
      </c>
      <c r="RJG16" s="3" t="s">
        <v>76</v>
      </c>
      <c r="RJH16" s="3" t="s">
        <v>77</v>
      </c>
      <c r="RJI16" s="3" t="s">
        <v>76</v>
      </c>
      <c r="RJJ16" s="3" t="s">
        <v>77</v>
      </c>
      <c r="RJK16" s="3" t="s">
        <v>76</v>
      </c>
      <c r="RJL16" s="3" t="s">
        <v>77</v>
      </c>
      <c r="RJM16" s="3" t="s">
        <v>76</v>
      </c>
      <c r="RJN16" s="3" t="s">
        <v>77</v>
      </c>
      <c r="RJO16" s="3" t="s">
        <v>76</v>
      </c>
      <c r="RJP16" s="3" t="s">
        <v>77</v>
      </c>
      <c r="RJQ16" s="3" t="s">
        <v>76</v>
      </c>
      <c r="RJR16" s="3" t="s">
        <v>77</v>
      </c>
      <c r="RJS16" s="3" t="s">
        <v>76</v>
      </c>
      <c r="RJT16" s="3" t="s">
        <v>77</v>
      </c>
      <c r="RJU16" s="3" t="s">
        <v>76</v>
      </c>
      <c r="RJV16" s="3" t="s">
        <v>77</v>
      </c>
      <c r="RJW16" s="3" t="s">
        <v>76</v>
      </c>
      <c r="RJX16" s="3" t="s">
        <v>77</v>
      </c>
      <c r="RJY16" s="3" t="s">
        <v>76</v>
      </c>
      <c r="RJZ16" s="3" t="s">
        <v>77</v>
      </c>
      <c r="RKA16" s="3" t="s">
        <v>76</v>
      </c>
      <c r="RKB16" s="3" t="s">
        <v>77</v>
      </c>
      <c r="RKC16" s="3" t="s">
        <v>76</v>
      </c>
      <c r="RKD16" s="3" t="s">
        <v>77</v>
      </c>
      <c r="RKE16" s="3" t="s">
        <v>76</v>
      </c>
      <c r="RKF16" s="3" t="s">
        <v>77</v>
      </c>
      <c r="RKG16" s="3" t="s">
        <v>76</v>
      </c>
      <c r="RKH16" s="3" t="s">
        <v>77</v>
      </c>
      <c r="RKI16" s="3" t="s">
        <v>76</v>
      </c>
      <c r="RKJ16" s="3" t="s">
        <v>77</v>
      </c>
      <c r="RKK16" s="3" t="s">
        <v>76</v>
      </c>
      <c r="RKL16" s="3" t="s">
        <v>77</v>
      </c>
      <c r="RKM16" s="3" t="s">
        <v>76</v>
      </c>
      <c r="RKN16" s="3" t="s">
        <v>77</v>
      </c>
      <c r="RKO16" s="3" t="s">
        <v>76</v>
      </c>
      <c r="RKP16" s="3" t="s">
        <v>77</v>
      </c>
      <c r="RKQ16" s="3" t="s">
        <v>76</v>
      </c>
      <c r="RKR16" s="3" t="s">
        <v>77</v>
      </c>
      <c r="RKS16" s="3" t="s">
        <v>76</v>
      </c>
      <c r="RKT16" s="3" t="s">
        <v>77</v>
      </c>
      <c r="RKU16" s="3" t="s">
        <v>76</v>
      </c>
      <c r="RKV16" s="3" t="s">
        <v>77</v>
      </c>
      <c r="RKW16" s="3" t="s">
        <v>76</v>
      </c>
      <c r="RKX16" s="3" t="s">
        <v>77</v>
      </c>
      <c r="RKY16" s="3" t="s">
        <v>76</v>
      </c>
      <c r="RKZ16" s="3" t="s">
        <v>77</v>
      </c>
      <c r="RLA16" s="3" t="s">
        <v>76</v>
      </c>
      <c r="RLB16" s="3" t="s">
        <v>77</v>
      </c>
      <c r="RLC16" s="3" t="s">
        <v>76</v>
      </c>
      <c r="RLD16" s="3" t="s">
        <v>77</v>
      </c>
      <c r="RLE16" s="3" t="s">
        <v>76</v>
      </c>
      <c r="RLF16" s="3" t="s">
        <v>77</v>
      </c>
      <c r="RLG16" s="3" t="s">
        <v>76</v>
      </c>
      <c r="RLH16" s="3" t="s">
        <v>77</v>
      </c>
      <c r="RLI16" s="3" t="s">
        <v>76</v>
      </c>
      <c r="RLJ16" s="3" t="s">
        <v>77</v>
      </c>
      <c r="RLK16" s="3" t="s">
        <v>76</v>
      </c>
      <c r="RLL16" s="3" t="s">
        <v>77</v>
      </c>
      <c r="RLM16" s="3" t="s">
        <v>76</v>
      </c>
      <c r="RLN16" s="3" t="s">
        <v>77</v>
      </c>
      <c r="RLO16" s="3" t="s">
        <v>76</v>
      </c>
      <c r="RLP16" s="3" t="s">
        <v>77</v>
      </c>
      <c r="RLQ16" s="3" t="s">
        <v>76</v>
      </c>
      <c r="RLR16" s="3" t="s">
        <v>77</v>
      </c>
      <c r="RLS16" s="3" t="s">
        <v>76</v>
      </c>
      <c r="RLT16" s="3" t="s">
        <v>77</v>
      </c>
      <c r="RLU16" s="3" t="s">
        <v>76</v>
      </c>
      <c r="RLV16" s="3" t="s">
        <v>77</v>
      </c>
      <c r="RLW16" s="3" t="s">
        <v>76</v>
      </c>
      <c r="RLX16" s="3" t="s">
        <v>77</v>
      </c>
      <c r="RLY16" s="3" t="s">
        <v>76</v>
      </c>
      <c r="RLZ16" s="3" t="s">
        <v>77</v>
      </c>
      <c r="RMA16" s="3" t="s">
        <v>76</v>
      </c>
      <c r="RMB16" s="3" t="s">
        <v>77</v>
      </c>
      <c r="RMC16" s="3" t="s">
        <v>76</v>
      </c>
      <c r="RMD16" s="3" t="s">
        <v>77</v>
      </c>
      <c r="RME16" s="3" t="s">
        <v>76</v>
      </c>
      <c r="RMF16" s="3" t="s">
        <v>77</v>
      </c>
      <c r="RMG16" s="3" t="s">
        <v>76</v>
      </c>
      <c r="RMH16" s="3" t="s">
        <v>77</v>
      </c>
      <c r="RMI16" s="3" t="s">
        <v>76</v>
      </c>
      <c r="RMJ16" s="3" t="s">
        <v>77</v>
      </c>
      <c r="RMK16" s="3" t="s">
        <v>76</v>
      </c>
      <c r="RML16" s="3" t="s">
        <v>77</v>
      </c>
      <c r="RMM16" s="3" t="s">
        <v>76</v>
      </c>
      <c r="RMN16" s="3" t="s">
        <v>77</v>
      </c>
      <c r="RMO16" s="3" t="s">
        <v>76</v>
      </c>
      <c r="RMP16" s="3" t="s">
        <v>77</v>
      </c>
      <c r="RMQ16" s="3" t="s">
        <v>76</v>
      </c>
      <c r="RMR16" s="3" t="s">
        <v>77</v>
      </c>
      <c r="RMS16" s="3" t="s">
        <v>76</v>
      </c>
      <c r="RMT16" s="3" t="s">
        <v>77</v>
      </c>
      <c r="RMU16" s="3" t="s">
        <v>76</v>
      </c>
      <c r="RMV16" s="3" t="s">
        <v>77</v>
      </c>
      <c r="RMW16" s="3" t="s">
        <v>76</v>
      </c>
      <c r="RMX16" s="3" t="s">
        <v>77</v>
      </c>
      <c r="RMY16" s="3" t="s">
        <v>76</v>
      </c>
      <c r="RMZ16" s="3" t="s">
        <v>77</v>
      </c>
      <c r="RNA16" s="3" t="s">
        <v>76</v>
      </c>
      <c r="RNB16" s="3" t="s">
        <v>77</v>
      </c>
      <c r="RNC16" s="3" t="s">
        <v>76</v>
      </c>
      <c r="RND16" s="3" t="s">
        <v>77</v>
      </c>
      <c r="RNE16" s="3" t="s">
        <v>76</v>
      </c>
      <c r="RNF16" s="3" t="s">
        <v>77</v>
      </c>
      <c r="RNG16" s="3" t="s">
        <v>76</v>
      </c>
      <c r="RNH16" s="3" t="s">
        <v>77</v>
      </c>
      <c r="RNI16" s="3" t="s">
        <v>76</v>
      </c>
      <c r="RNJ16" s="3" t="s">
        <v>77</v>
      </c>
      <c r="RNK16" s="3" t="s">
        <v>76</v>
      </c>
      <c r="RNL16" s="3" t="s">
        <v>77</v>
      </c>
      <c r="RNM16" s="3" t="s">
        <v>76</v>
      </c>
      <c r="RNN16" s="3" t="s">
        <v>77</v>
      </c>
      <c r="RNO16" s="3" t="s">
        <v>76</v>
      </c>
      <c r="RNP16" s="3" t="s">
        <v>77</v>
      </c>
      <c r="RNQ16" s="3" t="s">
        <v>76</v>
      </c>
      <c r="RNR16" s="3" t="s">
        <v>77</v>
      </c>
      <c r="RNS16" s="3" t="s">
        <v>76</v>
      </c>
      <c r="RNT16" s="3" t="s">
        <v>77</v>
      </c>
      <c r="RNU16" s="3" t="s">
        <v>76</v>
      </c>
      <c r="RNV16" s="3" t="s">
        <v>77</v>
      </c>
      <c r="RNW16" s="3" t="s">
        <v>76</v>
      </c>
      <c r="RNX16" s="3" t="s">
        <v>77</v>
      </c>
      <c r="RNY16" s="3" t="s">
        <v>76</v>
      </c>
      <c r="RNZ16" s="3" t="s">
        <v>77</v>
      </c>
      <c r="ROA16" s="3" t="s">
        <v>76</v>
      </c>
      <c r="ROB16" s="3" t="s">
        <v>77</v>
      </c>
      <c r="ROC16" s="3" t="s">
        <v>76</v>
      </c>
      <c r="ROD16" s="3" t="s">
        <v>77</v>
      </c>
      <c r="ROE16" s="3" t="s">
        <v>76</v>
      </c>
      <c r="ROF16" s="3" t="s">
        <v>77</v>
      </c>
      <c r="ROG16" s="3" t="s">
        <v>76</v>
      </c>
      <c r="ROH16" s="3" t="s">
        <v>77</v>
      </c>
      <c r="ROI16" s="3" t="s">
        <v>76</v>
      </c>
      <c r="ROJ16" s="3" t="s">
        <v>77</v>
      </c>
      <c r="ROK16" s="3" t="s">
        <v>76</v>
      </c>
      <c r="ROL16" s="3" t="s">
        <v>77</v>
      </c>
      <c r="ROM16" s="3" t="s">
        <v>76</v>
      </c>
      <c r="RON16" s="3" t="s">
        <v>77</v>
      </c>
      <c r="ROO16" s="3" t="s">
        <v>76</v>
      </c>
      <c r="ROP16" s="3" t="s">
        <v>77</v>
      </c>
      <c r="ROQ16" s="3" t="s">
        <v>76</v>
      </c>
      <c r="ROR16" s="3" t="s">
        <v>77</v>
      </c>
      <c r="ROS16" s="3" t="s">
        <v>76</v>
      </c>
      <c r="ROT16" s="3" t="s">
        <v>77</v>
      </c>
      <c r="ROU16" s="3" t="s">
        <v>76</v>
      </c>
      <c r="ROV16" s="3" t="s">
        <v>77</v>
      </c>
      <c r="ROW16" s="3" t="s">
        <v>76</v>
      </c>
      <c r="ROX16" s="3" t="s">
        <v>77</v>
      </c>
      <c r="ROY16" s="3" t="s">
        <v>76</v>
      </c>
      <c r="ROZ16" s="3" t="s">
        <v>77</v>
      </c>
      <c r="RPA16" s="3" t="s">
        <v>76</v>
      </c>
      <c r="RPB16" s="3" t="s">
        <v>77</v>
      </c>
      <c r="RPC16" s="3" t="s">
        <v>76</v>
      </c>
      <c r="RPD16" s="3" t="s">
        <v>77</v>
      </c>
      <c r="RPE16" s="3" t="s">
        <v>76</v>
      </c>
      <c r="RPF16" s="3" t="s">
        <v>77</v>
      </c>
      <c r="RPG16" s="3" t="s">
        <v>76</v>
      </c>
      <c r="RPH16" s="3" t="s">
        <v>77</v>
      </c>
      <c r="RPI16" s="3" t="s">
        <v>76</v>
      </c>
      <c r="RPJ16" s="3" t="s">
        <v>77</v>
      </c>
      <c r="RPK16" s="3" t="s">
        <v>76</v>
      </c>
      <c r="RPL16" s="3" t="s">
        <v>77</v>
      </c>
      <c r="RPM16" s="3" t="s">
        <v>76</v>
      </c>
      <c r="RPN16" s="3" t="s">
        <v>77</v>
      </c>
      <c r="RPO16" s="3" t="s">
        <v>76</v>
      </c>
      <c r="RPP16" s="3" t="s">
        <v>77</v>
      </c>
      <c r="RPQ16" s="3" t="s">
        <v>76</v>
      </c>
      <c r="RPR16" s="3" t="s">
        <v>77</v>
      </c>
      <c r="RPS16" s="3" t="s">
        <v>76</v>
      </c>
      <c r="RPT16" s="3" t="s">
        <v>77</v>
      </c>
      <c r="RPU16" s="3" t="s">
        <v>76</v>
      </c>
      <c r="RPV16" s="3" t="s">
        <v>77</v>
      </c>
      <c r="RPW16" s="3" t="s">
        <v>76</v>
      </c>
      <c r="RPX16" s="3" t="s">
        <v>77</v>
      </c>
      <c r="RPY16" s="3" t="s">
        <v>76</v>
      </c>
      <c r="RPZ16" s="3" t="s">
        <v>77</v>
      </c>
      <c r="RQA16" s="3" t="s">
        <v>76</v>
      </c>
      <c r="RQB16" s="3" t="s">
        <v>77</v>
      </c>
      <c r="RQC16" s="3" t="s">
        <v>76</v>
      </c>
      <c r="RQD16" s="3" t="s">
        <v>77</v>
      </c>
      <c r="RQE16" s="3" t="s">
        <v>76</v>
      </c>
      <c r="RQF16" s="3" t="s">
        <v>77</v>
      </c>
      <c r="RQG16" s="3" t="s">
        <v>76</v>
      </c>
      <c r="RQH16" s="3" t="s">
        <v>77</v>
      </c>
      <c r="RQI16" s="3" t="s">
        <v>76</v>
      </c>
      <c r="RQJ16" s="3" t="s">
        <v>77</v>
      </c>
      <c r="RQK16" s="3" t="s">
        <v>76</v>
      </c>
      <c r="RQL16" s="3" t="s">
        <v>77</v>
      </c>
      <c r="RQM16" s="3" t="s">
        <v>76</v>
      </c>
      <c r="RQN16" s="3" t="s">
        <v>77</v>
      </c>
      <c r="RQO16" s="3" t="s">
        <v>76</v>
      </c>
      <c r="RQP16" s="3" t="s">
        <v>77</v>
      </c>
      <c r="RQQ16" s="3" t="s">
        <v>76</v>
      </c>
      <c r="RQR16" s="3" t="s">
        <v>77</v>
      </c>
      <c r="RQS16" s="3" t="s">
        <v>76</v>
      </c>
      <c r="RQT16" s="3" t="s">
        <v>77</v>
      </c>
      <c r="RQU16" s="3" t="s">
        <v>76</v>
      </c>
      <c r="RQV16" s="3" t="s">
        <v>77</v>
      </c>
      <c r="RQW16" s="3" t="s">
        <v>76</v>
      </c>
      <c r="RQX16" s="3" t="s">
        <v>77</v>
      </c>
      <c r="RQY16" s="3" t="s">
        <v>76</v>
      </c>
      <c r="RQZ16" s="3" t="s">
        <v>77</v>
      </c>
      <c r="RRA16" s="3" t="s">
        <v>76</v>
      </c>
      <c r="RRB16" s="3" t="s">
        <v>77</v>
      </c>
      <c r="RRC16" s="3" t="s">
        <v>76</v>
      </c>
      <c r="RRD16" s="3" t="s">
        <v>77</v>
      </c>
      <c r="RRE16" s="3" t="s">
        <v>76</v>
      </c>
      <c r="RRF16" s="3" t="s">
        <v>77</v>
      </c>
      <c r="RRG16" s="3" t="s">
        <v>76</v>
      </c>
      <c r="RRH16" s="3" t="s">
        <v>77</v>
      </c>
      <c r="RRI16" s="3" t="s">
        <v>76</v>
      </c>
      <c r="RRJ16" s="3" t="s">
        <v>77</v>
      </c>
      <c r="RRK16" s="3" t="s">
        <v>76</v>
      </c>
      <c r="RRL16" s="3" t="s">
        <v>77</v>
      </c>
      <c r="RRM16" s="3" t="s">
        <v>76</v>
      </c>
      <c r="RRN16" s="3" t="s">
        <v>77</v>
      </c>
      <c r="RRO16" s="3" t="s">
        <v>76</v>
      </c>
      <c r="RRP16" s="3" t="s">
        <v>77</v>
      </c>
      <c r="RRQ16" s="3" t="s">
        <v>76</v>
      </c>
      <c r="RRR16" s="3" t="s">
        <v>77</v>
      </c>
      <c r="RRS16" s="3" t="s">
        <v>76</v>
      </c>
      <c r="RRT16" s="3" t="s">
        <v>77</v>
      </c>
      <c r="RRU16" s="3" t="s">
        <v>76</v>
      </c>
      <c r="RRV16" s="3" t="s">
        <v>77</v>
      </c>
      <c r="RRW16" s="3" t="s">
        <v>76</v>
      </c>
      <c r="RRX16" s="3" t="s">
        <v>77</v>
      </c>
      <c r="RRY16" s="3" t="s">
        <v>76</v>
      </c>
      <c r="RRZ16" s="3" t="s">
        <v>77</v>
      </c>
      <c r="RSA16" s="3" t="s">
        <v>76</v>
      </c>
      <c r="RSB16" s="3" t="s">
        <v>77</v>
      </c>
      <c r="RSC16" s="3" t="s">
        <v>76</v>
      </c>
      <c r="RSD16" s="3" t="s">
        <v>77</v>
      </c>
      <c r="RSE16" s="3" t="s">
        <v>76</v>
      </c>
      <c r="RSF16" s="3" t="s">
        <v>77</v>
      </c>
      <c r="RSG16" s="3" t="s">
        <v>76</v>
      </c>
      <c r="RSH16" s="3" t="s">
        <v>77</v>
      </c>
      <c r="RSI16" s="3" t="s">
        <v>76</v>
      </c>
      <c r="RSJ16" s="3" t="s">
        <v>77</v>
      </c>
      <c r="RSK16" s="3" t="s">
        <v>76</v>
      </c>
      <c r="RSL16" s="3" t="s">
        <v>77</v>
      </c>
      <c r="RSM16" s="3" t="s">
        <v>76</v>
      </c>
      <c r="RSN16" s="3" t="s">
        <v>77</v>
      </c>
      <c r="RSO16" s="3" t="s">
        <v>76</v>
      </c>
      <c r="RSP16" s="3" t="s">
        <v>77</v>
      </c>
      <c r="RSQ16" s="3" t="s">
        <v>76</v>
      </c>
      <c r="RSR16" s="3" t="s">
        <v>77</v>
      </c>
      <c r="RSS16" s="3" t="s">
        <v>76</v>
      </c>
      <c r="RST16" s="3" t="s">
        <v>77</v>
      </c>
      <c r="RSU16" s="3" t="s">
        <v>76</v>
      </c>
      <c r="RSV16" s="3" t="s">
        <v>77</v>
      </c>
      <c r="RSW16" s="3" t="s">
        <v>76</v>
      </c>
      <c r="RSX16" s="3" t="s">
        <v>77</v>
      </c>
      <c r="RSY16" s="3" t="s">
        <v>76</v>
      </c>
      <c r="RSZ16" s="3" t="s">
        <v>77</v>
      </c>
      <c r="RTA16" s="3" t="s">
        <v>76</v>
      </c>
      <c r="RTB16" s="3" t="s">
        <v>77</v>
      </c>
      <c r="RTC16" s="3" t="s">
        <v>76</v>
      </c>
      <c r="RTD16" s="3" t="s">
        <v>77</v>
      </c>
      <c r="RTE16" s="3" t="s">
        <v>76</v>
      </c>
      <c r="RTF16" s="3" t="s">
        <v>77</v>
      </c>
      <c r="RTG16" s="3" t="s">
        <v>76</v>
      </c>
      <c r="RTH16" s="3" t="s">
        <v>77</v>
      </c>
      <c r="RTI16" s="3" t="s">
        <v>76</v>
      </c>
      <c r="RTJ16" s="3" t="s">
        <v>77</v>
      </c>
      <c r="RTK16" s="3" t="s">
        <v>76</v>
      </c>
      <c r="RTL16" s="3" t="s">
        <v>77</v>
      </c>
      <c r="RTM16" s="3" t="s">
        <v>76</v>
      </c>
      <c r="RTN16" s="3" t="s">
        <v>77</v>
      </c>
      <c r="RTO16" s="3" t="s">
        <v>76</v>
      </c>
      <c r="RTP16" s="3" t="s">
        <v>77</v>
      </c>
      <c r="RTQ16" s="3" t="s">
        <v>76</v>
      </c>
      <c r="RTR16" s="3" t="s">
        <v>77</v>
      </c>
      <c r="RTS16" s="3" t="s">
        <v>76</v>
      </c>
      <c r="RTT16" s="3" t="s">
        <v>77</v>
      </c>
      <c r="RTU16" s="3" t="s">
        <v>76</v>
      </c>
      <c r="RTV16" s="3" t="s">
        <v>77</v>
      </c>
      <c r="RTW16" s="3" t="s">
        <v>76</v>
      </c>
      <c r="RTX16" s="3" t="s">
        <v>77</v>
      </c>
      <c r="RTY16" s="3" t="s">
        <v>76</v>
      </c>
      <c r="RTZ16" s="3" t="s">
        <v>77</v>
      </c>
      <c r="RUA16" s="3" t="s">
        <v>76</v>
      </c>
      <c r="RUB16" s="3" t="s">
        <v>77</v>
      </c>
      <c r="RUC16" s="3" t="s">
        <v>76</v>
      </c>
      <c r="RUD16" s="3" t="s">
        <v>77</v>
      </c>
      <c r="RUE16" s="3" t="s">
        <v>76</v>
      </c>
      <c r="RUF16" s="3" t="s">
        <v>77</v>
      </c>
      <c r="RUG16" s="3" t="s">
        <v>76</v>
      </c>
      <c r="RUH16" s="3" t="s">
        <v>77</v>
      </c>
      <c r="RUI16" s="3" t="s">
        <v>76</v>
      </c>
      <c r="RUJ16" s="3" t="s">
        <v>77</v>
      </c>
      <c r="RUK16" s="3" t="s">
        <v>76</v>
      </c>
      <c r="RUL16" s="3" t="s">
        <v>77</v>
      </c>
      <c r="RUM16" s="3" t="s">
        <v>76</v>
      </c>
      <c r="RUN16" s="3" t="s">
        <v>77</v>
      </c>
      <c r="RUO16" s="3" t="s">
        <v>76</v>
      </c>
      <c r="RUP16" s="3" t="s">
        <v>77</v>
      </c>
      <c r="RUQ16" s="3" t="s">
        <v>76</v>
      </c>
      <c r="RUR16" s="3" t="s">
        <v>77</v>
      </c>
      <c r="RUS16" s="3" t="s">
        <v>76</v>
      </c>
      <c r="RUT16" s="3" t="s">
        <v>77</v>
      </c>
      <c r="RUU16" s="3" t="s">
        <v>76</v>
      </c>
      <c r="RUV16" s="3" t="s">
        <v>77</v>
      </c>
      <c r="RUW16" s="3" t="s">
        <v>76</v>
      </c>
      <c r="RUX16" s="3" t="s">
        <v>77</v>
      </c>
      <c r="RUY16" s="3" t="s">
        <v>76</v>
      </c>
      <c r="RUZ16" s="3" t="s">
        <v>77</v>
      </c>
      <c r="RVA16" s="3" t="s">
        <v>76</v>
      </c>
      <c r="RVB16" s="3" t="s">
        <v>77</v>
      </c>
      <c r="RVC16" s="3" t="s">
        <v>76</v>
      </c>
      <c r="RVD16" s="3" t="s">
        <v>77</v>
      </c>
      <c r="RVE16" s="3" t="s">
        <v>76</v>
      </c>
      <c r="RVF16" s="3" t="s">
        <v>77</v>
      </c>
      <c r="RVG16" s="3" t="s">
        <v>76</v>
      </c>
      <c r="RVH16" s="3" t="s">
        <v>77</v>
      </c>
      <c r="RVI16" s="3" t="s">
        <v>76</v>
      </c>
      <c r="RVJ16" s="3" t="s">
        <v>77</v>
      </c>
      <c r="RVK16" s="3" t="s">
        <v>76</v>
      </c>
      <c r="RVL16" s="3" t="s">
        <v>77</v>
      </c>
      <c r="RVM16" s="3" t="s">
        <v>76</v>
      </c>
      <c r="RVN16" s="3" t="s">
        <v>77</v>
      </c>
      <c r="RVO16" s="3" t="s">
        <v>76</v>
      </c>
      <c r="RVP16" s="3" t="s">
        <v>77</v>
      </c>
      <c r="RVQ16" s="3" t="s">
        <v>76</v>
      </c>
      <c r="RVR16" s="3" t="s">
        <v>77</v>
      </c>
      <c r="RVS16" s="3" t="s">
        <v>76</v>
      </c>
      <c r="RVT16" s="3" t="s">
        <v>77</v>
      </c>
      <c r="RVU16" s="3" t="s">
        <v>76</v>
      </c>
      <c r="RVV16" s="3" t="s">
        <v>77</v>
      </c>
      <c r="RVW16" s="3" t="s">
        <v>76</v>
      </c>
      <c r="RVX16" s="3" t="s">
        <v>77</v>
      </c>
      <c r="RVY16" s="3" t="s">
        <v>76</v>
      </c>
      <c r="RVZ16" s="3" t="s">
        <v>77</v>
      </c>
      <c r="RWA16" s="3" t="s">
        <v>76</v>
      </c>
      <c r="RWB16" s="3" t="s">
        <v>77</v>
      </c>
      <c r="RWC16" s="3" t="s">
        <v>76</v>
      </c>
      <c r="RWD16" s="3" t="s">
        <v>77</v>
      </c>
      <c r="RWE16" s="3" t="s">
        <v>76</v>
      </c>
      <c r="RWF16" s="3" t="s">
        <v>77</v>
      </c>
      <c r="RWG16" s="3" t="s">
        <v>76</v>
      </c>
      <c r="RWH16" s="3" t="s">
        <v>77</v>
      </c>
      <c r="RWI16" s="3" t="s">
        <v>76</v>
      </c>
      <c r="RWJ16" s="3" t="s">
        <v>77</v>
      </c>
      <c r="RWK16" s="3" t="s">
        <v>76</v>
      </c>
      <c r="RWL16" s="3" t="s">
        <v>77</v>
      </c>
      <c r="RWM16" s="3" t="s">
        <v>76</v>
      </c>
      <c r="RWN16" s="3" t="s">
        <v>77</v>
      </c>
      <c r="RWO16" s="3" t="s">
        <v>76</v>
      </c>
      <c r="RWP16" s="3" t="s">
        <v>77</v>
      </c>
      <c r="RWQ16" s="3" t="s">
        <v>76</v>
      </c>
      <c r="RWR16" s="3" t="s">
        <v>77</v>
      </c>
      <c r="RWS16" s="3" t="s">
        <v>76</v>
      </c>
      <c r="RWT16" s="3" t="s">
        <v>77</v>
      </c>
      <c r="RWU16" s="3" t="s">
        <v>76</v>
      </c>
      <c r="RWV16" s="3" t="s">
        <v>77</v>
      </c>
      <c r="RWW16" s="3" t="s">
        <v>76</v>
      </c>
      <c r="RWX16" s="3" t="s">
        <v>77</v>
      </c>
      <c r="RWY16" s="3" t="s">
        <v>76</v>
      </c>
      <c r="RWZ16" s="3" t="s">
        <v>77</v>
      </c>
      <c r="RXA16" s="3" t="s">
        <v>76</v>
      </c>
      <c r="RXB16" s="3" t="s">
        <v>77</v>
      </c>
      <c r="RXC16" s="3" t="s">
        <v>76</v>
      </c>
      <c r="RXD16" s="3" t="s">
        <v>77</v>
      </c>
      <c r="RXE16" s="3" t="s">
        <v>76</v>
      </c>
      <c r="RXF16" s="3" t="s">
        <v>77</v>
      </c>
      <c r="RXG16" s="3" t="s">
        <v>76</v>
      </c>
      <c r="RXH16" s="3" t="s">
        <v>77</v>
      </c>
      <c r="RXI16" s="3" t="s">
        <v>76</v>
      </c>
      <c r="RXJ16" s="3" t="s">
        <v>77</v>
      </c>
      <c r="RXK16" s="3" t="s">
        <v>76</v>
      </c>
      <c r="RXL16" s="3" t="s">
        <v>77</v>
      </c>
      <c r="RXM16" s="3" t="s">
        <v>76</v>
      </c>
      <c r="RXN16" s="3" t="s">
        <v>77</v>
      </c>
      <c r="RXO16" s="3" t="s">
        <v>76</v>
      </c>
      <c r="RXP16" s="3" t="s">
        <v>77</v>
      </c>
      <c r="RXQ16" s="3" t="s">
        <v>76</v>
      </c>
      <c r="RXR16" s="3" t="s">
        <v>77</v>
      </c>
      <c r="RXS16" s="3" t="s">
        <v>76</v>
      </c>
      <c r="RXT16" s="3" t="s">
        <v>77</v>
      </c>
      <c r="RXU16" s="3" t="s">
        <v>76</v>
      </c>
      <c r="RXV16" s="3" t="s">
        <v>77</v>
      </c>
      <c r="RXW16" s="3" t="s">
        <v>76</v>
      </c>
      <c r="RXX16" s="3" t="s">
        <v>77</v>
      </c>
      <c r="RXY16" s="3" t="s">
        <v>76</v>
      </c>
      <c r="RXZ16" s="3" t="s">
        <v>77</v>
      </c>
      <c r="RYA16" s="3" t="s">
        <v>76</v>
      </c>
      <c r="RYB16" s="3" t="s">
        <v>77</v>
      </c>
      <c r="RYC16" s="3" t="s">
        <v>76</v>
      </c>
      <c r="RYD16" s="3" t="s">
        <v>77</v>
      </c>
      <c r="RYE16" s="3" t="s">
        <v>76</v>
      </c>
      <c r="RYF16" s="3" t="s">
        <v>77</v>
      </c>
      <c r="RYG16" s="3" t="s">
        <v>76</v>
      </c>
      <c r="RYH16" s="3" t="s">
        <v>77</v>
      </c>
      <c r="RYI16" s="3" t="s">
        <v>76</v>
      </c>
      <c r="RYJ16" s="3" t="s">
        <v>77</v>
      </c>
      <c r="RYK16" s="3" t="s">
        <v>76</v>
      </c>
      <c r="RYL16" s="3" t="s">
        <v>77</v>
      </c>
      <c r="RYM16" s="3" t="s">
        <v>76</v>
      </c>
      <c r="RYN16" s="3" t="s">
        <v>77</v>
      </c>
      <c r="RYO16" s="3" t="s">
        <v>76</v>
      </c>
      <c r="RYP16" s="3" t="s">
        <v>77</v>
      </c>
      <c r="RYQ16" s="3" t="s">
        <v>76</v>
      </c>
      <c r="RYR16" s="3" t="s">
        <v>77</v>
      </c>
      <c r="RYS16" s="3" t="s">
        <v>76</v>
      </c>
      <c r="RYT16" s="3" t="s">
        <v>77</v>
      </c>
      <c r="RYU16" s="3" t="s">
        <v>76</v>
      </c>
      <c r="RYV16" s="3" t="s">
        <v>77</v>
      </c>
      <c r="RYW16" s="3" t="s">
        <v>76</v>
      </c>
      <c r="RYX16" s="3" t="s">
        <v>77</v>
      </c>
      <c r="RYY16" s="3" t="s">
        <v>76</v>
      </c>
      <c r="RYZ16" s="3" t="s">
        <v>77</v>
      </c>
      <c r="RZA16" s="3" t="s">
        <v>76</v>
      </c>
      <c r="RZB16" s="3" t="s">
        <v>77</v>
      </c>
      <c r="RZC16" s="3" t="s">
        <v>76</v>
      </c>
      <c r="RZD16" s="3" t="s">
        <v>77</v>
      </c>
      <c r="RZE16" s="3" t="s">
        <v>76</v>
      </c>
      <c r="RZF16" s="3" t="s">
        <v>77</v>
      </c>
      <c r="RZG16" s="3" t="s">
        <v>76</v>
      </c>
      <c r="RZH16" s="3" t="s">
        <v>77</v>
      </c>
      <c r="RZI16" s="3" t="s">
        <v>76</v>
      </c>
      <c r="RZJ16" s="3" t="s">
        <v>77</v>
      </c>
      <c r="RZK16" s="3" t="s">
        <v>76</v>
      </c>
      <c r="RZL16" s="3" t="s">
        <v>77</v>
      </c>
      <c r="RZM16" s="3" t="s">
        <v>76</v>
      </c>
      <c r="RZN16" s="3" t="s">
        <v>77</v>
      </c>
      <c r="RZO16" s="3" t="s">
        <v>76</v>
      </c>
      <c r="RZP16" s="3" t="s">
        <v>77</v>
      </c>
      <c r="RZQ16" s="3" t="s">
        <v>76</v>
      </c>
      <c r="RZR16" s="3" t="s">
        <v>77</v>
      </c>
      <c r="RZS16" s="3" t="s">
        <v>76</v>
      </c>
      <c r="RZT16" s="3" t="s">
        <v>77</v>
      </c>
      <c r="RZU16" s="3" t="s">
        <v>76</v>
      </c>
      <c r="RZV16" s="3" t="s">
        <v>77</v>
      </c>
      <c r="RZW16" s="3" t="s">
        <v>76</v>
      </c>
      <c r="RZX16" s="3" t="s">
        <v>77</v>
      </c>
      <c r="RZY16" s="3" t="s">
        <v>76</v>
      </c>
      <c r="RZZ16" s="3" t="s">
        <v>77</v>
      </c>
      <c r="SAA16" s="3" t="s">
        <v>76</v>
      </c>
      <c r="SAB16" s="3" t="s">
        <v>77</v>
      </c>
      <c r="SAC16" s="3" t="s">
        <v>76</v>
      </c>
      <c r="SAD16" s="3" t="s">
        <v>77</v>
      </c>
      <c r="SAE16" s="3" t="s">
        <v>76</v>
      </c>
      <c r="SAF16" s="3" t="s">
        <v>77</v>
      </c>
      <c r="SAG16" s="3" t="s">
        <v>76</v>
      </c>
      <c r="SAH16" s="3" t="s">
        <v>77</v>
      </c>
      <c r="SAI16" s="3" t="s">
        <v>76</v>
      </c>
      <c r="SAJ16" s="3" t="s">
        <v>77</v>
      </c>
      <c r="SAK16" s="3" t="s">
        <v>76</v>
      </c>
      <c r="SAL16" s="3" t="s">
        <v>77</v>
      </c>
      <c r="SAM16" s="3" t="s">
        <v>76</v>
      </c>
      <c r="SAN16" s="3" t="s">
        <v>77</v>
      </c>
      <c r="SAO16" s="3" t="s">
        <v>76</v>
      </c>
      <c r="SAP16" s="3" t="s">
        <v>77</v>
      </c>
      <c r="SAQ16" s="3" t="s">
        <v>76</v>
      </c>
      <c r="SAR16" s="3" t="s">
        <v>77</v>
      </c>
      <c r="SAS16" s="3" t="s">
        <v>76</v>
      </c>
      <c r="SAT16" s="3" t="s">
        <v>77</v>
      </c>
      <c r="SAU16" s="3" t="s">
        <v>76</v>
      </c>
      <c r="SAV16" s="3" t="s">
        <v>77</v>
      </c>
      <c r="SAW16" s="3" t="s">
        <v>76</v>
      </c>
      <c r="SAX16" s="3" t="s">
        <v>77</v>
      </c>
      <c r="SAY16" s="3" t="s">
        <v>76</v>
      </c>
      <c r="SAZ16" s="3" t="s">
        <v>77</v>
      </c>
      <c r="SBA16" s="3" t="s">
        <v>76</v>
      </c>
      <c r="SBB16" s="3" t="s">
        <v>77</v>
      </c>
      <c r="SBC16" s="3" t="s">
        <v>76</v>
      </c>
      <c r="SBD16" s="3" t="s">
        <v>77</v>
      </c>
      <c r="SBE16" s="3" t="s">
        <v>76</v>
      </c>
      <c r="SBF16" s="3" t="s">
        <v>77</v>
      </c>
      <c r="SBG16" s="3" t="s">
        <v>76</v>
      </c>
      <c r="SBH16" s="3" t="s">
        <v>77</v>
      </c>
      <c r="SBI16" s="3" t="s">
        <v>76</v>
      </c>
      <c r="SBJ16" s="3" t="s">
        <v>77</v>
      </c>
      <c r="SBK16" s="3" t="s">
        <v>76</v>
      </c>
      <c r="SBL16" s="3" t="s">
        <v>77</v>
      </c>
      <c r="SBM16" s="3" t="s">
        <v>76</v>
      </c>
      <c r="SBN16" s="3" t="s">
        <v>77</v>
      </c>
      <c r="SBO16" s="3" t="s">
        <v>76</v>
      </c>
      <c r="SBP16" s="3" t="s">
        <v>77</v>
      </c>
      <c r="SBQ16" s="3" t="s">
        <v>76</v>
      </c>
      <c r="SBR16" s="3" t="s">
        <v>77</v>
      </c>
      <c r="SBS16" s="3" t="s">
        <v>76</v>
      </c>
      <c r="SBT16" s="3" t="s">
        <v>77</v>
      </c>
      <c r="SBU16" s="3" t="s">
        <v>76</v>
      </c>
      <c r="SBV16" s="3" t="s">
        <v>77</v>
      </c>
      <c r="SBW16" s="3" t="s">
        <v>76</v>
      </c>
      <c r="SBX16" s="3" t="s">
        <v>77</v>
      </c>
      <c r="SBY16" s="3" t="s">
        <v>76</v>
      </c>
      <c r="SBZ16" s="3" t="s">
        <v>77</v>
      </c>
      <c r="SCA16" s="3" t="s">
        <v>76</v>
      </c>
      <c r="SCB16" s="3" t="s">
        <v>77</v>
      </c>
      <c r="SCC16" s="3" t="s">
        <v>76</v>
      </c>
      <c r="SCD16" s="3" t="s">
        <v>77</v>
      </c>
      <c r="SCE16" s="3" t="s">
        <v>76</v>
      </c>
      <c r="SCF16" s="3" t="s">
        <v>77</v>
      </c>
      <c r="SCG16" s="3" t="s">
        <v>76</v>
      </c>
      <c r="SCH16" s="3" t="s">
        <v>77</v>
      </c>
      <c r="SCI16" s="3" t="s">
        <v>76</v>
      </c>
      <c r="SCJ16" s="3" t="s">
        <v>77</v>
      </c>
      <c r="SCK16" s="3" t="s">
        <v>76</v>
      </c>
      <c r="SCL16" s="3" t="s">
        <v>77</v>
      </c>
      <c r="SCM16" s="3" t="s">
        <v>76</v>
      </c>
      <c r="SCN16" s="3" t="s">
        <v>77</v>
      </c>
      <c r="SCO16" s="3" t="s">
        <v>76</v>
      </c>
      <c r="SCP16" s="3" t="s">
        <v>77</v>
      </c>
      <c r="SCQ16" s="3" t="s">
        <v>76</v>
      </c>
      <c r="SCR16" s="3" t="s">
        <v>77</v>
      </c>
      <c r="SCS16" s="3" t="s">
        <v>76</v>
      </c>
      <c r="SCT16" s="3" t="s">
        <v>77</v>
      </c>
      <c r="SCU16" s="3" t="s">
        <v>76</v>
      </c>
      <c r="SCV16" s="3" t="s">
        <v>77</v>
      </c>
      <c r="SCW16" s="3" t="s">
        <v>76</v>
      </c>
      <c r="SCX16" s="3" t="s">
        <v>77</v>
      </c>
      <c r="SCY16" s="3" t="s">
        <v>76</v>
      </c>
      <c r="SCZ16" s="3" t="s">
        <v>77</v>
      </c>
      <c r="SDA16" s="3" t="s">
        <v>76</v>
      </c>
      <c r="SDB16" s="3" t="s">
        <v>77</v>
      </c>
      <c r="SDC16" s="3" t="s">
        <v>76</v>
      </c>
      <c r="SDD16" s="3" t="s">
        <v>77</v>
      </c>
      <c r="SDE16" s="3" t="s">
        <v>76</v>
      </c>
      <c r="SDF16" s="3" t="s">
        <v>77</v>
      </c>
      <c r="SDG16" s="3" t="s">
        <v>76</v>
      </c>
      <c r="SDH16" s="3" t="s">
        <v>77</v>
      </c>
      <c r="SDI16" s="3" t="s">
        <v>76</v>
      </c>
      <c r="SDJ16" s="3" t="s">
        <v>77</v>
      </c>
      <c r="SDK16" s="3" t="s">
        <v>76</v>
      </c>
      <c r="SDL16" s="3" t="s">
        <v>77</v>
      </c>
      <c r="SDM16" s="3" t="s">
        <v>76</v>
      </c>
      <c r="SDN16" s="3" t="s">
        <v>77</v>
      </c>
      <c r="SDO16" s="3" t="s">
        <v>76</v>
      </c>
      <c r="SDP16" s="3" t="s">
        <v>77</v>
      </c>
      <c r="SDQ16" s="3" t="s">
        <v>76</v>
      </c>
      <c r="SDR16" s="3" t="s">
        <v>77</v>
      </c>
      <c r="SDS16" s="3" t="s">
        <v>76</v>
      </c>
      <c r="SDT16" s="3" t="s">
        <v>77</v>
      </c>
      <c r="SDU16" s="3" t="s">
        <v>76</v>
      </c>
      <c r="SDV16" s="3" t="s">
        <v>77</v>
      </c>
      <c r="SDW16" s="3" t="s">
        <v>76</v>
      </c>
      <c r="SDX16" s="3" t="s">
        <v>77</v>
      </c>
      <c r="SDY16" s="3" t="s">
        <v>76</v>
      </c>
      <c r="SDZ16" s="3" t="s">
        <v>77</v>
      </c>
      <c r="SEA16" s="3" t="s">
        <v>76</v>
      </c>
      <c r="SEB16" s="3" t="s">
        <v>77</v>
      </c>
      <c r="SEC16" s="3" t="s">
        <v>76</v>
      </c>
      <c r="SED16" s="3" t="s">
        <v>77</v>
      </c>
      <c r="SEE16" s="3" t="s">
        <v>76</v>
      </c>
      <c r="SEF16" s="3" t="s">
        <v>77</v>
      </c>
      <c r="SEG16" s="3" t="s">
        <v>76</v>
      </c>
      <c r="SEH16" s="3" t="s">
        <v>77</v>
      </c>
      <c r="SEI16" s="3" t="s">
        <v>76</v>
      </c>
      <c r="SEJ16" s="3" t="s">
        <v>77</v>
      </c>
      <c r="SEK16" s="3" t="s">
        <v>76</v>
      </c>
      <c r="SEL16" s="3" t="s">
        <v>77</v>
      </c>
      <c r="SEM16" s="3" t="s">
        <v>76</v>
      </c>
      <c r="SEN16" s="3" t="s">
        <v>77</v>
      </c>
      <c r="SEO16" s="3" t="s">
        <v>76</v>
      </c>
      <c r="SEP16" s="3" t="s">
        <v>77</v>
      </c>
      <c r="SEQ16" s="3" t="s">
        <v>76</v>
      </c>
      <c r="SER16" s="3" t="s">
        <v>77</v>
      </c>
      <c r="SES16" s="3" t="s">
        <v>76</v>
      </c>
      <c r="SET16" s="3" t="s">
        <v>77</v>
      </c>
      <c r="SEU16" s="3" t="s">
        <v>76</v>
      </c>
      <c r="SEV16" s="3" t="s">
        <v>77</v>
      </c>
      <c r="SEW16" s="3" t="s">
        <v>76</v>
      </c>
      <c r="SEX16" s="3" t="s">
        <v>77</v>
      </c>
      <c r="SEY16" s="3" t="s">
        <v>76</v>
      </c>
      <c r="SEZ16" s="3" t="s">
        <v>77</v>
      </c>
      <c r="SFA16" s="3" t="s">
        <v>76</v>
      </c>
      <c r="SFB16" s="3" t="s">
        <v>77</v>
      </c>
      <c r="SFC16" s="3" t="s">
        <v>76</v>
      </c>
      <c r="SFD16" s="3" t="s">
        <v>77</v>
      </c>
      <c r="SFE16" s="3" t="s">
        <v>76</v>
      </c>
      <c r="SFF16" s="3" t="s">
        <v>77</v>
      </c>
      <c r="SFG16" s="3" t="s">
        <v>76</v>
      </c>
      <c r="SFH16" s="3" t="s">
        <v>77</v>
      </c>
      <c r="SFI16" s="3" t="s">
        <v>76</v>
      </c>
      <c r="SFJ16" s="3" t="s">
        <v>77</v>
      </c>
      <c r="SFK16" s="3" t="s">
        <v>76</v>
      </c>
      <c r="SFL16" s="3" t="s">
        <v>77</v>
      </c>
      <c r="SFM16" s="3" t="s">
        <v>76</v>
      </c>
      <c r="SFN16" s="3" t="s">
        <v>77</v>
      </c>
      <c r="SFO16" s="3" t="s">
        <v>76</v>
      </c>
      <c r="SFP16" s="3" t="s">
        <v>77</v>
      </c>
      <c r="SFQ16" s="3" t="s">
        <v>76</v>
      </c>
      <c r="SFR16" s="3" t="s">
        <v>77</v>
      </c>
      <c r="SFS16" s="3" t="s">
        <v>76</v>
      </c>
      <c r="SFT16" s="3" t="s">
        <v>77</v>
      </c>
      <c r="SFU16" s="3" t="s">
        <v>76</v>
      </c>
      <c r="SFV16" s="3" t="s">
        <v>77</v>
      </c>
      <c r="SFW16" s="3" t="s">
        <v>76</v>
      </c>
      <c r="SFX16" s="3" t="s">
        <v>77</v>
      </c>
      <c r="SFY16" s="3" t="s">
        <v>76</v>
      </c>
      <c r="SFZ16" s="3" t="s">
        <v>77</v>
      </c>
      <c r="SGA16" s="3" t="s">
        <v>76</v>
      </c>
      <c r="SGB16" s="3" t="s">
        <v>77</v>
      </c>
      <c r="SGC16" s="3" t="s">
        <v>76</v>
      </c>
      <c r="SGD16" s="3" t="s">
        <v>77</v>
      </c>
      <c r="SGE16" s="3" t="s">
        <v>76</v>
      </c>
      <c r="SGF16" s="3" t="s">
        <v>77</v>
      </c>
      <c r="SGG16" s="3" t="s">
        <v>76</v>
      </c>
      <c r="SGH16" s="3" t="s">
        <v>77</v>
      </c>
      <c r="SGI16" s="3" t="s">
        <v>76</v>
      </c>
      <c r="SGJ16" s="3" t="s">
        <v>77</v>
      </c>
      <c r="SGK16" s="3" t="s">
        <v>76</v>
      </c>
      <c r="SGL16" s="3" t="s">
        <v>77</v>
      </c>
      <c r="SGM16" s="3" t="s">
        <v>76</v>
      </c>
      <c r="SGN16" s="3" t="s">
        <v>77</v>
      </c>
      <c r="SGO16" s="3" t="s">
        <v>76</v>
      </c>
      <c r="SGP16" s="3" t="s">
        <v>77</v>
      </c>
      <c r="SGQ16" s="3" t="s">
        <v>76</v>
      </c>
      <c r="SGR16" s="3" t="s">
        <v>77</v>
      </c>
      <c r="SGS16" s="3" t="s">
        <v>76</v>
      </c>
      <c r="SGT16" s="3" t="s">
        <v>77</v>
      </c>
      <c r="SGU16" s="3" t="s">
        <v>76</v>
      </c>
      <c r="SGV16" s="3" t="s">
        <v>77</v>
      </c>
      <c r="SGW16" s="3" t="s">
        <v>76</v>
      </c>
      <c r="SGX16" s="3" t="s">
        <v>77</v>
      </c>
      <c r="SGY16" s="3" t="s">
        <v>76</v>
      </c>
      <c r="SGZ16" s="3" t="s">
        <v>77</v>
      </c>
      <c r="SHA16" s="3" t="s">
        <v>76</v>
      </c>
      <c r="SHB16" s="3" t="s">
        <v>77</v>
      </c>
      <c r="SHC16" s="3" t="s">
        <v>76</v>
      </c>
      <c r="SHD16" s="3" t="s">
        <v>77</v>
      </c>
      <c r="SHE16" s="3" t="s">
        <v>76</v>
      </c>
      <c r="SHF16" s="3" t="s">
        <v>77</v>
      </c>
      <c r="SHG16" s="3" t="s">
        <v>76</v>
      </c>
      <c r="SHH16" s="3" t="s">
        <v>77</v>
      </c>
      <c r="SHI16" s="3" t="s">
        <v>76</v>
      </c>
      <c r="SHJ16" s="3" t="s">
        <v>77</v>
      </c>
      <c r="SHK16" s="3" t="s">
        <v>76</v>
      </c>
      <c r="SHL16" s="3" t="s">
        <v>77</v>
      </c>
      <c r="SHM16" s="3" t="s">
        <v>76</v>
      </c>
      <c r="SHN16" s="3" t="s">
        <v>77</v>
      </c>
      <c r="SHO16" s="3" t="s">
        <v>76</v>
      </c>
      <c r="SHP16" s="3" t="s">
        <v>77</v>
      </c>
      <c r="SHQ16" s="3" t="s">
        <v>76</v>
      </c>
      <c r="SHR16" s="3" t="s">
        <v>77</v>
      </c>
      <c r="SHS16" s="3" t="s">
        <v>76</v>
      </c>
      <c r="SHT16" s="3" t="s">
        <v>77</v>
      </c>
      <c r="SHU16" s="3" t="s">
        <v>76</v>
      </c>
      <c r="SHV16" s="3" t="s">
        <v>77</v>
      </c>
      <c r="SHW16" s="3" t="s">
        <v>76</v>
      </c>
      <c r="SHX16" s="3" t="s">
        <v>77</v>
      </c>
      <c r="SHY16" s="3" t="s">
        <v>76</v>
      </c>
      <c r="SHZ16" s="3" t="s">
        <v>77</v>
      </c>
      <c r="SIA16" s="3" t="s">
        <v>76</v>
      </c>
      <c r="SIB16" s="3" t="s">
        <v>77</v>
      </c>
      <c r="SIC16" s="3" t="s">
        <v>76</v>
      </c>
      <c r="SID16" s="3" t="s">
        <v>77</v>
      </c>
      <c r="SIE16" s="3" t="s">
        <v>76</v>
      </c>
      <c r="SIF16" s="3" t="s">
        <v>77</v>
      </c>
      <c r="SIG16" s="3" t="s">
        <v>76</v>
      </c>
      <c r="SIH16" s="3" t="s">
        <v>77</v>
      </c>
      <c r="SII16" s="3" t="s">
        <v>76</v>
      </c>
      <c r="SIJ16" s="3" t="s">
        <v>77</v>
      </c>
      <c r="SIK16" s="3" t="s">
        <v>76</v>
      </c>
      <c r="SIL16" s="3" t="s">
        <v>77</v>
      </c>
      <c r="SIM16" s="3" t="s">
        <v>76</v>
      </c>
      <c r="SIN16" s="3" t="s">
        <v>77</v>
      </c>
      <c r="SIO16" s="3" t="s">
        <v>76</v>
      </c>
      <c r="SIP16" s="3" t="s">
        <v>77</v>
      </c>
      <c r="SIQ16" s="3" t="s">
        <v>76</v>
      </c>
      <c r="SIR16" s="3" t="s">
        <v>77</v>
      </c>
      <c r="SIS16" s="3" t="s">
        <v>76</v>
      </c>
      <c r="SIT16" s="3" t="s">
        <v>77</v>
      </c>
      <c r="SIU16" s="3" t="s">
        <v>76</v>
      </c>
      <c r="SIV16" s="3" t="s">
        <v>77</v>
      </c>
      <c r="SIW16" s="3" t="s">
        <v>76</v>
      </c>
      <c r="SIX16" s="3" t="s">
        <v>77</v>
      </c>
      <c r="SIY16" s="3" t="s">
        <v>76</v>
      </c>
      <c r="SIZ16" s="3" t="s">
        <v>77</v>
      </c>
      <c r="SJA16" s="3" t="s">
        <v>76</v>
      </c>
      <c r="SJB16" s="3" t="s">
        <v>77</v>
      </c>
      <c r="SJC16" s="3" t="s">
        <v>76</v>
      </c>
      <c r="SJD16" s="3" t="s">
        <v>77</v>
      </c>
      <c r="SJE16" s="3" t="s">
        <v>76</v>
      </c>
      <c r="SJF16" s="3" t="s">
        <v>77</v>
      </c>
      <c r="SJG16" s="3" t="s">
        <v>76</v>
      </c>
      <c r="SJH16" s="3" t="s">
        <v>77</v>
      </c>
      <c r="SJI16" s="3" t="s">
        <v>76</v>
      </c>
      <c r="SJJ16" s="3" t="s">
        <v>77</v>
      </c>
      <c r="SJK16" s="3" t="s">
        <v>76</v>
      </c>
      <c r="SJL16" s="3" t="s">
        <v>77</v>
      </c>
      <c r="SJM16" s="3" t="s">
        <v>76</v>
      </c>
      <c r="SJN16" s="3" t="s">
        <v>77</v>
      </c>
      <c r="SJO16" s="3" t="s">
        <v>76</v>
      </c>
      <c r="SJP16" s="3" t="s">
        <v>77</v>
      </c>
      <c r="SJQ16" s="3" t="s">
        <v>76</v>
      </c>
      <c r="SJR16" s="3" t="s">
        <v>77</v>
      </c>
      <c r="SJS16" s="3" t="s">
        <v>76</v>
      </c>
      <c r="SJT16" s="3" t="s">
        <v>77</v>
      </c>
      <c r="SJU16" s="3" t="s">
        <v>76</v>
      </c>
      <c r="SJV16" s="3" t="s">
        <v>77</v>
      </c>
      <c r="SJW16" s="3" t="s">
        <v>76</v>
      </c>
      <c r="SJX16" s="3" t="s">
        <v>77</v>
      </c>
      <c r="SJY16" s="3" t="s">
        <v>76</v>
      </c>
      <c r="SJZ16" s="3" t="s">
        <v>77</v>
      </c>
      <c r="SKA16" s="3" t="s">
        <v>76</v>
      </c>
      <c r="SKB16" s="3" t="s">
        <v>77</v>
      </c>
      <c r="SKC16" s="3" t="s">
        <v>76</v>
      </c>
      <c r="SKD16" s="3" t="s">
        <v>77</v>
      </c>
      <c r="SKE16" s="3" t="s">
        <v>76</v>
      </c>
      <c r="SKF16" s="3" t="s">
        <v>77</v>
      </c>
      <c r="SKG16" s="3" t="s">
        <v>76</v>
      </c>
      <c r="SKH16" s="3" t="s">
        <v>77</v>
      </c>
      <c r="SKI16" s="3" t="s">
        <v>76</v>
      </c>
      <c r="SKJ16" s="3" t="s">
        <v>77</v>
      </c>
      <c r="SKK16" s="3" t="s">
        <v>76</v>
      </c>
      <c r="SKL16" s="3" t="s">
        <v>77</v>
      </c>
      <c r="SKM16" s="3" t="s">
        <v>76</v>
      </c>
      <c r="SKN16" s="3" t="s">
        <v>77</v>
      </c>
      <c r="SKO16" s="3" t="s">
        <v>76</v>
      </c>
      <c r="SKP16" s="3" t="s">
        <v>77</v>
      </c>
      <c r="SKQ16" s="3" t="s">
        <v>76</v>
      </c>
      <c r="SKR16" s="3" t="s">
        <v>77</v>
      </c>
      <c r="SKS16" s="3" t="s">
        <v>76</v>
      </c>
      <c r="SKT16" s="3" t="s">
        <v>77</v>
      </c>
      <c r="SKU16" s="3" t="s">
        <v>76</v>
      </c>
      <c r="SKV16" s="3" t="s">
        <v>77</v>
      </c>
      <c r="SKW16" s="3" t="s">
        <v>76</v>
      </c>
      <c r="SKX16" s="3" t="s">
        <v>77</v>
      </c>
      <c r="SKY16" s="3" t="s">
        <v>76</v>
      </c>
      <c r="SKZ16" s="3" t="s">
        <v>77</v>
      </c>
      <c r="SLA16" s="3" t="s">
        <v>76</v>
      </c>
      <c r="SLB16" s="3" t="s">
        <v>77</v>
      </c>
      <c r="SLC16" s="3" t="s">
        <v>76</v>
      </c>
      <c r="SLD16" s="3" t="s">
        <v>77</v>
      </c>
      <c r="SLE16" s="3" t="s">
        <v>76</v>
      </c>
      <c r="SLF16" s="3" t="s">
        <v>77</v>
      </c>
      <c r="SLG16" s="3" t="s">
        <v>76</v>
      </c>
      <c r="SLH16" s="3" t="s">
        <v>77</v>
      </c>
      <c r="SLI16" s="3" t="s">
        <v>76</v>
      </c>
      <c r="SLJ16" s="3" t="s">
        <v>77</v>
      </c>
      <c r="SLK16" s="3" t="s">
        <v>76</v>
      </c>
      <c r="SLL16" s="3" t="s">
        <v>77</v>
      </c>
      <c r="SLM16" s="3" t="s">
        <v>76</v>
      </c>
      <c r="SLN16" s="3" t="s">
        <v>77</v>
      </c>
      <c r="SLO16" s="3" t="s">
        <v>76</v>
      </c>
      <c r="SLP16" s="3" t="s">
        <v>77</v>
      </c>
      <c r="SLQ16" s="3" t="s">
        <v>76</v>
      </c>
      <c r="SLR16" s="3" t="s">
        <v>77</v>
      </c>
      <c r="SLS16" s="3" t="s">
        <v>76</v>
      </c>
      <c r="SLT16" s="3" t="s">
        <v>77</v>
      </c>
      <c r="SLU16" s="3" t="s">
        <v>76</v>
      </c>
      <c r="SLV16" s="3" t="s">
        <v>77</v>
      </c>
      <c r="SLW16" s="3" t="s">
        <v>76</v>
      </c>
      <c r="SLX16" s="3" t="s">
        <v>77</v>
      </c>
      <c r="SLY16" s="3" t="s">
        <v>76</v>
      </c>
      <c r="SLZ16" s="3" t="s">
        <v>77</v>
      </c>
      <c r="SMA16" s="3" t="s">
        <v>76</v>
      </c>
      <c r="SMB16" s="3" t="s">
        <v>77</v>
      </c>
      <c r="SMC16" s="3" t="s">
        <v>76</v>
      </c>
      <c r="SMD16" s="3" t="s">
        <v>77</v>
      </c>
      <c r="SME16" s="3" t="s">
        <v>76</v>
      </c>
      <c r="SMF16" s="3" t="s">
        <v>77</v>
      </c>
      <c r="SMG16" s="3" t="s">
        <v>76</v>
      </c>
      <c r="SMH16" s="3" t="s">
        <v>77</v>
      </c>
      <c r="SMI16" s="3" t="s">
        <v>76</v>
      </c>
      <c r="SMJ16" s="3" t="s">
        <v>77</v>
      </c>
      <c r="SMK16" s="3" t="s">
        <v>76</v>
      </c>
      <c r="SML16" s="3" t="s">
        <v>77</v>
      </c>
      <c r="SMM16" s="3" t="s">
        <v>76</v>
      </c>
      <c r="SMN16" s="3" t="s">
        <v>77</v>
      </c>
      <c r="SMO16" s="3" t="s">
        <v>76</v>
      </c>
      <c r="SMP16" s="3" t="s">
        <v>77</v>
      </c>
      <c r="SMQ16" s="3" t="s">
        <v>76</v>
      </c>
      <c r="SMR16" s="3" t="s">
        <v>77</v>
      </c>
      <c r="SMS16" s="3" t="s">
        <v>76</v>
      </c>
      <c r="SMT16" s="3" t="s">
        <v>77</v>
      </c>
      <c r="SMU16" s="3" t="s">
        <v>76</v>
      </c>
      <c r="SMV16" s="3" t="s">
        <v>77</v>
      </c>
      <c r="SMW16" s="3" t="s">
        <v>76</v>
      </c>
      <c r="SMX16" s="3" t="s">
        <v>77</v>
      </c>
      <c r="SMY16" s="3" t="s">
        <v>76</v>
      </c>
      <c r="SMZ16" s="3" t="s">
        <v>77</v>
      </c>
      <c r="SNA16" s="3" t="s">
        <v>76</v>
      </c>
      <c r="SNB16" s="3" t="s">
        <v>77</v>
      </c>
      <c r="SNC16" s="3" t="s">
        <v>76</v>
      </c>
      <c r="SND16" s="3" t="s">
        <v>77</v>
      </c>
      <c r="SNE16" s="3" t="s">
        <v>76</v>
      </c>
      <c r="SNF16" s="3" t="s">
        <v>77</v>
      </c>
      <c r="SNG16" s="3" t="s">
        <v>76</v>
      </c>
      <c r="SNH16" s="3" t="s">
        <v>77</v>
      </c>
      <c r="SNI16" s="3" t="s">
        <v>76</v>
      </c>
      <c r="SNJ16" s="3" t="s">
        <v>77</v>
      </c>
      <c r="SNK16" s="3" t="s">
        <v>76</v>
      </c>
      <c r="SNL16" s="3" t="s">
        <v>77</v>
      </c>
      <c r="SNM16" s="3" t="s">
        <v>76</v>
      </c>
      <c r="SNN16" s="3" t="s">
        <v>77</v>
      </c>
      <c r="SNO16" s="3" t="s">
        <v>76</v>
      </c>
      <c r="SNP16" s="3" t="s">
        <v>77</v>
      </c>
      <c r="SNQ16" s="3" t="s">
        <v>76</v>
      </c>
      <c r="SNR16" s="3" t="s">
        <v>77</v>
      </c>
      <c r="SNS16" s="3" t="s">
        <v>76</v>
      </c>
      <c r="SNT16" s="3" t="s">
        <v>77</v>
      </c>
      <c r="SNU16" s="3" t="s">
        <v>76</v>
      </c>
      <c r="SNV16" s="3" t="s">
        <v>77</v>
      </c>
      <c r="SNW16" s="3" t="s">
        <v>76</v>
      </c>
      <c r="SNX16" s="3" t="s">
        <v>77</v>
      </c>
      <c r="SNY16" s="3" t="s">
        <v>76</v>
      </c>
      <c r="SNZ16" s="3" t="s">
        <v>77</v>
      </c>
      <c r="SOA16" s="3" t="s">
        <v>76</v>
      </c>
      <c r="SOB16" s="3" t="s">
        <v>77</v>
      </c>
      <c r="SOC16" s="3" t="s">
        <v>76</v>
      </c>
      <c r="SOD16" s="3" t="s">
        <v>77</v>
      </c>
      <c r="SOE16" s="3" t="s">
        <v>76</v>
      </c>
      <c r="SOF16" s="3" t="s">
        <v>77</v>
      </c>
      <c r="SOG16" s="3" t="s">
        <v>76</v>
      </c>
      <c r="SOH16" s="3" t="s">
        <v>77</v>
      </c>
      <c r="SOI16" s="3" t="s">
        <v>76</v>
      </c>
      <c r="SOJ16" s="3" t="s">
        <v>77</v>
      </c>
      <c r="SOK16" s="3" t="s">
        <v>76</v>
      </c>
      <c r="SOL16" s="3" t="s">
        <v>77</v>
      </c>
      <c r="SOM16" s="3" t="s">
        <v>76</v>
      </c>
      <c r="SON16" s="3" t="s">
        <v>77</v>
      </c>
      <c r="SOO16" s="3" t="s">
        <v>76</v>
      </c>
      <c r="SOP16" s="3" t="s">
        <v>77</v>
      </c>
      <c r="SOQ16" s="3" t="s">
        <v>76</v>
      </c>
      <c r="SOR16" s="3" t="s">
        <v>77</v>
      </c>
      <c r="SOS16" s="3" t="s">
        <v>76</v>
      </c>
      <c r="SOT16" s="3" t="s">
        <v>77</v>
      </c>
      <c r="SOU16" s="3" t="s">
        <v>76</v>
      </c>
      <c r="SOV16" s="3" t="s">
        <v>77</v>
      </c>
      <c r="SOW16" s="3" t="s">
        <v>76</v>
      </c>
      <c r="SOX16" s="3" t="s">
        <v>77</v>
      </c>
      <c r="SOY16" s="3" t="s">
        <v>76</v>
      </c>
      <c r="SOZ16" s="3" t="s">
        <v>77</v>
      </c>
      <c r="SPA16" s="3" t="s">
        <v>76</v>
      </c>
      <c r="SPB16" s="3" t="s">
        <v>77</v>
      </c>
      <c r="SPC16" s="3" t="s">
        <v>76</v>
      </c>
      <c r="SPD16" s="3" t="s">
        <v>77</v>
      </c>
      <c r="SPE16" s="3" t="s">
        <v>76</v>
      </c>
      <c r="SPF16" s="3" t="s">
        <v>77</v>
      </c>
      <c r="SPG16" s="3" t="s">
        <v>76</v>
      </c>
      <c r="SPH16" s="3" t="s">
        <v>77</v>
      </c>
      <c r="SPI16" s="3" t="s">
        <v>76</v>
      </c>
      <c r="SPJ16" s="3" t="s">
        <v>77</v>
      </c>
      <c r="SPK16" s="3" t="s">
        <v>76</v>
      </c>
      <c r="SPL16" s="3" t="s">
        <v>77</v>
      </c>
      <c r="SPM16" s="3" t="s">
        <v>76</v>
      </c>
      <c r="SPN16" s="3" t="s">
        <v>77</v>
      </c>
      <c r="SPO16" s="3" t="s">
        <v>76</v>
      </c>
      <c r="SPP16" s="3" t="s">
        <v>77</v>
      </c>
      <c r="SPQ16" s="3" t="s">
        <v>76</v>
      </c>
      <c r="SPR16" s="3" t="s">
        <v>77</v>
      </c>
      <c r="SPS16" s="3" t="s">
        <v>76</v>
      </c>
      <c r="SPT16" s="3" t="s">
        <v>77</v>
      </c>
      <c r="SPU16" s="3" t="s">
        <v>76</v>
      </c>
      <c r="SPV16" s="3" t="s">
        <v>77</v>
      </c>
      <c r="SPW16" s="3" t="s">
        <v>76</v>
      </c>
      <c r="SPX16" s="3" t="s">
        <v>77</v>
      </c>
      <c r="SPY16" s="3" t="s">
        <v>76</v>
      </c>
      <c r="SPZ16" s="3" t="s">
        <v>77</v>
      </c>
      <c r="SQA16" s="3" t="s">
        <v>76</v>
      </c>
      <c r="SQB16" s="3" t="s">
        <v>77</v>
      </c>
      <c r="SQC16" s="3" t="s">
        <v>76</v>
      </c>
      <c r="SQD16" s="3" t="s">
        <v>77</v>
      </c>
      <c r="SQE16" s="3" t="s">
        <v>76</v>
      </c>
      <c r="SQF16" s="3" t="s">
        <v>77</v>
      </c>
      <c r="SQG16" s="3" t="s">
        <v>76</v>
      </c>
      <c r="SQH16" s="3" t="s">
        <v>77</v>
      </c>
      <c r="SQI16" s="3" t="s">
        <v>76</v>
      </c>
      <c r="SQJ16" s="3" t="s">
        <v>77</v>
      </c>
      <c r="SQK16" s="3" t="s">
        <v>76</v>
      </c>
      <c r="SQL16" s="3" t="s">
        <v>77</v>
      </c>
      <c r="SQM16" s="3" t="s">
        <v>76</v>
      </c>
      <c r="SQN16" s="3" t="s">
        <v>77</v>
      </c>
      <c r="SQO16" s="3" t="s">
        <v>76</v>
      </c>
      <c r="SQP16" s="3" t="s">
        <v>77</v>
      </c>
      <c r="SQQ16" s="3" t="s">
        <v>76</v>
      </c>
      <c r="SQR16" s="3" t="s">
        <v>77</v>
      </c>
      <c r="SQS16" s="3" t="s">
        <v>76</v>
      </c>
      <c r="SQT16" s="3" t="s">
        <v>77</v>
      </c>
      <c r="SQU16" s="3" t="s">
        <v>76</v>
      </c>
      <c r="SQV16" s="3" t="s">
        <v>77</v>
      </c>
      <c r="SQW16" s="3" t="s">
        <v>76</v>
      </c>
      <c r="SQX16" s="3" t="s">
        <v>77</v>
      </c>
      <c r="SQY16" s="3" t="s">
        <v>76</v>
      </c>
      <c r="SQZ16" s="3" t="s">
        <v>77</v>
      </c>
      <c r="SRA16" s="3" t="s">
        <v>76</v>
      </c>
      <c r="SRB16" s="3" t="s">
        <v>77</v>
      </c>
      <c r="SRC16" s="3" t="s">
        <v>76</v>
      </c>
      <c r="SRD16" s="3" t="s">
        <v>77</v>
      </c>
      <c r="SRE16" s="3" t="s">
        <v>76</v>
      </c>
      <c r="SRF16" s="3" t="s">
        <v>77</v>
      </c>
      <c r="SRG16" s="3" t="s">
        <v>76</v>
      </c>
      <c r="SRH16" s="3" t="s">
        <v>77</v>
      </c>
      <c r="SRI16" s="3" t="s">
        <v>76</v>
      </c>
      <c r="SRJ16" s="3" t="s">
        <v>77</v>
      </c>
      <c r="SRK16" s="3" t="s">
        <v>76</v>
      </c>
      <c r="SRL16" s="3" t="s">
        <v>77</v>
      </c>
      <c r="SRM16" s="3" t="s">
        <v>76</v>
      </c>
      <c r="SRN16" s="3" t="s">
        <v>77</v>
      </c>
      <c r="SRO16" s="3" t="s">
        <v>76</v>
      </c>
      <c r="SRP16" s="3" t="s">
        <v>77</v>
      </c>
      <c r="SRQ16" s="3" t="s">
        <v>76</v>
      </c>
      <c r="SRR16" s="3" t="s">
        <v>77</v>
      </c>
      <c r="SRS16" s="3" t="s">
        <v>76</v>
      </c>
      <c r="SRT16" s="3" t="s">
        <v>77</v>
      </c>
      <c r="SRU16" s="3" t="s">
        <v>76</v>
      </c>
      <c r="SRV16" s="3" t="s">
        <v>77</v>
      </c>
      <c r="SRW16" s="3" t="s">
        <v>76</v>
      </c>
      <c r="SRX16" s="3" t="s">
        <v>77</v>
      </c>
      <c r="SRY16" s="3" t="s">
        <v>76</v>
      </c>
      <c r="SRZ16" s="3" t="s">
        <v>77</v>
      </c>
      <c r="SSA16" s="3" t="s">
        <v>76</v>
      </c>
      <c r="SSB16" s="3" t="s">
        <v>77</v>
      </c>
      <c r="SSC16" s="3" t="s">
        <v>76</v>
      </c>
      <c r="SSD16" s="3" t="s">
        <v>77</v>
      </c>
      <c r="SSE16" s="3" t="s">
        <v>76</v>
      </c>
      <c r="SSF16" s="3" t="s">
        <v>77</v>
      </c>
      <c r="SSG16" s="3" t="s">
        <v>76</v>
      </c>
      <c r="SSH16" s="3" t="s">
        <v>77</v>
      </c>
      <c r="SSI16" s="3" t="s">
        <v>76</v>
      </c>
      <c r="SSJ16" s="3" t="s">
        <v>77</v>
      </c>
      <c r="SSK16" s="3" t="s">
        <v>76</v>
      </c>
      <c r="SSL16" s="3" t="s">
        <v>77</v>
      </c>
      <c r="SSM16" s="3" t="s">
        <v>76</v>
      </c>
      <c r="SSN16" s="3" t="s">
        <v>77</v>
      </c>
      <c r="SSO16" s="3" t="s">
        <v>76</v>
      </c>
      <c r="SSP16" s="3" t="s">
        <v>77</v>
      </c>
      <c r="SSQ16" s="3" t="s">
        <v>76</v>
      </c>
      <c r="SSR16" s="3" t="s">
        <v>77</v>
      </c>
      <c r="SSS16" s="3" t="s">
        <v>76</v>
      </c>
      <c r="SST16" s="3" t="s">
        <v>77</v>
      </c>
      <c r="SSU16" s="3" t="s">
        <v>76</v>
      </c>
      <c r="SSV16" s="3" t="s">
        <v>77</v>
      </c>
      <c r="SSW16" s="3" t="s">
        <v>76</v>
      </c>
      <c r="SSX16" s="3" t="s">
        <v>77</v>
      </c>
      <c r="SSY16" s="3" t="s">
        <v>76</v>
      </c>
      <c r="SSZ16" s="3" t="s">
        <v>77</v>
      </c>
      <c r="STA16" s="3" t="s">
        <v>76</v>
      </c>
      <c r="STB16" s="3" t="s">
        <v>77</v>
      </c>
      <c r="STC16" s="3" t="s">
        <v>76</v>
      </c>
      <c r="STD16" s="3" t="s">
        <v>77</v>
      </c>
      <c r="STE16" s="3" t="s">
        <v>76</v>
      </c>
      <c r="STF16" s="3" t="s">
        <v>77</v>
      </c>
      <c r="STG16" s="3" t="s">
        <v>76</v>
      </c>
      <c r="STH16" s="3" t="s">
        <v>77</v>
      </c>
      <c r="STI16" s="3" t="s">
        <v>76</v>
      </c>
      <c r="STJ16" s="3" t="s">
        <v>77</v>
      </c>
      <c r="STK16" s="3" t="s">
        <v>76</v>
      </c>
      <c r="STL16" s="3" t="s">
        <v>77</v>
      </c>
      <c r="STM16" s="3" t="s">
        <v>76</v>
      </c>
      <c r="STN16" s="3" t="s">
        <v>77</v>
      </c>
      <c r="STO16" s="3" t="s">
        <v>76</v>
      </c>
      <c r="STP16" s="3" t="s">
        <v>77</v>
      </c>
      <c r="STQ16" s="3" t="s">
        <v>76</v>
      </c>
      <c r="STR16" s="3" t="s">
        <v>77</v>
      </c>
      <c r="STS16" s="3" t="s">
        <v>76</v>
      </c>
      <c r="STT16" s="3" t="s">
        <v>77</v>
      </c>
      <c r="STU16" s="3" t="s">
        <v>76</v>
      </c>
      <c r="STV16" s="3" t="s">
        <v>77</v>
      </c>
      <c r="STW16" s="3" t="s">
        <v>76</v>
      </c>
      <c r="STX16" s="3" t="s">
        <v>77</v>
      </c>
      <c r="STY16" s="3" t="s">
        <v>76</v>
      </c>
      <c r="STZ16" s="3" t="s">
        <v>77</v>
      </c>
      <c r="SUA16" s="3" t="s">
        <v>76</v>
      </c>
      <c r="SUB16" s="3" t="s">
        <v>77</v>
      </c>
      <c r="SUC16" s="3" t="s">
        <v>76</v>
      </c>
      <c r="SUD16" s="3" t="s">
        <v>77</v>
      </c>
      <c r="SUE16" s="3" t="s">
        <v>76</v>
      </c>
      <c r="SUF16" s="3" t="s">
        <v>77</v>
      </c>
      <c r="SUG16" s="3" t="s">
        <v>76</v>
      </c>
      <c r="SUH16" s="3" t="s">
        <v>77</v>
      </c>
      <c r="SUI16" s="3" t="s">
        <v>76</v>
      </c>
      <c r="SUJ16" s="3" t="s">
        <v>77</v>
      </c>
      <c r="SUK16" s="3" t="s">
        <v>76</v>
      </c>
      <c r="SUL16" s="3" t="s">
        <v>77</v>
      </c>
      <c r="SUM16" s="3" t="s">
        <v>76</v>
      </c>
      <c r="SUN16" s="3" t="s">
        <v>77</v>
      </c>
      <c r="SUO16" s="3" t="s">
        <v>76</v>
      </c>
      <c r="SUP16" s="3" t="s">
        <v>77</v>
      </c>
      <c r="SUQ16" s="3" t="s">
        <v>76</v>
      </c>
      <c r="SUR16" s="3" t="s">
        <v>77</v>
      </c>
      <c r="SUS16" s="3" t="s">
        <v>76</v>
      </c>
      <c r="SUT16" s="3" t="s">
        <v>77</v>
      </c>
      <c r="SUU16" s="3" t="s">
        <v>76</v>
      </c>
      <c r="SUV16" s="3" t="s">
        <v>77</v>
      </c>
      <c r="SUW16" s="3" t="s">
        <v>76</v>
      </c>
      <c r="SUX16" s="3" t="s">
        <v>77</v>
      </c>
      <c r="SUY16" s="3" t="s">
        <v>76</v>
      </c>
      <c r="SUZ16" s="3" t="s">
        <v>77</v>
      </c>
      <c r="SVA16" s="3" t="s">
        <v>76</v>
      </c>
      <c r="SVB16" s="3" t="s">
        <v>77</v>
      </c>
      <c r="SVC16" s="3" t="s">
        <v>76</v>
      </c>
      <c r="SVD16" s="3" t="s">
        <v>77</v>
      </c>
      <c r="SVE16" s="3" t="s">
        <v>76</v>
      </c>
      <c r="SVF16" s="3" t="s">
        <v>77</v>
      </c>
      <c r="SVG16" s="3" t="s">
        <v>76</v>
      </c>
      <c r="SVH16" s="3" t="s">
        <v>77</v>
      </c>
      <c r="SVI16" s="3" t="s">
        <v>76</v>
      </c>
      <c r="SVJ16" s="3" t="s">
        <v>77</v>
      </c>
      <c r="SVK16" s="3" t="s">
        <v>76</v>
      </c>
      <c r="SVL16" s="3" t="s">
        <v>77</v>
      </c>
      <c r="SVM16" s="3" t="s">
        <v>76</v>
      </c>
      <c r="SVN16" s="3" t="s">
        <v>77</v>
      </c>
      <c r="SVO16" s="3" t="s">
        <v>76</v>
      </c>
      <c r="SVP16" s="3" t="s">
        <v>77</v>
      </c>
      <c r="SVQ16" s="3" t="s">
        <v>76</v>
      </c>
      <c r="SVR16" s="3" t="s">
        <v>77</v>
      </c>
      <c r="SVS16" s="3" t="s">
        <v>76</v>
      </c>
      <c r="SVT16" s="3" t="s">
        <v>77</v>
      </c>
      <c r="SVU16" s="3" t="s">
        <v>76</v>
      </c>
      <c r="SVV16" s="3" t="s">
        <v>77</v>
      </c>
      <c r="SVW16" s="3" t="s">
        <v>76</v>
      </c>
      <c r="SVX16" s="3" t="s">
        <v>77</v>
      </c>
      <c r="SVY16" s="3" t="s">
        <v>76</v>
      </c>
      <c r="SVZ16" s="3" t="s">
        <v>77</v>
      </c>
      <c r="SWA16" s="3" t="s">
        <v>76</v>
      </c>
      <c r="SWB16" s="3" t="s">
        <v>77</v>
      </c>
      <c r="SWC16" s="3" t="s">
        <v>76</v>
      </c>
      <c r="SWD16" s="3" t="s">
        <v>77</v>
      </c>
      <c r="SWE16" s="3" t="s">
        <v>76</v>
      </c>
      <c r="SWF16" s="3" t="s">
        <v>77</v>
      </c>
      <c r="SWG16" s="3" t="s">
        <v>76</v>
      </c>
      <c r="SWH16" s="3" t="s">
        <v>77</v>
      </c>
      <c r="SWI16" s="3" t="s">
        <v>76</v>
      </c>
      <c r="SWJ16" s="3" t="s">
        <v>77</v>
      </c>
      <c r="SWK16" s="3" t="s">
        <v>76</v>
      </c>
      <c r="SWL16" s="3" t="s">
        <v>77</v>
      </c>
      <c r="SWM16" s="3" t="s">
        <v>76</v>
      </c>
      <c r="SWN16" s="3" t="s">
        <v>77</v>
      </c>
      <c r="SWO16" s="3" t="s">
        <v>76</v>
      </c>
      <c r="SWP16" s="3" t="s">
        <v>77</v>
      </c>
      <c r="SWQ16" s="3" t="s">
        <v>76</v>
      </c>
      <c r="SWR16" s="3" t="s">
        <v>77</v>
      </c>
      <c r="SWS16" s="3" t="s">
        <v>76</v>
      </c>
      <c r="SWT16" s="3" t="s">
        <v>77</v>
      </c>
      <c r="SWU16" s="3" t="s">
        <v>76</v>
      </c>
      <c r="SWV16" s="3" t="s">
        <v>77</v>
      </c>
      <c r="SWW16" s="3" t="s">
        <v>76</v>
      </c>
      <c r="SWX16" s="3" t="s">
        <v>77</v>
      </c>
      <c r="SWY16" s="3" t="s">
        <v>76</v>
      </c>
      <c r="SWZ16" s="3" t="s">
        <v>77</v>
      </c>
      <c r="SXA16" s="3" t="s">
        <v>76</v>
      </c>
      <c r="SXB16" s="3" t="s">
        <v>77</v>
      </c>
      <c r="SXC16" s="3" t="s">
        <v>76</v>
      </c>
      <c r="SXD16" s="3" t="s">
        <v>77</v>
      </c>
      <c r="SXE16" s="3" t="s">
        <v>76</v>
      </c>
      <c r="SXF16" s="3" t="s">
        <v>77</v>
      </c>
      <c r="SXG16" s="3" t="s">
        <v>76</v>
      </c>
      <c r="SXH16" s="3" t="s">
        <v>77</v>
      </c>
      <c r="SXI16" s="3" t="s">
        <v>76</v>
      </c>
      <c r="SXJ16" s="3" t="s">
        <v>77</v>
      </c>
      <c r="SXK16" s="3" t="s">
        <v>76</v>
      </c>
      <c r="SXL16" s="3" t="s">
        <v>77</v>
      </c>
      <c r="SXM16" s="3" t="s">
        <v>76</v>
      </c>
      <c r="SXN16" s="3" t="s">
        <v>77</v>
      </c>
      <c r="SXO16" s="3" t="s">
        <v>76</v>
      </c>
      <c r="SXP16" s="3" t="s">
        <v>77</v>
      </c>
      <c r="SXQ16" s="3" t="s">
        <v>76</v>
      </c>
      <c r="SXR16" s="3" t="s">
        <v>77</v>
      </c>
      <c r="SXS16" s="3" t="s">
        <v>76</v>
      </c>
      <c r="SXT16" s="3" t="s">
        <v>77</v>
      </c>
      <c r="SXU16" s="3" t="s">
        <v>76</v>
      </c>
      <c r="SXV16" s="3" t="s">
        <v>77</v>
      </c>
      <c r="SXW16" s="3" t="s">
        <v>76</v>
      </c>
      <c r="SXX16" s="3" t="s">
        <v>77</v>
      </c>
      <c r="SXY16" s="3" t="s">
        <v>76</v>
      </c>
      <c r="SXZ16" s="3" t="s">
        <v>77</v>
      </c>
      <c r="SYA16" s="3" t="s">
        <v>76</v>
      </c>
      <c r="SYB16" s="3" t="s">
        <v>77</v>
      </c>
      <c r="SYC16" s="3" t="s">
        <v>76</v>
      </c>
      <c r="SYD16" s="3" t="s">
        <v>77</v>
      </c>
      <c r="SYE16" s="3" t="s">
        <v>76</v>
      </c>
      <c r="SYF16" s="3" t="s">
        <v>77</v>
      </c>
      <c r="SYG16" s="3" t="s">
        <v>76</v>
      </c>
      <c r="SYH16" s="3" t="s">
        <v>77</v>
      </c>
      <c r="SYI16" s="3" t="s">
        <v>76</v>
      </c>
      <c r="SYJ16" s="3" t="s">
        <v>77</v>
      </c>
      <c r="SYK16" s="3" t="s">
        <v>76</v>
      </c>
      <c r="SYL16" s="3" t="s">
        <v>77</v>
      </c>
      <c r="SYM16" s="3" t="s">
        <v>76</v>
      </c>
      <c r="SYN16" s="3" t="s">
        <v>77</v>
      </c>
      <c r="SYO16" s="3" t="s">
        <v>76</v>
      </c>
      <c r="SYP16" s="3" t="s">
        <v>77</v>
      </c>
      <c r="SYQ16" s="3" t="s">
        <v>76</v>
      </c>
      <c r="SYR16" s="3" t="s">
        <v>77</v>
      </c>
      <c r="SYS16" s="3" t="s">
        <v>76</v>
      </c>
      <c r="SYT16" s="3" t="s">
        <v>77</v>
      </c>
      <c r="SYU16" s="3" t="s">
        <v>76</v>
      </c>
      <c r="SYV16" s="3" t="s">
        <v>77</v>
      </c>
      <c r="SYW16" s="3" t="s">
        <v>76</v>
      </c>
      <c r="SYX16" s="3" t="s">
        <v>77</v>
      </c>
      <c r="SYY16" s="3" t="s">
        <v>76</v>
      </c>
      <c r="SYZ16" s="3" t="s">
        <v>77</v>
      </c>
      <c r="SZA16" s="3" t="s">
        <v>76</v>
      </c>
      <c r="SZB16" s="3" t="s">
        <v>77</v>
      </c>
      <c r="SZC16" s="3" t="s">
        <v>76</v>
      </c>
      <c r="SZD16" s="3" t="s">
        <v>77</v>
      </c>
      <c r="SZE16" s="3" t="s">
        <v>76</v>
      </c>
      <c r="SZF16" s="3" t="s">
        <v>77</v>
      </c>
      <c r="SZG16" s="3" t="s">
        <v>76</v>
      </c>
      <c r="SZH16" s="3" t="s">
        <v>77</v>
      </c>
      <c r="SZI16" s="3" t="s">
        <v>76</v>
      </c>
      <c r="SZJ16" s="3" t="s">
        <v>77</v>
      </c>
      <c r="SZK16" s="3" t="s">
        <v>76</v>
      </c>
      <c r="SZL16" s="3" t="s">
        <v>77</v>
      </c>
      <c r="SZM16" s="3" t="s">
        <v>76</v>
      </c>
      <c r="SZN16" s="3" t="s">
        <v>77</v>
      </c>
      <c r="SZO16" s="3" t="s">
        <v>76</v>
      </c>
      <c r="SZP16" s="3" t="s">
        <v>77</v>
      </c>
      <c r="SZQ16" s="3" t="s">
        <v>76</v>
      </c>
      <c r="SZR16" s="3" t="s">
        <v>77</v>
      </c>
      <c r="SZS16" s="3" t="s">
        <v>76</v>
      </c>
      <c r="SZT16" s="3" t="s">
        <v>77</v>
      </c>
      <c r="SZU16" s="3" t="s">
        <v>76</v>
      </c>
      <c r="SZV16" s="3" t="s">
        <v>77</v>
      </c>
      <c r="SZW16" s="3" t="s">
        <v>76</v>
      </c>
      <c r="SZX16" s="3" t="s">
        <v>77</v>
      </c>
      <c r="SZY16" s="3" t="s">
        <v>76</v>
      </c>
      <c r="SZZ16" s="3" t="s">
        <v>77</v>
      </c>
      <c r="TAA16" s="3" t="s">
        <v>76</v>
      </c>
      <c r="TAB16" s="3" t="s">
        <v>77</v>
      </c>
      <c r="TAC16" s="3" t="s">
        <v>76</v>
      </c>
      <c r="TAD16" s="3" t="s">
        <v>77</v>
      </c>
      <c r="TAE16" s="3" t="s">
        <v>76</v>
      </c>
      <c r="TAF16" s="3" t="s">
        <v>77</v>
      </c>
      <c r="TAG16" s="3" t="s">
        <v>76</v>
      </c>
      <c r="TAH16" s="3" t="s">
        <v>77</v>
      </c>
      <c r="TAI16" s="3" t="s">
        <v>76</v>
      </c>
      <c r="TAJ16" s="3" t="s">
        <v>77</v>
      </c>
      <c r="TAK16" s="3" t="s">
        <v>76</v>
      </c>
      <c r="TAL16" s="3" t="s">
        <v>77</v>
      </c>
      <c r="TAM16" s="3" t="s">
        <v>76</v>
      </c>
      <c r="TAN16" s="3" t="s">
        <v>77</v>
      </c>
      <c r="TAO16" s="3" t="s">
        <v>76</v>
      </c>
      <c r="TAP16" s="3" t="s">
        <v>77</v>
      </c>
      <c r="TAQ16" s="3" t="s">
        <v>76</v>
      </c>
      <c r="TAR16" s="3" t="s">
        <v>77</v>
      </c>
      <c r="TAS16" s="3" t="s">
        <v>76</v>
      </c>
      <c r="TAT16" s="3" t="s">
        <v>77</v>
      </c>
      <c r="TAU16" s="3" t="s">
        <v>76</v>
      </c>
      <c r="TAV16" s="3" t="s">
        <v>77</v>
      </c>
      <c r="TAW16" s="3" t="s">
        <v>76</v>
      </c>
      <c r="TAX16" s="3" t="s">
        <v>77</v>
      </c>
      <c r="TAY16" s="3" t="s">
        <v>76</v>
      </c>
      <c r="TAZ16" s="3" t="s">
        <v>77</v>
      </c>
      <c r="TBA16" s="3" t="s">
        <v>76</v>
      </c>
      <c r="TBB16" s="3" t="s">
        <v>77</v>
      </c>
      <c r="TBC16" s="3" t="s">
        <v>76</v>
      </c>
      <c r="TBD16" s="3" t="s">
        <v>77</v>
      </c>
      <c r="TBE16" s="3" t="s">
        <v>76</v>
      </c>
      <c r="TBF16" s="3" t="s">
        <v>77</v>
      </c>
      <c r="TBG16" s="3" t="s">
        <v>76</v>
      </c>
      <c r="TBH16" s="3" t="s">
        <v>77</v>
      </c>
      <c r="TBI16" s="3" t="s">
        <v>76</v>
      </c>
      <c r="TBJ16" s="3" t="s">
        <v>77</v>
      </c>
      <c r="TBK16" s="3" t="s">
        <v>76</v>
      </c>
      <c r="TBL16" s="3" t="s">
        <v>77</v>
      </c>
      <c r="TBM16" s="3" t="s">
        <v>76</v>
      </c>
      <c r="TBN16" s="3" t="s">
        <v>77</v>
      </c>
      <c r="TBO16" s="3" t="s">
        <v>76</v>
      </c>
      <c r="TBP16" s="3" t="s">
        <v>77</v>
      </c>
      <c r="TBQ16" s="3" t="s">
        <v>76</v>
      </c>
      <c r="TBR16" s="3" t="s">
        <v>77</v>
      </c>
      <c r="TBS16" s="3" t="s">
        <v>76</v>
      </c>
      <c r="TBT16" s="3" t="s">
        <v>77</v>
      </c>
      <c r="TBU16" s="3" t="s">
        <v>76</v>
      </c>
      <c r="TBV16" s="3" t="s">
        <v>77</v>
      </c>
      <c r="TBW16" s="3" t="s">
        <v>76</v>
      </c>
      <c r="TBX16" s="3" t="s">
        <v>77</v>
      </c>
      <c r="TBY16" s="3" t="s">
        <v>76</v>
      </c>
      <c r="TBZ16" s="3" t="s">
        <v>77</v>
      </c>
      <c r="TCA16" s="3" t="s">
        <v>76</v>
      </c>
      <c r="TCB16" s="3" t="s">
        <v>77</v>
      </c>
      <c r="TCC16" s="3" t="s">
        <v>76</v>
      </c>
      <c r="TCD16" s="3" t="s">
        <v>77</v>
      </c>
      <c r="TCE16" s="3" t="s">
        <v>76</v>
      </c>
      <c r="TCF16" s="3" t="s">
        <v>77</v>
      </c>
      <c r="TCG16" s="3" t="s">
        <v>76</v>
      </c>
      <c r="TCH16" s="3" t="s">
        <v>77</v>
      </c>
      <c r="TCI16" s="3" t="s">
        <v>76</v>
      </c>
      <c r="TCJ16" s="3" t="s">
        <v>77</v>
      </c>
      <c r="TCK16" s="3" t="s">
        <v>76</v>
      </c>
      <c r="TCL16" s="3" t="s">
        <v>77</v>
      </c>
      <c r="TCM16" s="3" t="s">
        <v>76</v>
      </c>
      <c r="TCN16" s="3" t="s">
        <v>77</v>
      </c>
      <c r="TCO16" s="3" t="s">
        <v>76</v>
      </c>
      <c r="TCP16" s="3" t="s">
        <v>77</v>
      </c>
      <c r="TCQ16" s="3" t="s">
        <v>76</v>
      </c>
      <c r="TCR16" s="3" t="s">
        <v>77</v>
      </c>
      <c r="TCS16" s="3" t="s">
        <v>76</v>
      </c>
      <c r="TCT16" s="3" t="s">
        <v>77</v>
      </c>
      <c r="TCU16" s="3" t="s">
        <v>76</v>
      </c>
      <c r="TCV16" s="3" t="s">
        <v>77</v>
      </c>
      <c r="TCW16" s="3" t="s">
        <v>76</v>
      </c>
      <c r="TCX16" s="3" t="s">
        <v>77</v>
      </c>
      <c r="TCY16" s="3" t="s">
        <v>76</v>
      </c>
      <c r="TCZ16" s="3" t="s">
        <v>77</v>
      </c>
      <c r="TDA16" s="3" t="s">
        <v>76</v>
      </c>
      <c r="TDB16" s="3" t="s">
        <v>77</v>
      </c>
      <c r="TDC16" s="3" t="s">
        <v>76</v>
      </c>
      <c r="TDD16" s="3" t="s">
        <v>77</v>
      </c>
      <c r="TDE16" s="3" t="s">
        <v>76</v>
      </c>
      <c r="TDF16" s="3" t="s">
        <v>77</v>
      </c>
      <c r="TDG16" s="3" t="s">
        <v>76</v>
      </c>
      <c r="TDH16" s="3" t="s">
        <v>77</v>
      </c>
      <c r="TDI16" s="3" t="s">
        <v>76</v>
      </c>
      <c r="TDJ16" s="3" t="s">
        <v>77</v>
      </c>
      <c r="TDK16" s="3" t="s">
        <v>76</v>
      </c>
      <c r="TDL16" s="3" t="s">
        <v>77</v>
      </c>
      <c r="TDM16" s="3" t="s">
        <v>76</v>
      </c>
      <c r="TDN16" s="3" t="s">
        <v>77</v>
      </c>
      <c r="TDO16" s="3" t="s">
        <v>76</v>
      </c>
      <c r="TDP16" s="3" t="s">
        <v>77</v>
      </c>
      <c r="TDQ16" s="3" t="s">
        <v>76</v>
      </c>
      <c r="TDR16" s="3" t="s">
        <v>77</v>
      </c>
      <c r="TDS16" s="3" t="s">
        <v>76</v>
      </c>
      <c r="TDT16" s="3" t="s">
        <v>77</v>
      </c>
      <c r="TDU16" s="3" t="s">
        <v>76</v>
      </c>
      <c r="TDV16" s="3" t="s">
        <v>77</v>
      </c>
      <c r="TDW16" s="3" t="s">
        <v>76</v>
      </c>
      <c r="TDX16" s="3" t="s">
        <v>77</v>
      </c>
      <c r="TDY16" s="3" t="s">
        <v>76</v>
      </c>
      <c r="TDZ16" s="3" t="s">
        <v>77</v>
      </c>
      <c r="TEA16" s="3" t="s">
        <v>76</v>
      </c>
      <c r="TEB16" s="3" t="s">
        <v>77</v>
      </c>
      <c r="TEC16" s="3" t="s">
        <v>76</v>
      </c>
      <c r="TED16" s="3" t="s">
        <v>77</v>
      </c>
      <c r="TEE16" s="3" t="s">
        <v>76</v>
      </c>
      <c r="TEF16" s="3" t="s">
        <v>77</v>
      </c>
      <c r="TEG16" s="3" t="s">
        <v>76</v>
      </c>
      <c r="TEH16" s="3" t="s">
        <v>77</v>
      </c>
      <c r="TEI16" s="3" t="s">
        <v>76</v>
      </c>
      <c r="TEJ16" s="3" t="s">
        <v>77</v>
      </c>
      <c r="TEK16" s="3" t="s">
        <v>76</v>
      </c>
      <c r="TEL16" s="3" t="s">
        <v>77</v>
      </c>
      <c r="TEM16" s="3" t="s">
        <v>76</v>
      </c>
      <c r="TEN16" s="3" t="s">
        <v>77</v>
      </c>
      <c r="TEO16" s="3" t="s">
        <v>76</v>
      </c>
      <c r="TEP16" s="3" t="s">
        <v>77</v>
      </c>
      <c r="TEQ16" s="3" t="s">
        <v>76</v>
      </c>
      <c r="TER16" s="3" t="s">
        <v>77</v>
      </c>
      <c r="TES16" s="3" t="s">
        <v>76</v>
      </c>
      <c r="TET16" s="3" t="s">
        <v>77</v>
      </c>
      <c r="TEU16" s="3" t="s">
        <v>76</v>
      </c>
      <c r="TEV16" s="3" t="s">
        <v>77</v>
      </c>
      <c r="TEW16" s="3" t="s">
        <v>76</v>
      </c>
      <c r="TEX16" s="3" t="s">
        <v>77</v>
      </c>
      <c r="TEY16" s="3" t="s">
        <v>76</v>
      </c>
      <c r="TEZ16" s="3" t="s">
        <v>77</v>
      </c>
      <c r="TFA16" s="3" t="s">
        <v>76</v>
      </c>
      <c r="TFB16" s="3" t="s">
        <v>77</v>
      </c>
      <c r="TFC16" s="3" t="s">
        <v>76</v>
      </c>
      <c r="TFD16" s="3" t="s">
        <v>77</v>
      </c>
      <c r="TFE16" s="3" t="s">
        <v>76</v>
      </c>
      <c r="TFF16" s="3" t="s">
        <v>77</v>
      </c>
      <c r="TFG16" s="3" t="s">
        <v>76</v>
      </c>
      <c r="TFH16" s="3" t="s">
        <v>77</v>
      </c>
      <c r="TFI16" s="3" t="s">
        <v>76</v>
      </c>
      <c r="TFJ16" s="3" t="s">
        <v>77</v>
      </c>
      <c r="TFK16" s="3" t="s">
        <v>76</v>
      </c>
      <c r="TFL16" s="3" t="s">
        <v>77</v>
      </c>
      <c r="TFM16" s="3" t="s">
        <v>76</v>
      </c>
      <c r="TFN16" s="3" t="s">
        <v>77</v>
      </c>
      <c r="TFO16" s="3" t="s">
        <v>76</v>
      </c>
      <c r="TFP16" s="3" t="s">
        <v>77</v>
      </c>
      <c r="TFQ16" s="3" t="s">
        <v>76</v>
      </c>
      <c r="TFR16" s="3" t="s">
        <v>77</v>
      </c>
      <c r="TFS16" s="3" t="s">
        <v>76</v>
      </c>
      <c r="TFT16" s="3" t="s">
        <v>77</v>
      </c>
      <c r="TFU16" s="3" t="s">
        <v>76</v>
      </c>
      <c r="TFV16" s="3" t="s">
        <v>77</v>
      </c>
      <c r="TFW16" s="3" t="s">
        <v>76</v>
      </c>
      <c r="TFX16" s="3" t="s">
        <v>77</v>
      </c>
      <c r="TFY16" s="3" t="s">
        <v>76</v>
      </c>
      <c r="TFZ16" s="3" t="s">
        <v>77</v>
      </c>
      <c r="TGA16" s="3" t="s">
        <v>76</v>
      </c>
      <c r="TGB16" s="3" t="s">
        <v>77</v>
      </c>
      <c r="TGC16" s="3" t="s">
        <v>76</v>
      </c>
      <c r="TGD16" s="3" t="s">
        <v>77</v>
      </c>
      <c r="TGE16" s="3" t="s">
        <v>76</v>
      </c>
      <c r="TGF16" s="3" t="s">
        <v>77</v>
      </c>
      <c r="TGG16" s="3" t="s">
        <v>76</v>
      </c>
      <c r="TGH16" s="3" t="s">
        <v>77</v>
      </c>
      <c r="TGI16" s="3" t="s">
        <v>76</v>
      </c>
      <c r="TGJ16" s="3" t="s">
        <v>77</v>
      </c>
      <c r="TGK16" s="3" t="s">
        <v>76</v>
      </c>
      <c r="TGL16" s="3" t="s">
        <v>77</v>
      </c>
      <c r="TGM16" s="3" t="s">
        <v>76</v>
      </c>
      <c r="TGN16" s="3" t="s">
        <v>77</v>
      </c>
      <c r="TGO16" s="3" t="s">
        <v>76</v>
      </c>
      <c r="TGP16" s="3" t="s">
        <v>77</v>
      </c>
      <c r="TGQ16" s="3" t="s">
        <v>76</v>
      </c>
      <c r="TGR16" s="3" t="s">
        <v>77</v>
      </c>
      <c r="TGS16" s="3" t="s">
        <v>76</v>
      </c>
      <c r="TGT16" s="3" t="s">
        <v>77</v>
      </c>
      <c r="TGU16" s="3" t="s">
        <v>76</v>
      </c>
      <c r="TGV16" s="3" t="s">
        <v>77</v>
      </c>
      <c r="TGW16" s="3" t="s">
        <v>76</v>
      </c>
      <c r="TGX16" s="3" t="s">
        <v>77</v>
      </c>
      <c r="TGY16" s="3" t="s">
        <v>76</v>
      </c>
      <c r="TGZ16" s="3" t="s">
        <v>77</v>
      </c>
      <c r="THA16" s="3" t="s">
        <v>76</v>
      </c>
      <c r="THB16" s="3" t="s">
        <v>77</v>
      </c>
      <c r="THC16" s="3" t="s">
        <v>76</v>
      </c>
      <c r="THD16" s="3" t="s">
        <v>77</v>
      </c>
      <c r="THE16" s="3" t="s">
        <v>76</v>
      </c>
      <c r="THF16" s="3" t="s">
        <v>77</v>
      </c>
      <c r="THG16" s="3" t="s">
        <v>76</v>
      </c>
      <c r="THH16" s="3" t="s">
        <v>77</v>
      </c>
      <c r="THI16" s="3" t="s">
        <v>76</v>
      </c>
      <c r="THJ16" s="3" t="s">
        <v>77</v>
      </c>
      <c r="THK16" s="3" t="s">
        <v>76</v>
      </c>
      <c r="THL16" s="3" t="s">
        <v>77</v>
      </c>
      <c r="THM16" s="3" t="s">
        <v>76</v>
      </c>
      <c r="THN16" s="3" t="s">
        <v>77</v>
      </c>
      <c r="THO16" s="3" t="s">
        <v>76</v>
      </c>
      <c r="THP16" s="3" t="s">
        <v>77</v>
      </c>
      <c r="THQ16" s="3" t="s">
        <v>76</v>
      </c>
      <c r="THR16" s="3" t="s">
        <v>77</v>
      </c>
      <c r="THS16" s="3" t="s">
        <v>76</v>
      </c>
      <c r="THT16" s="3" t="s">
        <v>77</v>
      </c>
      <c r="THU16" s="3" t="s">
        <v>76</v>
      </c>
      <c r="THV16" s="3" t="s">
        <v>77</v>
      </c>
      <c r="THW16" s="3" t="s">
        <v>76</v>
      </c>
      <c r="THX16" s="3" t="s">
        <v>77</v>
      </c>
      <c r="THY16" s="3" t="s">
        <v>76</v>
      </c>
      <c r="THZ16" s="3" t="s">
        <v>77</v>
      </c>
      <c r="TIA16" s="3" t="s">
        <v>76</v>
      </c>
      <c r="TIB16" s="3" t="s">
        <v>77</v>
      </c>
      <c r="TIC16" s="3" t="s">
        <v>76</v>
      </c>
      <c r="TID16" s="3" t="s">
        <v>77</v>
      </c>
      <c r="TIE16" s="3" t="s">
        <v>76</v>
      </c>
      <c r="TIF16" s="3" t="s">
        <v>77</v>
      </c>
      <c r="TIG16" s="3" t="s">
        <v>76</v>
      </c>
      <c r="TIH16" s="3" t="s">
        <v>77</v>
      </c>
      <c r="TII16" s="3" t="s">
        <v>76</v>
      </c>
      <c r="TIJ16" s="3" t="s">
        <v>77</v>
      </c>
      <c r="TIK16" s="3" t="s">
        <v>76</v>
      </c>
      <c r="TIL16" s="3" t="s">
        <v>77</v>
      </c>
      <c r="TIM16" s="3" t="s">
        <v>76</v>
      </c>
      <c r="TIN16" s="3" t="s">
        <v>77</v>
      </c>
      <c r="TIO16" s="3" t="s">
        <v>76</v>
      </c>
      <c r="TIP16" s="3" t="s">
        <v>77</v>
      </c>
      <c r="TIQ16" s="3" t="s">
        <v>76</v>
      </c>
      <c r="TIR16" s="3" t="s">
        <v>77</v>
      </c>
      <c r="TIS16" s="3" t="s">
        <v>76</v>
      </c>
      <c r="TIT16" s="3" t="s">
        <v>77</v>
      </c>
      <c r="TIU16" s="3" t="s">
        <v>76</v>
      </c>
      <c r="TIV16" s="3" t="s">
        <v>77</v>
      </c>
      <c r="TIW16" s="3" t="s">
        <v>76</v>
      </c>
      <c r="TIX16" s="3" t="s">
        <v>77</v>
      </c>
      <c r="TIY16" s="3" t="s">
        <v>76</v>
      </c>
      <c r="TIZ16" s="3" t="s">
        <v>77</v>
      </c>
      <c r="TJA16" s="3" t="s">
        <v>76</v>
      </c>
      <c r="TJB16" s="3" t="s">
        <v>77</v>
      </c>
      <c r="TJC16" s="3" t="s">
        <v>76</v>
      </c>
      <c r="TJD16" s="3" t="s">
        <v>77</v>
      </c>
      <c r="TJE16" s="3" t="s">
        <v>76</v>
      </c>
      <c r="TJF16" s="3" t="s">
        <v>77</v>
      </c>
      <c r="TJG16" s="3" t="s">
        <v>76</v>
      </c>
      <c r="TJH16" s="3" t="s">
        <v>77</v>
      </c>
      <c r="TJI16" s="3" t="s">
        <v>76</v>
      </c>
      <c r="TJJ16" s="3" t="s">
        <v>77</v>
      </c>
      <c r="TJK16" s="3" t="s">
        <v>76</v>
      </c>
      <c r="TJL16" s="3" t="s">
        <v>77</v>
      </c>
      <c r="TJM16" s="3" t="s">
        <v>76</v>
      </c>
      <c r="TJN16" s="3" t="s">
        <v>77</v>
      </c>
      <c r="TJO16" s="3" t="s">
        <v>76</v>
      </c>
      <c r="TJP16" s="3" t="s">
        <v>77</v>
      </c>
      <c r="TJQ16" s="3" t="s">
        <v>76</v>
      </c>
      <c r="TJR16" s="3" t="s">
        <v>77</v>
      </c>
      <c r="TJS16" s="3" t="s">
        <v>76</v>
      </c>
      <c r="TJT16" s="3" t="s">
        <v>77</v>
      </c>
      <c r="TJU16" s="3" t="s">
        <v>76</v>
      </c>
      <c r="TJV16" s="3" t="s">
        <v>77</v>
      </c>
      <c r="TJW16" s="3" t="s">
        <v>76</v>
      </c>
      <c r="TJX16" s="3" t="s">
        <v>77</v>
      </c>
      <c r="TJY16" s="3" t="s">
        <v>76</v>
      </c>
      <c r="TJZ16" s="3" t="s">
        <v>77</v>
      </c>
      <c r="TKA16" s="3" t="s">
        <v>76</v>
      </c>
      <c r="TKB16" s="3" t="s">
        <v>77</v>
      </c>
      <c r="TKC16" s="3" t="s">
        <v>76</v>
      </c>
      <c r="TKD16" s="3" t="s">
        <v>77</v>
      </c>
      <c r="TKE16" s="3" t="s">
        <v>76</v>
      </c>
      <c r="TKF16" s="3" t="s">
        <v>77</v>
      </c>
      <c r="TKG16" s="3" t="s">
        <v>76</v>
      </c>
      <c r="TKH16" s="3" t="s">
        <v>77</v>
      </c>
      <c r="TKI16" s="3" t="s">
        <v>76</v>
      </c>
      <c r="TKJ16" s="3" t="s">
        <v>77</v>
      </c>
      <c r="TKK16" s="3" t="s">
        <v>76</v>
      </c>
      <c r="TKL16" s="3" t="s">
        <v>77</v>
      </c>
      <c r="TKM16" s="3" t="s">
        <v>76</v>
      </c>
      <c r="TKN16" s="3" t="s">
        <v>77</v>
      </c>
      <c r="TKO16" s="3" t="s">
        <v>76</v>
      </c>
      <c r="TKP16" s="3" t="s">
        <v>77</v>
      </c>
      <c r="TKQ16" s="3" t="s">
        <v>76</v>
      </c>
      <c r="TKR16" s="3" t="s">
        <v>77</v>
      </c>
      <c r="TKS16" s="3" t="s">
        <v>76</v>
      </c>
      <c r="TKT16" s="3" t="s">
        <v>77</v>
      </c>
      <c r="TKU16" s="3" t="s">
        <v>76</v>
      </c>
      <c r="TKV16" s="3" t="s">
        <v>77</v>
      </c>
      <c r="TKW16" s="3" t="s">
        <v>76</v>
      </c>
      <c r="TKX16" s="3" t="s">
        <v>77</v>
      </c>
      <c r="TKY16" s="3" t="s">
        <v>76</v>
      </c>
      <c r="TKZ16" s="3" t="s">
        <v>77</v>
      </c>
      <c r="TLA16" s="3" t="s">
        <v>76</v>
      </c>
      <c r="TLB16" s="3" t="s">
        <v>77</v>
      </c>
      <c r="TLC16" s="3" t="s">
        <v>76</v>
      </c>
      <c r="TLD16" s="3" t="s">
        <v>77</v>
      </c>
      <c r="TLE16" s="3" t="s">
        <v>76</v>
      </c>
      <c r="TLF16" s="3" t="s">
        <v>77</v>
      </c>
      <c r="TLG16" s="3" t="s">
        <v>76</v>
      </c>
      <c r="TLH16" s="3" t="s">
        <v>77</v>
      </c>
      <c r="TLI16" s="3" t="s">
        <v>76</v>
      </c>
      <c r="TLJ16" s="3" t="s">
        <v>77</v>
      </c>
      <c r="TLK16" s="3" t="s">
        <v>76</v>
      </c>
      <c r="TLL16" s="3" t="s">
        <v>77</v>
      </c>
      <c r="TLM16" s="3" t="s">
        <v>76</v>
      </c>
      <c r="TLN16" s="3" t="s">
        <v>77</v>
      </c>
      <c r="TLO16" s="3" t="s">
        <v>76</v>
      </c>
      <c r="TLP16" s="3" t="s">
        <v>77</v>
      </c>
      <c r="TLQ16" s="3" t="s">
        <v>76</v>
      </c>
      <c r="TLR16" s="3" t="s">
        <v>77</v>
      </c>
      <c r="TLS16" s="3" t="s">
        <v>76</v>
      </c>
      <c r="TLT16" s="3" t="s">
        <v>77</v>
      </c>
      <c r="TLU16" s="3" t="s">
        <v>76</v>
      </c>
      <c r="TLV16" s="3" t="s">
        <v>77</v>
      </c>
      <c r="TLW16" s="3" t="s">
        <v>76</v>
      </c>
      <c r="TLX16" s="3" t="s">
        <v>77</v>
      </c>
      <c r="TLY16" s="3" t="s">
        <v>76</v>
      </c>
      <c r="TLZ16" s="3" t="s">
        <v>77</v>
      </c>
      <c r="TMA16" s="3" t="s">
        <v>76</v>
      </c>
      <c r="TMB16" s="3" t="s">
        <v>77</v>
      </c>
      <c r="TMC16" s="3" t="s">
        <v>76</v>
      </c>
      <c r="TMD16" s="3" t="s">
        <v>77</v>
      </c>
      <c r="TME16" s="3" t="s">
        <v>76</v>
      </c>
      <c r="TMF16" s="3" t="s">
        <v>77</v>
      </c>
      <c r="TMG16" s="3" t="s">
        <v>76</v>
      </c>
      <c r="TMH16" s="3" t="s">
        <v>77</v>
      </c>
      <c r="TMI16" s="3" t="s">
        <v>76</v>
      </c>
      <c r="TMJ16" s="3" t="s">
        <v>77</v>
      </c>
      <c r="TMK16" s="3" t="s">
        <v>76</v>
      </c>
      <c r="TML16" s="3" t="s">
        <v>77</v>
      </c>
      <c r="TMM16" s="3" t="s">
        <v>76</v>
      </c>
      <c r="TMN16" s="3" t="s">
        <v>77</v>
      </c>
      <c r="TMO16" s="3" t="s">
        <v>76</v>
      </c>
      <c r="TMP16" s="3" t="s">
        <v>77</v>
      </c>
      <c r="TMQ16" s="3" t="s">
        <v>76</v>
      </c>
      <c r="TMR16" s="3" t="s">
        <v>77</v>
      </c>
      <c r="TMS16" s="3" t="s">
        <v>76</v>
      </c>
      <c r="TMT16" s="3" t="s">
        <v>77</v>
      </c>
      <c r="TMU16" s="3" t="s">
        <v>76</v>
      </c>
      <c r="TMV16" s="3" t="s">
        <v>77</v>
      </c>
      <c r="TMW16" s="3" t="s">
        <v>76</v>
      </c>
      <c r="TMX16" s="3" t="s">
        <v>77</v>
      </c>
      <c r="TMY16" s="3" t="s">
        <v>76</v>
      </c>
      <c r="TMZ16" s="3" t="s">
        <v>77</v>
      </c>
      <c r="TNA16" s="3" t="s">
        <v>76</v>
      </c>
      <c r="TNB16" s="3" t="s">
        <v>77</v>
      </c>
      <c r="TNC16" s="3" t="s">
        <v>76</v>
      </c>
      <c r="TND16" s="3" t="s">
        <v>77</v>
      </c>
      <c r="TNE16" s="3" t="s">
        <v>76</v>
      </c>
      <c r="TNF16" s="3" t="s">
        <v>77</v>
      </c>
      <c r="TNG16" s="3" t="s">
        <v>76</v>
      </c>
      <c r="TNH16" s="3" t="s">
        <v>77</v>
      </c>
      <c r="TNI16" s="3" t="s">
        <v>76</v>
      </c>
      <c r="TNJ16" s="3" t="s">
        <v>77</v>
      </c>
      <c r="TNK16" s="3" t="s">
        <v>76</v>
      </c>
      <c r="TNL16" s="3" t="s">
        <v>77</v>
      </c>
      <c r="TNM16" s="3" t="s">
        <v>76</v>
      </c>
      <c r="TNN16" s="3" t="s">
        <v>77</v>
      </c>
      <c r="TNO16" s="3" t="s">
        <v>76</v>
      </c>
      <c r="TNP16" s="3" t="s">
        <v>77</v>
      </c>
      <c r="TNQ16" s="3" t="s">
        <v>76</v>
      </c>
      <c r="TNR16" s="3" t="s">
        <v>77</v>
      </c>
      <c r="TNS16" s="3" t="s">
        <v>76</v>
      </c>
      <c r="TNT16" s="3" t="s">
        <v>77</v>
      </c>
      <c r="TNU16" s="3" t="s">
        <v>76</v>
      </c>
      <c r="TNV16" s="3" t="s">
        <v>77</v>
      </c>
      <c r="TNW16" s="3" t="s">
        <v>76</v>
      </c>
      <c r="TNX16" s="3" t="s">
        <v>77</v>
      </c>
      <c r="TNY16" s="3" t="s">
        <v>76</v>
      </c>
      <c r="TNZ16" s="3" t="s">
        <v>77</v>
      </c>
      <c r="TOA16" s="3" t="s">
        <v>76</v>
      </c>
      <c r="TOB16" s="3" t="s">
        <v>77</v>
      </c>
      <c r="TOC16" s="3" t="s">
        <v>76</v>
      </c>
      <c r="TOD16" s="3" t="s">
        <v>77</v>
      </c>
      <c r="TOE16" s="3" t="s">
        <v>76</v>
      </c>
      <c r="TOF16" s="3" t="s">
        <v>77</v>
      </c>
      <c r="TOG16" s="3" t="s">
        <v>76</v>
      </c>
      <c r="TOH16" s="3" t="s">
        <v>77</v>
      </c>
      <c r="TOI16" s="3" t="s">
        <v>76</v>
      </c>
      <c r="TOJ16" s="3" t="s">
        <v>77</v>
      </c>
      <c r="TOK16" s="3" t="s">
        <v>76</v>
      </c>
      <c r="TOL16" s="3" t="s">
        <v>77</v>
      </c>
      <c r="TOM16" s="3" t="s">
        <v>76</v>
      </c>
      <c r="TON16" s="3" t="s">
        <v>77</v>
      </c>
      <c r="TOO16" s="3" t="s">
        <v>76</v>
      </c>
      <c r="TOP16" s="3" t="s">
        <v>77</v>
      </c>
      <c r="TOQ16" s="3" t="s">
        <v>76</v>
      </c>
      <c r="TOR16" s="3" t="s">
        <v>77</v>
      </c>
      <c r="TOS16" s="3" t="s">
        <v>76</v>
      </c>
      <c r="TOT16" s="3" t="s">
        <v>77</v>
      </c>
      <c r="TOU16" s="3" t="s">
        <v>76</v>
      </c>
      <c r="TOV16" s="3" t="s">
        <v>77</v>
      </c>
      <c r="TOW16" s="3" t="s">
        <v>76</v>
      </c>
      <c r="TOX16" s="3" t="s">
        <v>77</v>
      </c>
      <c r="TOY16" s="3" t="s">
        <v>76</v>
      </c>
      <c r="TOZ16" s="3" t="s">
        <v>77</v>
      </c>
      <c r="TPA16" s="3" t="s">
        <v>76</v>
      </c>
      <c r="TPB16" s="3" t="s">
        <v>77</v>
      </c>
      <c r="TPC16" s="3" t="s">
        <v>76</v>
      </c>
      <c r="TPD16" s="3" t="s">
        <v>77</v>
      </c>
      <c r="TPE16" s="3" t="s">
        <v>76</v>
      </c>
      <c r="TPF16" s="3" t="s">
        <v>77</v>
      </c>
      <c r="TPG16" s="3" t="s">
        <v>76</v>
      </c>
      <c r="TPH16" s="3" t="s">
        <v>77</v>
      </c>
      <c r="TPI16" s="3" t="s">
        <v>76</v>
      </c>
      <c r="TPJ16" s="3" t="s">
        <v>77</v>
      </c>
      <c r="TPK16" s="3" t="s">
        <v>76</v>
      </c>
      <c r="TPL16" s="3" t="s">
        <v>77</v>
      </c>
      <c r="TPM16" s="3" t="s">
        <v>76</v>
      </c>
      <c r="TPN16" s="3" t="s">
        <v>77</v>
      </c>
      <c r="TPO16" s="3" t="s">
        <v>76</v>
      </c>
      <c r="TPP16" s="3" t="s">
        <v>77</v>
      </c>
      <c r="TPQ16" s="3" t="s">
        <v>76</v>
      </c>
      <c r="TPR16" s="3" t="s">
        <v>77</v>
      </c>
      <c r="TPS16" s="3" t="s">
        <v>76</v>
      </c>
      <c r="TPT16" s="3" t="s">
        <v>77</v>
      </c>
      <c r="TPU16" s="3" t="s">
        <v>76</v>
      </c>
      <c r="TPV16" s="3" t="s">
        <v>77</v>
      </c>
      <c r="TPW16" s="3" t="s">
        <v>76</v>
      </c>
      <c r="TPX16" s="3" t="s">
        <v>77</v>
      </c>
      <c r="TPY16" s="3" t="s">
        <v>76</v>
      </c>
      <c r="TPZ16" s="3" t="s">
        <v>77</v>
      </c>
      <c r="TQA16" s="3" t="s">
        <v>76</v>
      </c>
      <c r="TQB16" s="3" t="s">
        <v>77</v>
      </c>
      <c r="TQC16" s="3" t="s">
        <v>76</v>
      </c>
      <c r="TQD16" s="3" t="s">
        <v>77</v>
      </c>
      <c r="TQE16" s="3" t="s">
        <v>76</v>
      </c>
      <c r="TQF16" s="3" t="s">
        <v>77</v>
      </c>
      <c r="TQG16" s="3" t="s">
        <v>76</v>
      </c>
      <c r="TQH16" s="3" t="s">
        <v>77</v>
      </c>
      <c r="TQI16" s="3" t="s">
        <v>76</v>
      </c>
      <c r="TQJ16" s="3" t="s">
        <v>77</v>
      </c>
      <c r="TQK16" s="3" t="s">
        <v>76</v>
      </c>
      <c r="TQL16" s="3" t="s">
        <v>77</v>
      </c>
      <c r="TQM16" s="3" t="s">
        <v>76</v>
      </c>
      <c r="TQN16" s="3" t="s">
        <v>77</v>
      </c>
      <c r="TQO16" s="3" t="s">
        <v>76</v>
      </c>
      <c r="TQP16" s="3" t="s">
        <v>77</v>
      </c>
      <c r="TQQ16" s="3" t="s">
        <v>76</v>
      </c>
      <c r="TQR16" s="3" t="s">
        <v>77</v>
      </c>
      <c r="TQS16" s="3" t="s">
        <v>76</v>
      </c>
      <c r="TQT16" s="3" t="s">
        <v>77</v>
      </c>
      <c r="TQU16" s="3" t="s">
        <v>76</v>
      </c>
      <c r="TQV16" s="3" t="s">
        <v>77</v>
      </c>
      <c r="TQW16" s="3" t="s">
        <v>76</v>
      </c>
      <c r="TQX16" s="3" t="s">
        <v>77</v>
      </c>
      <c r="TQY16" s="3" t="s">
        <v>76</v>
      </c>
      <c r="TQZ16" s="3" t="s">
        <v>77</v>
      </c>
      <c r="TRA16" s="3" t="s">
        <v>76</v>
      </c>
      <c r="TRB16" s="3" t="s">
        <v>77</v>
      </c>
      <c r="TRC16" s="3" t="s">
        <v>76</v>
      </c>
      <c r="TRD16" s="3" t="s">
        <v>77</v>
      </c>
      <c r="TRE16" s="3" t="s">
        <v>76</v>
      </c>
      <c r="TRF16" s="3" t="s">
        <v>77</v>
      </c>
      <c r="TRG16" s="3" t="s">
        <v>76</v>
      </c>
      <c r="TRH16" s="3" t="s">
        <v>77</v>
      </c>
      <c r="TRI16" s="3" t="s">
        <v>76</v>
      </c>
      <c r="TRJ16" s="3" t="s">
        <v>77</v>
      </c>
      <c r="TRK16" s="3" t="s">
        <v>76</v>
      </c>
      <c r="TRL16" s="3" t="s">
        <v>77</v>
      </c>
      <c r="TRM16" s="3" t="s">
        <v>76</v>
      </c>
      <c r="TRN16" s="3" t="s">
        <v>77</v>
      </c>
      <c r="TRO16" s="3" t="s">
        <v>76</v>
      </c>
      <c r="TRP16" s="3" t="s">
        <v>77</v>
      </c>
      <c r="TRQ16" s="3" t="s">
        <v>76</v>
      </c>
      <c r="TRR16" s="3" t="s">
        <v>77</v>
      </c>
      <c r="TRS16" s="3" t="s">
        <v>76</v>
      </c>
      <c r="TRT16" s="3" t="s">
        <v>77</v>
      </c>
      <c r="TRU16" s="3" t="s">
        <v>76</v>
      </c>
      <c r="TRV16" s="3" t="s">
        <v>77</v>
      </c>
      <c r="TRW16" s="3" t="s">
        <v>76</v>
      </c>
      <c r="TRX16" s="3" t="s">
        <v>77</v>
      </c>
      <c r="TRY16" s="3" t="s">
        <v>76</v>
      </c>
      <c r="TRZ16" s="3" t="s">
        <v>77</v>
      </c>
      <c r="TSA16" s="3" t="s">
        <v>76</v>
      </c>
      <c r="TSB16" s="3" t="s">
        <v>77</v>
      </c>
      <c r="TSC16" s="3" t="s">
        <v>76</v>
      </c>
      <c r="TSD16" s="3" t="s">
        <v>77</v>
      </c>
      <c r="TSE16" s="3" t="s">
        <v>76</v>
      </c>
      <c r="TSF16" s="3" t="s">
        <v>77</v>
      </c>
      <c r="TSG16" s="3" t="s">
        <v>76</v>
      </c>
      <c r="TSH16" s="3" t="s">
        <v>77</v>
      </c>
      <c r="TSI16" s="3" t="s">
        <v>76</v>
      </c>
      <c r="TSJ16" s="3" t="s">
        <v>77</v>
      </c>
      <c r="TSK16" s="3" t="s">
        <v>76</v>
      </c>
      <c r="TSL16" s="3" t="s">
        <v>77</v>
      </c>
      <c r="TSM16" s="3" t="s">
        <v>76</v>
      </c>
      <c r="TSN16" s="3" t="s">
        <v>77</v>
      </c>
      <c r="TSO16" s="3" t="s">
        <v>76</v>
      </c>
      <c r="TSP16" s="3" t="s">
        <v>77</v>
      </c>
      <c r="TSQ16" s="3" t="s">
        <v>76</v>
      </c>
      <c r="TSR16" s="3" t="s">
        <v>77</v>
      </c>
      <c r="TSS16" s="3" t="s">
        <v>76</v>
      </c>
      <c r="TST16" s="3" t="s">
        <v>77</v>
      </c>
      <c r="TSU16" s="3" t="s">
        <v>76</v>
      </c>
      <c r="TSV16" s="3" t="s">
        <v>77</v>
      </c>
      <c r="TSW16" s="3" t="s">
        <v>76</v>
      </c>
      <c r="TSX16" s="3" t="s">
        <v>77</v>
      </c>
      <c r="TSY16" s="3" t="s">
        <v>76</v>
      </c>
      <c r="TSZ16" s="3" t="s">
        <v>77</v>
      </c>
      <c r="TTA16" s="3" t="s">
        <v>76</v>
      </c>
      <c r="TTB16" s="3" t="s">
        <v>77</v>
      </c>
      <c r="TTC16" s="3" t="s">
        <v>76</v>
      </c>
      <c r="TTD16" s="3" t="s">
        <v>77</v>
      </c>
      <c r="TTE16" s="3" t="s">
        <v>76</v>
      </c>
      <c r="TTF16" s="3" t="s">
        <v>77</v>
      </c>
      <c r="TTG16" s="3" t="s">
        <v>76</v>
      </c>
      <c r="TTH16" s="3" t="s">
        <v>77</v>
      </c>
      <c r="TTI16" s="3" t="s">
        <v>76</v>
      </c>
      <c r="TTJ16" s="3" t="s">
        <v>77</v>
      </c>
      <c r="TTK16" s="3" t="s">
        <v>76</v>
      </c>
      <c r="TTL16" s="3" t="s">
        <v>77</v>
      </c>
      <c r="TTM16" s="3" t="s">
        <v>76</v>
      </c>
      <c r="TTN16" s="3" t="s">
        <v>77</v>
      </c>
      <c r="TTO16" s="3" t="s">
        <v>76</v>
      </c>
      <c r="TTP16" s="3" t="s">
        <v>77</v>
      </c>
      <c r="TTQ16" s="3" t="s">
        <v>76</v>
      </c>
      <c r="TTR16" s="3" t="s">
        <v>77</v>
      </c>
      <c r="TTS16" s="3" t="s">
        <v>76</v>
      </c>
      <c r="TTT16" s="3" t="s">
        <v>77</v>
      </c>
      <c r="TTU16" s="3" t="s">
        <v>76</v>
      </c>
      <c r="TTV16" s="3" t="s">
        <v>77</v>
      </c>
      <c r="TTW16" s="3" t="s">
        <v>76</v>
      </c>
      <c r="TTX16" s="3" t="s">
        <v>77</v>
      </c>
      <c r="TTY16" s="3" t="s">
        <v>76</v>
      </c>
      <c r="TTZ16" s="3" t="s">
        <v>77</v>
      </c>
      <c r="TUA16" s="3" t="s">
        <v>76</v>
      </c>
      <c r="TUB16" s="3" t="s">
        <v>77</v>
      </c>
      <c r="TUC16" s="3" t="s">
        <v>76</v>
      </c>
      <c r="TUD16" s="3" t="s">
        <v>77</v>
      </c>
      <c r="TUE16" s="3" t="s">
        <v>76</v>
      </c>
      <c r="TUF16" s="3" t="s">
        <v>77</v>
      </c>
      <c r="TUG16" s="3" t="s">
        <v>76</v>
      </c>
      <c r="TUH16" s="3" t="s">
        <v>77</v>
      </c>
      <c r="TUI16" s="3" t="s">
        <v>76</v>
      </c>
      <c r="TUJ16" s="3" t="s">
        <v>77</v>
      </c>
      <c r="TUK16" s="3" t="s">
        <v>76</v>
      </c>
      <c r="TUL16" s="3" t="s">
        <v>77</v>
      </c>
      <c r="TUM16" s="3" t="s">
        <v>76</v>
      </c>
      <c r="TUN16" s="3" t="s">
        <v>77</v>
      </c>
      <c r="TUO16" s="3" t="s">
        <v>76</v>
      </c>
      <c r="TUP16" s="3" t="s">
        <v>77</v>
      </c>
      <c r="TUQ16" s="3" t="s">
        <v>76</v>
      </c>
      <c r="TUR16" s="3" t="s">
        <v>77</v>
      </c>
      <c r="TUS16" s="3" t="s">
        <v>76</v>
      </c>
      <c r="TUT16" s="3" t="s">
        <v>77</v>
      </c>
      <c r="TUU16" s="3" t="s">
        <v>76</v>
      </c>
      <c r="TUV16" s="3" t="s">
        <v>77</v>
      </c>
      <c r="TUW16" s="3" t="s">
        <v>76</v>
      </c>
      <c r="TUX16" s="3" t="s">
        <v>77</v>
      </c>
      <c r="TUY16" s="3" t="s">
        <v>76</v>
      </c>
      <c r="TUZ16" s="3" t="s">
        <v>77</v>
      </c>
      <c r="TVA16" s="3" t="s">
        <v>76</v>
      </c>
      <c r="TVB16" s="3" t="s">
        <v>77</v>
      </c>
      <c r="TVC16" s="3" t="s">
        <v>76</v>
      </c>
      <c r="TVD16" s="3" t="s">
        <v>77</v>
      </c>
      <c r="TVE16" s="3" t="s">
        <v>76</v>
      </c>
      <c r="TVF16" s="3" t="s">
        <v>77</v>
      </c>
      <c r="TVG16" s="3" t="s">
        <v>76</v>
      </c>
      <c r="TVH16" s="3" t="s">
        <v>77</v>
      </c>
      <c r="TVI16" s="3" t="s">
        <v>76</v>
      </c>
      <c r="TVJ16" s="3" t="s">
        <v>77</v>
      </c>
      <c r="TVK16" s="3" t="s">
        <v>76</v>
      </c>
      <c r="TVL16" s="3" t="s">
        <v>77</v>
      </c>
      <c r="TVM16" s="3" t="s">
        <v>76</v>
      </c>
      <c r="TVN16" s="3" t="s">
        <v>77</v>
      </c>
      <c r="TVO16" s="3" t="s">
        <v>76</v>
      </c>
      <c r="TVP16" s="3" t="s">
        <v>77</v>
      </c>
      <c r="TVQ16" s="3" t="s">
        <v>76</v>
      </c>
      <c r="TVR16" s="3" t="s">
        <v>77</v>
      </c>
      <c r="TVS16" s="3" t="s">
        <v>76</v>
      </c>
      <c r="TVT16" s="3" t="s">
        <v>77</v>
      </c>
      <c r="TVU16" s="3" t="s">
        <v>76</v>
      </c>
      <c r="TVV16" s="3" t="s">
        <v>77</v>
      </c>
      <c r="TVW16" s="3" t="s">
        <v>76</v>
      </c>
      <c r="TVX16" s="3" t="s">
        <v>77</v>
      </c>
      <c r="TVY16" s="3" t="s">
        <v>76</v>
      </c>
      <c r="TVZ16" s="3" t="s">
        <v>77</v>
      </c>
      <c r="TWA16" s="3" t="s">
        <v>76</v>
      </c>
      <c r="TWB16" s="3" t="s">
        <v>77</v>
      </c>
      <c r="TWC16" s="3" t="s">
        <v>76</v>
      </c>
      <c r="TWD16" s="3" t="s">
        <v>77</v>
      </c>
      <c r="TWE16" s="3" t="s">
        <v>76</v>
      </c>
      <c r="TWF16" s="3" t="s">
        <v>77</v>
      </c>
      <c r="TWG16" s="3" t="s">
        <v>76</v>
      </c>
      <c r="TWH16" s="3" t="s">
        <v>77</v>
      </c>
      <c r="TWI16" s="3" t="s">
        <v>76</v>
      </c>
      <c r="TWJ16" s="3" t="s">
        <v>77</v>
      </c>
      <c r="TWK16" s="3" t="s">
        <v>76</v>
      </c>
      <c r="TWL16" s="3" t="s">
        <v>77</v>
      </c>
      <c r="TWM16" s="3" t="s">
        <v>76</v>
      </c>
      <c r="TWN16" s="3" t="s">
        <v>77</v>
      </c>
      <c r="TWO16" s="3" t="s">
        <v>76</v>
      </c>
      <c r="TWP16" s="3" t="s">
        <v>77</v>
      </c>
      <c r="TWQ16" s="3" t="s">
        <v>76</v>
      </c>
      <c r="TWR16" s="3" t="s">
        <v>77</v>
      </c>
      <c r="TWS16" s="3" t="s">
        <v>76</v>
      </c>
      <c r="TWT16" s="3" t="s">
        <v>77</v>
      </c>
      <c r="TWU16" s="3" t="s">
        <v>76</v>
      </c>
      <c r="TWV16" s="3" t="s">
        <v>77</v>
      </c>
      <c r="TWW16" s="3" t="s">
        <v>76</v>
      </c>
      <c r="TWX16" s="3" t="s">
        <v>77</v>
      </c>
      <c r="TWY16" s="3" t="s">
        <v>76</v>
      </c>
      <c r="TWZ16" s="3" t="s">
        <v>77</v>
      </c>
      <c r="TXA16" s="3" t="s">
        <v>76</v>
      </c>
      <c r="TXB16" s="3" t="s">
        <v>77</v>
      </c>
      <c r="TXC16" s="3" t="s">
        <v>76</v>
      </c>
      <c r="TXD16" s="3" t="s">
        <v>77</v>
      </c>
      <c r="TXE16" s="3" t="s">
        <v>76</v>
      </c>
      <c r="TXF16" s="3" t="s">
        <v>77</v>
      </c>
      <c r="TXG16" s="3" t="s">
        <v>76</v>
      </c>
      <c r="TXH16" s="3" t="s">
        <v>77</v>
      </c>
      <c r="TXI16" s="3" t="s">
        <v>76</v>
      </c>
      <c r="TXJ16" s="3" t="s">
        <v>77</v>
      </c>
      <c r="TXK16" s="3" t="s">
        <v>76</v>
      </c>
      <c r="TXL16" s="3" t="s">
        <v>77</v>
      </c>
      <c r="TXM16" s="3" t="s">
        <v>76</v>
      </c>
      <c r="TXN16" s="3" t="s">
        <v>77</v>
      </c>
      <c r="TXO16" s="3" t="s">
        <v>76</v>
      </c>
      <c r="TXP16" s="3" t="s">
        <v>77</v>
      </c>
      <c r="TXQ16" s="3" t="s">
        <v>76</v>
      </c>
      <c r="TXR16" s="3" t="s">
        <v>77</v>
      </c>
      <c r="TXS16" s="3" t="s">
        <v>76</v>
      </c>
      <c r="TXT16" s="3" t="s">
        <v>77</v>
      </c>
      <c r="TXU16" s="3" t="s">
        <v>76</v>
      </c>
      <c r="TXV16" s="3" t="s">
        <v>77</v>
      </c>
      <c r="TXW16" s="3" t="s">
        <v>76</v>
      </c>
      <c r="TXX16" s="3" t="s">
        <v>77</v>
      </c>
      <c r="TXY16" s="3" t="s">
        <v>76</v>
      </c>
      <c r="TXZ16" s="3" t="s">
        <v>77</v>
      </c>
      <c r="TYA16" s="3" t="s">
        <v>76</v>
      </c>
      <c r="TYB16" s="3" t="s">
        <v>77</v>
      </c>
      <c r="TYC16" s="3" t="s">
        <v>76</v>
      </c>
      <c r="TYD16" s="3" t="s">
        <v>77</v>
      </c>
      <c r="TYE16" s="3" t="s">
        <v>76</v>
      </c>
      <c r="TYF16" s="3" t="s">
        <v>77</v>
      </c>
      <c r="TYG16" s="3" t="s">
        <v>76</v>
      </c>
      <c r="TYH16" s="3" t="s">
        <v>77</v>
      </c>
      <c r="TYI16" s="3" t="s">
        <v>76</v>
      </c>
      <c r="TYJ16" s="3" t="s">
        <v>77</v>
      </c>
      <c r="TYK16" s="3" t="s">
        <v>76</v>
      </c>
      <c r="TYL16" s="3" t="s">
        <v>77</v>
      </c>
      <c r="TYM16" s="3" t="s">
        <v>76</v>
      </c>
      <c r="TYN16" s="3" t="s">
        <v>77</v>
      </c>
      <c r="TYO16" s="3" t="s">
        <v>76</v>
      </c>
      <c r="TYP16" s="3" t="s">
        <v>77</v>
      </c>
      <c r="TYQ16" s="3" t="s">
        <v>76</v>
      </c>
      <c r="TYR16" s="3" t="s">
        <v>77</v>
      </c>
      <c r="TYS16" s="3" t="s">
        <v>76</v>
      </c>
      <c r="TYT16" s="3" t="s">
        <v>77</v>
      </c>
      <c r="TYU16" s="3" t="s">
        <v>76</v>
      </c>
      <c r="TYV16" s="3" t="s">
        <v>77</v>
      </c>
      <c r="TYW16" s="3" t="s">
        <v>76</v>
      </c>
      <c r="TYX16" s="3" t="s">
        <v>77</v>
      </c>
      <c r="TYY16" s="3" t="s">
        <v>76</v>
      </c>
      <c r="TYZ16" s="3" t="s">
        <v>77</v>
      </c>
      <c r="TZA16" s="3" t="s">
        <v>76</v>
      </c>
      <c r="TZB16" s="3" t="s">
        <v>77</v>
      </c>
      <c r="TZC16" s="3" t="s">
        <v>76</v>
      </c>
      <c r="TZD16" s="3" t="s">
        <v>77</v>
      </c>
      <c r="TZE16" s="3" t="s">
        <v>76</v>
      </c>
      <c r="TZF16" s="3" t="s">
        <v>77</v>
      </c>
      <c r="TZG16" s="3" t="s">
        <v>76</v>
      </c>
      <c r="TZH16" s="3" t="s">
        <v>77</v>
      </c>
      <c r="TZI16" s="3" t="s">
        <v>76</v>
      </c>
      <c r="TZJ16" s="3" t="s">
        <v>77</v>
      </c>
      <c r="TZK16" s="3" t="s">
        <v>76</v>
      </c>
      <c r="TZL16" s="3" t="s">
        <v>77</v>
      </c>
      <c r="TZM16" s="3" t="s">
        <v>76</v>
      </c>
      <c r="TZN16" s="3" t="s">
        <v>77</v>
      </c>
      <c r="TZO16" s="3" t="s">
        <v>76</v>
      </c>
      <c r="TZP16" s="3" t="s">
        <v>77</v>
      </c>
      <c r="TZQ16" s="3" t="s">
        <v>76</v>
      </c>
      <c r="TZR16" s="3" t="s">
        <v>77</v>
      </c>
      <c r="TZS16" s="3" t="s">
        <v>76</v>
      </c>
      <c r="TZT16" s="3" t="s">
        <v>77</v>
      </c>
      <c r="TZU16" s="3" t="s">
        <v>76</v>
      </c>
      <c r="TZV16" s="3" t="s">
        <v>77</v>
      </c>
      <c r="TZW16" s="3" t="s">
        <v>76</v>
      </c>
      <c r="TZX16" s="3" t="s">
        <v>77</v>
      </c>
      <c r="TZY16" s="3" t="s">
        <v>76</v>
      </c>
      <c r="TZZ16" s="3" t="s">
        <v>77</v>
      </c>
      <c r="UAA16" s="3" t="s">
        <v>76</v>
      </c>
      <c r="UAB16" s="3" t="s">
        <v>77</v>
      </c>
      <c r="UAC16" s="3" t="s">
        <v>76</v>
      </c>
      <c r="UAD16" s="3" t="s">
        <v>77</v>
      </c>
      <c r="UAE16" s="3" t="s">
        <v>76</v>
      </c>
      <c r="UAF16" s="3" t="s">
        <v>77</v>
      </c>
      <c r="UAG16" s="3" t="s">
        <v>76</v>
      </c>
      <c r="UAH16" s="3" t="s">
        <v>77</v>
      </c>
      <c r="UAI16" s="3" t="s">
        <v>76</v>
      </c>
      <c r="UAJ16" s="3" t="s">
        <v>77</v>
      </c>
      <c r="UAK16" s="3" t="s">
        <v>76</v>
      </c>
      <c r="UAL16" s="3" t="s">
        <v>77</v>
      </c>
      <c r="UAM16" s="3" t="s">
        <v>76</v>
      </c>
      <c r="UAN16" s="3" t="s">
        <v>77</v>
      </c>
      <c r="UAO16" s="3" t="s">
        <v>76</v>
      </c>
      <c r="UAP16" s="3" t="s">
        <v>77</v>
      </c>
      <c r="UAQ16" s="3" t="s">
        <v>76</v>
      </c>
      <c r="UAR16" s="3" t="s">
        <v>77</v>
      </c>
      <c r="UAS16" s="3" t="s">
        <v>76</v>
      </c>
      <c r="UAT16" s="3" t="s">
        <v>77</v>
      </c>
      <c r="UAU16" s="3" t="s">
        <v>76</v>
      </c>
      <c r="UAV16" s="3" t="s">
        <v>77</v>
      </c>
      <c r="UAW16" s="3" t="s">
        <v>76</v>
      </c>
      <c r="UAX16" s="3" t="s">
        <v>77</v>
      </c>
      <c r="UAY16" s="3" t="s">
        <v>76</v>
      </c>
      <c r="UAZ16" s="3" t="s">
        <v>77</v>
      </c>
      <c r="UBA16" s="3" t="s">
        <v>76</v>
      </c>
      <c r="UBB16" s="3" t="s">
        <v>77</v>
      </c>
      <c r="UBC16" s="3" t="s">
        <v>76</v>
      </c>
      <c r="UBD16" s="3" t="s">
        <v>77</v>
      </c>
      <c r="UBE16" s="3" t="s">
        <v>76</v>
      </c>
      <c r="UBF16" s="3" t="s">
        <v>77</v>
      </c>
      <c r="UBG16" s="3" t="s">
        <v>76</v>
      </c>
      <c r="UBH16" s="3" t="s">
        <v>77</v>
      </c>
      <c r="UBI16" s="3" t="s">
        <v>76</v>
      </c>
      <c r="UBJ16" s="3" t="s">
        <v>77</v>
      </c>
      <c r="UBK16" s="3" t="s">
        <v>76</v>
      </c>
      <c r="UBL16" s="3" t="s">
        <v>77</v>
      </c>
      <c r="UBM16" s="3" t="s">
        <v>76</v>
      </c>
      <c r="UBN16" s="3" t="s">
        <v>77</v>
      </c>
      <c r="UBO16" s="3" t="s">
        <v>76</v>
      </c>
      <c r="UBP16" s="3" t="s">
        <v>77</v>
      </c>
      <c r="UBQ16" s="3" t="s">
        <v>76</v>
      </c>
      <c r="UBR16" s="3" t="s">
        <v>77</v>
      </c>
      <c r="UBS16" s="3" t="s">
        <v>76</v>
      </c>
      <c r="UBT16" s="3" t="s">
        <v>77</v>
      </c>
      <c r="UBU16" s="3" t="s">
        <v>76</v>
      </c>
      <c r="UBV16" s="3" t="s">
        <v>77</v>
      </c>
      <c r="UBW16" s="3" t="s">
        <v>76</v>
      </c>
      <c r="UBX16" s="3" t="s">
        <v>77</v>
      </c>
      <c r="UBY16" s="3" t="s">
        <v>76</v>
      </c>
      <c r="UBZ16" s="3" t="s">
        <v>77</v>
      </c>
      <c r="UCA16" s="3" t="s">
        <v>76</v>
      </c>
      <c r="UCB16" s="3" t="s">
        <v>77</v>
      </c>
      <c r="UCC16" s="3" t="s">
        <v>76</v>
      </c>
      <c r="UCD16" s="3" t="s">
        <v>77</v>
      </c>
      <c r="UCE16" s="3" t="s">
        <v>76</v>
      </c>
      <c r="UCF16" s="3" t="s">
        <v>77</v>
      </c>
      <c r="UCG16" s="3" t="s">
        <v>76</v>
      </c>
      <c r="UCH16" s="3" t="s">
        <v>77</v>
      </c>
      <c r="UCI16" s="3" t="s">
        <v>76</v>
      </c>
      <c r="UCJ16" s="3" t="s">
        <v>77</v>
      </c>
      <c r="UCK16" s="3" t="s">
        <v>76</v>
      </c>
      <c r="UCL16" s="3" t="s">
        <v>77</v>
      </c>
      <c r="UCM16" s="3" t="s">
        <v>76</v>
      </c>
      <c r="UCN16" s="3" t="s">
        <v>77</v>
      </c>
      <c r="UCO16" s="3" t="s">
        <v>76</v>
      </c>
      <c r="UCP16" s="3" t="s">
        <v>77</v>
      </c>
      <c r="UCQ16" s="3" t="s">
        <v>76</v>
      </c>
      <c r="UCR16" s="3" t="s">
        <v>77</v>
      </c>
      <c r="UCS16" s="3" t="s">
        <v>76</v>
      </c>
      <c r="UCT16" s="3" t="s">
        <v>77</v>
      </c>
      <c r="UCU16" s="3" t="s">
        <v>76</v>
      </c>
      <c r="UCV16" s="3" t="s">
        <v>77</v>
      </c>
      <c r="UCW16" s="3" t="s">
        <v>76</v>
      </c>
      <c r="UCX16" s="3" t="s">
        <v>77</v>
      </c>
      <c r="UCY16" s="3" t="s">
        <v>76</v>
      </c>
      <c r="UCZ16" s="3" t="s">
        <v>77</v>
      </c>
      <c r="UDA16" s="3" t="s">
        <v>76</v>
      </c>
      <c r="UDB16" s="3" t="s">
        <v>77</v>
      </c>
      <c r="UDC16" s="3" t="s">
        <v>76</v>
      </c>
      <c r="UDD16" s="3" t="s">
        <v>77</v>
      </c>
      <c r="UDE16" s="3" t="s">
        <v>76</v>
      </c>
      <c r="UDF16" s="3" t="s">
        <v>77</v>
      </c>
      <c r="UDG16" s="3" t="s">
        <v>76</v>
      </c>
      <c r="UDH16" s="3" t="s">
        <v>77</v>
      </c>
      <c r="UDI16" s="3" t="s">
        <v>76</v>
      </c>
      <c r="UDJ16" s="3" t="s">
        <v>77</v>
      </c>
      <c r="UDK16" s="3" t="s">
        <v>76</v>
      </c>
      <c r="UDL16" s="3" t="s">
        <v>77</v>
      </c>
      <c r="UDM16" s="3" t="s">
        <v>76</v>
      </c>
      <c r="UDN16" s="3" t="s">
        <v>77</v>
      </c>
      <c r="UDO16" s="3" t="s">
        <v>76</v>
      </c>
      <c r="UDP16" s="3" t="s">
        <v>77</v>
      </c>
      <c r="UDQ16" s="3" t="s">
        <v>76</v>
      </c>
      <c r="UDR16" s="3" t="s">
        <v>77</v>
      </c>
      <c r="UDS16" s="3" t="s">
        <v>76</v>
      </c>
      <c r="UDT16" s="3" t="s">
        <v>77</v>
      </c>
      <c r="UDU16" s="3" t="s">
        <v>76</v>
      </c>
      <c r="UDV16" s="3" t="s">
        <v>77</v>
      </c>
      <c r="UDW16" s="3" t="s">
        <v>76</v>
      </c>
      <c r="UDX16" s="3" t="s">
        <v>77</v>
      </c>
      <c r="UDY16" s="3" t="s">
        <v>76</v>
      </c>
      <c r="UDZ16" s="3" t="s">
        <v>77</v>
      </c>
      <c r="UEA16" s="3" t="s">
        <v>76</v>
      </c>
      <c r="UEB16" s="3" t="s">
        <v>77</v>
      </c>
      <c r="UEC16" s="3" t="s">
        <v>76</v>
      </c>
      <c r="UED16" s="3" t="s">
        <v>77</v>
      </c>
      <c r="UEE16" s="3" t="s">
        <v>76</v>
      </c>
      <c r="UEF16" s="3" t="s">
        <v>77</v>
      </c>
      <c r="UEG16" s="3" t="s">
        <v>76</v>
      </c>
      <c r="UEH16" s="3" t="s">
        <v>77</v>
      </c>
      <c r="UEI16" s="3" t="s">
        <v>76</v>
      </c>
      <c r="UEJ16" s="3" t="s">
        <v>77</v>
      </c>
      <c r="UEK16" s="3" t="s">
        <v>76</v>
      </c>
      <c r="UEL16" s="3" t="s">
        <v>77</v>
      </c>
      <c r="UEM16" s="3" t="s">
        <v>76</v>
      </c>
      <c r="UEN16" s="3" t="s">
        <v>77</v>
      </c>
      <c r="UEO16" s="3" t="s">
        <v>76</v>
      </c>
      <c r="UEP16" s="3" t="s">
        <v>77</v>
      </c>
      <c r="UEQ16" s="3" t="s">
        <v>76</v>
      </c>
      <c r="UER16" s="3" t="s">
        <v>77</v>
      </c>
      <c r="UES16" s="3" t="s">
        <v>76</v>
      </c>
      <c r="UET16" s="3" t="s">
        <v>77</v>
      </c>
      <c r="UEU16" s="3" t="s">
        <v>76</v>
      </c>
      <c r="UEV16" s="3" t="s">
        <v>77</v>
      </c>
      <c r="UEW16" s="3" t="s">
        <v>76</v>
      </c>
      <c r="UEX16" s="3" t="s">
        <v>77</v>
      </c>
      <c r="UEY16" s="3" t="s">
        <v>76</v>
      </c>
      <c r="UEZ16" s="3" t="s">
        <v>77</v>
      </c>
      <c r="UFA16" s="3" t="s">
        <v>76</v>
      </c>
      <c r="UFB16" s="3" t="s">
        <v>77</v>
      </c>
      <c r="UFC16" s="3" t="s">
        <v>76</v>
      </c>
      <c r="UFD16" s="3" t="s">
        <v>77</v>
      </c>
      <c r="UFE16" s="3" t="s">
        <v>76</v>
      </c>
      <c r="UFF16" s="3" t="s">
        <v>77</v>
      </c>
      <c r="UFG16" s="3" t="s">
        <v>76</v>
      </c>
      <c r="UFH16" s="3" t="s">
        <v>77</v>
      </c>
      <c r="UFI16" s="3" t="s">
        <v>76</v>
      </c>
      <c r="UFJ16" s="3" t="s">
        <v>77</v>
      </c>
      <c r="UFK16" s="3" t="s">
        <v>76</v>
      </c>
      <c r="UFL16" s="3" t="s">
        <v>77</v>
      </c>
      <c r="UFM16" s="3" t="s">
        <v>76</v>
      </c>
      <c r="UFN16" s="3" t="s">
        <v>77</v>
      </c>
      <c r="UFO16" s="3" t="s">
        <v>76</v>
      </c>
      <c r="UFP16" s="3" t="s">
        <v>77</v>
      </c>
      <c r="UFQ16" s="3" t="s">
        <v>76</v>
      </c>
      <c r="UFR16" s="3" t="s">
        <v>77</v>
      </c>
      <c r="UFS16" s="3" t="s">
        <v>76</v>
      </c>
      <c r="UFT16" s="3" t="s">
        <v>77</v>
      </c>
      <c r="UFU16" s="3" t="s">
        <v>76</v>
      </c>
      <c r="UFV16" s="3" t="s">
        <v>77</v>
      </c>
      <c r="UFW16" s="3" t="s">
        <v>76</v>
      </c>
      <c r="UFX16" s="3" t="s">
        <v>77</v>
      </c>
      <c r="UFY16" s="3" t="s">
        <v>76</v>
      </c>
      <c r="UFZ16" s="3" t="s">
        <v>77</v>
      </c>
      <c r="UGA16" s="3" t="s">
        <v>76</v>
      </c>
      <c r="UGB16" s="3" t="s">
        <v>77</v>
      </c>
      <c r="UGC16" s="3" t="s">
        <v>76</v>
      </c>
      <c r="UGD16" s="3" t="s">
        <v>77</v>
      </c>
      <c r="UGE16" s="3" t="s">
        <v>76</v>
      </c>
      <c r="UGF16" s="3" t="s">
        <v>77</v>
      </c>
      <c r="UGG16" s="3" t="s">
        <v>76</v>
      </c>
      <c r="UGH16" s="3" t="s">
        <v>77</v>
      </c>
      <c r="UGI16" s="3" t="s">
        <v>76</v>
      </c>
      <c r="UGJ16" s="3" t="s">
        <v>77</v>
      </c>
      <c r="UGK16" s="3" t="s">
        <v>76</v>
      </c>
      <c r="UGL16" s="3" t="s">
        <v>77</v>
      </c>
      <c r="UGM16" s="3" t="s">
        <v>76</v>
      </c>
      <c r="UGN16" s="3" t="s">
        <v>77</v>
      </c>
      <c r="UGO16" s="3" t="s">
        <v>76</v>
      </c>
      <c r="UGP16" s="3" t="s">
        <v>77</v>
      </c>
      <c r="UGQ16" s="3" t="s">
        <v>76</v>
      </c>
      <c r="UGR16" s="3" t="s">
        <v>77</v>
      </c>
      <c r="UGS16" s="3" t="s">
        <v>76</v>
      </c>
      <c r="UGT16" s="3" t="s">
        <v>77</v>
      </c>
      <c r="UGU16" s="3" t="s">
        <v>76</v>
      </c>
      <c r="UGV16" s="3" t="s">
        <v>77</v>
      </c>
      <c r="UGW16" s="3" t="s">
        <v>76</v>
      </c>
      <c r="UGX16" s="3" t="s">
        <v>77</v>
      </c>
      <c r="UGY16" s="3" t="s">
        <v>76</v>
      </c>
      <c r="UGZ16" s="3" t="s">
        <v>77</v>
      </c>
      <c r="UHA16" s="3" t="s">
        <v>76</v>
      </c>
      <c r="UHB16" s="3" t="s">
        <v>77</v>
      </c>
      <c r="UHC16" s="3" t="s">
        <v>76</v>
      </c>
      <c r="UHD16" s="3" t="s">
        <v>77</v>
      </c>
      <c r="UHE16" s="3" t="s">
        <v>76</v>
      </c>
      <c r="UHF16" s="3" t="s">
        <v>77</v>
      </c>
      <c r="UHG16" s="3" t="s">
        <v>76</v>
      </c>
      <c r="UHH16" s="3" t="s">
        <v>77</v>
      </c>
      <c r="UHI16" s="3" t="s">
        <v>76</v>
      </c>
      <c r="UHJ16" s="3" t="s">
        <v>77</v>
      </c>
      <c r="UHK16" s="3" t="s">
        <v>76</v>
      </c>
      <c r="UHL16" s="3" t="s">
        <v>77</v>
      </c>
      <c r="UHM16" s="3" t="s">
        <v>76</v>
      </c>
      <c r="UHN16" s="3" t="s">
        <v>77</v>
      </c>
      <c r="UHO16" s="3" t="s">
        <v>76</v>
      </c>
      <c r="UHP16" s="3" t="s">
        <v>77</v>
      </c>
      <c r="UHQ16" s="3" t="s">
        <v>76</v>
      </c>
      <c r="UHR16" s="3" t="s">
        <v>77</v>
      </c>
      <c r="UHS16" s="3" t="s">
        <v>76</v>
      </c>
      <c r="UHT16" s="3" t="s">
        <v>77</v>
      </c>
      <c r="UHU16" s="3" t="s">
        <v>76</v>
      </c>
      <c r="UHV16" s="3" t="s">
        <v>77</v>
      </c>
      <c r="UHW16" s="3" t="s">
        <v>76</v>
      </c>
      <c r="UHX16" s="3" t="s">
        <v>77</v>
      </c>
      <c r="UHY16" s="3" t="s">
        <v>76</v>
      </c>
      <c r="UHZ16" s="3" t="s">
        <v>77</v>
      </c>
      <c r="UIA16" s="3" t="s">
        <v>76</v>
      </c>
      <c r="UIB16" s="3" t="s">
        <v>77</v>
      </c>
      <c r="UIC16" s="3" t="s">
        <v>76</v>
      </c>
      <c r="UID16" s="3" t="s">
        <v>77</v>
      </c>
      <c r="UIE16" s="3" t="s">
        <v>76</v>
      </c>
      <c r="UIF16" s="3" t="s">
        <v>77</v>
      </c>
      <c r="UIG16" s="3" t="s">
        <v>76</v>
      </c>
      <c r="UIH16" s="3" t="s">
        <v>77</v>
      </c>
      <c r="UII16" s="3" t="s">
        <v>76</v>
      </c>
      <c r="UIJ16" s="3" t="s">
        <v>77</v>
      </c>
      <c r="UIK16" s="3" t="s">
        <v>76</v>
      </c>
      <c r="UIL16" s="3" t="s">
        <v>77</v>
      </c>
      <c r="UIM16" s="3" t="s">
        <v>76</v>
      </c>
      <c r="UIN16" s="3" t="s">
        <v>77</v>
      </c>
      <c r="UIO16" s="3" t="s">
        <v>76</v>
      </c>
      <c r="UIP16" s="3" t="s">
        <v>77</v>
      </c>
      <c r="UIQ16" s="3" t="s">
        <v>76</v>
      </c>
      <c r="UIR16" s="3" t="s">
        <v>77</v>
      </c>
      <c r="UIS16" s="3" t="s">
        <v>76</v>
      </c>
      <c r="UIT16" s="3" t="s">
        <v>77</v>
      </c>
      <c r="UIU16" s="3" t="s">
        <v>76</v>
      </c>
      <c r="UIV16" s="3" t="s">
        <v>77</v>
      </c>
      <c r="UIW16" s="3" t="s">
        <v>76</v>
      </c>
      <c r="UIX16" s="3" t="s">
        <v>77</v>
      </c>
      <c r="UIY16" s="3" t="s">
        <v>76</v>
      </c>
      <c r="UIZ16" s="3" t="s">
        <v>77</v>
      </c>
      <c r="UJA16" s="3" t="s">
        <v>76</v>
      </c>
      <c r="UJB16" s="3" t="s">
        <v>77</v>
      </c>
      <c r="UJC16" s="3" t="s">
        <v>76</v>
      </c>
      <c r="UJD16" s="3" t="s">
        <v>77</v>
      </c>
      <c r="UJE16" s="3" t="s">
        <v>76</v>
      </c>
      <c r="UJF16" s="3" t="s">
        <v>77</v>
      </c>
      <c r="UJG16" s="3" t="s">
        <v>76</v>
      </c>
      <c r="UJH16" s="3" t="s">
        <v>77</v>
      </c>
      <c r="UJI16" s="3" t="s">
        <v>76</v>
      </c>
      <c r="UJJ16" s="3" t="s">
        <v>77</v>
      </c>
      <c r="UJK16" s="3" t="s">
        <v>76</v>
      </c>
      <c r="UJL16" s="3" t="s">
        <v>77</v>
      </c>
      <c r="UJM16" s="3" t="s">
        <v>76</v>
      </c>
      <c r="UJN16" s="3" t="s">
        <v>77</v>
      </c>
      <c r="UJO16" s="3" t="s">
        <v>76</v>
      </c>
      <c r="UJP16" s="3" t="s">
        <v>77</v>
      </c>
      <c r="UJQ16" s="3" t="s">
        <v>76</v>
      </c>
      <c r="UJR16" s="3" t="s">
        <v>77</v>
      </c>
      <c r="UJS16" s="3" t="s">
        <v>76</v>
      </c>
      <c r="UJT16" s="3" t="s">
        <v>77</v>
      </c>
      <c r="UJU16" s="3" t="s">
        <v>76</v>
      </c>
      <c r="UJV16" s="3" t="s">
        <v>77</v>
      </c>
      <c r="UJW16" s="3" t="s">
        <v>76</v>
      </c>
      <c r="UJX16" s="3" t="s">
        <v>77</v>
      </c>
      <c r="UJY16" s="3" t="s">
        <v>76</v>
      </c>
      <c r="UJZ16" s="3" t="s">
        <v>77</v>
      </c>
      <c r="UKA16" s="3" t="s">
        <v>76</v>
      </c>
      <c r="UKB16" s="3" t="s">
        <v>77</v>
      </c>
      <c r="UKC16" s="3" t="s">
        <v>76</v>
      </c>
      <c r="UKD16" s="3" t="s">
        <v>77</v>
      </c>
      <c r="UKE16" s="3" t="s">
        <v>76</v>
      </c>
      <c r="UKF16" s="3" t="s">
        <v>77</v>
      </c>
      <c r="UKG16" s="3" t="s">
        <v>76</v>
      </c>
      <c r="UKH16" s="3" t="s">
        <v>77</v>
      </c>
      <c r="UKI16" s="3" t="s">
        <v>76</v>
      </c>
      <c r="UKJ16" s="3" t="s">
        <v>77</v>
      </c>
      <c r="UKK16" s="3" t="s">
        <v>76</v>
      </c>
      <c r="UKL16" s="3" t="s">
        <v>77</v>
      </c>
      <c r="UKM16" s="3" t="s">
        <v>76</v>
      </c>
      <c r="UKN16" s="3" t="s">
        <v>77</v>
      </c>
      <c r="UKO16" s="3" t="s">
        <v>76</v>
      </c>
      <c r="UKP16" s="3" t="s">
        <v>77</v>
      </c>
      <c r="UKQ16" s="3" t="s">
        <v>76</v>
      </c>
      <c r="UKR16" s="3" t="s">
        <v>77</v>
      </c>
      <c r="UKS16" s="3" t="s">
        <v>76</v>
      </c>
      <c r="UKT16" s="3" t="s">
        <v>77</v>
      </c>
      <c r="UKU16" s="3" t="s">
        <v>76</v>
      </c>
      <c r="UKV16" s="3" t="s">
        <v>77</v>
      </c>
      <c r="UKW16" s="3" t="s">
        <v>76</v>
      </c>
      <c r="UKX16" s="3" t="s">
        <v>77</v>
      </c>
      <c r="UKY16" s="3" t="s">
        <v>76</v>
      </c>
      <c r="UKZ16" s="3" t="s">
        <v>77</v>
      </c>
      <c r="ULA16" s="3" t="s">
        <v>76</v>
      </c>
      <c r="ULB16" s="3" t="s">
        <v>77</v>
      </c>
      <c r="ULC16" s="3" t="s">
        <v>76</v>
      </c>
      <c r="ULD16" s="3" t="s">
        <v>77</v>
      </c>
      <c r="ULE16" s="3" t="s">
        <v>76</v>
      </c>
      <c r="ULF16" s="3" t="s">
        <v>77</v>
      </c>
      <c r="ULG16" s="3" t="s">
        <v>76</v>
      </c>
      <c r="ULH16" s="3" t="s">
        <v>77</v>
      </c>
      <c r="ULI16" s="3" t="s">
        <v>76</v>
      </c>
      <c r="ULJ16" s="3" t="s">
        <v>77</v>
      </c>
      <c r="ULK16" s="3" t="s">
        <v>76</v>
      </c>
      <c r="ULL16" s="3" t="s">
        <v>77</v>
      </c>
      <c r="ULM16" s="3" t="s">
        <v>76</v>
      </c>
      <c r="ULN16" s="3" t="s">
        <v>77</v>
      </c>
      <c r="ULO16" s="3" t="s">
        <v>76</v>
      </c>
      <c r="ULP16" s="3" t="s">
        <v>77</v>
      </c>
      <c r="ULQ16" s="3" t="s">
        <v>76</v>
      </c>
      <c r="ULR16" s="3" t="s">
        <v>77</v>
      </c>
      <c r="ULS16" s="3" t="s">
        <v>76</v>
      </c>
      <c r="ULT16" s="3" t="s">
        <v>77</v>
      </c>
      <c r="ULU16" s="3" t="s">
        <v>76</v>
      </c>
      <c r="ULV16" s="3" t="s">
        <v>77</v>
      </c>
      <c r="ULW16" s="3" t="s">
        <v>76</v>
      </c>
      <c r="ULX16" s="3" t="s">
        <v>77</v>
      </c>
      <c r="ULY16" s="3" t="s">
        <v>76</v>
      </c>
      <c r="ULZ16" s="3" t="s">
        <v>77</v>
      </c>
      <c r="UMA16" s="3" t="s">
        <v>76</v>
      </c>
      <c r="UMB16" s="3" t="s">
        <v>77</v>
      </c>
      <c r="UMC16" s="3" t="s">
        <v>76</v>
      </c>
      <c r="UMD16" s="3" t="s">
        <v>77</v>
      </c>
      <c r="UME16" s="3" t="s">
        <v>76</v>
      </c>
      <c r="UMF16" s="3" t="s">
        <v>77</v>
      </c>
      <c r="UMG16" s="3" t="s">
        <v>76</v>
      </c>
      <c r="UMH16" s="3" t="s">
        <v>77</v>
      </c>
      <c r="UMI16" s="3" t="s">
        <v>76</v>
      </c>
      <c r="UMJ16" s="3" t="s">
        <v>77</v>
      </c>
      <c r="UMK16" s="3" t="s">
        <v>76</v>
      </c>
      <c r="UML16" s="3" t="s">
        <v>77</v>
      </c>
      <c r="UMM16" s="3" t="s">
        <v>76</v>
      </c>
      <c r="UMN16" s="3" t="s">
        <v>77</v>
      </c>
      <c r="UMO16" s="3" t="s">
        <v>76</v>
      </c>
      <c r="UMP16" s="3" t="s">
        <v>77</v>
      </c>
      <c r="UMQ16" s="3" t="s">
        <v>76</v>
      </c>
      <c r="UMR16" s="3" t="s">
        <v>77</v>
      </c>
      <c r="UMS16" s="3" t="s">
        <v>76</v>
      </c>
      <c r="UMT16" s="3" t="s">
        <v>77</v>
      </c>
      <c r="UMU16" s="3" t="s">
        <v>76</v>
      </c>
      <c r="UMV16" s="3" t="s">
        <v>77</v>
      </c>
      <c r="UMW16" s="3" t="s">
        <v>76</v>
      </c>
      <c r="UMX16" s="3" t="s">
        <v>77</v>
      </c>
      <c r="UMY16" s="3" t="s">
        <v>76</v>
      </c>
      <c r="UMZ16" s="3" t="s">
        <v>77</v>
      </c>
      <c r="UNA16" s="3" t="s">
        <v>76</v>
      </c>
      <c r="UNB16" s="3" t="s">
        <v>77</v>
      </c>
      <c r="UNC16" s="3" t="s">
        <v>76</v>
      </c>
      <c r="UND16" s="3" t="s">
        <v>77</v>
      </c>
      <c r="UNE16" s="3" t="s">
        <v>76</v>
      </c>
      <c r="UNF16" s="3" t="s">
        <v>77</v>
      </c>
      <c r="UNG16" s="3" t="s">
        <v>76</v>
      </c>
      <c r="UNH16" s="3" t="s">
        <v>77</v>
      </c>
      <c r="UNI16" s="3" t="s">
        <v>76</v>
      </c>
      <c r="UNJ16" s="3" t="s">
        <v>77</v>
      </c>
      <c r="UNK16" s="3" t="s">
        <v>76</v>
      </c>
      <c r="UNL16" s="3" t="s">
        <v>77</v>
      </c>
      <c r="UNM16" s="3" t="s">
        <v>76</v>
      </c>
      <c r="UNN16" s="3" t="s">
        <v>77</v>
      </c>
      <c r="UNO16" s="3" t="s">
        <v>76</v>
      </c>
      <c r="UNP16" s="3" t="s">
        <v>77</v>
      </c>
      <c r="UNQ16" s="3" t="s">
        <v>76</v>
      </c>
      <c r="UNR16" s="3" t="s">
        <v>77</v>
      </c>
      <c r="UNS16" s="3" t="s">
        <v>76</v>
      </c>
      <c r="UNT16" s="3" t="s">
        <v>77</v>
      </c>
      <c r="UNU16" s="3" t="s">
        <v>76</v>
      </c>
      <c r="UNV16" s="3" t="s">
        <v>77</v>
      </c>
      <c r="UNW16" s="3" t="s">
        <v>76</v>
      </c>
      <c r="UNX16" s="3" t="s">
        <v>77</v>
      </c>
      <c r="UNY16" s="3" t="s">
        <v>76</v>
      </c>
      <c r="UNZ16" s="3" t="s">
        <v>77</v>
      </c>
      <c r="UOA16" s="3" t="s">
        <v>76</v>
      </c>
      <c r="UOB16" s="3" t="s">
        <v>77</v>
      </c>
      <c r="UOC16" s="3" t="s">
        <v>76</v>
      </c>
      <c r="UOD16" s="3" t="s">
        <v>77</v>
      </c>
      <c r="UOE16" s="3" t="s">
        <v>76</v>
      </c>
      <c r="UOF16" s="3" t="s">
        <v>77</v>
      </c>
      <c r="UOG16" s="3" t="s">
        <v>76</v>
      </c>
      <c r="UOH16" s="3" t="s">
        <v>77</v>
      </c>
      <c r="UOI16" s="3" t="s">
        <v>76</v>
      </c>
      <c r="UOJ16" s="3" t="s">
        <v>77</v>
      </c>
      <c r="UOK16" s="3" t="s">
        <v>76</v>
      </c>
      <c r="UOL16" s="3" t="s">
        <v>77</v>
      </c>
      <c r="UOM16" s="3" t="s">
        <v>76</v>
      </c>
      <c r="UON16" s="3" t="s">
        <v>77</v>
      </c>
      <c r="UOO16" s="3" t="s">
        <v>76</v>
      </c>
      <c r="UOP16" s="3" t="s">
        <v>77</v>
      </c>
      <c r="UOQ16" s="3" t="s">
        <v>76</v>
      </c>
      <c r="UOR16" s="3" t="s">
        <v>77</v>
      </c>
      <c r="UOS16" s="3" t="s">
        <v>76</v>
      </c>
      <c r="UOT16" s="3" t="s">
        <v>77</v>
      </c>
      <c r="UOU16" s="3" t="s">
        <v>76</v>
      </c>
      <c r="UOV16" s="3" t="s">
        <v>77</v>
      </c>
      <c r="UOW16" s="3" t="s">
        <v>76</v>
      </c>
      <c r="UOX16" s="3" t="s">
        <v>77</v>
      </c>
      <c r="UOY16" s="3" t="s">
        <v>76</v>
      </c>
      <c r="UOZ16" s="3" t="s">
        <v>77</v>
      </c>
      <c r="UPA16" s="3" t="s">
        <v>76</v>
      </c>
      <c r="UPB16" s="3" t="s">
        <v>77</v>
      </c>
      <c r="UPC16" s="3" t="s">
        <v>76</v>
      </c>
      <c r="UPD16" s="3" t="s">
        <v>77</v>
      </c>
      <c r="UPE16" s="3" t="s">
        <v>76</v>
      </c>
      <c r="UPF16" s="3" t="s">
        <v>77</v>
      </c>
      <c r="UPG16" s="3" t="s">
        <v>76</v>
      </c>
      <c r="UPH16" s="3" t="s">
        <v>77</v>
      </c>
      <c r="UPI16" s="3" t="s">
        <v>76</v>
      </c>
      <c r="UPJ16" s="3" t="s">
        <v>77</v>
      </c>
      <c r="UPK16" s="3" t="s">
        <v>76</v>
      </c>
      <c r="UPL16" s="3" t="s">
        <v>77</v>
      </c>
      <c r="UPM16" s="3" t="s">
        <v>76</v>
      </c>
      <c r="UPN16" s="3" t="s">
        <v>77</v>
      </c>
      <c r="UPO16" s="3" t="s">
        <v>76</v>
      </c>
      <c r="UPP16" s="3" t="s">
        <v>77</v>
      </c>
      <c r="UPQ16" s="3" t="s">
        <v>76</v>
      </c>
      <c r="UPR16" s="3" t="s">
        <v>77</v>
      </c>
      <c r="UPS16" s="3" t="s">
        <v>76</v>
      </c>
      <c r="UPT16" s="3" t="s">
        <v>77</v>
      </c>
      <c r="UPU16" s="3" t="s">
        <v>76</v>
      </c>
      <c r="UPV16" s="3" t="s">
        <v>77</v>
      </c>
      <c r="UPW16" s="3" t="s">
        <v>76</v>
      </c>
      <c r="UPX16" s="3" t="s">
        <v>77</v>
      </c>
      <c r="UPY16" s="3" t="s">
        <v>76</v>
      </c>
      <c r="UPZ16" s="3" t="s">
        <v>77</v>
      </c>
      <c r="UQA16" s="3" t="s">
        <v>76</v>
      </c>
      <c r="UQB16" s="3" t="s">
        <v>77</v>
      </c>
      <c r="UQC16" s="3" t="s">
        <v>76</v>
      </c>
      <c r="UQD16" s="3" t="s">
        <v>77</v>
      </c>
      <c r="UQE16" s="3" t="s">
        <v>76</v>
      </c>
      <c r="UQF16" s="3" t="s">
        <v>77</v>
      </c>
      <c r="UQG16" s="3" t="s">
        <v>76</v>
      </c>
      <c r="UQH16" s="3" t="s">
        <v>77</v>
      </c>
      <c r="UQI16" s="3" t="s">
        <v>76</v>
      </c>
      <c r="UQJ16" s="3" t="s">
        <v>77</v>
      </c>
      <c r="UQK16" s="3" t="s">
        <v>76</v>
      </c>
      <c r="UQL16" s="3" t="s">
        <v>77</v>
      </c>
      <c r="UQM16" s="3" t="s">
        <v>76</v>
      </c>
      <c r="UQN16" s="3" t="s">
        <v>77</v>
      </c>
      <c r="UQO16" s="3" t="s">
        <v>76</v>
      </c>
      <c r="UQP16" s="3" t="s">
        <v>77</v>
      </c>
      <c r="UQQ16" s="3" t="s">
        <v>76</v>
      </c>
      <c r="UQR16" s="3" t="s">
        <v>77</v>
      </c>
      <c r="UQS16" s="3" t="s">
        <v>76</v>
      </c>
      <c r="UQT16" s="3" t="s">
        <v>77</v>
      </c>
      <c r="UQU16" s="3" t="s">
        <v>76</v>
      </c>
      <c r="UQV16" s="3" t="s">
        <v>77</v>
      </c>
      <c r="UQW16" s="3" t="s">
        <v>76</v>
      </c>
      <c r="UQX16" s="3" t="s">
        <v>77</v>
      </c>
      <c r="UQY16" s="3" t="s">
        <v>76</v>
      </c>
      <c r="UQZ16" s="3" t="s">
        <v>77</v>
      </c>
      <c r="URA16" s="3" t="s">
        <v>76</v>
      </c>
      <c r="URB16" s="3" t="s">
        <v>77</v>
      </c>
      <c r="URC16" s="3" t="s">
        <v>76</v>
      </c>
      <c r="URD16" s="3" t="s">
        <v>77</v>
      </c>
      <c r="URE16" s="3" t="s">
        <v>76</v>
      </c>
      <c r="URF16" s="3" t="s">
        <v>77</v>
      </c>
      <c r="URG16" s="3" t="s">
        <v>76</v>
      </c>
      <c r="URH16" s="3" t="s">
        <v>77</v>
      </c>
      <c r="URI16" s="3" t="s">
        <v>76</v>
      </c>
      <c r="URJ16" s="3" t="s">
        <v>77</v>
      </c>
      <c r="URK16" s="3" t="s">
        <v>76</v>
      </c>
      <c r="URL16" s="3" t="s">
        <v>77</v>
      </c>
      <c r="URM16" s="3" t="s">
        <v>76</v>
      </c>
      <c r="URN16" s="3" t="s">
        <v>77</v>
      </c>
      <c r="URO16" s="3" t="s">
        <v>76</v>
      </c>
      <c r="URP16" s="3" t="s">
        <v>77</v>
      </c>
      <c r="URQ16" s="3" t="s">
        <v>76</v>
      </c>
      <c r="URR16" s="3" t="s">
        <v>77</v>
      </c>
      <c r="URS16" s="3" t="s">
        <v>76</v>
      </c>
      <c r="URT16" s="3" t="s">
        <v>77</v>
      </c>
      <c r="URU16" s="3" t="s">
        <v>76</v>
      </c>
      <c r="URV16" s="3" t="s">
        <v>77</v>
      </c>
      <c r="URW16" s="3" t="s">
        <v>76</v>
      </c>
      <c r="URX16" s="3" t="s">
        <v>77</v>
      </c>
      <c r="URY16" s="3" t="s">
        <v>76</v>
      </c>
      <c r="URZ16" s="3" t="s">
        <v>77</v>
      </c>
      <c r="USA16" s="3" t="s">
        <v>76</v>
      </c>
      <c r="USB16" s="3" t="s">
        <v>77</v>
      </c>
      <c r="USC16" s="3" t="s">
        <v>76</v>
      </c>
      <c r="USD16" s="3" t="s">
        <v>77</v>
      </c>
      <c r="USE16" s="3" t="s">
        <v>76</v>
      </c>
      <c r="USF16" s="3" t="s">
        <v>77</v>
      </c>
      <c r="USG16" s="3" t="s">
        <v>76</v>
      </c>
      <c r="USH16" s="3" t="s">
        <v>77</v>
      </c>
      <c r="USI16" s="3" t="s">
        <v>76</v>
      </c>
      <c r="USJ16" s="3" t="s">
        <v>77</v>
      </c>
      <c r="USK16" s="3" t="s">
        <v>76</v>
      </c>
      <c r="USL16" s="3" t="s">
        <v>77</v>
      </c>
      <c r="USM16" s="3" t="s">
        <v>76</v>
      </c>
      <c r="USN16" s="3" t="s">
        <v>77</v>
      </c>
      <c r="USO16" s="3" t="s">
        <v>76</v>
      </c>
      <c r="USP16" s="3" t="s">
        <v>77</v>
      </c>
      <c r="USQ16" s="3" t="s">
        <v>76</v>
      </c>
      <c r="USR16" s="3" t="s">
        <v>77</v>
      </c>
      <c r="USS16" s="3" t="s">
        <v>76</v>
      </c>
      <c r="UST16" s="3" t="s">
        <v>77</v>
      </c>
      <c r="USU16" s="3" t="s">
        <v>76</v>
      </c>
      <c r="USV16" s="3" t="s">
        <v>77</v>
      </c>
      <c r="USW16" s="3" t="s">
        <v>76</v>
      </c>
      <c r="USX16" s="3" t="s">
        <v>77</v>
      </c>
      <c r="USY16" s="3" t="s">
        <v>76</v>
      </c>
      <c r="USZ16" s="3" t="s">
        <v>77</v>
      </c>
      <c r="UTA16" s="3" t="s">
        <v>76</v>
      </c>
      <c r="UTB16" s="3" t="s">
        <v>77</v>
      </c>
      <c r="UTC16" s="3" t="s">
        <v>76</v>
      </c>
      <c r="UTD16" s="3" t="s">
        <v>77</v>
      </c>
      <c r="UTE16" s="3" t="s">
        <v>76</v>
      </c>
      <c r="UTF16" s="3" t="s">
        <v>77</v>
      </c>
      <c r="UTG16" s="3" t="s">
        <v>76</v>
      </c>
      <c r="UTH16" s="3" t="s">
        <v>77</v>
      </c>
      <c r="UTI16" s="3" t="s">
        <v>76</v>
      </c>
      <c r="UTJ16" s="3" t="s">
        <v>77</v>
      </c>
      <c r="UTK16" s="3" t="s">
        <v>76</v>
      </c>
      <c r="UTL16" s="3" t="s">
        <v>77</v>
      </c>
      <c r="UTM16" s="3" t="s">
        <v>76</v>
      </c>
      <c r="UTN16" s="3" t="s">
        <v>77</v>
      </c>
      <c r="UTO16" s="3" t="s">
        <v>76</v>
      </c>
      <c r="UTP16" s="3" t="s">
        <v>77</v>
      </c>
      <c r="UTQ16" s="3" t="s">
        <v>76</v>
      </c>
      <c r="UTR16" s="3" t="s">
        <v>77</v>
      </c>
      <c r="UTS16" s="3" t="s">
        <v>76</v>
      </c>
      <c r="UTT16" s="3" t="s">
        <v>77</v>
      </c>
      <c r="UTU16" s="3" t="s">
        <v>76</v>
      </c>
      <c r="UTV16" s="3" t="s">
        <v>77</v>
      </c>
      <c r="UTW16" s="3" t="s">
        <v>76</v>
      </c>
      <c r="UTX16" s="3" t="s">
        <v>77</v>
      </c>
      <c r="UTY16" s="3" t="s">
        <v>76</v>
      </c>
      <c r="UTZ16" s="3" t="s">
        <v>77</v>
      </c>
      <c r="UUA16" s="3" t="s">
        <v>76</v>
      </c>
      <c r="UUB16" s="3" t="s">
        <v>77</v>
      </c>
      <c r="UUC16" s="3" t="s">
        <v>76</v>
      </c>
      <c r="UUD16" s="3" t="s">
        <v>77</v>
      </c>
      <c r="UUE16" s="3" t="s">
        <v>76</v>
      </c>
      <c r="UUF16" s="3" t="s">
        <v>77</v>
      </c>
      <c r="UUG16" s="3" t="s">
        <v>76</v>
      </c>
      <c r="UUH16" s="3" t="s">
        <v>77</v>
      </c>
      <c r="UUI16" s="3" t="s">
        <v>76</v>
      </c>
      <c r="UUJ16" s="3" t="s">
        <v>77</v>
      </c>
      <c r="UUK16" s="3" t="s">
        <v>76</v>
      </c>
      <c r="UUL16" s="3" t="s">
        <v>77</v>
      </c>
      <c r="UUM16" s="3" t="s">
        <v>76</v>
      </c>
      <c r="UUN16" s="3" t="s">
        <v>77</v>
      </c>
      <c r="UUO16" s="3" t="s">
        <v>76</v>
      </c>
      <c r="UUP16" s="3" t="s">
        <v>77</v>
      </c>
      <c r="UUQ16" s="3" t="s">
        <v>76</v>
      </c>
      <c r="UUR16" s="3" t="s">
        <v>77</v>
      </c>
      <c r="UUS16" s="3" t="s">
        <v>76</v>
      </c>
      <c r="UUT16" s="3" t="s">
        <v>77</v>
      </c>
      <c r="UUU16" s="3" t="s">
        <v>76</v>
      </c>
      <c r="UUV16" s="3" t="s">
        <v>77</v>
      </c>
      <c r="UUW16" s="3" t="s">
        <v>76</v>
      </c>
      <c r="UUX16" s="3" t="s">
        <v>77</v>
      </c>
      <c r="UUY16" s="3" t="s">
        <v>76</v>
      </c>
      <c r="UUZ16" s="3" t="s">
        <v>77</v>
      </c>
      <c r="UVA16" s="3" t="s">
        <v>76</v>
      </c>
      <c r="UVB16" s="3" t="s">
        <v>77</v>
      </c>
      <c r="UVC16" s="3" t="s">
        <v>76</v>
      </c>
      <c r="UVD16" s="3" t="s">
        <v>77</v>
      </c>
      <c r="UVE16" s="3" t="s">
        <v>76</v>
      </c>
      <c r="UVF16" s="3" t="s">
        <v>77</v>
      </c>
      <c r="UVG16" s="3" t="s">
        <v>76</v>
      </c>
      <c r="UVH16" s="3" t="s">
        <v>77</v>
      </c>
      <c r="UVI16" s="3" t="s">
        <v>76</v>
      </c>
      <c r="UVJ16" s="3" t="s">
        <v>77</v>
      </c>
      <c r="UVK16" s="3" t="s">
        <v>76</v>
      </c>
      <c r="UVL16" s="3" t="s">
        <v>77</v>
      </c>
      <c r="UVM16" s="3" t="s">
        <v>76</v>
      </c>
      <c r="UVN16" s="3" t="s">
        <v>77</v>
      </c>
      <c r="UVO16" s="3" t="s">
        <v>76</v>
      </c>
      <c r="UVP16" s="3" t="s">
        <v>77</v>
      </c>
      <c r="UVQ16" s="3" t="s">
        <v>76</v>
      </c>
      <c r="UVR16" s="3" t="s">
        <v>77</v>
      </c>
      <c r="UVS16" s="3" t="s">
        <v>76</v>
      </c>
      <c r="UVT16" s="3" t="s">
        <v>77</v>
      </c>
      <c r="UVU16" s="3" t="s">
        <v>76</v>
      </c>
      <c r="UVV16" s="3" t="s">
        <v>77</v>
      </c>
      <c r="UVW16" s="3" t="s">
        <v>76</v>
      </c>
      <c r="UVX16" s="3" t="s">
        <v>77</v>
      </c>
      <c r="UVY16" s="3" t="s">
        <v>76</v>
      </c>
      <c r="UVZ16" s="3" t="s">
        <v>77</v>
      </c>
      <c r="UWA16" s="3" t="s">
        <v>76</v>
      </c>
      <c r="UWB16" s="3" t="s">
        <v>77</v>
      </c>
      <c r="UWC16" s="3" t="s">
        <v>76</v>
      </c>
      <c r="UWD16" s="3" t="s">
        <v>77</v>
      </c>
      <c r="UWE16" s="3" t="s">
        <v>76</v>
      </c>
      <c r="UWF16" s="3" t="s">
        <v>77</v>
      </c>
      <c r="UWG16" s="3" t="s">
        <v>76</v>
      </c>
      <c r="UWH16" s="3" t="s">
        <v>77</v>
      </c>
      <c r="UWI16" s="3" t="s">
        <v>76</v>
      </c>
      <c r="UWJ16" s="3" t="s">
        <v>77</v>
      </c>
      <c r="UWK16" s="3" t="s">
        <v>76</v>
      </c>
      <c r="UWL16" s="3" t="s">
        <v>77</v>
      </c>
      <c r="UWM16" s="3" t="s">
        <v>76</v>
      </c>
      <c r="UWN16" s="3" t="s">
        <v>77</v>
      </c>
      <c r="UWO16" s="3" t="s">
        <v>76</v>
      </c>
      <c r="UWP16" s="3" t="s">
        <v>77</v>
      </c>
      <c r="UWQ16" s="3" t="s">
        <v>76</v>
      </c>
      <c r="UWR16" s="3" t="s">
        <v>77</v>
      </c>
      <c r="UWS16" s="3" t="s">
        <v>76</v>
      </c>
      <c r="UWT16" s="3" t="s">
        <v>77</v>
      </c>
      <c r="UWU16" s="3" t="s">
        <v>76</v>
      </c>
      <c r="UWV16" s="3" t="s">
        <v>77</v>
      </c>
      <c r="UWW16" s="3" t="s">
        <v>76</v>
      </c>
      <c r="UWX16" s="3" t="s">
        <v>77</v>
      </c>
      <c r="UWY16" s="3" t="s">
        <v>76</v>
      </c>
      <c r="UWZ16" s="3" t="s">
        <v>77</v>
      </c>
      <c r="UXA16" s="3" t="s">
        <v>76</v>
      </c>
      <c r="UXB16" s="3" t="s">
        <v>77</v>
      </c>
      <c r="UXC16" s="3" t="s">
        <v>76</v>
      </c>
      <c r="UXD16" s="3" t="s">
        <v>77</v>
      </c>
      <c r="UXE16" s="3" t="s">
        <v>76</v>
      </c>
      <c r="UXF16" s="3" t="s">
        <v>77</v>
      </c>
      <c r="UXG16" s="3" t="s">
        <v>76</v>
      </c>
      <c r="UXH16" s="3" t="s">
        <v>77</v>
      </c>
      <c r="UXI16" s="3" t="s">
        <v>76</v>
      </c>
      <c r="UXJ16" s="3" t="s">
        <v>77</v>
      </c>
      <c r="UXK16" s="3" t="s">
        <v>76</v>
      </c>
      <c r="UXL16" s="3" t="s">
        <v>77</v>
      </c>
      <c r="UXM16" s="3" t="s">
        <v>76</v>
      </c>
      <c r="UXN16" s="3" t="s">
        <v>77</v>
      </c>
      <c r="UXO16" s="3" t="s">
        <v>76</v>
      </c>
      <c r="UXP16" s="3" t="s">
        <v>77</v>
      </c>
      <c r="UXQ16" s="3" t="s">
        <v>76</v>
      </c>
      <c r="UXR16" s="3" t="s">
        <v>77</v>
      </c>
      <c r="UXS16" s="3" t="s">
        <v>76</v>
      </c>
      <c r="UXT16" s="3" t="s">
        <v>77</v>
      </c>
      <c r="UXU16" s="3" t="s">
        <v>76</v>
      </c>
      <c r="UXV16" s="3" t="s">
        <v>77</v>
      </c>
      <c r="UXW16" s="3" t="s">
        <v>76</v>
      </c>
      <c r="UXX16" s="3" t="s">
        <v>77</v>
      </c>
      <c r="UXY16" s="3" t="s">
        <v>76</v>
      </c>
      <c r="UXZ16" s="3" t="s">
        <v>77</v>
      </c>
      <c r="UYA16" s="3" t="s">
        <v>76</v>
      </c>
      <c r="UYB16" s="3" t="s">
        <v>77</v>
      </c>
      <c r="UYC16" s="3" t="s">
        <v>76</v>
      </c>
      <c r="UYD16" s="3" t="s">
        <v>77</v>
      </c>
      <c r="UYE16" s="3" t="s">
        <v>76</v>
      </c>
      <c r="UYF16" s="3" t="s">
        <v>77</v>
      </c>
      <c r="UYG16" s="3" t="s">
        <v>76</v>
      </c>
      <c r="UYH16" s="3" t="s">
        <v>77</v>
      </c>
      <c r="UYI16" s="3" t="s">
        <v>76</v>
      </c>
      <c r="UYJ16" s="3" t="s">
        <v>77</v>
      </c>
      <c r="UYK16" s="3" t="s">
        <v>76</v>
      </c>
      <c r="UYL16" s="3" t="s">
        <v>77</v>
      </c>
      <c r="UYM16" s="3" t="s">
        <v>76</v>
      </c>
      <c r="UYN16" s="3" t="s">
        <v>77</v>
      </c>
      <c r="UYO16" s="3" t="s">
        <v>76</v>
      </c>
      <c r="UYP16" s="3" t="s">
        <v>77</v>
      </c>
      <c r="UYQ16" s="3" t="s">
        <v>76</v>
      </c>
      <c r="UYR16" s="3" t="s">
        <v>77</v>
      </c>
      <c r="UYS16" s="3" t="s">
        <v>76</v>
      </c>
      <c r="UYT16" s="3" t="s">
        <v>77</v>
      </c>
      <c r="UYU16" s="3" t="s">
        <v>76</v>
      </c>
      <c r="UYV16" s="3" t="s">
        <v>77</v>
      </c>
      <c r="UYW16" s="3" t="s">
        <v>76</v>
      </c>
      <c r="UYX16" s="3" t="s">
        <v>77</v>
      </c>
      <c r="UYY16" s="3" t="s">
        <v>76</v>
      </c>
      <c r="UYZ16" s="3" t="s">
        <v>77</v>
      </c>
      <c r="UZA16" s="3" t="s">
        <v>76</v>
      </c>
      <c r="UZB16" s="3" t="s">
        <v>77</v>
      </c>
      <c r="UZC16" s="3" t="s">
        <v>76</v>
      </c>
      <c r="UZD16" s="3" t="s">
        <v>77</v>
      </c>
      <c r="UZE16" s="3" t="s">
        <v>76</v>
      </c>
      <c r="UZF16" s="3" t="s">
        <v>77</v>
      </c>
      <c r="UZG16" s="3" t="s">
        <v>76</v>
      </c>
      <c r="UZH16" s="3" t="s">
        <v>77</v>
      </c>
      <c r="UZI16" s="3" t="s">
        <v>76</v>
      </c>
      <c r="UZJ16" s="3" t="s">
        <v>77</v>
      </c>
      <c r="UZK16" s="3" t="s">
        <v>76</v>
      </c>
      <c r="UZL16" s="3" t="s">
        <v>77</v>
      </c>
      <c r="UZM16" s="3" t="s">
        <v>76</v>
      </c>
      <c r="UZN16" s="3" t="s">
        <v>77</v>
      </c>
      <c r="UZO16" s="3" t="s">
        <v>76</v>
      </c>
      <c r="UZP16" s="3" t="s">
        <v>77</v>
      </c>
      <c r="UZQ16" s="3" t="s">
        <v>76</v>
      </c>
      <c r="UZR16" s="3" t="s">
        <v>77</v>
      </c>
      <c r="UZS16" s="3" t="s">
        <v>76</v>
      </c>
      <c r="UZT16" s="3" t="s">
        <v>77</v>
      </c>
      <c r="UZU16" s="3" t="s">
        <v>76</v>
      </c>
      <c r="UZV16" s="3" t="s">
        <v>77</v>
      </c>
      <c r="UZW16" s="3" t="s">
        <v>76</v>
      </c>
      <c r="UZX16" s="3" t="s">
        <v>77</v>
      </c>
      <c r="UZY16" s="3" t="s">
        <v>76</v>
      </c>
      <c r="UZZ16" s="3" t="s">
        <v>77</v>
      </c>
      <c r="VAA16" s="3" t="s">
        <v>76</v>
      </c>
      <c r="VAB16" s="3" t="s">
        <v>77</v>
      </c>
      <c r="VAC16" s="3" t="s">
        <v>76</v>
      </c>
      <c r="VAD16" s="3" t="s">
        <v>77</v>
      </c>
      <c r="VAE16" s="3" t="s">
        <v>76</v>
      </c>
      <c r="VAF16" s="3" t="s">
        <v>77</v>
      </c>
      <c r="VAG16" s="3" t="s">
        <v>76</v>
      </c>
      <c r="VAH16" s="3" t="s">
        <v>77</v>
      </c>
      <c r="VAI16" s="3" t="s">
        <v>76</v>
      </c>
      <c r="VAJ16" s="3" t="s">
        <v>77</v>
      </c>
      <c r="VAK16" s="3" t="s">
        <v>76</v>
      </c>
      <c r="VAL16" s="3" t="s">
        <v>77</v>
      </c>
      <c r="VAM16" s="3" t="s">
        <v>76</v>
      </c>
      <c r="VAN16" s="3" t="s">
        <v>77</v>
      </c>
      <c r="VAO16" s="3" t="s">
        <v>76</v>
      </c>
      <c r="VAP16" s="3" t="s">
        <v>77</v>
      </c>
      <c r="VAQ16" s="3" t="s">
        <v>76</v>
      </c>
      <c r="VAR16" s="3" t="s">
        <v>77</v>
      </c>
      <c r="VAS16" s="3" t="s">
        <v>76</v>
      </c>
      <c r="VAT16" s="3" t="s">
        <v>77</v>
      </c>
      <c r="VAU16" s="3" t="s">
        <v>76</v>
      </c>
      <c r="VAV16" s="3" t="s">
        <v>77</v>
      </c>
      <c r="VAW16" s="3" t="s">
        <v>76</v>
      </c>
      <c r="VAX16" s="3" t="s">
        <v>77</v>
      </c>
      <c r="VAY16" s="3" t="s">
        <v>76</v>
      </c>
      <c r="VAZ16" s="3" t="s">
        <v>77</v>
      </c>
      <c r="VBA16" s="3" t="s">
        <v>76</v>
      </c>
      <c r="VBB16" s="3" t="s">
        <v>77</v>
      </c>
      <c r="VBC16" s="3" t="s">
        <v>76</v>
      </c>
      <c r="VBD16" s="3" t="s">
        <v>77</v>
      </c>
      <c r="VBE16" s="3" t="s">
        <v>76</v>
      </c>
      <c r="VBF16" s="3" t="s">
        <v>77</v>
      </c>
      <c r="VBG16" s="3" t="s">
        <v>76</v>
      </c>
      <c r="VBH16" s="3" t="s">
        <v>77</v>
      </c>
      <c r="VBI16" s="3" t="s">
        <v>76</v>
      </c>
      <c r="VBJ16" s="3" t="s">
        <v>77</v>
      </c>
      <c r="VBK16" s="3" t="s">
        <v>76</v>
      </c>
      <c r="VBL16" s="3" t="s">
        <v>77</v>
      </c>
      <c r="VBM16" s="3" t="s">
        <v>76</v>
      </c>
      <c r="VBN16" s="3" t="s">
        <v>77</v>
      </c>
      <c r="VBO16" s="3" t="s">
        <v>76</v>
      </c>
      <c r="VBP16" s="3" t="s">
        <v>77</v>
      </c>
      <c r="VBQ16" s="3" t="s">
        <v>76</v>
      </c>
      <c r="VBR16" s="3" t="s">
        <v>77</v>
      </c>
      <c r="VBS16" s="3" t="s">
        <v>76</v>
      </c>
      <c r="VBT16" s="3" t="s">
        <v>77</v>
      </c>
      <c r="VBU16" s="3" t="s">
        <v>76</v>
      </c>
      <c r="VBV16" s="3" t="s">
        <v>77</v>
      </c>
      <c r="VBW16" s="3" t="s">
        <v>76</v>
      </c>
      <c r="VBX16" s="3" t="s">
        <v>77</v>
      </c>
      <c r="VBY16" s="3" t="s">
        <v>76</v>
      </c>
      <c r="VBZ16" s="3" t="s">
        <v>77</v>
      </c>
      <c r="VCA16" s="3" t="s">
        <v>76</v>
      </c>
      <c r="VCB16" s="3" t="s">
        <v>77</v>
      </c>
      <c r="VCC16" s="3" t="s">
        <v>76</v>
      </c>
      <c r="VCD16" s="3" t="s">
        <v>77</v>
      </c>
      <c r="VCE16" s="3" t="s">
        <v>76</v>
      </c>
      <c r="VCF16" s="3" t="s">
        <v>77</v>
      </c>
      <c r="VCG16" s="3" t="s">
        <v>76</v>
      </c>
      <c r="VCH16" s="3" t="s">
        <v>77</v>
      </c>
      <c r="VCI16" s="3" t="s">
        <v>76</v>
      </c>
      <c r="VCJ16" s="3" t="s">
        <v>77</v>
      </c>
      <c r="VCK16" s="3" t="s">
        <v>76</v>
      </c>
      <c r="VCL16" s="3" t="s">
        <v>77</v>
      </c>
      <c r="VCM16" s="3" t="s">
        <v>76</v>
      </c>
      <c r="VCN16" s="3" t="s">
        <v>77</v>
      </c>
      <c r="VCO16" s="3" t="s">
        <v>76</v>
      </c>
      <c r="VCP16" s="3" t="s">
        <v>77</v>
      </c>
      <c r="VCQ16" s="3" t="s">
        <v>76</v>
      </c>
      <c r="VCR16" s="3" t="s">
        <v>77</v>
      </c>
      <c r="VCS16" s="3" t="s">
        <v>76</v>
      </c>
      <c r="VCT16" s="3" t="s">
        <v>77</v>
      </c>
      <c r="VCU16" s="3" t="s">
        <v>76</v>
      </c>
      <c r="VCV16" s="3" t="s">
        <v>77</v>
      </c>
      <c r="VCW16" s="3" t="s">
        <v>76</v>
      </c>
      <c r="VCX16" s="3" t="s">
        <v>77</v>
      </c>
      <c r="VCY16" s="3" t="s">
        <v>76</v>
      </c>
      <c r="VCZ16" s="3" t="s">
        <v>77</v>
      </c>
      <c r="VDA16" s="3" t="s">
        <v>76</v>
      </c>
      <c r="VDB16" s="3" t="s">
        <v>77</v>
      </c>
      <c r="VDC16" s="3" t="s">
        <v>76</v>
      </c>
      <c r="VDD16" s="3" t="s">
        <v>77</v>
      </c>
      <c r="VDE16" s="3" t="s">
        <v>76</v>
      </c>
      <c r="VDF16" s="3" t="s">
        <v>77</v>
      </c>
      <c r="VDG16" s="3" t="s">
        <v>76</v>
      </c>
      <c r="VDH16" s="3" t="s">
        <v>77</v>
      </c>
      <c r="VDI16" s="3" t="s">
        <v>76</v>
      </c>
      <c r="VDJ16" s="3" t="s">
        <v>77</v>
      </c>
      <c r="VDK16" s="3" t="s">
        <v>76</v>
      </c>
      <c r="VDL16" s="3" t="s">
        <v>77</v>
      </c>
      <c r="VDM16" s="3" t="s">
        <v>76</v>
      </c>
      <c r="VDN16" s="3" t="s">
        <v>77</v>
      </c>
      <c r="VDO16" s="3" t="s">
        <v>76</v>
      </c>
      <c r="VDP16" s="3" t="s">
        <v>77</v>
      </c>
      <c r="VDQ16" s="3" t="s">
        <v>76</v>
      </c>
      <c r="VDR16" s="3" t="s">
        <v>77</v>
      </c>
      <c r="VDS16" s="3" t="s">
        <v>76</v>
      </c>
      <c r="VDT16" s="3" t="s">
        <v>77</v>
      </c>
      <c r="VDU16" s="3" t="s">
        <v>76</v>
      </c>
      <c r="VDV16" s="3" t="s">
        <v>77</v>
      </c>
      <c r="VDW16" s="3" t="s">
        <v>76</v>
      </c>
      <c r="VDX16" s="3" t="s">
        <v>77</v>
      </c>
      <c r="VDY16" s="3" t="s">
        <v>76</v>
      </c>
      <c r="VDZ16" s="3" t="s">
        <v>77</v>
      </c>
      <c r="VEA16" s="3" t="s">
        <v>76</v>
      </c>
      <c r="VEB16" s="3" t="s">
        <v>77</v>
      </c>
      <c r="VEC16" s="3" t="s">
        <v>76</v>
      </c>
      <c r="VED16" s="3" t="s">
        <v>77</v>
      </c>
      <c r="VEE16" s="3" t="s">
        <v>76</v>
      </c>
      <c r="VEF16" s="3" t="s">
        <v>77</v>
      </c>
      <c r="VEG16" s="3" t="s">
        <v>76</v>
      </c>
      <c r="VEH16" s="3" t="s">
        <v>77</v>
      </c>
      <c r="VEI16" s="3" t="s">
        <v>76</v>
      </c>
      <c r="VEJ16" s="3" t="s">
        <v>77</v>
      </c>
      <c r="VEK16" s="3" t="s">
        <v>76</v>
      </c>
      <c r="VEL16" s="3" t="s">
        <v>77</v>
      </c>
      <c r="VEM16" s="3" t="s">
        <v>76</v>
      </c>
      <c r="VEN16" s="3" t="s">
        <v>77</v>
      </c>
      <c r="VEO16" s="3" t="s">
        <v>76</v>
      </c>
      <c r="VEP16" s="3" t="s">
        <v>77</v>
      </c>
      <c r="VEQ16" s="3" t="s">
        <v>76</v>
      </c>
      <c r="VER16" s="3" t="s">
        <v>77</v>
      </c>
      <c r="VES16" s="3" t="s">
        <v>76</v>
      </c>
      <c r="VET16" s="3" t="s">
        <v>77</v>
      </c>
      <c r="VEU16" s="3" t="s">
        <v>76</v>
      </c>
      <c r="VEV16" s="3" t="s">
        <v>77</v>
      </c>
      <c r="VEW16" s="3" t="s">
        <v>76</v>
      </c>
      <c r="VEX16" s="3" t="s">
        <v>77</v>
      </c>
      <c r="VEY16" s="3" t="s">
        <v>76</v>
      </c>
      <c r="VEZ16" s="3" t="s">
        <v>77</v>
      </c>
      <c r="VFA16" s="3" t="s">
        <v>76</v>
      </c>
      <c r="VFB16" s="3" t="s">
        <v>77</v>
      </c>
      <c r="VFC16" s="3" t="s">
        <v>76</v>
      </c>
      <c r="VFD16" s="3" t="s">
        <v>77</v>
      </c>
      <c r="VFE16" s="3" t="s">
        <v>76</v>
      </c>
      <c r="VFF16" s="3" t="s">
        <v>77</v>
      </c>
      <c r="VFG16" s="3" t="s">
        <v>76</v>
      </c>
      <c r="VFH16" s="3" t="s">
        <v>77</v>
      </c>
      <c r="VFI16" s="3" t="s">
        <v>76</v>
      </c>
      <c r="VFJ16" s="3" t="s">
        <v>77</v>
      </c>
      <c r="VFK16" s="3" t="s">
        <v>76</v>
      </c>
      <c r="VFL16" s="3" t="s">
        <v>77</v>
      </c>
      <c r="VFM16" s="3" t="s">
        <v>76</v>
      </c>
      <c r="VFN16" s="3" t="s">
        <v>77</v>
      </c>
      <c r="VFO16" s="3" t="s">
        <v>76</v>
      </c>
      <c r="VFP16" s="3" t="s">
        <v>77</v>
      </c>
      <c r="VFQ16" s="3" t="s">
        <v>76</v>
      </c>
      <c r="VFR16" s="3" t="s">
        <v>77</v>
      </c>
      <c r="VFS16" s="3" t="s">
        <v>76</v>
      </c>
      <c r="VFT16" s="3" t="s">
        <v>77</v>
      </c>
      <c r="VFU16" s="3" t="s">
        <v>76</v>
      </c>
      <c r="VFV16" s="3" t="s">
        <v>77</v>
      </c>
      <c r="VFW16" s="3" t="s">
        <v>76</v>
      </c>
      <c r="VFX16" s="3" t="s">
        <v>77</v>
      </c>
      <c r="VFY16" s="3" t="s">
        <v>76</v>
      </c>
      <c r="VFZ16" s="3" t="s">
        <v>77</v>
      </c>
      <c r="VGA16" s="3" t="s">
        <v>76</v>
      </c>
      <c r="VGB16" s="3" t="s">
        <v>77</v>
      </c>
      <c r="VGC16" s="3" t="s">
        <v>76</v>
      </c>
      <c r="VGD16" s="3" t="s">
        <v>77</v>
      </c>
      <c r="VGE16" s="3" t="s">
        <v>76</v>
      </c>
      <c r="VGF16" s="3" t="s">
        <v>77</v>
      </c>
      <c r="VGG16" s="3" t="s">
        <v>76</v>
      </c>
      <c r="VGH16" s="3" t="s">
        <v>77</v>
      </c>
      <c r="VGI16" s="3" t="s">
        <v>76</v>
      </c>
      <c r="VGJ16" s="3" t="s">
        <v>77</v>
      </c>
      <c r="VGK16" s="3" t="s">
        <v>76</v>
      </c>
      <c r="VGL16" s="3" t="s">
        <v>77</v>
      </c>
      <c r="VGM16" s="3" t="s">
        <v>76</v>
      </c>
      <c r="VGN16" s="3" t="s">
        <v>77</v>
      </c>
      <c r="VGO16" s="3" t="s">
        <v>76</v>
      </c>
      <c r="VGP16" s="3" t="s">
        <v>77</v>
      </c>
      <c r="VGQ16" s="3" t="s">
        <v>76</v>
      </c>
      <c r="VGR16" s="3" t="s">
        <v>77</v>
      </c>
      <c r="VGS16" s="3" t="s">
        <v>76</v>
      </c>
      <c r="VGT16" s="3" t="s">
        <v>77</v>
      </c>
      <c r="VGU16" s="3" t="s">
        <v>76</v>
      </c>
      <c r="VGV16" s="3" t="s">
        <v>77</v>
      </c>
      <c r="VGW16" s="3" t="s">
        <v>76</v>
      </c>
      <c r="VGX16" s="3" t="s">
        <v>77</v>
      </c>
      <c r="VGY16" s="3" t="s">
        <v>76</v>
      </c>
      <c r="VGZ16" s="3" t="s">
        <v>77</v>
      </c>
      <c r="VHA16" s="3" t="s">
        <v>76</v>
      </c>
      <c r="VHB16" s="3" t="s">
        <v>77</v>
      </c>
      <c r="VHC16" s="3" t="s">
        <v>76</v>
      </c>
      <c r="VHD16" s="3" t="s">
        <v>77</v>
      </c>
      <c r="VHE16" s="3" t="s">
        <v>76</v>
      </c>
      <c r="VHF16" s="3" t="s">
        <v>77</v>
      </c>
      <c r="VHG16" s="3" t="s">
        <v>76</v>
      </c>
      <c r="VHH16" s="3" t="s">
        <v>77</v>
      </c>
      <c r="VHI16" s="3" t="s">
        <v>76</v>
      </c>
      <c r="VHJ16" s="3" t="s">
        <v>77</v>
      </c>
      <c r="VHK16" s="3" t="s">
        <v>76</v>
      </c>
      <c r="VHL16" s="3" t="s">
        <v>77</v>
      </c>
      <c r="VHM16" s="3" t="s">
        <v>76</v>
      </c>
      <c r="VHN16" s="3" t="s">
        <v>77</v>
      </c>
      <c r="VHO16" s="3" t="s">
        <v>76</v>
      </c>
      <c r="VHP16" s="3" t="s">
        <v>77</v>
      </c>
      <c r="VHQ16" s="3" t="s">
        <v>76</v>
      </c>
      <c r="VHR16" s="3" t="s">
        <v>77</v>
      </c>
      <c r="VHS16" s="3" t="s">
        <v>76</v>
      </c>
      <c r="VHT16" s="3" t="s">
        <v>77</v>
      </c>
      <c r="VHU16" s="3" t="s">
        <v>76</v>
      </c>
      <c r="VHV16" s="3" t="s">
        <v>77</v>
      </c>
      <c r="VHW16" s="3" t="s">
        <v>76</v>
      </c>
      <c r="VHX16" s="3" t="s">
        <v>77</v>
      </c>
      <c r="VHY16" s="3" t="s">
        <v>76</v>
      </c>
      <c r="VHZ16" s="3" t="s">
        <v>77</v>
      </c>
      <c r="VIA16" s="3" t="s">
        <v>76</v>
      </c>
      <c r="VIB16" s="3" t="s">
        <v>77</v>
      </c>
      <c r="VIC16" s="3" t="s">
        <v>76</v>
      </c>
      <c r="VID16" s="3" t="s">
        <v>77</v>
      </c>
      <c r="VIE16" s="3" t="s">
        <v>76</v>
      </c>
      <c r="VIF16" s="3" t="s">
        <v>77</v>
      </c>
      <c r="VIG16" s="3" t="s">
        <v>76</v>
      </c>
      <c r="VIH16" s="3" t="s">
        <v>77</v>
      </c>
      <c r="VII16" s="3" t="s">
        <v>76</v>
      </c>
      <c r="VIJ16" s="3" t="s">
        <v>77</v>
      </c>
      <c r="VIK16" s="3" t="s">
        <v>76</v>
      </c>
      <c r="VIL16" s="3" t="s">
        <v>77</v>
      </c>
      <c r="VIM16" s="3" t="s">
        <v>76</v>
      </c>
      <c r="VIN16" s="3" t="s">
        <v>77</v>
      </c>
      <c r="VIO16" s="3" t="s">
        <v>76</v>
      </c>
      <c r="VIP16" s="3" t="s">
        <v>77</v>
      </c>
      <c r="VIQ16" s="3" t="s">
        <v>76</v>
      </c>
      <c r="VIR16" s="3" t="s">
        <v>77</v>
      </c>
      <c r="VIS16" s="3" t="s">
        <v>76</v>
      </c>
      <c r="VIT16" s="3" t="s">
        <v>77</v>
      </c>
      <c r="VIU16" s="3" t="s">
        <v>76</v>
      </c>
      <c r="VIV16" s="3" t="s">
        <v>77</v>
      </c>
      <c r="VIW16" s="3" t="s">
        <v>76</v>
      </c>
      <c r="VIX16" s="3" t="s">
        <v>77</v>
      </c>
      <c r="VIY16" s="3" t="s">
        <v>76</v>
      </c>
      <c r="VIZ16" s="3" t="s">
        <v>77</v>
      </c>
      <c r="VJA16" s="3" t="s">
        <v>76</v>
      </c>
      <c r="VJB16" s="3" t="s">
        <v>77</v>
      </c>
      <c r="VJC16" s="3" t="s">
        <v>76</v>
      </c>
      <c r="VJD16" s="3" t="s">
        <v>77</v>
      </c>
      <c r="VJE16" s="3" t="s">
        <v>76</v>
      </c>
      <c r="VJF16" s="3" t="s">
        <v>77</v>
      </c>
      <c r="VJG16" s="3" t="s">
        <v>76</v>
      </c>
      <c r="VJH16" s="3" t="s">
        <v>77</v>
      </c>
      <c r="VJI16" s="3" t="s">
        <v>76</v>
      </c>
      <c r="VJJ16" s="3" t="s">
        <v>77</v>
      </c>
      <c r="VJK16" s="3" t="s">
        <v>76</v>
      </c>
      <c r="VJL16" s="3" t="s">
        <v>77</v>
      </c>
      <c r="VJM16" s="3" t="s">
        <v>76</v>
      </c>
      <c r="VJN16" s="3" t="s">
        <v>77</v>
      </c>
      <c r="VJO16" s="3" t="s">
        <v>76</v>
      </c>
      <c r="VJP16" s="3" t="s">
        <v>77</v>
      </c>
      <c r="VJQ16" s="3" t="s">
        <v>76</v>
      </c>
      <c r="VJR16" s="3" t="s">
        <v>77</v>
      </c>
      <c r="VJS16" s="3" t="s">
        <v>76</v>
      </c>
      <c r="VJT16" s="3" t="s">
        <v>77</v>
      </c>
      <c r="VJU16" s="3" t="s">
        <v>76</v>
      </c>
      <c r="VJV16" s="3" t="s">
        <v>77</v>
      </c>
      <c r="VJW16" s="3" t="s">
        <v>76</v>
      </c>
      <c r="VJX16" s="3" t="s">
        <v>77</v>
      </c>
      <c r="VJY16" s="3" t="s">
        <v>76</v>
      </c>
      <c r="VJZ16" s="3" t="s">
        <v>77</v>
      </c>
      <c r="VKA16" s="3" t="s">
        <v>76</v>
      </c>
      <c r="VKB16" s="3" t="s">
        <v>77</v>
      </c>
      <c r="VKC16" s="3" t="s">
        <v>76</v>
      </c>
      <c r="VKD16" s="3" t="s">
        <v>77</v>
      </c>
      <c r="VKE16" s="3" t="s">
        <v>76</v>
      </c>
      <c r="VKF16" s="3" t="s">
        <v>77</v>
      </c>
      <c r="VKG16" s="3" t="s">
        <v>76</v>
      </c>
      <c r="VKH16" s="3" t="s">
        <v>77</v>
      </c>
      <c r="VKI16" s="3" t="s">
        <v>76</v>
      </c>
      <c r="VKJ16" s="3" t="s">
        <v>77</v>
      </c>
      <c r="VKK16" s="3" t="s">
        <v>76</v>
      </c>
      <c r="VKL16" s="3" t="s">
        <v>77</v>
      </c>
      <c r="VKM16" s="3" t="s">
        <v>76</v>
      </c>
      <c r="VKN16" s="3" t="s">
        <v>77</v>
      </c>
      <c r="VKO16" s="3" t="s">
        <v>76</v>
      </c>
      <c r="VKP16" s="3" t="s">
        <v>77</v>
      </c>
      <c r="VKQ16" s="3" t="s">
        <v>76</v>
      </c>
      <c r="VKR16" s="3" t="s">
        <v>77</v>
      </c>
      <c r="VKS16" s="3" t="s">
        <v>76</v>
      </c>
      <c r="VKT16" s="3" t="s">
        <v>77</v>
      </c>
      <c r="VKU16" s="3" t="s">
        <v>76</v>
      </c>
      <c r="VKV16" s="3" t="s">
        <v>77</v>
      </c>
      <c r="VKW16" s="3" t="s">
        <v>76</v>
      </c>
      <c r="VKX16" s="3" t="s">
        <v>77</v>
      </c>
      <c r="VKY16" s="3" t="s">
        <v>76</v>
      </c>
      <c r="VKZ16" s="3" t="s">
        <v>77</v>
      </c>
      <c r="VLA16" s="3" t="s">
        <v>76</v>
      </c>
      <c r="VLB16" s="3" t="s">
        <v>77</v>
      </c>
      <c r="VLC16" s="3" t="s">
        <v>76</v>
      </c>
      <c r="VLD16" s="3" t="s">
        <v>77</v>
      </c>
      <c r="VLE16" s="3" t="s">
        <v>76</v>
      </c>
      <c r="VLF16" s="3" t="s">
        <v>77</v>
      </c>
      <c r="VLG16" s="3" t="s">
        <v>76</v>
      </c>
      <c r="VLH16" s="3" t="s">
        <v>77</v>
      </c>
      <c r="VLI16" s="3" t="s">
        <v>76</v>
      </c>
      <c r="VLJ16" s="3" t="s">
        <v>77</v>
      </c>
      <c r="VLK16" s="3" t="s">
        <v>76</v>
      </c>
      <c r="VLL16" s="3" t="s">
        <v>77</v>
      </c>
      <c r="VLM16" s="3" t="s">
        <v>76</v>
      </c>
      <c r="VLN16" s="3" t="s">
        <v>77</v>
      </c>
      <c r="VLO16" s="3" t="s">
        <v>76</v>
      </c>
      <c r="VLP16" s="3" t="s">
        <v>77</v>
      </c>
      <c r="VLQ16" s="3" t="s">
        <v>76</v>
      </c>
      <c r="VLR16" s="3" t="s">
        <v>77</v>
      </c>
      <c r="VLS16" s="3" t="s">
        <v>76</v>
      </c>
      <c r="VLT16" s="3" t="s">
        <v>77</v>
      </c>
      <c r="VLU16" s="3" t="s">
        <v>76</v>
      </c>
      <c r="VLV16" s="3" t="s">
        <v>77</v>
      </c>
      <c r="VLW16" s="3" t="s">
        <v>76</v>
      </c>
      <c r="VLX16" s="3" t="s">
        <v>77</v>
      </c>
      <c r="VLY16" s="3" t="s">
        <v>76</v>
      </c>
      <c r="VLZ16" s="3" t="s">
        <v>77</v>
      </c>
      <c r="VMA16" s="3" t="s">
        <v>76</v>
      </c>
      <c r="VMB16" s="3" t="s">
        <v>77</v>
      </c>
      <c r="VMC16" s="3" t="s">
        <v>76</v>
      </c>
      <c r="VMD16" s="3" t="s">
        <v>77</v>
      </c>
      <c r="VME16" s="3" t="s">
        <v>76</v>
      </c>
      <c r="VMF16" s="3" t="s">
        <v>77</v>
      </c>
      <c r="VMG16" s="3" t="s">
        <v>76</v>
      </c>
      <c r="VMH16" s="3" t="s">
        <v>77</v>
      </c>
      <c r="VMI16" s="3" t="s">
        <v>76</v>
      </c>
      <c r="VMJ16" s="3" t="s">
        <v>77</v>
      </c>
      <c r="VMK16" s="3" t="s">
        <v>76</v>
      </c>
      <c r="VML16" s="3" t="s">
        <v>77</v>
      </c>
      <c r="VMM16" s="3" t="s">
        <v>76</v>
      </c>
      <c r="VMN16" s="3" t="s">
        <v>77</v>
      </c>
      <c r="VMO16" s="3" t="s">
        <v>76</v>
      </c>
      <c r="VMP16" s="3" t="s">
        <v>77</v>
      </c>
      <c r="VMQ16" s="3" t="s">
        <v>76</v>
      </c>
      <c r="VMR16" s="3" t="s">
        <v>77</v>
      </c>
      <c r="VMS16" s="3" t="s">
        <v>76</v>
      </c>
      <c r="VMT16" s="3" t="s">
        <v>77</v>
      </c>
      <c r="VMU16" s="3" t="s">
        <v>76</v>
      </c>
      <c r="VMV16" s="3" t="s">
        <v>77</v>
      </c>
      <c r="VMW16" s="3" t="s">
        <v>76</v>
      </c>
      <c r="VMX16" s="3" t="s">
        <v>77</v>
      </c>
      <c r="VMY16" s="3" t="s">
        <v>76</v>
      </c>
      <c r="VMZ16" s="3" t="s">
        <v>77</v>
      </c>
      <c r="VNA16" s="3" t="s">
        <v>76</v>
      </c>
      <c r="VNB16" s="3" t="s">
        <v>77</v>
      </c>
      <c r="VNC16" s="3" t="s">
        <v>76</v>
      </c>
      <c r="VND16" s="3" t="s">
        <v>77</v>
      </c>
      <c r="VNE16" s="3" t="s">
        <v>76</v>
      </c>
      <c r="VNF16" s="3" t="s">
        <v>77</v>
      </c>
      <c r="VNG16" s="3" t="s">
        <v>76</v>
      </c>
      <c r="VNH16" s="3" t="s">
        <v>77</v>
      </c>
      <c r="VNI16" s="3" t="s">
        <v>76</v>
      </c>
      <c r="VNJ16" s="3" t="s">
        <v>77</v>
      </c>
      <c r="VNK16" s="3" t="s">
        <v>76</v>
      </c>
      <c r="VNL16" s="3" t="s">
        <v>77</v>
      </c>
      <c r="VNM16" s="3" t="s">
        <v>76</v>
      </c>
      <c r="VNN16" s="3" t="s">
        <v>77</v>
      </c>
      <c r="VNO16" s="3" t="s">
        <v>76</v>
      </c>
      <c r="VNP16" s="3" t="s">
        <v>77</v>
      </c>
      <c r="VNQ16" s="3" t="s">
        <v>76</v>
      </c>
      <c r="VNR16" s="3" t="s">
        <v>77</v>
      </c>
      <c r="VNS16" s="3" t="s">
        <v>76</v>
      </c>
      <c r="VNT16" s="3" t="s">
        <v>77</v>
      </c>
      <c r="VNU16" s="3" t="s">
        <v>76</v>
      </c>
      <c r="VNV16" s="3" t="s">
        <v>77</v>
      </c>
      <c r="VNW16" s="3" t="s">
        <v>76</v>
      </c>
      <c r="VNX16" s="3" t="s">
        <v>77</v>
      </c>
      <c r="VNY16" s="3" t="s">
        <v>76</v>
      </c>
      <c r="VNZ16" s="3" t="s">
        <v>77</v>
      </c>
      <c r="VOA16" s="3" t="s">
        <v>76</v>
      </c>
      <c r="VOB16" s="3" t="s">
        <v>77</v>
      </c>
      <c r="VOC16" s="3" t="s">
        <v>76</v>
      </c>
      <c r="VOD16" s="3" t="s">
        <v>77</v>
      </c>
      <c r="VOE16" s="3" t="s">
        <v>76</v>
      </c>
      <c r="VOF16" s="3" t="s">
        <v>77</v>
      </c>
      <c r="VOG16" s="3" t="s">
        <v>76</v>
      </c>
      <c r="VOH16" s="3" t="s">
        <v>77</v>
      </c>
      <c r="VOI16" s="3" t="s">
        <v>76</v>
      </c>
      <c r="VOJ16" s="3" t="s">
        <v>77</v>
      </c>
      <c r="VOK16" s="3" t="s">
        <v>76</v>
      </c>
      <c r="VOL16" s="3" t="s">
        <v>77</v>
      </c>
      <c r="VOM16" s="3" t="s">
        <v>76</v>
      </c>
      <c r="VON16" s="3" t="s">
        <v>77</v>
      </c>
      <c r="VOO16" s="3" t="s">
        <v>76</v>
      </c>
      <c r="VOP16" s="3" t="s">
        <v>77</v>
      </c>
      <c r="VOQ16" s="3" t="s">
        <v>76</v>
      </c>
      <c r="VOR16" s="3" t="s">
        <v>77</v>
      </c>
      <c r="VOS16" s="3" t="s">
        <v>76</v>
      </c>
      <c r="VOT16" s="3" t="s">
        <v>77</v>
      </c>
      <c r="VOU16" s="3" t="s">
        <v>76</v>
      </c>
      <c r="VOV16" s="3" t="s">
        <v>77</v>
      </c>
      <c r="VOW16" s="3" t="s">
        <v>76</v>
      </c>
      <c r="VOX16" s="3" t="s">
        <v>77</v>
      </c>
      <c r="VOY16" s="3" t="s">
        <v>76</v>
      </c>
      <c r="VOZ16" s="3" t="s">
        <v>77</v>
      </c>
      <c r="VPA16" s="3" t="s">
        <v>76</v>
      </c>
      <c r="VPB16" s="3" t="s">
        <v>77</v>
      </c>
      <c r="VPC16" s="3" t="s">
        <v>76</v>
      </c>
      <c r="VPD16" s="3" t="s">
        <v>77</v>
      </c>
      <c r="VPE16" s="3" t="s">
        <v>76</v>
      </c>
      <c r="VPF16" s="3" t="s">
        <v>77</v>
      </c>
      <c r="VPG16" s="3" t="s">
        <v>76</v>
      </c>
      <c r="VPH16" s="3" t="s">
        <v>77</v>
      </c>
      <c r="VPI16" s="3" t="s">
        <v>76</v>
      </c>
      <c r="VPJ16" s="3" t="s">
        <v>77</v>
      </c>
      <c r="VPK16" s="3" t="s">
        <v>76</v>
      </c>
      <c r="VPL16" s="3" t="s">
        <v>77</v>
      </c>
      <c r="VPM16" s="3" t="s">
        <v>76</v>
      </c>
      <c r="VPN16" s="3" t="s">
        <v>77</v>
      </c>
      <c r="VPO16" s="3" t="s">
        <v>76</v>
      </c>
      <c r="VPP16" s="3" t="s">
        <v>77</v>
      </c>
      <c r="VPQ16" s="3" t="s">
        <v>76</v>
      </c>
      <c r="VPR16" s="3" t="s">
        <v>77</v>
      </c>
      <c r="VPS16" s="3" t="s">
        <v>76</v>
      </c>
      <c r="VPT16" s="3" t="s">
        <v>77</v>
      </c>
      <c r="VPU16" s="3" t="s">
        <v>76</v>
      </c>
      <c r="VPV16" s="3" t="s">
        <v>77</v>
      </c>
      <c r="VPW16" s="3" t="s">
        <v>76</v>
      </c>
      <c r="VPX16" s="3" t="s">
        <v>77</v>
      </c>
      <c r="VPY16" s="3" t="s">
        <v>76</v>
      </c>
      <c r="VPZ16" s="3" t="s">
        <v>77</v>
      </c>
      <c r="VQA16" s="3" t="s">
        <v>76</v>
      </c>
      <c r="VQB16" s="3" t="s">
        <v>77</v>
      </c>
      <c r="VQC16" s="3" t="s">
        <v>76</v>
      </c>
      <c r="VQD16" s="3" t="s">
        <v>77</v>
      </c>
      <c r="VQE16" s="3" t="s">
        <v>76</v>
      </c>
      <c r="VQF16" s="3" t="s">
        <v>77</v>
      </c>
      <c r="VQG16" s="3" t="s">
        <v>76</v>
      </c>
      <c r="VQH16" s="3" t="s">
        <v>77</v>
      </c>
      <c r="VQI16" s="3" t="s">
        <v>76</v>
      </c>
      <c r="VQJ16" s="3" t="s">
        <v>77</v>
      </c>
      <c r="VQK16" s="3" t="s">
        <v>76</v>
      </c>
      <c r="VQL16" s="3" t="s">
        <v>77</v>
      </c>
      <c r="VQM16" s="3" t="s">
        <v>76</v>
      </c>
      <c r="VQN16" s="3" t="s">
        <v>77</v>
      </c>
      <c r="VQO16" s="3" t="s">
        <v>76</v>
      </c>
      <c r="VQP16" s="3" t="s">
        <v>77</v>
      </c>
      <c r="VQQ16" s="3" t="s">
        <v>76</v>
      </c>
      <c r="VQR16" s="3" t="s">
        <v>77</v>
      </c>
      <c r="VQS16" s="3" t="s">
        <v>76</v>
      </c>
      <c r="VQT16" s="3" t="s">
        <v>77</v>
      </c>
      <c r="VQU16" s="3" t="s">
        <v>76</v>
      </c>
      <c r="VQV16" s="3" t="s">
        <v>77</v>
      </c>
      <c r="VQW16" s="3" t="s">
        <v>76</v>
      </c>
      <c r="VQX16" s="3" t="s">
        <v>77</v>
      </c>
      <c r="VQY16" s="3" t="s">
        <v>76</v>
      </c>
      <c r="VQZ16" s="3" t="s">
        <v>77</v>
      </c>
      <c r="VRA16" s="3" t="s">
        <v>76</v>
      </c>
      <c r="VRB16" s="3" t="s">
        <v>77</v>
      </c>
      <c r="VRC16" s="3" t="s">
        <v>76</v>
      </c>
      <c r="VRD16" s="3" t="s">
        <v>77</v>
      </c>
      <c r="VRE16" s="3" t="s">
        <v>76</v>
      </c>
      <c r="VRF16" s="3" t="s">
        <v>77</v>
      </c>
      <c r="VRG16" s="3" t="s">
        <v>76</v>
      </c>
      <c r="VRH16" s="3" t="s">
        <v>77</v>
      </c>
      <c r="VRI16" s="3" t="s">
        <v>76</v>
      </c>
      <c r="VRJ16" s="3" t="s">
        <v>77</v>
      </c>
      <c r="VRK16" s="3" t="s">
        <v>76</v>
      </c>
      <c r="VRL16" s="3" t="s">
        <v>77</v>
      </c>
      <c r="VRM16" s="3" t="s">
        <v>76</v>
      </c>
      <c r="VRN16" s="3" t="s">
        <v>77</v>
      </c>
      <c r="VRO16" s="3" t="s">
        <v>76</v>
      </c>
      <c r="VRP16" s="3" t="s">
        <v>77</v>
      </c>
      <c r="VRQ16" s="3" t="s">
        <v>76</v>
      </c>
      <c r="VRR16" s="3" t="s">
        <v>77</v>
      </c>
      <c r="VRS16" s="3" t="s">
        <v>76</v>
      </c>
      <c r="VRT16" s="3" t="s">
        <v>77</v>
      </c>
      <c r="VRU16" s="3" t="s">
        <v>76</v>
      </c>
      <c r="VRV16" s="3" t="s">
        <v>77</v>
      </c>
      <c r="VRW16" s="3" t="s">
        <v>76</v>
      </c>
      <c r="VRX16" s="3" t="s">
        <v>77</v>
      </c>
      <c r="VRY16" s="3" t="s">
        <v>76</v>
      </c>
      <c r="VRZ16" s="3" t="s">
        <v>77</v>
      </c>
      <c r="VSA16" s="3" t="s">
        <v>76</v>
      </c>
      <c r="VSB16" s="3" t="s">
        <v>77</v>
      </c>
      <c r="VSC16" s="3" t="s">
        <v>76</v>
      </c>
      <c r="VSD16" s="3" t="s">
        <v>77</v>
      </c>
      <c r="VSE16" s="3" t="s">
        <v>76</v>
      </c>
      <c r="VSF16" s="3" t="s">
        <v>77</v>
      </c>
      <c r="VSG16" s="3" t="s">
        <v>76</v>
      </c>
      <c r="VSH16" s="3" t="s">
        <v>77</v>
      </c>
      <c r="VSI16" s="3" t="s">
        <v>76</v>
      </c>
      <c r="VSJ16" s="3" t="s">
        <v>77</v>
      </c>
      <c r="VSK16" s="3" t="s">
        <v>76</v>
      </c>
      <c r="VSL16" s="3" t="s">
        <v>77</v>
      </c>
      <c r="VSM16" s="3" t="s">
        <v>76</v>
      </c>
      <c r="VSN16" s="3" t="s">
        <v>77</v>
      </c>
      <c r="VSO16" s="3" t="s">
        <v>76</v>
      </c>
      <c r="VSP16" s="3" t="s">
        <v>77</v>
      </c>
      <c r="VSQ16" s="3" t="s">
        <v>76</v>
      </c>
      <c r="VSR16" s="3" t="s">
        <v>77</v>
      </c>
      <c r="VSS16" s="3" t="s">
        <v>76</v>
      </c>
      <c r="VST16" s="3" t="s">
        <v>77</v>
      </c>
      <c r="VSU16" s="3" t="s">
        <v>76</v>
      </c>
      <c r="VSV16" s="3" t="s">
        <v>77</v>
      </c>
      <c r="VSW16" s="3" t="s">
        <v>76</v>
      </c>
      <c r="VSX16" s="3" t="s">
        <v>77</v>
      </c>
      <c r="VSY16" s="3" t="s">
        <v>76</v>
      </c>
      <c r="VSZ16" s="3" t="s">
        <v>77</v>
      </c>
      <c r="VTA16" s="3" t="s">
        <v>76</v>
      </c>
      <c r="VTB16" s="3" t="s">
        <v>77</v>
      </c>
      <c r="VTC16" s="3" t="s">
        <v>76</v>
      </c>
      <c r="VTD16" s="3" t="s">
        <v>77</v>
      </c>
      <c r="VTE16" s="3" t="s">
        <v>76</v>
      </c>
      <c r="VTF16" s="3" t="s">
        <v>77</v>
      </c>
      <c r="VTG16" s="3" t="s">
        <v>76</v>
      </c>
      <c r="VTH16" s="3" t="s">
        <v>77</v>
      </c>
      <c r="VTI16" s="3" t="s">
        <v>76</v>
      </c>
      <c r="VTJ16" s="3" t="s">
        <v>77</v>
      </c>
      <c r="VTK16" s="3" t="s">
        <v>76</v>
      </c>
      <c r="VTL16" s="3" t="s">
        <v>77</v>
      </c>
      <c r="VTM16" s="3" t="s">
        <v>76</v>
      </c>
      <c r="VTN16" s="3" t="s">
        <v>77</v>
      </c>
      <c r="VTO16" s="3" t="s">
        <v>76</v>
      </c>
      <c r="VTP16" s="3" t="s">
        <v>77</v>
      </c>
      <c r="VTQ16" s="3" t="s">
        <v>76</v>
      </c>
      <c r="VTR16" s="3" t="s">
        <v>77</v>
      </c>
      <c r="VTS16" s="3" t="s">
        <v>76</v>
      </c>
      <c r="VTT16" s="3" t="s">
        <v>77</v>
      </c>
      <c r="VTU16" s="3" t="s">
        <v>76</v>
      </c>
      <c r="VTV16" s="3" t="s">
        <v>77</v>
      </c>
      <c r="VTW16" s="3" t="s">
        <v>76</v>
      </c>
      <c r="VTX16" s="3" t="s">
        <v>77</v>
      </c>
      <c r="VTY16" s="3" t="s">
        <v>76</v>
      </c>
      <c r="VTZ16" s="3" t="s">
        <v>77</v>
      </c>
      <c r="VUA16" s="3" t="s">
        <v>76</v>
      </c>
      <c r="VUB16" s="3" t="s">
        <v>77</v>
      </c>
      <c r="VUC16" s="3" t="s">
        <v>76</v>
      </c>
      <c r="VUD16" s="3" t="s">
        <v>77</v>
      </c>
      <c r="VUE16" s="3" t="s">
        <v>76</v>
      </c>
      <c r="VUF16" s="3" t="s">
        <v>77</v>
      </c>
      <c r="VUG16" s="3" t="s">
        <v>76</v>
      </c>
      <c r="VUH16" s="3" t="s">
        <v>77</v>
      </c>
      <c r="VUI16" s="3" t="s">
        <v>76</v>
      </c>
      <c r="VUJ16" s="3" t="s">
        <v>77</v>
      </c>
      <c r="VUK16" s="3" t="s">
        <v>76</v>
      </c>
      <c r="VUL16" s="3" t="s">
        <v>77</v>
      </c>
      <c r="VUM16" s="3" t="s">
        <v>76</v>
      </c>
      <c r="VUN16" s="3" t="s">
        <v>77</v>
      </c>
      <c r="VUO16" s="3" t="s">
        <v>76</v>
      </c>
      <c r="VUP16" s="3" t="s">
        <v>77</v>
      </c>
      <c r="VUQ16" s="3" t="s">
        <v>76</v>
      </c>
      <c r="VUR16" s="3" t="s">
        <v>77</v>
      </c>
      <c r="VUS16" s="3" t="s">
        <v>76</v>
      </c>
      <c r="VUT16" s="3" t="s">
        <v>77</v>
      </c>
      <c r="VUU16" s="3" t="s">
        <v>76</v>
      </c>
      <c r="VUV16" s="3" t="s">
        <v>77</v>
      </c>
      <c r="VUW16" s="3" t="s">
        <v>76</v>
      </c>
      <c r="VUX16" s="3" t="s">
        <v>77</v>
      </c>
      <c r="VUY16" s="3" t="s">
        <v>76</v>
      </c>
      <c r="VUZ16" s="3" t="s">
        <v>77</v>
      </c>
      <c r="VVA16" s="3" t="s">
        <v>76</v>
      </c>
      <c r="VVB16" s="3" t="s">
        <v>77</v>
      </c>
      <c r="VVC16" s="3" t="s">
        <v>76</v>
      </c>
      <c r="VVD16" s="3" t="s">
        <v>77</v>
      </c>
      <c r="VVE16" s="3" t="s">
        <v>76</v>
      </c>
      <c r="VVF16" s="3" t="s">
        <v>77</v>
      </c>
      <c r="VVG16" s="3" t="s">
        <v>76</v>
      </c>
      <c r="VVH16" s="3" t="s">
        <v>77</v>
      </c>
      <c r="VVI16" s="3" t="s">
        <v>76</v>
      </c>
      <c r="VVJ16" s="3" t="s">
        <v>77</v>
      </c>
      <c r="VVK16" s="3" t="s">
        <v>76</v>
      </c>
      <c r="VVL16" s="3" t="s">
        <v>77</v>
      </c>
      <c r="VVM16" s="3" t="s">
        <v>76</v>
      </c>
      <c r="VVN16" s="3" t="s">
        <v>77</v>
      </c>
      <c r="VVO16" s="3" t="s">
        <v>76</v>
      </c>
      <c r="VVP16" s="3" t="s">
        <v>77</v>
      </c>
      <c r="VVQ16" s="3" t="s">
        <v>76</v>
      </c>
      <c r="VVR16" s="3" t="s">
        <v>77</v>
      </c>
      <c r="VVS16" s="3" t="s">
        <v>76</v>
      </c>
      <c r="VVT16" s="3" t="s">
        <v>77</v>
      </c>
      <c r="VVU16" s="3" t="s">
        <v>76</v>
      </c>
      <c r="VVV16" s="3" t="s">
        <v>77</v>
      </c>
      <c r="VVW16" s="3" t="s">
        <v>76</v>
      </c>
      <c r="VVX16" s="3" t="s">
        <v>77</v>
      </c>
      <c r="VVY16" s="3" t="s">
        <v>76</v>
      </c>
      <c r="VVZ16" s="3" t="s">
        <v>77</v>
      </c>
      <c r="VWA16" s="3" t="s">
        <v>76</v>
      </c>
      <c r="VWB16" s="3" t="s">
        <v>77</v>
      </c>
      <c r="VWC16" s="3" t="s">
        <v>76</v>
      </c>
      <c r="VWD16" s="3" t="s">
        <v>77</v>
      </c>
      <c r="VWE16" s="3" t="s">
        <v>76</v>
      </c>
      <c r="VWF16" s="3" t="s">
        <v>77</v>
      </c>
      <c r="VWG16" s="3" t="s">
        <v>76</v>
      </c>
      <c r="VWH16" s="3" t="s">
        <v>77</v>
      </c>
      <c r="VWI16" s="3" t="s">
        <v>76</v>
      </c>
      <c r="VWJ16" s="3" t="s">
        <v>77</v>
      </c>
      <c r="VWK16" s="3" t="s">
        <v>76</v>
      </c>
      <c r="VWL16" s="3" t="s">
        <v>77</v>
      </c>
      <c r="VWM16" s="3" t="s">
        <v>76</v>
      </c>
      <c r="VWN16" s="3" t="s">
        <v>77</v>
      </c>
      <c r="VWO16" s="3" t="s">
        <v>76</v>
      </c>
      <c r="VWP16" s="3" t="s">
        <v>77</v>
      </c>
      <c r="VWQ16" s="3" t="s">
        <v>76</v>
      </c>
      <c r="VWR16" s="3" t="s">
        <v>77</v>
      </c>
      <c r="VWS16" s="3" t="s">
        <v>76</v>
      </c>
      <c r="VWT16" s="3" t="s">
        <v>77</v>
      </c>
      <c r="VWU16" s="3" t="s">
        <v>76</v>
      </c>
      <c r="VWV16" s="3" t="s">
        <v>77</v>
      </c>
      <c r="VWW16" s="3" t="s">
        <v>76</v>
      </c>
      <c r="VWX16" s="3" t="s">
        <v>77</v>
      </c>
      <c r="VWY16" s="3" t="s">
        <v>76</v>
      </c>
      <c r="VWZ16" s="3" t="s">
        <v>77</v>
      </c>
      <c r="VXA16" s="3" t="s">
        <v>76</v>
      </c>
      <c r="VXB16" s="3" t="s">
        <v>77</v>
      </c>
      <c r="VXC16" s="3" t="s">
        <v>76</v>
      </c>
      <c r="VXD16" s="3" t="s">
        <v>77</v>
      </c>
      <c r="VXE16" s="3" t="s">
        <v>76</v>
      </c>
      <c r="VXF16" s="3" t="s">
        <v>77</v>
      </c>
      <c r="VXG16" s="3" t="s">
        <v>76</v>
      </c>
      <c r="VXH16" s="3" t="s">
        <v>77</v>
      </c>
      <c r="VXI16" s="3" t="s">
        <v>76</v>
      </c>
      <c r="VXJ16" s="3" t="s">
        <v>77</v>
      </c>
      <c r="VXK16" s="3" t="s">
        <v>76</v>
      </c>
      <c r="VXL16" s="3" t="s">
        <v>77</v>
      </c>
      <c r="VXM16" s="3" t="s">
        <v>76</v>
      </c>
      <c r="VXN16" s="3" t="s">
        <v>77</v>
      </c>
      <c r="VXO16" s="3" t="s">
        <v>76</v>
      </c>
      <c r="VXP16" s="3" t="s">
        <v>77</v>
      </c>
      <c r="VXQ16" s="3" t="s">
        <v>76</v>
      </c>
      <c r="VXR16" s="3" t="s">
        <v>77</v>
      </c>
      <c r="VXS16" s="3" t="s">
        <v>76</v>
      </c>
      <c r="VXT16" s="3" t="s">
        <v>77</v>
      </c>
      <c r="VXU16" s="3" t="s">
        <v>76</v>
      </c>
      <c r="VXV16" s="3" t="s">
        <v>77</v>
      </c>
      <c r="VXW16" s="3" t="s">
        <v>76</v>
      </c>
      <c r="VXX16" s="3" t="s">
        <v>77</v>
      </c>
      <c r="VXY16" s="3" t="s">
        <v>76</v>
      </c>
      <c r="VXZ16" s="3" t="s">
        <v>77</v>
      </c>
      <c r="VYA16" s="3" t="s">
        <v>76</v>
      </c>
      <c r="VYB16" s="3" t="s">
        <v>77</v>
      </c>
      <c r="VYC16" s="3" t="s">
        <v>76</v>
      </c>
      <c r="VYD16" s="3" t="s">
        <v>77</v>
      </c>
      <c r="VYE16" s="3" t="s">
        <v>76</v>
      </c>
      <c r="VYF16" s="3" t="s">
        <v>77</v>
      </c>
      <c r="VYG16" s="3" t="s">
        <v>76</v>
      </c>
      <c r="VYH16" s="3" t="s">
        <v>77</v>
      </c>
      <c r="VYI16" s="3" t="s">
        <v>76</v>
      </c>
      <c r="VYJ16" s="3" t="s">
        <v>77</v>
      </c>
      <c r="VYK16" s="3" t="s">
        <v>76</v>
      </c>
      <c r="VYL16" s="3" t="s">
        <v>77</v>
      </c>
      <c r="VYM16" s="3" t="s">
        <v>76</v>
      </c>
      <c r="VYN16" s="3" t="s">
        <v>77</v>
      </c>
      <c r="VYO16" s="3" t="s">
        <v>76</v>
      </c>
      <c r="VYP16" s="3" t="s">
        <v>77</v>
      </c>
      <c r="VYQ16" s="3" t="s">
        <v>76</v>
      </c>
      <c r="VYR16" s="3" t="s">
        <v>77</v>
      </c>
      <c r="VYS16" s="3" t="s">
        <v>76</v>
      </c>
      <c r="VYT16" s="3" t="s">
        <v>77</v>
      </c>
      <c r="VYU16" s="3" t="s">
        <v>76</v>
      </c>
      <c r="VYV16" s="3" t="s">
        <v>77</v>
      </c>
      <c r="VYW16" s="3" t="s">
        <v>76</v>
      </c>
      <c r="VYX16" s="3" t="s">
        <v>77</v>
      </c>
      <c r="VYY16" s="3" t="s">
        <v>76</v>
      </c>
      <c r="VYZ16" s="3" t="s">
        <v>77</v>
      </c>
      <c r="VZA16" s="3" t="s">
        <v>76</v>
      </c>
      <c r="VZB16" s="3" t="s">
        <v>77</v>
      </c>
      <c r="VZC16" s="3" t="s">
        <v>76</v>
      </c>
      <c r="VZD16" s="3" t="s">
        <v>77</v>
      </c>
      <c r="VZE16" s="3" t="s">
        <v>76</v>
      </c>
      <c r="VZF16" s="3" t="s">
        <v>77</v>
      </c>
      <c r="VZG16" s="3" t="s">
        <v>76</v>
      </c>
      <c r="VZH16" s="3" t="s">
        <v>77</v>
      </c>
      <c r="VZI16" s="3" t="s">
        <v>76</v>
      </c>
      <c r="VZJ16" s="3" t="s">
        <v>77</v>
      </c>
      <c r="VZK16" s="3" t="s">
        <v>76</v>
      </c>
      <c r="VZL16" s="3" t="s">
        <v>77</v>
      </c>
      <c r="VZM16" s="3" t="s">
        <v>76</v>
      </c>
      <c r="VZN16" s="3" t="s">
        <v>77</v>
      </c>
      <c r="VZO16" s="3" t="s">
        <v>76</v>
      </c>
      <c r="VZP16" s="3" t="s">
        <v>77</v>
      </c>
      <c r="VZQ16" s="3" t="s">
        <v>76</v>
      </c>
      <c r="VZR16" s="3" t="s">
        <v>77</v>
      </c>
      <c r="VZS16" s="3" t="s">
        <v>76</v>
      </c>
      <c r="VZT16" s="3" t="s">
        <v>77</v>
      </c>
      <c r="VZU16" s="3" t="s">
        <v>76</v>
      </c>
      <c r="VZV16" s="3" t="s">
        <v>77</v>
      </c>
      <c r="VZW16" s="3" t="s">
        <v>76</v>
      </c>
      <c r="VZX16" s="3" t="s">
        <v>77</v>
      </c>
      <c r="VZY16" s="3" t="s">
        <v>76</v>
      </c>
      <c r="VZZ16" s="3" t="s">
        <v>77</v>
      </c>
      <c r="WAA16" s="3" t="s">
        <v>76</v>
      </c>
      <c r="WAB16" s="3" t="s">
        <v>77</v>
      </c>
      <c r="WAC16" s="3" t="s">
        <v>76</v>
      </c>
      <c r="WAD16" s="3" t="s">
        <v>77</v>
      </c>
      <c r="WAE16" s="3" t="s">
        <v>76</v>
      </c>
      <c r="WAF16" s="3" t="s">
        <v>77</v>
      </c>
      <c r="WAG16" s="3" t="s">
        <v>76</v>
      </c>
      <c r="WAH16" s="3" t="s">
        <v>77</v>
      </c>
      <c r="WAI16" s="3" t="s">
        <v>76</v>
      </c>
      <c r="WAJ16" s="3" t="s">
        <v>77</v>
      </c>
      <c r="WAK16" s="3" t="s">
        <v>76</v>
      </c>
      <c r="WAL16" s="3" t="s">
        <v>77</v>
      </c>
      <c r="WAM16" s="3" t="s">
        <v>76</v>
      </c>
      <c r="WAN16" s="3" t="s">
        <v>77</v>
      </c>
      <c r="WAO16" s="3" t="s">
        <v>76</v>
      </c>
      <c r="WAP16" s="3" t="s">
        <v>77</v>
      </c>
      <c r="WAQ16" s="3" t="s">
        <v>76</v>
      </c>
      <c r="WAR16" s="3" t="s">
        <v>77</v>
      </c>
      <c r="WAS16" s="3" t="s">
        <v>76</v>
      </c>
      <c r="WAT16" s="3" t="s">
        <v>77</v>
      </c>
      <c r="WAU16" s="3" t="s">
        <v>76</v>
      </c>
      <c r="WAV16" s="3" t="s">
        <v>77</v>
      </c>
      <c r="WAW16" s="3" t="s">
        <v>76</v>
      </c>
      <c r="WAX16" s="3" t="s">
        <v>77</v>
      </c>
      <c r="WAY16" s="3" t="s">
        <v>76</v>
      </c>
      <c r="WAZ16" s="3" t="s">
        <v>77</v>
      </c>
      <c r="WBA16" s="3" t="s">
        <v>76</v>
      </c>
      <c r="WBB16" s="3" t="s">
        <v>77</v>
      </c>
      <c r="WBC16" s="3" t="s">
        <v>76</v>
      </c>
      <c r="WBD16" s="3" t="s">
        <v>77</v>
      </c>
      <c r="WBE16" s="3" t="s">
        <v>76</v>
      </c>
      <c r="WBF16" s="3" t="s">
        <v>77</v>
      </c>
      <c r="WBG16" s="3" t="s">
        <v>76</v>
      </c>
      <c r="WBH16" s="3" t="s">
        <v>77</v>
      </c>
      <c r="WBI16" s="3" t="s">
        <v>76</v>
      </c>
      <c r="WBJ16" s="3" t="s">
        <v>77</v>
      </c>
      <c r="WBK16" s="3" t="s">
        <v>76</v>
      </c>
      <c r="WBL16" s="3" t="s">
        <v>77</v>
      </c>
      <c r="WBM16" s="3" t="s">
        <v>76</v>
      </c>
      <c r="WBN16" s="3" t="s">
        <v>77</v>
      </c>
      <c r="WBO16" s="3" t="s">
        <v>76</v>
      </c>
      <c r="WBP16" s="3" t="s">
        <v>77</v>
      </c>
      <c r="WBQ16" s="3" t="s">
        <v>76</v>
      </c>
      <c r="WBR16" s="3" t="s">
        <v>77</v>
      </c>
      <c r="WBS16" s="3" t="s">
        <v>76</v>
      </c>
      <c r="WBT16" s="3" t="s">
        <v>77</v>
      </c>
      <c r="WBU16" s="3" t="s">
        <v>76</v>
      </c>
      <c r="WBV16" s="3" t="s">
        <v>77</v>
      </c>
      <c r="WBW16" s="3" t="s">
        <v>76</v>
      </c>
      <c r="WBX16" s="3" t="s">
        <v>77</v>
      </c>
      <c r="WBY16" s="3" t="s">
        <v>76</v>
      </c>
      <c r="WBZ16" s="3" t="s">
        <v>77</v>
      </c>
      <c r="WCA16" s="3" t="s">
        <v>76</v>
      </c>
      <c r="WCB16" s="3" t="s">
        <v>77</v>
      </c>
      <c r="WCC16" s="3" t="s">
        <v>76</v>
      </c>
      <c r="WCD16" s="3" t="s">
        <v>77</v>
      </c>
      <c r="WCE16" s="3" t="s">
        <v>76</v>
      </c>
      <c r="WCF16" s="3" t="s">
        <v>77</v>
      </c>
      <c r="WCG16" s="3" t="s">
        <v>76</v>
      </c>
      <c r="WCH16" s="3" t="s">
        <v>77</v>
      </c>
      <c r="WCI16" s="3" t="s">
        <v>76</v>
      </c>
      <c r="WCJ16" s="3" t="s">
        <v>77</v>
      </c>
      <c r="WCK16" s="3" t="s">
        <v>76</v>
      </c>
      <c r="WCL16" s="3" t="s">
        <v>77</v>
      </c>
      <c r="WCM16" s="3" t="s">
        <v>76</v>
      </c>
      <c r="WCN16" s="3" t="s">
        <v>77</v>
      </c>
      <c r="WCO16" s="3" t="s">
        <v>76</v>
      </c>
      <c r="WCP16" s="3" t="s">
        <v>77</v>
      </c>
      <c r="WCQ16" s="3" t="s">
        <v>76</v>
      </c>
      <c r="WCR16" s="3" t="s">
        <v>77</v>
      </c>
      <c r="WCS16" s="3" t="s">
        <v>76</v>
      </c>
      <c r="WCT16" s="3" t="s">
        <v>77</v>
      </c>
      <c r="WCU16" s="3" t="s">
        <v>76</v>
      </c>
      <c r="WCV16" s="3" t="s">
        <v>77</v>
      </c>
      <c r="WCW16" s="3" t="s">
        <v>76</v>
      </c>
      <c r="WCX16" s="3" t="s">
        <v>77</v>
      </c>
      <c r="WCY16" s="3" t="s">
        <v>76</v>
      </c>
      <c r="WCZ16" s="3" t="s">
        <v>77</v>
      </c>
      <c r="WDA16" s="3" t="s">
        <v>76</v>
      </c>
      <c r="WDB16" s="3" t="s">
        <v>77</v>
      </c>
      <c r="WDC16" s="3" t="s">
        <v>76</v>
      </c>
      <c r="WDD16" s="3" t="s">
        <v>77</v>
      </c>
      <c r="WDE16" s="3" t="s">
        <v>76</v>
      </c>
      <c r="WDF16" s="3" t="s">
        <v>77</v>
      </c>
      <c r="WDG16" s="3" t="s">
        <v>76</v>
      </c>
      <c r="WDH16" s="3" t="s">
        <v>77</v>
      </c>
      <c r="WDI16" s="3" t="s">
        <v>76</v>
      </c>
      <c r="WDJ16" s="3" t="s">
        <v>77</v>
      </c>
      <c r="WDK16" s="3" t="s">
        <v>76</v>
      </c>
      <c r="WDL16" s="3" t="s">
        <v>77</v>
      </c>
      <c r="WDM16" s="3" t="s">
        <v>76</v>
      </c>
      <c r="WDN16" s="3" t="s">
        <v>77</v>
      </c>
      <c r="WDO16" s="3" t="s">
        <v>76</v>
      </c>
      <c r="WDP16" s="3" t="s">
        <v>77</v>
      </c>
      <c r="WDQ16" s="3" t="s">
        <v>76</v>
      </c>
      <c r="WDR16" s="3" t="s">
        <v>77</v>
      </c>
      <c r="WDS16" s="3" t="s">
        <v>76</v>
      </c>
      <c r="WDT16" s="3" t="s">
        <v>77</v>
      </c>
      <c r="WDU16" s="3" t="s">
        <v>76</v>
      </c>
      <c r="WDV16" s="3" t="s">
        <v>77</v>
      </c>
      <c r="WDW16" s="3" t="s">
        <v>76</v>
      </c>
      <c r="WDX16" s="3" t="s">
        <v>77</v>
      </c>
      <c r="WDY16" s="3" t="s">
        <v>76</v>
      </c>
      <c r="WDZ16" s="3" t="s">
        <v>77</v>
      </c>
      <c r="WEA16" s="3" t="s">
        <v>76</v>
      </c>
      <c r="WEB16" s="3" t="s">
        <v>77</v>
      </c>
      <c r="WEC16" s="3" t="s">
        <v>76</v>
      </c>
      <c r="WED16" s="3" t="s">
        <v>77</v>
      </c>
      <c r="WEE16" s="3" t="s">
        <v>76</v>
      </c>
      <c r="WEF16" s="3" t="s">
        <v>77</v>
      </c>
      <c r="WEG16" s="3" t="s">
        <v>76</v>
      </c>
      <c r="WEH16" s="3" t="s">
        <v>77</v>
      </c>
      <c r="WEI16" s="3" t="s">
        <v>76</v>
      </c>
      <c r="WEJ16" s="3" t="s">
        <v>77</v>
      </c>
      <c r="WEK16" s="3" t="s">
        <v>76</v>
      </c>
      <c r="WEL16" s="3" t="s">
        <v>77</v>
      </c>
      <c r="WEM16" s="3" t="s">
        <v>76</v>
      </c>
      <c r="WEN16" s="3" t="s">
        <v>77</v>
      </c>
      <c r="WEO16" s="3" t="s">
        <v>76</v>
      </c>
      <c r="WEP16" s="3" t="s">
        <v>77</v>
      </c>
      <c r="WEQ16" s="3" t="s">
        <v>76</v>
      </c>
      <c r="WER16" s="3" t="s">
        <v>77</v>
      </c>
      <c r="WES16" s="3" t="s">
        <v>76</v>
      </c>
      <c r="WET16" s="3" t="s">
        <v>77</v>
      </c>
      <c r="WEU16" s="3" t="s">
        <v>76</v>
      </c>
      <c r="WEV16" s="3" t="s">
        <v>77</v>
      </c>
      <c r="WEW16" s="3" t="s">
        <v>76</v>
      </c>
      <c r="WEX16" s="3" t="s">
        <v>77</v>
      </c>
      <c r="WEY16" s="3" t="s">
        <v>76</v>
      </c>
      <c r="WEZ16" s="3" t="s">
        <v>77</v>
      </c>
      <c r="WFA16" s="3" t="s">
        <v>76</v>
      </c>
      <c r="WFB16" s="3" t="s">
        <v>77</v>
      </c>
      <c r="WFC16" s="3" t="s">
        <v>76</v>
      </c>
      <c r="WFD16" s="3" t="s">
        <v>77</v>
      </c>
      <c r="WFE16" s="3" t="s">
        <v>76</v>
      </c>
      <c r="WFF16" s="3" t="s">
        <v>77</v>
      </c>
      <c r="WFG16" s="3" t="s">
        <v>76</v>
      </c>
      <c r="WFH16" s="3" t="s">
        <v>77</v>
      </c>
      <c r="WFI16" s="3" t="s">
        <v>76</v>
      </c>
      <c r="WFJ16" s="3" t="s">
        <v>77</v>
      </c>
      <c r="WFK16" s="3" t="s">
        <v>76</v>
      </c>
      <c r="WFL16" s="3" t="s">
        <v>77</v>
      </c>
      <c r="WFM16" s="3" t="s">
        <v>76</v>
      </c>
      <c r="WFN16" s="3" t="s">
        <v>77</v>
      </c>
      <c r="WFO16" s="3" t="s">
        <v>76</v>
      </c>
      <c r="WFP16" s="3" t="s">
        <v>77</v>
      </c>
      <c r="WFQ16" s="3" t="s">
        <v>76</v>
      </c>
      <c r="WFR16" s="3" t="s">
        <v>77</v>
      </c>
      <c r="WFS16" s="3" t="s">
        <v>76</v>
      </c>
      <c r="WFT16" s="3" t="s">
        <v>77</v>
      </c>
      <c r="WFU16" s="3" t="s">
        <v>76</v>
      </c>
      <c r="WFV16" s="3" t="s">
        <v>77</v>
      </c>
      <c r="WFW16" s="3" t="s">
        <v>76</v>
      </c>
      <c r="WFX16" s="3" t="s">
        <v>77</v>
      </c>
      <c r="WFY16" s="3" t="s">
        <v>76</v>
      </c>
      <c r="WFZ16" s="3" t="s">
        <v>77</v>
      </c>
      <c r="WGA16" s="3" t="s">
        <v>76</v>
      </c>
      <c r="WGB16" s="3" t="s">
        <v>77</v>
      </c>
      <c r="WGC16" s="3" t="s">
        <v>76</v>
      </c>
      <c r="WGD16" s="3" t="s">
        <v>77</v>
      </c>
      <c r="WGE16" s="3" t="s">
        <v>76</v>
      </c>
      <c r="WGF16" s="3" t="s">
        <v>77</v>
      </c>
      <c r="WGG16" s="3" t="s">
        <v>76</v>
      </c>
      <c r="WGH16" s="3" t="s">
        <v>77</v>
      </c>
      <c r="WGI16" s="3" t="s">
        <v>76</v>
      </c>
      <c r="WGJ16" s="3" t="s">
        <v>77</v>
      </c>
      <c r="WGK16" s="3" t="s">
        <v>76</v>
      </c>
      <c r="WGL16" s="3" t="s">
        <v>77</v>
      </c>
      <c r="WGM16" s="3" t="s">
        <v>76</v>
      </c>
      <c r="WGN16" s="3" t="s">
        <v>77</v>
      </c>
      <c r="WGO16" s="3" t="s">
        <v>76</v>
      </c>
      <c r="WGP16" s="3" t="s">
        <v>77</v>
      </c>
      <c r="WGQ16" s="3" t="s">
        <v>76</v>
      </c>
      <c r="WGR16" s="3" t="s">
        <v>77</v>
      </c>
      <c r="WGS16" s="3" t="s">
        <v>76</v>
      </c>
      <c r="WGT16" s="3" t="s">
        <v>77</v>
      </c>
      <c r="WGU16" s="3" t="s">
        <v>76</v>
      </c>
      <c r="WGV16" s="3" t="s">
        <v>77</v>
      </c>
      <c r="WGW16" s="3" t="s">
        <v>76</v>
      </c>
      <c r="WGX16" s="3" t="s">
        <v>77</v>
      </c>
      <c r="WGY16" s="3" t="s">
        <v>76</v>
      </c>
      <c r="WGZ16" s="3" t="s">
        <v>77</v>
      </c>
      <c r="WHA16" s="3" t="s">
        <v>76</v>
      </c>
      <c r="WHB16" s="3" t="s">
        <v>77</v>
      </c>
      <c r="WHC16" s="3" t="s">
        <v>76</v>
      </c>
      <c r="WHD16" s="3" t="s">
        <v>77</v>
      </c>
      <c r="WHE16" s="3" t="s">
        <v>76</v>
      </c>
      <c r="WHF16" s="3" t="s">
        <v>77</v>
      </c>
      <c r="WHG16" s="3" t="s">
        <v>76</v>
      </c>
      <c r="WHH16" s="3" t="s">
        <v>77</v>
      </c>
      <c r="WHI16" s="3" t="s">
        <v>76</v>
      </c>
      <c r="WHJ16" s="3" t="s">
        <v>77</v>
      </c>
      <c r="WHK16" s="3" t="s">
        <v>76</v>
      </c>
      <c r="WHL16" s="3" t="s">
        <v>77</v>
      </c>
      <c r="WHM16" s="3" t="s">
        <v>76</v>
      </c>
      <c r="WHN16" s="3" t="s">
        <v>77</v>
      </c>
      <c r="WHO16" s="3" t="s">
        <v>76</v>
      </c>
      <c r="WHP16" s="3" t="s">
        <v>77</v>
      </c>
      <c r="WHQ16" s="3" t="s">
        <v>76</v>
      </c>
      <c r="WHR16" s="3" t="s">
        <v>77</v>
      </c>
      <c r="WHS16" s="3" t="s">
        <v>76</v>
      </c>
      <c r="WHT16" s="3" t="s">
        <v>77</v>
      </c>
      <c r="WHU16" s="3" t="s">
        <v>76</v>
      </c>
      <c r="WHV16" s="3" t="s">
        <v>77</v>
      </c>
      <c r="WHW16" s="3" t="s">
        <v>76</v>
      </c>
      <c r="WHX16" s="3" t="s">
        <v>77</v>
      </c>
      <c r="WHY16" s="3" t="s">
        <v>76</v>
      </c>
      <c r="WHZ16" s="3" t="s">
        <v>77</v>
      </c>
      <c r="WIA16" s="3" t="s">
        <v>76</v>
      </c>
      <c r="WIB16" s="3" t="s">
        <v>77</v>
      </c>
      <c r="WIC16" s="3" t="s">
        <v>76</v>
      </c>
      <c r="WID16" s="3" t="s">
        <v>77</v>
      </c>
      <c r="WIE16" s="3" t="s">
        <v>76</v>
      </c>
      <c r="WIF16" s="3" t="s">
        <v>77</v>
      </c>
      <c r="WIG16" s="3" t="s">
        <v>76</v>
      </c>
      <c r="WIH16" s="3" t="s">
        <v>77</v>
      </c>
      <c r="WII16" s="3" t="s">
        <v>76</v>
      </c>
      <c r="WIJ16" s="3" t="s">
        <v>77</v>
      </c>
      <c r="WIK16" s="3" t="s">
        <v>76</v>
      </c>
      <c r="WIL16" s="3" t="s">
        <v>77</v>
      </c>
      <c r="WIM16" s="3" t="s">
        <v>76</v>
      </c>
      <c r="WIN16" s="3" t="s">
        <v>77</v>
      </c>
      <c r="WIO16" s="3" t="s">
        <v>76</v>
      </c>
      <c r="WIP16" s="3" t="s">
        <v>77</v>
      </c>
      <c r="WIQ16" s="3" t="s">
        <v>76</v>
      </c>
      <c r="WIR16" s="3" t="s">
        <v>77</v>
      </c>
      <c r="WIS16" s="3" t="s">
        <v>76</v>
      </c>
      <c r="WIT16" s="3" t="s">
        <v>77</v>
      </c>
      <c r="WIU16" s="3" t="s">
        <v>76</v>
      </c>
      <c r="WIV16" s="3" t="s">
        <v>77</v>
      </c>
      <c r="WIW16" s="3" t="s">
        <v>76</v>
      </c>
      <c r="WIX16" s="3" t="s">
        <v>77</v>
      </c>
      <c r="WIY16" s="3" t="s">
        <v>76</v>
      </c>
      <c r="WIZ16" s="3" t="s">
        <v>77</v>
      </c>
      <c r="WJA16" s="3" t="s">
        <v>76</v>
      </c>
      <c r="WJB16" s="3" t="s">
        <v>77</v>
      </c>
      <c r="WJC16" s="3" t="s">
        <v>76</v>
      </c>
      <c r="WJD16" s="3" t="s">
        <v>77</v>
      </c>
      <c r="WJE16" s="3" t="s">
        <v>76</v>
      </c>
      <c r="WJF16" s="3" t="s">
        <v>77</v>
      </c>
      <c r="WJG16" s="3" t="s">
        <v>76</v>
      </c>
      <c r="WJH16" s="3" t="s">
        <v>77</v>
      </c>
      <c r="WJI16" s="3" t="s">
        <v>76</v>
      </c>
      <c r="WJJ16" s="3" t="s">
        <v>77</v>
      </c>
      <c r="WJK16" s="3" t="s">
        <v>76</v>
      </c>
      <c r="WJL16" s="3" t="s">
        <v>77</v>
      </c>
      <c r="WJM16" s="3" t="s">
        <v>76</v>
      </c>
      <c r="WJN16" s="3" t="s">
        <v>77</v>
      </c>
      <c r="WJO16" s="3" t="s">
        <v>76</v>
      </c>
      <c r="WJP16" s="3" t="s">
        <v>77</v>
      </c>
      <c r="WJQ16" s="3" t="s">
        <v>76</v>
      </c>
      <c r="WJR16" s="3" t="s">
        <v>77</v>
      </c>
      <c r="WJS16" s="3" t="s">
        <v>76</v>
      </c>
      <c r="WJT16" s="3" t="s">
        <v>77</v>
      </c>
      <c r="WJU16" s="3" t="s">
        <v>76</v>
      </c>
      <c r="WJV16" s="3" t="s">
        <v>77</v>
      </c>
      <c r="WJW16" s="3" t="s">
        <v>76</v>
      </c>
      <c r="WJX16" s="3" t="s">
        <v>77</v>
      </c>
      <c r="WJY16" s="3" t="s">
        <v>76</v>
      </c>
      <c r="WJZ16" s="3" t="s">
        <v>77</v>
      </c>
      <c r="WKA16" s="3" t="s">
        <v>76</v>
      </c>
      <c r="WKB16" s="3" t="s">
        <v>77</v>
      </c>
      <c r="WKC16" s="3" t="s">
        <v>76</v>
      </c>
      <c r="WKD16" s="3" t="s">
        <v>77</v>
      </c>
      <c r="WKE16" s="3" t="s">
        <v>76</v>
      </c>
      <c r="WKF16" s="3" t="s">
        <v>77</v>
      </c>
      <c r="WKG16" s="3" t="s">
        <v>76</v>
      </c>
      <c r="WKH16" s="3" t="s">
        <v>77</v>
      </c>
      <c r="WKI16" s="3" t="s">
        <v>76</v>
      </c>
      <c r="WKJ16" s="3" t="s">
        <v>77</v>
      </c>
      <c r="WKK16" s="3" t="s">
        <v>76</v>
      </c>
      <c r="WKL16" s="3" t="s">
        <v>77</v>
      </c>
      <c r="WKM16" s="3" t="s">
        <v>76</v>
      </c>
      <c r="WKN16" s="3" t="s">
        <v>77</v>
      </c>
      <c r="WKO16" s="3" t="s">
        <v>76</v>
      </c>
      <c r="WKP16" s="3" t="s">
        <v>77</v>
      </c>
      <c r="WKQ16" s="3" t="s">
        <v>76</v>
      </c>
      <c r="WKR16" s="3" t="s">
        <v>77</v>
      </c>
      <c r="WKS16" s="3" t="s">
        <v>76</v>
      </c>
      <c r="WKT16" s="3" t="s">
        <v>77</v>
      </c>
      <c r="WKU16" s="3" t="s">
        <v>76</v>
      </c>
      <c r="WKV16" s="3" t="s">
        <v>77</v>
      </c>
      <c r="WKW16" s="3" t="s">
        <v>76</v>
      </c>
      <c r="WKX16" s="3" t="s">
        <v>77</v>
      </c>
      <c r="WKY16" s="3" t="s">
        <v>76</v>
      </c>
      <c r="WKZ16" s="3" t="s">
        <v>77</v>
      </c>
      <c r="WLA16" s="3" t="s">
        <v>76</v>
      </c>
      <c r="WLB16" s="3" t="s">
        <v>77</v>
      </c>
      <c r="WLC16" s="3" t="s">
        <v>76</v>
      </c>
      <c r="WLD16" s="3" t="s">
        <v>77</v>
      </c>
      <c r="WLE16" s="3" t="s">
        <v>76</v>
      </c>
      <c r="WLF16" s="3" t="s">
        <v>77</v>
      </c>
      <c r="WLG16" s="3" t="s">
        <v>76</v>
      </c>
      <c r="WLH16" s="3" t="s">
        <v>77</v>
      </c>
      <c r="WLI16" s="3" t="s">
        <v>76</v>
      </c>
      <c r="WLJ16" s="3" t="s">
        <v>77</v>
      </c>
      <c r="WLK16" s="3" t="s">
        <v>76</v>
      </c>
      <c r="WLL16" s="3" t="s">
        <v>77</v>
      </c>
      <c r="WLM16" s="3" t="s">
        <v>76</v>
      </c>
      <c r="WLN16" s="3" t="s">
        <v>77</v>
      </c>
      <c r="WLO16" s="3" t="s">
        <v>76</v>
      </c>
      <c r="WLP16" s="3" t="s">
        <v>77</v>
      </c>
      <c r="WLQ16" s="3" t="s">
        <v>76</v>
      </c>
      <c r="WLR16" s="3" t="s">
        <v>77</v>
      </c>
      <c r="WLS16" s="3" t="s">
        <v>76</v>
      </c>
      <c r="WLT16" s="3" t="s">
        <v>77</v>
      </c>
      <c r="WLU16" s="3" t="s">
        <v>76</v>
      </c>
      <c r="WLV16" s="3" t="s">
        <v>77</v>
      </c>
      <c r="WLW16" s="3" t="s">
        <v>76</v>
      </c>
      <c r="WLX16" s="3" t="s">
        <v>77</v>
      </c>
      <c r="WLY16" s="3" t="s">
        <v>76</v>
      </c>
      <c r="WLZ16" s="3" t="s">
        <v>77</v>
      </c>
      <c r="WMA16" s="3" t="s">
        <v>76</v>
      </c>
      <c r="WMB16" s="3" t="s">
        <v>77</v>
      </c>
      <c r="WMC16" s="3" t="s">
        <v>76</v>
      </c>
      <c r="WMD16" s="3" t="s">
        <v>77</v>
      </c>
      <c r="WME16" s="3" t="s">
        <v>76</v>
      </c>
      <c r="WMF16" s="3" t="s">
        <v>77</v>
      </c>
      <c r="WMG16" s="3" t="s">
        <v>76</v>
      </c>
      <c r="WMH16" s="3" t="s">
        <v>77</v>
      </c>
      <c r="WMI16" s="3" t="s">
        <v>76</v>
      </c>
      <c r="WMJ16" s="3" t="s">
        <v>77</v>
      </c>
      <c r="WMK16" s="3" t="s">
        <v>76</v>
      </c>
      <c r="WML16" s="3" t="s">
        <v>77</v>
      </c>
      <c r="WMM16" s="3" t="s">
        <v>76</v>
      </c>
      <c r="WMN16" s="3" t="s">
        <v>77</v>
      </c>
      <c r="WMO16" s="3" t="s">
        <v>76</v>
      </c>
      <c r="WMP16" s="3" t="s">
        <v>77</v>
      </c>
      <c r="WMQ16" s="3" t="s">
        <v>76</v>
      </c>
      <c r="WMR16" s="3" t="s">
        <v>77</v>
      </c>
      <c r="WMS16" s="3" t="s">
        <v>76</v>
      </c>
      <c r="WMT16" s="3" t="s">
        <v>77</v>
      </c>
      <c r="WMU16" s="3" t="s">
        <v>76</v>
      </c>
      <c r="WMV16" s="3" t="s">
        <v>77</v>
      </c>
      <c r="WMW16" s="3" t="s">
        <v>76</v>
      </c>
      <c r="WMX16" s="3" t="s">
        <v>77</v>
      </c>
      <c r="WMY16" s="3" t="s">
        <v>76</v>
      </c>
      <c r="WMZ16" s="3" t="s">
        <v>77</v>
      </c>
      <c r="WNA16" s="3" t="s">
        <v>76</v>
      </c>
      <c r="WNB16" s="3" t="s">
        <v>77</v>
      </c>
      <c r="WNC16" s="3" t="s">
        <v>76</v>
      </c>
      <c r="WND16" s="3" t="s">
        <v>77</v>
      </c>
      <c r="WNE16" s="3" t="s">
        <v>76</v>
      </c>
      <c r="WNF16" s="3" t="s">
        <v>77</v>
      </c>
      <c r="WNG16" s="3" t="s">
        <v>76</v>
      </c>
      <c r="WNH16" s="3" t="s">
        <v>77</v>
      </c>
      <c r="WNI16" s="3" t="s">
        <v>76</v>
      </c>
      <c r="WNJ16" s="3" t="s">
        <v>77</v>
      </c>
      <c r="WNK16" s="3" t="s">
        <v>76</v>
      </c>
      <c r="WNL16" s="3" t="s">
        <v>77</v>
      </c>
      <c r="WNM16" s="3" t="s">
        <v>76</v>
      </c>
      <c r="WNN16" s="3" t="s">
        <v>77</v>
      </c>
      <c r="WNO16" s="3" t="s">
        <v>76</v>
      </c>
      <c r="WNP16" s="3" t="s">
        <v>77</v>
      </c>
      <c r="WNQ16" s="3" t="s">
        <v>76</v>
      </c>
      <c r="WNR16" s="3" t="s">
        <v>77</v>
      </c>
      <c r="WNS16" s="3" t="s">
        <v>76</v>
      </c>
      <c r="WNT16" s="3" t="s">
        <v>77</v>
      </c>
      <c r="WNU16" s="3" t="s">
        <v>76</v>
      </c>
      <c r="WNV16" s="3" t="s">
        <v>77</v>
      </c>
      <c r="WNW16" s="3" t="s">
        <v>76</v>
      </c>
      <c r="WNX16" s="3" t="s">
        <v>77</v>
      </c>
      <c r="WNY16" s="3" t="s">
        <v>76</v>
      </c>
      <c r="WNZ16" s="3" t="s">
        <v>77</v>
      </c>
      <c r="WOA16" s="3" t="s">
        <v>76</v>
      </c>
      <c r="WOB16" s="3" t="s">
        <v>77</v>
      </c>
      <c r="WOC16" s="3" t="s">
        <v>76</v>
      </c>
      <c r="WOD16" s="3" t="s">
        <v>77</v>
      </c>
      <c r="WOE16" s="3" t="s">
        <v>76</v>
      </c>
      <c r="WOF16" s="3" t="s">
        <v>77</v>
      </c>
      <c r="WOG16" s="3" t="s">
        <v>76</v>
      </c>
      <c r="WOH16" s="3" t="s">
        <v>77</v>
      </c>
      <c r="WOI16" s="3" t="s">
        <v>76</v>
      </c>
      <c r="WOJ16" s="3" t="s">
        <v>77</v>
      </c>
      <c r="WOK16" s="3" t="s">
        <v>76</v>
      </c>
      <c r="WOL16" s="3" t="s">
        <v>77</v>
      </c>
      <c r="WOM16" s="3" t="s">
        <v>76</v>
      </c>
      <c r="WON16" s="3" t="s">
        <v>77</v>
      </c>
      <c r="WOO16" s="3" t="s">
        <v>76</v>
      </c>
      <c r="WOP16" s="3" t="s">
        <v>77</v>
      </c>
      <c r="WOQ16" s="3" t="s">
        <v>76</v>
      </c>
      <c r="WOR16" s="3" t="s">
        <v>77</v>
      </c>
      <c r="WOS16" s="3" t="s">
        <v>76</v>
      </c>
      <c r="WOT16" s="3" t="s">
        <v>77</v>
      </c>
      <c r="WOU16" s="3" t="s">
        <v>76</v>
      </c>
      <c r="WOV16" s="3" t="s">
        <v>77</v>
      </c>
      <c r="WOW16" s="3" t="s">
        <v>76</v>
      </c>
      <c r="WOX16" s="3" t="s">
        <v>77</v>
      </c>
      <c r="WOY16" s="3" t="s">
        <v>76</v>
      </c>
      <c r="WOZ16" s="3" t="s">
        <v>77</v>
      </c>
      <c r="WPA16" s="3" t="s">
        <v>76</v>
      </c>
      <c r="WPB16" s="3" t="s">
        <v>77</v>
      </c>
      <c r="WPC16" s="3" t="s">
        <v>76</v>
      </c>
      <c r="WPD16" s="3" t="s">
        <v>77</v>
      </c>
      <c r="WPE16" s="3" t="s">
        <v>76</v>
      </c>
      <c r="WPF16" s="3" t="s">
        <v>77</v>
      </c>
      <c r="WPG16" s="3" t="s">
        <v>76</v>
      </c>
      <c r="WPH16" s="3" t="s">
        <v>77</v>
      </c>
      <c r="WPI16" s="3" t="s">
        <v>76</v>
      </c>
      <c r="WPJ16" s="3" t="s">
        <v>77</v>
      </c>
      <c r="WPK16" s="3" t="s">
        <v>76</v>
      </c>
      <c r="WPL16" s="3" t="s">
        <v>77</v>
      </c>
      <c r="WPM16" s="3" t="s">
        <v>76</v>
      </c>
      <c r="WPN16" s="3" t="s">
        <v>77</v>
      </c>
      <c r="WPO16" s="3" t="s">
        <v>76</v>
      </c>
      <c r="WPP16" s="3" t="s">
        <v>77</v>
      </c>
      <c r="WPQ16" s="3" t="s">
        <v>76</v>
      </c>
      <c r="WPR16" s="3" t="s">
        <v>77</v>
      </c>
      <c r="WPS16" s="3" t="s">
        <v>76</v>
      </c>
      <c r="WPT16" s="3" t="s">
        <v>77</v>
      </c>
      <c r="WPU16" s="3" t="s">
        <v>76</v>
      </c>
      <c r="WPV16" s="3" t="s">
        <v>77</v>
      </c>
      <c r="WPW16" s="3" t="s">
        <v>76</v>
      </c>
      <c r="WPX16" s="3" t="s">
        <v>77</v>
      </c>
      <c r="WPY16" s="3" t="s">
        <v>76</v>
      </c>
      <c r="WPZ16" s="3" t="s">
        <v>77</v>
      </c>
      <c r="WQA16" s="3" t="s">
        <v>76</v>
      </c>
      <c r="WQB16" s="3" t="s">
        <v>77</v>
      </c>
      <c r="WQC16" s="3" t="s">
        <v>76</v>
      </c>
      <c r="WQD16" s="3" t="s">
        <v>77</v>
      </c>
      <c r="WQE16" s="3" t="s">
        <v>76</v>
      </c>
      <c r="WQF16" s="3" t="s">
        <v>77</v>
      </c>
      <c r="WQG16" s="3" t="s">
        <v>76</v>
      </c>
      <c r="WQH16" s="3" t="s">
        <v>77</v>
      </c>
      <c r="WQI16" s="3" t="s">
        <v>76</v>
      </c>
      <c r="WQJ16" s="3" t="s">
        <v>77</v>
      </c>
      <c r="WQK16" s="3" t="s">
        <v>76</v>
      </c>
      <c r="WQL16" s="3" t="s">
        <v>77</v>
      </c>
      <c r="WQM16" s="3" t="s">
        <v>76</v>
      </c>
      <c r="WQN16" s="3" t="s">
        <v>77</v>
      </c>
      <c r="WQO16" s="3" t="s">
        <v>76</v>
      </c>
      <c r="WQP16" s="3" t="s">
        <v>77</v>
      </c>
      <c r="WQQ16" s="3" t="s">
        <v>76</v>
      </c>
      <c r="WQR16" s="3" t="s">
        <v>77</v>
      </c>
      <c r="WQS16" s="3" t="s">
        <v>76</v>
      </c>
      <c r="WQT16" s="3" t="s">
        <v>77</v>
      </c>
      <c r="WQU16" s="3" t="s">
        <v>76</v>
      </c>
      <c r="WQV16" s="3" t="s">
        <v>77</v>
      </c>
      <c r="WQW16" s="3" t="s">
        <v>76</v>
      </c>
      <c r="WQX16" s="3" t="s">
        <v>77</v>
      </c>
      <c r="WQY16" s="3" t="s">
        <v>76</v>
      </c>
      <c r="WQZ16" s="3" t="s">
        <v>77</v>
      </c>
      <c r="WRA16" s="3" t="s">
        <v>76</v>
      </c>
      <c r="WRB16" s="3" t="s">
        <v>77</v>
      </c>
      <c r="WRC16" s="3" t="s">
        <v>76</v>
      </c>
      <c r="WRD16" s="3" t="s">
        <v>77</v>
      </c>
      <c r="WRE16" s="3" t="s">
        <v>76</v>
      </c>
      <c r="WRF16" s="3" t="s">
        <v>77</v>
      </c>
      <c r="WRG16" s="3" t="s">
        <v>76</v>
      </c>
      <c r="WRH16" s="3" t="s">
        <v>77</v>
      </c>
      <c r="WRI16" s="3" t="s">
        <v>76</v>
      </c>
      <c r="WRJ16" s="3" t="s">
        <v>77</v>
      </c>
      <c r="WRK16" s="3" t="s">
        <v>76</v>
      </c>
      <c r="WRL16" s="3" t="s">
        <v>77</v>
      </c>
      <c r="WRM16" s="3" t="s">
        <v>76</v>
      </c>
      <c r="WRN16" s="3" t="s">
        <v>77</v>
      </c>
      <c r="WRO16" s="3" t="s">
        <v>76</v>
      </c>
      <c r="WRP16" s="3" t="s">
        <v>77</v>
      </c>
      <c r="WRQ16" s="3" t="s">
        <v>76</v>
      </c>
      <c r="WRR16" s="3" t="s">
        <v>77</v>
      </c>
      <c r="WRS16" s="3" t="s">
        <v>76</v>
      </c>
      <c r="WRT16" s="3" t="s">
        <v>77</v>
      </c>
      <c r="WRU16" s="3" t="s">
        <v>76</v>
      </c>
      <c r="WRV16" s="3" t="s">
        <v>77</v>
      </c>
      <c r="WRW16" s="3" t="s">
        <v>76</v>
      </c>
      <c r="WRX16" s="3" t="s">
        <v>77</v>
      </c>
      <c r="WRY16" s="3" t="s">
        <v>76</v>
      </c>
      <c r="WRZ16" s="3" t="s">
        <v>77</v>
      </c>
      <c r="WSA16" s="3" t="s">
        <v>76</v>
      </c>
      <c r="WSB16" s="3" t="s">
        <v>77</v>
      </c>
      <c r="WSC16" s="3" t="s">
        <v>76</v>
      </c>
      <c r="WSD16" s="3" t="s">
        <v>77</v>
      </c>
      <c r="WSE16" s="3" t="s">
        <v>76</v>
      </c>
      <c r="WSF16" s="3" t="s">
        <v>77</v>
      </c>
      <c r="WSG16" s="3" t="s">
        <v>76</v>
      </c>
      <c r="WSH16" s="3" t="s">
        <v>77</v>
      </c>
      <c r="WSI16" s="3" t="s">
        <v>76</v>
      </c>
      <c r="WSJ16" s="3" t="s">
        <v>77</v>
      </c>
      <c r="WSK16" s="3" t="s">
        <v>76</v>
      </c>
      <c r="WSL16" s="3" t="s">
        <v>77</v>
      </c>
      <c r="WSM16" s="3" t="s">
        <v>76</v>
      </c>
      <c r="WSN16" s="3" t="s">
        <v>77</v>
      </c>
      <c r="WSO16" s="3" t="s">
        <v>76</v>
      </c>
      <c r="WSP16" s="3" t="s">
        <v>77</v>
      </c>
      <c r="WSQ16" s="3" t="s">
        <v>76</v>
      </c>
      <c r="WSR16" s="3" t="s">
        <v>77</v>
      </c>
      <c r="WSS16" s="3" t="s">
        <v>76</v>
      </c>
      <c r="WST16" s="3" t="s">
        <v>77</v>
      </c>
      <c r="WSU16" s="3" t="s">
        <v>76</v>
      </c>
      <c r="WSV16" s="3" t="s">
        <v>77</v>
      </c>
      <c r="WSW16" s="3" t="s">
        <v>76</v>
      </c>
      <c r="WSX16" s="3" t="s">
        <v>77</v>
      </c>
      <c r="WSY16" s="3" t="s">
        <v>76</v>
      </c>
      <c r="WSZ16" s="3" t="s">
        <v>77</v>
      </c>
      <c r="WTA16" s="3" t="s">
        <v>76</v>
      </c>
      <c r="WTB16" s="3" t="s">
        <v>77</v>
      </c>
      <c r="WTC16" s="3" t="s">
        <v>76</v>
      </c>
      <c r="WTD16" s="3" t="s">
        <v>77</v>
      </c>
      <c r="WTE16" s="3" t="s">
        <v>76</v>
      </c>
      <c r="WTF16" s="3" t="s">
        <v>77</v>
      </c>
      <c r="WTG16" s="3" t="s">
        <v>76</v>
      </c>
      <c r="WTH16" s="3" t="s">
        <v>77</v>
      </c>
      <c r="WTI16" s="3" t="s">
        <v>76</v>
      </c>
      <c r="WTJ16" s="3" t="s">
        <v>77</v>
      </c>
      <c r="WTK16" s="3" t="s">
        <v>76</v>
      </c>
      <c r="WTL16" s="3" t="s">
        <v>77</v>
      </c>
      <c r="WTM16" s="3" t="s">
        <v>76</v>
      </c>
      <c r="WTN16" s="3" t="s">
        <v>77</v>
      </c>
      <c r="WTO16" s="3" t="s">
        <v>76</v>
      </c>
      <c r="WTP16" s="3" t="s">
        <v>77</v>
      </c>
      <c r="WTQ16" s="3" t="s">
        <v>76</v>
      </c>
      <c r="WTR16" s="3" t="s">
        <v>77</v>
      </c>
      <c r="WTS16" s="3" t="s">
        <v>76</v>
      </c>
      <c r="WTT16" s="3" t="s">
        <v>77</v>
      </c>
      <c r="WTU16" s="3" t="s">
        <v>76</v>
      </c>
      <c r="WTV16" s="3" t="s">
        <v>77</v>
      </c>
      <c r="WTW16" s="3" t="s">
        <v>76</v>
      </c>
      <c r="WTX16" s="3" t="s">
        <v>77</v>
      </c>
      <c r="WTY16" s="3" t="s">
        <v>76</v>
      </c>
      <c r="WTZ16" s="3" t="s">
        <v>77</v>
      </c>
      <c r="WUA16" s="3" t="s">
        <v>76</v>
      </c>
      <c r="WUB16" s="3" t="s">
        <v>77</v>
      </c>
      <c r="WUC16" s="3" t="s">
        <v>76</v>
      </c>
      <c r="WUD16" s="3" t="s">
        <v>77</v>
      </c>
      <c r="WUE16" s="3" t="s">
        <v>76</v>
      </c>
      <c r="WUF16" s="3" t="s">
        <v>77</v>
      </c>
      <c r="WUG16" s="3" t="s">
        <v>76</v>
      </c>
      <c r="WUH16" s="3" t="s">
        <v>77</v>
      </c>
      <c r="WUI16" s="3" t="s">
        <v>76</v>
      </c>
      <c r="WUJ16" s="3" t="s">
        <v>77</v>
      </c>
      <c r="WUK16" s="3" t="s">
        <v>76</v>
      </c>
      <c r="WUL16" s="3" t="s">
        <v>77</v>
      </c>
      <c r="WUM16" s="3" t="s">
        <v>76</v>
      </c>
      <c r="WUN16" s="3" t="s">
        <v>77</v>
      </c>
      <c r="WUO16" s="3" t="s">
        <v>76</v>
      </c>
      <c r="WUP16" s="3" t="s">
        <v>77</v>
      </c>
      <c r="WUQ16" s="3" t="s">
        <v>76</v>
      </c>
      <c r="WUR16" s="3" t="s">
        <v>77</v>
      </c>
      <c r="WUS16" s="3" t="s">
        <v>76</v>
      </c>
      <c r="WUT16" s="3" t="s">
        <v>77</v>
      </c>
      <c r="WUU16" s="3" t="s">
        <v>76</v>
      </c>
      <c r="WUV16" s="3" t="s">
        <v>77</v>
      </c>
      <c r="WUW16" s="3" t="s">
        <v>76</v>
      </c>
      <c r="WUX16" s="3" t="s">
        <v>77</v>
      </c>
      <c r="WUY16" s="3" t="s">
        <v>76</v>
      </c>
      <c r="WUZ16" s="3" t="s">
        <v>77</v>
      </c>
      <c r="WVA16" s="3" t="s">
        <v>76</v>
      </c>
      <c r="WVB16" s="3" t="s">
        <v>77</v>
      </c>
      <c r="WVC16" s="3" t="s">
        <v>76</v>
      </c>
      <c r="WVD16" s="3" t="s">
        <v>77</v>
      </c>
      <c r="WVE16" s="3" t="s">
        <v>76</v>
      </c>
      <c r="WVF16" s="3" t="s">
        <v>77</v>
      </c>
      <c r="WVG16" s="3" t="s">
        <v>76</v>
      </c>
      <c r="WVH16" s="3" t="s">
        <v>77</v>
      </c>
      <c r="WVI16" s="3" t="s">
        <v>76</v>
      </c>
      <c r="WVJ16" s="3" t="s">
        <v>77</v>
      </c>
      <c r="WVK16" s="3" t="s">
        <v>76</v>
      </c>
      <c r="WVL16" s="3" t="s">
        <v>77</v>
      </c>
      <c r="WVM16" s="3" t="s">
        <v>76</v>
      </c>
      <c r="WVN16" s="3" t="s">
        <v>77</v>
      </c>
      <c r="WVO16" s="3" t="s">
        <v>76</v>
      </c>
      <c r="WVP16" s="3" t="s">
        <v>77</v>
      </c>
      <c r="WVQ16" s="3" t="s">
        <v>76</v>
      </c>
      <c r="WVR16" s="3" t="s">
        <v>77</v>
      </c>
      <c r="WVS16" s="3" t="s">
        <v>76</v>
      </c>
      <c r="WVT16" s="3" t="s">
        <v>77</v>
      </c>
      <c r="WVU16" s="3" t="s">
        <v>76</v>
      </c>
      <c r="WVV16" s="3" t="s">
        <v>77</v>
      </c>
      <c r="WVW16" s="3" t="s">
        <v>76</v>
      </c>
      <c r="WVX16" s="3" t="s">
        <v>77</v>
      </c>
      <c r="WVY16" s="3" t="s">
        <v>76</v>
      </c>
      <c r="WVZ16" s="3" t="s">
        <v>77</v>
      </c>
      <c r="WWA16" s="3" t="s">
        <v>76</v>
      </c>
      <c r="WWB16" s="3" t="s">
        <v>77</v>
      </c>
      <c r="WWC16" s="3" t="s">
        <v>76</v>
      </c>
      <c r="WWD16" s="3" t="s">
        <v>77</v>
      </c>
      <c r="WWE16" s="3" t="s">
        <v>76</v>
      </c>
      <c r="WWF16" s="3" t="s">
        <v>77</v>
      </c>
      <c r="WWG16" s="3" t="s">
        <v>76</v>
      </c>
      <c r="WWH16" s="3" t="s">
        <v>77</v>
      </c>
      <c r="WWI16" s="3" t="s">
        <v>76</v>
      </c>
      <c r="WWJ16" s="3" t="s">
        <v>77</v>
      </c>
      <c r="WWK16" s="3" t="s">
        <v>76</v>
      </c>
      <c r="WWL16" s="3" t="s">
        <v>77</v>
      </c>
      <c r="WWM16" s="3" t="s">
        <v>76</v>
      </c>
      <c r="WWN16" s="3" t="s">
        <v>77</v>
      </c>
      <c r="WWO16" s="3" t="s">
        <v>76</v>
      </c>
      <c r="WWP16" s="3" t="s">
        <v>77</v>
      </c>
      <c r="WWQ16" s="3" t="s">
        <v>76</v>
      </c>
      <c r="WWR16" s="3" t="s">
        <v>77</v>
      </c>
      <c r="WWS16" s="3" t="s">
        <v>76</v>
      </c>
      <c r="WWT16" s="3" t="s">
        <v>77</v>
      </c>
      <c r="WWU16" s="3" t="s">
        <v>76</v>
      </c>
      <c r="WWV16" s="3" t="s">
        <v>77</v>
      </c>
      <c r="WWW16" s="3" t="s">
        <v>76</v>
      </c>
      <c r="WWX16" s="3" t="s">
        <v>77</v>
      </c>
      <c r="WWY16" s="3" t="s">
        <v>76</v>
      </c>
      <c r="WWZ16" s="3" t="s">
        <v>77</v>
      </c>
      <c r="WXA16" s="3" t="s">
        <v>76</v>
      </c>
      <c r="WXB16" s="3" t="s">
        <v>77</v>
      </c>
      <c r="WXC16" s="3" t="s">
        <v>76</v>
      </c>
      <c r="WXD16" s="3" t="s">
        <v>77</v>
      </c>
      <c r="WXE16" s="3" t="s">
        <v>76</v>
      </c>
      <c r="WXF16" s="3" t="s">
        <v>77</v>
      </c>
      <c r="WXG16" s="3" t="s">
        <v>76</v>
      </c>
      <c r="WXH16" s="3" t="s">
        <v>77</v>
      </c>
      <c r="WXI16" s="3" t="s">
        <v>76</v>
      </c>
      <c r="WXJ16" s="3" t="s">
        <v>77</v>
      </c>
      <c r="WXK16" s="3" t="s">
        <v>76</v>
      </c>
      <c r="WXL16" s="3" t="s">
        <v>77</v>
      </c>
      <c r="WXM16" s="3" t="s">
        <v>76</v>
      </c>
      <c r="WXN16" s="3" t="s">
        <v>77</v>
      </c>
      <c r="WXO16" s="3" t="s">
        <v>76</v>
      </c>
      <c r="WXP16" s="3" t="s">
        <v>77</v>
      </c>
      <c r="WXQ16" s="3" t="s">
        <v>76</v>
      </c>
      <c r="WXR16" s="3" t="s">
        <v>77</v>
      </c>
      <c r="WXS16" s="3" t="s">
        <v>76</v>
      </c>
      <c r="WXT16" s="3" t="s">
        <v>77</v>
      </c>
      <c r="WXU16" s="3" t="s">
        <v>76</v>
      </c>
      <c r="WXV16" s="3" t="s">
        <v>77</v>
      </c>
      <c r="WXW16" s="3" t="s">
        <v>76</v>
      </c>
      <c r="WXX16" s="3" t="s">
        <v>77</v>
      </c>
      <c r="WXY16" s="3" t="s">
        <v>76</v>
      </c>
      <c r="WXZ16" s="3" t="s">
        <v>77</v>
      </c>
      <c r="WYA16" s="3" t="s">
        <v>76</v>
      </c>
      <c r="WYB16" s="3" t="s">
        <v>77</v>
      </c>
      <c r="WYC16" s="3" t="s">
        <v>76</v>
      </c>
      <c r="WYD16" s="3" t="s">
        <v>77</v>
      </c>
      <c r="WYE16" s="3" t="s">
        <v>76</v>
      </c>
      <c r="WYF16" s="3" t="s">
        <v>77</v>
      </c>
      <c r="WYG16" s="3" t="s">
        <v>76</v>
      </c>
      <c r="WYH16" s="3" t="s">
        <v>77</v>
      </c>
      <c r="WYI16" s="3" t="s">
        <v>76</v>
      </c>
      <c r="WYJ16" s="3" t="s">
        <v>77</v>
      </c>
      <c r="WYK16" s="3" t="s">
        <v>76</v>
      </c>
      <c r="WYL16" s="3" t="s">
        <v>77</v>
      </c>
      <c r="WYM16" s="3" t="s">
        <v>76</v>
      </c>
      <c r="WYN16" s="3" t="s">
        <v>77</v>
      </c>
      <c r="WYO16" s="3" t="s">
        <v>76</v>
      </c>
      <c r="WYP16" s="3" t="s">
        <v>77</v>
      </c>
      <c r="WYQ16" s="3" t="s">
        <v>76</v>
      </c>
      <c r="WYR16" s="3" t="s">
        <v>77</v>
      </c>
      <c r="WYS16" s="3" t="s">
        <v>76</v>
      </c>
      <c r="WYT16" s="3" t="s">
        <v>77</v>
      </c>
      <c r="WYU16" s="3" t="s">
        <v>76</v>
      </c>
      <c r="WYV16" s="3" t="s">
        <v>77</v>
      </c>
      <c r="WYW16" s="3" t="s">
        <v>76</v>
      </c>
      <c r="WYX16" s="3" t="s">
        <v>77</v>
      </c>
      <c r="WYY16" s="3" t="s">
        <v>76</v>
      </c>
      <c r="WYZ16" s="3" t="s">
        <v>77</v>
      </c>
      <c r="WZA16" s="3" t="s">
        <v>76</v>
      </c>
      <c r="WZB16" s="3" t="s">
        <v>77</v>
      </c>
      <c r="WZC16" s="3" t="s">
        <v>76</v>
      </c>
      <c r="WZD16" s="3" t="s">
        <v>77</v>
      </c>
      <c r="WZE16" s="3" t="s">
        <v>76</v>
      </c>
      <c r="WZF16" s="3" t="s">
        <v>77</v>
      </c>
      <c r="WZG16" s="3" t="s">
        <v>76</v>
      </c>
      <c r="WZH16" s="3" t="s">
        <v>77</v>
      </c>
      <c r="WZI16" s="3" t="s">
        <v>76</v>
      </c>
      <c r="WZJ16" s="3" t="s">
        <v>77</v>
      </c>
      <c r="WZK16" s="3" t="s">
        <v>76</v>
      </c>
      <c r="WZL16" s="3" t="s">
        <v>77</v>
      </c>
      <c r="WZM16" s="3" t="s">
        <v>76</v>
      </c>
      <c r="WZN16" s="3" t="s">
        <v>77</v>
      </c>
      <c r="WZO16" s="3" t="s">
        <v>76</v>
      </c>
      <c r="WZP16" s="3" t="s">
        <v>77</v>
      </c>
      <c r="WZQ16" s="3" t="s">
        <v>76</v>
      </c>
      <c r="WZR16" s="3" t="s">
        <v>77</v>
      </c>
      <c r="WZS16" s="3" t="s">
        <v>76</v>
      </c>
      <c r="WZT16" s="3" t="s">
        <v>77</v>
      </c>
      <c r="WZU16" s="3" t="s">
        <v>76</v>
      </c>
      <c r="WZV16" s="3" t="s">
        <v>77</v>
      </c>
      <c r="WZW16" s="3" t="s">
        <v>76</v>
      </c>
      <c r="WZX16" s="3" t="s">
        <v>77</v>
      </c>
      <c r="WZY16" s="3" t="s">
        <v>76</v>
      </c>
      <c r="WZZ16" s="3" t="s">
        <v>77</v>
      </c>
      <c r="XAA16" s="3" t="s">
        <v>76</v>
      </c>
      <c r="XAB16" s="3" t="s">
        <v>77</v>
      </c>
      <c r="XAC16" s="3" t="s">
        <v>76</v>
      </c>
      <c r="XAD16" s="3" t="s">
        <v>77</v>
      </c>
      <c r="XAE16" s="3" t="s">
        <v>76</v>
      </c>
      <c r="XAF16" s="3" t="s">
        <v>77</v>
      </c>
      <c r="XAG16" s="3" t="s">
        <v>76</v>
      </c>
      <c r="XAH16" s="3" t="s">
        <v>77</v>
      </c>
      <c r="XAI16" s="3" t="s">
        <v>76</v>
      </c>
      <c r="XAJ16" s="3" t="s">
        <v>77</v>
      </c>
      <c r="XAK16" s="3" t="s">
        <v>76</v>
      </c>
      <c r="XAL16" s="3" t="s">
        <v>77</v>
      </c>
      <c r="XAM16" s="3" t="s">
        <v>76</v>
      </c>
      <c r="XAN16" s="3" t="s">
        <v>77</v>
      </c>
      <c r="XAO16" s="3" t="s">
        <v>76</v>
      </c>
      <c r="XAP16" s="3" t="s">
        <v>77</v>
      </c>
      <c r="XAQ16" s="3" t="s">
        <v>76</v>
      </c>
      <c r="XAR16" s="3" t="s">
        <v>77</v>
      </c>
      <c r="XAS16" s="3" t="s">
        <v>76</v>
      </c>
      <c r="XAT16" s="3" t="s">
        <v>77</v>
      </c>
      <c r="XAU16" s="3" t="s">
        <v>76</v>
      </c>
      <c r="XAV16" s="3" t="s">
        <v>77</v>
      </c>
      <c r="XAW16" s="3" t="s">
        <v>76</v>
      </c>
      <c r="XAX16" s="3" t="s">
        <v>77</v>
      </c>
      <c r="XAY16" s="3" t="s">
        <v>76</v>
      </c>
      <c r="XAZ16" s="3" t="s">
        <v>77</v>
      </c>
      <c r="XBA16" s="3" t="s">
        <v>76</v>
      </c>
      <c r="XBB16" s="3" t="s">
        <v>77</v>
      </c>
      <c r="XBC16" s="3" t="s">
        <v>76</v>
      </c>
      <c r="XBD16" s="3" t="s">
        <v>77</v>
      </c>
      <c r="XBE16" s="3" t="s">
        <v>76</v>
      </c>
      <c r="XBF16" s="3" t="s">
        <v>77</v>
      </c>
      <c r="XBG16" s="3" t="s">
        <v>76</v>
      </c>
      <c r="XBH16" s="3" t="s">
        <v>77</v>
      </c>
      <c r="XBI16" s="3" t="s">
        <v>76</v>
      </c>
      <c r="XBJ16" s="3" t="s">
        <v>77</v>
      </c>
      <c r="XBK16" s="3" t="s">
        <v>76</v>
      </c>
      <c r="XBL16" s="3" t="s">
        <v>77</v>
      </c>
      <c r="XBM16" s="3" t="s">
        <v>76</v>
      </c>
      <c r="XBN16" s="3" t="s">
        <v>77</v>
      </c>
      <c r="XBO16" s="3" t="s">
        <v>76</v>
      </c>
      <c r="XBP16" s="3" t="s">
        <v>77</v>
      </c>
      <c r="XBQ16" s="3" t="s">
        <v>76</v>
      </c>
      <c r="XBR16" s="3" t="s">
        <v>77</v>
      </c>
      <c r="XBS16" s="3" t="s">
        <v>76</v>
      </c>
      <c r="XBT16" s="3" t="s">
        <v>77</v>
      </c>
      <c r="XBU16" s="3" t="s">
        <v>76</v>
      </c>
      <c r="XBV16" s="3" t="s">
        <v>77</v>
      </c>
      <c r="XBW16" s="3" t="s">
        <v>76</v>
      </c>
      <c r="XBX16" s="3" t="s">
        <v>77</v>
      </c>
      <c r="XBY16" s="3" t="s">
        <v>76</v>
      </c>
      <c r="XBZ16" s="3" t="s">
        <v>77</v>
      </c>
      <c r="XCA16" s="3" t="s">
        <v>76</v>
      </c>
      <c r="XCB16" s="3" t="s">
        <v>77</v>
      </c>
      <c r="XCC16" s="3" t="s">
        <v>76</v>
      </c>
      <c r="XCD16" s="3" t="s">
        <v>77</v>
      </c>
      <c r="XCE16" s="3" t="s">
        <v>76</v>
      </c>
      <c r="XCF16" s="3" t="s">
        <v>77</v>
      </c>
      <c r="XCG16" s="3" t="s">
        <v>76</v>
      </c>
      <c r="XCH16" s="3" t="s">
        <v>77</v>
      </c>
      <c r="XCI16" s="3" t="s">
        <v>76</v>
      </c>
      <c r="XCJ16" s="3" t="s">
        <v>77</v>
      </c>
      <c r="XCK16" s="3" t="s">
        <v>76</v>
      </c>
      <c r="XCL16" s="3" t="s">
        <v>77</v>
      </c>
      <c r="XCM16" s="3" t="s">
        <v>76</v>
      </c>
      <c r="XCN16" s="3" t="s">
        <v>77</v>
      </c>
      <c r="XCO16" s="3" t="s">
        <v>76</v>
      </c>
      <c r="XCP16" s="3" t="s">
        <v>77</v>
      </c>
      <c r="XCQ16" s="3" t="s">
        <v>76</v>
      </c>
      <c r="XCR16" s="3" t="s">
        <v>77</v>
      </c>
      <c r="XCS16" s="3" t="s">
        <v>76</v>
      </c>
      <c r="XCT16" s="3" t="s">
        <v>77</v>
      </c>
      <c r="XCU16" s="3" t="s">
        <v>76</v>
      </c>
      <c r="XCV16" s="3" t="s">
        <v>77</v>
      </c>
      <c r="XCW16" s="3" t="s">
        <v>76</v>
      </c>
      <c r="XCX16" s="3" t="s">
        <v>77</v>
      </c>
      <c r="XCY16" s="3" t="s">
        <v>76</v>
      </c>
      <c r="XCZ16" s="3" t="s">
        <v>77</v>
      </c>
      <c r="XDA16" s="3" t="s">
        <v>76</v>
      </c>
      <c r="XDB16" s="3" t="s">
        <v>77</v>
      </c>
      <c r="XDC16" s="3" t="s">
        <v>76</v>
      </c>
      <c r="XDD16" s="3" t="s">
        <v>77</v>
      </c>
      <c r="XDE16" s="3" t="s">
        <v>76</v>
      </c>
      <c r="XDF16" s="3" t="s">
        <v>77</v>
      </c>
      <c r="XDG16" s="3" t="s">
        <v>76</v>
      </c>
      <c r="XDH16" s="3" t="s">
        <v>77</v>
      </c>
      <c r="XDI16" s="3" t="s">
        <v>76</v>
      </c>
      <c r="XDJ16" s="3" t="s">
        <v>77</v>
      </c>
      <c r="XDK16" s="3" t="s">
        <v>76</v>
      </c>
      <c r="XDL16" s="3" t="s">
        <v>77</v>
      </c>
      <c r="XDM16" s="3" t="s">
        <v>76</v>
      </c>
      <c r="XDN16" s="3" t="s">
        <v>77</v>
      </c>
      <c r="XDO16" s="3" t="s">
        <v>76</v>
      </c>
      <c r="XDP16" s="3" t="s">
        <v>77</v>
      </c>
      <c r="XDQ16" s="3" t="s">
        <v>76</v>
      </c>
      <c r="XDR16" s="3" t="s">
        <v>77</v>
      </c>
      <c r="XDS16" s="3" t="s">
        <v>76</v>
      </c>
      <c r="XDT16" s="3" t="s">
        <v>77</v>
      </c>
      <c r="XDU16" s="3" t="s">
        <v>76</v>
      </c>
      <c r="XDV16" s="3" t="s">
        <v>77</v>
      </c>
      <c r="XDW16" s="3" t="s">
        <v>76</v>
      </c>
      <c r="XDX16" s="3" t="s">
        <v>77</v>
      </c>
      <c r="XDY16" s="3" t="s">
        <v>76</v>
      </c>
      <c r="XDZ16" s="3" t="s">
        <v>77</v>
      </c>
      <c r="XEA16" s="3" t="s">
        <v>76</v>
      </c>
      <c r="XEB16" s="3" t="s">
        <v>77</v>
      </c>
      <c r="XEC16" s="3" t="s">
        <v>76</v>
      </c>
      <c r="XED16" s="3" t="s">
        <v>77</v>
      </c>
      <c r="XEE16" s="3" t="s">
        <v>76</v>
      </c>
      <c r="XEF16" s="3" t="s">
        <v>77</v>
      </c>
      <c r="XEG16" s="3" t="s">
        <v>76</v>
      </c>
      <c r="XEH16" s="3" t="s">
        <v>77</v>
      </c>
      <c r="XEI16" s="3" t="s">
        <v>76</v>
      </c>
      <c r="XEJ16" s="3" t="s">
        <v>77</v>
      </c>
      <c r="XEK16" s="3" t="s">
        <v>76</v>
      </c>
      <c r="XEL16" s="3" t="s">
        <v>77</v>
      </c>
      <c r="XEM16" s="3" t="s">
        <v>76</v>
      </c>
      <c r="XEN16" s="3" t="s">
        <v>77</v>
      </c>
      <c r="XEO16" s="3" t="s">
        <v>76</v>
      </c>
      <c r="XEP16" s="3" t="s">
        <v>77</v>
      </c>
      <c r="XEQ16" s="3" t="s">
        <v>76</v>
      </c>
      <c r="XER16" s="3" t="s">
        <v>77</v>
      </c>
      <c r="XES16" s="3" t="s">
        <v>76</v>
      </c>
      <c r="XET16" s="3" t="s">
        <v>77</v>
      </c>
      <c r="XEU16" s="3" t="s">
        <v>76</v>
      </c>
      <c r="XEV16" s="3" t="s">
        <v>77</v>
      </c>
      <c r="XEW16" s="3" t="s">
        <v>76</v>
      </c>
      <c r="XEX16" s="3" t="s">
        <v>77</v>
      </c>
      <c r="XEY16" s="3" t="s">
        <v>76</v>
      </c>
      <c r="XEZ16" s="3" t="s">
        <v>77</v>
      </c>
      <c r="XFA16" s="3" t="s">
        <v>76</v>
      </c>
      <c r="XFB16" s="3" t="s">
        <v>77</v>
      </c>
      <c r="XFC16" s="3" t="s">
        <v>76</v>
      </c>
      <c r="XFD16" s="3" t="s">
        <v>77</v>
      </c>
    </row>
    <row r="17" spans="1:16384" x14ac:dyDescent="0.25">
      <c r="A17" s="2" t="s">
        <v>90</v>
      </c>
      <c r="B17" s="3" t="s">
        <v>91</v>
      </c>
    </row>
    <row r="18" spans="1:16384" x14ac:dyDescent="0.25">
      <c r="A18" s="2" t="s">
        <v>118</v>
      </c>
      <c r="B18" s="3" t="s">
        <v>119</v>
      </c>
    </row>
    <row r="19" spans="1:16384" x14ac:dyDescent="0.25">
      <c r="A19" s="2" t="s">
        <v>120</v>
      </c>
      <c r="B19" s="3" t="s">
        <v>121</v>
      </c>
    </row>
    <row r="20" spans="1:16384" x14ac:dyDescent="0.25">
      <c r="A20" s="2" t="s">
        <v>122</v>
      </c>
      <c r="B20" s="3" t="s">
        <v>123</v>
      </c>
    </row>
    <row r="21" spans="1:16384" x14ac:dyDescent="0.25">
      <c r="A21" s="2" t="s">
        <v>124</v>
      </c>
      <c r="B21" s="3" t="s">
        <v>125</v>
      </c>
    </row>
    <row r="22" spans="1:16384" x14ac:dyDescent="0.25">
      <c r="A22" s="2" t="s">
        <v>126</v>
      </c>
      <c r="B22" s="3" t="s">
        <v>127</v>
      </c>
    </row>
    <row r="23" spans="1:16384" x14ac:dyDescent="0.25">
      <c r="A23" s="2" t="s">
        <v>128</v>
      </c>
      <c r="B23" s="3" t="s">
        <v>129</v>
      </c>
    </row>
    <row r="24" spans="1:16384" x14ac:dyDescent="0.25">
      <c r="A24" s="2" t="s">
        <v>130</v>
      </c>
      <c r="B24" s="3" t="s">
        <v>131</v>
      </c>
    </row>
    <row r="25" spans="1:16384" x14ac:dyDescent="0.25">
      <c r="A25" s="2" t="s">
        <v>132</v>
      </c>
      <c r="B25" s="3" t="s">
        <v>133</v>
      </c>
    </row>
    <row r="26" spans="1:16384" x14ac:dyDescent="0.25">
      <c r="A26" s="2" t="s">
        <v>134</v>
      </c>
      <c r="B26" s="3" t="s">
        <v>135</v>
      </c>
    </row>
    <row r="27" spans="1:16384" x14ac:dyDescent="0.25">
      <c r="A27" s="2" t="s">
        <v>136</v>
      </c>
      <c r="B27" s="3" t="s">
        <v>137</v>
      </c>
    </row>
    <row r="28" spans="1:16384" x14ac:dyDescent="0.25">
      <c r="A28" s="2" t="s">
        <v>144</v>
      </c>
      <c r="B28" s="3" t="s">
        <v>145</v>
      </c>
    </row>
    <row r="29" spans="1:16384" s="3" customFormat="1" x14ac:dyDescent="0.25">
      <c r="A29" s="2" t="s">
        <v>168</v>
      </c>
      <c r="B29" s="3" t="s">
        <v>169</v>
      </c>
      <c r="BF29" s="3" t="s">
        <v>169</v>
      </c>
      <c r="BG29" s="3" t="s">
        <v>168</v>
      </c>
      <c r="BH29" s="3" t="s">
        <v>169</v>
      </c>
      <c r="BI29" s="3" t="s">
        <v>168</v>
      </c>
      <c r="BJ29" s="3" t="s">
        <v>169</v>
      </c>
      <c r="BK29" s="3" t="s">
        <v>168</v>
      </c>
      <c r="BL29" s="3" t="s">
        <v>169</v>
      </c>
      <c r="BM29" s="3" t="s">
        <v>168</v>
      </c>
      <c r="BN29" s="3" t="s">
        <v>169</v>
      </c>
      <c r="BO29" s="3" t="s">
        <v>168</v>
      </c>
      <c r="BP29" s="3" t="s">
        <v>169</v>
      </c>
      <c r="BQ29" s="3" t="s">
        <v>168</v>
      </c>
      <c r="BR29" s="3" t="s">
        <v>169</v>
      </c>
      <c r="BS29" s="3" t="s">
        <v>168</v>
      </c>
      <c r="BT29" s="3" t="s">
        <v>169</v>
      </c>
      <c r="BU29" s="3" t="s">
        <v>168</v>
      </c>
      <c r="BV29" s="3" t="s">
        <v>169</v>
      </c>
      <c r="BW29" s="3" t="s">
        <v>168</v>
      </c>
      <c r="BX29" s="3" t="s">
        <v>169</v>
      </c>
      <c r="BY29" s="3" t="s">
        <v>168</v>
      </c>
      <c r="BZ29" s="3" t="s">
        <v>169</v>
      </c>
      <c r="CA29" s="3" t="s">
        <v>168</v>
      </c>
      <c r="CB29" s="3" t="s">
        <v>169</v>
      </c>
      <c r="CC29" s="3" t="s">
        <v>168</v>
      </c>
      <c r="CD29" s="3" t="s">
        <v>169</v>
      </c>
      <c r="CE29" s="3" t="s">
        <v>168</v>
      </c>
      <c r="CF29" s="3" t="s">
        <v>169</v>
      </c>
      <c r="CG29" s="3" t="s">
        <v>168</v>
      </c>
      <c r="CH29" s="3" t="s">
        <v>169</v>
      </c>
      <c r="CI29" s="3" t="s">
        <v>168</v>
      </c>
      <c r="CJ29" s="3" t="s">
        <v>169</v>
      </c>
      <c r="CK29" s="3" t="s">
        <v>168</v>
      </c>
      <c r="CL29" s="3" t="s">
        <v>169</v>
      </c>
      <c r="CM29" s="3" t="s">
        <v>168</v>
      </c>
      <c r="CN29" s="3" t="s">
        <v>169</v>
      </c>
      <c r="CO29" s="3" t="s">
        <v>168</v>
      </c>
      <c r="CP29" s="3" t="s">
        <v>169</v>
      </c>
      <c r="CQ29" s="3" t="s">
        <v>168</v>
      </c>
      <c r="CR29" s="3" t="s">
        <v>169</v>
      </c>
      <c r="CS29" s="3" t="s">
        <v>168</v>
      </c>
      <c r="CT29" s="3" t="s">
        <v>169</v>
      </c>
      <c r="CU29" s="3" t="s">
        <v>168</v>
      </c>
      <c r="CV29" s="3" t="s">
        <v>169</v>
      </c>
      <c r="CW29" s="3" t="s">
        <v>168</v>
      </c>
      <c r="CX29" s="3" t="s">
        <v>169</v>
      </c>
      <c r="CY29" s="3" t="s">
        <v>168</v>
      </c>
      <c r="CZ29" s="3" t="s">
        <v>169</v>
      </c>
      <c r="DA29" s="3" t="s">
        <v>168</v>
      </c>
      <c r="DB29" s="3" t="s">
        <v>169</v>
      </c>
      <c r="DC29" s="3" t="s">
        <v>168</v>
      </c>
      <c r="DD29" s="3" t="s">
        <v>169</v>
      </c>
      <c r="DE29" s="3" t="s">
        <v>168</v>
      </c>
      <c r="DF29" s="3" t="s">
        <v>169</v>
      </c>
      <c r="DG29" s="3" t="s">
        <v>168</v>
      </c>
      <c r="DH29" s="3" t="s">
        <v>169</v>
      </c>
      <c r="DI29" s="3" t="s">
        <v>168</v>
      </c>
      <c r="DJ29" s="3" t="s">
        <v>169</v>
      </c>
      <c r="DK29" s="3" t="s">
        <v>168</v>
      </c>
      <c r="DL29" s="3" t="s">
        <v>169</v>
      </c>
      <c r="DM29" s="3" t="s">
        <v>168</v>
      </c>
      <c r="DN29" s="3" t="s">
        <v>169</v>
      </c>
      <c r="DO29" s="3" t="s">
        <v>168</v>
      </c>
      <c r="DP29" s="3" t="s">
        <v>169</v>
      </c>
      <c r="DQ29" s="3" t="s">
        <v>168</v>
      </c>
      <c r="DR29" s="3" t="s">
        <v>169</v>
      </c>
      <c r="DS29" s="3" t="s">
        <v>168</v>
      </c>
      <c r="DT29" s="3" t="s">
        <v>169</v>
      </c>
      <c r="DU29" s="3" t="s">
        <v>168</v>
      </c>
      <c r="DV29" s="3" t="s">
        <v>169</v>
      </c>
      <c r="DW29" s="3" t="s">
        <v>168</v>
      </c>
      <c r="DX29" s="3" t="s">
        <v>169</v>
      </c>
      <c r="DY29" s="3" t="s">
        <v>168</v>
      </c>
      <c r="DZ29" s="3" t="s">
        <v>169</v>
      </c>
      <c r="EA29" s="3" t="s">
        <v>168</v>
      </c>
      <c r="EB29" s="3" t="s">
        <v>169</v>
      </c>
      <c r="EC29" s="3" t="s">
        <v>168</v>
      </c>
      <c r="ED29" s="3" t="s">
        <v>169</v>
      </c>
      <c r="EE29" s="3" t="s">
        <v>168</v>
      </c>
      <c r="EF29" s="3" t="s">
        <v>169</v>
      </c>
      <c r="EG29" s="3" t="s">
        <v>168</v>
      </c>
      <c r="EH29" s="3" t="s">
        <v>169</v>
      </c>
      <c r="EI29" s="3" t="s">
        <v>168</v>
      </c>
      <c r="EJ29" s="3" t="s">
        <v>169</v>
      </c>
      <c r="EK29" s="3" t="s">
        <v>168</v>
      </c>
      <c r="EL29" s="3" t="s">
        <v>169</v>
      </c>
      <c r="EM29" s="3" t="s">
        <v>168</v>
      </c>
      <c r="EN29" s="3" t="s">
        <v>169</v>
      </c>
      <c r="EO29" s="3" t="s">
        <v>168</v>
      </c>
      <c r="EP29" s="3" t="s">
        <v>169</v>
      </c>
      <c r="EQ29" s="3" t="s">
        <v>168</v>
      </c>
      <c r="ER29" s="3" t="s">
        <v>169</v>
      </c>
      <c r="ES29" s="3" t="s">
        <v>168</v>
      </c>
      <c r="ET29" s="3" t="s">
        <v>169</v>
      </c>
      <c r="EU29" s="3" t="s">
        <v>168</v>
      </c>
      <c r="EV29" s="3" t="s">
        <v>169</v>
      </c>
      <c r="EW29" s="3" t="s">
        <v>168</v>
      </c>
      <c r="EX29" s="3" t="s">
        <v>169</v>
      </c>
      <c r="EY29" s="3" t="s">
        <v>168</v>
      </c>
      <c r="EZ29" s="3" t="s">
        <v>169</v>
      </c>
      <c r="FA29" s="3" t="s">
        <v>168</v>
      </c>
      <c r="FB29" s="3" t="s">
        <v>169</v>
      </c>
      <c r="FC29" s="3" t="s">
        <v>168</v>
      </c>
      <c r="FD29" s="3" t="s">
        <v>169</v>
      </c>
      <c r="FE29" s="3" t="s">
        <v>168</v>
      </c>
      <c r="FF29" s="3" t="s">
        <v>169</v>
      </c>
      <c r="FG29" s="3" t="s">
        <v>168</v>
      </c>
      <c r="FH29" s="3" t="s">
        <v>169</v>
      </c>
      <c r="FI29" s="3" t="s">
        <v>168</v>
      </c>
      <c r="FJ29" s="3" t="s">
        <v>169</v>
      </c>
      <c r="FK29" s="3" t="s">
        <v>168</v>
      </c>
      <c r="FL29" s="3" t="s">
        <v>169</v>
      </c>
      <c r="FM29" s="3" t="s">
        <v>168</v>
      </c>
      <c r="FN29" s="3" t="s">
        <v>169</v>
      </c>
      <c r="FO29" s="3" t="s">
        <v>168</v>
      </c>
      <c r="FP29" s="3" t="s">
        <v>169</v>
      </c>
      <c r="FQ29" s="3" t="s">
        <v>168</v>
      </c>
      <c r="FR29" s="3" t="s">
        <v>169</v>
      </c>
      <c r="FS29" s="3" t="s">
        <v>168</v>
      </c>
      <c r="FT29" s="3" t="s">
        <v>169</v>
      </c>
      <c r="FU29" s="3" t="s">
        <v>168</v>
      </c>
      <c r="FV29" s="3" t="s">
        <v>169</v>
      </c>
      <c r="FW29" s="3" t="s">
        <v>168</v>
      </c>
      <c r="FX29" s="3" t="s">
        <v>169</v>
      </c>
      <c r="FY29" s="3" t="s">
        <v>168</v>
      </c>
      <c r="FZ29" s="3" t="s">
        <v>169</v>
      </c>
      <c r="GA29" s="3" t="s">
        <v>168</v>
      </c>
      <c r="GB29" s="3" t="s">
        <v>169</v>
      </c>
      <c r="GC29" s="3" t="s">
        <v>168</v>
      </c>
      <c r="GD29" s="3" t="s">
        <v>169</v>
      </c>
      <c r="GE29" s="3" t="s">
        <v>168</v>
      </c>
      <c r="GF29" s="3" t="s">
        <v>169</v>
      </c>
      <c r="GG29" s="3" t="s">
        <v>168</v>
      </c>
      <c r="GH29" s="3" t="s">
        <v>169</v>
      </c>
      <c r="GI29" s="3" t="s">
        <v>168</v>
      </c>
      <c r="GJ29" s="3" t="s">
        <v>169</v>
      </c>
      <c r="GK29" s="3" t="s">
        <v>168</v>
      </c>
      <c r="GL29" s="3" t="s">
        <v>169</v>
      </c>
      <c r="GM29" s="3" t="s">
        <v>168</v>
      </c>
      <c r="GN29" s="3" t="s">
        <v>169</v>
      </c>
      <c r="GO29" s="3" t="s">
        <v>168</v>
      </c>
      <c r="GP29" s="3" t="s">
        <v>169</v>
      </c>
      <c r="GQ29" s="3" t="s">
        <v>168</v>
      </c>
      <c r="GR29" s="3" t="s">
        <v>169</v>
      </c>
      <c r="GS29" s="3" t="s">
        <v>168</v>
      </c>
      <c r="GT29" s="3" t="s">
        <v>169</v>
      </c>
      <c r="GU29" s="3" t="s">
        <v>168</v>
      </c>
      <c r="GV29" s="3" t="s">
        <v>169</v>
      </c>
      <c r="GW29" s="3" t="s">
        <v>168</v>
      </c>
      <c r="GX29" s="3" t="s">
        <v>169</v>
      </c>
      <c r="GY29" s="3" t="s">
        <v>168</v>
      </c>
      <c r="GZ29" s="3" t="s">
        <v>169</v>
      </c>
      <c r="HA29" s="3" t="s">
        <v>168</v>
      </c>
      <c r="HB29" s="3" t="s">
        <v>169</v>
      </c>
      <c r="HC29" s="3" t="s">
        <v>168</v>
      </c>
      <c r="HD29" s="3" t="s">
        <v>169</v>
      </c>
      <c r="HE29" s="3" t="s">
        <v>168</v>
      </c>
      <c r="HF29" s="3" t="s">
        <v>169</v>
      </c>
      <c r="HG29" s="3" t="s">
        <v>168</v>
      </c>
      <c r="HH29" s="3" t="s">
        <v>169</v>
      </c>
      <c r="HI29" s="3" t="s">
        <v>168</v>
      </c>
      <c r="HJ29" s="3" t="s">
        <v>169</v>
      </c>
      <c r="HK29" s="3" t="s">
        <v>168</v>
      </c>
      <c r="HL29" s="3" t="s">
        <v>169</v>
      </c>
      <c r="HM29" s="3" t="s">
        <v>168</v>
      </c>
      <c r="HN29" s="3" t="s">
        <v>169</v>
      </c>
      <c r="HO29" s="3" t="s">
        <v>168</v>
      </c>
      <c r="HP29" s="3" t="s">
        <v>169</v>
      </c>
      <c r="HQ29" s="3" t="s">
        <v>168</v>
      </c>
      <c r="HR29" s="3" t="s">
        <v>169</v>
      </c>
      <c r="HS29" s="3" t="s">
        <v>168</v>
      </c>
      <c r="HT29" s="3" t="s">
        <v>169</v>
      </c>
      <c r="HU29" s="3" t="s">
        <v>168</v>
      </c>
      <c r="HV29" s="3" t="s">
        <v>169</v>
      </c>
      <c r="HW29" s="3" t="s">
        <v>168</v>
      </c>
      <c r="HX29" s="3" t="s">
        <v>169</v>
      </c>
      <c r="HY29" s="3" t="s">
        <v>168</v>
      </c>
      <c r="HZ29" s="3" t="s">
        <v>169</v>
      </c>
      <c r="IA29" s="3" t="s">
        <v>168</v>
      </c>
      <c r="IB29" s="3" t="s">
        <v>169</v>
      </c>
      <c r="IC29" s="3" t="s">
        <v>168</v>
      </c>
      <c r="ID29" s="3" t="s">
        <v>169</v>
      </c>
      <c r="IE29" s="3" t="s">
        <v>168</v>
      </c>
      <c r="IF29" s="3" t="s">
        <v>169</v>
      </c>
      <c r="IG29" s="3" t="s">
        <v>168</v>
      </c>
      <c r="IH29" s="3" t="s">
        <v>169</v>
      </c>
      <c r="II29" s="3" t="s">
        <v>168</v>
      </c>
      <c r="IJ29" s="3" t="s">
        <v>169</v>
      </c>
      <c r="IK29" s="3" t="s">
        <v>168</v>
      </c>
      <c r="IL29" s="3" t="s">
        <v>169</v>
      </c>
      <c r="IM29" s="3" t="s">
        <v>168</v>
      </c>
      <c r="IN29" s="3" t="s">
        <v>169</v>
      </c>
      <c r="IO29" s="3" t="s">
        <v>168</v>
      </c>
      <c r="IP29" s="3" t="s">
        <v>169</v>
      </c>
      <c r="IQ29" s="3" t="s">
        <v>168</v>
      </c>
      <c r="IR29" s="3" t="s">
        <v>169</v>
      </c>
      <c r="IS29" s="3" t="s">
        <v>168</v>
      </c>
      <c r="IT29" s="3" t="s">
        <v>169</v>
      </c>
      <c r="IU29" s="3" t="s">
        <v>168</v>
      </c>
      <c r="IV29" s="3" t="s">
        <v>169</v>
      </c>
      <c r="IW29" s="3" t="s">
        <v>168</v>
      </c>
      <c r="IX29" s="3" t="s">
        <v>169</v>
      </c>
      <c r="IY29" s="3" t="s">
        <v>168</v>
      </c>
      <c r="IZ29" s="3" t="s">
        <v>169</v>
      </c>
      <c r="JA29" s="3" t="s">
        <v>168</v>
      </c>
      <c r="JB29" s="3" t="s">
        <v>169</v>
      </c>
      <c r="JC29" s="3" t="s">
        <v>168</v>
      </c>
      <c r="JD29" s="3" t="s">
        <v>169</v>
      </c>
      <c r="JE29" s="3" t="s">
        <v>168</v>
      </c>
      <c r="JF29" s="3" t="s">
        <v>169</v>
      </c>
      <c r="JG29" s="3" t="s">
        <v>168</v>
      </c>
      <c r="JH29" s="3" t="s">
        <v>169</v>
      </c>
      <c r="JI29" s="3" t="s">
        <v>168</v>
      </c>
      <c r="JJ29" s="3" t="s">
        <v>169</v>
      </c>
      <c r="JK29" s="3" t="s">
        <v>168</v>
      </c>
      <c r="JL29" s="3" t="s">
        <v>169</v>
      </c>
      <c r="JM29" s="3" t="s">
        <v>168</v>
      </c>
      <c r="JN29" s="3" t="s">
        <v>169</v>
      </c>
      <c r="JO29" s="3" t="s">
        <v>168</v>
      </c>
      <c r="JP29" s="3" t="s">
        <v>169</v>
      </c>
      <c r="JQ29" s="3" t="s">
        <v>168</v>
      </c>
      <c r="JR29" s="3" t="s">
        <v>169</v>
      </c>
      <c r="JS29" s="3" t="s">
        <v>168</v>
      </c>
      <c r="JT29" s="3" t="s">
        <v>169</v>
      </c>
      <c r="JU29" s="3" t="s">
        <v>168</v>
      </c>
      <c r="JV29" s="3" t="s">
        <v>169</v>
      </c>
      <c r="JW29" s="3" t="s">
        <v>168</v>
      </c>
      <c r="JX29" s="3" t="s">
        <v>169</v>
      </c>
      <c r="JY29" s="3" t="s">
        <v>168</v>
      </c>
      <c r="JZ29" s="3" t="s">
        <v>169</v>
      </c>
      <c r="KA29" s="3" t="s">
        <v>168</v>
      </c>
      <c r="KB29" s="3" t="s">
        <v>169</v>
      </c>
      <c r="KC29" s="3" t="s">
        <v>168</v>
      </c>
      <c r="KD29" s="3" t="s">
        <v>169</v>
      </c>
      <c r="KE29" s="3" t="s">
        <v>168</v>
      </c>
      <c r="KF29" s="3" t="s">
        <v>169</v>
      </c>
      <c r="KG29" s="3" t="s">
        <v>168</v>
      </c>
      <c r="KH29" s="3" t="s">
        <v>169</v>
      </c>
      <c r="KI29" s="3" t="s">
        <v>168</v>
      </c>
      <c r="KJ29" s="3" t="s">
        <v>169</v>
      </c>
      <c r="KK29" s="3" t="s">
        <v>168</v>
      </c>
      <c r="KL29" s="3" t="s">
        <v>169</v>
      </c>
      <c r="KM29" s="3" t="s">
        <v>168</v>
      </c>
      <c r="KN29" s="3" t="s">
        <v>169</v>
      </c>
      <c r="KO29" s="3" t="s">
        <v>168</v>
      </c>
      <c r="KP29" s="3" t="s">
        <v>169</v>
      </c>
      <c r="KQ29" s="3" t="s">
        <v>168</v>
      </c>
      <c r="KR29" s="3" t="s">
        <v>169</v>
      </c>
      <c r="KS29" s="3" t="s">
        <v>168</v>
      </c>
      <c r="KT29" s="3" t="s">
        <v>169</v>
      </c>
      <c r="KU29" s="3" t="s">
        <v>168</v>
      </c>
      <c r="KV29" s="3" t="s">
        <v>169</v>
      </c>
      <c r="KW29" s="3" t="s">
        <v>168</v>
      </c>
      <c r="KX29" s="3" t="s">
        <v>169</v>
      </c>
      <c r="KY29" s="3" t="s">
        <v>168</v>
      </c>
      <c r="KZ29" s="3" t="s">
        <v>169</v>
      </c>
      <c r="LA29" s="3" t="s">
        <v>168</v>
      </c>
      <c r="LB29" s="3" t="s">
        <v>169</v>
      </c>
      <c r="LC29" s="3" t="s">
        <v>168</v>
      </c>
      <c r="LD29" s="3" t="s">
        <v>169</v>
      </c>
      <c r="LE29" s="3" t="s">
        <v>168</v>
      </c>
      <c r="LF29" s="3" t="s">
        <v>169</v>
      </c>
      <c r="LG29" s="3" t="s">
        <v>168</v>
      </c>
      <c r="LH29" s="3" t="s">
        <v>169</v>
      </c>
      <c r="LI29" s="3" t="s">
        <v>168</v>
      </c>
      <c r="LJ29" s="3" t="s">
        <v>169</v>
      </c>
      <c r="LK29" s="3" t="s">
        <v>168</v>
      </c>
      <c r="LL29" s="3" t="s">
        <v>169</v>
      </c>
      <c r="LM29" s="3" t="s">
        <v>168</v>
      </c>
      <c r="LN29" s="3" t="s">
        <v>169</v>
      </c>
      <c r="LO29" s="3" t="s">
        <v>168</v>
      </c>
      <c r="LP29" s="3" t="s">
        <v>169</v>
      </c>
      <c r="LQ29" s="3" t="s">
        <v>168</v>
      </c>
      <c r="LR29" s="3" t="s">
        <v>169</v>
      </c>
      <c r="LS29" s="3" t="s">
        <v>168</v>
      </c>
      <c r="LT29" s="3" t="s">
        <v>169</v>
      </c>
      <c r="LU29" s="3" t="s">
        <v>168</v>
      </c>
      <c r="LV29" s="3" t="s">
        <v>169</v>
      </c>
      <c r="LW29" s="3" t="s">
        <v>168</v>
      </c>
      <c r="LX29" s="3" t="s">
        <v>169</v>
      </c>
      <c r="LY29" s="3" t="s">
        <v>168</v>
      </c>
      <c r="LZ29" s="3" t="s">
        <v>169</v>
      </c>
      <c r="MA29" s="3" t="s">
        <v>168</v>
      </c>
      <c r="MB29" s="3" t="s">
        <v>169</v>
      </c>
      <c r="MC29" s="3" t="s">
        <v>168</v>
      </c>
      <c r="MD29" s="3" t="s">
        <v>169</v>
      </c>
      <c r="ME29" s="3" t="s">
        <v>168</v>
      </c>
      <c r="MF29" s="3" t="s">
        <v>169</v>
      </c>
      <c r="MG29" s="3" t="s">
        <v>168</v>
      </c>
      <c r="MH29" s="3" t="s">
        <v>169</v>
      </c>
      <c r="MI29" s="3" t="s">
        <v>168</v>
      </c>
      <c r="MJ29" s="3" t="s">
        <v>169</v>
      </c>
      <c r="MK29" s="3" t="s">
        <v>168</v>
      </c>
      <c r="ML29" s="3" t="s">
        <v>169</v>
      </c>
      <c r="MM29" s="3" t="s">
        <v>168</v>
      </c>
      <c r="MN29" s="3" t="s">
        <v>169</v>
      </c>
      <c r="MO29" s="3" t="s">
        <v>168</v>
      </c>
      <c r="MP29" s="3" t="s">
        <v>169</v>
      </c>
      <c r="MQ29" s="3" t="s">
        <v>168</v>
      </c>
      <c r="MR29" s="3" t="s">
        <v>169</v>
      </c>
      <c r="MS29" s="3" t="s">
        <v>168</v>
      </c>
      <c r="MT29" s="3" t="s">
        <v>169</v>
      </c>
      <c r="MU29" s="3" t="s">
        <v>168</v>
      </c>
      <c r="MV29" s="3" t="s">
        <v>169</v>
      </c>
      <c r="MW29" s="3" t="s">
        <v>168</v>
      </c>
      <c r="MX29" s="3" t="s">
        <v>169</v>
      </c>
      <c r="MY29" s="3" t="s">
        <v>168</v>
      </c>
      <c r="MZ29" s="3" t="s">
        <v>169</v>
      </c>
      <c r="NA29" s="3" t="s">
        <v>168</v>
      </c>
      <c r="NB29" s="3" t="s">
        <v>169</v>
      </c>
      <c r="NC29" s="3" t="s">
        <v>168</v>
      </c>
      <c r="ND29" s="3" t="s">
        <v>169</v>
      </c>
      <c r="NE29" s="3" t="s">
        <v>168</v>
      </c>
      <c r="NF29" s="3" t="s">
        <v>169</v>
      </c>
      <c r="NG29" s="3" t="s">
        <v>168</v>
      </c>
      <c r="NH29" s="3" t="s">
        <v>169</v>
      </c>
      <c r="NI29" s="3" t="s">
        <v>168</v>
      </c>
      <c r="NJ29" s="3" t="s">
        <v>169</v>
      </c>
      <c r="NK29" s="3" t="s">
        <v>168</v>
      </c>
      <c r="NL29" s="3" t="s">
        <v>169</v>
      </c>
      <c r="NM29" s="3" t="s">
        <v>168</v>
      </c>
      <c r="NN29" s="3" t="s">
        <v>169</v>
      </c>
      <c r="NO29" s="3" t="s">
        <v>168</v>
      </c>
      <c r="NP29" s="3" t="s">
        <v>169</v>
      </c>
      <c r="NQ29" s="3" t="s">
        <v>168</v>
      </c>
      <c r="NR29" s="3" t="s">
        <v>169</v>
      </c>
      <c r="NS29" s="3" t="s">
        <v>168</v>
      </c>
      <c r="NT29" s="3" t="s">
        <v>169</v>
      </c>
      <c r="NU29" s="3" t="s">
        <v>168</v>
      </c>
      <c r="NV29" s="3" t="s">
        <v>169</v>
      </c>
      <c r="NW29" s="3" t="s">
        <v>168</v>
      </c>
      <c r="NX29" s="3" t="s">
        <v>169</v>
      </c>
      <c r="NY29" s="3" t="s">
        <v>168</v>
      </c>
      <c r="NZ29" s="3" t="s">
        <v>169</v>
      </c>
      <c r="OA29" s="3" t="s">
        <v>168</v>
      </c>
      <c r="OB29" s="3" t="s">
        <v>169</v>
      </c>
      <c r="OC29" s="3" t="s">
        <v>168</v>
      </c>
      <c r="OD29" s="3" t="s">
        <v>169</v>
      </c>
      <c r="OE29" s="3" t="s">
        <v>168</v>
      </c>
      <c r="OF29" s="3" t="s">
        <v>169</v>
      </c>
      <c r="OG29" s="3" t="s">
        <v>168</v>
      </c>
      <c r="OH29" s="3" t="s">
        <v>169</v>
      </c>
      <c r="OI29" s="3" t="s">
        <v>168</v>
      </c>
      <c r="OJ29" s="3" t="s">
        <v>169</v>
      </c>
      <c r="OK29" s="3" t="s">
        <v>168</v>
      </c>
      <c r="OL29" s="3" t="s">
        <v>169</v>
      </c>
      <c r="OM29" s="3" t="s">
        <v>168</v>
      </c>
      <c r="ON29" s="3" t="s">
        <v>169</v>
      </c>
      <c r="OO29" s="3" t="s">
        <v>168</v>
      </c>
      <c r="OP29" s="3" t="s">
        <v>169</v>
      </c>
      <c r="OQ29" s="3" t="s">
        <v>168</v>
      </c>
      <c r="OR29" s="3" t="s">
        <v>169</v>
      </c>
      <c r="OS29" s="3" t="s">
        <v>168</v>
      </c>
      <c r="OT29" s="3" t="s">
        <v>169</v>
      </c>
      <c r="OU29" s="3" t="s">
        <v>168</v>
      </c>
      <c r="OV29" s="3" t="s">
        <v>169</v>
      </c>
      <c r="OW29" s="3" t="s">
        <v>168</v>
      </c>
      <c r="OX29" s="3" t="s">
        <v>169</v>
      </c>
      <c r="OY29" s="3" t="s">
        <v>168</v>
      </c>
      <c r="OZ29" s="3" t="s">
        <v>169</v>
      </c>
      <c r="PA29" s="3" t="s">
        <v>168</v>
      </c>
      <c r="PB29" s="3" t="s">
        <v>169</v>
      </c>
      <c r="PC29" s="3" t="s">
        <v>168</v>
      </c>
      <c r="PD29" s="3" t="s">
        <v>169</v>
      </c>
      <c r="PE29" s="3" t="s">
        <v>168</v>
      </c>
      <c r="PF29" s="3" t="s">
        <v>169</v>
      </c>
      <c r="PG29" s="3" t="s">
        <v>168</v>
      </c>
      <c r="PH29" s="3" t="s">
        <v>169</v>
      </c>
      <c r="PI29" s="3" t="s">
        <v>168</v>
      </c>
      <c r="PJ29" s="3" t="s">
        <v>169</v>
      </c>
      <c r="PK29" s="3" t="s">
        <v>168</v>
      </c>
      <c r="PL29" s="3" t="s">
        <v>169</v>
      </c>
      <c r="PM29" s="3" t="s">
        <v>168</v>
      </c>
      <c r="PN29" s="3" t="s">
        <v>169</v>
      </c>
      <c r="PO29" s="3" t="s">
        <v>168</v>
      </c>
      <c r="PP29" s="3" t="s">
        <v>169</v>
      </c>
      <c r="PQ29" s="3" t="s">
        <v>168</v>
      </c>
      <c r="PR29" s="3" t="s">
        <v>169</v>
      </c>
      <c r="PS29" s="3" t="s">
        <v>168</v>
      </c>
      <c r="PT29" s="3" t="s">
        <v>169</v>
      </c>
      <c r="PU29" s="3" t="s">
        <v>168</v>
      </c>
      <c r="PV29" s="3" t="s">
        <v>169</v>
      </c>
      <c r="PW29" s="3" t="s">
        <v>168</v>
      </c>
      <c r="PX29" s="3" t="s">
        <v>169</v>
      </c>
      <c r="PY29" s="3" t="s">
        <v>168</v>
      </c>
      <c r="PZ29" s="3" t="s">
        <v>169</v>
      </c>
      <c r="QA29" s="3" t="s">
        <v>168</v>
      </c>
      <c r="QB29" s="3" t="s">
        <v>169</v>
      </c>
      <c r="QC29" s="3" t="s">
        <v>168</v>
      </c>
      <c r="QD29" s="3" t="s">
        <v>169</v>
      </c>
      <c r="QE29" s="3" t="s">
        <v>168</v>
      </c>
      <c r="QF29" s="3" t="s">
        <v>169</v>
      </c>
      <c r="QG29" s="3" t="s">
        <v>168</v>
      </c>
      <c r="QH29" s="3" t="s">
        <v>169</v>
      </c>
      <c r="QI29" s="3" t="s">
        <v>168</v>
      </c>
      <c r="QJ29" s="3" t="s">
        <v>169</v>
      </c>
      <c r="QK29" s="3" t="s">
        <v>168</v>
      </c>
      <c r="QL29" s="3" t="s">
        <v>169</v>
      </c>
      <c r="QM29" s="3" t="s">
        <v>168</v>
      </c>
      <c r="QN29" s="3" t="s">
        <v>169</v>
      </c>
      <c r="QO29" s="3" t="s">
        <v>168</v>
      </c>
      <c r="QP29" s="3" t="s">
        <v>169</v>
      </c>
      <c r="QQ29" s="3" t="s">
        <v>168</v>
      </c>
      <c r="QR29" s="3" t="s">
        <v>169</v>
      </c>
      <c r="QS29" s="3" t="s">
        <v>168</v>
      </c>
      <c r="QT29" s="3" t="s">
        <v>169</v>
      </c>
      <c r="QU29" s="3" t="s">
        <v>168</v>
      </c>
      <c r="QV29" s="3" t="s">
        <v>169</v>
      </c>
      <c r="QW29" s="3" t="s">
        <v>168</v>
      </c>
      <c r="QX29" s="3" t="s">
        <v>169</v>
      </c>
      <c r="QY29" s="3" t="s">
        <v>168</v>
      </c>
      <c r="QZ29" s="3" t="s">
        <v>169</v>
      </c>
      <c r="RA29" s="3" t="s">
        <v>168</v>
      </c>
      <c r="RB29" s="3" t="s">
        <v>169</v>
      </c>
      <c r="RC29" s="3" t="s">
        <v>168</v>
      </c>
      <c r="RD29" s="3" t="s">
        <v>169</v>
      </c>
      <c r="RE29" s="3" t="s">
        <v>168</v>
      </c>
      <c r="RF29" s="3" t="s">
        <v>169</v>
      </c>
      <c r="RG29" s="3" t="s">
        <v>168</v>
      </c>
      <c r="RH29" s="3" t="s">
        <v>169</v>
      </c>
      <c r="RI29" s="3" t="s">
        <v>168</v>
      </c>
      <c r="RJ29" s="3" t="s">
        <v>169</v>
      </c>
      <c r="RK29" s="3" t="s">
        <v>168</v>
      </c>
      <c r="RL29" s="3" t="s">
        <v>169</v>
      </c>
      <c r="RM29" s="3" t="s">
        <v>168</v>
      </c>
      <c r="RN29" s="3" t="s">
        <v>169</v>
      </c>
      <c r="RO29" s="3" t="s">
        <v>168</v>
      </c>
      <c r="RP29" s="3" t="s">
        <v>169</v>
      </c>
      <c r="RQ29" s="3" t="s">
        <v>168</v>
      </c>
      <c r="RR29" s="3" t="s">
        <v>169</v>
      </c>
      <c r="RS29" s="3" t="s">
        <v>168</v>
      </c>
      <c r="RT29" s="3" t="s">
        <v>169</v>
      </c>
      <c r="RU29" s="3" t="s">
        <v>168</v>
      </c>
      <c r="RV29" s="3" t="s">
        <v>169</v>
      </c>
      <c r="RW29" s="3" t="s">
        <v>168</v>
      </c>
      <c r="RX29" s="3" t="s">
        <v>169</v>
      </c>
      <c r="RY29" s="3" t="s">
        <v>168</v>
      </c>
      <c r="RZ29" s="3" t="s">
        <v>169</v>
      </c>
      <c r="SA29" s="3" t="s">
        <v>168</v>
      </c>
      <c r="SB29" s="3" t="s">
        <v>169</v>
      </c>
      <c r="SC29" s="3" t="s">
        <v>168</v>
      </c>
      <c r="SD29" s="3" t="s">
        <v>169</v>
      </c>
      <c r="SE29" s="3" t="s">
        <v>168</v>
      </c>
      <c r="SF29" s="3" t="s">
        <v>169</v>
      </c>
      <c r="SG29" s="3" t="s">
        <v>168</v>
      </c>
      <c r="SH29" s="3" t="s">
        <v>169</v>
      </c>
      <c r="SI29" s="3" t="s">
        <v>168</v>
      </c>
      <c r="SJ29" s="3" t="s">
        <v>169</v>
      </c>
      <c r="SK29" s="3" t="s">
        <v>168</v>
      </c>
      <c r="SL29" s="3" t="s">
        <v>169</v>
      </c>
      <c r="SM29" s="3" t="s">
        <v>168</v>
      </c>
      <c r="SN29" s="3" t="s">
        <v>169</v>
      </c>
      <c r="SO29" s="3" t="s">
        <v>168</v>
      </c>
      <c r="SP29" s="3" t="s">
        <v>169</v>
      </c>
      <c r="SQ29" s="3" t="s">
        <v>168</v>
      </c>
      <c r="SR29" s="3" t="s">
        <v>169</v>
      </c>
      <c r="SS29" s="3" t="s">
        <v>168</v>
      </c>
      <c r="ST29" s="3" t="s">
        <v>169</v>
      </c>
      <c r="SU29" s="3" t="s">
        <v>168</v>
      </c>
      <c r="SV29" s="3" t="s">
        <v>169</v>
      </c>
      <c r="SW29" s="3" t="s">
        <v>168</v>
      </c>
      <c r="SX29" s="3" t="s">
        <v>169</v>
      </c>
      <c r="SY29" s="3" t="s">
        <v>168</v>
      </c>
      <c r="SZ29" s="3" t="s">
        <v>169</v>
      </c>
      <c r="TA29" s="3" t="s">
        <v>168</v>
      </c>
      <c r="TB29" s="3" t="s">
        <v>169</v>
      </c>
      <c r="TC29" s="3" t="s">
        <v>168</v>
      </c>
      <c r="TD29" s="3" t="s">
        <v>169</v>
      </c>
      <c r="TE29" s="3" t="s">
        <v>168</v>
      </c>
      <c r="TF29" s="3" t="s">
        <v>169</v>
      </c>
      <c r="TG29" s="3" t="s">
        <v>168</v>
      </c>
      <c r="TH29" s="3" t="s">
        <v>169</v>
      </c>
      <c r="TI29" s="3" t="s">
        <v>168</v>
      </c>
      <c r="TJ29" s="3" t="s">
        <v>169</v>
      </c>
      <c r="TK29" s="3" t="s">
        <v>168</v>
      </c>
      <c r="TL29" s="3" t="s">
        <v>169</v>
      </c>
      <c r="TM29" s="3" t="s">
        <v>168</v>
      </c>
      <c r="TN29" s="3" t="s">
        <v>169</v>
      </c>
      <c r="TO29" s="3" t="s">
        <v>168</v>
      </c>
      <c r="TP29" s="3" t="s">
        <v>169</v>
      </c>
      <c r="TQ29" s="3" t="s">
        <v>168</v>
      </c>
      <c r="TR29" s="3" t="s">
        <v>169</v>
      </c>
      <c r="TS29" s="3" t="s">
        <v>168</v>
      </c>
      <c r="TT29" s="3" t="s">
        <v>169</v>
      </c>
      <c r="TU29" s="3" t="s">
        <v>168</v>
      </c>
      <c r="TV29" s="3" t="s">
        <v>169</v>
      </c>
      <c r="TW29" s="3" t="s">
        <v>168</v>
      </c>
      <c r="TX29" s="3" t="s">
        <v>169</v>
      </c>
      <c r="TY29" s="3" t="s">
        <v>168</v>
      </c>
      <c r="TZ29" s="3" t="s">
        <v>169</v>
      </c>
      <c r="UA29" s="3" t="s">
        <v>168</v>
      </c>
      <c r="UB29" s="3" t="s">
        <v>169</v>
      </c>
      <c r="UC29" s="3" t="s">
        <v>168</v>
      </c>
      <c r="UD29" s="3" t="s">
        <v>169</v>
      </c>
      <c r="UE29" s="3" t="s">
        <v>168</v>
      </c>
      <c r="UF29" s="3" t="s">
        <v>169</v>
      </c>
      <c r="UG29" s="3" t="s">
        <v>168</v>
      </c>
      <c r="UH29" s="3" t="s">
        <v>169</v>
      </c>
      <c r="UI29" s="3" t="s">
        <v>168</v>
      </c>
      <c r="UJ29" s="3" t="s">
        <v>169</v>
      </c>
      <c r="UK29" s="3" t="s">
        <v>168</v>
      </c>
      <c r="UL29" s="3" t="s">
        <v>169</v>
      </c>
      <c r="UM29" s="3" t="s">
        <v>168</v>
      </c>
      <c r="UN29" s="3" t="s">
        <v>169</v>
      </c>
      <c r="UO29" s="3" t="s">
        <v>168</v>
      </c>
      <c r="UP29" s="3" t="s">
        <v>169</v>
      </c>
      <c r="UQ29" s="3" t="s">
        <v>168</v>
      </c>
      <c r="UR29" s="3" t="s">
        <v>169</v>
      </c>
      <c r="US29" s="3" t="s">
        <v>168</v>
      </c>
      <c r="UT29" s="3" t="s">
        <v>169</v>
      </c>
      <c r="UU29" s="3" t="s">
        <v>168</v>
      </c>
      <c r="UV29" s="3" t="s">
        <v>169</v>
      </c>
      <c r="UW29" s="3" t="s">
        <v>168</v>
      </c>
      <c r="UX29" s="3" t="s">
        <v>169</v>
      </c>
      <c r="UY29" s="3" t="s">
        <v>168</v>
      </c>
      <c r="UZ29" s="3" t="s">
        <v>169</v>
      </c>
      <c r="VA29" s="3" t="s">
        <v>168</v>
      </c>
      <c r="VB29" s="3" t="s">
        <v>169</v>
      </c>
      <c r="VC29" s="3" t="s">
        <v>168</v>
      </c>
      <c r="VD29" s="3" t="s">
        <v>169</v>
      </c>
      <c r="VE29" s="3" t="s">
        <v>168</v>
      </c>
      <c r="VF29" s="3" t="s">
        <v>169</v>
      </c>
      <c r="VG29" s="3" t="s">
        <v>168</v>
      </c>
      <c r="VH29" s="3" t="s">
        <v>169</v>
      </c>
      <c r="VI29" s="3" t="s">
        <v>168</v>
      </c>
      <c r="VJ29" s="3" t="s">
        <v>169</v>
      </c>
      <c r="VK29" s="3" t="s">
        <v>168</v>
      </c>
      <c r="VL29" s="3" t="s">
        <v>169</v>
      </c>
      <c r="VM29" s="3" t="s">
        <v>168</v>
      </c>
      <c r="VN29" s="3" t="s">
        <v>169</v>
      </c>
      <c r="VO29" s="3" t="s">
        <v>168</v>
      </c>
      <c r="VP29" s="3" t="s">
        <v>169</v>
      </c>
      <c r="VQ29" s="3" t="s">
        <v>168</v>
      </c>
      <c r="VR29" s="3" t="s">
        <v>169</v>
      </c>
      <c r="VS29" s="3" t="s">
        <v>168</v>
      </c>
      <c r="VT29" s="3" t="s">
        <v>169</v>
      </c>
      <c r="VU29" s="3" t="s">
        <v>168</v>
      </c>
      <c r="VV29" s="3" t="s">
        <v>169</v>
      </c>
      <c r="VW29" s="3" t="s">
        <v>168</v>
      </c>
      <c r="VX29" s="3" t="s">
        <v>169</v>
      </c>
      <c r="VY29" s="3" t="s">
        <v>168</v>
      </c>
      <c r="VZ29" s="3" t="s">
        <v>169</v>
      </c>
      <c r="WA29" s="3" t="s">
        <v>168</v>
      </c>
      <c r="WB29" s="3" t="s">
        <v>169</v>
      </c>
      <c r="WC29" s="3" t="s">
        <v>168</v>
      </c>
      <c r="WD29" s="3" t="s">
        <v>169</v>
      </c>
      <c r="WE29" s="3" t="s">
        <v>168</v>
      </c>
      <c r="WF29" s="3" t="s">
        <v>169</v>
      </c>
      <c r="WG29" s="3" t="s">
        <v>168</v>
      </c>
      <c r="WH29" s="3" t="s">
        <v>169</v>
      </c>
      <c r="WI29" s="3" t="s">
        <v>168</v>
      </c>
      <c r="WJ29" s="3" t="s">
        <v>169</v>
      </c>
      <c r="WK29" s="3" t="s">
        <v>168</v>
      </c>
      <c r="WL29" s="3" t="s">
        <v>169</v>
      </c>
      <c r="WM29" s="3" t="s">
        <v>168</v>
      </c>
      <c r="WN29" s="3" t="s">
        <v>169</v>
      </c>
      <c r="WO29" s="3" t="s">
        <v>168</v>
      </c>
      <c r="WP29" s="3" t="s">
        <v>169</v>
      </c>
      <c r="WQ29" s="3" t="s">
        <v>168</v>
      </c>
      <c r="WR29" s="3" t="s">
        <v>169</v>
      </c>
      <c r="WS29" s="3" t="s">
        <v>168</v>
      </c>
      <c r="WT29" s="3" t="s">
        <v>169</v>
      </c>
      <c r="WU29" s="3" t="s">
        <v>168</v>
      </c>
      <c r="WV29" s="3" t="s">
        <v>169</v>
      </c>
      <c r="WW29" s="3" t="s">
        <v>168</v>
      </c>
      <c r="WX29" s="3" t="s">
        <v>169</v>
      </c>
      <c r="WY29" s="3" t="s">
        <v>168</v>
      </c>
      <c r="WZ29" s="3" t="s">
        <v>169</v>
      </c>
      <c r="XA29" s="3" t="s">
        <v>168</v>
      </c>
      <c r="XB29" s="3" t="s">
        <v>169</v>
      </c>
      <c r="XC29" s="3" t="s">
        <v>168</v>
      </c>
      <c r="XD29" s="3" t="s">
        <v>169</v>
      </c>
      <c r="XE29" s="3" t="s">
        <v>168</v>
      </c>
      <c r="XF29" s="3" t="s">
        <v>169</v>
      </c>
      <c r="XG29" s="3" t="s">
        <v>168</v>
      </c>
      <c r="XH29" s="3" t="s">
        <v>169</v>
      </c>
      <c r="XI29" s="3" t="s">
        <v>168</v>
      </c>
      <c r="XJ29" s="3" t="s">
        <v>169</v>
      </c>
      <c r="XK29" s="3" t="s">
        <v>168</v>
      </c>
      <c r="XL29" s="3" t="s">
        <v>169</v>
      </c>
      <c r="XM29" s="3" t="s">
        <v>168</v>
      </c>
      <c r="XN29" s="3" t="s">
        <v>169</v>
      </c>
      <c r="XO29" s="3" t="s">
        <v>168</v>
      </c>
      <c r="XP29" s="3" t="s">
        <v>169</v>
      </c>
      <c r="XQ29" s="3" t="s">
        <v>168</v>
      </c>
      <c r="XR29" s="3" t="s">
        <v>169</v>
      </c>
      <c r="XS29" s="3" t="s">
        <v>168</v>
      </c>
      <c r="XT29" s="3" t="s">
        <v>169</v>
      </c>
      <c r="XU29" s="3" t="s">
        <v>168</v>
      </c>
      <c r="XV29" s="3" t="s">
        <v>169</v>
      </c>
      <c r="XW29" s="3" t="s">
        <v>168</v>
      </c>
      <c r="XX29" s="3" t="s">
        <v>169</v>
      </c>
      <c r="XY29" s="3" t="s">
        <v>168</v>
      </c>
      <c r="XZ29" s="3" t="s">
        <v>169</v>
      </c>
      <c r="YA29" s="3" t="s">
        <v>168</v>
      </c>
      <c r="YB29" s="3" t="s">
        <v>169</v>
      </c>
      <c r="YC29" s="3" t="s">
        <v>168</v>
      </c>
      <c r="YD29" s="3" t="s">
        <v>169</v>
      </c>
      <c r="YE29" s="3" t="s">
        <v>168</v>
      </c>
      <c r="YF29" s="3" t="s">
        <v>169</v>
      </c>
      <c r="YG29" s="3" t="s">
        <v>168</v>
      </c>
      <c r="YH29" s="3" t="s">
        <v>169</v>
      </c>
      <c r="YI29" s="3" t="s">
        <v>168</v>
      </c>
      <c r="YJ29" s="3" t="s">
        <v>169</v>
      </c>
      <c r="YK29" s="3" t="s">
        <v>168</v>
      </c>
      <c r="YL29" s="3" t="s">
        <v>169</v>
      </c>
      <c r="YM29" s="3" t="s">
        <v>168</v>
      </c>
      <c r="YN29" s="3" t="s">
        <v>169</v>
      </c>
      <c r="YO29" s="3" t="s">
        <v>168</v>
      </c>
      <c r="YP29" s="3" t="s">
        <v>169</v>
      </c>
      <c r="YQ29" s="3" t="s">
        <v>168</v>
      </c>
      <c r="YR29" s="3" t="s">
        <v>169</v>
      </c>
      <c r="YS29" s="3" t="s">
        <v>168</v>
      </c>
      <c r="YT29" s="3" t="s">
        <v>169</v>
      </c>
      <c r="YU29" s="3" t="s">
        <v>168</v>
      </c>
      <c r="YV29" s="3" t="s">
        <v>169</v>
      </c>
      <c r="YW29" s="3" t="s">
        <v>168</v>
      </c>
      <c r="YX29" s="3" t="s">
        <v>169</v>
      </c>
      <c r="YY29" s="3" t="s">
        <v>168</v>
      </c>
      <c r="YZ29" s="3" t="s">
        <v>169</v>
      </c>
      <c r="ZA29" s="3" t="s">
        <v>168</v>
      </c>
      <c r="ZB29" s="3" t="s">
        <v>169</v>
      </c>
      <c r="ZC29" s="3" t="s">
        <v>168</v>
      </c>
      <c r="ZD29" s="3" t="s">
        <v>169</v>
      </c>
      <c r="ZE29" s="3" t="s">
        <v>168</v>
      </c>
      <c r="ZF29" s="3" t="s">
        <v>169</v>
      </c>
      <c r="ZG29" s="3" t="s">
        <v>168</v>
      </c>
      <c r="ZH29" s="3" t="s">
        <v>169</v>
      </c>
      <c r="ZI29" s="3" t="s">
        <v>168</v>
      </c>
      <c r="ZJ29" s="3" t="s">
        <v>169</v>
      </c>
      <c r="ZK29" s="3" t="s">
        <v>168</v>
      </c>
      <c r="ZL29" s="3" t="s">
        <v>169</v>
      </c>
      <c r="ZM29" s="3" t="s">
        <v>168</v>
      </c>
      <c r="ZN29" s="3" t="s">
        <v>169</v>
      </c>
      <c r="ZO29" s="3" t="s">
        <v>168</v>
      </c>
      <c r="ZP29" s="3" t="s">
        <v>169</v>
      </c>
      <c r="ZQ29" s="3" t="s">
        <v>168</v>
      </c>
      <c r="ZR29" s="3" t="s">
        <v>169</v>
      </c>
      <c r="ZS29" s="3" t="s">
        <v>168</v>
      </c>
      <c r="ZT29" s="3" t="s">
        <v>169</v>
      </c>
      <c r="ZU29" s="3" t="s">
        <v>168</v>
      </c>
      <c r="ZV29" s="3" t="s">
        <v>169</v>
      </c>
      <c r="ZW29" s="3" t="s">
        <v>168</v>
      </c>
      <c r="ZX29" s="3" t="s">
        <v>169</v>
      </c>
      <c r="ZY29" s="3" t="s">
        <v>168</v>
      </c>
      <c r="ZZ29" s="3" t="s">
        <v>169</v>
      </c>
      <c r="AAA29" s="3" t="s">
        <v>168</v>
      </c>
      <c r="AAB29" s="3" t="s">
        <v>169</v>
      </c>
      <c r="AAC29" s="3" t="s">
        <v>168</v>
      </c>
      <c r="AAD29" s="3" t="s">
        <v>169</v>
      </c>
      <c r="AAE29" s="3" t="s">
        <v>168</v>
      </c>
      <c r="AAF29" s="3" t="s">
        <v>169</v>
      </c>
      <c r="AAG29" s="3" t="s">
        <v>168</v>
      </c>
      <c r="AAH29" s="3" t="s">
        <v>169</v>
      </c>
      <c r="AAI29" s="3" t="s">
        <v>168</v>
      </c>
      <c r="AAJ29" s="3" t="s">
        <v>169</v>
      </c>
      <c r="AAK29" s="3" t="s">
        <v>168</v>
      </c>
      <c r="AAL29" s="3" t="s">
        <v>169</v>
      </c>
      <c r="AAM29" s="3" t="s">
        <v>168</v>
      </c>
      <c r="AAN29" s="3" t="s">
        <v>169</v>
      </c>
      <c r="AAO29" s="3" t="s">
        <v>168</v>
      </c>
      <c r="AAP29" s="3" t="s">
        <v>169</v>
      </c>
      <c r="AAQ29" s="3" t="s">
        <v>168</v>
      </c>
      <c r="AAR29" s="3" t="s">
        <v>169</v>
      </c>
      <c r="AAS29" s="3" t="s">
        <v>168</v>
      </c>
      <c r="AAT29" s="3" t="s">
        <v>169</v>
      </c>
      <c r="AAU29" s="3" t="s">
        <v>168</v>
      </c>
      <c r="AAV29" s="3" t="s">
        <v>169</v>
      </c>
      <c r="AAW29" s="3" t="s">
        <v>168</v>
      </c>
      <c r="AAX29" s="3" t="s">
        <v>169</v>
      </c>
      <c r="AAY29" s="3" t="s">
        <v>168</v>
      </c>
      <c r="AAZ29" s="3" t="s">
        <v>169</v>
      </c>
      <c r="ABA29" s="3" t="s">
        <v>168</v>
      </c>
      <c r="ABB29" s="3" t="s">
        <v>169</v>
      </c>
      <c r="ABC29" s="3" t="s">
        <v>168</v>
      </c>
      <c r="ABD29" s="3" t="s">
        <v>169</v>
      </c>
      <c r="ABE29" s="3" t="s">
        <v>168</v>
      </c>
      <c r="ABF29" s="3" t="s">
        <v>169</v>
      </c>
      <c r="ABG29" s="3" t="s">
        <v>168</v>
      </c>
      <c r="ABH29" s="3" t="s">
        <v>169</v>
      </c>
      <c r="ABI29" s="3" t="s">
        <v>168</v>
      </c>
      <c r="ABJ29" s="3" t="s">
        <v>169</v>
      </c>
      <c r="ABK29" s="3" t="s">
        <v>168</v>
      </c>
      <c r="ABL29" s="3" t="s">
        <v>169</v>
      </c>
      <c r="ABM29" s="3" t="s">
        <v>168</v>
      </c>
      <c r="ABN29" s="3" t="s">
        <v>169</v>
      </c>
      <c r="ABO29" s="3" t="s">
        <v>168</v>
      </c>
      <c r="ABP29" s="3" t="s">
        <v>169</v>
      </c>
      <c r="ABQ29" s="3" t="s">
        <v>168</v>
      </c>
      <c r="ABR29" s="3" t="s">
        <v>169</v>
      </c>
      <c r="ABS29" s="3" t="s">
        <v>168</v>
      </c>
      <c r="ABT29" s="3" t="s">
        <v>169</v>
      </c>
      <c r="ABU29" s="3" t="s">
        <v>168</v>
      </c>
      <c r="ABV29" s="3" t="s">
        <v>169</v>
      </c>
      <c r="ABW29" s="3" t="s">
        <v>168</v>
      </c>
      <c r="ABX29" s="3" t="s">
        <v>169</v>
      </c>
      <c r="ABY29" s="3" t="s">
        <v>168</v>
      </c>
      <c r="ABZ29" s="3" t="s">
        <v>169</v>
      </c>
      <c r="ACA29" s="3" t="s">
        <v>168</v>
      </c>
      <c r="ACB29" s="3" t="s">
        <v>169</v>
      </c>
      <c r="ACC29" s="3" t="s">
        <v>168</v>
      </c>
      <c r="ACD29" s="3" t="s">
        <v>169</v>
      </c>
      <c r="ACE29" s="3" t="s">
        <v>168</v>
      </c>
      <c r="ACF29" s="3" t="s">
        <v>169</v>
      </c>
      <c r="ACG29" s="3" t="s">
        <v>168</v>
      </c>
      <c r="ACH29" s="3" t="s">
        <v>169</v>
      </c>
      <c r="ACI29" s="3" t="s">
        <v>168</v>
      </c>
      <c r="ACJ29" s="3" t="s">
        <v>169</v>
      </c>
      <c r="ACK29" s="3" t="s">
        <v>168</v>
      </c>
      <c r="ACL29" s="3" t="s">
        <v>169</v>
      </c>
      <c r="ACM29" s="3" t="s">
        <v>168</v>
      </c>
      <c r="ACN29" s="3" t="s">
        <v>169</v>
      </c>
      <c r="ACO29" s="3" t="s">
        <v>168</v>
      </c>
      <c r="ACP29" s="3" t="s">
        <v>169</v>
      </c>
      <c r="ACQ29" s="3" t="s">
        <v>168</v>
      </c>
      <c r="ACR29" s="3" t="s">
        <v>169</v>
      </c>
      <c r="ACS29" s="3" t="s">
        <v>168</v>
      </c>
      <c r="ACT29" s="3" t="s">
        <v>169</v>
      </c>
      <c r="ACU29" s="3" t="s">
        <v>168</v>
      </c>
      <c r="ACV29" s="3" t="s">
        <v>169</v>
      </c>
      <c r="ACW29" s="3" t="s">
        <v>168</v>
      </c>
      <c r="ACX29" s="3" t="s">
        <v>169</v>
      </c>
      <c r="ACY29" s="3" t="s">
        <v>168</v>
      </c>
      <c r="ACZ29" s="3" t="s">
        <v>169</v>
      </c>
      <c r="ADA29" s="3" t="s">
        <v>168</v>
      </c>
      <c r="ADB29" s="3" t="s">
        <v>169</v>
      </c>
      <c r="ADC29" s="3" t="s">
        <v>168</v>
      </c>
      <c r="ADD29" s="3" t="s">
        <v>169</v>
      </c>
      <c r="ADE29" s="3" t="s">
        <v>168</v>
      </c>
      <c r="ADF29" s="3" t="s">
        <v>169</v>
      </c>
      <c r="ADG29" s="3" t="s">
        <v>168</v>
      </c>
      <c r="ADH29" s="3" t="s">
        <v>169</v>
      </c>
      <c r="ADI29" s="3" t="s">
        <v>168</v>
      </c>
      <c r="ADJ29" s="3" t="s">
        <v>169</v>
      </c>
      <c r="ADK29" s="3" t="s">
        <v>168</v>
      </c>
      <c r="ADL29" s="3" t="s">
        <v>169</v>
      </c>
      <c r="ADM29" s="3" t="s">
        <v>168</v>
      </c>
      <c r="ADN29" s="3" t="s">
        <v>169</v>
      </c>
      <c r="ADO29" s="3" t="s">
        <v>168</v>
      </c>
      <c r="ADP29" s="3" t="s">
        <v>169</v>
      </c>
      <c r="ADQ29" s="3" t="s">
        <v>168</v>
      </c>
      <c r="ADR29" s="3" t="s">
        <v>169</v>
      </c>
      <c r="ADS29" s="3" t="s">
        <v>168</v>
      </c>
      <c r="ADT29" s="3" t="s">
        <v>169</v>
      </c>
      <c r="ADU29" s="3" t="s">
        <v>168</v>
      </c>
      <c r="ADV29" s="3" t="s">
        <v>169</v>
      </c>
      <c r="ADW29" s="3" t="s">
        <v>168</v>
      </c>
      <c r="ADX29" s="3" t="s">
        <v>169</v>
      </c>
      <c r="ADY29" s="3" t="s">
        <v>168</v>
      </c>
      <c r="ADZ29" s="3" t="s">
        <v>169</v>
      </c>
      <c r="AEA29" s="3" t="s">
        <v>168</v>
      </c>
      <c r="AEB29" s="3" t="s">
        <v>169</v>
      </c>
      <c r="AEC29" s="3" t="s">
        <v>168</v>
      </c>
      <c r="AED29" s="3" t="s">
        <v>169</v>
      </c>
      <c r="AEE29" s="3" t="s">
        <v>168</v>
      </c>
      <c r="AEF29" s="3" t="s">
        <v>169</v>
      </c>
      <c r="AEG29" s="3" t="s">
        <v>168</v>
      </c>
      <c r="AEH29" s="3" t="s">
        <v>169</v>
      </c>
      <c r="AEI29" s="3" t="s">
        <v>168</v>
      </c>
      <c r="AEJ29" s="3" t="s">
        <v>169</v>
      </c>
      <c r="AEK29" s="3" t="s">
        <v>168</v>
      </c>
      <c r="AEL29" s="3" t="s">
        <v>169</v>
      </c>
      <c r="AEM29" s="3" t="s">
        <v>168</v>
      </c>
      <c r="AEN29" s="3" t="s">
        <v>169</v>
      </c>
      <c r="AEO29" s="3" t="s">
        <v>168</v>
      </c>
      <c r="AEP29" s="3" t="s">
        <v>169</v>
      </c>
      <c r="AEQ29" s="3" t="s">
        <v>168</v>
      </c>
      <c r="AER29" s="3" t="s">
        <v>169</v>
      </c>
      <c r="AES29" s="3" t="s">
        <v>168</v>
      </c>
      <c r="AET29" s="3" t="s">
        <v>169</v>
      </c>
      <c r="AEU29" s="3" t="s">
        <v>168</v>
      </c>
      <c r="AEV29" s="3" t="s">
        <v>169</v>
      </c>
      <c r="AEW29" s="3" t="s">
        <v>168</v>
      </c>
      <c r="AEX29" s="3" t="s">
        <v>169</v>
      </c>
      <c r="AEY29" s="3" t="s">
        <v>168</v>
      </c>
      <c r="AEZ29" s="3" t="s">
        <v>169</v>
      </c>
      <c r="AFA29" s="3" t="s">
        <v>168</v>
      </c>
      <c r="AFB29" s="3" t="s">
        <v>169</v>
      </c>
      <c r="AFC29" s="3" t="s">
        <v>168</v>
      </c>
      <c r="AFD29" s="3" t="s">
        <v>169</v>
      </c>
      <c r="AFE29" s="3" t="s">
        <v>168</v>
      </c>
      <c r="AFF29" s="3" t="s">
        <v>169</v>
      </c>
      <c r="AFG29" s="3" t="s">
        <v>168</v>
      </c>
      <c r="AFH29" s="3" t="s">
        <v>169</v>
      </c>
      <c r="AFI29" s="3" t="s">
        <v>168</v>
      </c>
      <c r="AFJ29" s="3" t="s">
        <v>169</v>
      </c>
      <c r="AFK29" s="3" t="s">
        <v>168</v>
      </c>
      <c r="AFL29" s="3" t="s">
        <v>169</v>
      </c>
      <c r="AFM29" s="3" t="s">
        <v>168</v>
      </c>
      <c r="AFN29" s="3" t="s">
        <v>169</v>
      </c>
      <c r="AFO29" s="3" t="s">
        <v>168</v>
      </c>
      <c r="AFP29" s="3" t="s">
        <v>169</v>
      </c>
      <c r="AFQ29" s="3" t="s">
        <v>168</v>
      </c>
      <c r="AFR29" s="3" t="s">
        <v>169</v>
      </c>
      <c r="AFS29" s="3" t="s">
        <v>168</v>
      </c>
      <c r="AFT29" s="3" t="s">
        <v>169</v>
      </c>
      <c r="AFU29" s="3" t="s">
        <v>168</v>
      </c>
      <c r="AFV29" s="3" t="s">
        <v>169</v>
      </c>
      <c r="AFW29" s="3" t="s">
        <v>168</v>
      </c>
      <c r="AFX29" s="3" t="s">
        <v>169</v>
      </c>
      <c r="AFY29" s="3" t="s">
        <v>168</v>
      </c>
      <c r="AFZ29" s="3" t="s">
        <v>169</v>
      </c>
      <c r="AGA29" s="3" t="s">
        <v>168</v>
      </c>
      <c r="AGB29" s="3" t="s">
        <v>169</v>
      </c>
      <c r="AGC29" s="3" t="s">
        <v>168</v>
      </c>
      <c r="AGD29" s="3" t="s">
        <v>169</v>
      </c>
      <c r="AGE29" s="3" t="s">
        <v>168</v>
      </c>
      <c r="AGF29" s="3" t="s">
        <v>169</v>
      </c>
      <c r="AGG29" s="3" t="s">
        <v>168</v>
      </c>
      <c r="AGH29" s="3" t="s">
        <v>169</v>
      </c>
      <c r="AGI29" s="3" t="s">
        <v>168</v>
      </c>
      <c r="AGJ29" s="3" t="s">
        <v>169</v>
      </c>
      <c r="AGK29" s="3" t="s">
        <v>168</v>
      </c>
      <c r="AGL29" s="3" t="s">
        <v>169</v>
      </c>
      <c r="AGM29" s="3" t="s">
        <v>168</v>
      </c>
      <c r="AGN29" s="3" t="s">
        <v>169</v>
      </c>
      <c r="AGO29" s="3" t="s">
        <v>168</v>
      </c>
      <c r="AGP29" s="3" t="s">
        <v>169</v>
      </c>
      <c r="AGQ29" s="3" t="s">
        <v>168</v>
      </c>
      <c r="AGR29" s="3" t="s">
        <v>169</v>
      </c>
      <c r="AGS29" s="3" t="s">
        <v>168</v>
      </c>
      <c r="AGT29" s="3" t="s">
        <v>169</v>
      </c>
      <c r="AGU29" s="3" t="s">
        <v>168</v>
      </c>
      <c r="AGV29" s="3" t="s">
        <v>169</v>
      </c>
      <c r="AGW29" s="3" t="s">
        <v>168</v>
      </c>
      <c r="AGX29" s="3" t="s">
        <v>169</v>
      </c>
      <c r="AGY29" s="3" t="s">
        <v>168</v>
      </c>
      <c r="AGZ29" s="3" t="s">
        <v>169</v>
      </c>
      <c r="AHA29" s="3" t="s">
        <v>168</v>
      </c>
      <c r="AHB29" s="3" t="s">
        <v>169</v>
      </c>
      <c r="AHC29" s="3" t="s">
        <v>168</v>
      </c>
      <c r="AHD29" s="3" t="s">
        <v>169</v>
      </c>
      <c r="AHE29" s="3" t="s">
        <v>168</v>
      </c>
      <c r="AHF29" s="3" t="s">
        <v>169</v>
      </c>
      <c r="AHG29" s="3" t="s">
        <v>168</v>
      </c>
      <c r="AHH29" s="3" t="s">
        <v>169</v>
      </c>
      <c r="AHI29" s="3" t="s">
        <v>168</v>
      </c>
      <c r="AHJ29" s="3" t="s">
        <v>169</v>
      </c>
      <c r="AHK29" s="3" t="s">
        <v>168</v>
      </c>
      <c r="AHL29" s="3" t="s">
        <v>169</v>
      </c>
      <c r="AHM29" s="3" t="s">
        <v>168</v>
      </c>
      <c r="AHN29" s="3" t="s">
        <v>169</v>
      </c>
      <c r="AHO29" s="3" t="s">
        <v>168</v>
      </c>
      <c r="AHP29" s="3" t="s">
        <v>169</v>
      </c>
      <c r="AHQ29" s="3" t="s">
        <v>168</v>
      </c>
      <c r="AHR29" s="3" t="s">
        <v>169</v>
      </c>
      <c r="AHS29" s="3" t="s">
        <v>168</v>
      </c>
      <c r="AHT29" s="3" t="s">
        <v>169</v>
      </c>
      <c r="AHU29" s="3" t="s">
        <v>168</v>
      </c>
      <c r="AHV29" s="3" t="s">
        <v>169</v>
      </c>
      <c r="AHW29" s="3" t="s">
        <v>168</v>
      </c>
      <c r="AHX29" s="3" t="s">
        <v>169</v>
      </c>
      <c r="AHY29" s="3" t="s">
        <v>168</v>
      </c>
      <c r="AHZ29" s="3" t="s">
        <v>169</v>
      </c>
      <c r="AIA29" s="3" t="s">
        <v>168</v>
      </c>
      <c r="AIB29" s="3" t="s">
        <v>169</v>
      </c>
      <c r="AIC29" s="3" t="s">
        <v>168</v>
      </c>
      <c r="AID29" s="3" t="s">
        <v>169</v>
      </c>
      <c r="AIE29" s="3" t="s">
        <v>168</v>
      </c>
      <c r="AIF29" s="3" t="s">
        <v>169</v>
      </c>
      <c r="AIG29" s="3" t="s">
        <v>168</v>
      </c>
      <c r="AIH29" s="3" t="s">
        <v>169</v>
      </c>
      <c r="AII29" s="3" t="s">
        <v>168</v>
      </c>
      <c r="AIJ29" s="3" t="s">
        <v>169</v>
      </c>
      <c r="AIK29" s="3" t="s">
        <v>168</v>
      </c>
      <c r="AIL29" s="3" t="s">
        <v>169</v>
      </c>
      <c r="AIM29" s="3" t="s">
        <v>168</v>
      </c>
      <c r="AIN29" s="3" t="s">
        <v>169</v>
      </c>
      <c r="AIO29" s="3" t="s">
        <v>168</v>
      </c>
      <c r="AIP29" s="3" t="s">
        <v>169</v>
      </c>
      <c r="AIQ29" s="3" t="s">
        <v>168</v>
      </c>
      <c r="AIR29" s="3" t="s">
        <v>169</v>
      </c>
      <c r="AIS29" s="3" t="s">
        <v>168</v>
      </c>
      <c r="AIT29" s="3" t="s">
        <v>169</v>
      </c>
      <c r="AIU29" s="3" t="s">
        <v>168</v>
      </c>
      <c r="AIV29" s="3" t="s">
        <v>169</v>
      </c>
      <c r="AIW29" s="3" t="s">
        <v>168</v>
      </c>
      <c r="AIX29" s="3" t="s">
        <v>169</v>
      </c>
      <c r="AIY29" s="3" t="s">
        <v>168</v>
      </c>
      <c r="AIZ29" s="3" t="s">
        <v>169</v>
      </c>
      <c r="AJA29" s="3" t="s">
        <v>168</v>
      </c>
      <c r="AJB29" s="3" t="s">
        <v>169</v>
      </c>
      <c r="AJC29" s="3" t="s">
        <v>168</v>
      </c>
      <c r="AJD29" s="3" t="s">
        <v>169</v>
      </c>
      <c r="AJE29" s="3" t="s">
        <v>168</v>
      </c>
      <c r="AJF29" s="3" t="s">
        <v>169</v>
      </c>
      <c r="AJG29" s="3" t="s">
        <v>168</v>
      </c>
      <c r="AJH29" s="3" t="s">
        <v>169</v>
      </c>
      <c r="AJI29" s="3" t="s">
        <v>168</v>
      </c>
      <c r="AJJ29" s="3" t="s">
        <v>169</v>
      </c>
      <c r="AJK29" s="3" t="s">
        <v>168</v>
      </c>
      <c r="AJL29" s="3" t="s">
        <v>169</v>
      </c>
      <c r="AJM29" s="3" t="s">
        <v>168</v>
      </c>
      <c r="AJN29" s="3" t="s">
        <v>169</v>
      </c>
      <c r="AJO29" s="3" t="s">
        <v>168</v>
      </c>
      <c r="AJP29" s="3" t="s">
        <v>169</v>
      </c>
      <c r="AJQ29" s="3" t="s">
        <v>168</v>
      </c>
      <c r="AJR29" s="3" t="s">
        <v>169</v>
      </c>
      <c r="AJS29" s="3" t="s">
        <v>168</v>
      </c>
      <c r="AJT29" s="3" t="s">
        <v>169</v>
      </c>
      <c r="AJU29" s="3" t="s">
        <v>168</v>
      </c>
      <c r="AJV29" s="3" t="s">
        <v>169</v>
      </c>
      <c r="AJW29" s="3" t="s">
        <v>168</v>
      </c>
      <c r="AJX29" s="3" t="s">
        <v>169</v>
      </c>
      <c r="AJY29" s="3" t="s">
        <v>168</v>
      </c>
      <c r="AJZ29" s="3" t="s">
        <v>169</v>
      </c>
      <c r="AKA29" s="3" t="s">
        <v>168</v>
      </c>
      <c r="AKB29" s="3" t="s">
        <v>169</v>
      </c>
      <c r="AKC29" s="3" t="s">
        <v>168</v>
      </c>
      <c r="AKD29" s="3" t="s">
        <v>169</v>
      </c>
      <c r="AKE29" s="3" t="s">
        <v>168</v>
      </c>
      <c r="AKF29" s="3" t="s">
        <v>169</v>
      </c>
      <c r="AKG29" s="3" t="s">
        <v>168</v>
      </c>
      <c r="AKH29" s="3" t="s">
        <v>169</v>
      </c>
      <c r="AKI29" s="3" t="s">
        <v>168</v>
      </c>
      <c r="AKJ29" s="3" t="s">
        <v>169</v>
      </c>
      <c r="AKK29" s="3" t="s">
        <v>168</v>
      </c>
      <c r="AKL29" s="3" t="s">
        <v>169</v>
      </c>
      <c r="AKM29" s="3" t="s">
        <v>168</v>
      </c>
      <c r="AKN29" s="3" t="s">
        <v>169</v>
      </c>
      <c r="AKO29" s="3" t="s">
        <v>168</v>
      </c>
      <c r="AKP29" s="3" t="s">
        <v>169</v>
      </c>
      <c r="AKQ29" s="3" t="s">
        <v>168</v>
      </c>
      <c r="AKR29" s="3" t="s">
        <v>169</v>
      </c>
      <c r="AKS29" s="3" t="s">
        <v>168</v>
      </c>
      <c r="AKT29" s="3" t="s">
        <v>169</v>
      </c>
      <c r="AKU29" s="3" t="s">
        <v>168</v>
      </c>
      <c r="AKV29" s="3" t="s">
        <v>169</v>
      </c>
      <c r="AKW29" s="3" t="s">
        <v>168</v>
      </c>
      <c r="AKX29" s="3" t="s">
        <v>169</v>
      </c>
      <c r="AKY29" s="3" t="s">
        <v>168</v>
      </c>
      <c r="AKZ29" s="3" t="s">
        <v>169</v>
      </c>
      <c r="ALA29" s="3" t="s">
        <v>168</v>
      </c>
      <c r="ALB29" s="3" t="s">
        <v>169</v>
      </c>
      <c r="ALC29" s="3" t="s">
        <v>168</v>
      </c>
      <c r="ALD29" s="3" t="s">
        <v>169</v>
      </c>
      <c r="ALE29" s="3" t="s">
        <v>168</v>
      </c>
      <c r="ALF29" s="3" t="s">
        <v>169</v>
      </c>
      <c r="ALG29" s="3" t="s">
        <v>168</v>
      </c>
      <c r="ALH29" s="3" t="s">
        <v>169</v>
      </c>
      <c r="ALI29" s="3" t="s">
        <v>168</v>
      </c>
      <c r="ALJ29" s="3" t="s">
        <v>169</v>
      </c>
      <c r="ALK29" s="3" t="s">
        <v>168</v>
      </c>
      <c r="ALL29" s="3" t="s">
        <v>169</v>
      </c>
      <c r="ALM29" s="3" t="s">
        <v>168</v>
      </c>
      <c r="ALN29" s="3" t="s">
        <v>169</v>
      </c>
      <c r="ALO29" s="3" t="s">
        <v>168</v>
      </c>
      <c r="ALP29" s="3" t="s">
        <v>169</v>
      </c>
      <c r="ALQ29" s="3" t="s">
        <v>168</v>
      </c>
      <c r="ALR29" s="3" t="s">
        <v>169</v>
      </c>
      <c r="ALS29" s="3" t="s">
        <v>168</v>
      </c>
      <c r="ALT29" s="3" t="s">
        <v>169</v>
      </c>
      <c r="ALU29" s="3" t="s">
        <v>168</v>
      </c>
      <c r="ALV29" s="3" t="s">
        <v>169</v>
      </c>
      <c r="ALW29" s="3" t="s">
        <v>168</v>
      </c>
      <c r="ALX29" s="3" t="s">
        <v>169</v>
      </c>
      <c r="ALY29" s="3" t="s">
        <v>168</v>
      </c>
      <c r="ALZ29" s="3" t="s">
        <v>169</v>
      </c>
      <c r="AMA29" s="3" t="s">
        <v>168</v>
      </c>
      <c r="AMB29" s="3" t="s">
        <v>169</v>
      </c>
      <c r="AMC29" s="3" t="s">
        <v>168</v>
      </c>
      <c r="AMD29" s="3" t="s">
        <v>169</v>
      </c>
      <c r="AME29" s="3" t="s">
        <v>168</v>
      </c>
      <c r="AMF29" s="3" t="s">
        <v>169</v>
      </c>
      <c r="AMG29" s="3" t="s">
        <v>168</v>
      </c>
      <c r="AMH29" s="3" t="s">
        <v>169</v>
      </c>
      <c r="AMI29" s="3" t="s">
        <v>168</v>
      </c>
      <c r="AMJ29" s="3" t="s">
        <v>169</v>
      </c>
      <c r="AMK29" s="3" t="s">
        <v>168</v>
      </c>
      <c r="AML29" s="3" t="s">
        <v>169</v>
      </c>
      <c r="AMM29" s="3" t="s">
        <v>168</v>
      </c>
      <c r="AMN29" s="3" t="s">
        <v>169</v>
      </c>
      <c r="AMO29" s="3" t="s">
        <v>168</v>
      </c>
      <c r="AMP29" s="3" t="s">
        <v>169</v>
      </c>
      <c r="AMQ29" s="3" t="s">
        <v>168</v>
      </c>
      <c r="AMR29" s="3" t="s">
        <v>169</v>
      </c>
      <c r="AMS29" s="3" t="s">
        <v>168</v>
      </c>
      <c r="AMT29" s="3" t="s">
        <v>169</v>
      </c>
      <c r="AMU29" s="3" t="s">
        <v>168</v>
      </c>
      <c r="AMV29" s="3" t="s">
        <v>169</v>
      </c>
      <c r="AMW29" s="3" t="s">
        <v>168</v>
      </c>
      <c r="AMX29" s="3" t="s">
        <v>169</v>
      </c>
      <c r="AMY29" s="3" t="s">
        <v>168</v>
      </c>
      <c r="AMZ29" s="3" t="s">
        <v>169</v>
      </c>
      <c r="ANA29" s="3" t="s">
        <v>168</v>
      </c>
      <c r="ANB29" s="3" t="s">
        <v>169</v>
      </c>
      <c r="ANC29" s="3" t="s">
        <v>168</v>
      </c>
      <c r="AND29" s="3" t="s">
        <v>169</v>
      </c>
      <c r="ANE29" s="3" t="s">
        <v>168</v>
      </c>
      <c r="ANF29" s="3" t="s">
        <v>169</v>
      </c>
      <c r="ANG29" s="3" t="s">
        <v>168</v>
      </c>
      <c r="ANH29" s="3" t="s">
        <v>169</v>
      </c>
      <c r="ANI29" s="3" t="s">
        <v>168</v>
      </c>
      <c r="ANJ29" s="3" t="s">
        <v>169</v>
      </c>
      <c r="ANK29" s="3" t="s">
        <v>168</v>
      </c>
      <c r="ANL29" s="3" t="s">
        <v>169</v>
      </c>
      <c r="ANM29" s="3" t="s">
        <v>168</v>
      </c>
      <c r="ANN29" s="3" t="s">
        <v>169</v>
      </c>
      <c r="ANO29" s="3" t="s">
        <v>168</v>
      </c>
      <c r="ANP29" s="3" t="s">
        <v>169</v>
      </c>
      <c r="ANQ29" s="3" t="s">
        <v>168</v>
      </c>
      <c r="ANR29" s="3" t="s">
        <v>169</v>
      </c>
      <c r="ANS29" s="3" t="s">
        <v>168</v>
      </c>
      <c r="ANT29" s="3" t="s">
        <v>169</v>
      </c>
      <c r="ANU29" s="3" t="s">
        <v>168</v>
      </c>
      <c r="ANV29" s="3" t="s">
        <v>169</v>
      </c>
      <c r="ANW29" s="3" t="s">
        <v>168</v>
      </c>
      <c r="ANX29" s="3" t="s">
        <v>169</v>
      </c>
      <c r="ANY29" s="3" t="s">
        <v>168</v>
      </c>
      <c r="ANZ29" s="3" t="s">
        <v>169</v>
      </c>
      <c r="AOA29" s="3" t="s">
        <v>168</v>
      </c>
      <c r="AOB29" s="3" t="s">
        <v>169</v>
      </c>
      <c r="AOC29" s="3" t="s">
        <v>168</v>
      </c>
      <c r="AOD29" s="3" t="s">
        <v>169</v>
      </c>
      <c r="AOE29" s="3" t="s">
        <v>168</v>
      </c>
      <c r="AOF29" s="3" t="s">
        <v>169</v>
      </c>
      <c r="AOG29" s="3" t="s">
        <v>168</v>
      </c>
      <c r="AOH29" s="3" t="s">
        <v>169</v>
      </c>
      <c r="AOI29" s="3" t="s">
        <v>168</v>
      </c>
      <c r="AOJ29" s="3" t="s">
        <v>169</v>
      </c>
      <c r="AOK29" s="3" t="s">
        <v>168</v>
      </c>
      <c r="AOL29" s="3" t="s">
        <v>169</v>
      </c>
      <c r="AOM29" s="3" t="s">
        <v>168</v>
      </c>
      <c r="AON29" s="3" t="s">
        <v>169</v>
      </c>
      <c r="AOO29" s="3" t="s">
        <v>168</v>
      </c>
      <c r="AOP29" s="3" t="s">
        <v>169</v>
      </c>
      <c r="AOQ29" s="3" t="s">
        <v>168</v>
      </c>
      <c r="AOR29" s="3" t="s">
        <v>169</v>
      </c>
      <c r="AOS29" s="3" t="s">
        <v>168</v>
      </c>
      <c r="AOT29" s="3" t="s">
        <v>169</v>
      </c>
      <c r="AOU29" s="3" t="s">
        <v>168</v>
      </c>
      <c r="AOV29" s="3" t="s">
        <v>169</v>
      </c>
      <c r="AOW29" s="3" t="s">
        <v>168</v>
      </c>
      <c r="AOX29" s="3" t="s">
        <v>169</v>
      </c>
      <c r="AOY29" s="3" t="s">
        <v>168</v>
      </c>
      <c r="AOZ29" s="3" t="s">
        <v>169</v>
      </c>
      <c r="APA29" s="3" t="s">
        <v>168</v>
      </c>
      <c r="APB29" s="3" t="s">
        <v>169</v>
      </c>
      <c r="APC29" s="3" t="s">
        <v>168</v>
      </c>
      <c r="APD29" s="3" t="s">
        <v>169</v>
      </c>
      <c r="APE29" s="3" t="s">
        <v>168</v>
      </c>
      <c r="APF29" s="3" t="s">
        <v>169</v>
      </c>
      <c r="APG29" s="3" t="s">
        <v>168</v>
      </c>
      <c r="APH29" s="3" t="s">
        <v>169</v>
      </c>
      <c r="API29" s="3" t="s">
        <v>168</v>
      </c>
      <c r="APJ29" s="3" t="s">
        <v>169</v>
      </c>
      <c r="APK29" s="3" t="s">
        <v>168</v>
      </c>
      <c r="APL29" s="3" t="s">
        <v>169</v>
      </c>
      <c r="APM29" s="3" t="s">
        <v>168</v>
      </c>
      <c r="APN29" s="3" t="s">
        <v>169</v>
      </c>
      <c r="APO29" s="3" t="s">
        <v>168</v>
      </c>
      <c r="APP29" s="3" t="s">
        <v>169</v>
      </c>
      <c r="APQ29" s="3" t="s">
        <v>168</v>
      </c>
      <c r="APR29" s="3" t="s">
        <v>169</v>
      </c>
      <c r="APS29" s="3" t="s">
        <v>168</v>
      </c>
      <c r="APT29" s="3" t="s">
        <v>169</v>
      </c>
      <c r="APU29" s="3" t="s">
        <v>168</v>
      </c>
      <c r="APV29" s="3" t="s">
        <v>169</v>
      </c>
      <c r="APW29" s="3" t="s">
        <v>168</v>
      </c>
      <c r="APX29" s="3" t="s">
        <v>169</v>
      </c>
      <c r="APY29" s="3" t="s">
        <v>168</v>
      </c>
      <c r="APZ29" s="3" t="s">
        <v>169</v>
      </c>
      <c r="AQA29" s="3" t="s">
        <v>168</v>
      </c>
      <c r="AQB29" s="3" t="s">
        <v>169</v>
      </c>
      <c r="AQC29" s="3" t="s">
        <v>168</v>
      </c>
      <c r="AQD29" s="3" t="s">
        <v>169</v>
      </c>
      <c r="AQE29" s="3" t="s">
        <v>168</v>
      </c>
      <c r="AQF29" s="3" t="s">
        <v>169</v>
      </c>
      <c r="AQG29" s="3" t="s">
        <v>168</v>
      </c>
      <c r="AQH29" s="3" t="s">
        <v>169</v>
      </c>
      <c r="AQI29" s="3" t="s">
        <v>168</v>
      </c>
      <c r="AQJ29" s="3" t="s">
        <v>169</v>
      </c>
      <c r="AQK29" s="3" t="s">
        <v>168</v>
      </c>
      <c r="AQL29" s="3" t="s">
        <v>169</v>
      </c>
      <c r="AQM29" s="3" t="s">
        <v>168</v>
      </c>
      <c r="AQN29" s="3" t="s">
        <v>169</v>
      </c>
      <c r="AQO29" s="3" t="s">
        <v>168</v>
      </c>
      <c r="AQP29" s="3" t="s">
        <v>169</v>
      </c>
      <c r="AQQ29" s="3" t="s">
        <v>168</v>
      </c>
      <c r="AQR29" s="3" t="s">
        <v>169</v>
      </c>
      <c r="AQS29" s="3" t="s">
        <v>168</v>
      </c>
      <c r="AQT29" s="3" t="s">
        <v>169</v>
      </c>
      <c r="AQU29" s="3" t="s">
        <v>168</v>
      </c>
      <c r="AQV29" s="3" t="s">
        <v>169</v>
      </c>
      <c r="AQW29" s="3" t="s">
        <v>168</v>
      </c>
      <c r="AQX29" s="3" t="s">
        <v>169</v>
      </c>
      <c r="AQY29" s="3" t="s">
        <v>168</v>
      </c>
      <c r="AQZ29" s="3" t="s">
        <v>169</v>
      </c>
      <c r="ARA29" s="3" t="s">
        <v>168</v>
      </c>
      <c r="ARB29" s="3" t="s">
        <v>169</v>
      </c>
      <c r="ARC29" s="3" t="s">
        <v>168</v>
      </c>
      <c r="ARD29" s="3" t="s">
        <v>169</v>
      </c>
      <c r="ARE29" s="3" t="s">
        <v>168</v>
      </c>
      <c r="ARF29" s="3" t="s">
        <v>169</v>
      </c>
      <c r="ARG29" s="3" t="s">
        <v>168</v>
      </c>
      <c r="ARH29" s="3" t="s">
        <v>169</v>
      </c>
      <c r="ARI29" s="3" t="s">
        <v>168</v>
      </c>
      <c r="ARJ29" s="3" t="s">
        <v>169</v>
      </c>
      <c r="ARK29" s="3" t="s">
        <v>168</v>
      </c>
      <c r="ARL29" s="3" t="s">
        <v>169</v>
      </c>
      <c r="ARM29" s="3" t="s">
        <v>168</v>
      </c>
      <c r="ARN29" s="3" t="s">
        <v>169</v>
      </c>
      <c r="ARO29" s="3" t="s">
        <v>168</v>
      </c>
      <c r="ARP29" s="3" t="s">
        <v>169</v>
      </c>
      <c r="ARQ29" s="3" t="s">
        <v>168</v>
      </c>
      <c r="ARR29" s="3" t="s">
        <v>169</v>
      </c>
      <c r="ARS29" s="3" t="s">
        <v>168</v>
      </c>
      <c r="ART29" s="3" t="s">
        <v>169</v>
      </c>
      <c r="ARU29" s="3" t="s">
        <v>168</v>
      </c>
      <c r="ARV29" s="3" t="s">
        <v>169</v>
      </c>
      <c r="ARW29" s="3" t="s">
        <v>168</v>
      </c>
      <c r="ARX29" s="3" t="s">
        <v>169</v>
      </c>
      <c r="ARY29" s="3" t="s">
        <v>168</v>
      </c>
      <c r="ARZ29" s="3" t="s">
        <v>169</v>
      </c>
      <c r="ASA29" s="3" t="s">
        <v>168</v>
      </c>
      <c r="ASB29" s="3" t="s">
        <v>169</v>
      </c>
      <c r="ASC29" s="3" t="s">
        <v>168</v>
      </c>
      <c r="ASD29" s="3" t="s">
        <v>169</v>
      </c>
      <c r="ASE29" s="3" t="s">
        <v>168</v>
      </c>
      <c r="ASF29" s="3" t="s">
        <v>169</v>
      </c>
      <c r="ASG29" s="3" t="s">
        <v>168</v>
      </c>
      <c r="ASH29" s="3" t="s">
        <v>169</v>
      </c>
      <c r="ASI29" s="3" t="s">
        <v>168</v>
      </c>
      <c r="ASJ29" s="3" t="s">
        <v>169</v>
      </c>
      <c r="ASK29" s="3" t="s">
        <v>168</v>
      </c>
      <c r="ASL29" s="3" t="s">
        <v>169</v>
      </c>
      <c r="ASM29" s="3" t="s">
        <v>168</v>
      </c>
      <c r="ASN29" s="3" t="s">
        <v>169</v>
      </c>
      <c r="ASO29" s="3" t="s">
        <v>168</v>
      </c>
      <c r="ASP29" s="3" t="s">
        <v>169</v>
      </c>
      <c r="ASQ29" s="3" t="s">
        <v>168</v>
      </c>
      <c r="ASR29" s="3" t="s">
        <v>169</v>
      </c>
      <c r="ASS29" s="3" t="s">
        <v>168</v>
      </c>
      <c r="AST29" s="3" t="s">
        <v>169</v>
      </c>
      <c r="ASU29" s="3" t="s">
        <v>168</v>
      </c>
      <c r="ASV29" s="3" t="s">
        <v>169</v>
      </c>
      <c r="ASW29" s="3" t="s">
        <v>168</v>
      </c>
      <c r="ASX29" s="3" t="s">
        <v>169</v>
      </c>
      <c r="ASY29" s="3" t="s">
        <v>168</v>
      </c>
      <c r="ASZ29" s="3" t="s">
        <v>169</v>
      </c>
      <c r="ATA29" s="3" t="s">
        <v>168</v>
      </c>
      <c r="ATB29" s="3" t="s">
        <v>169</v>
      </c>
      <c r="ATC29" s="3" t="s">
        <v>168</v>
      </c>
      <c r="ATD29" s="3" t="s">
        <v>169</v>
      </c>
      <c r="ATE29" s="3" t="s">
        <v>168</v>
      </c>
      <c r="ATF29" s="3" t="s">
        <v>169</v>
      </c>
      <c r="ATG29" s="3" t="s">
        <v>168</v>
      </c>
      <c r="ATH29" s="3" t="s">
        <v>169</v>
      </c>
      <c r="ATI29" s="3" t="s">
        <v>168</v>
      </c>
      <c r="ATJ29" s="3" t="s">
        <v>169</v>
      </c>
      <c r="ATK29" s="3" t="s">
        <v>168</v>
      </c>
      <c r="ATL29" s="3" t="s">
        <v>169</v>
      </c>
      <c r="ATM29" s="3" t="s">
        <v>168</v>
      </c>
      <c r="ATN29" s="3" t="s">
        <v>169</v>
      </c>
      <c r="ATO29" s="3" t="s">
        <v>168</v>
      </c>
      <c r="ATP29" s="3" t="s">
        <v>169</v>
      </c>
      <c r="ATQ29" s="3" t="s">
        <v>168</v>
      </c>
      <c r="ATR29" s="3" t="s">
        <v>169</v>
      </c>
      <c r="ATS29" s="3" t="s">
        <v>168</v>
      </c>
      <c r="ATT29" s="3" t="s">
        <v>169</v>
      </c>
      <c r="ATU29" s="3" t="s">
        <v>168</v>
      </c>
      <c r="ATV29" s="3" t="s">
        <v>169</v>
      </c>
      <c r="ATW29" s="3" t="s">
        <v>168</v>
      </c>
      <c r="ATX29" s="3" t="s">
        <v>169</v>
      </c>
      <c r="ATY29" s="3" t="s">
        <v>168</v>
      </c>
      <c r="ATZ29" s="3" t="s">
        <v>169</v>
      </c>
      <c r="AUA29" s="3" t="s">
        <v>168</v>
      </c>
      <c r="AUB29" s="3" t="s">
        <v>169</v>
      </c>
      <c r="AUC29" s="3" t="s">
        <v>168</v>
      </c>
      <c r="AUD29" s="3" t="s">
        <v>169</v>
      </c>
      <c r="AUE29" s="3" t="s">
        <v>168</v>
      </c>
      <c r="AUF29" s="3" t="s">
        <v>169</v>
      </c>
      <c r="AUG29" s="3" t="s">
        <v>168</v>
      </c>
      <c r="AUH29" s="3" t="s">
        <v>169</v>
      </c>
      <c r="AUI29" s="3" t="s">
        <v>168</v>
      </c>
      <c r="AUJ29" s="3" t="s">
        <v>169</v>
      </c>
      <c r="AUK29" s="3" t="s">
        <v>168</v>
      </c>
      <c r="AUL29" s="3" t="s">
        <v>169</v>
      </c>
      <c r="AUM29" s="3" t="s">
        <v>168</v>
      </c>
      <c r="AUN29" s="3" t="s">
        <v>169</v>
      </c>
      <c r="AUO29" s="3" t="s">
        <v>168</v>
      </c>
      <c r="AUP29" s="3" t="s">
        <v>169</v>
      </c>
      <c r="AUQ29" s="3" t="s">
        <v>168</v>
      </c>
      <c r="AUR29" s="3" t="s">
        <v>169</v>
      </c>
      <c r="AUS29" s="3" t="s">
        <v>168</v>
      </c>
      <c r="AUT29" s="3" t="s">
        <v>169</v>
      </c>
      <c r="AUU29" s="3" t="s">
        <v>168</v>
      </c>
      <c r="AUV29" s="3" t="s">
        <v>169</v>
      </c>
      <c r="AUW29" s="3" t="s">
        <v>168</v>
      </c>
      <c r="AUX29" s="3" t="s">
        <v>169</v>
      </c>
      <c r="AUY29" s="3" t="s">
        <v>168</v>
      </c>
      <c r="AUZ29" s="3" t="s">
        <v>169</v>
      </c>
      <c r="AVA29" s="3" t="s">
        <v>168</v>
      </c>
      <c r="AVB29" s="3" t="s">
        <v>169</v>
      </c>
      <c r="AVC29" s="3" t="s">
        <v>168</v>
      </c>
      <c r="AVD29" s="3" t="s">
        <v>169</v>
      </c>
      <c r="AVE29" s="3" t="s">
        <v>168</v>
      </c>
      <c r="AVF29" s="3" t="s">
        <v>169</v>
      </c>
      <c r="AVG29" s="3" t="s">
        <v>168</v>
      </c>
      <c r="AVH29" s="3" t="s">
        <v>169</v>
      </c>
      <c r="AVI29" s="3" t="s">
        <v>168</v>
      </c>
      <c r="AVJ29" s="3" t="s">
        <v>169</v>
      </c>
      <c r="AVK29" s="3" t="s">
        <v>168</v>
      </c>
      <c r="AVL29" s="3" t="s">
        <v>169</v>
      </c>
      <c r="AVM29" s="3" t="s">
        <v>168</v>
      </c>
      <c r="AVN29" s="3" t="s">
        <v>169</v>
      </c>
      <c r="AVO29" s="3" t="s">
        <v>168</v>
      </c>
      <c r="AVP29" s="3" t="s">
        <v>169</v>
      </c>
      <c r="AVQ29" s="3" t="s">
        <v>168</v>
      </c>
      <c r="AVR29" s="3" t="s">
        <v>169</v>
      </c>
      <c r="AVS29" s="3" t="s">
        <v>168</v>
      </c>
      <c r="AVT29" s="3" t="s">
        <v>169</v>
      </c>
      <c r="AVU29" s="3" t="s">
        <v>168</v>
      </c>
      <c r="AVV29" s="3" t="s">
        <v>169</v>
      </c>
      <c r="AVW29" s="3" t="s">
        <v>168</v>
      </c>
      <c r="AVX29" s="3" t="s">
        <v>169</v>
      </c>
      <c r="AVY29" s="3" t="s">
        <v>168</v>
      </c>
      <c r="AVZ29" s="3" t="s">
        <v>169</v>
      </c>
      <c r="AWA29" s="3" t="s">
        <v>168</v>
      </c>
      <c r="AWB29" s="3" t="s">
        <v>169</v>
      </c>
      <c r="AWC29" s="3" t="s">
        <v>168</v>
      </c>
      <c r="AWD29" s="3" t="s">
        <v>169</v>
      </c>
      <c r="AWE29" s="3" t="s">
        <v>168</v>
      </c>
      <c r="AWF29" s="3" t="s">
        <v>169</v>
      </c>
      <c r="AWG29" s="3" t="s">
        <v>168</v>
      </c>
      <c r="AWH29" s="3" t="s">
        <v>169</v>
      </c>
      <c r="AWI29" s="3" t="s">
        <v>168</v>
      </c>
      <c r="AWJ29" s="3" t="s">
        <v>169</v>
      </c>
      <c r="AWK29" s="3" t="s">
        <v>168</v>
      </c>
      <c r="AWL29" s="3" t="s">
        <v>169</v>
      </c>
      <c r="AWM29" s="3" t="s">
        <v>168</v>
      </c>
      <c r="AWN29" s="3" t="s">
        <v>169</v>
      </c>
      <c r="AWO29" s="3" t="s">
        <v>168</v>
      </c>
      <c r="AWP29" s="3" t="s">
        <v>169</v>
      </c>
      <c r="AWQ29" s="3" t="s">
        <v>168</v>
      </c>
      <c r="AWR29" s="3" t="s">
        <v>169</v>
      </c>
      <c r="AWS29" s="3" t="s">
        <v>168</v>
      </c>
      <c r="AWT29" s="3" t="s">
        <v>169</v>
      </c>
      <c r="AWU29" s="3" t="s">
        <v>168</v>
      </c>
      <c r="AWV29" s="3" t="s">
        <v>169</v>
      </c>
      <c r="AWW29" s="3" t="s">
        <v>168</v>
      </c>
      <c r="AWX29" s="3" t="s">
        <v>169</v>
      </c>
      <c r="AWY29" s="3" t="s">
        <v>168</v>
      </c>
      <c r="AWZ29" s="3" t="s">
        <v>169</v>
      </c>
      <c r="AXA29" s="3" t="s">
        <v>168</v>
      </c>
      <c r="AXB29" s="3" t="s">
        <v>169</v>
      </c>
      <c r="AXC29" s="3" t="s">
        <v>168</v>
      </c>
      <c r="AXD29" s="3" t="s">
        <v>169</v>
      </c>
      <c r="AXE29" s="3" t="s">
        <v>168</v>
      </c>
      <c r="AXF29" s="3" t="s">
        <v>169</v>
      </c>
      <c r="AXG29" s="3" t="s">
        <v>168</v>
      </c>
      <c r="AXH29" s="3" t="s">
        <v>169</v>
      </c>
      <c r="AXI29" s="3" t="s">
        <v>168</v>
      </c>
      <c r="AXJ29" s="3" t="s">
        <v>169</v>
      </c>
      <c r="AXK29" s="3" t="s">
        <v>168</v>
      </c>
      <c r="AXL29" s="3" t="s">
        <v>169</v>
      </c>
      <c r="AXM29" s="3" t="s">
        <v>168</v>
      </c>
      <c r="AXN29" s="3" t="s">
        <v>169</v>
      </c>
      <c r="AXO29" s="3" t="s">
        <v>168</v>
      </c>
      <c r="AXP29" s="3" t="s">
        <v>169</v>
      </c>
      <c r="AXQ29" s="3" t="s">
        <v>168</v>
      </c>
      <c r="AXR29" s="3" t="s">
        <v>169</v>
      </c>
      <c r="AXS29" s="3" t="s">
        <v>168</v>
      </c>
      <c r="AXT29" s="3" t="s">
        <v>169</v>
      </c>
      <c r="AXU29" s="3" t="s">
        <v>168</v>
      </c>
      <c r="AXV29" s="3" t="s">
        <v>169</v>
      </c>
      <c r="AXW29" s="3" t="s">
        <v>168</v>
      </c>
      <c r="AXX29" s="3" t="s">
        <v>169</v>
      </c>
      <c r="AXY29" s="3" t="s">
        <v>168</v>
      </c>
      <c r="AXZ29" s="3" t="s">
        <v>169</v>
      </c>
      <c r="AYA29" s="3" t="s">
        <v>168</v>
      </c>
      <c r="AYB29" s="3" t="s">
        <v>169</v>
      </c>
      <c r="AYC29" s="3" t="s">
        <v>168</v>
      </c>
      <c r="AYD29" s="3" t="s">
        <v>169</v>
      </c>
      <c r="AYE29" s="3" t="s">
        <v>168</v>
      </c>
      <c r="AYF29" s="3" t="s">
        <v>169</v>
      </c>
      <c r="AYG29" s="3" t="s">
        <v>168</v>
      </c>
      <c r="AYH29" s="3" t="s">
        <v>169</v>
      </c>
      <c r="AYI29" s="3" t="s">
        <v>168</v>
      </c>
      <c r="AYJ29" s="3" t="s">
        <v>169</v>
      </c>
      <c r="AYK29" s="3" t="s">
        <v>168</v>
      </c>
      <c r="AYL29" s="3" t="s">
        <v>169</v>
      </c>
      <c r="AYM29" s="3" t="s">
        <v>168</v>
      </c>
      <c r="AYN29" s="3" t="s">
        <v>169</v>
      </c>
      <c r="AYO29" s="3" t="s">
        <v>168</v>
      </c>
      <c r="AYP29" s="3" t="s">
        <v>169</v>
      </c>
      <c r="AYQ29" s="3" t="s">
        <v>168</v>
      </c>
      <c r="AYR29" s="3" t="s">
        <v>169</v>
      </c>
      <c r="AYS29" s="3" t="s">
        <v>168</v>
      </c>
      <c r="AYT29" s="3" t="s">
        <v>169</v>
      </c>
      <c r="AYU29" s="3" t="s">
        <v>168</v>
      </c>
      <c r="AYV29" s="3" t="s">
        <v>169</v>
      </c>
      <c r="AYW29" s="3" t="s">
        <v>168</v>
      </c>
      <c r="AYX29" s="3" t="s">
        <v>169</v>
      </c>
      <c r="AYY29" s="3" t="s">
        <v>168</v>
      </c>
      <c r="AYZ29" s="3" t="s">
        <v>169</v>
      </c>
      <c r="AZA29" s="3" t="s">
        <v>168</v>
      </c>
      <c r="AZB29" s="3" t="s">
        <v>169</v>
      </c>
      <c r="AZC29" s="3" t="s">
        <v>168</v>
      </c>
      <c r="AZD29" s="3" t="s">
        <v>169</v>
      </c>
      <c r="AZE29" s="3" t="s">
        <v>168</v>
      </c>
      <c r="AZF29" s="3" t="s">
        <v>169</v>
      </c>
      <c r="AZG29" s="3" t="s">
        <v>168</v>
      </c>
      <c r="AZH29" s="3" t="s">
        <v>169</v>
      </c>
      <c r="AZI29" s="3" t="s">
        <v>168</v>
      </c>
      <c r="AZJ29" s="3" t="s">
        <v>169</v>
      </c>
      <c r="AZK29" s="3" t="s">
        <v>168</v>
      </c>
      <c r="AZL29" s="3" t="s">
        <v>169</v>
      </c>
      <c r="AZM29" s="3" t="s">
        <v>168</v>
      </c>
      <c r="AZN29" s="3" t="s">
        <v>169</v>
      </c>
      <c r="AZO29" s="3" t="s">
        <v>168</v>
      </c>
      <c r="AZP29" s="3" t="s">
        <v>169</v>
      </c>
      <c r="AZQ29" s="3" t="s">
        <v>168</v>
      </c>
      <c r="AZR29" s="3" t="s">
        <v>169</v>
      </c>
      <c r="AZS29" s="3" t="s">
        <v>168</v>
      </c>
      <c r="AZT29" s="3" t="s">
        <v>169</v>
      </c>
      <c r="AZU29" s="3" t="s">
        <v>168</v>
      </c>
      <c r="AZV29" s="3" t="s">
        <v>169</v>
      </c>
      <c r="AZW29" s="3" t="s">
        <v>168</v>
      </c>
      <c r="AZX29" s="3" t="s">
        <v>169</v>
      </c>
      <c r="AZY29" s="3" t="s">
        <v>168</v>
      </c>
      <c r="AZZ29" s="3" t="s">
        <v>169</v>
      </c>
      <c r="BAA29" s="3" t="s">
        <v>168</v>
      </c>
      <c r="BAB29" s="3" t="s">
        <v>169</v>
      </c>
      <c r="BAC29" s="3" t="s">
        <v>168</v>
      </c>
      <c r="BAD29" s="3" t="s">
        <v>169</v>
      </c>
      <c r="BAE29" s="3" t="s">
        <v>168</v>
      </c>
      <c r="BAF29" s="3" t="s">
        <v>169</v>
      </c>
      <c r="BAG29" s="3" t="s">
        <v>168</v>
      </c>
      <c r="BAH29" s="3" t="s">
        <v>169</v>
      </c>
      <c r="BAI29" s="3" t="s">
        <v>168</v>
      </c>
      <c r="BAJ29" s="3" t="s">
        <v>169</v>
      </c>
      <c r="BAK29" s="3" t="s">
        <v>168</v>
      </c>
      <c r="BAL29" s="3" t="s">
        <v>169</v>
      </c>
      <c r="BAM29" s="3" t="s">
        <v>168</v>
      </c>
      <c r="BAN29" s="3" t="s">
        <v>169</v>
      </c>
      <c r="BAO29" s="3" t="s">
        <v>168</v>
      </c>
      <c r="BAP29" s="3" t="s">
        <v>169</v>
      </c>
      <c r="BAQ29" s="3" t="s">
        <v>168</v>
      </c>
      <c r="BAR29" s="3" t="s">
        <v>169</v>
      </c>
      <c r="BAS29" s="3" t="s">
        <v>168</v>
      </c>
      <c r="BAT29" s="3" t="s">
        <v>169</v>
      </c>
      <c r="BAU29" s="3" t="s">
        <v>168</v>
      </c>
      <c r="BAV29" s="3" t="s">
        <v>169</v>
      </c>
      <c r="BAW29" s="3" t="s">
        <v>168</v>
      </c>
      <c r="BAX29" s="3" t="s">
        <v>169</v>
      </c>
      <c r="BAY29" s="3" t="s">
        <v>168</v>
      </c>
      <c r="BAZ29" s="3" t="s">
        <v>169</v>
      </c>
      <c r="BBA29" s="3" t="s">
        <v>168</v>
      </c>
      <c r="BBB29" s="3" t="s">
        <v>169</v>
      </c>
      <c r="BBC29" s="3" t="s">
        <v>168</v>
      </c>
      <c r="BBD29" s="3" t="s">
        <v>169</v>
      </c>
      <c r="BBE29" s="3" t="s">
        <v>168</v>
      </c>
      <c r="BBF29" s="3" t="s">
        <v>169</v>
      </c>
      <c r="BBG29" s="3" t="s">
        <v>168</v>
      </c>
      <c r="BBH29" s="3" t="s">
        <v>169</v>
      </c>
      <c r="BBI29" s="3" t="s">
        <v>168</v>
      </c>
      <c r="BBJ29" s="3" t="s">
        <v>169</v>
      </c>
      <c r="BBK29" s="3" t="s">
        <v>168</v>
      </c>
      <c r="BBL29" s="3" t="s">
        <v>169</v>
      </c>
      <c r="BBM29" s="3" t="s">
        <v>168</v>
      </c>
      <c r="BBN29" s="3" t="s">
        <v>169</v>
      </c>
      <c r="BBO29" s="3" t="s">
        <v>168</v>
      </c>
      <c r="BBP29" s="3" t="s">
        <v>169</v>
      </c>
      <c r="BBQ29" s="3" t="s">
        <v>168</v>
      </c>
      <c r="BBR29" s="3" t="s">
        <v>169</v>
      </c>
      <c r="BBS29" s="3" t="s">
        <v>168</v>
      </c>
      <c r="BBT29" s="3" t="s">
        <v>169</v>
      </c>
      <c r="BBU29" s="3" t="s">
        <v>168</v>
      </c>
      <c r="BBV29" s="3" t="s">
        <v>169</v>
      </c>
      <c r="BBW29" s="3" t="s">
        <v>168</v>
      </c>
      <c r="BBX29" s="3" t="s">
        <v>169</v>
      </c>
      <c r="BBY29" s="3" t="s">
        <v>168</v>
      </c>
      <c r="BBZ29" s="3" t="s">
        <v>169</v>
      </c>
      <c r="BCA29" s="3" t="s">
        <v>168</v>
      </c>
      <c r="BCB29" s="3" t="s">
        <v>169</v>
      </c>
      <c r="BCC29" s="3" t="s">
        <v>168</v>
      </c>
      <c r="BCD29" s="3" t="s">
        <v>169</v>
      </c>
      <c r="BCE29" s="3" t="s">
        <v>168</v>
      </c>
      <c r="BCF29" s="3" t="s">
        <v>169</v>
      </c>
      <c r="BCG29" s="3" t="s">
        <v>168</v>
      </c>
      <c r="BCH29" s="3" t="s">
        <v>169</v>
      </c>
      <c r="BCI29" s="3" t="s">
        <v>168</v>
      </c>
      <c r="BCJ29" s="3" t="s">
        <v>169</v>
      </c>
      <c r="BCK29" s="3" t="s">
        <v>168</v>
      </c>
      <c r="BCL29" s="3" t="s">
        <v>169</v>
      </c>
      <c r="BCM29" s="3" t="s">
        <v>168</v>
      </c>
      <c r="BCN29" s="3" t="s">
        <v>169</v>
      </c>
      <c r="BCO29" s="3" t="s">
        <v>168</v>
      </c>
      <c r="BCP29" s="3" t="s">
        <v>169</v>
      </c>
      <c r="BCQ29" s="3" t="s">
        <v>168</v>
      </c>
      <c r="BCR29" s="3" t="s">
        <v>169</v>
      </c>
      <c r="BCS29" s="3" t="s">
        <v>168</v>
      </c>
      <c r="BCT29" s="3" t="s">
        <v>169</v>
      </c>
      <c r="BCU29" s="3" t="s">
        <v>168</v>
      </c>
      <c r="BCV29" s="3" t="s">
        <v>169</v>
      </c>
      <c r="BCW29" s="3" t="s">
        <v>168</v>
      </c>
      <c r="BCX29" s="3" t="s">
        <v>169</v>
      </c>
      <c r="BCY29" s="3" t="s">
        <v>168</v>
      </c>
      <c r="BCZ29" s="3" t="s">
        <v>169</v>
      </c>
      <c r="BDA29" s="3" t="s">
        <v>168</v>
      </c>
      <c r="BDB29" s="3" t="s">
        <v>169</v>
      </c>
      <c r="BDC29" s="3" t="s">
        <v>168</v>
      </c>
      <c r="BDD29" s="3" t="s">
        <v>169</v>
      </c>
      <c r="BDE29" s="3" t="s">
        <v>168</v>
      </c>
      <c r="BDF29" s="3" t="s">
        <v>169</v>
      </c>
      <c r="BDG29" s="3" t="s">
        <v>168</v>
      </c>
      <c r="BDH29" s="3" t="s">
        <v>169</v>
      </c>
      <c r="BDI29" s="3" t="s">
        <v>168</v>
      </c>
      <c r="BDJ29" s="3" t="s">
        <v>169</v>
      </c>
      <c r="BDK29" s="3" t="s">
        <v>168</v>
      </c>
      <c r="BDL29" s="3" t="s">
        <v>169</v>
      </c>
      <c r="BDM29" s="3" t="s">
        <v>168</v>
      </c>
      <c r="BDN29" s="3" t="s">
        <v>169</v>
      </c>
      <c r="BDO29" s="3" t="s">
        <v>168</v>
      </c>
      <c r="BDP29" s="3" t="s">
        <v>169</v>
      </c>
      <c r="BDQ29" s="3" t="s">
        <v>168</v>
      </c>
      <c r="BDR29" s="3" t="s">
        <v>169</v>
      </c>
      <c r="BDS29" s="3" t="s">
        <v>168</v>
      </c>
      <c r="BDT29" s="3" t="s">
        <v>169</v>
      </c>
      <c r="BDU29" s="3" t="s">
        <v>168</v>
      </c>
      <c r="BDV29" s="3" t="s">
        <v>169</v>
      </c>
      <c r="BDW29" s="3" t="s">
        <v>168</v>
      </c>
      <c r="BDX29" s="3" t="s">
        <v>169</v>
      </c>
      <c r="BDY29" s="3" t="s">
        <v>168</v>
      </c>
      <c r="BDZ29" s="3" t="s">
        <v>169</v>
      </c>
      <c r="BEA29" s="3" t="s">
        <v>168</v>
      </c>
      <c r="BEB29" s="3" t="s">
        <v>169</v>
      </c>
      <c r="BEC29" s="3" t="s">
        <v>168</v>
      </c>
      <c r="BED29" s="3" t="s">
        <v>169</v>
      </c>
      <c r="BEE29" s="3" t="s">
        <v>168</v>
      </c>
      <c r="BEF29" s="3" t="s">
        <v>169</v>
      </c>
      <c r="BEG29" s="3" t="s">
        <v>168</v>
      </c>
      <c r="BEH29" s="3" t="s">
        <v>169</v>
      </c>
      <c r="BEI29" s="3" t="s">
        <v>168</v>
      </c>
      <c r="BEJ29" s="3" t="s">
        <v>169</v>
      </c>
      <c r="BEK29" s="3" t="s">
        <v>168</v>
      </c>
      <c r="BEL29" s="3" t="s">
        <v>169</v>
      </c>
      <c r="BEM29" s="3" t="s">
        <v>168</v>
      </c>
      <c r="BEN29" s="3" t="s">
        <v>169</v>
      </c>
      <c r="BEO29" s="3" t="s">
        <v>168</v>
      </c>
      <c r="BEP29" s="3" t="s">
        <v>169</v>
      </c>
      <c r="BEQ29" s="3" t="s">
        <v>168</v>
      </c>
      <c r="BER29" s="3" t="s">
        <v>169</v>
      </c>
      <c r="BES29" s="3" t="s">
        <v>168</v>
      </c>
      <c r="BET29" s="3" t="s">
        <v>169</v>
      </c>
      <c r="BEU29" s="3" t="s">
        <v>168</v>
      </c>
      <c r="BEV29" s="3" t="s">
        <v>169</v>
      </c>
      <c r="BEW29" s="3" t="s">
        <v>168</v>
      </c>
      <c r="BEX29" s="3" t="s">
        <v>169</v>
      </c>
      <c r="BEY29" s="3" t="s">
        <v>168</v>
      </c>
      <c r="BEZ29" s="3" t="s">
        <v>169</v>
      </c>
      <c r="BFA29" s="3" t="s">
        <v>168</v>
      </c>
      <c r="BFB29" s="3" t="s">
        <v>169</v>
      </c>
      <c r="BFC29" s="3" t="s">
        <v>168</v>
      </c>
      <c r="BFD29" s="3" t="s">
        <v>169</v>
      </c>
      <c r="BFE29" s="3" t="s">
        <v>168</v>
      </c>
      <c r="BFF29" s="3" t="s">
        <v>169</v>
      </c>
      <c r="BFG29" s="3" t="s">
        <v>168</v>
      </c>
      <c r="BFH29" s="3" t="s">
        <v>169</v>
      </c>
      <c r="BFI29" s="3" t="s">
        <v>168</v>
      </c>
      <c r="BFJ29" s="3" t="s">
        <v>169</v>
      </c>
      <c r="BFK29" s="3" t="s">
        <v>168</v>
      </c>
      <c r="BFL29" s="3" t="s">
        <v>169</v>
      </c>
      <c r="BFM29" s="3" t="s">
        <v>168</v>
      </c>
      <c r="BFN29" s="3" t="s">
        <v>169</v>
      </c>
      <c r="BFO29" s="3" t="s">
        <v>168</v>
      </c>
      <c r="BFP29" s="3" t="s">
        <v>169</v>
      </c>
      <c r="BFQ29" s="3" t="s">
        <v>168</v>
      </c>
      <c r="BFR29" s="3" t="s">
        <v>169</v>
      </c>
      <c r="BFS29" s="3" t="s">
        <v>168</v>
      </c>
      <c r="BFT29" s="3" t="s">
        <v>169</v>
      </c>
      <c r="BFU29" s="3" t="s">
        <v>168</v>
      </c>
      <c r="BFV29" s="3" t="s">
        <v>169</v>
      </c>
      <c r="BFW29" s="3" t="s">
        <v>168</v>
      </c>
      <c r="BFX29" s="3" t="s">
        <v>169</v>
      </c>
      <c r="BFY29" s="3" t="s">
        <v>168</v>
      </c>
      <c r="BFZ29" s="3" t="s">
        <v>169</v>
      </c>
      <c r="BGA29" s="3" t="s">
        <v>168</v>
      </c>
      <c r="BGB29" s="3" t="s">
        <v>169</v>
      </c>
      <c r="BGC29" s="3" t="s">
        <v>168</v>
      </c>
      <c r="BGD29" s="3" t="s">
        <v>169</v>
      </c>
      <c r="BGE29" s="3" t="s">
        <v>168</v>
      </c>
      <c r="BGF29" s="3" t="s">
        <v>169</v>
      </c>
      <c r="BGG29" s="3" t="s">
        <v>168</v>
      </c>
      <c r="BGH29" s="3" t="s">
        <v>169</v>
      </c>
      <c r="BGI29" s="3" t="s">
        <v>168</v>
      </c>
      <c r="BGJ29" s="3" t="s">
        <v>169</v>
      </c>
      <c r="BGK29" s="3" t="s">
        <v>168</v>
      </c>
      <c r="BGL29" s="3" t="s">
        <v>169</v>
      </c>
      <c r="BGM29" s="3" t="s">
        <v>168</v>
      </c>
      <c r="BGN29" s="3" t="s">
        <v>169</v>
      </c>
      <c r="BGO29" s="3" t="s">
        <v>168</v>
      </c>
      <c r="BGP29" s="3" t="s">
        <v>169</v>
      </c>
      <c r="BGQ29" s="3" t="s">
        <v>168</v>
      </c>
      <c r="BGR29" s="3" t="s">
        <v>169</v>
      </c>
      <c r="BGS29" s="3" t="s">
        <v>168</v>
      </c>
      <c r="BGT29" s="3" t="s">
        <v>169</v>
      </c>
      <c r="BGU29" s="3" t="s">
        <v>168</v>
      </c>
      <c r="BGV29" s="3" t="s">
        <v>169</v>
      </c>
      <c r="BGW29" s="3" t="s">
        <v>168</v>
      </c>
      <c r="BGX29" s="3" t="s">
        <v>169</v>
      </c>
      <c r="BGY29" s="3" t="s">
        <v>168</v>
      </c>
      <c r="BGZ29" s="3" t="s">
        <v>169</v>
      </c>
      <c r="BHA29" s="3" t="s">
        <v>168</v>
      </c>
      <c r="BHB29" s="3" t="s">
        <v>169</v>
      </c>
      <c r="BHC29" s="3" t="s">
        <v>168</v>
      </c>
      <c r="BHD29" s="3" t="s">
        <v>169</v>
      </c>
      <c r="BHE29" s="3" t="s">
        <v>168</v>
      </c>
      <c r="BHF29" s="3" t="s">
        <v>169</v>
      </c>
      <c r="BHG29" s="3" t="s">
        <v>168</v>
      </c>
      <c r="BHH29" s="3" t="s">
        <v>169</v>
      </c>
      <c r="BHI29" s="3" t="s">
        <v>168</v>
      </c>
      <c r="BHJ29" s="3" t="s">
        <v>169</v>
      </c>
      <c r="BHK29" s="3" t="s">
        <v>168</v>
      </c>
      <c r="BHL29" s="3" t="s">
        <v>169</v>
      </c>
      <c r="BHM29" s="3" t="s">
        <v>168</v>
      </c>
      <c r="BHN29" s="3" t="s">
        <v>169</v>
      </c>
      <c r="BHO29" s="3" t="s">
        <v>168</v>
      </c>
      <c r="BHP29" s="3" t="s">
        <v>169</v>
      </c>
      <c r="BHQ29" s="3" t="s">
        <v>168</v>
      </c>
      <c r="BHR29" s="3" t="s">
        <v>169</v>
      </c>
      <c r="BHS29" s="3" t="s">
        <v>168</v>
      </c>
      <c r="BHT29" s="3" t="s">
        <v>169</v>
      </c>
      <c r="BHU29" s="3" t="s">
        <v>168</v>
      </c>
      <c r="BHV29" s="3" t="s">
        <v>169</v>
      </c>
      <c r="BHW29" s="3" t="s">
        <v>168</v>
      </c>
      <c r="BHX29" s="3" t="s">
        <v>169</v>
      </c>
      <c r="BHY29" s="3" t="s">
        <v>168</v>
      </c>
      <c r="BHZ29" s="3" t="s">
        <v>169</v>
      </c>
      <c r="BIA29" s="3" t="s">
        <v>168</v>
      </c>
      <c r="BIB29" s="3" t="s">
        <v>169</v>
      </c>
      <c r="BIC29" s="3" t="s">
        <v>168</v>
      </c>
      <c r="BID29" s="3" t="s">
        <v>169</v>
      </c>
      <c r="BIE29" s="3" t="s">
        <v>168</v>
      </c>
      <c r="BIF29" s="3" t="s">
        <v>169</v>
      </c>
      <c r="BIG29" s="3" t="s">
        <v>168</v>
      </c>
      <c r="BIH29" s="3" t="s">
        <v>169</v>
      </c>
      <c r="BII29" s="3" t="s">
        <v>168</v>
      </c>
      <c r="BIJ29" s="3" t="s">
        <v>169</v>
      </c>
      <c r="BIK29" s="3" t="s">
        <v>168</v>
      </c>
      <c r="BIL29" s="3" t="s">
        <v>169</v>
      </c>
      <c r="BIM29" s="3" t="s">
        <v>168</v>
      </c>
      <c r="BIN29" s="3" t="s">
        <v>169</v>
      </c>
      <c r="BIO29" s="3" t="s">
        <v>168</v>
      </c>
      <c r="BIP29" s="3" t="s">
        <v>169</v>
      </c>
      <c r="BIQ29" s="3" t="s">
        <v>168</v>
      </c>
      <c r="BIR29" s="3" t="s">
        <v>169</v>
      </c>
      <c r="BIS29" s="3" t="s">
        <v>168</v>
      </c>
      <c r="BIT29" s="3" t="s">
        <v>169</v>
      </c>
      <c r="BIU29" s="3" t="s">
        <v>168</v>
      </c>
      <c r="BIV29" s="3" t="s">
        <v>169</v>
      </c>
      <c r="BIW29" s="3" t="s">
        <v>168</v>
      </c>
      <c r="BIX29" s="3" t="s">
        <v>169</v>
      </c>
      <c r="BIY29" s="3" t="s">
        <v>168</v>
      </c>
      <c r="BIZ29" s="3" t="s">
        <v>169</v>
      </c>
      <c r="BJA29" s="3" t="s">
        <v>168</v>
      </c>
      <c r="BJB29" s="3" t="s">
        <v>169</v>
      </c>
      <c r="BJC29" s="3" t="s">
        <v>168</v>
      </c>
      <c r="BJD29" s="3" t="s">
        <v>169</v>
      </c>
      <c r="BJE29" s="3" t="s">
        <v>168</v>
      </c>
      <c r="BJF29" s="3" t="s">
        <v>169</v>
      </c>
      <c r="BJG29" s="3" t="s">
        <v>168</v>
      </c>
      <c r="BJH29" s="3" t="s">
        <v>169</v>
      </c>
      <c r="BJI29" s="3" t="s">
        <v>168</v>
      </c>
      <c r="BJJ29" s="3" t="s">
        <v>169</v>
      </c>
      <c r="BJK29" s="3" t="s">
        <v>168</v>
      </c>
      <c r="BJL29" s="3" t="s">
        <v>169</v>
      </c>
      <c r="BJM29" s="3" t="s">
        <v>168</v>
      </c>
      <c r="BJN29" s="3" t="s">
        <v>169</v>
      </c>
      <c r="BJO29" s="3" t="s">
        <v>168</v>
      </c>
      <c r="BJP29" s="3" t="s">
        <v>169</v>
      </c>
      <c r="BJQ29" s="3" t="s">
        <v>168</v>
      </c>
      <c r="BJR29" s="3" t="s">
        <v>169</v>
      </c>
      <c r="BJS29" s="3" t="s">
        <v>168</v>
      </c>
      <c r="BJT29" s="3" t="s">
        <v>169</v>
      </c>
      <c r="BJU29" s="3" t="s">
        <v>168</v>
      </c>
      <c r="BJV29" s="3" t="s">
        <v>169</v>
      </c>
      <c r="BJW29" s="3" t="s">
        <v>168</v>
      </c>
      <c r="BJX29" s="3" t="s">
        <v>169</v>
      </c>
      <c r="BJY29" s="3" t="s">
        <v>168</v>
      </c>
      <c r="BJZ29" s="3" t="s">
        <v>169</v>
      </c>
      <c r="BKA29" s="3" t="s">
        <v>168</v>
      </c>
      <c r="BKB29" s="3" t="s">
        <v>169</v>
      </c>
      <c r="BKC29" s="3" t="s">
        <v>168</v>
      </c>
      <c r="BKD29" s="3" t="s">
        <v>169</v>
      </c>
      <c r="BKE29" s="3" t="s">
        <v>168</v>
      </c>
      <c r="BKF29" s="3" t="s">
        <v>169</v>
      </c>
      <c r="BKG29" s="3" t="s">
        <v>168</v>
      </c>
      <c r="BKH29" s="3" t="s">
        <v>169</v>
      </c>
      <c r="BKI29" s="3" t="s">
        <v>168</v>
      </c>
      <c r="BKJ29" s="3" t="s">
        <v>169</v>
      </c>
      <c r="BKK29" s="3" t="s">
        <v>168</v>
      </c>
      <c r="BKL29" s="3" t="s">
        <v>169</v>
      </c>
      <c r="BKM29" s="3" t="s">
        <v>168</v>
      </c>
      <c r="BKN29" s="3" t="s">
        <v>169</v>
      </c>
      <c r="BKO29" s="3" t="s">
        <v>168</v>
      </c>
      <c r="BKP29" s="3" t="s">
        <v>169</v>
      </c>
      <c r="BKQ29" s="3" t="s">
        <v>168</v>
      </c>
      <c r="BKR29" s="3" t="s">
        <v>169</v>
      </c>
      <c r="BKS29" s="3" t="s">
        <v>168</v>
      </c>
      <c r="BKT29" s="3" t="s">
        <v>169</v>
      </c>
      <c r="BKU29" s="3" t="s">
        <v>168</v>
      </c>
      <c r="BKV29" s="3" t="s">
        <v>169</v>
      </c>
      <c r="BKW29" s="3" t="s">
        <v>168</v>
      </c>
      <c r="BKX29" s="3" t="s">
        <v>169</v>
      </c>
      <c r="BKY29" s="3" t="s">
        <v>168</v>
      </c>
      <c r="BKZ29" s="3" t="s">
        <v>169</v>
      </c>
      <c r="BLA29" s="3" t="s">
        <v>168</v>
      </c>
      <c r="BLB29" s="3" t="s">
        <v>169</v>
      </c>
      <c r="BLC29" s="3" t="s">
        <v>168</v>
      </c>
      <c r="BLD29" s="3" t="s">
        <v>169</v>
      </c>
      <c r="BLE29" s="3" t="s">
        <v>168</v>
      </c>
      <c r="BLF29" s="3" t="s">
        <v>169</v>
      </c>
      <c r="BLG29" s="3" t="s">
        <v>168</v>
      </c>
      <c r="BLH29" s="3" t="s">
        <v>169</v>
      </c>
      <c r="BLI29" s="3" t="s">
        <v>168</v>
      </c>
      <c r="BLJ29" s="3" t="s">
        <v>169</v>
      </c>
      <c r="BLK29" s="3" t="s">
        <v>168</v>
      </c>
      <c r="BLL29" s="3" t="s">
        <v>169</v>
      </c>
      <c r="BLM29" s="3" t="s">
        <v>168</v>
      </c>
      <c r="BLN29" s="3" t="s">
        <v>169</v>
      </c>
      <c r="BLO29" s="3" t="s">
        <v>168</v>
      </c>
      <c r="BLP29" s="3" t="s">
        <v>169</v>
      </c>
      <c r="BLQ29" s="3" t="s">
        <v>168</v>
      </c>
      <c r="BLR29" s="3" t="s">
        <v>169</v>
      </c>
      <c r="BLS29" s="3" t="s">
        <v>168</v>
      </c>
      <c r="BLT29" s="3" t="s">
        <v>169</v>
      </c>
      <c r="BLU29" s="3" t="s">
        <v>168</v>
      </c>
      <c r="BLV29" s="3" t="s">
        <v>169</v>
      </c>
      <c r="BLW29" s="3" t="s">
        <v>168</v>
      </c>
      <c r="BLX29" s="3" t="s">
        <v>169</v>
      </c>
      <c r="BLY29" s="3" t="s">
        <v>168</v>
      </c>
      <c r="BLZ29" s="3" t="s">
        <v>169</v>
      </c>
      <c r="BMA29" s="3" t="s">
        <v>168</v>
      </c>
      <c r="BMB29" s="3" t="s">
        <v>169</v>
      </c>
      <c r="BMC29" s="3" t="s">
        <v>168</v>
      </c>
      <c r="BMD29" s="3" t="s">
        <v>169</v>
      </c>
      <c r="BME29" s="3" t="s">
        <v>168</v>
      </c>
      <c r="BMF29" s="3" t="s">
        <v>169</v>
      </c>
      <c r="BMG29" s="3" t="s">
        <v>168</v>
      </c>
      <c r="BMH29" s="3" t="s">
        <v>169</v>
      </c>
      <c r="BMI29" s="3" t="s">
        <v>168</v>
      </c>
      <c r="BMJ29" s="3" t="s">
        <v>169</v>
      </c>
      <c r="BMK29" s="3" t="s">
        <v>168</v>
      </c>
      <c r="BML29" s="3" t="s">
        <v>169</v>
      </c>
      <c r="BMM29" s="3" t="s">
        <v>168</v>
      </c>
      <c r="BMN29" s="3" t="s">
        <v>169</v>
      </c>
      <c r="BMO29" s="3" t="s">
        <v>168</v>
      </c>
      <c r="BMP29" s="3" t="s">
        <v>169</v>
      </c>
      <c r="BMQ29" s="3" t="s">
        <v>168</v>
      </c>
      <c r="BMR29" s="3" t="s">
        <v>169</v>
      </c>
      <c r="BMS29" s="3" t="s">
        <v>168</v>
      </c>
      <c r="BMT29" s="3" t="s">
        <v>169</v>
      </c>
      <c r="BMU29" s="3" t="s">
        <v>168</v>
      </c>
      <c r="BMV29" s="3" t="s">
        <v>169</v>
      </c>
      <c r="BMW29" s="3" t="s">
        <v>168</v>
      </c>
      <c r="BMX29" s="3" t="s">
        <v>169</v>
      </c>
      <c r="BMY29" s="3" t="s">
        <v>168</v>
      </c>
      <c r="BMZ29" s="3" t="s">
        <v>169</v>
      </c>
      <c r="BNA29" s="3" t="s">
        <v>168</v>
      </c>
      <c r="BNB29" s="3" t="s">
        <v>169</v>
      </c>
      <c r="BNC29" s="3" t="s">
        <v>168</v>
      </c>
      <c r="BND29" s="3" t="s">
        <v>169</v>
      </c>
      <c r="BNE29" s="3" t="s">
        <v>168</v>
      </c>
      <c r="BNF29" s="3" t="s">
        <v>169</v>
      </c>
      <c r="BNG29" s="3" t="s">
        <v>168</v>
      </c>
      <c r="BNH29" s="3" t="s">
        <v>169</v>
      </c>
      <c r="BNI29" s="3" t="s">
        <v>168</v>
      </c>
      <c r="BNJ29" s="3" t="s">
        <v>169</v>
      </c>
      <c r="BNK29" s="3" t="s">
        <v>168</v>
      </c>
      <c r="BNL29" s="3" t="s">
        <v>169</v>
      </c>
      <c r="BNM29" s="3" t="s">
        <v>168</v>
      </c>
      <c r="BNN29" s="3" t="s">
        <v>169</v>
      </c>
      <c r="BNO29" s="3" t="s">
        <v>168</v>
      </c>
      <c r="BNP29" s="3" t="s">
        <v>169</v>
      </c>
      <c r="BNQ29" s="3" t="s">
        <v>168</v>
      </c>
      <c r="BNR29" s="3" t="s">
        <v>169</v>
      </c>
      <c r="BNS29" s="3" t="s">
        <v>168</v>
      </c>
      <c r="BNT29" s="3" t="s">
        <v>169</v>
      </c>
      <c r="BNU29" s="3" t="s">
        <v>168</v>
      </c>
      <c r="BNV29" s="3" t="s">
        <v>169</v>
      </c>
      <c r="BNW29" s="3" t="s">
        <v>168</v>
      </c>
      <c r="BNX29" s="3" t="s">
        <v>169</v>
      </c>
      <c r="BNY29" s="3" t="s">
        <v>168</v>
      </c>
      <c r="BNZ29" s="3" t="s">
        <v>169</v>
      </c>
      <c r="BOA29" s="3" t="s">
        <v>168</v>
      </c>
      <c r="BOB29" s="3" t="s">
        <v>169</v>
      </c>
      <c r="BOC29" s="3" t="s">
        <v>168</v>
      </c>
      <c r="BOD29" s="3" t="s">
        <v>169</v>
      </c>
      <c r="BOE29" s="3" t="s">
        <v>168</v>
      </c>
      <c r="BOF29" s="3" t="s">
        <v>169</v>
      </c>
      <c r="BOG29" s="3" t="s">
        <v>168</v>
      </c>
      <c r="BOH29" s="3" t="s">
        <v>169</v>
      </c>
      <c r="BOI29" s="3" t="s">
        <v>168</v>
      </c>
      <c r="BOJ29" s="3" t="s">
        <v>169</v>
      </c>
      <c r="BOK29" s="3" t="s">
        <v>168</v>
      </c>
      <c r="BOL29" s="3" t="s">
        <v>169</v>
      </c>
      <c r="BOM29" s="3" t="s">
        <v>168</v>
      </c>
      <c r="BON29" s="3" t="s">
        <v>169</v>
      </c>
      <c r="BOO29" s="3" t="s">
        <v>168</v>
      </c>
      <c r="BOP29" s="3" t="s">
        <v>169</v>
      </c>
      <c r="BOQ29" s="3" t="s">
        <v>168</v>
      </c>
      <c r="BOR29" s="3" t="s">
        <v>169</v>
      </c>
      <c r="BOS29" s="3" t="s">
        <v>168</v>
      </c>
      <c r="BOT29" s="3" t="s">
        <v>169</v>
      </c>
      <c r="BOU29" s="3" t="s">
        <v>168</v>
      </c>
      <c r="BOV29" s="3" t="s">
        <v>169</v>
      </c>
      <c r="BOW29" s="3" t="s">
        <v>168</v>
      </c>
      <c r="BOX29" s="3" t="s">
        <v>169</v>
      </c>
      <c r="BOY29" s="3" t="s">
        <v>168</v>
      </c>
      <c r="BOZ29" s="3" t="s">
        <v>169</v>
      </c>
      <c r="BPA29" s="3" t="s">
        <v>168</v>
      </c>
      <c r="BPB29" s="3" t="s">
        <v>169</v>
      </c>
      <c r="BPC29" s="3" t="s">
        <v>168</v>
      </c>
      <c r="BPD29" s="3" t="s">
        <v>169</v>
      </c>
      <c r="BPE29" s="3" t="s">
        <v>168</v>
      </c>
      <c r="BPF29" s="3" t="s">
        <v>169</v>
      </c>
      <c r="BPG29" s="3" t="s">
        <v>168</v>
      </c>
      <c r="BPH29" s="3" t="s">
        <v>169</v>
      </c>
      <c r="BPI29" s="3" t="s">
        <v>168</v>
      </c>
      <c r="BPJ29" s="3" t="s">
        <v>169</v>
      </c>
      <c r="BPK29" s="3" t="s">
        <v>168</v>
      </c>
      <c r="BPL29" s="3" t="s">
        <v>169</v>
      </c>
      <c r="BPM29" s="3" t="s">
        <v>168</v>
      </c>
      <c r="BPN29" s="3" t="s">
        <v>169</v>
      </c>
      <c r="BPO29" s="3" t="s">
        <v>168</v>
      </c>
      <c r="BPP29" s="3" t="s">
        <v>169</v>
      </c>
      <c r="BPQ29" s="3" t="s">
        <v>168</v>
      </c>
      <c r="BPR29" s="3" t="s">
        <v>169</v>
      </c>
      <c r="BPS29" s="3" t="s">
        <v>168</v>
      </c>
      <c r="BPT29" s="3" t="s">
        <v>169</v>
      </c>
      <c r="BPU29" s="3" t="s">
        <v>168</v>
      </c>
      <c r="BPV29" s="3" t="s">
        <v>169</v>
      </c>
      <c r="BPW29" s="3" t="s">
        <v>168</v>
      </c>
      <c r="BPX29" s="3" t="s">
        <v>169</v>
      </c>
      <c r="BPY29" s="3" t="s">
        <v>168</v>
      </c>
      <c r="BPZ29" s="3" t="s">
        <v>169</v>
      </c>
      <c r="BQA29" s="3" t="s">
        <v>168</v>
      </c>
      <c r="BQB29" s="3" t="s">
        <v>169</v>
      </c>
      <c r="BQC29" s="3" t="s">
        <v>168</v>
      </c>
      <c r="BQD29" s="3" t="s">
        <v>169</v>
      </c>
      <c r="BQE29" s="3" t="s">
        <v>168</v>
      </c>
      <c r="BQF29" s="3" t="s">
        <v>169</v>
      </c>
      <c r="BQG29" s="3" t="s">
        <v>168</v>
      </c>
      <c r="BQH29" s="3" t="s">
        <v>169</v>
      </c>
      <c r="BQI29" s="3" t="s">
        <v>168</v>
      </c>
      <c r="BQJ29" s="3" t="s">
        <v>169</v>
      </c>
      <c r="BQK29" s="3" t="s">
        <v>168</v>
      </c>
      <c r="BQL29" s="3" t="s">
        <v>169</v>
      </c>
      <c r="BQM29" s="3" t="s">
        <v>168</v>
      </c>
      <c r="BQN29" s="3" t="s">
        <v>169</v>
      </c>
      <c r="BQO29" s="3" t="s">
        <v>168</v>
      </c>
      <c r="BQP29" s="3" t="s">
        <v>169</v>
      </c>
      <c r="BQQ29" s="3" t="s">
        <v>168</v>
      </c>
      <c r="BQR29" s="3" t="s">
        <v>169</v>
      </c>
      <c r="BQS29" s="3" t="s">
        <v>168</v>
      </c>
      <c r="BQT29" s="3" t="s">
        <v>169</v>
      </c>
      <c r="BQU29" s="3" t="s">
        <v>168</v>
      </c>
      <c r="BQV29" s="3" t="s">
        <v>169</v>
      </c>
      <c r="BQW29" s="3" t="s">
        <v>168</v>
      </c>
      <c r="BQX29" s="3" t="s">
        <v>169</v>
      </c>
      <c r="BQY29" s="3" t="s">
        <v>168</v>
      </c>
      <c r="BQZ29" s="3" t="s">
        <v>169</v>
      </c>
      <c r="BRA29" s="3" t="s">
        <v>168</v>
      </c>
      <c r="BRB29" s="3" t="s">
        <v>169</v>
      </c>
      <c r="BRC29" s="3" t="s">
        <v>168</v>
      </c>
      <c r="BRD29" s="3" t="s">
        <v>169</v>
      </c>
      <c r="BRE29" s="3" t="s">
        <v>168</v>
      </c>
      <c r="BRF29" s="3" t="s">
        <v>169</v>
      </c>
      <c r="BRG29" s="3" t="s">
        <v>168</v>
      </c>
      <c r="BRH29" s="3" t="s">
        <v>169</v>
      </c>
      <c r="BRI29" s="3" t="s">
        <v>168</v>
      </c>
      <c r="BRJ29" s="3" t="s">
        <v>169</v>
      </c>
      <c r="BRK29" s="3" t="s">
        <v>168</v>
      </c>
      <c r="BRL29" s="3" t="s">
        <v>169</v>
      </c>
      <c r="BRM29" s="3" t="s">
        <v>168</v>
      </c>
      <c r="BRN29" s="3" t="s">
        <v>169</v>
      </c>
      <c r="BRO29" s="3" t="s">
        <v>168</v>
      </c>
      <c r="BRP29" s="3" t="s">
        <v>169</v>
      </c>
      <c r="BRQ29" s="3" t="s">
        <v>168</v>
      </c>
      <c r="BRR29" s="3" t="s">
        <v>169</v>
      </c>
      <c r="BRS29" s="3" t="s">
        <v>168</v>
      </c>
      <c r="BRT29" s="3" t="s">
        <v>169</v>
      </c>
      <c r="BRU29" s="3" t="s">
        <v>168</v>
      </c>
      <c r="BRV29" s="3" t="s">
        <v>169</v>
      </c>
      <c r="BRW29" s="3" t="s">
        <v>168</v>
      </c>
      <c r="BRX29" s="3" t="s">
        <v>169</v>
      </c>
      <c r="BRY29" s="3" t="s">
        <v>168</v>
      </c>
      <c r="BRZ29" s="3" t="s">
        <v>169</v>
      </c>
      <c r="BSA29" s="3" t="s">
        <v>168</v>
      </c>
      <c r="BSB29" s="3" t="s">
        <v>169</v>
      </c>
      <c r="BSC29" s="3" t="s">
        <v>168</v>
      </c>
      <c r="BSD29" s="3" t="s">
        <v>169</v>
      </c>
      <c r="BSE29" s="3" t="s">
        <v>168</v>
      </c>
      <c r="BSF29" s="3" t="s">
        <v>169</v>
      </c>
      <c r="BSG29" s="3" t="s">
        <v>168</v>
      </c>
      <c r="BSH29" s="3" t="s">
        <v>169</v>
      </c>
      <c r="BSI29" s="3" t="s">
        <v>168</v>
      </c>
      <c r="BSJ29" s="3" t="s">
        <v>169</v>
      </c>
      <c r="BSK29" s="3" t="s">
        <v>168</v>
      </c>
      <c r="BSL29" s="3" t="s">
        <v>169</v>
      </c>
      <c r="BSM29" s="3" t="s">
        <v>168</v>
      </c>
      <c r="BSN29" s="3" t="s">
        <v>169</v>
      </c>
      <c r="BSO29" s="3" t="s">
        <v>168</v>
      </c>
      <c r="BSP29" s="3" t="s">
        <v>169</v>
      </c>
      <c r="BSQ29" s="3" t="s">
        <v>168</v>
      </c>
      <c r="BSR29" s="3" t="s">
        <v>169</v>
      </c>
      <c r="BSS29" s="3" t="s">
        <v>168</v>
      </c>
      <c r="BST29" s="3" t="s">
        <v>169</v>
      </c>
      <c r="BSU29" s="3" t="s">
        <v>168</v>
      </c>
      <c r="BSV29" s="3" t="s">
        <v>169</v>
      </c>
      <c r="BSW29" s="3" t="s">
        <v>168</v>
      </c>
      <c r="BSX29" s="3" t="s">
        <v>169</v>
      </c>
      <c r="BSY29" s="3" t="s">
        <v>168</v>
      </c>
      <c r="BSZ29" s="3" t="s">
        <v>169</v>
      </c>
      <c r="BTA29" s="3" t="s">
        <v>168</v>
      </c>
      <c r="BTB29" s="3" t="s">
        <v>169</v>
      </c>
      <c r="BTC29" s="3" t="s">
        <v>168</v>
      </c>
      <c r="BTD29" s="3" t="s">
        <v>169</v>
      </c>
      <c r="BTE29" s="3" t="s">
        <v>168</v>
      </c>
      <c r="BTF29" s="3" t="s">
        <v>169</v>
      </c>
      <c r="BTG29" s="3" t="s">
        <v>168</v>
      </c>
      <c r="BTH29" s="3" t="s">
        <v>169</v>
      </c>
      <c r="BTI29" s="3" t="s">
        <v>168</v>
      </c>
      <c r="BTJ29" s="3" t="s">
        <v>169</v>
      </c>
      <c r="BTK29" s="3" t="s">
        <v>168</v>
      </c>
      <c r="BTL29" s="3" t="s">
        <v>169</v>
      </c>
      <c r="BTM29" s="3" t="s">
        <v>168</v>
      </c>
      <c r="BTN29" s="3" t="s">
        <v>169</v>
      </c>
      <c r="BTO29" s="3" t="s">
        <v>168</v>
      </c>
      <c r="BTP29" s="3" t="s">
        <v>169</v>
      </c>
      <c r="BTQ29" s="3" t="s">
        <v>168</v>
      </c>
      <c r="BTR29" s="3" t="s">
        <v>169</v>
      </c>
      <c r="BTS29" s="3" t="s">
        <v>168</v>
      </c>
      <c r="BTT29" s="3" t="s">
        <v>169</v>
      </c>
      <c r="BTU29" s="3" t="s">
        <v>168</v>
      </c>
      <c r="BTV29" s="3" t="s">
        <v>169</v>
      </c>
      <c r="BTW29" s="3" t="s">
        <v>168</v>
      </c>
      <c r="BTX29" s="3" t="s">
        <v>169</v>
      </c>
      <c r="BTY29" s="3" t="s">
        <v>168</v>
      </c>
      <c r="BTZ29" s="3" t="s">
        <v>169</v>
      </c>
      <c r="BUA29" s="3" t="s">
        <v>168</v>
      </c>
      <c r="BUB29" s="3" t="s">
        <v>169</v>
      </c>
      <c r="BUC29" s="3" t="s">
        <v>168</v>
      </c>
      <c r="BUD29" s="3" t="s">
        <v>169</v>
      </c>
      <c r="BUE29" s="3" t="s">
        <v>168</v>
      </c>
      <c r="BUF29" s="3" t="s">
        <v>169</v>
      </c>
      <c r="BUG29" s="3" t="s">
        <v>168</v>
      </c>
      <c r="BUH29" s="3" t="s">
        <v>169</v>
      </c>
      <c r="BUI29" s="3" t="s">
        <v>168</v>
      </c>
      <c r="BUJ29" s="3" t="s">
        <v>169</v>
      </c>
      <c r="BUK29" s="3" t="s">
        <v>168</v>
      </c>
      <c r="BUL29" s="3" t="s">
        <v>169</v>
      </c>
      <c r="BUM29" s="3" t="s">
        <v>168</v>
      </c>
      <c r="BUN29" s="3" t="s">
        <v>169</v>
      </c>
      <c r="BUO29" s="3" t="s">
        <v>168</v>
      </c>
      <c r="BUP29" s="3" t="s">
        <v>169</v>
      </c>
      <c r="BUQ29" s="3" t="s">
        <v>168</v>
      </c>
      <c r="BUR29" s="3" t="s">
        <v>169</v>
      </c>
      <c r="BUS29" s="3" t="s">
        <v>168</v>
      </c>
      <c r="BUT29" s="3" t="s">
        <v>169</v>
      </c>
      <c r="BUU29" s="3" t="s">
        <v>168</v>
      </c>
      <c r="BUV29" s="3" t="s">
        <v>169</v>
      </c>
      <c r="BUW29" s="3" t="s">
        <v>168</v>
      </c>
      <c r="BUX29" s="3" t="s">
        <v>169</v>
      </c>
      <c r="BUY29" s="3" t="s">
        <v>168</v>
      </c>
      <c r="BUZ29" s="3" t="s">
        <v>169</v>
      </c>
      <c r="BVA29" s="3" t="s">
        <v>168</v>
      </c>
      <c r="BVB29" s="3" t="s">
        <v>169</v>
      </c>
      <c r="BVC29" s="3" t="s">
        <v>168</v>
      </c>
      <c r="BVD29" s="3" t="s">
        <v>169</v>
      </c>
      <c r="BVE29" s="3" t="s">
        <v>168</v>
      </c>
      <c r="BVF29" s="3" t="s">
        <v>169</v>
      </c>
      <c r="BVG29" s="3" t="s">
        <v>168</v>
      </c>
      <c r="BVH29" s="3" t="s">
        <v>169</v>
      </c>
      <c r="BVI29" s="3" t="s">
        <v>168</v>
      </c>
      <c r="BVJ29" s="3" t="s">
        <v>169</v>
      </c>
      <c r="BVK29" s="3" t="s">
        <v>168</v>
      </c>
      <c r="BVL29" s="3" t="s">
        <v>169</v>
      </c>
      <c r="BVM29" s="3" t="s">
        <v>168</v>
      </c>
      <c r="BVN29" s="3" t="s">
        <v>169</v>
      </c>
      <c r="BVO29" s="3" t="s">
        <v>168</v>
      </c>
      <c r="BVP29" s="3" t="s">
        <v>169</v>
      </c>
      <c r="BVQ29" s="3" t="s">
        <v>168</v>
      </c>
      <c r="BVR29" s="3" t="s">
        <v>169</v>
      </c>
      <c r="BVS29" s="3" t="s">
        <v>168</v>
      </c>
      <c r="BVT29" s="3" t="s">
        <v>169</v>
      </c>
      <c r="BVU29" s="3" t="s">
        <v>168</v>
      </c>
      <c r="BVV29" s="3" t="s">
        <v>169</v>
      </c>
      <c r="BVW29" s="3" t="s">
        <v>168</v>
      </c>
      <c r="BVX29" s="3" t="s">
        <v>169</v>
      </c>
      <c r="BVY29" s="3" t="s">
        <v>168</v>
      </c>
      <c r="BVZ29" s="3" t="s">
        <v>169</v>
      </c>
      <c r="BWA29" s="3" t="s">
        <v>168</v>
      </c>
      <c r="BWB29" s="3" t="s">
        <v>169</v>
      </c>
      <c r="BWC29" s="3" t="s">
        <v>168</v>
      </c>
      <c r="BWD29" s="3" t="s">
        <v>169</v>
      </c>
      <c r="BWE29" s="3" t="s">
        <v>168</v>
      </c>
      <c r="BWF29" s="3" t="s">
        <v>169</v>
      </c>
      <c r="BWG29" s="3" t="s">
        <v>168</v>
      </c>
      <c r="BWH29" s="3" t="s">
        <v>169</v>
      </c>
      <c r="BWI29" s="3" t="s">
        <v>168</v>
      </c>
      <c r="BWJ29" s="3" t="s">
        <v>169</v>
      </c>
      <c r="BWK29" s="3" t="s">
        <v>168</v>
      </c>
      <c r="BWL29" s="3" t="s">
        <v>169</v>
      </c>
      <c r="BWM29" s="3" t="s">
        <v>168</v>
      </c>
      <c r="BWN29" s="3" t="s">
        <v>169</v>
      </c>
      <c r="BWO29" s="3" t="s">
        <v>168</v>
      </c>
      <c r="BWP29" s="3" t="s">
        <v>169</v>
      </c>
      <c r="BWQ29" s="3" t="s">
        <v>168</v>
      </c>
      <c r="BWR29" s="3" t="s">
        <v>169</v>
      </c>
      <c r="BWS29" s="3" t="s">
        <v>168</v>
      </c>
      <c r="BWT29" s="3" t="s">
        <v>169</v>
      </c>
      <c r="BWU29" s="3" t="s">
        <v>168</v>
      </c>
      <c r="BWV29" s="3" t="s">
        <v>169</v>
      </c>
      <c r="BWW29" s="3" t="s">
        <v>168</v>
      </c>
      <c r="BWX29" s="3" t="s">
        <v>169</v>
      </c>
      <c r="BWY29" s="3" t="s">
        <v>168</v>
      </c>
      <c r="BWZ29" s="3" t="s">
        <v>169</v>
      </c>
      <c r="BXA29" s="3" t="s">
        <v>168</v>
      </c>
      <c r="BXB29" s="3" t="s">
        <v>169</v>
      </c>
      <c r="BXC29" s="3" t="s">
        <v>168</v>
      </c>
      <c r="BXD29" s="3" t="s">
        <v>169</v>
      </c>
      <c r="BXE29" s="3" t="s">
        <v>168</v>
      </c>
      <c r="BXF29" s="3" t="s">
        <v>169</v>
      </c>
      <c r="BXG29" s="3" t="s">
        <v>168</v>
      </c>
      <c r="BXH29" s="3" t="s">
        <v>169</v>
      </c>
      <c r="BXI29" s="3" t="s">
        <v>168</v>
      </c>
      <c r="BXJ29" s="3" t="s">
        <v>169</v>
      </c>
      <c r="BXK29" s="3" t="s">
        <v>168</v>
      </c>
      <c r="BXL29" s="3" t="s">
        <v>169</v>
      </c>
      <c r="BXM29" s="3" t="s">
        <v>168</v>
      </c>
      <c r="BXN29" s="3" t="s">
        <v>169</v>
      </c>
      <c r="BXO29" s="3" t="s">
        <v>168</v>
      </c>
      <c r="BXP29" s="3" t="s">
        <v>169</v>
      </c>
      <c r="BXQ29" s="3" t="s">
        <v>168</v>
      </c>
      <c r="BXR29" s="3" t="s">
        <v>169</v>
      </c>
      <c r="BXS29" s="3" t="s">
        <v>168</v>
      </c>
      <c r="BXT29" s="3" t="s">
        <v>169</v>
      </c>
      <c r="BXU29" s="3" t="s">
        <v>168</v>
      </c>
      <c r="BXV29" s="3" t="s">
        <v>169</v>
      </c>
      <c r="BXW29" s="3" t="s">
        <v>168</v>
      </c>
      <c r="BXX29" s="3" t="s">
        <v>169</v>
      </c>
      <c r="BXY29" s="3" t="s">
        <v>168</v>
      </c>
      <c r="BXZ29" s="3" t="s">
        <v>169</v>
      </c>
      <c r="BYA29" s="3" t="s">
        <v>168</v>
      </c>
      <c r="BYB29" s="3" t="s">
        <v>169</v>
      </c>
      <c r="BYC29" s="3" t="s">
        <v>168</v>
      </c>
      <c r="BYD29" s="3" t="s">
        <v>169</v>
      </c>
      <c r="BYE29" s="3" t="s">
        <v>168</v>
      </c>
      <c r="BYF29" s="3" t="s">
        <v>169</v>
      </c>
      <c r="BYG29" s="3" t="s">
        <v>168</v>
      </c>
      <c r="BYH29" s="3" t="s">
        <v>169</v>
      </c>
      <c r="BYI29" s="3" t="s">
        <v>168</v>
      </c>
      <c r="BYJ29" s="3" t="s">
        <v>169</v>
      </c>
      <c r="BYK29" s="3" t="s">
        <v>168</v>
      </c>
      <c r="BYL29" s="3" t="s">
        <v>169</v>
      </c>
      <c r="BYM29" s="3" t="s">
        <v>168</v>
      </c>
      <c r="BYN29" s="3" t="s">
        <v>169</v>
      </c>
      <c r="BYO29" s="3" t="s">
        <v>168</v>
      </c>
      <c r="BYP29" s="3" t="s">
        <v>169</v>
      </c>
      <c r="BYQ29" s="3" t="s">
        <v>168</v>
      </c>
      <c r="BYR29" s="3" t="s">
        <v>169</v>
      </c>
      <c r="BYS29" s="3" t="s">
        <v>168</v>
      </c>
      <c r="BYT29" s="3" t="s">
        <v>169</v>
      </c>
      <c r="BYU29" s="3" t="s">
        <v>168</v>
      </c>
      <c r="BYV29" s="3" t="s">
        <v>169</v>
      </c>
      <c r="BYW29" s="3" t="s">
        <v>168</v>
      </c>
      <c r="BYX29" s="3" t="s">
        <v>169</v>
      </c>
      <c r="BYY29" s="3" t="s">
        <v>168</v>
      </c>
      <c r="BYZ29" s="3" t="s">
        <v>169</v>
      </c>
      <c r="BZA29" s="3" t="s">
        <v>168</v>
      </c>
      <c r="BZB29" s="3" t="s">
        <v>169</v>
      </c>
      <c r="BZC29" s="3" t="s">
        <v>168</v>
      </c>
      <c r="BZD29" s="3" t="s">
        <v>169</v>
      </c>
      <c r="BZE29" s="3" t="s">
        <v>168</v>
      </c>
      <c r="BZF29" s="3" t="s">
        <v>169</v>
      </c>
      <c r="BZG29" s="3" t="s">
        <v>168</v>
      </c>
      <c r="BZH29" s="3" t="s">
        <v>169</v>
      </c>
      <c r="BZI29" s="3" t="s">
        <v>168</v>
      </c>
      <c r="BZJ29" s="3" t="s">
        <v>169</v>
      </c>
      <c r="BZK29" s="3" t="s">
        <v>168</v>
      </c>
      <c r="BZL29" s="3" t="s">
        <v>169</v>
      </c>
      <c r="BZM29" s="3" t="s">
        <v>168</v>
      </c>
      <c r="BZN29" s="3" t="s">
        <v>169</v>
      </c>
      <c r="BZO29" s="3" t="s">
        <v>168</v>
      </c>
      <c r="BZP29" s="3" t="s">
        <v>169</v>
      </c>
      <c r="BZQ29" s="3" t="s">
        <v>168</v>
      </c>
      <c r="BZR29" s="3" t="s">
        <v>169</v>
      </c>
      <c r="BZS29" s="3" t="s">
        <v>168</v>
      </c>
      <c r="BZT29" s="3" t="s">
        <v>169</v>
      </c>
      <c r="BZU29" s="3" t="s">
        <v>168</v>
      </c>
      <c r="BZV29" s="3" t="s">
        <v>169</v>
      </c>
      <c r="BZW29" s="3" t="s">
        <v>168</v>
      </c>
      <c r="BZX29" s="3" t="s">
        <v>169</v>
      </c>
      <c r="BZY29" s="3" t="s">
        <v>168</v>
      </c>
      <c r="BZZ29" s="3" t="s">
        <v>169</v>
      </c>
      <c r="CAA29" s="3" t="s">
        <v>168</v>
      </c>
      <c r="CAB29" s="3" t="s">
        <v>169</v>
      </c>
      <c r="CAC29" s="3" t="s">
        <v>168</v>
      </c>
      <c r="CAD29" s="3" t="s">
        <v>169</v>
      </c>
      <c r="CAE29" s="3" t="s">
        <v>168</v>
      </c>
      <c r="CAF29" s="3" t="s">
        <v>169</v>
      </c>
      <c r="CAG29" s="3" t="s">
        <v>168</v>
      </c>
      <c r="CAH29" s="3" t="s">
        <v>169</v>
      </c>
      <c r="CAI29" s="3" t="s">
        <v>168</v>
      </c>
      <c r="CAJ29" s="3" t="s">
        <v>169</v>
      </c>
      <c r="CAK29" s="3" t="s">
        <v>168</v>
      </c>
      <c r="CAL29" s="3" t="s">
        <v>169</v>
      </c>
      <c r="CAM29" s="3" t="s">
        <v>168</v>
      </c>
      <c r="CAN29" s="3" t="s">
        <v>169</v>
      </c>
      <c r="CAO29" s="3" t="s">
        <v>168</v>
      </c>
      <c r="CAP29" s="3" t="s">
        <v>169</v>
      </c>
      <c r="CAQ29" s="3" t="s">
        <v>168</v>
      </c>
      <c r="CAR29" s="3" t="s">
        <v>169</v>
      </c>
      <c r="CAS29" s="3" t="s">
        <v>168</v>
      </c>
      <c r="CAT29" s="3" t="s">
        <v>169</v>
      </c>
      <c r="CAU29" s="3" t="s">
        <v>168</v>
      </c>
      <c r="CAV29" s="3" t="s">
        <v>169</v>
      </c>
      <c r="CAW29" s="3" t="s">
        <v>168</v>
      </c>
      <c r="CAX29" s="3" t="s">
        <v>169</v>
      </c>
      <c r="CAY29" s="3" t="s">
        <v>168</v>
      </c>
      <c r="CAZ29" s="3" t="s">
        <v>169</v>
      </c>
      <c r="CBA29" s="3" t="s">
        <v>168</v>
      </c>
      <c r="CBB29" s="3" t="s">
        <v>169</v>
      </c>
      <c r="CBC29" s="3" t="s">
        <v>168</v>
      </c>
      <c r="CBD29" s="3" t="s">
        <v>169</v>
      </c>
      <c r="CBE29" s="3" t="s">
        <v>168</v>
      </c>
      <c r="CBF29" s="3" t="s">
        <v>169</v>
      </c>
      <c r="CBG29" s="3" t="s">
        <v>168</v>
      </c>
      <c r="CBH29" s="3" t="s">
        <v>169</v>
      </c>
      <c r="CBI29" s="3" t="s">
        <v>168</v>
      </c>
      <c r="CBJ29" s="3" t="s">
        <v>169</v>
      </c>
      <c r="CBK29" s="3" t="s">
        <v>168</v>
      </c>
      <c r="CBL29" s="3" t="s">
        <v>169</v>
      </c>
      <c r="CBM29" s="3" t="s">
        <v>168</v>
      </c>
      <c r="CBN29" s="3" t="s">
        <v>169</v>
      </c>
      <c r="CBO29" s="3" t="s">
        <v>168</v>
      </c>
      <c r="CBP29" s="3" t="s">
        <v>169</v>
      </c>
      <c r="CBQ29" s="3" t="s">
        <v>168</v>
      </c>
      <c r="CBR29" s="3" t="s">
        <v>169</v>
      </c>
      <c r="CBS29" s="3" t="s">
        <v>168</v>
      </c>
      <c r="CBT29" s="3" t="s">
        <v>169</v>
      </c>
      <c r="CBU29" s="3" t="s">
        <v>168</v>
      </c>
      <c r="CBV29" s="3" t="s">
        <v>169</v>
      </c>
      <c r="CBW29" s="3" t="s">
        <v>168</v>
      </c>
      <c r="CBX29" s="3" t="s">
        <v>169</v>
      </c>
      <c r="CBY29" s="3" t="s">
        <v>168</v>
      </c>
      <c r="CBZ29" s="3" t="s">
        <v>169</v>
      </c>
      <c r="CCA29" s="3" t="s">
        <v>168</v>
      </c>
      <c r="CCB29" s="3" t="s">
        <v>169</v>
      </c>
      <c r="CCC29" s="3" t="s">
        <v>168</v>
      </c>
      <c r="CCD29" s="3" t="s">
        <v>169</v>
      </c>
      <c r="CCE29" s="3" t="s">
        <v>168</v>
      </c>
      <c r="CCF29" s="3" t="s">
        <v>169</v>
      </c>
      <c r="CCG29" s="3" t="s">
        <v>168</v>
      </c>
      <c r="CCH29" s="3" t="s">
        <v>169</v>
      </c>
      <c r="CCI29" s="3" t="s">
        <v>168</v>
      </c>
      <c r="CCJ29" s="3" t="s">
        <v>169</v>
      </c>
      <c r="CCK29" s="3" t="s">
        <v>168</v>
      </c>
      <c r="CCL29" s="3" t="s">
        <v>169</v>
      </c>
      <c r="CCM29" s="3" t="s">
        <v>168</v>
      </c>
      <c r="CCN29" s="3" t="s">
        <v>169</v>
      </c>
      <c r="CCO29" s="3" t="s">
        <v>168</v>
      </c>
      <c r="CCP29" s="3" t="s">
        <v>169</v>
      </c>
      <c r="CCQ29" s="3" t="s">
        <v>168</v>
      </c>
      <c r="CCR29" s="3" t="s">
        <v>169</v>
      </c>
      <c r="CCS29" s="3" t="s">
        <v>168</v>
      </c>
      <c r="CCT29" s="3" t="s">
        <v>169</v>
      </c>
      <c r="CCU29" s="3" t="s">
        <v>168</v>
      </c>
      <c r="CCV29" s="3" t="s">
        <v>169</v>
      </c>
      <c r="CCW29" s="3" t="s">
        <v>168</v>
      </c>
      <c r="CCX29" s="3" t="s">
        <v>169</v>
      </c>
      <c r="CCY29" s="3" t="s">
        <v>168</v>
      </c>
      <c r="CCZ29" s="3" t="s">
        <v>169</v>
      </c>
      <c r="CDA29" s="3" t="s">
        <v>168</v>
      </c>
      <c r="CDB29" s="3" t="s">
        <v>169</v>
      </c>
      <c r="CDC29" s="3" t="s">
        <v>168</v>
      </c>
      <c r="CDD29" s="3" t="s">
        <v>169</v>
      </c>
      <c r="CDE29" s="3" t="s">
        <v>168</v>
      </c>
      <c r="CDF29" s="3" t="s">
        <v>169</v>
      </c>
      <c r="CDG29" s="3" t="s">
        <v>168</v>
      </c>
      <c r="CDH29" s="3" t="s">
        <v>169</v>
      </c>
      <c r="CDI29" s="3" t="s">
        <v>168</v>
      </c>
      <c r="CDJ29" s="3" t="s">
        <v>169</v>
      </c>
      <c r="CDK29" s="3" t="s">
        <v>168</v>
      </c>
      <c r="CDL29" s="3" t="s">
        <v>169</v>
      </c>
      <c r="CDM29" s="3" t="s">
        <v>168</v>
      </c>
      <c r="CDN29" s="3" t="s">
        <v>169</v>
      </c>
      <c r="CDO29" s="3" t="s">
        <v>168</v>
      </c>
      <c r="CDP29" s="3" t="s">
        <v>169</v>
      </c>
      <c r="CDQ29" s="3" t="s">
        <v>168</v>
      </c>
      <c r="CDR29" s="3" t="s">
        <v>169</v>
      </c>
      <c r="CDS29" s="3" t="s">
        <v>168</v>
      </c>
      <c r="CDT29" s="3" t="s">
        <v>169</v>
      </c>
      <c r="CDU29" s="3" t="s">
        <v>168</v>
      </c>
      <c r="CDV29" s="3" t="s">
        <v>169</v>
      </c>
      <c r="CDW29" s="3" t="s">
        <v>168</v>
      </c>
      <c r="CDX29" s="3" t="s">
        <v>169</v>
      </c>
      <c r="CDY29" s="3" t="s">
        <v>168</v>
      </c>
      <c r="CDZ29" s="3" t="s">
        <v>169</v>
      </c>
      <c r="CEA29" s="3" t="s">
        <v>168</v>
      </c>
      <c r="CEB29" s="3" t="s">
        <v>169</v>
      </c>
      <c r="CEC29" s="3" t="s">
        <v>168</v>
      </c>
      <c r="CED29" s="3" t="s">
        <v>169</v>
      </c>
      <c r="CEE29" s="3" t="s">
        <v>168</v>
      </c>
      <c r="CEF29" s="3" t="s">
        <v>169</v>
      </c>
      <c r="CEG29" s="3" t="s">
        <v>168</v>
      </c>
      <c r="CEH29" s="3" t="s">
        <v>169</v>
      </c>
      <c r="CEI29" s="3" t="s">
        <v>168</v>
      </c>
      <c r="CEJ29" s="3" t="s">
        <v>169</v>
      </c>
      <c r="CEK29" s="3" t="s">
        <v>168</v>
      </c>
      <c r="CEL29" s="3" t="s">
        <v>169</v>
      </c>
      <c r="CEM29" s="3" t="s">
        <v>168</v>
      </c>
      <c r="CEN29" s="3" t="s">
        <v>169</v>
      </c>
      <c r="CEO29" s="3" t="s">
        <v>168</v>
      </c>
      <c r="CEP29" s="3" t="s">
        <v>169</v>
      </c>
      <c r="CEQ29" s="3" t="s">
        <v>168</v>
      </c>
      <c r="CER29" s="3" t="s">
        <v>169</v>
      </c>
      <c r="CES29" s="3" t="s">
        <v>168</v>
      </c>
      <c r="CET29" s="3" t="s">
        <v>169</v>
      </c>
      <c r="CEU29" s="3" t="s">
        <v>168</v>
      </c>
      <c r="CEV29" s="3" t="s">
        <v>169</v>
      </c>
      <c r="CEW29" s="3" t="s">
        <v>168</v>
      </c>
      <c r="CEX29" s="3" t="s">
        <v>169</v>
      </c>
      <c r="CEY29" s="3" t="s">
        <v>168</v>
      </c>
      <c r="CEZ29" s="3" t="s">
        <v>169</v>
      </c>
      <c r="CFA29" s="3" t="s">
        <v>168</v>
      </c>
      <c r="CFB29" s="3" t="s">
        <v>169</v>
      </c>
      <c r="CFC29" s="3" t="s">
        <v>168</v>
      </c>
      <c r="CFD29" s="3" t="s">
        <v>169</v>
      </c>
      <c r="CFE29" s="3" t="s">
        <v>168</v>
      </c>
      <c r="CFF29" s="3" t="s">
        <v>169</v>
      </c>
      <c r="CFG29" s="3" t="s">
        <v>168</v>
      </c>
      <c r="CFH29" s="3" t="s">
        <v>169</v>
      </c>
      <c r="CFI29" s="3" t="s">
        <v>168</v>
      </c>
      <c r="CFJ29" s="3" t="s">
        <v>169</v>
      </c>
      <c r="CFK29" s="3" t="s">
        <v>168</v>
      </c>
      <c r="CFL29" s="3" t="s">
        <v>169</v>
      </c>
      <c r="CFM29" s="3" t="s">
        <v>168</v>
      </c>
      <c r="CFN29" s="3" t="s">
        <v>169</v>
      </c>
      <c r="CFO29" s="3" t="s">
        <v>168</v>
      </c>
      <c r="CFP29" s="3" t="s">
        <v>169</v>
      </c>
      <c r="CFQ29" s="3" t="s">
        <v>168</v>
      </c>
      <c r="CFR29" s="3" t="s">
        <v>169</v>
      </c>
      <c r="CFS29" s="3" t="s">
        <v>168</v>
      </c>
      <c r="CFT29" s="3" t="s">
        <v>169</v>
      </c>
      <c r="CFU29" s="3" t="s">
        <v>168</v>
      </c>
      <c r="CFV29" s="3" t="s">
        <v>169</v>
      </c>
      <c r="CFW29" s="3" t="s">
        <v>168</v>
      </c>
      <c r="CFX29" s="3" t="s">
        <v>169</v>
      </c>
      <c r="CFY29" s="3" t="s">
        <v>168</v>
      </c>
      <c r="CFZ29" s="3" t="s">
        <v>169</v>
      </c>
      <c r="CGA29" s="3" t="s">
        <v>168</v>
      </c>
      <c r="CGB29" s="3" t="s">
        <v>169</v>
      </c>
      <c r="CGC29" s="3" t="s">
        <v>168</v>
      </c>
      <c r="CGD29" s="3" t="s">
        <v>169</v>
      </c>
      <c r="CGE29" s="3" t="s">
        <v>168</v>
      </c>
      <c r="CGF29" s="3" t="s">
        <v>169</v>
      </c>
      <c r="CGG29" s="3" t="s">
        <v>168</v>
      </c>
      <c r="CGH29" s="3" t="s">
        <v>169</v>
      </c>
      <c r="CGI29" s="3" t="s">
        <v>168</v>
      </c>
      <c r="CGJ29" s="3" t="s">
        <v>169</v>
      </c>
      <c r="CGK29" s="3" t="s">
        <v>168</v>
      </c>
      <c r="CGL29" s="3" t="s">
        <v>169</v>
      </c>
      <c r="CGM29" s="3" t="s">
        <v>168</v>
      </c>
      <c r="CGN29" s="3" t="s">
        <v>169</v>
      </c>
      <c r="CGO29" s="3" t="s">
        <v>168</v>
      </c>
      <c r="CGP29" s="3" t="s">
        <v>169</v>
      </c>
      <c r="CGQ29" s="3" t="s">
        <v>168</v>
      </c>
      <c r="CGR29" s="3" t="s">
        <v>169</v>
      </c>
      <c r="CGS29" s="3" t="s">
        <v>168</v>
      </c>
      <c r="CGT29" s="3" t="s">
        <v>169</v>
      </c>
      <c r="CGU29" s="3" t="s">
        <v>168</v>
      </c>
      <c r="CGV29" s="3" t="s">
        <v>169</v>
      </c>
      <c r="CGW29" s="3" t="s">
        <v>168</v>
      </c>
      <c r="CGX29" s="3" t="s">
        <v>169</v>
      </c>
      <c r="CGY29" s="3" t="s">
        <v>168</v>
      </c>
      <c r="CGZ29" s="3" t="s">
        <v>169</v>
      </c>
      <c r="CHA29" s="3" t="s">
        <v>168</v>
      </c>
      <c r="CHB29" s="3" t="s">
        <v>169</v>
      </c>
      <c r="CHC29" s="3" t="s">
        <v>168</v>
      </c>
      <c r="CHD29" s="3" t="s">
        <v>169</v>
      </c>
      <c r="CHE29" s="3" t="s">
        <v>168</v>
      </c>
      <c r="CHF29" s="3" t="s">
        <v>169</v>
      </c>
      <c r="CHG29" s="3" t="s">
        <v>168</v>
      </c>
      <c r="CHH29" s="3" t="s">
        <v>169</v>
      </c>
      <c r="CHI29" s="3" t="s">
        <v>168</v>
      </c>
      <c r="CHJ29" s="3" t="s">
        <v>169</v>
      </c>
      <c r="CHK29" s="3" t="s">
        <v>168</v>
      </c>
      <c r="CHL29" s="3" t="s">
        <v>169</v>
      </c>
      <c r="CHM29" s="3" t="s">
        <v>168</v>
      </c>
      <c r="CHN29" s="3" t="s">
        <v>169</v>
      </c>
      <c r="CHO29" s="3" t="s">
        <v>168</v>
      </c>
      <c r="CHP29" s="3" t="s">
        <v>169</v>
      </c>
      <c r="CHQ29" s="3" t="s">
        <v>168</v>
      </c>
      <c r="CHR29" s="3" t="s">
        <v>169</v>
      </c>
      <c r="CHS29" s="3" t="s">
        <v>168</v>
      </c>
      <c r="CHT29" s="3" t="s">
        <v>169</v>
      </c>
      <c r="CHU29" s="3" t="s">
        <v>168</v>
      </c>
      <c r="CHV29" s="3" t="s">
        <v>169</v>
      </c>
      <c r="CHW29" s="3" t="s">
        <v>168</v>
      </c>
      <c r="CHX29" s="3" t="s">
        <v>169</v>
      </c>
      <c r="CHY29" s="3" t="s">
        <v>168</v>
      </c>
      <c r="CHZ29" s="3" t="s">
        <v>169</v>
      </c>
      <c r="CIA29" s="3" t="s">
        <v>168</v>
      </c>
      <c r="CIB29" s="3" t="s">
        <v>169</v>
      </c>
      <c r="CIC29" s="3" t="s">
        <v>168</v>
      </c>
      <c r="CID29" s="3" t="s">
        <v>169</v>
      </c>
      <c r="CIE29" s="3" t="s">
        <v>168</v>
      </c>
      <c r="CIF29" s="3" t="s">
        <v>169</v>
      </c>
      <c r="CIG29" s="3" t="s">
        <v>168</v>
      </c>
      <c r="CIH29" s="3" t="s">
        <v>169</v>
      </c>
      <c r="CII29" s="3" t="s">
        <v>168</v>
      </c>
      <c r="CIJ29" s="3" t="s">
        <v>169</v>
      </c>
      <c r="CIK29" s="3" t="s">
        <v>168</v>
      </c>
      <c r="CIL29" s="3" t="s">
        <v>169</v>
      </c>
      <c r="CIM29" s="3" t="s">
        <v>168</v>
      </c>
      <c r="CIN29" s="3" t="s">
        <v>169</v>
      </c>
      <c r="CIO29" s="3" t="s">
        <v>168</v>
      </c>
      <c r="CIP29" s="3" t="s">
        <v>169</v>
      </c>
      <c r="CIQ29" s="3" t="s">
        <v>168</v>
      </c>
      <c r="CIR29" s="3" t="s">
        <v>169</v>
      </c>
      <c r="CIS29" s="3" t="s">
        <v>168</v>
      </c>
      <c r="CIT29" s="3" t="s">
        <v>169</v>
      </c>
      <c r="CIU29" s="3" t="s">
        <v>168</v>
      </c>
      <c r="CIV29" s="3" t="s">
        <v>169</v>
      </c>
      <c r="CIW29" s="3" t="s">
        <v>168</v>
      </c>
      <c r="CIX29" s="3" t="s">
        <v>169</v>
      </c>
      <c r="CIY29" s="3" t="s">
        <v>168</v>
      </c>
      <c r="CIZ29" s="3" t="s">
        <v>169</v>
      </c>
      <c r="CJA29" s="3" t="s">
        <v>168</v>
      </c>
      <c r="CJB29" s="3" t="s">
        <v>169</v>
      </c>
      <c r="CJC29" s="3" t="s">
        <v>168</v>
      </c>
      <c r="CJD29" s="3" t="s">
        <v>169</v>
      </c>
      <c r="CJE29" s="3" t="s">
        <v>168</v>
      </c>
      <c r="CJF29" s="3" t="s">
        <v>169</v>
      </c>
      <c r="CJG29" s="3" t="s">
        <v>168</v>
      </c>
      <c r="CJH29" s="3" t="s">
        <v>169</v>
      </c>
      <c r="CJI29" s="3" t="s">
        <v>168</v>
      </c>
      <c r="CJJ29" s="3" t="s">
        <v>169</v>
      </c>
      <c r="CJK29" s="3" t="s">
        <v>168</v>
      </c>
      <c r="CJL29" s="3" t="s">
        <v>169</v>
      </c>
      <c r="CJM29" s="3" t="s">
        <v>168</v>
      </c>
      <c r="CJN29" s="3" t="s">
        <v>169</v>
      </c>
      <c r="CJO29" s="3" t="s">
        <v>168</v>
      </c>
      <c r="CJP29" s="3" t="s">
        <v>169</v>
      </c>
      <c r="CJQ29" s="3" t="s">
        <v>168</v>
      </c>
      <c r="CJR29" s="3" t="s">
        <v>169</v>
      </c>
      <c r="CJS29" s="3" t="s">
        <v>168</v>
      </c>
      <c r="CJT29" s="3" t="s">
        <v>169</v>
      </c>
      <c r="CJU29" s="3" t="s">
        <v>168</v>
      </c>
      <c r="CJV29" s="3" t="s">
        <v>169</v>
      </c>
      <c r="CJW29" s="3" t="s">
        <v>168</v>
      </c>
      <c r="CJX29" s="3" t="s">
        <v>169</v>
      </c>
      <c r="CJY29" s="3" t="s">
        <v>168</v>
      </c>
      <c r="CJZ29" s="3" t="s">
        <v>169</v>
      </c>
      <c r="CKA29" s="3" t="s">
        <v>168</v>
      </c>
      <c r="CKB29" s="3" t="s">
        <v>169</v>
      </c>
      <c r="CKC29" s="3" t="s">
        <v>168</v>
      </c>
      <c r="CKD29" s="3" t="s">
        <v>169</v>
      </c>
      <c r="CKE29" s="3" t="s">
        <v>168</v>
      </c>
      <c r="CKF29" s="3" t="s">
        <v>169</v>
      </c>
      <c r="CKG29" s="3" t="s">
        <v>168</v>
      </c>
      <c r="CKH29" s="3" t="s">
        <v>169</v>
      </c>
      <c r="CKI29" s="3" t="s">
        <v>168</v>
      </c>
      <c r="CKJ29" s="3" t="s">
        <v>169</v>
      </c>
      <c r="CKK29" s="3" t="s">
        <v>168</v>
      </c>
      <c r="CKL29" s="3" t="s">
        <v>169</v>
      </c>
      <c r="CKM29" s="3" t="s">
        <v>168</v>
      </c>
      <c r="CKN29" s="3" t="s">
        <v>169</v>
      </c>
      <c r="CKO29" s="3" t="s">
        <v>168</v>
      </c>
      <c r="CKP29" s="3" t="s">
        <v>169</v>
      </c>
      <c r="CKQ29" s="3" t="s">
        <v>168</v>
      </c>
      <c r="CKR29" s="3" t="s">
        <v>169</v>
      </c>
      <c r="CKS29" s="3" t="s">
        <v>168</v>
      </c>
      <c r="CKT29" s="3" t="s">
        <v>169</v>
      </c>
      <c r="CKU29" s="3" t="s">
        <v>168</v>
      </c>
      <c r="CKV29" s="3" t="s">
        <v>169</v>
      </c>
      <c r="CKW29" s="3" t="s">
        <v>168</v>
      </c>
      <c r="CKX29" s="3" t="s">
        <v>169</v>
      </c>
      <c r="CKY29" s="3" t="s">
        <v>168</v>
      </c>
      <c r="CKZ29" s="3" t="s">
        <v>169</v>
      </c>
      <c r="CLA29" s="3" t="s">
        <v>168</v>
      </c>
      <c r="CLB29" s="3" t="s">
        <v>169</v>
      </c>
      <c r="CLC29" s="3" t="s">
        <v>168</v>
      </c>
      <c r="CLD29" s="3" t="s">
        <v>169</v>
      </c>
      <c r="CLE29" s="3" t="s">
        <v>168</v>
      </c>
      <c r="CLF29" s="3" t="s">
        <v>169</v>
      </c>
      <c r="CLG29" s="3" t="s">
        <v>168</v>
      </c>
      <c r="CLH29" s="3" t="s">
        <v>169</v>
      </c>
      <c r="CLI29" s="3" t="s">
        <v>168</v>
      </c>
      <c r="CLJ29" s="3" t="s">
        <v>169</v>
      </c>
      <c r="CLK29" s="3" t="s">
        <v>168</v>
      </c>
      <c r="CLL29" s="3" t="s">
        <v>169</v>
      </c>
      <c r="CLM29" s="3" t="s">
        <v>168</v>
      </c>
      <c r="CLN29" s="3" t="s">
        <v>169</v>
      </c>
      <c r="CLO29" s="3" t="s">
        <v>168</v>
      </c>
      <c r="CLP29" s="3" t="s">
        <v>169</v>
      </c>
      <c r="CLQ29" s="3" t="s">
        <v>168</v>
      </c>
      <c r="CLR29" s="3" t="s">
        <v>169</v>
      </c>
      <c r="CLS29" s="3" t="s">
        <v>168</v>
      </c>
      <c r="CLT29" s="3" t="s">
        <v>169</v>
      </c>
      <c r="CLU29" s="3" t="s">
        <v>168</v>
      </c>
      <c r="CLV29" s="3" t="s">
        <v>169</v>
      </c>
      <c r="CLW29" s="3" t="s">
        <v>168</v>
      </c>
      <c r="CLX29" s="3" t="s">
        <v>169</v>
      </c>
      <c r="CLY29" s="3" t="s">
        <v>168</v>
      </c>
      <c r="CLZ29" s="3" t="s">
        <v>169</v>
      </c>
      <c r="CMA29" s="3" t="s">
        <v>168</v>
      </c>
      <c r="CMB29" s="3" t="s">
        <v>169</v>
      </c>
      <c r="CMC29" s="3" t="s">
        <v>168</v>
      </c>
      <c r="CMD29" s="3" t="s">
        <v>169</v>
      </c>
      <c r="CME29" s="3" t="s">
        <v>168</v>
      </c>
      <c r="CMF29" s="3" t="s">
        <v>169</v>
      </c>
      <c r="CMG29" s="3" t="s">
        <v>168</v>
      </c>
      <c r="CMH29" s="3" t="s">
        <v>169</v>
      </c>
      <c r="CMI29" s="3" t="s">
        <v>168</v>
      </c>
      <c r="CMJ29" s="3" t="s">
        <v>169</v>
      </c>
      <c r="CMK29" s="3" t="s">
        <v>168</v>
      </c>
      <c r="CML29" s="3" t="s">
        <v>169</v>
      </c>
      <c r="CMM29" s="3" t="s">
        <v>168</v>
      </c>
      <c r="CMN29" s="3" t="s">
        <v>169</v>
      </c>
      <c r="CMO29" s="3" t="s">
        <v>168</v>
      </c>
      <c r="CMP29" s="3" t="s">
        <v>169</v>
      </c>
      <c r="CMQ29" s="3" t="s">
        <v>168</v>
      </c>
      <c r="CMR29" s="3" t="s">
        <v>169</v>
      </c>
      <c r="CMS29" s="3" t="s">
        <v>168</v>
      </c>
      <c r="CMT29" s="3" t="s">
        <v>169</v>
      </c>
      <c r="CMU29" s="3" t="s">
        <v>168</v>
      </c>
      <c r="CMV29" s="3" t="s">
        <v>169</v>
      </c>
      <c r="CMW29" s="3" t="s">
        <v>168</v>
      </c>
      <c r="CMX29" s="3" t="s">
        <v>169</v>
      </c>
      <c r="CMY29" s="3" t="s">
        <v>168</v>
      </c>
      <c r="CMZ29" s="3" t="s">
        <v>169</v>
      </c>
      <c r="CNA29" s="3" t="s">
        <v>168</v>
      </c>
      <c r="CNB29" s="3" t="s">
        <v>169</v>
      </c>
      <c r="CNC29" s="3" t="s">
        <v>168</v>
      </c>
      <c r="CND29" s="3" t="s">
        <v>169</v>
      </c>
      <c r="CNE29" s="3" t="s">
        <v>168</v>
      </c>
      <c r="CNF29" s="3" t="s">
        <v>169</v>
      </c>
      <c r="CNG29" s="3" t="s">
        <v>168</v>
      </c>
      <c r="CNH29" s="3" t="s">
        <v>169</v>
      </c>
      <c r="CNI29" s="3" t="s">
        <v>168</v>
      </c>
      <c r="CNJ29" s="3" t="s">
        <v>169</v>
      </c>
      <c r="CNK29" s="3" t="s">
        <v>168</v>
      </c>
      <c r="CNL29" s="3" t="s">
        <v>169</v>
      </c>
      <c r="CNM29" s="3" t="s">
        <v>168</v>
      </c>
      <c r="CNN29" s="3" t="s">
        <v>169</v>
      </c>
      <c r="CNO29" s="3" t="s">
        <v>168</v>
      </c>
      <c r="CNP29" s="3" t="s">
        <v>169</v>
      </c>
      <c r="CNQ29" s="3" t="s">
        <v>168</v>
      </c>
      <c r="CNR29" s="3" t="s">
        <v>169</v>
      </c>
      <c r="CNS29" s="3" t="s">
        <v>168</v>
      </c>
      <c r="CNT29" s="3" t="s">
        <v>169</v>
      </c>
      <c r="CNU29" s="3" t="s">
        <v>168</v>
      </c>
      <c r="CNV29" s="3" t="s">
        <v>169</v>
      </c>
      <c r="CNW29" s="3" t="s">
        <v>168</v>
      </c>
      <c r="CNX29" s="3" t="s">
        <v>169</v>
      </c>
      <c r="CNY29" s="3" t="s">
        <v>168</v>
      </c>
      <c r="CNZ29" s="3" t="s">
        <v>169</v>
      </c>
      <c r="COA29" s="3" t="s">
        <v>168</v>
      </c>
      <c r="COB29" s="3" t="s">
        <v>169</v>
      </c>
      <c r="COC29" s="3" t="s">
        <v>168</v>
      </c>
      <c r="COD29" s="3" t="s">
        <v>169</v>
      </c>
      <c r="COE29" s="3" t="s">
        <v>168</v>
      </c>
      <c r="COF29" s="3" t="s">
        <v>169</v>
      </c>
      <c r="COG29" s="3" t="s">
        <v>168</v>
      </c>
      <c r="COH29" s="3" t="s">
        <v>169</v>
      </c>
      <c r="COI29" s="3" t="s">
        <v>168</v>
      </c>
      <c r="COJ29" s="3" t="s">
        <v>169</v>
      </c>
      <c r="COK29" s="3" t="s">
        <v>168</v>
      </c>
      <c r="COL29" s="3" t="s">
        <v>169</v>
      </c>
      <c r="COM29" s="3" t="s">
        <v>168</v>
      </c>
      <c r="CON29" s="3" t="s">
        <v>169</v>
      </c>
      <c r="COO29" s="3" t="s">
        <v>168</v>
      </c>
      <c r="COP29" s="3" t="s">
        <v>169</v>
      </c>
      <c r="COQ29" s="3" t="s">
        <v>168</v>
      </c>
      <c r="COR29" s="3" t="s">
        <v>169</v>
      </c>
      <c r="COS29" s="3" t="s">
        <v>168</v>
      </c>
      <c r="COT29" s="3" t="s">
        <v>169</v>
      </c>
      <c r="COU29" s="3" t="s">
        <v>168</v>
      </c>
      <c r="COV29" s="3" t="s">
        <v>169</v>
      </c>
      <c r="COW29" s="3" t="s">
        <v>168</v>
      </c>
      <c r="COX29" s="3" t="s">
        <v>169</v>
      </c>
      <c r="COY29" s="3" t="s">
        <v>168</v>
      </c>
      <c r="COZ29" s="3" t="s">
        <v>169</v>
      </c>
      <c r="CPA29" s="3" t="s">
        <v>168</v>
      </c>
      <c r="CPB29" s="3" t="s">
        <v>169</v>
      </c>
      <c r="CPC29" s="3" t="s">
        <v>168</v>
      </c>
      <c r="CPD29" s="3" t="s">
        <v>169</v>
      </c>
      <c r="CPE29" s="3" t="s">
        <v>168</v>
      </c>
      <c r="CPF29" s="3" t="s">
        <v>169</v>
      </c>
      <c r="CPG29" s="3" t="s">
        <v>168</v>
      </c>
      <c r="CPH29" s="3" t="s">
        <v>169</v>
      </c>
      <c r="CPI29" s="3" t="s">
        <v>168</v>
      </c>
      <c r="CPJ29" s="3" t="s">
        <v>169</v>
      </c>
      <c r="CPK29" s="3" t="s">
        <v>168</v>
      </c>
      <c r="CPL29" s="3" t="s">
        <v>169</v>
      </c>
      <c r="CPM29" s="3" t="s">
        <v>168</v>
      </c>
      <c r="CPN29" s="3" t="s">
        <v>169</v>
      </c>
      <c r="CPO29" s="3" t="s">
        <v>168</v>
      </c>
      <c r="CPP29" s="3" t="s">
        <v>169</v>
      </c>
      <c r="CPQ29" s="3" t="s">
        <v>168</v>
      </c>
      <c r="CPR29" s="3" t="s">
        <v>169</v>
      </c>
      <c r="CPS29" s="3" t="s">
        <v>168</v>
      </c>
      <c r="CPT29" s="3" t="s">
        <v>169</v>
      </c>
      <c r="CPU29" s="3" t="s">
        <v>168</v>
      </c>
      <c r="CPV29" s="3" t="s">
        <v>169</v>
      </c>
      <c r="CPW29" s="3" t="s">
        <v>168</v>
      </c>
      <c r="CPX29" s="3" t="s">
        <v>169</v>
      </c>
      <c r="CPY29" s="3" t="s">
        <v>168</v>
      </c>
      <c r="CPZ29" s="3" t="s">
        <v>169</v>
      </c>
      <c r="CQA29" s="3" t="s">
        <v>168</v>
      </c>
      <c r="CQB29" s="3" t="s">
        <v>169</v>
      </c>
      <c r="CQC29" s="3" t="s">
        <v>168</v>
      </c>
      <c r="CQD29" s="3" t="s">
        <v>169</v>
      </c>
      <c r="CQE29" s="3" t="s">
        <v>168</v>
      </c>
      <c r="CQF29" s="3" t="s">
        <v>169</v>
      </c>
      <c r="CQG29" s="3" t="s">
        <v>168</v>
      </c>
      <c r="CQH29" s="3" t="s">
        <v>169</v>
      </c>
      <c r="CQI29" s="3" t="s">
        <v>168</v>
      </c>
      <c r="CQJ29" s="3" t="s">
        <v>169</v>
      </c>
      <c r="CQK29" s="3" t="s">
        <v>168</v>
      </c>
      <c r="CQL29" s="3" t="s">
        <v>169</v>
      </c>
      <c r="CQM29" s="3" t="s">
        <v>168</v>
      </c>
      <c r="CQN29" s="3" t="s">
        <v>169</v>
      </c>
      <c r="CQO29" s="3" t="s">
        <v>168</v>
      </c>
      <c r="CQP29" s="3" t="s">
        <v>169</v>
      </c>
      <c r="CQQ29" s="3" t="s">
        <v>168</v>
      </c>
      <c r="CQR29" s="3" t="s">
        <v>169</v>
      </c>
      <c r="CQS29" s="3" t="s">
        <v>168</v>
      </c>
      <c r="CQT29" s="3" t="s">
        <v>169</v>
      </c>
      <c r="CQU29" s="3" t="s">
        <v>168</v>
      </c>
      <c r="CQV29" s="3" t="s">
        <v>169</v>
      </c>
      <c r="CQW29" s="3" t="s">
        <v>168</v>
      </c>
      <c r="CQX29" s="3" t="s">
        <v>169</v>
      </c>
      <c r="CQY29" s="3" t="s">
        <v>168</v>
      </c>
      <c r="CQZ29" s="3" t="s">
        <v>169</v>
      </c>
      <c r="CRA29" s="3" t="s">
        <v>168</v>
      </c>
      <c r="CRB29" s="3" t="s">
        <v>169</v>
      </c>
      <c r="CRC29" s="3" t="s">
        <v>168</v>
      </c>
      <c r="CRD29" s="3" t="s">
        <v>169</v>
      </c>
      <c r="CRE29" s="3" t="s">
        <v>168</v>
      </c>
      <c r="CRF29" s="3" t="s">
        <v>169</v>
      </c>
      <c r="CRG29" s="3" t="s">
        <v>168</v>
      </c>
      <c r="CRH29" s="3" t="s">
        <v>169</v>
      </c>
      <c r="CRI29" s="3" t="s">
        <v>168</v>
      </c>
      <c r="CRJ29" s="3" t="s">
        <v>169</v>
      </c>
      <c r="CRK29" s="3" t="s">
        <v>168</v>
      </c>
      <c r="CRL29" s="3" t="s">
        <v>169</v>
      </c>
      <c r="CRM29" s="3" t="s">
        <v>168</v>
      </c>
      <c r="CRN29" s="3" t="s">
        <v>169</v>
      </c>
      <c r="CRO29" s="3" t="s">
        <v>168</v>
      </c>
      <c r="CRP29" s="3" t="s">
        <v>169</v>
      </c>
      <c r="CRQ29" s="3" t="s">
        <v>168</v>
      </c>
      <c r="CRR29" s="3" t="s">
        <v>169</v>
      </c>
      <c r="CRS29" s="3" t="s">
        <v>168</v>
      </c>
      <c r="CRT29" s="3" t="s">
        <v>169</v>
      </c>
      <c r="CRU29" s="3" t="s">
        <v>168</v>
      </c>
      <c r="CRV29" s="3" t="s">
        <v>169</v>
      </c>
      <c r="CRW29" s="3" t="s">
        <v>168</v>
      </c>
      <c r="CRX29" s="3" t="s">
        <v>169</v>
      </c>
      <c r="CRY29" s="3" t="s">
        <v>168</v>
      </c>
      <c r="CRZ29" s="3" t="s">
        <v>169</v>
      </c>
      <c r="CSA29" s="3" t="s">
        <v>168</v>
      </c>
      <c r="CSB29" s="3" t="s">
        <v>169</v>
      </c>
      <c r="CSC29" s="3" t="s">
        <v>168</v>
      </c>
      <c r="CSD29" s="3" t="s">
        <v>169</v>
      </c>
      <c r="CSE29" s="3" t="s">
        <v>168</v>
      </c>
      <c r="CSF29" s="3" t="s">
        <v>169</v>
      </c>
      <c r="CSG29" s="3" t="s">
        <v>168</v>
      </c>
      <c r="CSH29" s="3" t="s">
        <v>169</v>
      </c>
      <c r="CSI29" s="3" t="s">
        <v>168</v>
      </c>
      <c r="CSJ29" s="3" t="s">
        <v>169</v>
      </c>
      <c r="CSK29" s="3" t="s">
        <v>168</v>
      </c>
      <c r="CSL29" s="3" t="s">
        <v>169</v>
      </c>
      <c r="CSM29" s="3" t="s">
        <v>168</v>
      </c>
      <c r="CSN29" s="3" t="s">
        <v>169</v>
      </c>
      <c r="CSO29" s="3" t="s">
        <v>168</v>
      </c>
      <c r="CSP29" s="3" t="s">
        <v>169</v>
      </c>
      <c r="CSQ29" s="3" t="s">
        <v>168</v>
      </c>
      <c r="CSR29" s="3" t="s">
        <v>169</v>
      </c>
      <c r="CSS29" s="3" t="s">
        <v>168</v>
      </c>
      <c r="CST29" s="3" t="s">
        <v>169</v>
      </c>
      <c r="CSU29" s="3" t="s">
        <v>168</v>
      </c>
      <c r="CSV29" s="3" t="s">
        <v>169</v>
      </c>
      <c r="CSW29" s="3" t="s">
        <v>168</v>
      </c>
      <c r="CSX29" s="3" t="s">
        <v>169</v>
      </c>
      <c r="CSY29" s="3" t="s">
        <v>168</v>
      </c>
      <c r="CSZ29" s="3" t="s">
        <v>169</v>
      </c>
      <c r="CTA29" s="3" t="s">
        <v>168</v>
      </c>
      <c r="CTB29" s="3" t="s">
        <v>169</v>
      </c>
      <c r="CTC29" s="3" t="s">
        <v>168</v>
      </c>
      <c r="CTD29" s="3" t="s">
        <v>169</v>
      </c>
      <c r="CTE29" s="3" t="s">
        <v>168</v>
      </c>
      <c r="CTF29" s="3" t="s">
        <v>169</v>
      </c>
      <c r="CTG29" s="3" t="s">
        <v>168</v>
      </c>
      <c r="CTH29" s="3" t="s">
        <v>169</v>
      </c>
      <c r="CTI29" s="3" t="s">
        <v>168</v>
      </c>
      <c r="CTJ29" s="3" t="s">
        <v>169</v>
      </c>
      <c r="CTK29" s="3" t="s">
        <v>168</v>
      </c>
      <c r="CTL29" s="3" t="s">
        <v>169</v>
      </c>
      <c r="CTM29" s="3" t="s">
        <v>168</v>
      </c>
      <c r="CTN29" s="3" t="s">
        <v>169</v>
      </c>
      <c r="CTO29" s="3" t="s">
        <v>168</v>
      </c>
      <c r="CTP29" s="3" t="s">
        <v>169</v>
      </c>
      <c r="CTQ29" s="3" t="s">
        <v>168</v>
      </c>
      <c r="CTR29" s="3" t="s">
        <v>169</v>
      </c>
      <c r="CTS29" s="3" t="s">
        <v>168</v>
      </c>
      <c r="CTT29" s="3" t="s">
        <v>169</v>
      </c>
      <c r="CTU29" s="3" t="s">
        <v>168</v>
      </c>
      <c r="CTV29" s="3" t="s">
        <v>169</v>
      </c>
      <c r="CTW29" s="3" t="s">
        <v>168</v>
      </c>
      <c r="CTX29" s="3" t="s">
        <v>169</v>
      </c>
      <c r="CTY29" s="3" t="s">
        <v>168</v>
      </c>
      <c r="CTZ29" s="3" t="s">
        <v>169</v>
      </c>
      <c r="CUA29" s="3" t="s">
        <v>168</v>
      </c>
      <c r="CUB29" s="3" t="s">
        <v>169</v>
      </c>
      <c r="CUC29" s="3" t="s">
        <v>168</v>
      </c>
      <c r="CUD29" s="3" t="s">
        <v>169</v>
      </c>
      <c r="CUE29" s="3" t="s">
        <v>168</v>
      </c>
      <c r="CUF29" s="3" t="s">
        <v>169</v>
      </c>
      <c r="CUG29" s="3" t="s">
        <v>168</v>
      </c>
      <c r="CUH29" s="3" t="s">
        <v>169</v>
      </c>
      <c r="CUI29" s="3" t="s">
        <v>168</v>
      </c>
      <c r="CUJ29" s="3" t="s">
        <v>169</v>
      </c>
      <c r="CUK29" s="3" t="s">
        <v>168</v>
      </c>
      <c r="CUL29" s="3" t="s">
        <v>169</v>
      </c>
      <c r="CUM29" s="3" t="s">
        <v>168</v>
      </c>
      <c r="CUN29" s="3" t="s">
        <v>169</v>
      </c>
      <c r="CUO29" s="3" t="s">
        <v>168</v>
      </c>
      <c r="CUP29" s="3" t="s">
        <v>169</v>
      </c>
      <c r="CUQ29" s="3" t="s">
        <v>168</v>
      </c>
      <c r="CUR29" s="3" t="s">
        <v>169</v>
      </c>
      <c r="CUS29" s="3" t="s">
        <v>168</v>
      </c>
      <c r="CUT29" s="3" t="s">
        <v>169</v>
      </c>
      <c r="CUU29" s="3" t="s">
        <v>168</v>
      </c>
      <c r="CUV29" s="3" t="s">
        <v>169</v>
      </c>
      <c r="CUW29" s="3" t="s">
        <v>168</v>
      </c>
      <c r="CUX29" s="3" t="s">
        <v>169</v>
      </c>
      <c r="CUY29" s="3" t="s">
        <v>168</v>
      </c>
      <c r="CUZ29" s="3" t="s">
        <v>169</v>
      </c>
      <c r="CVA29" s="3" t="s">
        <v>168</v>
      </c>
      <c r="CVB29" s="3" t="s">
        <v>169</v>
      </c>
      <c r="CVC29" s="3" t="s">
        <v>168</v>
      </c>
      <c r="CVD29" s="3" t="s">
        <v>169</v>
      </c>
      <c r="CVE29" s="3" t="s">
        <v>168</v>
      </c>
      <c r="CVF29" s="3" t="s">
        <v>169</v>
      </c>
      <c r="CVG29" s="3" t="s">
        <v>168</v>
      </c>
      <c r="CVH29" s="3" t="s">
        <v>169</v>
      </c>
      <c r="CVI29" s="3" t="s">
        <v>168</v>
      </c>
      <c r="CVJ29" s="3" t="s">
        <v>169</v>
      </c>
      <c r="CVK29" s="3" t="s">
        <v>168</v>
      </c>
      <c r="CVL29" s="3" t="s">
        <v>169</v>
      </c>
      <c r="CVM29" s="3" t="s">
        <v>168</v>
      </c>
      <c r="CVN29" s="3" t="s">
        <v>169</v>
      </c>
      <c r="CVO29" s="3" t="s">
        <v>168</v>
      </c>
      <c r="CVP29" s="3" t="s">
        <v>169</v>
      </c>
      <c r="CVQ29" s="3" t="s">
        <v>168</v>
      </c>
      <c r="CVR29" s="3" t="s">
        <v>169</v>
      </c>
      <c r="CVS29" s="3" t="s">
        <v>168</v>
      </c>
      <c r="CVT29" s="3" t="s">
        <v>169</v>
      </c>
      <c r="CVU29" s="3" t="s">
        <v>168</v>
      </c>
      <c r="CVV29" s="3" t="s">
        <v>169</v>
      </c>
      <c r="CVW29" s="3" t="s">
        <v>168</v>
      </c>
      <c r="CVX29" s="3" t="s">
        <v>169</v>
      </c>
      <c r="CVY29" s="3" t="s">
        <v>168</v>
      </c>
      <c r="CVZ29" s="3" t="s">
        <v>169</v>
      </c>
      <c r="CWA29" s="3" t="s">
        <v>168</v>
      </c>
      <c r="CWB29" s="3" t="s">
        <v>169</v>
      </c>
      <c r="CWC29" s="3" t="s">
        <v>168</v>
      </c>
      <c r="CWD29" s="3" t="s">
        <v>169</v>
      </c>
      <c r="CWE29" s="3" t="s">
        <v>168</v>
      </c>
      <c r="CWF29" s="3" t="s">
        <v>169</v>
      </c>
      <c r="CWG29" s="3" t="s">
        <v>168</v>
      </c>
      <c r="CWH29" s="3" t="s">
        <v>169</v>
      </c>
      <c r="CWI29" s="3" t="s">
        <v>168</v>
      </c>
      <c r="CWJ29" s="3" t="s">
        <v>169</v>
      </c>
      <c r="CWK29" s="3" t="s">
        <v>168</v>
      </c>
      <c r="CWL29" s="3" t="s">
        <v>169</v>
      </c>
      <c r="CWM29" s="3" t="s">
        <v>168</v>
      </c>
      <c r="CWN29" s="3" t="s">
        <v>169</v>
      </c>
      <c r="CWO29" s="3" t="s">
        <v>168</v>
      </c>
      <c r="CWP29" s="3" t="s">
        <v>169</v>
      </c>
      <c r="CWQ29" s="3" t="s">
        <v>168</v>
      </c>
      <c r="CWR29" s="3" t="s">
        <v>169</v>
      </c>
      <c r="CWS29" s="3" t="s">
        <v>168</v>
      </c>
      <c r="CWT29" s="3" t="s">
        <v>169</v>
      </c>
      <c r="CWU29" s="3" t="s">
        <v>168</v>
      </c>
      <c r="CWV29" s="3" t="s">
        <v>169</v>
      </c>
      <c r="CWW29" s="3" t="s">
        <v>168</v>
      </c>
      <c r="CWX29" s="3" t="s">
        <v>169</v>
      </c>
      <c r="CWY29" s="3" t="s">
        <v>168</v>
      </c>
      <c r="CWZ29" s="3" t="s">
        <v>169</v>
      </c>
      <c r="CXA29" s="3" t="s">
        <v>168</v>
      </c>
      <c r="CXB29" s="3" t="s">
        <v>169</v>
      </c>
      <c r="CXC29" s="3" t="s">
        <v>168</v>
      </c>
      <c r="CXD29" s="3" t="s">
        <v>169</v>
      </c>
      <c r="CXE29" s="3" t="s">
        <v>168</v>
      </c>
      <c r="CXF29" s="3" t="s">
        <v>169</v>
      </c>
      <c r="CXG29" s="3" t="s">
        <v>168</v>
      </c>
      <c r="CXH29" s="3" t="s">
        <v>169</v>
      </c>
      <c r="CXI29" s="3" t="s">
        <v>168</v>
      </c>
      <c r="CXJ29" s="3" t="s">
        <v>169</v>
      </c>
      <c r="CXK29" s="3" t="s">
        <v>168</v>
      </c>
      <c r="CXL29" s="3" t="s">
        <v>169</v>
      </c>
      <c r="CXM29" s="3" t="s">
        <v>168</v>
      </c>
      <c r="CXN29" s="3" t="s">
        <v>169</v>
      </c>
      <c r="CXO29" s="3" t="s">
        <v>168</v>
      </c>
      <c r="CXP29" s="3" t="s">
        <v>169</v>
      </c>
      <c r="CXQ29" s="3" t="s">
        <v>168</v>
      </c>
      <c r="CXR29" s="3" t="s">
        <v>169</v>
      </c>
      <c r="CXS29" s="3" t="s">
        <v>168</v>
      </c>
      <c r="CXT29" s="3" t="s">
        <v>169</v>
      </c>
      <c r="CXU29" s="3" t="s">
        <v>168</v>
      </c>
      <c r="CXV29" s="3" t="s">
        <v>169</v>
      </c>
      <c r="CXW29" s="3" t="s">
        <v>168</v>
      </c>
      <c r="CXX29" s="3" t="s">
        <v>169</v>
      </c>
      <c r="CXY29" s="3" t="s">
        <v>168</v>
      </c>
      <c r="CXZ29" s="3" t="s">
        <v>169</v>
      </c>
      <c r="CYA29" s="3" t="s">
        <v>168</v>
      </c>
      <c r="CYB29" s="3" t="s">
        <v>169</v>
      </c>
      <c r="CYC29" s="3" t="s">
        <v>168</v>
      </c>
      <c r="CYD29" s="3" t="s">
        <v>169</v>
      </c>
      <c r="CYE29" s="3" t="s">
        <v>168</v>
      </c>
      <c r="CYF29" s="3" t="s">
        <v>169</v>
      </c>
      <c r="CYG29" s="3" t="s">
        <v>168</v>
      </c>
      <c r="CYH29" s="3" t="s">
        <v>169</v>
      </c>
      <c r="CYI29" s="3" t="s">
        <v>168</v>
      </c>
      <c r="CYJ29" s="3" t="s">
        <v>169</v>
      </c>
      <c r="CYK29" s="3" t="s">
        <v>168</v>
      </c>
      <c r="CYL29" s="3" t="s">
        <v>169</v>
      </c>
      <c r="CYM29" s="3" t="s">
        <v>168</v>
      </c>
      <c r="CYN29" s="3" t="s">
        <v>169</v>
      </c>
      <c r="CYO29" s="3" t="s">
        <v>168</v>
      </c>
      <c r="CYP29" s="3" t="s">
        <v>169</v>
      </c>
      <c r="CYQ29" s="3" t="s">
        <v>168</v>
      </c>
      <c r="CYR29" s="3" t="s">
        <v>169</v>
      </c>
      <c r="CYS29" s="3" t="s">
        <v>168</v>
      </c>
      <c r="CYT29" s="3" t="s">
        <v>169</v>
      </c>
      <c r="CYU29" s="3" t="s">
        <v>168</v>
      </c>
      <c r="CYV29" s="3" t="s">
        <v>169</v>
      </c>
      <c r="CYW29" s="3" t="s">
        <v>168</v>
      </c>
      <c r="CYX29" s="3" t="s">
        <v>169</v>
      </c>
      <c r="CYY29" s="3" t="s">
        <v>168</v>
      </c>
      <c r="CYZ29" s="3" t="s">
        <v>169</v>
      </c>
      <c r="CZA29" s="3" t="s">
        <v>168</v>
      </c>
      <c r="CZB29" s="3" t="s">
        <v>169</v>
      </c>
      <c r="CZC29" s="3" t="s">
        <v>168</v>
      </c>
      <c r="CZD29" s="3" t="s">
        <v>169</v>
      </c>
      <c r="CZE29" s="3" t="s">
        <v>168</v>
      </c>
      <c r="CZF29" s="3" t="s">
        <v>169</v>
      </c>
      <c r="CZG29" s="3" t="s">
        <v>168</v>
      </c>
      <c r="CZH29" s="3" t="s">
        <v>169</v>
      </c>
      <c r="CZI29" s="3" t="s">
        <v>168</v>
      </c>
      <c r="CZJ29" s="3" t="s">
        <v>169</v>
      </c>
      <c r="CZK29" s="3" t="s">
        <v>168</v>
      </c>
      <c r="CZL29" s="3" t="s">
        <v>169</v>
      </c>
      <c r="CZM29" s="3" t="s">
        <v>168</v>
      </c>
      <c r="CZN29" s="3" t="s">
        <v>169</v>
      </c>
      <c r="CZO29" s="3" t="s">
        <v>168</v>
      </c>
      <c r="CZP29" s="3" t="s">
        <v>169</v>
      </c>
      <c r="CZQ29" s="3" t="s">
        <v>168</v>
      </c>
      <c r="CZR29" s="3" t="s">
        <v>169</v>
      </c>
      <c r="CZS29" s="3" t="s">
        <v>168</v>
      </c>
      <c r="CZT29" s="3" t="s">
        <v>169</v>
      </c>
      <c r="CZU29" s="3" t="s">
        <v>168</v>
      </c>
      <c r="CZV29" s="3" t="s">
        <v>169</v>
      </c>
      <c r="CZW29" s="3" t="s">
        <v>168</v>
      </c>
      <c r="CZX29" s="3" t="s">
        <v>169</v>
      </c>
      <c r="CZY29" s="3" t="s">
        <v>168</v>
      </c>
      <c r="CZZ29" s="3" t="s">
        <v>169</v>
      </c>
      <c r="DAA29" s="3" t="s">
        <v>168</v>
      </c>
      <c r="DAB29" s="3" t="s">
        <v>169</v>
      </c>
      <c r="DAC29" s="3" t="s">
        <v>168</v>
      </c>
      <c r="DAD29" s="3" t="s">
        <v>169</v>
      </c>
      <c r="DAE29" s="3" t="s">
        <v>168</v>
      </c>
      <c r="DAF29" s="3" t="s">
        <v>169</v>
      </c>
      <c r="DAG29" s="3" t="s">
        <v>168</v>
      </c>
      <c r="DAH29" s="3" t="s">
        <v>169</v>
      </c>
      <c r="DAI29" s="3" t="s">
        <v>168</v>
      </c>
      <c r="DAJ29" s="3" t="s">
        <v>169</v>
      </c>
      <c r="DAK29" s="3" t="s">
        <v>168</v>
      </c>
      <c r="DAL29" s="3" t="s">
        <v>169</v>
      </c>
      <c r="DAM29" s="3" t="s">
        <v>168</v>
      </c>
      <c r="DAN29" s="3" t="s">
        <v>169</v>
      </c>
      <c r="DAO29" s="3" t="s">
        <v>168</v>
      </c>
      <c r="DAP29" s="3" t="s">
        <v>169</v>
      </c>
      <c r="DAQ29" s="3" t="s">
        <v>168</v>
      </c>
      <c r="DAR29" s="3" t="s">
        <v>169</v>
      </c>
      <c r="DAS29" s="3" t="s">
        <v>168</v>
      </c>
      <c r="DAT29" s="3" t="s">
        <v>169</v>
      </c>
      <c r="DAU29" s="3" t="s">
        <v>168</v>
      </c>
      <c r="DAV29" s="3" t="s">
        <v>169</v>
      </c>
      <c r="DAW29" s="3" t="s">
        <v>168</v>
      </c>
      <c r="DAX29" s="3" t="s">
        <v>169</v>
      </c>
      <c r="DAY29" s="3" t="s">
        <v>168</v>
      </c>
      <c r="DAZ29" s="3" t="s">
        <v>169</v>
      </c>
      <c r="DBA29" s="3" t="s">
        <v>168</v>
      </c>
      <c r="DBB29" s="3" t="s">
        <v>169</v>
      </c>
      <c r="DBC29" s="3" t="s">
        <v>168</v>
      </c>
      <c r="DBD29" s="3" t="s">
        <v>169</v>
      </c>
      <c r="DBE29" s="3" t="s">
        <v>168</v>
      </c>
      <c r="DBF29" s="3" t="s">
        <v>169</v>
      </c>
      <c r="DBG29" s="3" t="s">
        <v>168</v>
      </c>
      <c r="DBH29" s="3" t="s">
        <v>169</v>
      </c>
      <c r="DBI29" s="3" t="s">
        <v>168</v>
      </c>
      <c r="DBJ29" s="3" t="s">
        <v>169</v>
      </c>
      <c r="DBK29" s="3" t="s">
        <v>168</v>
      </c>
      <c r="DBL29" s="3" t="s">
        <v>169</v>
      </c>
      <c r="DBM29" s="3" t="s">
        <v>168</v>
      </c>
      <c r="DBN29" s="3" t="s">
        <v>169</v>
      </c>
      <c r="DBO29" s="3" t="s">
        <v>168</v>
      </c>
      <c r="DBP29" s="3" t="s">
        <v>169</v>
      </c>
      <c r="DBQ29" s="3" t="s">
        <v>168</v>
      </c>
      <c r="DBR29" s="3" t="s">
        <v>169</v>
      </c>
      <c r="DBS29" s="3" t="s">
        <v>168</v>
      </c>
      <c r="DBT29" s="3" t="s">
        <v>169</v>
      </c>
      <c r="DBU29" s="3" t="s">
        <v>168</v>
      </c>
      <c r="DBV29" s="3" t="s">
        <v>169</v>
      </c>
      <c r="DBW29" s="3" t="s">
        <v>168</v>
      </c>
      <c r="DBX29" s="3" t="s">
        <v>169</v>
      </c>
      <c r="DBY29" s="3" t="s">
        <v>168</v>
      </c>
      <c r="DBZ29" s="3" t="s">
        <v>169</v>
      </c>
      <c r="DCA29" s="3" t="s">
        <v>168</v>
      </c>
      <c r="DCB29" s="3" t="s">
        <v>169</v>
      </c>
      <c r="DCC29" s="3" t="s">
        <v>168</v>
      </c>
      <c r="DCD29" s="3" t="s">
        <v>169</v>
      </c>
      <c r="DCE29" s="3" t="s">
        <v>168</v>
      </c>
      <c r="DCF29" s="3" t="s">
        <v>169</v>
      </c>
      <c r="DCG29" s="3" t="s">
        <v>168</v>
      </c>
      <c r="DCH29" s="3" t="s">
        <v>169</v>
      </c>
      <c r="DCI29" s="3" t="s">
        <v>168</v>
      </c>
      <c r="DCJ29" s="3" t="s">
        <v>169</v>
      </c>
      <c r="DCK29" s="3" t="s">
        <v>168</v>
      </c>
      <c r="DCL29" s="3" t="s">
        <v>169</v>
      </c>
      <c r="DCM29" s="3" t="s">
        <v>168</v>
      </c>
      <c r="DCN29" s="3" t="s">
        <v>169</v>
      </c>
      <c r="DCO29" s="3" t="s">
        <v>168</v>
      </c>
      <c r="DCP29" s="3" t="s">
        <v>169</v>
      </c>
      <c r="DCQ29" s="3" t="s">
        <v>168</v>
      </c>
      <c r="DCR29" s="3" t="s">
        <v>169</v>
      </c>
      <c r="DCS29" s="3" t="s">
        <v>168</v>
      </c>
      <c r="DCT29" s="3" t="s">
        <v>169</v>
      </c>
      <c r="DCU29" s="3" t="s">
        <v>168</v>
      </c>
      <c r="DCV29" s="3" t="s">
        <v>169</v>
      </c>
      <c r="DCW29" s="3" t="s">
        <v>168</v>
      </c>
      <c r="DCX29" s="3" t="s">
        <v>169</v>
      </c>
      <c r="DCY29" s="3" t="s">
        <v>168</v>
      </c>
      <c r="DCZ29" s="3" t="s">
        <v>169</v>
      </c>
      <c r="DDA29" s="3" t="s">
        <v>168</v>
      </c>
      <c r="DDB29" s="3" t="s">
        <v>169</v>
      </c>
      <c r="DDC29" s="3" t="s">
        <v>168</v>
      </c>
      <c r="DDD29" s="3" t="s">
        <v>169</v>
      </c>
      <c r="DDE29" s="3" t="s">
        <v>168</v>
      </c>
      <c r="DDF29" s="3" t="s">
        <v>169</v>
      </c>
      <c r="DDG29" s="3" t="s">
        <v>168</v>
      </c>
      <c r="DDH29" s="3" t="s">
        <v>169</v>
      </c>
      <c r="DDI29" s="3" t="s">
        <v>168</v>
      </c>
      <c r="DDJ29" s="3" t="s">
        <v>169</v>
      </c>
      <c r="DDK29" s="3" t="s">
        <v>168</v>
      </c>
      <c r="DDL29" s="3" t="s">
        <v>169</v>
      </c>
      <c r="DDM29" s="3" t="s">
        <v>168</v>
      </c>
      <c r="DDN29" s="3" t="s">
        <v>169</v>
      </c>
      <c r="DDO29" s="3" t="s">
        <v>168</v>
      </c>
      <c r="DDP29" s="3" t="s">
        <v>169</v>
      </c>
      <c r="DDQ29" s="3" t="s">
        <v>168</v>
      </c>
      <c r="DDR29" s="3" t="s">
        <v>169</v>
      </c>
      <c r="DDS29" s="3" t="s">
        <v>168</v>
      </c>
      <c r="DDT29" s="3" t="s">
        <v>169</v>
      </c>
      <c r="DDU29" s="3" t="s">
        <v>168</v>
      </c>
      <c r="DDV29" s="3" t="s">
        <v>169</v>
      </c>
      <c r="DDW29" s="3" t="s">
        <v>168</v>
      </c>
      <c r="DDX29" s="3" t="s">
        <v>169</v>
      </c>
      <c r="DDY29" s="3" t="s">
        <v>168</v>
      </c>
      <c r="DDZ29" s="3" t="s">
        <v>169</v>
      </c>
      <c r="DEA29" s="3" t="s">
        <v>168</v>
      </c>
      <c r="DEB29" s="3" t="s">
        <v>169</v>
      </c>
      <c r="DEC29" s="3" t="s">
        <v>168</v>
      </c>
      <c r="DED29" s="3" t="s">
        <v>169</v>
      </c>
      <c r="DEE29" s="3" t="s">
        <v>168</v>
      </c>
      <c r="DEF29" s="3" t="s">
        <v>169</v>
      </c>
      <c r="DEG29" s="3" t="s">
        <v>168</v>
      </c>
      <c r="DEH29" s="3" t="s">
        <v>169</v>
      </c>
      <c r="DEI29" s="3" t="s">
        <v>168</v>
      </c>
      <c r="DEJ29" s="3" t="s">
        <v>169</v>
      </c>
      <c r="DEK29" s="3" t="s">
        <v>168</v>
      </c>
      <c r="DEL29" s="3" t="s">
        <v>169</v>
      </c>
      <c r="DEM29" s="3" t="s">
        <v>168</v>
      </c>
      <c r="DEN29" s="3" t="s">
        <v>169</v>
      </c>
      <c r="DEO29" s="3" t="s">
        <v>168</v>
      </c>
      <c r="DEP29" s="3" t="s">
        <v>169</v>
      </c>
      <c r="DEQ29" s="3" t="s">
        <v>168</v>
      </c>
      <c r="DER29" s="3" t="s">
        <v>169</v>
      </c>
      <c r="DES29" s="3" t="s">
        <v>168</v>
      </c>
      <c r="DET29" s="3" t="s">
        <v>169</v>
      </c>
      <c r="DEU29" s="3" t="s">
        <v>168</v>
      </c>
      <c r="DEV29" s="3" t="s">
        <v>169</v>
      </c>
      <c r="DEW29" s="3" t="s">
        <v>168</v>
      </c>
      <c r="DEX29" s="3" t="s">
        <v>169</v>
      </c>
      <c r="DEY29" s="3" t="s">
        <v>168</v>
      </c>
      <c r="DEZ29" s="3" t="s">
        <v>169</v>
      </c>
      <c r="DFA29" s="3" t="s">
        <v>168</v>
      </c>
      <c r="DFB29" s="3" t="s">
        <v>169</v>
      </c>
      <c r="DFC29" s="3" t="s">
        <v>168</v>
      </c>
      <c r="DFD29" s="3" t="s">
        <v>169</v>
      </c>
      <c r="DFE29" s="3" t="s">
        <v>168</v>
      </c>
      <c r="DFF29" s="3" t="s">
        <v>169</v>
      </c>
      <c r="DFG29" s="3" t="s">
        <v>168</v>
      </c>
      <c r="DFH29" s="3" t="s">
        <v>169</v>
      </c>
      <c r="DFI29" s="3" t="s">
        <v>168</v>
      </c>
      <c r="DFJ29" s="3" t="s">
        <v>169</v>
      </c>
      <c r="DFK29" s="3" t="s">
        <v>168</v>
      </c>
      <c r="DFL29" s="3" t="s">
        <v>169</v>
      </c>
      <c r="DFM29" s="3" t="s">
        <v>168</v>
      </c>
      <c r="DFN29" s="3" t="s">
        <v>169</v>
      </c>
      <c r="DFO29" s="3" t="s">
        <v>168</v>
      </c>
      <c r="DFP29" s="3" t="s">
        <v>169</v>
      </c>
      <c r="DFQ29" s="3" t="s">
        <v>168</v>
      </c>
      <c r="DFR29" s="3" t="s">
        <v>169</v>
      </c>
      <c r="DFS29" s="3" t="s">
        <v>168</v>
      </c>
      <c r="DFT29" s="3" t="s">
        <v>169</v>
      </c>
      <c r="DFU29" s="3" t="s">
        <v>168</v>
      </c>
      <c r="DFV29" s="3" t="s">
        <v>169</v>
      </c>
      <c r="DFW29" s="3" t="s">
        <v>168</v>
      </c>
      <c r="DFX29" s="3" t="s">
        <v>169</v>
      </c>
      <c r="DFY29" s="3" t="s">
        <v>168</v>
      </c>
      <c r="DFZ29" s="3" t="s">
        <v>169</v>
      </c>
      <c r="DGA29" s="3" t="s">
        <v>168</v>
      </c>
      <c r="DGB29" s="3" t="s">
        <v>169</v>
      </c>
      <c r="DGC29" s="3" t="s">
        <v>168</v>
      </c>
      <c r="DGD29" s="3" t="s">
        <v>169</v>
      </c>
      <c r="DGE29" s="3" t="s">
        <v>168</v>
      </c>
      <c r="DGF29" s="3" t="s">
        <v>169</v>
      </c>
      <c r="DGG29" s="3" t="s">
        <v>168</v>
      </c>
      <c r="DGH29" s="3" t="s">
        <v>169</v>
      </c>
      <c r="DGI29" s="3" t="s">
        <v>168</v>
      </c>
      <c r="DGJ29" s="3" t="s">
        <v>169</v>
      </c>
      <c r="DGK29" s="3" t="s">
        <v>168</v>
      </c>
      <c r="DGL29" s="3" t="s">
        <v>169</v>
      </c>
      <c r="DGM29" s="3" t="s">
        <v>168</v>
      </c>
      <c r="DGN29" s="3" t="s">
        <v>169</v>
      </c>
      <c r="DGO29" s="3" t="s">
        <v>168</v>
      </c>
      <c r="DGP29" s="3" t="s">
        <v>169</v>
      </c>
      <c r="DGQ29" s="3" t="s">
        <v>168</v>
      </c>
      <c r="DGR29" s="3" t="s">
        <v>169</v>
      </c>
      <c r="DGS29" s="3" t="s">
        <v>168</v>
      </c>
      <c r="DGT29" s="3" t="s">
        <v>169</v>
      </c>
      <c r="DGU29" s="3" t="s">
        <v>168</v>
      </c>
      <c r="DGV29" s="3" t="s">
        <v>169</v>
      </c>
      <c r="DGW29" s="3" t="s">
        <v>168</v>
      </c>
      <c r="DGX29" s="3" t="s">
        <v>169</v>
      </c>
      <c r="DGY29" s="3" t="s">
        <v>168</v>
      </c>
      <c r="DGZ29" s="3" t="s">
        <v>169</v>
      </c>
      <c r="DHA29" s="3" t="s">
        <v>168</v>
      </c>
      <c r="DHB29" s="3" t="s">
        <v>169</v>
      </c>
      <c r="DHC29" s="3" t="s">
        <v>168</v>
      </c>
      <c r="DHD29" s="3" t="s">
        <v>169</v>
      </c>
      <c r="DHE29" s="3" t="s">
        <v>168</v>
      </c>
      <c r="DHF29" s="3" t="s">
        <v>169</v>
      </c>
      <c r="DHG29" s="3" t="s">
        <v>168</v>
      </c>
      <c r="DHH29" s="3" t="s">
        <v>169</v>
      </c>
      <c r="DHI29" s="3" t="s">
        <v>168</v>
      </c>
      <c r="DHJ29" s="3" t="s">
        <v>169</v>
      </c>
      <c r="DHK29" s="3" t="s">
        <v>168</v>
      </c>
      <c r="DHL29" s="3" t="s">
        <v>169</v>
      </c>
      <c r="DHM29" s="3" t="s">
        <v>168</v>
      </c>
      <c r="DHN29" s="3" t="s">
        <v>169</v>
      </c>
      <c r="DHO29" s="3" t="s">
        <v>168</v>
      </c>
      <c r="DHP29" s="3" t="s">
        <v>169</v>
      </c>
      <c r="DHQ29" s="3" t="s">
        <v>168</v>
      </c>
      <c r="DHR29" s="3" t="s">
        <v>169</v>
      </c>
      <c r="DHS29" s="3" t="s">
        <v>168</v>
      </c>
      <c r="DHT29" s="3" t="s">
        <v>169</v>
      </c>
      <c r="DHU29" s="3" t="s">
        <v>168</v>
      </c>
      <c r="DHV29" s="3" t="s">
        <v>169</v>
      </c>
      <c r="DHW29" s="3" t="s">
        <v>168</v>
      </c>
      <c r="DHX29" s="3" t="s">
        <v>169</v>
      </c>
      <c r="DHY29" s="3" t="s">
        <v>168</v>
      </c>
      <c r="DHZ29" s="3" t="s">
        <v>169</v>
      </c>
      <c r="DIA29" s="3" t="s">
        <v>168</v>
      </c>
      <c r="DIB29" s="3" t="s">
        <v>169</v>
      </c>
      <c r="DIC29" s="3" t="s">
        <v>168</v>
      </c>
      <c r="DID29" s="3" t="s">
        <v>169</v>
      </c>
      <c r="DIE29" s="3" t="s">
        <v>168</v>
      </c>
      <c r="DIF29" s="3" t="s">
        <v>169</v>
      </c>
      <c r="DIG29" s="3" t="s">
        <v>168</v>
      </c>
      <c r="DIH29" s="3" t="s">
        <v>169</v>
      </c>
      <c r="DII29" s="3" t="s">
        <v>168</v>
      </c>
      <c r="DIJ29" s="3" t="s">
        <v>169</v>
      </c>
      <c r="DIK29" s="3" t="s">
        <v>168</v>
      </c>
      <c r="DIL29" s="3" t="s">
        <v>169</v>
      </c>
      <c r="DIM29" s="3" t="s">
        <v>168</v>
      </c>
      <c r="DIN29" s="3" t="s">
        <v>169</v>
      </c>
      <c r="DIO29" s="3" t="s">
        <v>168</v>
      </c>
      <c r="DIP29" s="3" t="s">
        <v>169</v>
      </c>
      <c r="DIQ29" s="3" t="s">
        <v>168</v>
      </c>
      <c r="DIR29" s="3" t="s">
        <v>169</v>
      </c>
      <c r="DIS29" s="3" t="s">
        <v>168</v>
      </c>
      <c r="DIT29" s="3" t="s">
        <v>169</v>
      </c>
      <c r="DIU29" s="3" t="s">
        <v>168</v>
      </c>
      <c r="DIV29" s="3" t="s">
        <v>169</v>
      </c>
      <c r="DIW29" s="3" t="s">
        <v>168</v>
      </c>
      <c r="DIX29" s="3" t="s">
        <v>169</v>
      </c>
      <c r="DIY29" s="3" t="s">
        <v>168</v>
      </c>
      <c r="DIZ29" s="3" t="s">
        <v>169</v>
      </c>
      <c r="DJA29" s="3" t="s">
        <v>168</v>
      </c>
      <c r="DJB29" s="3" t="s">
        <v>169</v>
      </c>
      <c r="DJC29" s="3" t="s">
        <v>168</v>
      </c>
      <c r="DJD29" s="3" t="s">
        <v>169</v>
      </c>
      <c r="DJE29" s="3" t="s">
        <v>168</v>
      </c>
      <c r="DJF29" s="3" t="s">
        <v>169</v>
      </c>
      <c r="DJG29" s="3" t="s">
        <v>168</v>
      </c>
      <c r="DJH29" s="3" t="s">
        <v>169</v>
      </c>
      <c r="DJI29" s="3" t="s">
        <v>168</v>
      </c>
      <c r="DJJ29" s="3" t="s">
        <v>169</v>
      </c>
      <c r="DJK29" s="3" t="s">
        <v>168</v>
      </c>
      <c r="DJL29" s="3" t="s">
        <v>169</v>
      </c>
      <c r="DJM29" s="3" t="s">
        <v>168</v>
      </c>
      <c r="DJN29" s="3" t="s">
        <v>169</v>
      </c>
      <c r="DJO29" s="3" t="s">
        <v>168</v>
      </c>
      <c r="DJP29" s="3" t="s">
        <v>169</v>
      </c>
      <c r="DJQ29" s="3" t="s">
        <v>168</v>
      </c>
      <c r="DJR29" s="3" t="s">
        <v>169</v>
      </c>
      <c r="DJS29" s="3" t="s">
        <v>168</v>
      </c>
      <c r="DJT29" s="3" t="s">
        <v>169</v>
      </c>
      <c r="DJU29" s="3" t="s">
        <v>168</v>
      </c>
      <c r="DJV29" s="3" t="s">
        <v>169</v>
      </c>
      <c r="DJW29" s="3" t="s">
        <v>168</v>
      </c>
      <c r="DJX29" s="3" t="s">
        <v>169</v>
      </c>
      <c r="DJY29" s="3" t="s">
        <v>168</v>
      </c>
      <c r="DJZ29" s="3" t="s">
        <v>169</v>
      </c>
      <c r="DKA29" s="3" t="s">
        <v>168</v>
      </c>
      <c r="DKB29" s="3" t="s">
        <v>169</v>
      </c>
      <c r="DKC29" s="3" t="s">
        <v>168</v>
      </c>
      <c r="DKD29" s="3" t="s">
        <v>169</v>
      </c>
      <c r="DKE29" s="3" t="s">
        <v>168</v>
      </c>
      <c r="DKF29" s="3" t="s">
        <v>169</v>
      </c>
      <c r="DKG29" s="3" t="s">
        <v>168</v>
      </c>
      <c r="DKH29" s="3" t="s">
        <v>169</v>
      </c>
      <c r="DKI29" s="3" t="s">
        <v>168</v>
      </c>
      <c r="DKJ29" s="3" t="s">
        <v>169</v>
      </c>
      <c r="DKK29" s="3" t="s">
        <v>168</v>
      </c>
      <c r="DKL29" s="3" t="s">
        <v>169</v>
      </c>
      <c r="DKM29" s="3" t="s">
        <v>168</v>
      </c>
      <c r="DKN29" s="3" t="s">
        <v>169</v>
      </c>
      <c r="DKO29" s="3" t="s">
        <v>168</v>
      </c>
      <c r="DKP29" s="3" t="s">
        <v>169</v>
      </c>
      <c r="DKQ29" s="3" t="s">
        <v>168</v>
      </c>
      <c r="DKR29" s="3" t="s">
        <v>169</v>
      </c>
      <c r="DKS29" s="3" t="s">
        <v>168</v>
      </c>
      <c r="DKT29" s="3" t="s">
        <v>169</v>
      </c>
      <c r="DKU29" s="3" t="s">
        <v>168</v>
      </c>
      <c r="DKV29" s="3" t="s">
        <v>169</v>
      </c>
      <c r="DKW29" s="3" t="s">
        <v>168</v>
      </c>
      <c r="DKX29" s="3" t="s">
        <v>169</v>
      </c>
      <c r="DKY29" s="3" t="s">
        <v>168</v>
      </c>
      <c r="DKZ29" s="3" t="s">
        <v>169</v>
      </c>
      <c r="DLA29" s="3" t="s">
        <v>168</v>
      </c>
      <c r="DLB29" s="3" t="s">
        <v>169</v>
      </c>
      <c r="DLC29" s="3" t="s">
        <v>168</v>
      </c>
      <c r="DLD29" s="3" t="s">
        <v>169</v>
      </c>
      <c r="DLE29" s="3" t="s">
        <v>168</v>
      </c>
      <c r="DLF29" s="3" t="s">
        <v>169</v>
      </c>
      <c r="DLG29" s="3" t="s">
        <v>168</v>
      </c>
      <c r="DLH29" s="3" t="s">
        <v>169</v>
      </c>
      <c r="DLI29" s="3" t="s">
        <v>168</v>
      </c>
      <c r="DLJ29" s="3" t="s">
        <v>169</v>
      </c>
      <c r="DLK29" s="3" t="s">
        <v>168</v>
      </c>
      <c r="DLL29" s="3" t="s">
        <v>169</v>
      </c>
      <c r="DLM29" s="3" t="s">
        <v>168</v>
      </c>
      <c r="DLN29" s="3" t="s">
        <v>169</v>
      </c>
      <c r="DLO29" s="3" t="s">
        <v>168</v>
      </c>
      <c r="DLP29" s="3" t="s">
        <v>169</v>
      </c>
      <c r="DLQ29" s="3" t="s">
        <v>168</v>
      </c>
      <c r="DLR29" s="3" t="s">
        <v>169</v>
      </c>
      <c r="DLS29" s="3" t="s">
        <v>168</v>
      </c>
      <c r="DLT29" s="3" t="s">
        <v>169</v>
      </c>
      <c r="DLU29" s="3" t="s">
        <v>168</v>
      </c>
      <c r="DLV29" s="3" t="s">
        <v>169</v>
      </c>
      <c r="DLW29" s="3" t="s">
        <v>168</v>
      </c>
      <c r="DLX29" s="3" t="s">
        <v>169</v>
      </c>
      <c r="DLY29" s="3" t="s">
        <v>168</v>
      </c>
      <c r="DLZ29" s="3" t="s">
        <v>169</v>
      </c>
      <c r="DMA29" s="3" t="s">
        <v>168</v>
      </c>
      <c r="DMB29" s="3" t="s">
        <v>169</v>
      </c>
      <c r="DMC29" s="3" t="s">
        <v>168</v>
      </c>
      <c r="DMD29" s="3" t="s">
        <v>169</v>
      </c>
      <c r="DME29" s="3" t="s">
        <v>168</v>
      </c>
      <c r="DMF29" s="3" t="s">
        <v>169</v>
      </c>
      <c r="DMG29" s="3" t="s">
        <v>168</v>
      </c>
      <c r="DMH29" s="3" t="s">
        <v>169</v>
      </c>
      <c r="DMI29" s="3" t="s">
        <v>168</v>
      </c>
      <c r="DMJ29" s="3" t="s">
        <v>169</v>
      </c>
      <c r="DMK29" s="3" t="s">
        <v>168</v>
      </c>
      <c r="DML29" s="3" t="s">
        <v>169</v>
      </c>
      <c r="DMM29" s="3" t="s">
        <v>168</v>
      </c>
      <c r="DMN29" s="3" t="s">
        <v>169</v>
      </c>
      <c r="DMO29" s="3" t="s">
        <v>168</v>
      </c>
      <c r="DMP29" s="3" t="s">
        <v>169</v>
      </c>
      <c r="DMQ29" s="3" t="s">
        <v>168</v>
      </c>
      <c r="DMR29" s="3" t="s">
        <v>169</v>
      </c>
      <c r="DMS29" s="3" t="s">
        <v>168</v>
      </c>
      <c r="DMT29" s="3" t="s">
        <v>169</v>
      </c>
      <c r="DMU29" s="3" t="s">
        <v>168</v>
      </c>
      <c r="DMV29" s="3" t="s">
        <v>169</v>
      </c>
      <c r="DMW29" s="3" t="s">
        <v>168</v>
      </c>
      <c r="DMX29" s="3" t="s">
        <v>169</v>
      </c>
      <c r="DMY29" s="3" t="s">
        <v>168</v>
      </c>
      <c r="DMZ29" s="3" t="s">
        <v>169</v>
      </c>
      <c r="DNA29" s="3" t="s">
        <v>168</v>
      </c>
      <c r="DNB29" s="3" t="s">
        <v>169</v>
      </c>
      <c r="DNC29" s="3" t="s">
        <v>168</v>
      </c>
      <c r="DND29" s="3" t="s">
        <v>169</v>
      </c>
      <c r="DNE29" s="3" t="s">
        <v>168</v>
      </c>
      <c r="DNF29" s="3" t="s">
        <v>169</v>
      </c>
      <c r="DNG29" s="3" t="s">
        <v>168</v>
      </c>
      <c r="DNH29" s="3" t="s">
        <v>169</v>
      </c>
      <c r="DNI29" s="3" t="s">
        <v>168</v>
      </c>
      <c r="DNJ29" s="3" t="s">
        <v>169</v>
      </c>
      <c r="DNK29" s="3" t="s">
        <v>168</v>
      </c>
      <c r="DNL29" s="3" t="s">
        <v>169</v>
      </c>
      <c r="DNM29" s="3" t="s">
        <v>168</v>
      </c>
      <c r="DNN29" s="3" t="s">
        <v>169</v>
      </c>
      <c r="DNO29" s="3" t="s">
        <v>168</v>
      </c>
      <c r="DNP29" s="3" t="s">
        <v>169</v>
      </c>
      <c r="DNQ29" s="3" t="s">
        <v>168</v>
      </c>
      <c r="DNR29" s="3" t="s">
        <v>169</v>
      </c>
      <c r="DNS29" s="3" t="s">
        <v>168</v>
      </c>
      <c r="DNT29" s="3" t="s">
        <v>169</v>
      </c>
      <c r="DNU29" s="3" t="s">
        <v>168</v>
      </c>
      <c r="DNV29" s="3" t="s">
        <v>169</v>
      </c>
      <c r="DNW29" s="3" t="s">
        <v>168</v>
      </c>
      <c r="DNX29" s="3" t="s">
        <v>169</v>
      </c>
      <c r="DNY29" s="3" t="s">
        <v>168</v>
      </c>
      <c r="DNZ29" s="3" t="s">
        <v>169</v>
      </c>
      <c r="DOA29" s="3" t="s">
        <v>168</v>
      </c>
      <c r="DOB29" s="3" t="s">
        <v>169</v>
      </c>
      <c r="DOC29" s="3" t="s">
        <v>168</v>
      </c>
      <c r="DOD29" s="3" t="s">
        <v>169</v>
      </c>
      <c r="DOE29" s="3" t="s">
        <v>168</v>
      </c>
      <c r="DOF29" s="3" t="s">
        <v>169</v>
      </c>
      <c r="DOG29" s="3" t="s">
        <v>168</v>
      </c>
      <c r="DOH29" s="3" t="s">
        <v>169</v>
      </c>
      <c r="DOI29" s="3" t="s">
        <v>168</v>
      </c>
      <c r="DOJ29" s="3" t="s">
        <v>169</v>
      </c>
      <c r="DOK29" s="3" t="s">
        <v>168</v>
      </c>
      <c r="DOL29" s="3" t="s">
        <v>169</v>
      </c>
      <c r="DOM29" s="3" t="s">
        <v>168</v>
      </c>
      <c r="DON29" s="3" t="s">
        <v>169</v>
      </c>
      <c r="DOO29" s="3" t="s">
        <v>168</v>
      </c>
      <c r="DOP29" s="3" t="s">
        <v>169</v>
      </c>
      <c r="DOQ29" s="3" t="s">
        <v>168</v>
      </c>
      <c r="DOR29" s="3" t="s">
        <v>169</v>
      </c>
      <c r="DOS29" s="3" t="s">
        <v>168</v>
      </c>
      <c r="DOT29" s="3" t="s">
        <v>169</v>
      </c>
      <c r="DOU29" s="3" t="s">
        <v>168</v>
      </c>
      <c r="DOV29" s="3" t="s">
        <v>169</v>
      </c>
      <c r="DOW29" s="3" t="s">
        <v>168</v>
      </c>
      <c r="DOX29" s="3" t="s">
        <v>169</v>
      </c>
      <c r="DOY29" s="3" t="s">
        <v>168</v>
      </c>
      <c r="DOZ29" s="3" t="s">
        <v>169</v>
      </c>
      <c r="DPA29" s="3" t="s">
        <v>168</v>
      </c>
      <c r="DPB29" s="3" t="s">
        <v>169</v>
      </c>
      <c r="DPC29" s="3" t="s">
        <v>168</v>
      </c>
      <c r="DPD29" s="3" t="s">
        <v>169</v>
      </c>
      <c r="DPE29" s="3" t="s">
        <v>168</v>
      </c>
      <c r="DPF29" s="3" t="s">
        <v>169</v>
      </c>
      <c r="DPG29" s="3" t="s">
        <v>168</v>
      </c>
      <c r="DPH29" s="3" t="s">
        <v>169</v>
      </c>
      <c r="DPI29" s="3" t="s">
        <v>168</v>
      </c>
      <c r="DPJ29" s="3" t="s">
        <v>169</v>
      </c>
      <c r="DPK29" s="3" t="s">
        <v>168</v>
      </c>
      <c r="DPL29" s="3" t="s">
        <v>169</v>
      </c>
      <c r="DPM29" s="3" t="s">
        <v>168</v>
      </c>
      <c r="DPN29" s="3" t="s">
        <v>169</v>
      </c>
      <c r="DPO29" s="3" t="s">
        <v>168</v>
      </c>
      <c r="DPP29" s="3" t="s">
        <v>169</v>
      </c>
      <c r="DPQ29" s="3" t="s">
        <v>168</v>
      </c>
      <c r="DPR29" s="3" t="s">
        <v>169</v>
      </c>
      <c r="DPS29" s="3" t="s">
        <v>168</v>
      </c>
      <c r="DPT29" s="3" t="s">
        <v>169</v>
      </c>
      <c r="DPU29" s="3" t="s">
        <v>168</v>
      </c>
      <c r="DPV29" s="3" t="s">
        <v>169</v>
      </c>
      <c r="DPW29" s="3" t="s">
        <v>168</v>
      </c>
      <c r="DPX29" s="3" t="s">
        <v>169</v>
      </c>
      <c r="DPY29" s="3" t="s">
        <v>168</v>
      </c>
      <c r="DPZ29" s="3" t="s">
        <v>169</v>
      </c>
      <c r="DQA29" s="3" t="s">
        <v>168</v>
      </c>
      <c r="DQB29" s="3" t="s">
        <v>169</v>
      </c>
      <c r="DQC29" s="3" t="s">
        <v>168</v>
      </c>
      <c r="DQD29" s="3" t="s">
        <v>169</v>
      </c>
      <c r="DQE29" s="3" t="s">
        <v>168</v>
      </c>
      <c r="DQF29" s="3" t="s">
        <v>169</v>
      </c>
      <c r="DQG29" s="3" t="s">
        <v>168</v>
      </c>
      <c r="DQH29" s="3" t="s">
        <v>169</v>
      </c>
      <c r="DQI29" s="3" t="s">
        <v>168</v>
      </c>
      <c r="DQJ29" s="3" t="s">
        <v>169</v>
      </c>
      <c r="DQK29" s="3" t="s">
        <v>168</v>
      </c>
      <c r="DQL29" s="3" t="s">
        <v>169</v>
      </c>
      <c r="DQM29" s="3" t="s">
        <v>168</v>
      </c>
      <c r="DQN29" s="3" t="s">
        <v>169</v>
      </c>
      <c r="DQO29" s="3" t="s">
        <v>168</v>
      </c>
      <c r="DQP29" s="3" t="s">
        <v>169</v>
      </c>
      <c r="DQQ29" s="3" t="s">
        <v>168</v>
      </c>
      <c r="DQR29" s="3" t="s">
        <v>169</v>
      </c>
      <c r="DQS29" s="3" t="s">
        <v>168</v>
      </c>
      <c r="DQT29" s="3" t="s">
        <v>169</v>
      </c>
      <c r="DQU29" s="3" t="s">
        <v>168</v>
      </c>
      <c r="DQV29" s="3" t="s">
        <v>169</v>
      </c>
      <c r="DQW29" s="3" t="s">
        <v>168</v>
      </c>
      <c r="DQX29" s="3" t="s">
        <v>169</v>
      </c>
      <c r="DQY29" s="3" t="s">
        <v>168</v>
      </c>
      <c r="DQZ29" s="3" t="s">
        <v>169</v>
      </c>
      <c r="DRA29" s="3" t="s">
        <v>168</v>
      </c>
      <c r="DRB29" s="3" t="s">
        <v>169</v>
      </c>
      <c r="DRC29" s="3" t="s">
        <v>168</v>
      </c>
      <c r="DRD29" s="3" t="s">
        <v>169</v>
      </c>
      <c r="DRE29" s="3" t="s">
        <v>168</v>
      </c>
      <c r="DRF29" s="3" t="s">
        <v>169</v>
      </c>
      <c r="DRG29" s="3" t="s">
        <v>168</v>
      </c>
      <c r="DRH29" s="3" t="s">
        <v>169</v>
      </c>
      <c r="DRI29" s="3" t="s">
        <v>168</v>
      </c>
      <c r="DRJ29" s="3" t="s">
        <v>169</v>
      </c>
      <c r="DRK29" s="3" t="s">
        <v>168</v>
      </c>
      <c r="DRL29" s="3" t="s">
        <v>169</v>
      </c>
      <c r="DRM29" s="3" t="s">
        <v>168</v>
      </c>
      <c r="DRN29" s="3" t="s">
        <v>169</v>
      </c>
      <c r="DRO29" s="3" t="s">
        <v>168</v>
      </c>
      <c r="DRP29" s="3" t="s">
        <v>169</v>
      </c>
      <c r="DRQ29" s="3" t="s">
        <v>168</v>
      </c>
      <c r="DRR29" s="3" t="s">
        <v>169</v>
      </c>
      <c r="DRS29" s="3" t="s">
        <v>168</v>
      </c>
      <c r="DRT29" s="3" t="s">
        <v>169</v>
      </c>
      <c r="DRU29" s="3" t="s">
        <v>168</v>
      </c>
      <c r="DRV29" s="3" t="s">
        <v>169</v>
      </c>
      <c r="DRW29" s="3" t="s">
        <v>168</v>
      </c>
      <c r="DRX29" s="3" t="s">
        <v>169</v>
      </c>
      <c r="DRY29" s="3" t="s">
        <v>168</v>
      </c>
      <c r="DRZ29" s="3" t="s">
        <v>169</v>
      </c>
      <c r="DSA29" s="3" t="s">
        <v>168</v>
      </c>
      <c r="DSB29" s="3" t="s">
        <v>169</v>
      </c>
      <c r="DSC29" s="3" t="s">
        <v>168</v>
      </c>
      <c r="DSD29" s="3" t="s">
        <v>169</v>
      </c>
      <c r="DSE29" s="3" t="s">
        <v>168</v>
      </c>
      <c r="DSF29" s="3" t="s">
        <v>169</v>
      </c>
      <c r="DSG29" s="3" t="s">
        <v>168</v>
      </c>
      <c r="DSH29" s="3" t="s">
        <v>169</v>
      </c>
      <c r="DSI29" s="3" t="s">
        <v>168</v>
      </c>
      <c r="DSJ29" s="3" t="s">
        <v>169</v>
      </c>
      <c r="DSK29" s="3" t="s">
        <v>168</v>
      </c>
      <c r="DSL29" s="3" t="s">
        <v>169</v>
      </c>
      <c r="DSM29" s="3" t="s">
        <v>168</v>
      </c>
      <c r="DSN29" s="3" t="s">
        <v>169</v>
      </c>
      <c r="DSO29" s="3" t="s">
        <v>168</v>
      </c>
      <c r="DSP29" s="3" t="s">
        <v>169</v>
      </c>
      <c r="DSQ29" s="3" t="s">
        <v>168</v>
      </c>
      <c r="DSR29" s="3" t="s">
        <v>169</v>
      </c>
      <c r="DSS29" s="3" t="s">
        <v>168</v>
      </c>
      <c r="DST29" s="3" t="s">
        <v>169</v>
      </c>
      <c r="DSU29" s="3" t="s">
        <v>168</v>
      </c>
      <c r="DSV29" s="3" t="s">
        <v>169</v>
      </c>
      <c r="DSW29" s="3" t="s">
        <v>168</v>
      </c>
      <c r="DSX29" s="3" t="s">
        <v>169</v>
      </c>
      <c r="DSY29" s="3" t="s">
        <v>168</v>
      </c>
      <c r="DSZ29" s="3" t="s">
        <v>169</v>
      </c>
      <c r="DTA29" s="3" t="s">
        <v>168</v>
      </c>
      <c r="DTB29" s="3" t="s">
        <v>169</v>
      </c>
      <c r="DTC29" s="3" t="s">
        <v>168</v>
      </c>
      <c r="DTD29" s="3" t="s">
        <v>169</v>
      </c>
      <c r="DTE29" s="3" t="s">
        <v>168</v>
      </c>
      <c r="DTF29" s="3" t="s">
        <v>169</v>
      </c>
      <c r="DTG29" s="3" t="s">
        <v>168</v>
      </c>
      <c r="DTH29" s="3" t="s">
        <v>169</v>
      </c>
      <c r="DTI29" s="3" t="s">
        <v>168</v>
      </c>
      <c r="DTJ29" s="3" t="s">
        <v>169</v>
      </c>
      <c r="DTK29" s="3" t="s">
        <v>168</v>
      </c>
      <c r="DTL29" s="3" t="s">
        <v>169</v>
      </c>
      <c r="DTM29" s="3" t="s">
        <v>168</v>
      </c>
      <c r="DTN29" s="3" t="s">
        <v>169</v>
      </c>
      <c r="DTO29" s="3" t="s">
        <v>168</v>
      </c>
      <c r="DTP29" s="3" t="s">
        <v>169</v>
      </c>
      <c r="DTQ29" s="3" t="s">
        <v>168</v>
      </c>
      <c r="DTR29" s="3" t="s">
        <v>169</v>
      </c>
      <c r="DTS29" s="3" t="s">
        <v>168</v>
      </c>
      <c r="DTT29" s="3" t="s">
        <v>169</v>
      </c>
      <c r="DTU29" s="3" t="s">
        <v>168</v>
      </c>
      <c r="DTV29" s="3" t="s">
        <v>169</v>
      </c>
      <c r="DTW29" s="3" t="s">
        <v>168</v>
      </c>
      <c r="DTX29" s="3" t="s">
        <v>169</v>
      </c>
      <c r="DTY29" s="3" t="s">
        <v>168</v>
      </c>
      <c r="DTZ29" s="3" t="s">
        <v>169</v>
      </c>
      <c r="DUA29" s="3" t="s">
        <v>168</v>
      </c>
      <c r="DUB29" s="3" t="s">
        <v>169</v>
      </c>
      <c r="DUC29" s="3" t="s">
        <v>168</v>
      </c>
      <c r="DUD29" s="3" t="s">
        <v>169</v>
      </c>
      <c r="DUE29" s="3" t="s">
        <v>168</v>
      </c>
      <c r="DUF29" s="3" t="s">
        <v>169</v>
      </c>
      <c r="DUG29" s="3" t="s">
        <v>168</v>
      </c>
      <c r="DUH29" s="3" t="s">
        <v>169</v>
      </c>
      <c r="DUI29" s="3" t="s">
        <v>168</v>
      </c>
      <c r="DUJ29" s="3" t="s">
        <v>169</v>
      </c>
      <c r="DUK29" s="3" t="s">
        <v>168</v>
      </c>
      <c r="DUL29" s="3" t="s">
        <v>169</v>
      </c>
      <c r="DUM29" s="3" t="s">
        <v>168</v>
      </c>
      <c r="DUN29" s="3" t="s">
        <v>169</v>
      </c>
      <c r="DUO29" s="3" t="s">
        <v>168</v>
      </c>
      <c r="DUP29" s="3" t="s">
        <v>169</v>
      </c>
      <c r="DUQ29" s="3" t="s">
        <v>168</v>
      </c>
      <c r="DUR29" s="3" t="s">
        <v>169</v>
      </c>
      <c r="DUS29" s="3" t="s">
        <v>168</v>
      </c>
      <c r="DUT29" s="3" t="s">
        <v>169</v>
      </c>
      <c r="DUU29" s="3" t="s">
        <v>168</v>
      </c>
      <c r="DUV29" s="3" t="s">
        <v>169</v>
      </c>
      <c r="DUW29" s="3" t="s">
        <v>168</v>
      </c>
      <c r="DUX29" s="3" t="s">
        <v>169</v>
      </c>
      <c r="DUY29" s="3" t="s">
        <v>168</v>
      </c>
      <c r="DUZ29" s="3" t="s">
        <v>169</v>
      </c>
      <c r="DVA29" s="3" t="s">
        <v>168</v>
      </c>
      <c r="DVB29" s="3" t="s">
        <v>169</v>
      </c>
      <c r="DVC29" s="3" t="s">
        <v>168</v>
      </c>
      <c r="DVD29" s="3" t="s">
        <v>169</v>
      </c>
      <c r="DVE29" s="3" t="s">
        <v>168</v>
      </c>
      <c r="DVF29" s="3" t="s">
        <v>169</v>
      </c>
      <c r="DVG29" s="3" t="s">
        <v>168</v>
      </c>
      <c r="DVH29" s="3" t="s">
        <v>169</v>
      </c>
      <c r="DVI29" s="3" t="s">
        <v>168</v>
      </c>
      <c r="DVJ29" s="3" t="s">
        <v>169</v>
      </c>
      <c r="DVK29" s="3" t="s">
        <v>168</v>
      </c>
      <c r="DVL29" s="3" t="s">
        <v>169</v>
      </c>
      <c r="DVM29" s="3" t="s">
        <v>168</v>
      </c>
      <c r="DVN29" s="3" t="s">
        <v>169</v>
      </c>
      <c r="DVO29" s="3" t="s">
        <v>168</v>
      </c>
      <c r="DVP29" s="3" t="s">
        <v>169</v>
      </c>
      <c r="DVQ29" s="3" t="s">
        <v>168</v>
      </c>
      <c r="DVR29" s="3" t="s">
        <v>169</v>
      </c>
      <c r="DVS29" s="3" t="s">
        <v>168</v>
      </c>
      <c r="DVT29" s="3" t="s">
        <v>169</v>
      </c>
      <c r="DVU29" s="3" t="s">
        <v>168</v>
      </c>
      <c r="DVV29" s="3" t="s">
        <v>169</v>
      </c>
      <c r="DVW29" s="3" t="s">
        <v>168</v>
      </c>
      <c r="DVX29" s="3" t="s">
        <v>169</v>
      </c>
      <c r="DVY29" s="3" t="s">
        <v>168</v>
      </c>
      <c r="DVZ29" s="3" t="s">
        <v>169</v>
      </c>
      <c r="DWA29" s="3" t="s">
        <v>168</v>
      </c>
      <c r="DWB29" s="3" t="s">
        <v>169</v>
      </c>
      <c r="DWC29" s="3" t="s">
        <v>168</v>
      </c>
      <c r="DWD29" s="3" t="s">
        <v>169</v>
      </c>
      <c r="DWE29" s="3" t="s">
        <v>168</v>
      </c>
      <c r="DWF29" s="3" t="s">
        <v>169</v>
      </c>
      <c r="DWG29" s="3" t="s">
        <v>168</v>
      </c>
      <c r="DWH29" s="3" t="s">
        <v>169</v>
      </c>
      <c r="DWI29" s="3" t="s">
        <v>168</v>
      </c>
      <c r="DWJ29" s="3" t="s">
        <v>169</v>
      </c>
      <c r="DWK29" s="3" t="s">
        <v>168</v>
      </c>
      <c r="DWL29" s="3" t="s">
        <v>169</v>
      </c>
      <c r="DWM29" s="3" t="s">
        <v>168</v>
      </c>
      <c r="DWN29" s="3" t="s">
        <v>169</v>
      </c>
      <c r="DWO29" s="3" t="s">
        <v>168</v>
      </c>
      <c r="DWP29" s="3" t="s">
        <v>169</v>
      </c>
      <c r="DWQ29" s="3" t="s">
        <v>168</v>
      </c>
      <c r="DWR29" s="3" t="s">
        <v>169</v>
      </c>
      <c r="DWS29" s="3" t="s">
        <v>168</v>
      </c>
      <c r="DWT29" s="3" t="s">
        <v>169</v>
      </c>
      <c r="DWU29" s="3" t="s">
        <v>168</v>
      </c>
      <c r="DWV29" s="3" t="s">
        <v>169</v>
      </c>
      <c r="DWW29" s="3" t="s">
        <v>168</v>
      </c>
      <c r="DWX29" s="3" t="s">
        <v>169</v>
      </c>
      <c r="DWY29" s="3" t="s">
        <v>168</v>
      </c>
      <c r="DWZ29" s="3" t="s">
        <v>169</v>
      </c>
      <c r="DXA29" s="3" t="s">
        <v>168</v>
      </c>
      <c r="DXB29" s="3" t="s">
        <v>169</v>
      </c>
      <c r="DXC29" s="3" t="s">
        <v>168</v>
      </c>
      <c r="DXD29" s="3" t="s">
        <v>169</v>
      </c>
      <c r="DXE29" s="3" t="s">
        <v>168</v>
      </c>
      <c r="DXF29" s="3" t="s">
        <v>169</v>
      </c>
      <c r="DXG29" s="3" t="s">
        <v>168</v>
      </c>
      <c r="DXH29" s="3" t="s">
        <v>169</v>
      </c>
      <c r="DXI29" s="3" t="s">
        <v>168</v>
      </c>
      <c r="DXJ29" s="3" t="s">
        <v>169</v>
      </c>
      <c r="DXK29" s="3" t="s">
        <v>168</v>
      </c>
      <c r="DXL29" s="3" t="s">
        <v>169</v>
      </c>
      <c r="DXM29" s="3" t="s">
        <v>168</v>
      </c>
      <c r="DXN29" s="3" t="s">
        <v>169</v>
      </c>
      <c r="DXO29" s="3" t="s">
        <v>168</v>
      </c>
      <c r="DXP29" s="3" t="s">
        <v>169</v>
      </c>
      <c r="DXQ29" s="3" t="s">
        <v>168</v>
      </c>
      <c r="DXR29" s="3" t="s">
        <v>169</v>
      </c>
      <c r="DXS29" s="3" t="s">
        <v>168</v>
      </c>
      <c r="DXT29" s="3" t="s">
        <v>169</v>
      </c>
      <c r="DXU29" s="3" t="s">
        <v>168</v>
      </c>
      <c r="DXV29" s="3" t="s">
        <v>169</v>
      </c>
      <c r="DXW29" s="3" t="s">
        <v>168</v>
      </c>
      <c r="DXX29" s="3" t="s">
        <v>169</v>
      </c>
      <c r="DXY29" s="3" t="s">
        <v>168</v>
      </c>
      <c r="DXZ29" s="3" t="s">
        <v>169</v>
      </c>
      <c r="DYA29" s="3" t="s">
        <v>168</v>
      </c>
      <c r="DYB29" s="3" t="s">
        <v>169</v>
      </c>
      <c r="DYC29" s="3" t="s">
        <v>168</v>
      </c>
      <c r="DYD29" s="3" t="s">
        <v>169</v>
      </c>
      <c r="DYE29" s="3" t="s">
        <v>168</v>
      </c>
      <c r="DYF29" s="3" t="s">
        <v>169</v>
      </c>
      <c r="DYG29" s="3" t="s">
        <v>168</v>
      </c>
      <c r="DYH29" s="3" t="s">
        <v>169</v>
      </c>
      <c r="DYI29" s="3" t="s">
        <v>168</v>
      </c>
      <c r="DYJ29" s="3" t="s">
        <v>169</v>
      </c>
      <c r="DYK29" s="3" t="s">
        <v>168</v>
      </c>
      <c r="DYL29" s="3" t="s">
        <v>169</v>
      </c>
      <c r="DYM29" s="3" t="s">
        <v>168</v>
      </c>
      <c r="DYN29" s="3" t="s">
        <v>169</v>
      </c>
      <c r="DYO29" s="3" t="s">
        <v>168</v>
      </c>
      <c r="DYP29" s="3" t="s">
        <v>169</v>
      </c>
      <c r="DYQ29" s="3" t="s">
        <v>168</v>
      </c>
      <c r="DYR29" s="3" t="s">
        <v>169</v>
      </c>
      <c r="DYS29" s="3" t="s">
        <v>168</v>
      </c>
      <c r="DYT29" s="3" t="s">
        <v>169</v>
      </c>
      <c r="DYU29" s="3" t="s">
        <v>168</v>
      </c>
      <c r="DYV29" s="3" t="s">
        <v>169</v>
      </c>
      <c r="DYW29" s="3" t="s">
        <v>168</v>
      </c>
      <c r="DYX29" s="3" t="s">
        <v>169</v>
      </c>
      <c r="DYY29" s="3" t="s">
        <v>168</v>
      </c>
      <c r="DYZ29" s="3" t="s">
        <v>169</v>
      </c>
      <c r="DZA29" s="3" t="s">
        <v>168</v>
      </c>
      <c r="DZB29" s="3" t="s">
        <v>169</v>
      </c>
      <c r="DZC29" s="3" t="s">
        <v>168</v>
      </c>
      <c r="DZD29" s="3" t="s">
        <v>169</v>
      </c>
      <c r="DZE29" s="3" t="s">
        <v>168</v>
      </c>
      <c r="DZF29" s="3" t="s">
        <v>169</v>
      </c>
      <c r="DZG29" s="3" t="s">
        <v>168</v>
      </c>
      <c r="DZH29" s="3" t="s">
        <v>169</v>
      </c>
      <c r="DZI29" s="3" t="s">
        <v>168</v>
      </c>
      <c r="DZJ29" s="3" t="s">
        <v>169</v>
      </c>
      <c r="DZK29" s="3" t="s">
        <v>168</v>
      </c>
      <c r="DZL29" s="3" t="s">
        <v>169</v>
      </c>
      <c r="DZM29" s="3" t="s">
        <v>168</v>
      </c>
      <c r="DZN29" s="3" t="s">
        <v>169</v>
      </c>
      <c r="DZO29" s="3" t="s">
        <v>168</v>
      </c>
      <c r="DZP29" s="3" t="s">
        <v>169</v>
      </c>
      <c r="DZQ29" s="3" t="s">
        <v>168</v>
      </c>
      <c r="DZR29" s="3" t="s">
        <v>169</v>
      </c>
      <c r="DZS29" s="3" t="s">
        <v>168</v>
      </c>
      <c r="DZT29" s="3" t="s">
        <v>169</v>
      </c>
      <c r="DZU29" s="3" t="s">
        <v>168</v>
      </c>
      <c r="DZV29" s="3" t="s">
        <v>169</v>
      </c>
      <c r="DZW29" s="3" t="s">
        <v>168</v>
      </c>
      <c r="DZX29" s="3" t="s">
        <v>169</v>
      </c>
      <c r="DZY29" s="3" t="s">
        <v>168</v>
      </c>
      <c r="DZZ29" s="3" t="s">
        <v>169</v>
      </c>
      <c r="EAA29" s="3" t="s">
        <v>168</v>
      </c>
      <c r="EAB29" s="3" t="s">
        <v>169</v>
      </c>
      <c r="EAC29" s="3" t="s">
        <v>168</v>
      </c>
      <c r="EAD29" s="3" t="s">
        <v>169</v>
      </c>
      <c r="EAE29" s="3" t="s">
        <v>168</v>
      </c>
      <c r="EAF29" s="3" t="s">
        <v>169</v>
      </c>
      <c r="EAG29" s="3" t="s">
        <v>168</v>
      </c>
      <c r="EAH29" s="3" t="s">
        <v>169</v>
      </c>
      <c r="EAI29" s="3" t="s">
        <v>168</v>
      </c>
      <c r="EAJ29" s="3" t="s">
        <v>169</v>
      </c>
      <c r="EAK29" s="3" t="s">
        <v>168</v>
      </c>
      <c r="EAL29" s="3" t="s">
        <v>169</v>
      </c>
      <c r="EAM29" s="3" t="s">
        <v>168</v>
      </c>
      <c r="EAN29" s="3" t="s">
        <v>169</v>
      </c>
      <c r="EAO29" s="3" t="s">
        <v>168</v>
      </c>
      <c r="EAP29" s="3" t="s">
        <v>169</v>
      </c>
      <c r="EAQ29" s="3" t="s">
        <v>168</v>
      </c>
      <c r="EAR29" s="3" t="s">
        <v>169</v>
      </c>
      <c r="EAS29" s="3" t="s">
        <v>168</v>
      </c>
      <c r="EAT29" s="3" t="s">
        <v>169</v>
      </c>
      <c r="EAU29" s="3" t="s">
        <v>168</v>
      </c>
      <c r="EAV29" s="3" t="s">
        <v>169</v>
      </c>
      <c r="EAW29" s="3" t="s">
        <v>168</v>
      </c>
      <c r="EAX29" s="3" t="s">
        <v>169</v>
      </c>
      <c r="EAY29" s="3" t="s">
        <v>168</v>
      </c>
      <c r="EAZ29" s="3" t="s">
        <v>169</v>
      </c>
      <c r="EBA29" s="3" t="s">
        <v>168</v>
      </c>
      <c r="EBB29" s="3" t="s">
        <v>169</v>
      </c>
      <c r="EBC29" s="3" t="s">
        <v>168</v>
      </c>
      <c r="EBD29" s="3" t="s">
        <v>169</v>
      </c>
      <c r="EBE29" s="3" t="s">
        <v>168</v>
      </c>
      <c r="EBF29" s="3" t="s">
        <v>169</v>
      </c>
      <c r="EBG29" s="3" t="s">
        <v>168</v>
      </c>
      <c r="EBH29" s="3" t="s">
        <v>169</v>
      </c>
      <c r="EBI29" s="3" t="s">
        <v>168</v>
      </c>
      <c r="EBJ29" s="3" t="s">
        <v>169</v>
      </c>
      <c r="EBK29" s="3" t="s">
        <v>168</v>
      </c>
      <c r="EBL29" s="3" t="s">
        <v>169</v>
      </c>
      <c r="EBM29" s="3" t="s">
        <v>168</v>
      </c>
      <c r="EBN29" s="3" t="s">
        <v>169</v>
      </c>
      <c r="EBO29" s="3" t="s">
        <v>168</v>
      </c>
      <c r="EBP29" s="3" t="s">
        <v>169</v>
      </c>
      <c r="EBQ29" s="3" t="s">
        <v>168</v>
      </c>
      <c r="EBR29" s="3" t="s">
        <v>169</v>
      </c>
      <c r="EBS29" s="3" t="s">
        <v>168</v>
      </c>
      <c r="EBT29" s="3" t="s">
        <v>169</v>
      </c>
      <c r="EBU29" s="3" t="s">
        <v>168</v>
      </c>
      <c r="EBV29" s="3" t="s">
        <v>169</v>
      </c>
      <c r="EBW29" s="3" t="s">
        <v>168</v>
      </c>
      <c r="EBX29" s="3" t="s">
        <v>169</v>
      </c>
      <c r="EBY29" s="3" t="s">
        <v>168</v>
      </c>
      <c r="EBZ29" s="3" t="s">
        <v>169</v>
      </c>
      <c r="ECA29" s="3" t="s">
        <v>168</v>
      </c>
      <c r="ECB29" s="3" t="s">
        <v>169</v>
      </c>
      <c r="ECC29" s="3" t="s">
        <v>168</v>
      </c>
      <c r="ECD29" s="3" t="s">
        <v>169</v>
      </c>
      <c r="ECE29" s="3" t="s">
        <v>168</v>
      </c>
      <c r="ECF29" s="3" t="s">
        <v>169</v>
      </c>
      <c r="ECG29" s="3" t="s">
        <v>168</v>
      </c>
      <c r="ECH29" s="3" t="s">
        <v>169</v>
      </c>
      <c r="ECI29" s="3" t="s">
        <v>168</v>
      </c>
      <c r="ECJ29" s="3" t="s">
        <v>169</v>
      </c>
      <c r="ECK29" s="3" t="s">
        <v>168</v>
      </c>
      <c r="ECL29" s="3" t="s">
        <v>169</v>
      </c>
      <c r="ECM29" s="3" t="s">
        <v>168</v>
      </c>
      <c r="ECN29" s="3" t="s">
        <v>169</v>
      </c>
      <c r="ECO29" s="3" t="s">
        <v>168</v>
      </c>
      <c r="ECP29" s="3" t="s">
        <v>169</v>
      </c>
      <c r="ECQ29" s="3" t="s">
        <v>168</v>
      </c>
      <c r="ECR29" s="3" t="s">
        <v>169</v>
      </c>
      <c r="ECS29" s="3" t="s">
        <v>168</v>
      </c>
      <c r="ECT29" s="3" t="s">
        <v>169</v>
      </c>
      <c r="ECU29" s="3" t="s">
        <v>168</v>
      </c>
      <c r="ECV29" s="3" t="s">
        <v>169</v>
      </c>
      <c r="ECW29" s="3" t="s">
        <v>168</v>
      </c>
      <c r="ECX29" s="3" t="s">
        <v>169</v>
      </c>
      <c r="ECY29" s="3" t="s">
        <v>168</v>
      </c>
      <c r="ECZ29" s="3" t="s">
        <v>169</v>
      </c>
      <c r="EDA29" s="3" t="s">
        <v>168</v>
      </c>
      <c r="EDB29" s="3" t="s">
        <v>169</v>
      </c>
      <c r="EDC29" s="3" t="s">
        <v>168</v>
      </c>
      <c r="EDD29" s="3" t="s">
        <v>169</v>
      </c>
      <c r="EDE29" s="3" t="s">
        <v>168</v>
      </c>
      <c r="EDF29" s="3" t="s">
        <v>169</v>
      </c>
      <c r="EDG29" s="3" t="s">
        <v>168</v>
      </c>
      <c r="EDH29" s="3" t="s">
        <v>169</v>
      </c>
      <c r="EDI29" s="3" t="s">
        <v>168</v>
      </c>
      <c r="EDJ29" s="3" t="s">
        <v>169</v>
      </c>
      <c r="EDK29" s="3" t="s">
        <v>168</v>
      </c>
      <c r="EDL29" s="3" t="s">
        <v>169</v>
      </c>
      <c r="EDM29" s="3" t="s">
        <v>168</v>
      </c>
      <c r="EDN29" s="3" t="s">
        <v>169</v>
      </c>
      <c r="EDO29" s="3" t="s">
        <v>168</v>
      </c>
      <c r="EDP29" s="3" t="s">
        <v>169</v>
      </c>
      <c r="EDQ29" s="3" t="s">
        <v>168</v>
      </c>
      <c r="EDR29" s="3" t="s">
        <v>169</v>
      </c>
      <c r="EDS29" s="3" t="s">
        <v>168</v>
      </c>
      <c r="EDT29" s="3" t="s">
        <v>169</v>
      </c>
      <c r="EDU29" s="3" t="s">
        <v>168</v>
      </c>
      <c r="EDV29" s="3" t="s">
        <v>169</v>
      </c>
      <c r="EDW29" s="3" t="s">
        <v>168</v>
      </c>
      <c r="EDX29" s="3" t="s">
        <v>169</v>
      </c>
      <c r="EDY29" s="3" t="s">
        <v>168</v>
      </c>
      <c r="EDZ29" s="3" t="s">
        <v>169</v>
      </c>
      <c r="EEA29" s="3" t="s">
        <v>168</v>
      </c>
      <c r="EEB29" s="3" t="s">
        <v>169</v>
      </c>
      <c r="EEC29" s="3" t="s">
        <v>168</v>
      </c>
      <c r="EED29" s="3" t="s">
        <v>169</v>
      </c>
      <c r="EEE29" s="3" t="s">
        <v>168</v>
      </c>
      <c r="EEF29" s="3" t="s">
        <v>169</v>
      </c>
      <c r="EEG29" s="3" t="s">
        <v>168</v>
      </c>
      <c r="EEH29" s="3" t="s">
        <v>169</v>
      </c>
      <c r="EEI29" s="3" t="s">
        <v>168</v>
      </c>
      <c r="EEJ29" s="3" t="s">
        <v>169</v>
      </c>
      <c r="EEK29" s="3" t="s">
        <v>168</v>
      </c>
      <c r="EEL29" s="3" t="s">
        <v>169</v>
      </c>
      <c r="EEM29" s="3" t="s">
        <v>168</v>
      </c>
      <c r="EEN29" s="3" t="s">
        <v>169</v>
      </c>
      <c r="EEO29" s="3" t="s">
        <v>168</v>
      </c>
      <c r="EEP29" s="3" t="s">
        <v>169</v>
      </c>
      <c r="EEQ29" s="3" t="s">
        <v>168</v>
      </c>
      <c r="EER29" s="3" t="s">
        <v>169</v>
      </c>
      <c r="EES29" s="3" t="s">
        <v>168</v>
      </c>
      <c r="EET29" s="3" t="s">
        <v>169</v>
      </c>
      <c r="EEU29" s="3" t="s">
        <v>168</v>
      </c>
      <c r="EEV29" s="3" t="s">
        <v>169</v>
      </c>
      <c r="EEW29" s="3" t="s">
        <v>168</v>
      </c>
      <c r="EEX29" s="3" t="s">
        <v>169</v>
      </c>
      <c r="EEY29" s="3" t="s">
        <v>168</v>
      </c>
      <c r="EEZ29" s="3" t="s">
        <v>169</v>
      </c>
      <c r="EFA29" s="3" t="s">
        <v>168</v>
      </c>
      <c r="EFB29" s="3" t="s">
        <v>169</v>
      </c>
      <c r="EFC29" s="3" t="s">
        <v>168</v>
      </c>
      <c r="EFD29" s="3" t="s">
        <v>169</v>
      </c>
      <c r="EFE29" s="3" t="s">
        <v>168</v>
      </c>
      <c r="EFF29" s="3" t="s">
        <v>169</v>
      </c>
      <c r="EFG29" s="3" t="s">
        <v>168</v>
      </c>
      <c r="EFH29" s="3" t="s">
        <v>169</v>
      </c>
      <c r="EFI29" s="3" t="s">
        <v>168</v>
      </c>
      <c r="EFJ29" s="3" t="s">
        <v>169</v>
      </c>
      <c r="EFK29" s="3" t="s">
        <v>168</v>
      </c>
      <c r="EFL29" s="3" t="s">
        <v>169</v>
      </c>
      <c r="EFM29" s="3" t="s">
        <v>168</v>
      </c>
      <c r="EFN29" s="3" t="s">
        <v>169</v>
      </c>
      <c r="EFO29" s="3" t="s">
        <v>168</v>
      </c>
      <c r="EFP29" s="3" t="s">
        <v>169</v>
      </c>
      <c r="EFQ29" s="3" t="s">
        <v>168</v>
      </c>
      <c r="EFR29" s="3" t="s">
        <v>169</v>
      </c>
      <c r="EFS29" s="3" t="s">
        <v>168</v>
      </c>
      <c r="EFT29" s="3" t="s">
        <v>169</v>
      </c>
      <c r="EFU29" s="3" t="s">
        <v>168</v>
      </c>
      <c r="EFV29" s="3" t="s">
        <v>169</v>
      </c>
      <c r="EFW29" s="3" t="s">
        <v>168</v>
      </c>
      <c r="EFX29" s="3" t="s">
        <v>169</v>
      </c>
      <c r="EFY29" s="3" t="s">
        <v>168</v>
      </c>
      <c r="EFZ29" s="3" t="s">
        <v>169</v>
      </c>
      <c r="EGA29" s="3" t="s">
        <v>168</v>
      </c>
      <c r="EGB29" s="3" t="s">
        <v>169</v>
      </c>
      <c r="EGC29" s="3" t="s">
        <v>168</v>
      </c>
      <c r="EGD29" s="3" t="s">
        <v>169</v>
      </c>
      <c r="EGE29" s="3" t="s">
        <v>168</v>
      </c>
      <c r="EGF29" s="3" t="s">
        <v>169</v>
      </c>
      <c r="EGG29" s="3" t="s">
        <v>168</v>
      </c>
      <c r="EGH29" s="3" t="s">
        <v>169</v>
      </c>
      <c r="EGI29" s="3" t="s">
        <v>168</v>
      </c>
      <c r="EGJ29" s="3" t="s">
        <v>169</v>
      </c>
      <c r="EGK29" s="3" t="s">
        <v>168</v>
      </c>
      <c r="EGL29" s="3" t="s">
        <v>169</v>
      </c>
      <c r="EGM29" s="3" t="s">
        <v>168</v>
      </c>
      <c r="EGN29" s="3" t="s">
        <v>169</v>
      </c>
      <c r="EGO29" s="3" t="s">
        <v>168</v>
      </c>
      <c r="EGP29" s="3" t="s">
        <v>169</v>
      </c>
      <c r="EGQ29" s="3" t="s">
        <v>168</v>
      </c>
      <c r="EGR29" s="3" t="s">
        <v>169</v>
      </c>
      <c r="EGS29" s="3" t="s">
        <v>168</v>
      </c>
      <c r="EGT29" s="3" t="s">
        <v>169</v>
      </c>
      <c r="EGU29" s="3" t="s">
        <v>168</v>
      </c>
      <c r="EGV29" s="3" t="s">
        <v>169</v>
      </c>
      <c r="EGW29" s="3" t="s">
        <v>168</v>
      </c>
      <c r="EGX29" s="3" t="s">
        <v>169</v>
      </c>
      <c r="EGY29" s="3" t="s">
        <v>168</v>
      </c>
      <c r="EGZ29" s="3" t="s">
        <v>169</v>
      </c>
      <c r="EHA29" s="3" t="s">
        <v>168</v>
      </c>
      <c r="EHB29" s="3" t="s">
        <v>169</v>
      </c>
      <c r="EHC29" s="3" t="s">
        <v>168</v>
      </c>
      <c r="EHD29" s="3" t="s">
        <v>169</v>
      </c>
      <c r="EHE29" s="3" t="s">
        <v>168</v>
      </c>
      <c r="EHF29" s="3" t="s">
        <v>169</v>
      </c>
      <c r="EHG29" s="3" t="s">
        <v>168</v>
      </c>
      <c r="EHH29" s="3" t="s">
        <v>169</v>
      </c>
      <c r="EHI29" s="3" t="s">
        <v>168</v>
      </c>
      <c r="EHJ29" s="3" t="s">
        <v>169</v>
      </c>
      <c r="EHK29" s="3" t="s">
        <v>168</v>
      </c>
      <c r="EHL29" s="3" t="s">
        <v>169</v>
      </c>
      <c r="EHM29" s="3" t="s">
        <v>168</v>
      </c>
      <c r="EHN29" s="3" t="s">
        <v>169</v>
      </c>
      <c r="EHO29" s="3" t="s">
        <v>168</v>
      </c>
      <c r="EHP29" s="3" t="s">
        <v>169</v>
      </c>
      <c r="EHQ29" s="3" t="s">
        <v>168</v>
      </c>
      <c r="EHR29" s="3" t="s">
        <v>169</v>
      </c>
      <c r="EHS29" s="3" t="s">
        <v>168</v>
      </c>
      <c r="EHT29" s="3" t="s">
        <v>169</v>
      </c>
      <c r="EHU29" s="3" t="s">
        <v>168</v>
      </c>
      <c r="EHV29" s="3" t="s">
        <v>169</v>
      </c>
      <c r="EHW29" s="3" t="s">
        <v>168</v>
      </c>
      <c r="EHX29" s="3" t="s">
        <v>169</v>
      </c>
      <c r="EHY29" s="3" t="s">
        <v>168</v>
      </c>
      <c r="EHZ29" s="3" t="s">
        <v>169</v>
      </c>
      <c r="EIA29" s="3" t="s">
        <v>168</v>
      </c>
      <c r="EIB29" s="3" t="s">
        <v>169</v>
      </c>
      <c r="EIC29" s="3" t="s">
        <v>168</v>
      </c>
      <c r="EID29" s="3" t="s">
        <v>169</v>
      </c>
      <c r="EIE29" s="3" t="s">
        <v>168</v>
      </c>
      <c r="EIF29" s="3" t="s">
        <v>169</v>
      </c>
      <c r="EIG29" s="3" t="s">
        <v>168</v>
      </c>
      <c r="EIH29" s="3" t="s">
        <v>169</v>
      </c>
      <c r="EII29" s="3" t="s">
        <v>168</v>
      </c>
      <c r="EIJ29" s="3" t="s">
        <v>169</v>
      </c>
      <c r="EIK29" s="3" t="s">
        <v>168</v>
      </c>
      <c r="EIL29" s="3" t="s">
        <v>169</v>
      </c>
      <c r="EIM29" s="3" t="s">
        <v>168</v>
      </c>
      <c r="EIN29" s="3" t="s">
        <v>169</v>
      </c>
      <c r="EIO29" s="3" t="s">
        <v>168</v>
      </c>
      <c r="EIP29" s="3" t="s">
        <v>169</v>
      </c>
      <c r="EIQ29" s="3" t="s">
        <v>168</v>
      </c>
      <c r="EIR29" s="3" t="s">
        <v>169</v>
      </c>
      <c r="EIS29" s="3" t="s">
        <v>168</v>
      </c>
      <c r="EIT29" s="3" t="s">
        <v>169</v>
      </c>
      <c r="EIU29" s="3" t="s">
        <v>168</v>
      </c>
      <c r="EIV29" s="3" t="s">
        <v>169</v>
      </c>
      <c r="EIW29" s="3" t="s">
        <v>168</v>
      </c>
      <c r="EIX29" s="3" t="s">
        <v>169</v>
      </c>
      <c r="EIY29" s="3" t="s">
        <v>168</v>
      </c>
      <c r="EIZ29" s="3" t="s">
        <v>169</v>
      </c>
      <c r="EJA29" s="3" t="s">
        <v>168</v>
      </c>
      <c r="EJB29" s="3" t="s">
        <v>169</v>
      </c>
      <c r="EJC29" s="3" t="s">
        <v>168</v>
      </c>
      <c r="EJD29" s="3" t="s">
        <v>169</v>
      </c>
      <c r="EJE29" s="3" t="s">
        <v>168</v>
      </c>
      <c r="EJF29" s="3" t="s">
        <v>169</v>
      </c>
      <c r="EJG29" s="3" t="s">
        <v>168</v>
      </c>
      <c r="EJH29" s="3" t="s">
        <v>169</v>
      </c>
      <c r="EJI29" s="3" t="s">
        <v>168</v>
      </c>
      <c r="EJJ29" s="3" t="s">
        <v>169</v>
      </c>
      <c r="EJK29" s="3" t="s">
        <v>168</v>
      </c>
      <c r="EJL29" s="3" t="s">
        <v>169</v>
      </c>
      <c r="EJM29" s="3" t="s">
        <v>168</v>
      </c>
      <c r="EJN29" s="3" t="s">
        <v>169</v>
      </c>
      <c r="EJO29" s="3" t="s">
        <v>168</v>
      </c>
      <c r="EJP29" s="3" t="s">
        <v>169</v>
      </c>
      <c r="EJQ29" s="3" t="s">
        <v>168</v>
      </c>
      <c r="EJR29" s="3" t="s">
        <v>169</v>
      </c>
      <c r="EJS29" s="3" t="s">
        <v>168</v>
      </c>
      <c r="EJT29" s="3" t="s">
        <v>169</v>
      </c>
      <c r="EJU29" s="3" t="s">
        <v>168</v>
      </c>
      <c r="EJV29" s="3" t="s">
        <v>169</v>
      </c>
      <c r="EJW29" s="3" t="s">
        <v>168</v>
      </c>
      <c r="EJX29" s="3" t="s">
        <v>169</v>
      </c>
      <c r="EJY29" s="3" t="s">
        <v>168</v>
      </c>
      <c r="EJZ29" s="3" t="s">
        <v>169</v>
      </c>
      <c r="EKA29" s="3" t="s">
        <v>168</v>
      </c>
      <c r="EKB29" s="3" t="s">
        <v>169</v>
      </c>
      <c r="EKC29" s="3" t="s">
        <v>168</v>
      </c>
      <c r="EKD29" s="3" t="s">
        <v>169</v>
      </c>
      <c r="EKE29" s="3" t="s">
        <v>168</v>
      </c>
      <c r="EKF29" s="3" t="s">
        <v>169</v>
      </c>
      <c r="EKG29" s="3" t="s">
        <v>168</v>
      </c>
      <c r="EKH29" s="3" t="s">
        <v>169</v>
      </c>
      <c r="EKI29" s="3" t="s">
        <v>168</v>
      </c>
      <c r="EKJ29" s="3" t="s">
        <v>169</v>
      </c>
      <c r="EKK29" s="3" t="s">
        <v>168</v>
      </c>
      <c r="EKL29" s="3" t="s">
        <v>169</v>
      </c>
      <c r="EKM29" s="3" t="s">
        <v>168</v>
      </c>
      <c r="EKN29" s="3" t="s">
        <v>169</v>
      </c>
      <c r="EKO29" s="3" t="s">
        <v>168</v>
      </c>
      <c r="EKP29" s="3" t="s">
        <v>169</v>
      </c>
      <c r="EKQ29" s="3" t="s">
        <v>168</v>
      </c>
      <c r="EKR29" s="3" t="s">
        <v>169</v>
      </c>
      <c r="EKS29" s="3" t="s">
        <v>168</v>
      </c>
      <c r="EKT29" s="3" t="s">
        <v>169</v>
      </c>
      <c r="EKU29" s="3" t="s">
        <v>168</v>
      </c>
      <c r="EKV29" s="3" t="s">
        <v>169</v>
      </c>
      <c r="EKW29" s="3" t="s">
        <v>168</v>
      </c>
      <c r="EKX29" s="3" t="s">
        <v>169</v>
      </c>
      <c r="EKY29" s="3" t="s">
        <v>168</v>
      </c>
      <c r="EKZ29" s="3" t="s">
        <v>169</v>
      </c>
      <c r="ELA29" s="3" t="s">
        <v>168</v>
      </c>
      <c r="ELB29" s="3" t="s">
        <v>169</v>
      </c>
      <c r="ELC29" s="3" t="s">
        <v>168</v>
      </c>
      <c r="ELD29" s="3" t="s">
        <v>169</v>
      </c>
      <c r="ELE29" s="3" t="s">
        <v>168</v>
      </c>
      <c r="ELF29" s="3" t="s">
        <v>169</v>
      </c>
      <c r="ELG29" s="3" t="s">
        <v>168</v>
      </c>
      <c r="ELH29" s="3" t="s">
        <v>169</v>
      </c>
      <c r="ELI29" s="3" t="s">
        <v>168</v>
      </c>
      <c r="ELJ29" s="3" t="s">
        <v>169</v>
      </c>
      <c r="ELK29" s="3" t="s">
        <v>168</v>
      </c>
      <c r="ELL29" s="3" t="s">
        <v>169</v>
      </c>
      <c r="ELM29" s="3" t="s">
        <v>168</v>
      </c>
      <c r="ELN29" s="3" t="s">
        <v>169</v>
      </c>
      <c r="ELO29" s="3" t="s">
        <v>168</v>
      </c>
      <c r="ELP29" s="3" t="s">
        <v>169</v>
      </c>
      <c r="ELQ29" s="3" t="s">
        <v>168</v>
      </c>
      <c r="ELR29" s="3" t="s">
        <v>169</v>
      </c>
      <c r="ELS29" s="3" t="s">
        <v>168</v>
      </c>
      <c r="ELT29" s="3" t="s">
        <v>169</v>
      </c>
      <c r="ELU29" s="3" t="s">
        <v>168</v>
      </c>
      <c r="ELV29" s="3" t="s">
        <v>169</v>
      </c>
      <c r="ELW29" s="3" t="s">
        <v>168</v>
      </c>
      <c r="ELX29" s="3" t="s">
        <v>169</v>
      </c>
      <c r="ELY29" s="3" t="s">
        <v>168</v>
      </c>
      <c r="ELZ29" s="3" t="s">
        <v>169</v>
      </c>
      <c r="EMA29" s="3" t="s">
        <v>168</v>
      </c>
      <c r="EMB29" s="3" t="s">
        <v>169</v>
      </c>
      <c r="EMC29" s="3" t="s">
        <v>168</v>
      </c>
      <c r="EMD29" s="3" t="s">
        <v>169</v>
      </c>
      <c r="EME29" s="3" t="s">
        <v>168</v>
      </c>
      <c r="EMF29" s="3" t="s">
        <v>169</v>
      </c>
      <c r="EMG29" s="3" t="s">
        <v>168</v>
      </c>
      <c r="EMH29" s="3" t="s">
        <v>169</v>
      </c>
      <c r="EMI29" s="3" t="s">
        <v>168</v>
      </c>
      <c r="EMJ29" s="3" t="s">
        <v>169</v>
      </c>
      <c r="EMK29" s="3" t="s">
        <v>168</v>
      </c>
      <c r="EML29" s="3" t="s">
        <v>169</v>
      </c>
      <c r="EMM29" s="3" t="s">
        <v>168</v>
      </c>
      <c r="EMN29" s="3" t="s">
        <v>169</v>
      </c>
      <c r="EMO29" s="3" t="s">
        <v>168</v>
      </c>
      <c r="EMP29" s="3" t="s">
        <v>169</v>
      </c>
      <c r="EMQ29" s="3" t="s">
        <v>168</v>
      </c>
      <c r="EMR29" s="3" t="s">
        <v>169</v>
      </c>
      <c r="EMS29" s="3" t="s">
        <v>168</v>
      </c>
      <c r="EMT29" s="3" t="s">
        <v>169</v>
      </c>
      <c r="EMU29" s="3" t="s">
        <v>168</v>
      </c>
      <c r="EMV29" s="3" t="s">
        <v>169</v>
      </c>
      <c r="EMW29" s="3" t="s">
        <v>168</v>
      </c>
      <c r="EMX29" s="3" t="s">
        <v>169</v>
      </c>
      <c r="EMY29" s="3" t="s">
        <v>168</v>
      </c>
      <c r="EMZ29" s="3" t="s">
        <v>169</v>
      </c>
      <c r="ENA29" s="3" t="s">
        <v>168</v>
      </c>
      <c r="ENB29" s="3" t="s">
        <v>169</v>
      </c>
      <c r="ENC29" s="3" t="s">
        <v>168</v>
      </c>
      <c r="END29" s="3" t="s">
        <v>169</v>
      </c>
      <c r="ENE29" s="3" t="s">
        <v>168</v>
      </c>
      <c r="ENF29" s="3" t="s">
        <v>169</v>
      </c>
      <c r="ENG29" s="3" t="s">
        <v>168</v>
      </c>
      <c r="ENH29" s="3" t="s">
        <v>169</v>
      </c>
      <c r="ENI29" s="3" t="s">
        <v>168</v>
      </c>
      <c r="ENJ29" s="3" t="s">
        <v>169</v>
      </c>
      <c r="ENK29" s="3" t="s">
        <v>168</v>
      </c>
      <c r="ENL29" s="3" t="s">
        <v>169</v>
      </c>
      <c r="ENM29" s="3" t="s">
        <v>168</v>
      </c>
      <c r="ENN29" s="3" t="s">
        <v>169</v>
      </c>
      <c r="ENO29" s="3" t="s">
        <v>168</v>
      </c>
      <c r="ENP29" s="3" t="s">
        <v>169</v>
      </c>
      <c r="ENQ29" s="3" t="s">
        <v>168</v>
      </c>
      <c r="ENR29" s="3" t="s">
        <v>169</v>
      </c>
      <c r="ENS29" s="3" t="s">
        <v>168</v>
      </c>
      <c r="ENT29" s="3" t="s">
        <v>169</v>
      </c>
      <c r="ENU29" s="3" t="s">
        <v>168</v>
      </c>
      <c r="ENV29" s="3" t="s">
        <v>169</v>
      </c>
      <c r="ENW29" s="3" t="s">
        <v>168</v>
      </c>
      <c r="ENX29" s="3" t="s">
        <v>169</v>
      </c>
      <c r="ENY29" s="3" t="s">
        <v>168</v>
      </c>
      <c r="ENZ29" s="3" t="s">
        <v>169</v>
      </c>
      <c r="EOA29" s="3" t="s">
        <v>168</v>
      </c>
      <c r="EOB29" s="3" t="s">
        <v>169</v>
      </c>
      <c r="EOC29" s="3" t="s">
        <v>168</v>
      </c>
      <c r="EOD29" s="3" t="s">
        <v>169</v>
      </c>
      <c r="EOE29" s="3" t="s">
        <v>168</v>
      </c>
      <c r="EOF29" s="3" t="s">
        <v>169</v>
      </c>
      <c r="EOG29" s="3" t="s">
        <v>168</v>
      </c>
      <c r="EOH29" s="3" t="s">
        <v>169</v>
      </c>
      <c r="EOI29" s="3" t="s">
        <v>168</v>
      </c>
      <c r="EOJ29" s="3" t="s">
        <v>169</v>
      </c>
      <c r="EOK29" s="3" t="s">
        <v>168</v>
      </c>
      <c r="EOL29" s="3" t="s">
        <v>169</v>
      </c>
      <c r="EOM29" s="3" t="s">
        <v>168</v>
      </c>
      <c r="EON29" s="3" t="s">
        <v>169</v>
      </c>
      <c r="EOO29" s="3" t="s">
        <v>168</v>
      </c>
      <c r="EOP29" s="3" t="s">
        <v>169</v>
      </c>
      <c r="EOQ29" s="3" t="s">
        <v>168</v>
      </c>
      <c r="EOR29" s="3" t="s">
        <v>169</v>
      </c>
      <c r="EOS29" s="3" t="s">
        <v>168</v>
      </c>
      <c r="EOT29" s="3" t="s">
        <v>169</v>
      </c>
      <c r="EOU29" s="3" t="s">
        <v>168</v>
      </c>
      <c r="EOV29" s="3" t="s">
        <v>169</v>
      </c>
      <c r="EOW29" s="3" t="s">
        <v>168</v>
      </c>
      <c r="EOX29" s="3" t="s">
        <v>169</v>
      </c>
      <c r="EOY29" s="3" t="s">
        <v>168</v>
      </c>
      <c r="EOZ29" s="3" t="s">
        <v>169</v>
      </c>
      <c r="EPA29" s="3" t="s">
        <v>168</v>
      </c>
      <c r="EPB29" s="3" t="s">
        <v>169</v>
      </c>
      <c r="EPC29" s="3" t="s">
        <v>168</v>
      </c>
      <c r="EPD29" s="3" t="s">
        <v>169</v>
      </c>
      <c r="EPE29" s="3" t="s">
        <v>168</v>
      </c>
      <c r="EPF29" s="3" t="s">
        <v>169</v>
      </c>
      <c r="EPG29" s="3" t="s">
        <v>168</v>
      </c>
      <c r="EPH29" s="3" t="s">
        <v>169</v>
      </c>
      <c r="EPI29" s="3" t="s">
        <v>168</v>
      </c>
      <c r="EPJ29" s="3" t="s">
        <v>169</v>
      </c>
      <c r="EPK29" s="3" t="s">
        <v>168</v>
      </c>
      <c r="EPL29" s="3" t="s">
        <v>169</v>
      </c>
      <c r="EPM29" s="3" t="s">
        <v>168</v>
      </c>
      <c r="EPN29" s="3" t="s">
        <v>169</v>
      </c>
      <c r="EPO29" s="3" t="s">
        <v>168</v>
      </c>
      <c r="EPP29" s="3" t="s">
        <v>169</v>
      </c>
      <c r="EPQ29" s="3" t="s">
        <v>168</v>
      </c>
      <c r="EPR29" s="3" t="s">
        <v>169</v>
      </c>
      <c r="EPS29" s="3" t="s">
        <v>168</v>
      </c>
      <c r="EPT29" s="3" t="s">
        <v>169</v>
      </c>
      <c r="EPU29" s="3" t="s">
        <v>168</v>
      </c>
      <c r="EPV29" s="3" t="s">
        <v>169</v>
      </c>
      <c r="EPW29" s="3" t="s">
        <v>168</v>
      </c>
      <c r="EPX29" s="3" t="s">
        <v>169</v>
      </c>
      <c r="EPY29" s="3" t="s">
        <v>168</v>
      </c>
      <c r="EPZ29" s="3" t="s">
        <v>169</v>
      </c>
      <c r="EQA29" s="3" t="s">
        <v>168</v>
      </c>
      <c r="EQB29" s="3" t="s">
        <v>169</v>
      </c>
      <c r="EQC29" s="3" t="s">
        <v>168</v>
      </c>
      <c r="EQD29" s="3" t="s">
        <v>169</v>
      </c>
      <c r="EQE29" s="3" t="s">
        <v>168</v>
      </c>
      <c r="EQF29" s="3" t="s">
        <v>169</v>
      </c>
      <c r="EQG29" s="3" t="s">
        <v>168</v>
      </c>
      <c r="EQH29" s="3" t="s">
        <v>169</v>
      </c>
      <c r="EQI29" s="3" t="s">
        <v>168</v>
      </c>
      <c r="EQJ29" s="3" t="s">
        <v>169</v>
      </c>
      <c r="EQK29" s="3" t="s">
        <v>168</v>
      </c>
      <c r="EQL29" s="3" t="s">
        <v>169</v>
      </c>
      <c r="EQM29" s="3" t="s">
        <v>168</v>
      </c>
      <c r="EQN29" s="3" t="s">
        <v>169</v>
      </c>
      <c r="EQO29" s="3" t="s">
        <v>168</v>
      </c>
      <c r="EQP29" s="3" t="s">
        <v>169</v>
      </c>
      <c r="EQQ29" s="3" t="s">
        <v>168</v>
      </c>
      <c r="EQR29" s="3" t="s">
        <v>169</v>
      </c>
      <c r="EQS29" s="3" t="s">
        <v>168</v>
      </c>
      <c r="EQT29" s="3" t="s">
        <v>169</v>
      </c>
      <c r="EQU29" s="3" t="s">
        <v>168</v>
      </c>
      <c r="EQV29" s="3" t="s">
        <v>169</v>
      </c>
      <c r="EQW29" s="3" t="s">
        <v>168</v>
      </c>
      <c r="EQX29" s="3" t="s">
        <v>169</v>
      </c>
      <c r="EQY29" s="3" t="s">
        <v>168</v>
      </c>
      <c r="EQZ29" s="3" t="s">
        <v>169</v>
      </c>
      <c r="ERA29" s="3" t="s">
        <v>168</v>
      </c>
      <c r="ERB29" s="3" t="s">
        <v>169</v>
      </c>
      <c r="ERC29" s="3" t="s">
        <v>168</v>
      </c>
      <c r="ERD29" s="3" t="s">
        <v>169</v>
      </c>
      <c r="ERE29" s="3" t="s">
        <v>168</v>
      </c>
      <c r="ERF29" s="3" t="s">
        <v>169</v>
      </c>
      <c r="ERG29" s="3" t="s">
        <v>168</v>
      </c>
      <c r="ERH29" s="3" t="s">
        <v>169</v>
      </c>
      <c r="ERI29" s="3" t="s">
        <v>168</v>
      </c>
      <c r="ERJ29" s="3" t="s">
        <v>169</v>
      </c>
      <c r="ERK29" s="3" t="s">
        <v>168</v>
      </c>
      <c r="ERL29" s="3" t="s">
        <v>169</v>
      </c>
      <c r="ERM29" s="3" t="s">
        <v>168</v>
      </c>
      <c r="ERN29" s="3" t="s">
        <v>169</v>
      </c>
      <c r="ERO29" s="3" t="s">
        <v>168</v>
      </c>
      <c r="ERP29" s="3" t="s">
        <v>169</v>
      </c>
      <c r="ERQ29" s="3" t="s">
        <v>168</v>
      </c>
      <c r="ERR29" s="3" t="s">
        <v>169</v>
      </c>
      <c r="ERS29" s="3" t="s">
        <v>168</v>
      </c>
      <c r="ERT29" s="3" t="s">
        <v>169</v>
      </c>
      <c r="ERU29" s="3" t="s">
        <v>168</v>
      </c>
      <c r="ERV29" s="3" t="s">
        <v>169</v>
      </c>
      <c r="ERW29" s="3" t="s">
        <v>168</v>
      </c>
      <c r="ERX29" s="3" t="s">
        <v>169</v>
      </c>
      <c r="ERY29" s="3" t="s">
        <v>168</v>
      </c>
      <c r="ERZ29" s="3" t="s">
        <v>169</v>
      </c>
      <c r="ESA29" s="3" t="s">
        <v>168</v>
      </c>
      <c r="ESB29" s="3" t="s">
        <v>169</v>
      </c>
      <c r="ESC29" s="3" t="s">
        <v>168</v>
      </c>
      <c r="ESD29" s="3" t="s">
        <v>169</v>
      </c>
      <c r="ESE29" s="3" t="s">
        <v>168</v>
      </c>
      <c r="ESF29" s="3" t="s">
        <v>169</v>
      </c>
      <c r="ESG29" s="3" t="s">
        <v>168</v>
      </c>
      <c r="ESH29" s="3" t="s">
        <v>169</v>
      </c>
      <c r="ESI29" s="3" t="s">
        <v>168</v>
      </c>
      <c r="ESJ29" s="3" t="s">
        <v>169</v>
      </c>
      <c r="ESK29" s="3" t="s">
        <v>168</v>
      </c>
      <c r="ESL29" s="3" t="s">
        <v>169</v>
      </c>
      <c r="ESM29" s="3" t="s">
        <v>168</v>
      </c>
      <c r="ESN29" s="3" t="s">
        <v>169</v>
      </c>
      <c r="ESO29" s="3" t="s">
        <v>168</v>
      </c>
      <c r="ESP29" s="3" t="s">
        <v>169</v>
      </c>
      <c r="ESQ29" s="3" t="s">
        <v>168</v>
      </c>
      <c r="ESR29" s="3" t="s">
        <v>169</v>
      </c>
      <c r="ESS29" s="3" t="s">
        <v>168</v>
      </c>
      <c r="EST29" s="3" t="s">
        <v>169</v>
      </c>
      <c r="ESU29" s="3" t="s">
        <v>168</v>
      </c>
      <c r="ESV29" s="3" t="s">
        <v>169</v>
      </c>
      <c r="ESW29" s="3" t="s">
        <v>168</v>
      </c>
      <c r="ESX29" s="3" t="s">
        <v>169</v>
      </c>
      <c r="ESY29" s="3" t="s">
        <v>168</v>
      </c>
      <c r="ESZ29" s="3" t="s">
        <v>169</v>
      </c>
      <c r="ETA29" s="3" t="s">
        <v>168</v>
      </c>
      <c r="ETB29" s="3" t="s">
        <v>169</v>
      </c>
      <c r="ETC29" s="3" t="s">
        <v>168</v>
      </c>
      <c r="ETD29" s="3" t="s">
        <v>169</v>
      </c>
      <c r="ETE29" s="3" t="s">
        <v>168</v>
      </c>
      <c r="ETF29" s="3" t="s">
        <v>169</v>
      </c>
      <c r="ETG29" s="3" t="s">
        <v>168</v>
      </c>
      <c r="ETH29" s="3" t="s">
        <v>169</v>
      </c>
      <c r="ETI29" s="3" t="s">
        <v>168</v>
      </c>
      <c r="ETJ29" s="3" t="s">
        <v>169</v>
      </c>
      <c r="ETK29" s="3" t="s">
        <v>168</v>
      </c>
      <c r="ETL29" s="3" t="s">
        <v>169</v>
      </c>
      <c r="ETM29" s="3" t="s">
        <v>168</v>
      </c>
      <c r="ETN29" s="3" t="s">
        <v>169</v>
      </c>
      <c r="ETO29" s="3" t="s">
        <v>168</v>
      </c>
      <c r="ETP29" s="3" t="s">
        <v>169</v>
      </c>
      <c r="ETQ29" s="3" t="s">
        <v>168</v>
      </c>
      <c r="ETR29" s="3" t="s">
        <v>169</v>
      </c>
      <c r="ETS29" s="3" t="s">
        <v>168</v>
      </c>
      <c r="ETT29" s="3" t="s">
        <v>169</v>
      </c>
      <c r="ETU29" s="3" t="s">
        <v>168</v>
      </c>
      <c r="ETV29" s="3" t="s">
        <v>169</v>
      </c>
      <c r="ETW29" s="3" t="s">
        <v>168</v>
      </c>
      <c r="ETX29" s="3" t="s">
        <v>169</v>
      </c>
      <c r="ETY29" s="3" t="s">
        <v>168</v>
      </c>
      <c r="ETZ29" s="3" t="s">
        <v>169</v>
      </c>
      <c r="EUA29" s="3" t="s">
        <v>168</v>
      </c>
      <c r="EUB29" s="3" t="s">
        <v>169</v>
      </c>
      <c r="EUC29" s="3" t="s">
        <v>168</v>
      </c>
      <c r="EUD29" s="3" t="s">
        <v>169</v>
      </c>
      <c r="EUE29" s="3" t="s">
        <v>168</v>
      </c>
      <c r="EUF29" s="3" t="s">
        <v>169</v>
      </c>
      <c r="EUG29" s="3" t="s">
        <v>168</v>
      </c>
      <c r="EUH29" s="3" t="s">
        <v>169</v>
      </c>
      <c r="EUI29" s="3" t="s">
        <v>168</v>
      </c>
      <c r="EUJ29" s="3" t="s">
        <v>169</v>
      </c>
      <c r="EUK29" s="3" t="s">
        <v>168</v>
      </c>
      <c r="EUL29" s="3" t="s">
        <v>169</v>
      </c>
      <c r="EUM29" s="3" t="s">
        <v>168</v>
      </c>
      <c r="EUN29" s="3" t="s">
        <v>169</v>
      </c>
      <c r="EUO29" s="3" t="s">
        <v>168</v>
      </c>
      <c r="EUP29" s="3" t="s">
        <v>169</v>
      </c>
      <c r="EUQ29" s="3" t="s">
        <v>168</v>
      </c>
      <c r="EUR29" s="3" t="s">
        <v>169</v>
      </c>
      <c r="EUS29" s="3" t="s">
        <v>168</v>
      </c>
      <c r="EUT29" s="3" t="s">
        <v>169</v>
      </c>
      <c r="EUU29" s="3" t="s">
        <v>168</v>
      </c>
      <c r="EUV29" s="3" t="s">
        <v>169</v>
      </c>
      <c r="EUW29" s="3" t="s">
        <v>168</v>
      </c>
      <c r="EUX29" s="3" t="s">
        <v>169</v>
      </c>
      <c r="EUY29" s="3" t="s">
        <v>168</v>
      </c>
      <c r="EUZ29" s="3" t="s">
        <v>169</v>
      </c>
      <c r="EVA29" s="3" t="s">
        <v>168</v>
      </c>
      <c r="EVB29" s="3" t="s">
        <v>169</v>
      </c>
      <c r="EVC29" s="3" t="s">
        <v>168</v>
      </c>
      <c r="EVD29" s="3" t="s">
        <v>169</v>
      </c>
      <c r="EVE29" s="3" t="s">
        <v>168</v>
      </c>
      <c r="EVF29" s="3" t="s">
        <v>169</v>
      </c>
      <c r="EVG29" s="3" t="s">
        <v>168</v>
      </c>
      <c r="EVH29" s="3" t="s">
        <v>169</v>
      </c>
      <c r="EVI29" s="3" t="s">
        <v>168</v>
      </c>
      <c r="EVJ29" s="3" t="s">
        <v>169</v>
      </c>
      <c r="EVK29" s="3" t="s">
        <v>168</v>
      </c>
      <c r="EVL29" s="3" t="s">
        <v>169</v>
      </c>
      <c r="EVM29" s="3" t="s">
        <v>168</v>
      </c>
      <c r="EVN29" s="3" t="s">
        <v>169</v>
      </c>
      <c r="EVO29" s="3" t="s">
        <v>168</v>
      </c>
      <c r="EVP29" s="3" t="s">
        <v>169</v>
      </c>
      <c r="EVQ29" s="3" t="s">
        <v>168</v>
      </c>
      <c r="EVR29" s="3" t="s">
        <v>169</v>
      </c>
      <c r="EVS29" s="3" t="s">
        <v>168</v>
      </c>
      <c r="EVT29" s="3" t="s">
        <v>169</v>
      </c>
      <c r="EVU29" s="3" t="s">
        <v>168</v>
      </c>
      <c r="EVV29" s="3" t="s">
        <v>169</v>
      </c>
      <c r="EVW29" s="3" t="s">
        <v>168</v>
      </c>
      <c r="EVX29" s="3" t="s">
        <v>169</v>
      </c>
      <c r="EVY29" s="3" t="s">
        <v>168</v>
      </c>
      <c r="EVZ29" s="3" t="s">
        <v>169</v>
      </c>
      <c r="EWA29" s="3" t="s">
        <v>168</v>
      </c>
      <c r="EWB29" s="3" t="s">
        <v>169</v>
      </c>
      <c r="EWC29" s="3" t="s">
        <v>168</v>
      </c>
      <c r="EWD29" s="3" t="s">
        <v>169</v>
      </c>
      <c r="EWE29" s="3" t="s">
        <v>168</v>
      </c>
      <c r="EWF29" s="3" t="s">
        <v>169</v>
      </c>
      <c r="EWG29" s="3" t="s">
        <v>168</v>
      </c>
      <c r="EWH29" s="3" t="s">
        <v>169</v>
      </c>
      <c r="EWI29" s="3" t="s">
        <v>168</v>
      </c>
      <c r="EWJ29" s="3" t="s">
        <v>169</v>
      </c>
      <c r="EWK29" s="3" t="s">
        <v>168</v>
      </c>
      <c r="EWL29" s="3" t="s">
        <v>169</v>
      </c>
      <c r="EWM29" s="3" t="s">
        <v>168</v>
      </c>
      <c r="EWN29" s="3" t="s">
        <v>169</v>
      </c>
      <c r="EWO29" s="3" t="s">
        <v>168</v>
      </c>
      <c r="EWP29" s="3" t="s">
        <v>169</v>
      </c>
      <c r="EWQ29" s="3" t="s">
        <v>168</v>
      </c>
      <c r="EWR29" s="3" t="s">
        <v>169</v>
      </c>
      <c r="EWS29" s="3" t="s">
        <v>168</v>
      </c>
      <c r="EWT29" s="3" t="s">
        <v>169</v>
      </c>
      <c r="EWU29" s="3" t="s">
        <v>168</v>
      </c>
      <c r="EWV29" s="3" t="s">
        <v>169</v>
      </c>
      <c r="EWW29" s="3" t="s">
        <v>168</v>
      </c>
      <c r="EWX29" s="3" t="s">
        <v>169</v>
      </c>
      <c r="EWY29" s="3" t="s">
        <v>168</v>
      </c>
      <c r="EWZ29" s="3" t="s">
        <v>169</v>
      </c>
      <c r="EXA29" s="3" t="s">
        <v>168</v>
      </c>
      <c r="EXB29" s="3" t="s">
        <v>169</v>
      </c>
      <c r="EXC29" s="3" t="s">
        <v>168</v>
      </c>
      <c r="EXD29" s="3" t="s">
        <v>169</v>
      </c>
      <c r="EXE29" s="3" t="s">
        <v>168</v>
      </c>
      <c r="EXF29" s="3" t="s">
        <v>169</v>
      </c>
      <c r="EXG29" s="3" t="s">
        <v>168</v>
      </c>
      <c r="EXH29" s="3" t="s">
        <v>169</v>
      </c>
      <c r="EXI29" s="3" t="s">
        <v>168</v>
      </c>
      <c r="EXJ29" s="3" t="s">
        <v>169</v>
      </c>
      <c r="EXK29" s="3" t="s">
        <v>168</v>
      </c>
      <c r="EXL29" s="3" t="s">
        <v>169</v>
      </c>
      <c r="EXM29" s="3" t="s">
        <v>168</v>
      </c>
      <c r="EXN29" s="3" t="s">
        <v>169</v>
      </c>
      <c r="EXO29" s="3" t="s">
        <v>168</v>
      </c>
      <c r="EXP29" s="3" t="s">
        <v>169</v>
      </c>
      <c r="EXQ29" s="3" t="s">
        <v>168</v>
      </c>
      <c r="EXR29" s="3" t="s">
        <v>169</v>
      </c>
      <c r="EXS29" s="3" t="s">
        <v>168</v>
      </c>
      <c r="EXT29" s="3" t="s">
        <v>169</v>
      </c>
      <c r="EXU29" s="3" t="s">
        <v>168</v>
      </c>
      <c r="EXV29" s="3" t="s">
        <v>169</v>
      </c>
      <c r="EXW29" s="3" t="s">
        <v>168</v>
      </c>
      <c r="EXX29" s="3" t="s">
        <v>169</v>
      </c>
      <c r="EXY29" s="3" t="s">
        <v>168</v>
      </c>
      <c r="EXZ29" s="3" t="s">
        <v>169</v>
      </c>
      <c r="EYA29" s="3" t="s">
        <v>168</v>
      </c>
      <c r="EYB29" s="3" t="s">
        <v>169</v>
      </c>
      <c r="EYC29" s="3" t="s">
        <v>168</v>
      </c>
      <c r="EYD29" s="3" t="s">
        <v>169</v>
      </c>
      <c r="EYE29" s="3" t="s">
        <v>168</v>
      </c>
      <c r="EYF29" s="3" t="s">
        <v>169</v>
      </c>
      <c r="EYG29" s="3" t="s">
        <v>168</v>
      </c>
      <c r="EYH29" s="3" t="s">
        <v>169</v>
      </c>
      <c r="EYI29" s="3" t="s">
        <v>168</v>
      </c>
      <c r="EYJ29" s="3" t="s">
        <v>169</v>
      </c>
      <c r="EYK29" s="3" t="s">
        <v>168</v>
      </c>
      <c r="EYL29" s="3" t="s">
        <v>169</v>
      </c>
      <c r="EYM29" s="3" t="s">
        <v>168</v>
      </c>
      <c r="EYN29" s="3" t="s">
        <v>169</v>
      </c>
      <c r="EYO29" s="3" t="s">
        <v>168</v>
      </c>
      <c r="EYP29" s="3" t="s">
        <v>169</v>
      </c>
      <c r="EYQ29" s="3" t="s">
        <v>168</v>
      </c>
      <c r="EYR29" s="3" t="s">
        <v>169</v>
      </c>
      <c r="EYS29" s="3" t="s">
        <v>168</v>
      </c>
      <c r="EYT29" s="3" t="s">
        <v>169</v>
      </c>
      <c r="EYU29" s="3" t="s">
        <v>168</v>
      </c>
      <c r="EYV29" s="3" t="s">
        <v>169</v>
      </c>
      <c r="EYW29" s="3" t="s">
        <v>168</v>
      </c>
      <c r="EYX29" s="3" t="s">
        <v>169</v>
      </c>
      <c r="EYY29" s="3" t="s">
        <v>168</v>
      </c>
      <c r="EYZ29" s="3" t="s">
        <v>169</v>
      </c>
      <c r="EZA29" s="3" t="s">
        <v>168</v>
      </c>
      <c r="EZB29" s="3" t="s">
        <v>169</v>
      </c>
      <c r="EZC29" s="3" t="s">
        <v>168</v>
      </c>
      <c r="EZD29" s="3" t="s">
        <v>169</v>
      </c>
      <c r="EZE29" s="3" t="s">
        <v>168</v>
      </c>
      <c r="EZF29" s="3" t="s">
        <v>169</v>
      </c>
      <c r="EZG29" s="3" t="s">
        <v>168</v>
      </c>
      <c r="EZH29" s="3" t="s">
        <v>169</v>
      </c>
      <c r="EZI29" s="3" t="s">
        <v>168</v>
      </c>
      <c r="EZJ29" s="3" t="s">
        <v>169</v>
      </c>
      <c r="EZK29" s="3" t="s">
        <v>168</v>
      </c>
      <c r="EZL29" s="3" t="s">
        <v>169</v>
      </c>
      <c r="EZM29" s="3" t="s">
        <v>168</v>
      </c>
      <c r="EZN29" s="3" t="s">
        <v>169</v>
      </c>
      <c r="EZO29" s="3" t="s">
        <v>168</v>
      </c>
      <c r="EZP29" s="3" t="s">
        <v>169</v>
      </c>
      <c r="EZQ29" s="3" t="s">
        <v>168</v>
      </c>
      <c r="EZR29" s="3" t="s">
        <v>169</v>
      </c>
      <c r="EZS29" s="3" t="s">
        <v>168</v>
      </c>
      <c r="EZT29" s="3" t="s">
        <v>169</v>
      </c>
      <c r="EZU29" s="3" t="s">
        <v>168</v>
      </c>
      <c r="EZV29" s="3" t="s">
        <v>169</v>
      </c>
      <c r="EZW29" s="3" t="s">
        <v>168</v>
      </c>
      <c r="EZX29" s="3" t="s">
        <v>169</v>
      </c>
      <c r="EZY29" s="3" t="s">
        <v>168</v>
      </c>
      <c r="EZZ29" s="3" t="s">
        <v>169</v>
      </c>
      <c r="FAA29" s="3" t="s">
        <v>168</v>
      </c>
      <c r="FAB29" s="3" t="s">
        <v>169</v>
      </c>
      <c r="FAC29" s="3" t="s">
        <v>168</v>
      </c>
      <c r="FAD29" s="3" t="s">
        <v>169</v>
      </c>
      <c r="FAE29" s="3" t="s">
        <v>168</v>
      </c>
      <c r="FAF29" s="3" t="s">
        <v>169</v>
      </c>
      <c r="FAG29" s="3" t="s">
        <v>168</v>
      </c>
      <c r="FAH29" s="3" t="s">
        <v>169</v>
      </c>
      <c r="FAI29" s="3" t="s">
        <v>168</v>
      </c>
      <c r="FAJ29" s="3" t="s">
        <v>169</v>
      </c>
      <c r="FAK29" s="3" t="s">
        <v>168</v>
      </c>
      <c r="FAL29" s="3" t="s">
        <v>169</v>
      </c>
      <c r="FAM29" s="3" t="s">
        <v>168</v>
      </c>
      <c r="FAN29" s="3" t="s">
        <v>169</v>
      </c>
      <c r="FAO29" s="3" t="s">
        <v>168</v>
      </c>
      <c r="FAP29" s="3" t="s">
        <v>169</v>
      </c>
      <c r="FAQ29" s="3" t="s">
        <v>168</v>
      </c>
      <c r="FAR29" s="3" t="s">
        <v>169</v>
      </c>
      <c r="FAS29" s="3" t="s">
        <v>168</v>
      </c>
      <c r="FAT29" s="3" t="s">
        <v>169</v>
      </c>
      <c r="FAU29" s="3" t="s">
        <v>168</v>
      </c>
      <c r="FAV29" s="3" t="s">
        <v>169</v>
      </c>
      <c r="FAW29" s="3" t="s">
        <v>168</v>
      </c>
      <c r="FAX29" s="3" t="s">
        <v>169</v>
      </c>
      <c r="FAY29" s="3" t="s">
        <v>168</v>
      </c>
      <c r="FAZ29" s="3" t="s">
        <v>169</v>
      </c>
      <c r="FBA29" s="3" t="s">
        <v>168</v>
      </c>
      <c r="FBB29" s="3" t="s">
        <v>169</v>
      </c>
      <c r="FBC29" s="3" t="s">
        <v>168</v>
      </c>
      <c r="FBD29" s="3" t="s">
        <v>169</v>
      </c>
      <c r="FBE29" s="3" t="s">
        <v>168</v>
      </c>
      <c r="FBF29" s="3" t="s">
        <v>169</v>
      </c>
      <c r="FBG29" s="3" t="s">
        <v>168</v>
      </c>
      <c r="FBH29" s="3" t="s">
        <v>169</v>
      </c>
      <c r="FBI29" s="3" t="s">
        <v>168</v>
      </c>
      <c r="FBJ29" s="3" t="s">
        <v>169</v>
      </c>
      <c r="FBK29" s="3" t="s">
        <v>168</v>
      </c>
      <c r="FBL29" s="3" t="s">
        <v>169</v>
      </c>
      <c r="FBM29" s="3" t="s">
        <v>168</v>
      </c>
      <c r="FBN29" s="3" t="s">
        <v>169</v>
      </c>
      <c r="FBO29" s="3" t="s">
        <v>168</v>
      </c>
      <c r="FBP29" s="3" t="s">
        <v>169</v>
      </c>
      <c r="FBQ29" s="3" t="s">
        <v>168</v>
      </c>
      <c r="FBR29" s="3" t="s">
        <v>169</v>
      </c>
      <c r="FBS29" s="3" t="s">
        <v>168</v>
      </c>
      <c r="FBT29" s="3" t="s">
        <v>169</v>
      </c>
      <c r="FBU29" s="3" t="s">
        <v>168</v>
      </c>
      <c r="FBV29" s="3" t="s">
        <v>169</v>
      </c>
      <c r="FBW29" s="3" t="s">
        <v>168</v>
      </c>
      <c r="FBX29" s="3" t="s">
        <v>169</v>
      </c>
      <c r="FBY29" s="3" t="s">
        <v>168</v>
      </c>
      <c r="FBZ29" s="3" t="s">
        <v>169</v>
      </c>
      <c r="FCA29" s="3" t="s">
        <v>168</v>
      </c>
      <c r="FCB29" s="3" t="s">
        <v>169</v>
      </c>
      <c r="FCC29" s="3" t="s">
        <v>168</v>
      </c>
      <c r="FCD29" s="3" t="s">
        <v>169</v>
      </c>
      <c r="FCE29" s="3" t="s">
        <v>168</v>
      </c>
      <c r="FCF29" s="3" t="s">
        <v>169</v>
      </c>
      <c r="FCG29" s="3" t="s">
        <v>168</v>
      </c>
      <c r="FCH29" s="3" t="s">
        <v>169</v>
      </c>
      <c r="FCI29" s="3" t="s">
        <v>168</v>
      </c>
      <c r="FCJ29" s="3" t="s">
        <v>169</v>
      </c>
      <c r="FCK29" s="3" t="s">
        <v>168</v>
      </c>
      <c r="FCL29" s="3" t="s">
        <v>169</v>
      </c>
      <c r="FCM29" s="3" t="s">
        <v>168</v>
      </c>
      <c r="FCN29" s="3" t="s">
        <v>169</v>
      </c>
      <c r="FCO29" s="3" t="s">
        <v>168</v>
      </c>
      <c r="FCP29" s="3" t="s">
        <v>169</v>
      </c>
      <c r="FCQ29" s="3" t="s">
        <v>168</v>
      </c>
      <c r="FCR29" s="3" t="s">
        <v>169</v>
      </c>
      <c r="FCS29" s="3" t="s">
        <v>168</v>
      </c>
      <c r="FCT29" s="3" t="s">
        <v>169</v>
      </c>
      <c r="FCU29" s="3" t="s">
        <v>168</v>
      </c>
      <c r="FCV29" s="3" t="s">
        <v>169</v>
      </c>
      <c r="FCW29" s="3" t="s">
        <v>168</v>
      </c>
      <c r="FCX29" s="3" t="s">
        <v>169</v>
      </c>
      <c r="FCY29" s="3" t="s">
        <v>168</v>
      </c>
      <c r="FCZ29" s="3" t="s">
        <v>169</v>
      </c>
      <c r="FDA29" s="3" t="s">
        <v>168</v>
      </c>
      <c r="FDB29" s="3" t="s">
        <v>169</v>
      </c>
      <c r="FDC29" s="3" t="s">
        <v>168</v>
      </c>
      <c r="FDD29" s="3" t="s">
        <v>169</v>
      </c>
      <c r="FDE29" s="3" t="s">
        <v>168</v>
      </c>
      <c r="FDF29" s="3" t="s">
        <v>169</v>
      </c>
      <c r="FDG29" s="3" t="s">
        <v>168</v>
      </c>
      <c r="FDH29" s="3" t="s">
        <v>169</v>
      </c>
      <c r="FDI29" s="3" t="s">
        <v>168</v>
      </c>
      <c r="FDJ29" s="3" t="s">
        <v>169</v>
      </c>
      <c r="FDK29" s="3" t="s">
        <v>168</v>
      </c>
      <c r="FDL29" s="3" t="s">
        <v>169</v>
      </c>
      <c r="FDM29" s="3" t="s">
        <v>168</v>
      </c>
      <c r="FDN29" s="3" t="s">
        <v>169</v>
      </c>
      <c r="FDO29" s="3" t="s">
        <v>168</v>
      </c>
      <c r="FDP29" s="3" t="s">
        <v>169</v>
      </c>
      <c r="FDQ29" s="3" t="s">
        <v>168</v>
      </c>
      <c r="FDR29" s="3" t="s">
        <v>169</v>
      </c>
      <c r="FDS29" s="3" t="s">
        <v>168</v>
      </c>
      <c r="FDT29" s="3" t="s">
        <v>169</v>
      </c>
      <c r="FDU29" s="3" t="s">
        <v>168</v>
      </c>
      <c r="FDV29" s="3" t="s">
        <v>169</v>
      </c>
      <c r="FDW29" s="3" t="s">
        <v>168</v>
      </c>
      <c r="FDX29" s="3" t="s">
        <v>169</v>
      </c>
      <c r="FDY29" s="3" t="s">
        <v>168</v>
      </c>
      <c r="FDZ29" s="3" t="s">
        <v>169</v>
      </c>
      <c r="FEA29" s="3" t="s">
        <v>168</v>
      </c>
      <c r="FEB29" s="3" t="s">
        <v>169</v>
      </c>
      <c r="FEC29" s="3" t="s">
        <v>168</v>
      </c>
      <c r="FED29" s="3" t="s">
        <v>169</v>
      </c>
      <c r="FEE29" s="3" t="s">
        <v>168</v>
      </c>
      <c r="FEF29" s="3" t="s">
        <v>169</v>
      </c>
      <c r="FEG29" s="3" t="s">
        <v>168</v>
      </c>
      <c r="FEH29" s="3" t="s">
        <v>169</v>
      </c>
      <c r="FEI29" s="3" t="s">
        <v>168</v>
      </c>
      <c r="FEJ29" s="3" t="s">
        <v>169</v>
      </c>
      <c r="FEK29" s="3" t="s">
        <v>168</v>
      </c>
      <c r="FEL29" s="3" t="s">
        <v>169</v>
      </c>
      <c r="FEM29" s="3" t="s">
        <v>168</v>
      </c>
      <c r="FEN29" s="3" t="s">
        <v>169</v>
      </c>
      <c r="FEO29" s="3" t="s">
        <v>168</v>
      </c>
      <c r="FEP29" s="3" t="s">
        <v>169</v>
      </c>
      <c r="FEQ29" s="3" t="s">
        <v>168</v>
      </c>
      <c r="FER29" s="3" t="s">
        <v>169</v>
      </c>
      <c r="FES29" s="3" t="s">
        <v>168</v>
      </c>
      <c r="FET29" s="3" t="s">
        <v>169</v>
      </c>
      <c r="FEU29" s="3" t="s">
        <v>168</v>
      </c>
      <c r="FEV29" s="3" t="s">
        <v>169</v>
      </c>
      <c r="FEW29" s="3" t="s">
        <v>168</v>
      </c>
      <c r="FEX29" s="3" t="s">
        <v>169</v>
      </c>
      <c r="FEY29" s="3" t="s">
        <v>168</v>
      </c>
      <c r="FEZ29" s="3" t="s">
        <v>169</v>
      </c>
      <c r="FFA29" s="3" t="s">
        <v>168</v>
      </c>
      <c r="FFB29" s="3" t="s">
        <v>169</v>
      </c>
      <c r="FFC29" s="3" t="s">
        <v>168</v>
      </c>
      <c r="FFD29" s="3" t="s">
        <v>169</v>
      </c>
      <c r="FFE29" s="3" t="s">
        <v>168</v>
      </c>
      <c r="FFF29" s="3" t="s">
        <v>169</v>
      </c>
      <c r="FFG29" s="3" t="s">
        <v>168</v>
      </c>
      <c r="FFH29" s="3" t="s">
        <v>169</v>
      </c>
      <c r="FFI29" s="3" t="s">
        <v>168</v>
      </c>
      <c r="FFJ29" s="3" t="s">
        <v>169</v>
      </c>
      <c r="FFK29" s="3" t="s">
        <v>168</v>
      </c>
      <c r="FFL29" s="3" t="s">
        <v>169</v>
      </c>
      <c r="FFM29" s="3" t="s">
        <v>168</v>
      </c>
      <c r="FFN29" s="3" t="s">
        <v>169</v>
      </c>
      <c r="FFO29" s="3" t="s">
        <v>168</v>
      </c>
      <c r="FFP29" s="3" t="s">
        <v>169</v>
      </c>
      <c r="FFQ29" s="3" t="s">
        <v>168</v>
      </c>
      <c r="FFR29" s="3" t="s">
        <v>169</v>
      </c>
      <c r="FFS29" s="3" t="s">
        <v>168</v>
      </c>
      <c r="FFT29" s="3" t="s">
        <v>169</v>
      </c>
      <c r="FFU29" s="3" t="s">
        <v>168</v>
      </c>
      <c r="FFV29" s="3" t="s">
        <v>169</v>
      </c>
      <c r="FFW29" s="3" t="s">
        <v>168</v>
      </c>
      <c r="FFX29" s="3" t="s">
        <v>169</v>
      </c>
      <c r="FFY29" s="3" t="s">
        <v>168</v>
      </c>
      <c r="FFZ29" s="3" t="s">
        <v>169</v>
      </c>
      <c r="FGA29" s="3" t="s">
        <v>168</v>
      </c>
      <c r="FGB29" s="3" t="s">
        <v>169</v>
      </c>
      <c r="FGC29" s="3" t="s">
        <v>168</v>
      </c>
      <c r="FGD29" s="3" t="s">
        <v>169</v>
      </c>
      <c r="FGE29" s="3" t="s">
        <v>168</v>
      </c>
      <c r="FGF29" s="3" t="s">
        <v>169</v>
      </c>
      <c r="FGG29" s="3" t="s">
        <v>168</v>
      </c>
      <c r="FGH29" s="3" t="s">
        <v>169</v>
      </c>
      <c r="FGI29" s="3" t="s">
        <v>168</v>
      </c>
      <c r="FGJ29" s="3" t="s">
        <v>169</v>
      </c>
      <c r="FGK29" s="3" t="s">
        <v>168</v>
      </c>
      <c r="FGL29" s="3" t="s">
        <v>169</v>
      </c>
      <c r="FGM29" s="3" t="s">
        <v>168</v>
      </c>
      <c r="FGN29" s="3" t="s">
        <v>169</v>
      </c>
      <c r="FGO29" s="3" t="s">
        <v>168</v>
      </c>
      <c r="FGP29" s="3" t="s">
        <v>169</v>
      </c>
      <c r="FGQ29" s="3" t="s">
        <v>168</v>
      </c>
      <c r="FGR29" s="3" t="s">
        <v>169</v>
      </c>
      <c r="FGS29" s="3" t="s">
        <v>168</v>
      </c>
      <c r="FGT29" s="3" t="s">
        <v>169</v>
      </c>
      <c r="FGU29" s="3" t="s">
        <v>168</v>
      </c>
      <c r="FGV29" s="3" t="s">
        <v>169</v>
      </c>
      <c r="FGW29" s="3" t="s">
        <v>168</v>
      </c>
      <c r="FGX29" s="3" t="s">
        <v>169</v>
      </c>
      <c r="FGY29" s="3" t="s">
        <v>168</v>
      </c>
      <c r="FGZ29" s="3" t="s">
        <v>169</v>
      </c>
      <c r="FHA29" s="3" t="s">
        <v>168</v>
      </c>
      <c r="FHB29" s="3" t="s">
        <v>169</v>
      </c>
      <c r="FHC29" s="3" t="s">
        <v>168</v>
      </c>
      <c r="FHD29" s="3" t="s">
        <v>169</v>
      </c>
      <c r="FHE29" s="3" t="s">
        <v>168</v>
      </c>
      <c r="FHF29" s="3" t="s">
        <v>169</v>
      </c>
      <c r="FHG29" s="3" t="s">
        <v>168</v>
      </c>
      <c r="FHH29" s="3" t="s">
        <v>169</v>
      </c>
      <c r="FHI29" s="3" t="s">
        <v>168</v>
      </c>
      <c r="FHJ29" s="3" t="s">
        <v>169</v>
      </c>
      <c r="FHK29" s="3" t="s">
        <v>168</v>
      </c>
      <c r="FHL29" s="3" t="s">
        <v>169</v>
      </c>
      <c r="FHM29" s="3" t="s">
        <v>168</v>
      </c>
      <c r="FHN29" s="3" t="s">
        <v>169</v>
      </c>
      <c r="FHO29" s="3" t="s">
        <v>168</v>
      </c>
      <c r="FHP29" s="3" t="s">
        <v>169</v>
      </c>
      <c r="FHQ29" s="3" t="s">
        <v>168</v>
      </c>
      <c r="FHR29" s="3" t="s">
        <v>169</v>
      </c>
      <c r="FHS29" s="3" t="s">
        <v>168</v>
      </c>
      <c r="FHT29" s="3" t="s">
        <v>169</v>
      </c>
      <c r="FHU29" s="3" t="s">
        <v>168</v>
      </c>
      <c r="FHV29" s="3" t="s">
        <v>169</v>
      </c>
      <c r="FHW29" s="3" t="s">
        <v>168</v>
      </c>
      <c r="FHX29" s="3" t="s">
        <v>169</v>
      </c>
      <c r="FHY29" s="3" t="s">
        <v>168</v>
      </c>
      <c r="FHZ29" s="3" t="s">
        <v>169</v>
      </c>
      <c r="FIA29" s="3" t="s">
        <v>168</v>
      </c>
      <c r="FIB29" s="3" t="s">
        <v>169</v>
      </c>
      <c r="FIC29" s="3" t="s">
        <v>168</v>
      </c>
      <c r="FID29" s="3" t="s">
        <v>169</v>
      </c>
      <c r="FIE29" s="3" t="s">
        <v>168</v>
      </c>
      <c r="FIF29" s="3" t="s">
        <v>169</v>
      </c>
      <c r="FIG29" s="3" t="s">
        <v>168</v>
      </c>
      <c r="FIH29" s="3" t="s">
        <v>169</v>
      </c>
      <c r="FII29" s="3" t="s">
        <v>168</v>
      </c>
      <c r="FIJ29" s="3" t="s">
        <v>169</v>
      </c>
      <c r="FIK29" s="3" t="s">
        <v>168</v>
      </c>
      <c r="FIL29" s="3" t="s">
        <v>169</v>
      </c>
      <c r="FIM29" s="3" t="s">
        <v>168</v>
      </c>
      <c r="FIN29" s="3" t="s">
        <v>169</v>
      </c>
      <c r="FIO29" s="3" t="s">
        <v>168</v>
      </c>
      <c r="FIP29" s="3" t="s">
        <v>169</v>
      </c>
      <c r="FIQ29" s="3" t="s">
        <v>168</v>
      </c>
      <c r="FIR29" s="3" t="s">
        <v>169</v>
      </c>
      <c r="FIS29" s="3" t="s">
        <v>168</v>
      </c>
      <c r="FIT29" s="3" t="s">
        <v>169</v>
      </c>
      <c r="FIU29" s="3" t="s">
        <v>168</v>
      </c>
      <c r="FIV29" s="3" t="s">
        <v>169</v>
      </c>
      <c r="FIW29" s="3" t="s">
        <v>168</v>
      </c>
      <c r="FIX29" s="3" t="s">
        <v>169</v>
      </c>
      <c r="FIY29" s="3" t="s">
        <v>168</v>
      </c>
      <c r="FIZ29" s="3" t="s">
        <v>169</v>
      </c>
      <c r="FJA29" s="3" t="s">
        <v>168</v>
      </c>
      <c r="FJB29" s="3" t="s">
        <v>169</v>
      </c>
      <c r="FJC29" s="3" t="s">
        <v>168</v>
      </c>
      <c r="FJD29" s="3" t="s">
        <v>169</v>
      </c>
      <c r="FJE29" s="3" t="s">
        <v>168</v>
      </c>
      <c r="FJF29" s="3" t="s">
        <v>169</v>
      </c>
      <c r="FJG29" s="3" t="s">
        <v>168</v>
      </c>
      <c r="FJH29" s="3" t="s">
        <v>169</v>
      </c>
      <c r="FJI29" s="3" t="s">
        <v>168</v>
      </c>
      <c r="FJJ29" s="3" t="s">
        <v>169</v>
      </c>
      <c r="FJK29" s="3" t="s">
        <v>168</v>
      </c>
      <c r="FJL29" s="3" t="s">
        <v>169</v>
      </c>
      <c r="FJM29" s="3" t="s">
        <v>168</v>
      </c>
      <c r="FJN29" s="3" t="s">
        <v>169</v>
      </c>
      <c r="FJO29" s="3" t="s">
        <v>168</v>
      </c>
      <c r="FJP29" s="3" t="s">
        <v>169</v>
      </c>
      <c r="FJQ29" s="3" t="s">
        <v>168</v>
      </c>
      <c r="FJR29" s="3" t="s">
        <v>169</v>
      </c>
      <c r="FJS29" s="3" t="s">
        <v>168</v>
      </c>
      <c r="FJT29" s="3" t="s">
        <v>169</v>
      </c>
      <c r="FJU29" s="3" t="s">
        <v>168</v>
      </c>
      <c r="FJV29" s="3" t="s">
        <v>169</v>
      </c>
      <c r="FJW29" s="3" t="s">
        <v>168</v>
      </c>
      <c r="FJX29" s="3" t="s">
        <v>169</v>
      </c>
      <c r="FJY29" s="3" t="s">
        <v>168</v>
      </c>
      <c r="FJZ29" s="3" t="s">
        <v>169</v>
      </c>
      <c r="FKA29" s="3" t="s">
        <v>168</v>
      </c>
      <c r="FKB29" s="3" t="s">
        <v>169</v>
      </c>
      <c r="FKC29" s="3" t="s">
        <v>168</v>
      </c>
      <c r="FKD29" s="3" t="s">
        <v>169</v>
      </c>
      <c r="FKE29" s="3" t="s">
        <v>168</v>
      </c>
      <c r="FKF29" s="3" t="s">
        <v>169</v>
      </c>
      <c r="FKG29" s="3" t="s">
        <v>168</v>
      </c>
      <c r="FKH29" s="3" t="s">
        <v>169</v>
      </c>
      <c r="FKI29" s="3" t="s">
        <v>168</v>
      </c>
      <c r="FKJ29" s="3" t="s">
        <v>169</v>
      </c>
      <c r="FKK29" s="3" t="s">
        <v>168</v>
      </c>
      <c r="FKL29" s="3" t="s">
        <v>169</v>
      </c>
      <c r="FKM29" s="3" t="s">
        <v>168</v>
      </c>
      <c r="FKN29" s="3" t="s">
        <v>169</v>
      </c>
      <c r="FKO29" s="3" t="s">
        <v>168</v>
      </c>
      <c r="FKP29" s="3" t="s">
        <v>169</v>
      </c>
      <c r="FKQ29" s="3" t="s">
        <v>168</v>
      </c>
      <c r="FKR29" s="3" t="s">
        <v>169</v>
      </c>
      <c r="FKS29" s="3" t="s">
        <v>168</v>
      </c>
      <c r="FKT29" s="3" t="s">
        <v>169</v>
      </c>
      <c r="FKU29" s="3" t="s">
        <v>168</v>
      </c>
      <c r="FKV29" s="3" t="s">
        <v>169</v>
      </c>
      <c r="FKW29" s="3" t="s">
        <v>168</v>
      </c>
      <c r="FKX29" s="3" t="s">
        <v>169</v>
      </c>
      <c r="FKY29" s="3" t="s">
        <v>168</v>
      </c>
      <c r="FKZ29" s="3" t="s">
        <v>169</v>
      </c>
      <c r="FLA29" s="3" t="s">
        <v>168</v>
      </c>
      <c r="FLB29" s="3" t="s">
        <v>169</v>
      </c>
      <c r="FLC29" s="3" t="s">
        <v>168</v>
      </c>
      <c r="FLD29" s="3" t="s">
        <v>169</v>
      </c>
      <c r="FLE29" s="3" t="s">
        <v>168</v>
      </c>
      <c r="FLF29" s="3" t="s">
        <v>169</v>
      </c>
      <c r="FLG29" s="3" t="s">
        <v>168</v>
      </c>
      <c r="FLH29" s="3" t="s">
        <v>169</v>
      </c>
      <c r="FLI29" s="3" t="s">
        <v>168</v>
      </c>
      <c r="FLJ29" s="3" t="s">
        <v>169</v>
      </c>
      <c r="FLK29" s="3" t="s">
        <v>168</v>
      </c>
      <c r="FLL29" s="3" t="s">
        <v>169</v>
      </c>
      <c r="FLM29" s="3" t="s">
        <v>168</v>
      </c>
      <c r="FLN29" s="3" t="s">
        <v>169</v>
      </c>
      <c r="FLO29" s="3" t="s">
        <v>168</v>
      </c>
      <c r="FLP29" s="3" t="s">
        <v>169</v>
      </c>
      <c r="FLQ29" s="3" t="s">
        <v>168</v>
      </c>
      <c r="FLR29" s="3" t="s">
        <v>169</v>
      </c>
      <c r="FLS29" s="3" t="s">
        <v>168</v>
      </c>
      <c r="FLT29" s="3" t="s">
        <v>169</v>
      </c>
      <c r="FLU29" s="3" t="s">
        <v>168</v>
      </c>
      <c r="FLV29" s="3" t="s">
        <v>169</v>
      </c>
      <c r="FLW29" s="3" t="s">
        <v>168</v>
      </c>
      <c r="FLX29" s="3" t="s">
        <v>169</v>
      </c>
      <c r="FLY29" s="3" t="s">
        <v>168</v>
      </c>
      <c r="FLZ29" s="3" t="s">
        <v>169</v>
      </c>
      <c r="FMA29" s="3" t="s">
        <v>168</v>
      </c>
      <c r="FMB29" s="3" t="s">
        <v>169</v>
      </c>
      <c r="FMC29" s="3" t="s">
        <v>168</v>
      </c>
      <c r="FMD29" s="3" t="s">
        <v>169</v>
      </c>
      <c r="FME29" s="3" t="s">
        <v>168</v>
      </c>
      <c r="FMF29" s="3" t="s">
        <v>169</v>
      </c>
      <c r="FMG29" s="3" t="s">
        <v>168</v>
      </c>
      <c r="FMH29" s="3" t="s">
        <v>169</v>
      </c>
      <c r="FMI29" s="3" t="s">
        <v>168</v>
      </c>
      <c r="FMJ29" s="3" t="s">
        <v>169</v>
      </c>
      <c r="FMK29" s="3" t="s">
        <v>168</v>
      </c>
      <c r="FML29" s="3" t="s">
        <v>169</v>
      </c>
      <c r="FMM29" s="3" t="s">
        <v>168</v>
      </c>
      <c r="FMN29" s="3" t="s">
        <v>169</v>
      </c>
      <c r="FMO29" s="3" t="s">
        <v>168</v>
      </c>
      <c r="FMP29" s="3" t="s">
        <v>169</v>
      </c>
      <c r="FMQ29" s="3" t="s">
        <v>168</v>
      </c>
      <c r="FMR29" s="3" t="s">
        <v>169</v>
      </c>
      <c r="FMS29" s="3" t="s">
        <v>168</v>
      </c>
      <c r="FMT29" s="3" t="s">
        <v>169</v>
      </c>
      <c r="FMU29" s="3" t="s">
        <v>168</v>
      </c>
      <c r="FMV29" s="3" t="s">
        <v>169</v>
      </c>
      <c r="FMW29" s="3" t="s">
        <v>168</v>
      </c>
      <c r="FMX29" s="3" t="s">
        <v>169</v>
      </c>
      <c r="FMY29" s="3" t="s">
        <v>168</v>
      </c>
      <c r="FMZ29" s="3" t="s">
        <v>169</v>
      </c>
      <c r="FNA29" s="3" t="s">
        <v>168</v>
      </c>
      <c r="FNB29" s="3" t="s">
        <v>169</v>
      </c>
      <c r="FNC29" s="3" t="s">
        <v>168</v>
      </c>
      <c r="FND29" s="3" t="s">
        <v>169</v>
      </c>
      <c r="FNE29" s="3" t="s">
        <v>168</v>
      </c>
      <c r="FNF29" s="3" t="s">
        <v>169</v>
      </c>
      <c r="FNG29" s="3" t="s">
        <v>168</v>
      </c>
      <c r="FNH29" s="3" t="s">
        <v>169</v>
      </c>
      <c r="FNI29" s="3" t="s">
        <v>168</v>
      </c>
      <c r="FNJ29" s="3" t="s">
        <v>169</v>
      </c>
      <c r="FNK29" s="3" t="s">
        <v>168</v>
      </c>
      <c r="FNL29" s="3" t="s">
        <v>169</v>
      </c>
      <c r="FNM29" s="3" t="s">
        <v>168</v>
      </c>
      <c r="FNN29" s="3" t="s">
        <v>169</v>
      </c>
      <c r="FNO29" s="3" t="s">
        <v>168</v>
      </c>
      <c r="FNP29" s="3" t="s">
        <v>169</v>
      </c>
      <c r="FNQ29" s="3" t="s">
        <v>168</v>
      </c>
      <c r="FNR29" s="3" t="s">
        <v>169</v>
      </c>
      <c r="FNS29" s="3" t="s">
        <v>168</v>
      </c>
      <c r="FNT29" s="3" t="s">
        <v>169</v>
      </c>
      <c r="FNU29" s="3" t="s">
        <v>168</v>
      </c>
      <c r="FNV29" s="3" t="s">
        <v>169</v>
      </c>
      <c r="FNW29" s="3" t="s">
        <v>168</v>
      </c>
      <c r="FNX29" s="3" t="s">
        <v>169</v>
      </c>
      <c r="FNY29" s="3" t="s">
        <v>168</v>
      </c>
      <c r="FNZ29" s="3" t="s">
        <v>169</v>
      </c>
      <c r="FOA29" s="3" t="s">
        <v>168</v>
      </c>
      <c r="FOB29" s="3" t="s">
        <v>169</v>
      </c>
      <c r="FOC29" s="3" t="s">
        <v>168</v>
      </c>
      <c r="FOD29" s="3" t="s">
        <v>169</v>
      </c>
      <c r="FOE29" s="3" t="s">
        <v>168</v>
      </c>
      <c r="FOF29" s="3" t="s">
        <v>169</v>
      </c>
      <c r="FOG29" s="3" t="s">
        <v>168</v>
      </c>
      <c r="FOH29" s="3" t="s">
        <v>169</v>
      </c>
      <c r="FOI29" s="3" t="s">
        <v>168</v>
      </c>
      <c r="FOJ29" s="3" t="s">
        <v>169</v>
      </c>
      <c r="FOK29" s="3" t="s">
        <v>168</v>
      </c>
      <c r="FOL29" s="3" t="s">
        <v>169</v>
      </c>
      <c r="FOM29" s="3" t="s">
        <v>168</v>
      </c>
      <c r="FON29" s="3" t="s">
        <v>169</v>
      </c>
      <c r="FOO29" s="3" t="s">
        <v>168</v>
      </c>
      <c r="FOP29" s="3" t="s">
        <v>169</v>
      </c>
      <c r="FOQ29" s="3" t="s">
        <v>168</v>
      </c>
      <c r="FOR29" s="3" t="s">
        <v>169</v>
      </c>
      <c r="FOS29" s="3" t="s">
        <v>168</v>
      </c>
      <c r="FOT29" s="3" t="s">
        <v>169</v>
      </c>
      <c r="FOU29" s="3" t="s">
        <v>168</v>
      </c>
      <c r="FOV29" s="3" t="s">
        <v>169</v>
      </c>
      <c r="FOW29" s="3" t="s">
        <v>168</v>
      </c>
      <c r="FOX29" s="3" t="s">
        <v>169</v>
      </c>
      <c r="FOY29" s="3" t="s">
        <v>168</v>
      </c>
      <c r="FOZ29" s="3" t="s">
        <v>169</v>
      </c>
      <c r="FPA29" s="3" t="s">
        <v>168</v>
      </c>
      <c r="FPB29" s="3" t="s">
        <v>169</v>
      </c>
      <c r="FPC29" s="3" t="s">
        <v>168</v>
      </c>
      <c r="FPD29" s="3" t="s">
        <v>169</v>
      </c>
      <c r="FPE29" s="3" t="s">
        <v>168</v>
      </c>
      <c r="FPF29" s="3" t="s">
        <v>169</v>
      </c>
      <c r="FPG29" s="3" t="s">
        <v>168</v>
      </c>
      <c r="FPH29" s="3" t="s">
        <v>169</v>
      </c>
      <c r="FPI29" s="3" t="s">
        <v>168</v>
      </c>
      <c r="FPJ29" s="3" t="s">
        <v>169</v>
      </c>
      <c r="FPK29" s="3" t="s">
        <v>168</v>
      </c>
      <c r="FPL29" s="3" t="s">
        <v>169</v>
      </c>
      <c r="FPM29" s="3" t="s">
        <v>168</v>
      </c>
      <c r="FPN29" s="3" t="s">
        <v>169</v>
      </c>
      <c r="FPO29" s="3" t="s">
        <v>168</v>
      </c>
      <c r="FPP29" s="3" t="s">
        <v>169</v>
      </c>
      <c r="FPQ29" s="3" t="s">
        <v>168</v>
      </c>
      <c r="FPR29" s="3" t="s">
        <v>169</v>
      </c>
      <c r="FPS29" s="3" t="s">
        <v>168</v>
      </c>
      <c r="FPT29" s="3" t="s">
        <v>169</v>
      </c>
      <c r="FPU29" s="3" t="s">
        <v>168</v>
      </c>
      <c r="FPV29" s="3" t="s">
        <v>169</v>
      </c>
      <c r="FPW29" s="3" t="s">
        <v>168</v>
      </c>
      <c r="FPX29" s="3" t="s">
        <v>169</v>
      </c>
      <c r="FPY29" s="3" t="s">
        <v>168</v>
      </c>
      <c r="FPZ29" s="3" t="s">
        <v>169</v>
      </c>
      <c r="FQA29" s="3" t="s">
        <v>168</v>
      </c>
      <c r="FQB29" s="3" t="s">
        <v>169</v>
      </c>
      <c r="FQC29" s="3" t="s">
        <v>168</v>
      </c>
      <c r="FQD29" s="3" t="s">
        <v>169</v>
      </c>
      <c r="FQE29" s="3" t="s">
        <v>168</v>
      </c>
      <c r="FQF29" s="3" t="s">
        <v>169</v>
      </c>
      <c r="FQG29" s="3" t="s">
        <v>168</v>
      </c>
      <c r="FQH29" s="3" t="s">
        <v>169</v>
      </c>
      <c r="FQI29" s="3" t="s">
        <v>168</v>
      </c>
      <c r="FQJ29" s="3" t="s">
        <v>169</v>
      </c>
      <c r="FQK29" s="3" t="s">
        <v>168</v>
      </c>
      <c r="FQL29" s="3" t="s">
        <v>169</v>
      </c>
      <c r="FQM29" s="3" t="s">
        <v>168</v>
      </c>
      <c r="FQN29" s="3" t="s">
        <v>169</v>
      </c>
      <c r="FQO29" s="3" t="s">
        <v>168</v>
      </c>
      <c r="FQP29" s="3" t="s">
        <v>169</v>
      </c>
      <c r="FQQ29" s="3" t="s">
        <v>168</v>
      </c>
      <c r="FQR29" s="3" t="s">
        <v>169</v>
      </c>
      <c r="FQS29" s="3" t="s">
        <v>168</v>
      </c>
      <c r="FQT29" s="3" t="s">
        <v>169</v>
      </c>
      <c r="FQU29" s="3" t="s">
        <v>168</v>
      </c>
      <c r="FQV29" s="3" t="s">
        <v>169</v>
      </c>
      <c r="FQW29" s="3" t="s">
        <v>168</v>
      </c>
      <c r="FQX29" s="3" t="s">
        <v>169</v>
      </c>
      <c r="FQY29" s="3" t="s">
        <v>168</v>
      </c>
      <c r="FQZ29" s="3" t="s">
        <v>169</v>
      </c>
      <c r="FRA29" s="3" t="s">
        <v>168</v>
      </c>
      <c r="FRB29" s="3" t="s">
        <v>169</v>
      </c>
      <c r="FRC29" s="3" t="s">
        <v>168</v>
      </c>
      <c r="FRD29" s="3" t="s">
        <v>169</v>
      </c>
      <c r="FRE29" s="3" t="s">
        <v>168</v>
      </c>
      <c r="FRF29" s="3" t="s">
        <v>169</v>
      </c>
      <c r="FRG29" s="3" t="s">
        <v>168</v>
      </c>
      <c r="FRH29" s="3" t="s">
        <v>169</v>
      </c>
      <c r="FRI29" s="3" t="s">
        <v>168</v>
      </c>
      <c r="FRJ29" s="3" t="s">
        <v>169</v>
      </c>
      <c r="FRK29" s="3" t="s">
        <v>168</v>
      </c>
      <c r="FRL29" s="3" t="s">
        <v>169</v>
      </c>
      <c r="FRM29" s="3" t="s">
        <v>168</v>
      </c>
      <c r="FRN29" s="3" t="s">
        <v>169</v>
      </c>
      <c r="FRO29" s="3" t="s">
        <v>168</v>
      </c>
      <c r="FRP29" s="3" t="s">
        <v>169</v>
      </c>
      <c r="FRQ29" s="3" t="s">
        <v>168</v>
      </c>
      <c r="FRR29" s="3" t="s">
        <v>169</v>
      </c>
      <c r="FRS29" s="3" t="s">
        <v>168</v>
      </c>
      <c r="FRT29" s="3" t="s">
        <v>169</v>
      </c>
      <c r="FRU29" s="3" t="s">
        <v>168</v>
      </c>
      <c r="FRV29" s="3" t="s">
        <v>169</v>
      </c>
      <c r="FRW29" s="3" t="s">
        <v>168</v>
      </c>
      <c r="FRX29" s="3" t="s">
        <v>169</v>
      </c>
      <c r="FRY29" s="3" t="s">
        <v>168</v>
      </c>
      <c r="FRZ29" s="3" t="s">
        <v>169</v>
      </c>
      <c r="FSA29" s="3" t="s">
        <v>168</v>
      </c>
      <c r="FSB29" s="3" t="s">
        <v>169</v>
      </c>
      <c r="FSC29" s="3" t="s">
        <v>168</v>
      </c>
      <c r="FSD29" s="3" t="s">
        <v>169</v>
      </c>
      <c r="FSE29" s="3" t="s">
        <v>168</v>
      </c>
      <c r="FSF29" s="3" t="s">
        <v>169</v>
      </c>
      <c r="FSG29" s="3" t="s">
        <v>168</v>
      </c>
      <c r="FSH29" s="3" t="s">
        <v>169</v>
      </c>
      <c r="FSI29" s="3" t="s">
        <v>168</v>
      </c>
      <c r="FSJ29" s="3" t="s">
        <v>169</v>
      </c>
      <c r="FSK29" s="3" t="s">
        <v>168</v>
      </c>
      <c r="FSL29" s="3" t="s">
        <v>169</v>
      </c>
      <c r="FSM29" s="3" t="s">
        <v>168</v>
      </c>
      <c r="FSN29" s="3" t="s">
        <v>169</v>
      </c>
      <c r="FSO29" s="3" t="s">
        <v>168</v>
      </c>
      <c r="FSP29" s="3" t="s">
        <v>169</v>
      </c>
      <c r="FSQ29" s="3" t="s">
        <v>168</v>
      </c>
      <c r="FSR29" s="3" t="s">
        <v>169</v>
      </c>
      <c r="FSS29" s="3" t="s">
        <v>168</v>
      </c>
      <c r="FST29" s="3" t="s">
        <v>169</v>
      </c>
      <c r="FSU29" s="3" t="s">
        <v>168</v>
      </c>
      <c r="FSV29" s="3" t="s">
        <v>169</v>
      </c>
      <c r="FSW29" s="3" t="s">
        <v>168</v>
      </c>
      <c r="FSX29" s="3" t="s">
        <v>169</v>
      </c>
      <c r="FSY29" s="3" t="s">
        <v>168</v>
      </c>
      <c r="FSZ29" s="3" t="s">
        <v>169</v>
      </c>
      <c r="FTA29" s="3" t="s">
        <v>168</v>
      </c>
      <c r="FTB29" s="3" t="s">
        <v>169</v>
      </c>
      <c r="FTC29" s="3" t="s">
        <v>168</v>
      </c>
      <c r="FTD29" s="3" t="s">
        <v>169</v>
      </c>
      <c r="FTE29" s="3" t="s">
        <v>168</v>
      </c>
      <c r="FTF29" s="3" t="s">
        <v>169</v>
      </c>
      <c r="FTG29" s="3" t="s">
        <v>168</v>
      </c>
      <c r="FTH29" s="3" t="s">
        <v>169</v>
      </c>
      <c r="FTI29" s="3" t="s">
        <v>168</v>
      </c>
      <c r="FTJ29" s="3" t="s">
        <v>169</v>
      </c>
      <c r="FTK29" s="3" t="s">
        <v>168</v>
      </c>
      <c r="FTL29" s="3" t="s">
        <v>169</v>
      </c>
      <c r="FTM29" s="3" t="s">
        <v>168</v>
      </c>
      <c r="FTN29" s="3" t="s">
        <v>169</v>
      </c>
      <c r="FTO29" s="3" t="s">
        <v>168</v>
      </c>
      <c r="FTP29" s="3" t="s">
        <v>169</v>
      </c>
      <c r="FTQ29" s="3" t="s">
        <v>168</v>
      </c>
      <c r="FTR29" s="3" t="s">
        <v>169</v>
      </c>
      <c r="FTS29" s="3" t="s">
        <v>168</v>
      </c>
      <c r="FTT29" s="3" t="s">
        <v>169</v>
      </c>
      <c r="FTU29" s="3" t="s">
        <v>168</v>
      </c>
      <c r="FTV29" s="3" t="s">
        <v>169</v>
      </c>
      <c r="FTW29" s="3" t="s">
        <v>168</v>
      </c>
      <c r="FTX29" s="3" t="s">
        <v>169</v>
      </c>
      <c r="FTY29" s="3" t="s">
        <v>168</v>
      </c>
      <c r="FTZ29" s="3" t="s">
        <v>169</v>
      </c>
      <c r="FUA29" s="3" t="s">
        <v>168</v>
      </c>
      <c r="FUB29" s="3" t="s">
        <v>169</v>
      </c>
      <c r="FUC29" s="3" t="s">
        <v>168</v>
      </c>
      <c r="FUD29" s="3" t="s">
        <v>169</v>
      </c>
      <c r="FUE29" s="3" t="s">
        <v>168</v>
      </c>
      <c r="FUF29" s="3" t="s">
        <v>169</v>
      </c>
      <c r="FUG29" s="3" t="s">
        <v>168</v>
      </c>
      <c r="FUH29" s="3" t="s">
        <v>169</v>
      </c>
      <c r="FUI29" s="3" t="s">
        <v>168</v>
      </c>
      <c r="FUJ29" s="3" t="s">
        <v>169</v>
      </c>
      <c r="FUK29" s="3" t="s">
        <v>168</v>
      </c>
      <c r="FUL29" s="3" t="s">
        <v>169</v>
      </c>
      <c r="FUM29" s="3" t="s">
        <v>168</v>
      </c>
      <c r="FUN29" s="3" t="s">
        <v>169</v>
      </c>
      <c r="FUO29" s="3" t="s">
        <v>168</v>
      </c>
      <c r="FUP29" s="3" t="s">
        <v>169</v>
      </c>
      <c r="FUQ29" s="3" t="s">
        <v>168</v>
      </c>
      <c r="FUR29" s="3" t="s">
        <v>169</v>
      </c>
      <c r="FUS29" s="3" t="s">
        <v>168</v>
      </c>
      <c r="FUT29" s="3" t="s">
        <v>169</v>
      </c>
      <c r="FUU29" s="3" t="s">
        <v>168</v>
      </c>
      <c r="FUV29" s="3" t="s">
        <v>169</v>
      </c>
      <c r="FUW29" s="3" t="s">
        <v>168</v>
      </c>
      <c r="FUX29" s="3" t="s">
        <v>169</v>
      </c>
      <c r="FUY29" s="3" t="s">
        <v>168</v>
      </c>
      <c r="FUZ29" s="3" t="s">
        <v>169</v>
      </c>
      <c r="FVA29" s="3" t="s">
        <v>168</v>
      </c>
      <c r="FVB29" s="3" t="s">
        <v>169</v>
      </c>
      <c r="FVC29" s="3" t="s">
        <v>168</v>
      </c>
      <c r="FVD29" s="3" t="s">
        <v>169</v>
      </c>
      <c r="FVE29" s="3" t="s">
        <v>168</v>
      </c>
      <c r="FVF29" s="3" t="s">
        <v>169</v>
      </c>
      <c r="FVG29" s="3" t="s">
        <v>168</v>
      </c>
      <c r="FVH29" s="3" t="s">
        <v>169</v>
      </c>
      <c r="FVI29" s="3" t="s">
        <v>168</v>
      </c>
      <c r="FVJ29" s="3" t="s">
        <v>169</v>
      </c>
      <c r="FVK29" s="3" t="s">
        <v>168</v>
      </c>
      <c r="FVL29" s="3" t="s">
        <v>169</v>
      </c>
      <c r="FVM29" s="3" t="s">
        <v>168</v>
      </c>
      <c r="FVN29" s="3" t="s">
        <v>169</v>
      </c>
      <c r="FVO29" s="3" t="s">
        <v>168</v>
      </c>
      <c r="FVP29" s="3" t="s">
        <v>169</v>
      </c>
      <c r="FVQ29" s="3" t="s">
        <v>168</v>
      </c>
      <c r="FVR29" s="3" t="s">
        <v>169</v>
      </c>
      <c r="FVS29" s="3" t="s">
        <v>168</v>
      </c>
      <c r="FVT29" s="3" t="s">
        <v>169</v>
      </c>
      <c r="FVU29" s="3" t="s">
        <v>168</v>
      </c>
      <c r="FVV29" s="3" t="s">
        <v>169</v>
      </c>
      <c r="FVW29" s="3" t="s">
        <v>168</v>
      </c>
      <c r="FVX29" s="3" t="s">
        <v>169</v>
      </c>
      <c r="FVY29" s="3" t="s">
        <v>168</v>
      </c>
      <c r="FVZ29" s="3" t="s">
        <v>169</v>
      </c>
      <c r="FWA29" s="3" t="s">
        <v>168</v>
      </c>
      <c r="FWB29" s="3" t="s">
        <v>169</v>
      </c>
      <c r="FWC29" s="3" t="s">
        <v>168</v>
      </c>
      <c r="FWD29" s="3" t="s">
        <v>169</v>
      </c>
      <c r="FWE29" s="3" t="s">
        <v>168</v>
      </c>
      <c r="FWF29" s="3" t="s">
        <v>169</v>
      </c>
      <c r="FWG29" s="3" t="s">
        <v>168</v>
      </c>
      <c r="FWH29" s="3" t="s">
        <v>169</v>
      </c>
      <c r="FWI29" s="3" t="s">
        <v>168</v>
      </c>
      <c r="FWJ29" s="3" t="s">
        <v>169</v>
      </c>
      <c r="FWK29" s="3" t="s">
        <v>168</v>
      </c>
      <c r="FWL29" s="3" t="s">
        <v>169</v>
      </c>
      <c r="FWM29" s="3" t="s">
        <v>168</v>
      </c>
      <c r="FWN29" s="3" t="s">
        <v>169</v>
      </c>
      <c r="FWO29" s="3" t="s">
        <v>168</v>
      </c>
      <c r="FWP29" s="3" t="s">
        <v>169</v>
      </c>
      <c r="FWQ29" s="3" t="s">
        <v>168</v>
      </c>
      <c r="FWR29" s="3" t="s">
        <v>169</v>
      </c>
      <c r="FWS29" s="3" t="s">
        <v>168</v>
      </c>
      <c r="FWT29" s="3" t="s">
        <v>169</v>
      </c>
      <c r="FWU29" s="3" t="s">
        <v>168</v>
      </c>
      <c r="FWV29" s="3" t="s">
        <v>169</v>
      </c>
      <c r="FWW29" s="3" t="s">
        <v>168</v>
      </c>
      <c r="FWX29" s="3" t="s">
        <v>169</v>
      </c>
      <c r="FWY29" s="3" t="s">
        <v>168</v>
      </c>
      <c r="FWZ29" s="3" t="s">
        <v>169</v>
      </c>
      <c r="FXA29" s="3" t="s">
        <v>168</v>
      </c>
      <c r="FXB29" s="3" t="s">
        <v>169</v>
      </c>
      <c r="FXC29" s="3" t="s">
        <v>168</v>
      </c>
      <c r="FXD29" s="3" t="s">
        <v>169</v>
      </c>
      <c r="FXE29" s="3" t="s">
        <v>168</v>
      </c>
      <c r="FXF29" s="3" t="s">
        <v>169</v>
      </c>
      <c r="FXG29" s="3" t="s">
        <v>168</v>
      </c>
      <c r="FXH29" s="3" t="s">
        <v>169</v>
      </c>
      <c r="FXI29" s="3" t="s">
        <v>168</v>
      </c>
      <c r="FXJ29" s="3" t="s">
        <v>169</v>
      </c>
      <c r="FXK29" s="3" t="s">
        <v>168</v>
      </c>
      <c r="FXL29" s="3" t="s">
        <v>169</v>
      </c>
      <c r="FXM29" s="3" t="s">
        <v>168</v>
      </c>
      <c r="FXN29" s="3" t="s">
        <v>169</v>
      </c>
      <c r="FXO29" s="3" t="s">
        <v>168</v>
      </c>
      <c r="FXP29" s="3" t="s">
        <v>169</v>
      </c>
      <c r="FXQ29" s="3" t="s">
        <v>168</v>
      </c>
      <c r="FXR29" s="3" t="s">
        <v>169</v>
      </c>
      <c r="FXS29" s="3" t="s">
        <v>168</v>
      </c>
      <c r="FXT29" s="3" t="s">
        <v>169</v>
      </c>
      <c r="FXU29" s="3" t="s">
        <v>168</v>
      </c>
      <c r="FXV29" s="3" t="s">
        <v>169</v>
      </c>
      <c r="FXW29" s="3" t="s">
        <v>168</v>
      </c>
      <c r="FXX29" s="3" t="s">
        <v>169</v>
      </c>
      <c r="FXY29" s="3" t="s">
        <v>168</v>
      </c>
      <c r="FXZ29" s="3" t="s">
        <v>169</v>
      </c>
      <c r="FYA29" s="3" t="s">
        <v>168</v>
      </c>
      <c r="FYB29" s="3" t="s">
        <v>169</v>
      </c>
      <c r="FYC29" s="3" t="s">
        <v>168</v>
      </c>
      <c r="FYD29" s="3" t="s">
        <v>169</v>
      </c>
      <c r="FYE29" s="3" t="s">
        <v>168</v>
      </c>
      <c r="FYF29" s="3" t="s">
        <v>169</v>
      </c>
      <c r="FYG29" s="3" t="s">
        <v>168</v>
      </c>
      <c r="FYH29" s="3" t="s">
        <v>169</v>
      </c>
      <c r="FYI29" s="3" t="s">
        <v>168</v>
      </c>
      <c r="FYJ29" s="3" t="s">
        <v>169</v>
      </c>
      <c r="FYK29" s="3" t="s">
        <v>168</v>
      </c>
      <c r="FYL29" s="3" t="s">
        <v>169</v>
      </c>
      <c r="FYM29" s="3" t="s">
        <v>168</v>
      </c>
      <c r="FYN29" s="3" t="s">
        <v>169</v>
      </c>
      <c r="FYO29" s="3" t="s">
        <v>168</v>
      </c>
      <c r="FYP29" s="3" t="s">
        <v>169</v>
      </c>
      <c r="FYQ29" s="3" t="s">
        <v>168</v>
      </c>
      <c r="FYR29" s="3" t="s">
        <v>169</v>
      </c>
      <c r="FYS29" s="3" t="s">
        <v>168</v>
      </c>
      <c r="FYT29" s="3" t="s">
        <v>169</v>
      </c>
      <c r="FYU29" s="3" t="s">
        <v>168</v>
      </c>
      <c r="FYV29" s="3" t="s">
        <v>169</v>
      </c>
      <c r="FYW29" s="3" t="s">
        <v>168</v>
      </c>
      <c r="FYX29" s="3" t="s">
        <v>169</v>
      </c>
      <c r="FYY29" s="3" t="s">
        <v>168</v>
      </c>
      <c r="FYZ29" s="3" t="s">
        <v>169</v>
      </c>
      <c r="FZA29" s="3" t="s">
        <v>168</v>
      </c>
      <c r="FZB29" s="3" t="s">
        <v>169</v>
      </c>
      <c r="FZC29" s="3" t="s">
        <v>168</v>
      </c>
      <c r="FZD29" s="3" t="s">
        <v>169</v>
      </c>
      <c r="FZE29" s="3" t="s">
        <v>168</v>
      </c>
      <c r="FZF29" s="3" t="s">
        <v>169</v>
      </c>
      <c r="FZG29" s="3" t="s">
        <v>168</v>
      </c>
      <c r="FZH29" s="3" t="s">
        <v>169</v>
      </c>
      <c r="FZI29" s="3" t="s">
        <v>168</v>
      </c>
      <c r="FZJ29" s="3" t="s">
        <v>169</v>
      </c>
      <c r="FZK29" s="3" t="s">
        <v>168</v>
      </c>
      <c r="FZL29" s="3" t="s">
        <v>169</v>
      </c>
      <c r="FZM29" s="3" t="s">
        <v>168</v>
      </c>
      <c r="FZN29" s="3" t="s">
        <v>169</v>
      </c>
      <c r="FZO29" s="3" t="s">
        <v>168</v>
      </c>
      <c r="FZP29" s="3" t="s">
        <v>169</v>
      </c>
      <c r="FZQ29" s="3" t="s">
        <v>168</v>
      </c>
      <c r="FZR29" s="3" t="s">
        <v>169</v>
      </c>
      <c r="FZS29" s="3" t="s">
        <v>168</v>
      </c>
      <c r="FZT29" s="3" t="s">
        <v>169</v>
      </c>
      <c r="FZU29" s="3" t="s">
        <v>168</v>
      </c>
      <c r="FZV29" s="3" t="s">
        <v>169</v>
      </c>
      <c r="FZW29" s="3" t="s">
        <v>168</v>
      </c>
      <c r="FZX29" s="3" t="s">
        <v>169</v>
      </c>
      <c r="FZY29" s="3" t="s">
        <v>168</v>
      </c>
      <c r="FZZ29" s="3" t="s">
        <v>169</v>
      </c>
      <c r="GAA29" s="3" t="s">
        <v>168</v>
      </c>
      <c r="GAB29" s="3" t="s">
        <v>169</v>
      </c>
      <c r="GAC29" s="3" t="s">
        <v>168</v>
      </c>
      <c r="GAD29" s="3" t="s">
        <v>169</v>
      </c>
      <c r="GAE29" s="3" t="s">
        <v>168</v>
      </c>
      <c r="GAF29" s="3" t="s">
        <v>169</v>
      </c>
      <c r="GAG29" s="3" t="s">
        <v>168</v>
      </c>
      <c r="GAH29" s="3" t="s">
        <v>169</v>
      </c>
      <c r="GAI29" s="3" t="s">
        <v>168</v>
      </c>
      <c r="GAJ29" s="3" t="s">
        <v>169</v>
      </c>
      <c r="GAK29" s="3" t="s">
        <v>168</v>
      </c>
      <c r="GAL29" s="3" t="s">
        <v>169</v>
      </c>
      <c r="GAM29" s="3" t="s">
        <v>168</v>
      </c>
      <c r="GAN29" s="3" t="s">
        <v>169</v>
      </c>
      <c r="GAO29" s="3" t="s">
        <v>168</v>
      </c>
      <c r="GAP29" s="3" t="s">
        <v>169</v>
      </c>
      <c r="GAQ29" s="3" t="s">
        <v>168</v>
      </c>
      <c r="GAR29" s="3" t="s">
        <v>169</v>
      </c>
      <c r="GAS29" s="3" t="s">
        <v>168</v>
      </c>
      <c r="GAT29" s="3" t="s">
        <v>169</v>
      </c>
      <c r="GAU29" s="3" t="s">
        <v>168</v>
      </c>
      <c r="GAV29" s="3" t="s">
        <v>169</v>
      </c>
      <c r="GAW29" s="3" t="s">
        <v>168</v>
      </c>
      <c r="GAX29" s="3" t="s">
        <v>169</v>
      </c>
      <c r="GAY29" s="3" t="s">
        <v>168</v>
      </c>
      <c r="GAZ29" s="3" t="s">
        <v>169</v>
      </c>
      <c r="GBA29" s="3" t="s">
        <v>168</v>
      </c>
      <c r="GBB29" s="3" t="s">
        <v>169</v>
      </c>
      <c r="GBC29" s="3" t="s">
        <v>168</v>
      </c>
      <c r="GBD29" s="3" t="s">
        <v>169</v>
      </c>
      <c r="GBE29" s="3" t="s">
        <v>168</v>
      </c>
      <c r="GBF29" s="3" t="s">
        <v>169</v>
      </c>
      <c r="GBG29" s="3" t="s">
        <v>168</v>
      </c>
      <c r="GBH29" s="3" t="s">
        <v>169</v>
      </c>
      <c r="GBI29" s="3" t="s">
        <v>168</v>
      </c>
      <c r="GBJ29" s="3" t="s">
        <v>169</v>
      </c>
      <c r="GBK29" s="3" t="s">
        <v>168</v>
      </c>
      <c r="GBL29" s="3" t="s">
        <v>169</v>
      </c>
      <c r="GBM29" s="3" t="s">
        <v>168</v>
      </c>
      <c r="GBN29" s="3" t="s">
        <v>169</v>
      </c>
      <c r="GBO29" s="3" t="s">
        <v>168</v>
      </c>
      <c r="GBP29" s="3" t="s">
        <v>169</v>
      </c>
      <c r="GBQ29" s="3" t="s">
        <v>168</v>
      </c>
      <c r="GBR29" s="3" t="s">
        <v>169</v>
      </c>
      <c r="GBS29" s="3" t="s">
        <v>168</v>
      </c>
      <c r="GBT29" s="3" t="s">
        <v>169</v>
      </c>
      <c r="GBU29" s="3" t="s">
        <v>168</v>
      </c>
      <c r="GBV29" s="3" t="s">
        <v>169</v>
      </c>
      <c r="GBW29" s="3" t="s">
        <v>168</v>
      </c>
      <c r="GBX29" s="3" t="s">
        <v>169</v>
      </c>
      <c r="GBY29" s="3" t="s">
        <v>168</v>
      </c>
      <c r="GBZ29" s="3" t="s">
        <v>169</v>
      </c>
      <c r="GCA29" s="3" t="s">
        <v>168</v>
      </c>
      <c r="GCB29" s="3" t="s">
        <v>169</v>
      </c>
      <c r="GCC29" s="3" t="s">
        <v>168</v>
      </c>
      <c r="GCD29" s="3" t="s">
        <v>169</v>
      </c>
      <c r="GCE29" s="3" t="s">
        <v>168</v>
      </c>
      <c r="GCF29" s="3" t="s">
        <v>169</v>
      </c>
      <c r="GCG29" s="3" t="s">
        <v>168</v>
      </c>
      <c r="GCH29" s="3" t="s">
        <v>169</v>
      </c>
      <c r="GCI29" s="3" t="s">
        <v>168</v>
      </c>
      <c r="GCJ29" s="3" t="s">
        <v>169</v>
      </c>
      <c r="GCK29" s="3" t="s">
        <v>168</v>
      </c>
      <c r="GCL29" s="3" t="s">
        <v>169</v>
      </c>
      <c r="GCM29" s="3" t="s">
        <v>168</v>
      </c>
      <c r="GCN29" s="3" t="s">
        <v>169</v>
      </c>
      <c r="GCO29" s="3" t="s">
        <v>168</v>
      </c>
      <c r="GCP29" s="3" t="s">
        <v>169</v>
      </c>
      <c r="GCQ29" s="3" t="s">
        <v>168</v>
      </c>
      <c r="GCR29" s="3" t="s">
        <v>169</v>
      </c>
      <c r="GCS29" s="3" t="s">
        <v>168</v>
      </c>
      <c r="GCT29" s="3" t="s">
        <v>169</v>
      </c>
      <c r="GCU29" s="3" t="s">
        <v>168</v>
      </c>
      <c r="GCV29" s="3" t="s">
        <v>169</v>
      </c>
      <c r="GCW29" s="3" t="s">
        <v>168</v>
      </c>
      <c r="GCX29" s="3" t="s">
        <v>169</v>
      </c>
      <c r="GCY29" s="3" t="s">
        <v>168</v>
      </c>
      <c r="GCZ29" s="3" t="s">
        <v>169</v>
      </c>
      <c r="GDA29" s="3" t="s">
        <v>168</v>
      </c>
      <c r="GDB29" s="3" t="s">
        <v>169</v>
      </c>
      <c r="GDC29" s="3" t="s">
        <v>168</v>
      </c>
      <c r="GDD29" s="3" t="s">
        <v>169</v>
      </c>
      <c r="GDE29" s="3" t="s">
        <v>168</v>
      </c>
      <c r="GDF29" s="3" t="s">
        <v>169</v>
      </c>
      <c r="GDG29" s="3" t="s">
        <v>168</v>
      </c>
      <c r="GDH29" s="3" t="s">
        <v>169</v>
      </c>
      <c r="GDI29" s="3" t="s">
        <v>168</v>
      </c>
      <c r="GDJ29" s="3" t="s">
        <v>169</v>
      </c>
      <c r="GDK29" s="3" t="s">
        <v>168</v>
      </c>
      <c r="GDL29" s="3" t="s">
        <v>169</v>
      </c>
      <c r="GDM29" s="3" t="s">
        <v>168</v>
      </c>
      <c r="GDN29" s="3" t="s">
        <v>169</v>
      </c>
      <c r="GDO29" s="3" t="s">
        <v>168</v>
      </c>
      <c r="GDP29" s="3" t="s">
        <v>169</v>
      </c>
      <c r="GDQ29" s="3" t="s">
        <v>168</v>
      </c>
      <c r="GDR29" s="3" t="s">
        <v>169</v>
      </c>
      <c r="GDS29" s="3" t="s">
        <v>168</v>
      </c>
      <c r="GDT29" s="3" t="s">
        <v>169</v>
      </c>
      <c r="GDU29" s="3" t="s">
        <v>168</v>
      </c>
      <c r="GDV29" s="3" t="s">
        <v>169</v>
      </c>
      <c r="GDW29" s="3" t="s">
        <v>168</v>
      </c>
      <c r="GDX29" s="3" t="s">
        <v>169</v>
      </c>
      <c r="GDY29" s="3" t="s">
        <v>168</v>
      </c>
      <c r="GDZ29" s="3" t="s">
        <v>169</v>
      </c>
      <c r="GEA29" s="3" t="s">
        <v>168</v>
      </c>
      <c r="GEB29" s="3" t="s">
        <v>169</v>
      </c>
      <c r="GEC29" s="3" t="s">
        <v>168</v>
      </c>
      <c r="GED29" s="3" t="s">
        <v>169</v>
      </c>
      <c r="GEE29" s="3" t="s">
        <v>168</v>
      </c>
      <c r="GEF29" s="3" t="s">
        <v>169</v>
      </c>
      <c r="GEG29" s="3" t="s">
        <v>168</v>
      </c>
      <c r="GEH29" s="3" t="s">
        <v>169</v>
      </c>
      <c r="GEI29" s="3" t="s">
        <v>168</v>
      </c>
      <c r="GEJ29" s="3" t="s">
        <v>169</v>
      </c>
      <c r="GEK29" s="3" t="s">
        <v>168</v>
      </c>
      <c r="GEL29" s="3" t="s">
        <v>169</v>
      </c>
      <c r="GEM29" s="3" t="s">
        <v>168</v>
      </c>
      <c r="GEN29" s="3" t="s">
        <v>169</v>
      </c>
      <c r="GEO29" s="3" t="s">
        <v>168</v>
      </c>
      <c r="GEP29" s="3" t="s">
        <v>169</v>
      </c>
      <c r="GEQ29" s="3" t="s">
        <v>168</v>
      </c>
      <c r="GER29" s="3" t="s">
        <v>169</v>
      </c>
      <c r="GES29" s="3" t="s">
        <v>168</v>
      </c>
      <c r="GET29" s="3" t="s">
        <v>169</v>
      </c>
      <c r="GEU29" s="3" t="s">
        <v>168</v>
      </c>
      <c r="GEV29" s="3" t="s">
        <v>169</v>
      </c>
      <c r="GEW29" s="3" t="s">
        <v>168</v>
      </c>
      <c r="GEX29" s="3" t="s">
        <v>169</v>
      </c>
      <c r="GEY29" s="3" t="s">
        <v>168</v>
      </c>
      <c r="GEZ29" s="3" t="s">
        <v>169</v>
      </c>
      <c r="GFA29" s="3" t="s">
        <v>168</v>
      </c>
      <c r="GFB29" s="3" t="s">
        <v>169</v>
      </c>
      <c r="GFC29" s="3" t="s">
        <v>168</v>
      </c>
      <c r="GFD29" s="3" t="s">
        <v>169</v>
      </c>
      <c r="GFE29" s="3" t="s">
        <v>168</v>
      </c>
      <c r="GFF29" s="3" t="s">
        <v>169</v>
      </c>
      <c r="GFG29" s="3" t="s">
        <v>168</v>
      </c>
      <c r="GFH29" s="3" t="s">
        <v>169</v>
      </c>
      <c r="GFI29" s="3" t="s">
        <v>168</v>
      </c>
      <c r="GFJ29" s="3" t="s">
        <v>169</v>
      </c>
      <c r="GFK29" s="3" t="s">
        <v>168</v>
      </c>
      <c r="GFL29" s="3" t="s">
        <v>169</v>
      </c>
      <c r="GFM29" s="3" t="s">
        <v>168</v>
      </c>
      <c r="GFN29" s="3" t="s">
        <v>169</v>
      </c>
      <c r="GFO29" s="3" t="s">
        <v>168</v>
      </c>
      <c r="GFP29" s="3" t="s">
        <v>169</v>
      </c>
      <c r="GFQ29" s="3" t="s">
        <v>168</v>
      </c>
      <c r="GFR29" s="3" t="s">
        <v>169</v>
      </c>
      <c r="GFS29" s="3" t="s">
        <v>168</v>
      </c>
      <c r="GFT29" s="3" t="s">
        <v>169</v>
      </c>
      <c r="GFU29" s="3" t="s">
        <v>168</v>
      </c>
      <c r="GFV29" s="3" t="s">
        <v>169</v>
      </c>
      <c r="GFW29" s="3" t="s">
        <v>168</v>
      </c>
      <c r="GFX29" s="3" t="s">
        <v>169</v>
      </c>
      <c r="GFY29" s="3" t="s">
        <v>168</v>
      </c>
      <c r="GFZ29" s="3" t="s">
        <v>169</v>
      </c>
      <c r="GGA29" s="3" t="s">
        <v>168</v>
      </c>
      <c r="GGB29" s="3" t="s">
        <v>169</v>
      </c>
      <c r="GGC29" s="3" t="s">
        <v>168</v>
      </c>
      <c r="GGD29" s="3" t="s">
        <v>169</v>
      </c>
      <c r="GGE29" s="3" t="s">
        <v>168</v>
      </c>
      <c r="GGF29" s="3" t="s">
        <v>169</v>
      </c>
      <c r="GGG29" s="3" t="s">
        <v>168</v>
      </c>
      <c r="GGH29" s="3" t="s">
        <v>169</v>
      </c>
      <c r="GGI29" s="3" t="s">
        <v>168</v>
      </c>
      <c r="GGJ29" s="3" t="s">
        <v>169</v>
      </c>
      <c r="GGK29" s="3" t="s">
        <v>168</v>
      </c>
      <c r="GGL29" s="3" t="s">
        <v>169</v>
      </c>
      <c r="GGM29" s="3" t="s">
        <v>168</v>
      </c>
      <c r="GGN29" s="3" t="s">
        <v>169</v>
      </c>
      <c r="GGO29" s="3" t="s">
        <v>168</v>
      </c>
      <c r="GGP29" s="3" t="s">
        <v>169</v>
      </c>
      <c r="GGQ29" s="3" t="s">
        <v>168</v>
      </c>
      <c r="GGR29" s="3" t="s">
        <v>169</v>
      </c>
      <c r="GGS29" s="3" t="s">
        <v>168</v>
      </c>
      <c r="GGT29" s="3" t="s">
        <v>169</v>
      </c>
      <c r="GGU29" s="3" t="s">
        <v>168</v>
      </c>
      <c r="GGV29" s="3" t="s">
        <v>169</v>
      </c>
      <c r="GGW29" s="3" t="s">
        <v>168</v>
      </c>
      <c r="GGX29" s="3" t="s">
        <v>169</v>
      </c>
      <c r="GGY29" s="3" t="s">
        <v>168</v>
      </c>
      <c r="GGZ29" s="3" t="s">
        <v>169</v>
      </c>
      <c r="GHA29" s="3" t="s">
        <v>168</v>
      </c>
      <c r="GHB29" s="3" t="s">
        <v>169</v>
      </c>
      <c r="GHC29" s="3" t="s">
        <v>168</v>
      </c>
      <c r="GHD29" s="3" t="s">
        <v>169</v>
      </c>
      <c r="GHE29" s="3" t="s">
        <v>168</v>
      </c>
      <c r="GHF29" s="3" t="s">
        <v>169</v>
      </c>
      <c r="GHG29" s="3" t="s">
        <v>168</v>
      </c>
      <c r="GHH29" s="3" t="s">
        <v>169</v>
      </c>
      <c r="GHI29" s="3" t="s">
        <v>168</v>
      </c>
      <c r="GHJ29" s="3" t="s">
        <v>169</v>
      </c>
      <c r="GHK29" s="3" t="s">
        <v>168</v>
      </c>
      <c r="GHL29" s="3" t="s">
        <v>169</v>
      </c>
      <c r="GHM29" s="3" t="s">
        <v>168</v>
      </c>
      <c r="GHN29" s="3" t="s">
        <v>169</v>
      </c>
      <c r="GHO29" s="3" t="s">
        <v>168</v>
      </c>
      <c r="GHP29" s="3" t="s">
        <v>169</v>
      </c>
      <c r="GHQ29" s="3" t="s">
        <v>168</v>
      </c>
      <c r="GHR29" s="3" t="s">
        <v>169</v>
      </c>
      <c r="GHS29" s="3" t="s">
        <v>168</v>
      </c>
      <c r="GHT29" s="3" t="s">
        <v>169</v>
      </c>
      <c r="GHU29" s="3" t="s">
        <v>168</v>
      </c>
      <c r="GHV29" s="3" t="s">
        <v>169</v>
      </c>
      <c r="GHW29" s="3" t="s">
        <v>168</v>
      </c>
      <c r="GHX29" s="3" t="s">
        <v>169</v>
      </c>
      <c r="GHY29" s="3" t="s">
        <v>168</v>
      </c>
      <c r="GHZ29" s="3" t="s">
        <v>169</v>
      </c>
      <c r="GIA29" s="3" t="s">
        <v>168</v>
      </c>
      <c r="GIB29" s="3" t="s">
        <v>169</v>
      </c>
      <c r="GIC29" s="3" t="s">
        <v>168</v>
      </c>
      <c r="GID29" s="3" t="s">
        <v>169</v>
      </c>
      <c r="GIE29" s="3" t="s">
        <v>168</v>
      </c>
      <c r="GIF29" s="3" t="s">
        <v>169</v>
      </c>
      <c r="GIG29" s="3" t="s">
        <v>168</v>
      </c>
      <c r="GIH29" s="3" t="s">
        <v>169</v>
      </c>
      <c r="GII29" s="3" t="s">
        <v>168</v>
      </c>
      <c r="GIJ29" s="3" t="s">
        <v>169</v>
      </c>
      <c r="GIK29" s="3" t="s">
        <v>168</v>
      </c>
      <c r="GIL29" s="3" t="s">
        <v>169</v>
      </c>
      <c r="GIM29" s="3" t="s">
        <v>168</v>
      </c>
      <c r="GIN29" s="3" t="s">
        <v>169</v>
      </c>
      <c r="GIO29" s="3" t="s">
        <v>168</v>
      </c>
      <c r="GIP29" s="3" t="s">
        <v>169</v>
      </c>
      <c r="GIQ29" s="3" t="s">
        <v>168</v>
      </c>
      <c r="GIR29" s="3" t="s">
        <v>169</v>
      </c>
      <c r="GIS29" s="3" t="s">
        <v>168</v>
      </c>
      <c r="GIT29" s="3" t="s">
        <v>169</v>
      </c>
      <c r="GIU29" s="3" t="s">
        <v>168</v>
      </c>
      <c r="GIV29" s="3" t="s">
        <v>169</v>
      </c>
      <c r="GIW29" s="3" t="s">
        <v>168</v>
      </c>
      <c r="GIX29" s="3" t="s">
        <v>169</v>
      </c>
      <c r="GIY29" s="3" t="s">
        <v>168</v>
      </c>
      <c r="GIZ29" s="3" t="s">
        <v>169</v>
      </c>
      <c r="GJA29" s="3" t="s">
        <v>168</v>
      </c>
      <c r="GJB29" s="3" t="s">
        <v>169</v>
      </c>
      <c r="GJC29" s="3" t="s">
        <v>168</v>
      </c>
      <c r="GJD29" s="3" t="s">
        <v>169</v>
      </c>
      <c r="GJE29" s="3" t="s">
        <v>168</v>
      </c>
      <c r="GJF29" s="3" t="s">
        <v>169</v>
      </c>
      <c r="GJG29" s="3" t="s">
        <v>168</v>
      </c>
      <c r="GJH29" s="3" t="s">
        <v>169</v>
      </c>
      <c r="GJI29" s="3" t="s">
        <v>168</v>
      </c>
      <c r="GJJ29" s="3" t="s">
        <v>169</v>
      </c>
      <c r="GJK29" s="3" t="s">
        <v>168</v>
      </c>
      <c r="GJL29" s="3" t="s">
        <v>169</v>
      </c>
      <c r="GJM29" s="3" t="s">
        <v>168</v>
      </c>
      <c r="GJN29" s="3" t="s">
        <v>169</v>
      </c>
      <c r="GJO29" s="3" t="s">
        <v>168</v>
      </c>
      <c r="GJP29" s="3" t="s">
        <v>169</v>
      </c>
      <c r="GJQ29" s="3" t="s">
        <v>168</v>
      </c>
      <c r="GJR29" s="3" t="s">
        <v>169</v>
      </c>
      <c r="GJS29" s="3" t="s">
        <v>168</v>
      </c>
      <c r="GJT29" s="3" t="s">
        <v>169</v>
      </c>
      <c r="GJU29" s="3" t="s">
        <v>168</v>
      </c>
      <c r="GJV29" s="3" t="s">
        <v>169</v>
      </c>
      <c r="GJW29" s="3" t="s">
        <v>168</v>
      </c>
      <c r="GJX29" s="3" t="s">
        <v>169</v>
      </c>
      <c r="GJY29" s="3" t="s">
        <v>168</v>
      </c>
      <c r="GJZ29" s="3" t="s">
        <v>169</v>
      </c>
      <c r="GKA29" s="3" t="s">
        <v>168</v>
      </c>
      <c r="GKB29" s="3" t="s">
        <v>169</v>
      </c>
      <c r="GKC29" s="3" t="s">
        <v>168</v>
      </c>
      <c r="GKD29" s="3" t="s">
        <v>169</v>
      </c>
      <c r="GKE29" s="3" t="s">
        <v>168</v>
      </c>
      <c r="GKF29" s="3" t="s">
        <v>169</v>
      </c>
      <c r="GKG29" s="3" t="s">
        <v>168</v>
      </c>
      <c r="GKH29" s="3" t="s">
        <v>169</v>
      </c>
      <c r="GKI29" s="3" t="s">
        <v>168</v>
      </c>
      <c r="GKJ29" s="3" t="s">
        <v>169</v>
      </c>
      <c r="GKK29" s="3" t="s">
        <v>168</v>
      </c>
      <c r="GKL29" s="3" t="s">
        <v>169</v>
      </c>
      <c r="GKM29" s="3" t="s">
        <v>168</v>
      </c>
      <c r="GKN29" s="3" t="s">
        <v>169</v>
      </c>
      <c r="GKO29" s="3" t="s">
        <v>168</v>
      </c>
      <c r="GKP29" s="3" t="s">
        <v>169</v>
      </c>
      <c r="GKQ29" s="3" t="s">
        <v>168</v>
      </c>
      <c r="GKR29" s="3" t="s">
        <v>169</v>
      </c>
      <c r="GKS29" s="3" t="s">
        <v>168</v>
      </c>
      <c r="GKT29" s="3" t="s">
        <v>169</v>
      </c>
      <c r="GKU29" s="3" t="s">
        <v>168</v>
      </c>
      <c r="GKV29" s="3" t="s">
        <v>169</v>
      </c>
      <c r="GKW29" s="3" t="s">
        <v>168</v>
      </c>
      <c r="GKX29" s="3" t="s">
        <v>169</v>
      </c>
      <c r="GKY29" s="3" t="s">
        <v>168</v>
      </c>
      <c r="GKZ29" s="3" t="s">
        <v>169</v>
      </c>
      <c r="GLA29" s="3" t="s">
        <v>168</v>
      </c>
      <c r="GLB29" s="3" t="s">
        <v>169</v>
      </c>
      <c r="GLC29" s="3" t="s">
        <v>168</v>
      </c>
      <c r="GLD29" s="3" t="s">
        <v>169</v>
      </c>
      <c r="GLE29" s="3" t="s">
        <v>168</v>
      </c>
      <c r="GLF29" s="3" t="s">
        <v>169</v>
      </c>
      <c r="GLG29" s="3" t="s">
        <v>168</v>
      </c>
      <c r="GLH29" s="3" t="s">
        <v>169</v>
      </c>
      <c r="GLI29" s="3" t="s">
        <v>168</v>
      </c>
      <c r="GLJ29" s="3" t="s">
        <v>169</v>
      </c>
      <c r="GLK29" s="3" t="s">
        <v>168</v>
      </c>
      <c r="GLL29" s="3" t="s">
        <v>169</v>
      </c>
      <c r="GLM29" s="3" t="s">
        <v>168</v>
      </c>
      <c r="GLN29" s="3" t="s">
        <v>169</v>
      </c>
      <c r="GLO29" s="3" t="s">
        <v>168</v>
      </c>
      <c r="GLP29" s="3" t="s">
        <v>169</v>
      </c>
      <c r="GLQ29" s="3" t="s">
        <v>168</v>
      </c>
      <c r="GLR29" s="3" t="s">
        <v>169</v>
      </c>
      <c r="GLS29" s="3" t="s">
        <v>168</v>
      </c>
      <c r="GLT29" s="3" t="s">
        <v>169</v>
      </c>
      <c r="GLU29" s="3" t="s">
        <v>168</v>
      </c>
      <c r="GLV29" s="3" t="s">
        <v>169</v>
      </c>
      <c r="GLW29" s="3" t="s">
        <v>168</v>
      </c>
      <c r="GLX29" s="3" t="s">
        <v>169</v>
      </c>
      <c r="GLY29" s="3" t="s">
        <v>168</v>
      </c>
      <c r="GLZ29" s="3" t="s">
        <v>169</v>
      </c>
      <c r="GMA29" s="3" t="s">
        <v>168</v>
      </c>
      <c r="GMB29" s="3" t="s">
        <v>169</v>
      </c>
      <c r="GMC29" s="3" t="s">
        <v>168</v>
      </c>
      <c r="GMD29" s="3" t="s">
        <v>169</v>
      </c>
      <c r="GME29" s="3" t="s">
        <v>168</v>
      </c>
      <c r="GMF29" s="3" t="s">
        <v>169</v>
      </c>
      <c r="GMG29" s="3" t="s">
        <v>168</v>
      </c>
      <c r="GMH29" s="3" t="s">
        <v>169</v>
      </c>
      <c r="GMI29" s="3" t="s">
        <v>168</v>
      </c>
      <c r="GMJ29" s="3" t="s">
        <v>169</v>
      </c>
      <c r="GMK29" s="3" t="s">
        <v>168</v>
      </c>
      <c r="GML29" s="3" t="s">
        <v>169</v>
      </c>
      <c r="GMM29" s="3" t="s">
        <v>168</v>
      </c>
      <c r="GMN29" s="3" t="s">
        <v>169</v>
      </c>
      <c r="GMO29" s="3" t="s">
        <v>168</v>
      </c>
      <c r="GMP29" s="3" t="s">
        <v>169</v>
      </c>
      <c r="GMQ29" s="3" t="s">
        <v>168</v>
      </c>
      <c r="GMR29" s="3" t="s">
        <v>169</v>
      </c>
      <c r="GMS29" s="3" t="s">
        <v>168</v>
      </c>
      <c r="GMT29" s="3" t="s">
        <v>169</v>
      </c>
      <c r="GMU29" s="3" t="s">
        <v>168</v>
      </c>
      <c r="GMV29" s="3" t="s">
        <v>169</v>
      </c>
      <c r="GMW29" s="3" t="s">
        <v>168</v>
      </c>
      <c r="GMX29" s="3" t="s">
        <v>169</v>
      </c>
      <c r="GMY29" s="3" t="s">
        <v>168</v>
      </c>
      <c r="GMZ29" s="3" t="s">
        <v>169</v>
      </c>
      <c r="GNA29" s="3" t="s">
        <v>168</v>
      </c>
      <c r="GNB29" s="3" t="s">
        <v>169</v>
      </c>
      <c r="GNC29" s="3" t="s">
        <v>168</v>
      </c>
      <c r="GND29" s="3" t="s">
        <v>169</v>
      </c>
      <c r="GNE29" s="3" t="s">
        <v>168</v>
      </c>
      <c r="GNF29" s="3" t="s">
        <v>169</v>
      </c>
      <c r="GNG29" s="3" t="s">
        <v>168</v>
      </c>
      <c r="GNH29" s="3" t="s">
        <v>169</v>
      </c>
      <c r="GNI29" s="3" t="s">
        <v>168</v>
      </c>
      <c r="GNJ29" s="3" t="s">
        <v>169</v>
      </c>
      <c r="GNK29" s="3" t="s">
        <v>168</v>
      </c>
      <c r="GNL29" s="3" t="s">
        <v>169</v>
      </c>
      <c r="GNM29" s="3" t="s">
        <v>168</v>
      </c>
      <c r="GNN29" s="3" t="s">
        <v>169</v>
      </c>
      <c r="GNO29" s="3" t="s">
        <v>168</v>
      </c>
      <c r="GNP29" s="3" t="s">
        <v>169</v>
      </c>
      <c r="GNQ29" s="3" t="s">
        <v>168</v>
      </c>
      <c r="GNR29" s="3" t="s">
        <v>169</v>
      </c>
      <c r="GNS29" s="3" t="s">
        <v>168</v>
      </c>
      <c r="GNT29" s="3" t="s">
        <v>169</v>
      </c>
      <c r="GNU29" s="3" t="s">
        <v>168</v>
      </c>
      <c r="GNV29" s="3" t="s">
        <v>169</v>
      </c>
      <c r="GNW29" s="3" t="s">
        <v>168</v>
      </c>
      <c r="GNX29" s="3" t="s">
        <v>169</v>
      </c>
      <c r="GNY29" s="3" t="s">
        <v>168</v>
      </c>
      <c r="GNZ29" s="3" t="s">
        <v>169</v>
      </c>
      <c r="GOA29" s="3" t="s">
        <v>168</v>
      </c>
      <c r="GOB29" s="3" t="s">
        <v>169</v>
      </c>
      <c r="GOC29" s="3" t="s">
        <v>168</v>
      </c>
      <c r="GOD29" s="3" t="s">
        <v>169</v>
      </c>
      <c r="GOE29" s="3" t="s">
        <v>168</v>
      </c>
      <c r="GOF29" s="3" t="s">
        <v>169</v>
      </c>
      <c r="GOG29" s="3" t="s">
        <v>168</v>
      </c>
      <c r="GOH29" s="3" t="s">
        <v>169</v>
      </c>
      <c r="GOI29" s="3" t="s">
        <v>168</v>
      </c>
      <c r="GOJ29" s="3" t="s">
        <v>169</v>
      </c>
      <c r="GOK29" s="3" t="s">
        <v>168</v>
      </c>
      <c r="GOL29" s="3" t="s">
        <v>169</v>
      </c>
      <c r="GOM29" s="3" t="s">
        <v>168</v>
      </c>
      <c r="GON29" s="3" t="s">
        <v>169</v>
      </c>
      <c r="GOO29" s="3" t="s">
        <v>168</v>
      </c>
      <c r="GOP29" s="3" t="s">
        <v>169</v>
      </c>
      <c r="GOQ29" s="3" t="s">
        <v>168</v>
      </c>
      <c r="GOR29" s="3" t="s">
        <v>169</v>
      </c>
      <c r="GOS29" s="3" t="s">
        <v>168</v>
      </c>
      <c r="GOT29" s="3" t="s">
        <v>169</v>
      </c>
      <c r="GOU29" s="3" t="s">
        <v>168</v>
      </c>
      <c r="GOV29" s="3" t="s">
        <v>169</v>
      </c>
      <c r="GOW29" s="3" t="s">
        <v>168</v>
      </c>
      <c r="GOX29" s="3" t="s">
        <v>169</v>
      </c>
      <c r="GOY29" s="3" t="s">
        <v>168</v>
      </c>
      <c r="GOZ29" s="3" t="s">
        <v>169</v>
      </c>
      <c r="GPA29" s="3" t="s">
        <v>168</v>
      </c>
      <c r="GPB29" s="3" t="s">
        <v>169</v>
      </c>
      <c r="GPC29" s="3" t="s">
        <v>168</v>
      </c>
      <c r="GPD29" s="3" t="s">
        <v>169</v>
      </c>
      <c r="GPE29" s="3" t="s">
        <v>168</v>
      </c>
      <c r="GPF29" s="3" t="s">
        <v>169</v>
      </c>
      <c r="GPG29" s="3" t="s">
        <v>168</v>
      </c>
      <c r="GPH29" s="3" t="s">
        <v>169</v>
      </c>
      <c r="GPI29" s="3" t="s">
        <v>168</v>
      </c>
      <c r="GPJ29" s="3" t="s">
        <v>169</v>
      </c>
      <c r="GPK29" s="3" t="s">
        <v>168</v>
      </c>
      <c r="GPL29" s="3" t="s">
        <v>169</v>
      </c>
      <c r="GPM29" s="3" t="s">
        <v>168</v>
      </c>
      <c r="GPN29" s="3" t="s">
        <v>169</v>
      </c>
      <c r="GPO29" s="3" t="s">
        <v>168</v>
      </c>
      <c r="GPP29" s="3" t="s">
        <v>169</v>
      </c>
      <c r="GPQ29" s="3" t="s">
        <v>168</v>
      </c>
      <c r="GPR29" s="3" t="s">
        <v>169</v>
      </c>
      <c r="GPS29" s="3" t="s">
        <v>168</v>
      </c>
      <c r="GPT29" s="3" t="s">
        <v>169</v>
      </c>
      <c r="GPU29" s="3" t="s">
        <v>168</v>
      </c>
      <c r="GPV29" s="3" t="s">
        <v>169</v>
      </c>
      <c r="GPW29" s="3" t="s">
        <v>168</v>
      </c>
      <c r="GPX29" s="3" t="s">
        <v>169</v>
      </c>
      <c r="GPY29" s="3" t="s">
        <v>168</v>
      </c>
      <c r="GPZ29" s="3" t="s">
        <v>169</v>
      </c>
      <c r="GQA29" s="3" t="s">
        <v>168</v>
      </c>
      <c r="GQB29" s="3" t="s">
        <v>169</v>
      </c>
      <c r="GQC29" s="3" t="s">
        <v>168</v>
      </c>
      <c r="GQD29" s="3" t="s">
        <v>169</v>
      </c>
      <c r="GQE29" s="3" t="s">
        <v>168</v>
      </c>
      <c r="GQF29" s="3" t="s">
        <v>169</v>
      </c>
      <c r="GQG29" s="3" t="s">
        <v>168</v>
      </c>
      <c r="GQH29" s="3" t="s">
        <v>169</v>
      </c>
      <c r="GQI29" s="3" t="s">
        <v>168</v>
      </c>
      <c r="GQJ29" s="3" t="s">
        <v>169</v>
      </c>
      <c r="GQK29" s="3" t="s">
        <v>168</v>
      </c>
      <c r="GQL29" s="3" t="s">
        <v>169</v>
      </c>
      <c r="GQM29" s="3" t="s">
        <v>168</v>
      </c>
      <c r="GQN29" s="3" t="s">
        <v>169</v>
      </c>
      <c r="GQO29" s="3" t="s">
        <v>168</v>
      </c>
      <c r="GQP29" s="3" t="s">
        <v>169</v>
      </c>
      <c r="GQQ29" s="3" t="s">
        <v>168</v>
      </c>
      <c r="GQR29" s="3" t="s">
        <v>169</v>
      </c>
      <c r="GQS29" s="3" t="s">
        <v>168</v>
      </c>
      <c r="GQT29" s="3" t="s">
        <v>169</v>
      </c>
      <c r="GQU29" s="3" t="s">
        <v>168</v>
      </c>
      <c r="GQV29" s="3" t="s">
        <v>169</v>
      </c>
      <c r="GQW29" s="3" t="s">
        <v>168</v>
      </c>
      <c r="GQX29" s="3" t="s">
        <v>169</v>
      </c>
      <c r="GQY29" s="3" t="s">
        <v>168</v>
      </c>
      <c r="GQZ29" s="3" t="s">
        <v>169</v>
      </c>
      <c r="GRA29" s="3" t="s">
        <v>168</v>
      </c>
      <c r="GRB29" s="3" t="s">
        <v>169</v>
      </c>
      <c r="GRC29" s="3" t="s">
        <v>168</v>
      </c>
      <c r="GRD29" s="3" t="s">
        <v>169</v>
      </c>
      <c r="GRE29" s="3" t="s">
        <v>168</v>
      </c>
      <c r="GRF29" s="3" t="s">
        <v>169</v>
      </c>
      <c r="GRG29" s="3" t="s">
        <v>168</v>
      </c>
      <c r="GRH29" s="3" t="s">
        <v>169</v>
      </c>
      <c r="GRI29" s="3" t="s">
        <v>168</v>
      </c>
      <c r="GRJ29" s="3" t="s">
        <v>169</v>
      </c>
      <c r="GRK29" s="3" t="s">
        <v>168</v>
      </c>
      <c r="GRL29" s="3" t="s">
        <v>169</v>
      </c>
      <c r="GRM29" s="3" t="s">
        <v>168</v>
      </c>
      <c r="GRN29" s="3" t="s">
        <v>169</v>
      </c>
      <c r="GRO29" s="3" t="s">
        <v>168</v>
      </c>
      <c r="GRP29" s="3" t="s">
        <v>169</v>
      </c>
      <c r="GRQ29" s="3" t="s">
        <v>168</v>
      </c>
      <c r="GRR29" s="3" t="s">
        <v>169</v>
      </c>
      <c r="GRS29" s="3" t="s">
        <v>168</v>
      </c>
      <c r="GRT29" s="3" t="s">
        <v>169</v>
      </c>
      <c r="GRU29" s="3" t="s">
        <v>168</v>
      </c>
      <c r="GRV29" s="3" t="s">
        <v>169</v>
      </c>
      <c r="GRW29" s="3" t="s">
        <v>168</v>
      </c>
      <c r="GRX29" s="3" t="s">
        <v>169</v>
      </c>
      <c r="GRY29" s="3" t="s">
        <v>168</v>
      </c>
      <c r="GRZ29" s="3" t="s">
        <v>169</v>
      </c>
      <c r="GSA29" s="3" t="s">
        <v>168</v>
      </c>
      <c r="GSB29" s="3" t="s">
        <v>169</v>
      </c>
      <c r="GSC29" s="3" t="s">
        <v>168</v>
      </c>
      <c r="GSD29" s="3" t="s">
        <v>169</v>
      </c>
      <c r="GSE29" s="3" t="s">
        <v>168</v>
      </c>
      <c r="GSF29" s="3" t="s">
        <v>169</v>
      </c>
      <c r="GSG29" s="3" t="s">
        <v>168</v>
      </c>
      <c r="GSH29" s="3" t="s">
        <v>169</v>
      </c>
      <c r="GSI29" s="3" t="s">
        <v>168</v>
      </c>
      <c r="GSJ29" s="3" t="s">
        <v>169</v>
      </c>
      <c r="GSK29" s="3" t="s">
        <v>168</v>
      </c>
      <c r="GSL29" s="3" t="s">
        <v>169</v>
      </c>
      <c r="GSM29" s="3" t="s">
        <v>168</v>
      </c>
      <c r="GSN29" s="3" t="s">
        <v>169</v>
      </c>
      <c r="GSO29" s="3" t="s">
        <v>168</v>
      </c>
      <c r="GSP29" s="3" t="s">
        <v>169</v>
      </c>
      <c r="GSQ29" s="3" t="s">
        <v>168</v>
      </c>
      <c r="GSR29" s="3" t="s">
        <v>169</v>
      </c>
      <c r="GSS29" s="3" t="s">
        <v>168</v>
      </c>
      <c r="GST29" s="3" t="s">
        <v>169</v>
      </c>
      <c r="GSU29" s="3" t="s">
        <v>168</v>
      </c>
      <c r="GSV29" s="3" t="s">
        <v>169</v>
      </c>
      <c r="GSW29" s="3" t="s">
        <v>168</v>
      </c>
      <c r="GSX29" s="3" t="s">
        <v>169</v>
      </c>
      <c r="GSY29" s="3" t="s">
        <v>168</v>
      </c>
      <c r="GSZ29" s="3" t="s">
        <v>169</v>
      </c>
      <c r="GTA29" s="3" t="s">
        <v>168</v>
      </c>
      <c r="GTB29" s="3" t="s">
        <v>169</v>
      </c>
      <c r="GTC29" s="3" t="s">
        <v>168</v>
      </c>
      <c r="GTD29" s="3" t="s">
        <v>169</v>
      </c>
      <c r="GTE29" s="3" t="s">
        <v>168</v>
      </c>
      <c r="GTF29" s="3" t="s">
        <v>169</v>
      </c>
      <c r="GTG29" s="3" t="s">
        <v>168</v>
      </c>
      <c r="GTH29" s="3" t="s">
        <v>169</v>
      </c>
      <c r="GTI29" s="3" t="s">
        <v>168</v>
      </c>
      <c r="GTJ29" s="3" t="s">
        <v>169</v>
      </c>
      <c r="GTK29" s="3" t="s">
        <v>168</v>
      </c>
      <c r="GTL29" s="3" t="s">
        <v>169</v>
      </c>
      <c r="GTM29" s="3" t="s">
        <v>168</v>
      </c>
      <c r="GTN29" s="3" t="s">
        <v>169</v>
      </c>
      <c r="GTO29" s="3" t="s">
        <v>168</v>
      </c>
      <c r="GTP29" s="3" t="s">
        <v>169</v>
      </c>
      <c r="GTQ29" s="3" t="s">
        <v>168</v>
      </c>
      <c r="GTR29" s="3" t="s">
        <v>169</v>
      </c>
      <c r="GTS29" s="3" t="s">
        <v>168</v>
      </c>
      <c r="GTT29" s="3" t="s">
        <v>169</v>
      </c>
      <c r="GTU29" s="3" t="s">
        <v>168</v>
      </c>
      <c r="GTV29" s="3" t="s">
        <v>169</v>
      </c>
      <c r="GTW29" s="3" t="s">
        <v>168</v>
      </c>
      <c r="GTX29" s="3" t="s">
        <v>169</v>
      </c>
      <c r="GTY29" s="3" t="s">
        <v>168</v>
      </c>
      <c r="GTZ29" s="3" t="s">
        <v>169</v>
      </c>
      <c r="GUA29" s="3" t="s">
        <v>168</v>
      </c>
      <c r="GUB29" s="3" t="s">
        <v>169</v>
      </c>
      <c r="GUC29" s="3" t="s">
        <v>168</v>
      </c>
      <c r="GUD29" s="3" t="s">
        <v>169</v>
      </c>
      <c r="GUE29" s="3" t="s">
        <v>168</v>
      </c>
      <c r="GUF29" s="3" t="s">
        <v>169</v>
      </c>
      <c r="GUG29" s="3" t="s">
        <v>168</v>
      </c>
      <c r="GUH29" s="3" t="s">
        <v>169</v>
      </c>
      <c r="GUI29" s="3" t="s">
        <v>168</v>
      </c>
      <c r="GUJ29" s="3" t="s">
        <v>169</v>
      </c>
      <c r="GUK29" s="3" t="s">
        <v>168</v>
      </c>
      <c r="GUL29" s="3" t="s">
        <v>169</v>
      </c>
      <c r="GUM29" s="3" t="s">
        <v>168</v>
      </c>
      <c r="GUN29" s="3" t="s">
        <v>169</v>
      </c>
      <c r="GUO29" s="3" t="s">
        <v>168</v>
      </c>
      <c r="GUP29" s="3" t="s">
        <v>169</v>
      </c>
      <c r="GUQ29" s="3" t="s">
        <v>168</v>
      </c>
      <c r="GUR29" s="3" t="s">
        <v>169</v>
      </c>
      <c r="GUS29" s="3" t="s">
        <v>168</v>
      </c>
      <c r="GUT29" s="3" t="s">
        <v>169</v>
      </c>
      <c r="GUU29" s="3" t="s">
        <v>168</v>
      </c>
      <c r="GUV29" s="3" t="s">
        <v>169</v>
      </c>
      <c r="GUW29" s="3" t="s">
        <v>168</v>
      </c>
      <c r="GUX29" s="3" t="s">
        <v>169</v>
      </c>
      <c r="GUY29" s="3" t="s">
        <v>168</v>
      </c>
      <c r="GUZ29" s="3" t="s">
        <v>169</v>
      </c>
      <c r="GVA29" s="3" t="s">
        <v>168</v>
      </c>
      <c r="GVB29" s="3" t="s">
        <v>169</v>
      </c>
      <c r="GVC29" s="3" t="s">
        <v>168</v>
      </c>
      <c r="GVD29" s="3" t="s">
        <v>169</v>
      </c>
      <c r="GVE29" s="3" t="s">
        <v>168</v>
      </c>
      <c r="GVF29" s="3" t="s">
        <v>169</v>
      </c>
      <c r="GVG29" s="3" t="s">
        <v>168</v>
      </c>
      <c r="GVH29" s="3" t="s">
        <v>169</v>
      </c>
      <c r="GVI29" s="3" t="s">
        <v>168</v>
      </c>
      <c r="GVJ29" s="3" t="s">
        <v>169</v>
      </c>
      <c r="GVK29" s="3" t="s">
        <v>168</v>
      </c>
      <c r="GVL29" s="3" t="s">
        <v>169</v>
      </c>
      <c r="GVM29" s="3" t="s">
        <v>168</v>
      </c>
      <c r="GVN29" s="3" t="s">
        <v>169</v>
      </c>
      <c r="GVO29" s="3" t="s">
        <v>168</v>
      </c>
      <c r="GVP29" s="3" t="s">
        <v>169</v>
      </c>
      <c r="GVQ29" s="3" t="s">
        <v>168</v>
      </c>
      <c r="GVR29" s="3" t="s">
        <v>169</v>
      </c>
      <c r="GVS29" s="3" t="s">
        <v>168</v>
      </c>
      <c r="GVT29" s="3" t="s">
        <v>169</v>
      </c>
      <c r="GVU29" s="3" t="s">
        <v>168</v>
      </c>
      <c r="GVV29" s="3" t="s">
        <v>169</v>
      </c>
      <c r="GVW29" s="3" t="s">
        <v>168</v>
      </c>
      <c r="GVX29" s="3" t="s">
        <v>169</v>
      </c>
      <c r="GVY29" s="3" t="s">
        <v>168</v>
      </c>
      <c r="GVZ29" s="3" t="s">
        <v>169</v>
      </c>
      <c r="GWA29" s="3" t="s">
        <v>168</v>
      </c>
      <c r="GWB29" s="3" t="s">
        <v>169</v>
      </c>
      <c r="GWC29" s="3" t="s">
        <v>168</v>
      </c>
      <c r="GWD29" s="3" t="s">
        <v>169</v>
      </c>
      <c r="GWE29" s="3" t="s">
        <v>168</v>
      </c>
      <c r="GWF29" s="3" t="s">
        <v>169</v>
      </c>
      <c r="GWG29" s="3" t="s">
        <v>168</v>
      </c>
      <c r="GWH29" s="3" t="s">
        <v>169</v>
      </c>
      <c r="GWI29" s="3" t="s">
        <v>168</v>
      </c>
      <c r="GWJ29" s="3" t="s">
        <v>169</v>
      </c>
      <c r="GWK29" s="3" t="s">
        <v>168</v>
      </c>
      <c r="GWL29" s="3" t="s">
        <v>169</v>
      </c>
      <c r="GWM29" s="3" t="s">
        <v>168</v>
      </c>
      <c r="GWN29" s="3" t="s">
        <v>169</v>
      </c>
      <c r="GWO29" s="3" t="s">
        <v>168</v>
      </c>
      <c r="GWP29" s="3" t="s">
        <v>169</v>
      </c>
      <c r="GWQ29" s="3" t="s">
        <v>168</v>
      </c>
      <c r="GWR29" s="3" t="s">
        <v>169</v>
      </c>
      <c r="GWS29" s="3" t="s">
        <v>168</v>
      </c>
      <c r="GWT29" s="3" t="s">
        <v>169</v>
      </c>
      <c r="GWU29" s="3" t="s">
        <v>168</v>
      </c>
      <c r="GWV29" s="3" t="s">
        <v>169</v>
      </c>
      <c r="GWW29" s="3" t="s">
        <v>168</v>
      </c>
      <c r="GWX29" s="3" t="s">
        <v>169</v>
      </c>
      <c r="GWY29" s="3" t="s">
        <v>168</v>
      </c>
      <c r="GWZ29" s="3" t="s">
        <v>169</v>
      </c>
      <c r="GXA29" s="3" t="s">
        <v>168</v>
      </c>
      <c r="GXB29" s="3" t="s">
        <v>169</v>
      </c>
      <c r="GXC29" s="3" t="s">
        <v>168</v>
      </c>
      <c r="GXD29" s="3" t="s">
        <v>169</v>
      </c>
      <c r="GXE29" s="3" t="s">
        <v>168</v>
      </c>
      <c r="GXF29" s="3" t="s">
        <v>169</v>
      </c>
      <c r="GXG29" s="3" t="s">
        <v>168</v>
      </c>
      <c r="GXH29" s="3" t="s">
        <v>169</v>
      </c>
      <c r="GXI29" s="3" t="s">
        <v>168</v>
      </c>
      <c r="GXJ29" s="3" t="s">
        <v>169</v>
      </c>
      <c r="GXK29" s="3" t="s">
        <v>168</v>
      </c>
      <c r="GXL29" s="3" t="s">
        <v>169</v>
      </c>
      <c r="GXM29" s="3" t="s">
        <v>168</v>
      </c>
      <c r="GXN29" s="3" t="s">
        <v>169</v>
      </c>
      <c r="GXO29" s="3" t="s">
        <v>168</v>
      </c>
      <c r="GXP29" s="3" t="s">
        <v>169</v>
      </c>
      <c r="GXQ29" s="3" t="s">
        <v>168</v>
      </c>
      <c r="GXR29" s="3" t="s">
        <v>169</v>
      </c>
      <c r="GXS29" s="3" t="s">
        <v>168</v>
      </c>
      <c r="GXT29" s="3" t="s">
        <v>169</v>
      </c>
      <c r="GXU29" s="3" t="s">
        <v>168</v>
      </c>
      <c r="GXV29" s="3" t="s">
        <v>169</v>
      </c>
      <c r="GXW29" s="3" t="s">
        <v>168</v>
      </c>
      <c r="GXX29" s="3" t="s">
        <v>169</v>
      </c>
      <c r="GXY29" s="3" t="s">
        <v>168</v>
      </c>
      <c r="GXZ29" s="3" t="s">
        <v>169</v>
      </c>
      <c r="GYA29" s="3" t="s">
        <v>168</v>
      </c>
      <c r="GYB29" s="3" t="s">
        <v>169</v>
      </c>
      <c r="GYC29" s="3" t="s">
        <v>168</v>
      </c>
      <c r="GYD29" s="3" t="s">
        <v>169</v>
      </c>
      <c r="GYE29" s="3" t="s">
        <v>168</v>
      </c>
      <c r="GYF29" s="3" t="s">
        <v>169</v>
      </c>
      <c r="GYG29" s="3" t="s">
        <v>168</v>
      </c>
      <c r="GYH29" s="3" t="s">
        <v>169</v>
      </c>
      <c r="GYI29" s="3" t="s">
        <v>168</v>
      </c>
      <c r="GYJ29" s="3" t="s">
        <v>169</v>
      </c>
      <c r="GYK29" s="3" t="s">
        <v>168</v>
      </c>
      <c r="GYL29" s="3" t="s">
        <v>169</v>
      </c>
      <c r="GYM29" s="3" t="s">
        <v>168</v>
      </c>
      <c r="GYN29" s="3" t="s">
        <v>169</v>
      </c>
      <c r="GYO29" s="3" t="s">
        <v>168</v>
      </c>
      <c r="GYP29" s="3" t="s">
        <v>169</v>
      </c>
      <c r="GYQ29" s="3" t="s">
        <v>168</v>
      </c>
      <c r="GYR29" s="3" t="s">
        <v>169</v>
      </c>
      <c r="GYS29" s="3" t="s">
        <v>168</v>
      </c>
      <c r="GYT29" s="3" t="s">
        <v>169</v>
      </c>
      <c r="GYU29" s="3" t="s">
        <v>168</v>
      </c>
      <c r="GYV29" s="3" t="s">
        <v>169</v>
      </c>
      <c r="GYW29" s="3" t="s">
        <v>168</v>
      </c>
      <c r="GYX29" s="3" t="s">
        <v>169</v>
      </c>
      <c r="GYY29" s="3" t="s">
        <v>168</v>
      </c>
      <c r="GYZ29" s="3" t="s">
        <v>169</v>
      </c>
      <c r="GZA29" s="3" t="s">
        <v>168</v>
      </c>
      <c r="GZB29" s="3" t="s">
        <v>169</v>
      </c>
      <c r="GZC29" s="3" t="s">
        <v>168</v>
      </c>
      <c r="GZD29" s="3" t="s">
        <v>169</v>
      </c>
      <c r="GZE29" s="3" t="s">
        <v>168</v>
      </c>
      <c r="GZF29" s="3" t="s">
        <v>169</v>
      </c>
      <c r="GZG29" s="3" t="s">
        <v>168</v>
      </c>
      <c r="GZH29" s="3" t="s">
        <v>169</v>
      </c>
      <c r="GZI29" s="3" t="s">
        <v>168</v>
      </c>
      <c r="GZJ29" s="3" t="s">
        <v>169</v>
      </c>
      <c r="GZK29" s="3" t="s">
        <v>168</v>
      </c>
      <c r="GZL29" s="3" t="s">
        <v>169</v>
      </c>
      <c r="GZM29" s="3" t="s">
        <v>168</v>
      </c>
      <c r="GZN29" s="3" t="s">
        <v>169</v>
      </c>
      <c r="GZO29" s="3" t="s">
        <v>168</v>
      </c>
      <c r="GZP29" s="3" t="s">
        <v>169</v>
      </c>
      <c r="GZQ29" s="3" t="s">
        <v>168</v>
      </c>
      <c r="GZR29" s="3" t="s">
        <v>169</v>
      </c>
      <c r="GZS29" s="3" t="s">
        <v>168</v>
      </c>
      <c r="GZT29" s="3" t="s">
        <v>169</v>
      </c>
      <c r="GZU29" s="3" t="s">
        <v>168</v>
      </c>
      <c r="GZV29" s="3" t="s">
        <v>169</v>
      </c>
      <c r="GZW29" s="3" t="s">
        <v>168</v>
      </c>
      <c r="GZX29" s="3" t="s">
        <v>169</v>
      </c>
      <c r="GZY29" s="3" t="s">
        <v>168</v>
      </c>
      <c r="GZZ29" s="3" t="s">
        <v>169</v>
      </c>
      <c r="HAA29" s="3" t="s">
        <v>168</v>
      </c>
      <c r="HAB29" s="3" t="s">
        <v>169</v>
      </c>
      <c r="HAC29" s="3" t="s">
        <v>168</v>
      </c>
      <c r="HAD29" s="3" t="s">
        <v>169</v>
      </c>
      <c r="HAE29" s="3" t="s">
        <v>168</v>
      </c>
      <c r="HAF29" s="3" t="s">
        <v>169</v>
      </c>
      <c r="HAG29" s="3" t="s">
        <v>168</v>
      </c>
      <c r="HAH29" s="3" t="s">
        <v>169</v>
      </c>
      <c r="HAI29" s="3" t="s">
        <v>168</v>
      </c>
      <c r="HAJ29" s="3" t="s">
        <v>169</v>
      </c>
      <c r="HAK29" s="3" t="s">
        <v>168</v>
      </c>
      <c r="HAL29" s="3" t="s">
        <v>169</v>
      </c>
      <c r="HAM29" s="3" t="s">
        <v>168</v>
      </c>
      <c r="HAN29" s="3" t="s">
        <v>169</v>
      </c>
      <c r="HAO29" s="3" t="s">
        <v>168</v>
      </c>
      <c r="HAP29" s="3" t="s">
        <v>169</v>
      </c>
      <c r="HAQ29" s="3" t="s">
        <v>168</v>
      </c>
      <c r="HAR29" s="3" t="s">
        <v>169</v>
      </c>
      <c r="HAS29" s="3" t="s">
        <v>168</v>
      </c>
      <c r="HAT29" s="3" t="s">
        <v>169</v>
      </c>
      <c r="HAU29" s="3" t="s">
        <v>168</v>
      </c>
      <c r="HAV29" s="3" t="s">
        <v>169</v>
      </c>
      <c r="HAW29" s="3" t="s">
        <v>168</v>
      </c>
      <c r="HAX29" s="3" t="s">
        <v>169</v>
      </c>
      <c r="HAY29" s="3" t="s">
        <v>168</v>
      </c>
      <c r="HAZ29" s="3" t="s">
        <v>169</v>
      </c>
      <c r="HBA29" s="3" t="s">
        <v>168</v>
      </c>
      <c r="HBB29" s="3" t="s">
        <v>169</v>
      </c>
      <c r="HBC29" s="3" t="s">
        <v>168</v>
      </c>
      <c r="HBD29" s="3" t="s">
        <v>169</v>
      </c>
      <c r="HBE29" s="3" t="s">
        <v>168</v>
      </c>
      <c r="HBF29" s="3" t="s">
        <v>169</v>
      </c>
      <c r="HBG29" s="3" t="s">
        <v>168</v>
      </c>
      <c r="HBH29" s="3" t="s">
        <v>169</v>
      </c>
      <c r="HBI29" s="3" t="s">
        <v>168</v>
      </c>
      <c r="HBJ29" s="3" t="s">
        <v>169</v>
      </c>
      <c r="HBK29" s="3" t="s">
        <v>168</v>
      </c>
      <c r="HBL29" s="3" t="s">
        <v>169</v>
      </c>
      <c r="HBM29" s="3" t="s">
        <v>168</v>
      </c>
      <c r="HBN29" s="3" t="s">
        <v>169</v>
      </c>
      <c r="HBO29" s="3" t="s">
        <v>168</v>
      </c>
      <c r="HBP29" s="3" t="s">
        <v>169</v>
      </c>
      <c r="HBQ29" s="3" t="s">
        <v>168</v>
      </c>
      <c r="HBR29" s="3" t="s">
        <v>169</v>
      </c>
      <c r="HBS29" s="3" t="s">
        <v>168</v>
      </c>
      <c r="HBT29" s="3" t="s">
        <v>169</v>
      </c>
      <c r="HBU29" s="3" t="s">
        <v>168</v>
      </c>
      <c r="HBV29" s="3" t="s">
        <v>169</v>
      </c>
      <c r="HBW29" s="3" t="s">
        <v>168</v>
      </c>
      <c r="HBX29" s="3" t="s">
        <v>169</v>
      </c>
      <c r="HBY29" s="3" t="s">
        <v>168</v>
      </c>
      <c r="HBZ29" s="3" t="s">
        <v>169</v>
      </c>
      <c r="HCA29" s="3" t="s">
        <v>168</v>
      </c>
      <c r="HCB29" s="3" t="s">
        <v>169</v>
      </c>
      <c r="HCC29" s="3" t="s">
        <v>168</v>
      </c>
      <c r="HCD29" s="3" t="s">
        <v>169</v>
      </c>
      <c r="HCE29" s="3" t="s">
        <v>168</v>
      </c>
      <c r="HCF29" s="3" t="s">
        <v>169</v>
      </c>
      <c r="HCG29" s="3" t="s">
        <v>168</v>
      </c>
      <c r="HCH29" s="3" t="s">
        <v>169</v>
      </c>
      <c r="HCI29" s="3" t="s">
        <v>168</v>
      </c>
      <c r="HCJ29" s="3" t="s">
        <v>169</v>
      </c>
      <c r="HCK29" s="3" t="s">
        <v>168</v>
      </c>
      <c r="HCL29" s="3" t="s">
        <v>169</v>
      </c>
      <c r="HCM29" s="3" t="s">
        <v>168</v>
      </c>
      <c r="HCN29" s="3" t="s">
        <v>169</v>
      </c>
      <c r="HCO29" s="3" t="s">
        <v>168</v>
      </c>
      <c r="HCP29" s="3" t="s">
        <v>169</v>
      </c>
      <c r="HCQ29" s="3" t="s">
        <v>168</v>
      </c>
      <c r="HCR29" s="3" t="s">
        <v>169</v>
      </c>
      <c r="HCS29" s="3" t="s">
        <v>168</v>
      </c>
      <c r="HCT29" s="3" t="s">
        <v>169</v>
      </c>
      <c r="HCU29" s="3" t="s">
        <v>168</v>
      </c>
      <c r="HCV29" s="3" t="s">
        <v>169</v>
      </c>
      <c r="HCW29" s="3" t="s">
        <v>168</v>
      </c>
      <c r="HCX29" s="3" t="s">
        <v>169</v>
      </c>
      <c r="HCY29" s="3" t="s">
        <v>168</v>
      </c>
      <c r="HCZ29" s="3" t="s">
        <v>169</v>
      </c>
      <c r="HDA29" s="3" t="s">
        <v>168</v>
      </c>
      <c r="HDB29" s="3" t="s">
        <v>169</v>
      </c>
      <c r="HDC29" s="3" t="s">
        <v>168</v>
      </c>
      <c r="HDD29" s="3" t="s">
        <v>169</v>
      </c>
      <c r="HDE29" s="3" t="s">
        <v>168</v>
      </c>
      <c r="HDF29" s="3" t="s">
        <v>169</v>
      </c>
      <c r="HDG29" s="3" t="s">
        <v>168</v>
      </c>
      <c r="HDH29" s="3" t="s">
        <v>169</v>
      </c>
      <c r="HDI29" s="3" t="s">
        <v>168</v>
      </c>
      <c r="HDJ29" s="3" t="s">
        <v>169</v>
      </c>
      <c r="HDK29" s="3" t="s">
        <v>168</v>
      </c>
      <c r="HDL29" s="3" t="s">
        <v>169</v>
      </c>
      <c r="HDM29" s="3" t="s">
        <v>168</v>
      </c>
      <c r="HDN29" s="3" t="s">
        <v>169</v>
      </c>
      <c r="HDO29" s="3" t="s">
        <v>168</v>
      </c>
      <c r="HDP29" s="3" t="s">
        <v>169</v>
      </c>
      <c r="HDQ29" s="3" t="s">
        <v>168</v>
      </c>
      <c r="HDR29" s="3" t="s">
        <v>169</v>
      </c>
      <c r="HDS29" s="3" t="s">
        <v>168</v>
      </c>
      <c r="HDT29" s="3" t="s">
        <v>169</v>
      </c>
      <c r="HDU29" s="3" t="s">
        <v>168</v>
      </c>
      <c r="HDV29" s="3" t="s">
        <v>169</v>
      </c>
      <c r="HDW29" s="3" t="s">
        <v>168</v>
      </c>
      <c r="HDX29" s="3" t="s">
        <v>169</v>
      </c>
      <c r="HDY29" s="3" t="s">
        <v>168</v>
      </c>
      <c r="HDZ29" s="3" t="s">
        <v>169</v>
      </c>
      <c r="HEA29" s="3" t="s">
        <v>168</v>
      </c>
      <c r="HEB29" s="3" t="s">
        <v>169</v>
      </c>
      <c r="HEC29" s="3" t="s">
        <v>168</v>
      </c>
      <c r="HED29" s="3" t="s">
        <v>169</v>
      </c>
      <c r="HEE29" s="3" t="s">
        <v>168</v>
      </c>
      <c r="HEF29" s="3" t="s">
        <v>169</v>
      </c>
      <c r="HEG29" s="3" t="s">
        <v>168</v>
      </c>
      <c r="HEH29" s="3" t="s">
        <v>169</v>
      </c>
      <c r="HEI29" s="3" t="s">
        <v>168</v>
      </c>
      <c r="HEJ29" s="3" t="s">
        <v>169</v>
      </c>
      <c r="HEK29" s="3" t="s">
        <v>168</v>
      </c>
      <c r="HEL29" s="3" t="s">
        <v>169</v>
      </c>
      <c r="HEM29" s="3" t="s">
        <v>168</v>
      </c>
      <c r="HEN29" s="3" t="s">
        <v>169</v>
      </c>
      <c r="HEO29" s="3" t="s">
        <v>168</v>
      </c>
      <c r="HEP29" s="3" t="s">
        <v>169</v>
      </c>
      <c r="HEQ29" s="3" t="s">
        <v>168</v>
      </c>
      <c r="HER29" s="3" t="s">
        <v>169</v>
      </c>
      <c r="HES29" s="3" t="s">
        <v>168</v>
      </c>
      <c r="HET29" s="3" t="s">
        <v>169</v>
      </c>
      <c r="HEU29" s="3" t="s">
        <v>168</v>
      </c>
      <c r="HEV29" s="3" t="s">
        <v>169</v>
      </c>
      <c r="HEW29" s="3" t="s">
        <v>168</v>
      </c>
      <c r="HEX29" s="3" t="s">
        <v>169</v>
      </c>
      <c r="HEY29" s="3" t="s">
        <v>168</v>
      </c>
      <c r="HEZ29" s="3" t="s">
        <v>169</v>
      </c>
      <c r="HFA29" s="3" t="s">
        <v>168</v>
      </c>
      <c r="HFB29" s="3" t="s">
        <v>169</v>
      </c>
      <c r="HFC29" s="3" t="s">
        <v>168</v>
      </c>
      <c r="HFD29" s="3" t="s">
        <v>169</v>
      </c>
      <c r="HFE29" s="3" t="s">
        <v>168</v>
      </c>
      <c r="HFF29" s="3" t="s">
        <v>169</v>
      </c>
      <c r="HFG29" s="3" t="s">
        <v>168</v>
      </c>
      <c r="HFH29" s="3" t="s">
        <v>169</v>
      </c>
      <c r="HFI29" s="3" t="s">
        <v>168</v>
      </c>
      <c r="HFJ29" s="3" t="s">
        <v>169</v>
      </c>
      <c r="HFK29" s="3" t="s">
        <v>168</v>
      </c>
      <c r="HFL29" s="3" t="s">
        <v>169</v>
      </c>
      <c r="HFM29" s="3" t="s">
        <v>168</v>
      </c>
      <c r="HFN29" s="3" t="s">
        <v>169</v>
      </c>
      <c r="HFO29" s="3" t="s">
        <v>168</v>
      </c>
      <c r="HFP29" s="3" t="s">
        <v>169</v>
      </c>
      <c r="HFQ29" s="3" t="s">
        <v>168</v>
      </c>
      <c r="HFR29" s="3" t="s">
        <v>169</v>
      </c>
      <c r="HFS29" s="3" t="s">
        <v>168</v>
      </c>
      <c r="HFT29" s="3" t="s">
        <v>169</v>
      </c>
      <c r="HFU29" s="3" t="s">
        <v>168</v>
      </c>
      <c r="HFV29" s="3" t="s">
        <v>169</v>
      </c>
      <c r="HFW29" s="3" t="s">
        <v>168</v>
      </c>
      <c r="HFX29" s="3" t="s">
        <v>169</v>
      </c>
      <c r="HFY29" s="3" t="s">
        <v>168</v>
      </c>
      <c r="HFZ29" s="3" t="s">
        <v>169</v>
      </c>
      <c r="HGA29" s="3" t="s">
        <v>168</v>
      </c>
      <c r="HGB29" s="3" t="s">
        <v>169</v>
      </c>
      <c r="HGC29" s="3" t="s">
        <v>168</v>
      </c>
      <c r="HGD29" s="3" t="s">
        <v>169</v>
      </c>
      <c r="HGE29" s="3" t="s">
        <v>168</v>
      </c>
      <c r="HGF29" s="3" t="s">
        <v>169</v>
      </c>
      <c r="HGG29" s="3" t="s">
        <v>168</v>
      </c>
      <c r="HGH29" s="3" t="s">
        <v>169</v>
      </c>
      <c r="HGI29" s="3" t="s">
        <v>168</v>
      </c>
      <c r="HGJ29" s="3" t="s">
        <v>169</v>
      </c>
      <c r="HGK29" s="3" t="s">
        <v>168</v>
      </c>
      <c r="HGL29" s="3" t="s">
        <v>169</v>
      </c>
      <c r="HGM29" s="3" t="s">
        <v>168</v>
      </c>
      <c r="HGN29" s="3" t="s">
        <v>169</v>
      </c>
      <c r="HGO29" s="3" t="s">
        <v>168</v>
      </c>
      <c r="HGP29" s="3" t="s">
        <v>169</v>
      </c>
      <c r="HGQ29" s="3" t="s">
        <v>168</v>
      </c>
      <c r="HGR29" s="3" t="s">
        <v>169</v>
      </c>
      <c r="HGS29" s="3" t="s">
        <v>168</v>
      </c>
      <c r="HGT29" s="3" t="s">
        <v>169</v>
      </c>
      <c r="HGU29" s="3" t="s">
        <v>168</v>
      </c>
      <c r="HGV29" s="3" t="s">
        <v>169</v>
      </c>
      <c r="HGW29" s="3" t="s">
        <v>168</v>
      </c>
      <c r="HGX29" s="3" t="s">
        <v>169</v>
      </c>
      <c r="HGY29" s="3" t="s">
        <v>168</v>
      </c>
      <c r="HGZ29" s="3" t="s">
        <v>169</v>
      </c>
      <c r="HHA29" s="3" t="s">
        <v>168</v>
      </c>
      <c r="HHB29" s="3" t="s">
        <v>169</v>
      </c>
      <c r="HHC29" s="3" t="s">
        <v>168</v>
      </c>
      <c r="HHD29" s="3" t="s">
        <v>169</v>
      </c>
      <c r="HHE29" s="3" t="s">
        <v>168</v>
      </c>
      <c r="HHF29" s="3" t="s">
        <v>169</v>
      </c>
      <c r="HHG29" s="3" t="s">
        <v>168</v>
      </c>
      <c r="HHH29" s="3" t="s">
        <v>169</v>
      </c>
      <c r="HHI29" s="3" t="s">
        <v>168</v>
      </c>
      <c r="HHJ29" s="3" t="s">
        <v>169</v>
      </c>
      <c r="HHK29" s="3" t="s">
        <v>168</v>
      </c>
      <c r="HHL29" s="3" t="s">
        <v>169</v>
      </c>
      <c r="HHM29" s="3" t="s">
        <v>168</v>
      </c>
      <c r="HHN29" s="3" t="s">
        <v>169</v>
      </c>
      <c r="HHO29" s="3" t="s">
        <v>168</v>
      </c>
      <c r="HHP29" s="3" t="s">
        <v>169</v>
      </c>
      <c r="HHQ29" s="3" t="s">
        <v>168</v>
      </c>
      <c r="HHR29" s="3" t="s">
        <v>169</v>
      </c>
      <c r="HHS29" s="3" t="s">
        <v>168</v>
      </c>
      <c r="HHT29" s="3" t="s">
        <v>169</v>
      </c>
      <c r="HHU29" s="3" t="s">
        <v>168</v>
      </c>
      <c r="HHV29" s="3" t="s">
        <v>169</v>
      </c>
      <c r="HHW29" s="3" t="s">
        <v>168</v>
      </c>
      <c r="HHX29" s="3" t="s">
        <v>169</v>
      </c>
      <c r="HHY29" s="3" t="s">
        <v>168</v>
      </c>
      <c r="HHZ29" s="3" t="s">
        <v>169</v>
      </c>
      <c r="HIA29" s="3" t="s">
        <v>168</v>
      </c>
      <c r="HIB29" s="3" t="s">
        <v>169</v>
      </c>
      <c r="HIC29" s="3" t="s">
        <v>168</v>
      </c>
      <c r="HID29" s="3" t="s">
        <v>169</v>
      </c>
      <c r="HIE29" s="3" t="s">
        <v>168</v>
      </c>
      <c r="HIF29" s="3" t="s">
        <v>169</v>
      </c>
      <c r="HIG29" s="3" t="s">
        <v>168</v>
      </c>
      <c r="HIH29" s="3" t="s">
        <v>169</v>
      </c>
      <c r="HII29" s="3" t="s">
        <v>168</v>
      </c>
      <c r="HIJ29" s="3" t="s">
        <v>169</v>
      </c>
      <c r="HIK29" s="3" t="s">
        <v>168</v>
      </c>
      <c r="HIL29" s="3" t="s">
        <v>169</v>
      </c>
      <c r="HIM29" s="3" t="s">
        <v>168</v>
      </c>
      <c r="HIN29" s="3" t="s">
        <v>169</v>
      </c>
      <c r="HIO29" s="3" t="s">
        <v>168</v>
      </c>
      <c r="HIP29" s="3" t="s">
        <v>169</v>
      </c>
      <c r="HIQ29" s="3" t="s">
        <v>168</v>
      </c>
      <c r="HIR29" s="3" t="s">
        <v>169</v>
      </c>
      <c r="HIS29" s="3" t="s">
        <v>168</v>
      </c>
      <c r="HIT29" s="3" t="s">
        <v>169</v>
      </c>
      <c r="HIU29" s="3" t="s">
        <v>168</v>
      </c>
      <c r="HIV29" s="3" t="s">
        <v>169</v>
      </c>
      <c r="HIW29" s="3" t="s">
        <v>168</v>
      </c>
      <c r="HIX29" s="3" t="s">
        <v>169</v>
      </c>
      <c r="HIY29" s="3" t="s">
        <v>168</v>
      </c>
      <c r="HIZ29" s="3" t="s">
        <v>169</v>
      </c>
      <c r="HJA29" s="3" t="s">
        <v>168</v>
      </c>
      <c r="HJB29" s="3" t="s">
        <v>169</v>
      </c>
      <c r="HJC29" s="3" t="s">
        <v>168</v>
      </c>
      <c r="HJD29" s="3" t="s">
        <v>169</v>
      </c>
      <c r="HJE29" s="3" t="s">
        <v>168</v>
      </c>
      <c r="HJF29" s="3" t="s">
        <v>169</v>
      </c>
      <c r="HJG29" s="3" t="s">
        <v>168</v>
      </c>
      <c r="HJH29" s="3" t="s">
        <v>169</v>
      </c>
      <c r="HJI29" s="3" t="s">
        <v>168</v>
      </c>
      <c r="HJJ29" s="3" t="s">
        <v>169</v>
      </c>
      <c r="HJK29" s="3" t="s">
        <v>168</v>
      </c>
      <c r="HJL29" s="3" t="s">
        <v>169</v>
      </c>
      <c r="HJM29" s="3" t="s">
        <v>168</v>
      </c>
      <c r="HJN29" s="3" t="s">
        <v>169</v>
      </c>
      <c r="HJO29" s="3" t="s">
        <v>168</v>
      </c>
      <c r="HJP29" s="3" t="s">
        <v>169</v>
      </c>
      <c r="HJQ29" s="3" t="s">
        <v>168</v>
      </c>
      <c r="HJR29" s="3" t="s">
        <v>169</v>
      </c>
      <c r="HJS29" s="3" t="s">
        <v>168</v>
      </c>
      <c r="HJT29" s="3" t="s">
        <v>169</v>
      </c>
      <c r="HJU29" s="3" t="s">
        <v>168</v>
      </c>
      <c r="HJV29" s="3" t="s">
        <v>169</v>
      </c>
      <c r="HJW29" s="3" t="s">
        <v>168</v>
      </c>
      <c r="HJX29" s="3" t="s">
        <v>169</v>
      </c>
      <c r="HJY29" s="3" t="s">
        <v>168</v>
      </c>
      <c r="HJZ29" s="3" t="s">
        <v>169</v>
      </c>
      <c r="HKA29" s="3" t="s">
        <v>168</v>
      </c>
      <c r="HKB29" s="3" t="s">
        <v>169</v>
      </c>
      <c r="HKC29" s="3" t="s">
        <v>168</v>
      </c>
      <c r="HKD29" s="3" t="s">
        <v>169</v>
      </c>
      <c r="HKE29" s="3" t="s">
        <v>168</v>
      </c>
      <c r="HKF29" s="3" t="s">
        <v>169</v>
      </c>
      <c r="HKG29" s="3" t="s">
        <v>168</v>
      </c>
      <c r="HKH29" s="3" t="s">
        <v>169</v>
      </c>
      <c r="HKI29" s="3" t="s">
        <v>168</v>
      </c>
      <c r="HKJ29" s="3" t="s">
        <v>169</v>
      </c>
      <c r="HKK29" s="3" t="s">
        <v>168</v>
      </c>
      <c r="HKL29" s="3" t="s">
        <v>169</v>
      </c>
      <c r="HKM29" s="3" t="s">
        <v>168</v>
      </c>
      <c r="HKN29" s="3" t="s">
        <v>169</v>
      </c>
      <c r="HKO29" s="3" t="s">
        <v>168</v>
      </c>
      <c r="HKP29" s="3" t="s">
        <v>169</v>
      </c>
      <c r="HKQ29" s="3" t="s">
        <v>168</v>
      </c>
      <c r="HKR29" s="3" t="s">
        <v>169</v>
      </c>
      <c r="HKS29" s="3" t="s">
        <v>168</v>
      </c>
      <c r="HKT29" s="3" t="s">
        <v>169</v>
      </c>
      <c r="HKU29" s="3" t="s">
        <v>168</v>
      </c>
      <c r="HKV29" s="3" t="s">
        <v>169</v>
      </c>
      <c r="HKW29" s="3" t="s">
        <v>168</v>
      </c>
      <c r="HKX29" s="3" t="s">
        <v>169</v>
      </c>
      <c r="HKY29" s="3" t="s">
        <v>168</v>
      </c>
      <c r="HKZ29" s="3" t="s">
        <v>169</v>
      </c>
      <c r="HLA29" s="3" t="s">
        <v>168</v>
      </c>
      <c r="HLB29" s="3" t="s">
        <v>169</v>
      </c>
      <c r="HLC29" s="3" t="s">
        <v>168</v>
      </c>
      <c r="HLD29" s="3" t="s">
        <v>169</v>
      </c>
      <c r="HLE29" s="3" t="s">
        <v>168</v>
      </c>
      <c r="HLF29" s="3" t="s">
        <v>169</v>
      </c>
      <c r="HLG29" s="3" t="s">
        <v>168</v>
      </c>
      <c r="HLH29" s="3" t="s">
        <v>169</v>
      </c>
      <c r="HLI29" s="3" t="s">
        <v>168</v>
      </c>
      <c r="HLJ29" s="3" t="s">
        <v>169</v>
      </c>
      <c r="HLK29" s="3" t="s">
        <v>168</v>
      </c>
      <c r="HLL29" s="3" t="s">
        <v>169</v>
      </c>
      <c r="HLM29" s="3" t="s">
        <v>168</v>
      </c>
      <c r="HLN29" s="3" t="s">
        <v>169</v>
      </c>
      <c r="HLO29" s="3" t="s">
        <v>168</v>
      </c>
      <c r="HLP29" s="3" t="s">
        <v>169</v>
      </c>
      <c r="HLQ29" s="3" t="s">
        <v>168</v>
      </c>
      <c r="HLR29" s="3" t="s">
        <v>169</v>
      </c>
      <c r="HLS29" s="3" t="s">
        <v>168</v>
      </c>
      <c r="HLT29" s="3" t="s">
        <v>169</v>
      </c>
      <c r="HLU29" s="3" t="s">
        <v>168</v>
      </c>
      <c r="HLV29" s="3" t="s">
        <v>169</v>
      </c>
      <c r="HLW29" s="3" t="s">
        <v>168</v>
      </c>
      <c r="HLX29" s="3" t="s">
        <v>169</v>
      </c>
      <c r="HLY29" s="3" t="s">
        <v>168</v>
      </c>
      <c r="HLZ29" s="3" t="s">
        <v>169</v>
      </c>
      <c r="HMA29" s="3" t="s">
        <v>168</v>
      </c>
      <c r="HMB29" s="3" t="s">
        <v>169</v>
      </c>
      <c r="HMC29" s="3" t="s">
        <v>168</v>
      </c>
      <c r="HMD29" s="3" t="s">
        <v>169</v>
      </c>
      <c r="HME29" s="3" t="s">
        <v>168</v>
      </c>
      <c r="HMF29" s="3" t="s">
        <v>169</v>
      </c>
      <c r="HMG29" s="3" t="s">
        <v>168</v>
      </c>
      <c r="HMH29" s="3" t="s">
        <v>169</v>
      </c>
      <c r="HMI29" s="3" t="s">
        <v>168</v>
      </c>
      <c r="HMJ29" s="3" t="s">
        <v>169</v>
      </c>
      <c r="HMK29" s="3" t="s">
        <v>168</v>
      </c>
      <c r="HML29" s="3" t="s">
        <v>169</v>
      </c>
      <c r="HMM29" s="3" t="s">
        <v>168</v>
      </c>
      <c r="HMN29" s="3" t="s">
        <v>169</v>
      </c>
      <c r="HMO29" s="3" t="s">
        <v>168</v>
      </c>
      <c r="HMP29" s="3" t="s">
        <v>169</v>
      </c>
      <c r="HMQ29" s="3" t="s">
        <v>168</v>
      </c>
      <c r="HMR29" s="3" t="s">
        <v>169</v>
      </c>
      <c r="HMS29" s="3" t="s">
        <v>168</v>
      </c>
      <c r="HMT29" s="3" t="s">
        <v>169</v>
      </c>
      <c r="HMU29" s="3" t="s">
        <v>168</v>
      </c>
      <c r="HMV29" s="3" t="s">
        <v>169</v>
      </c>
      <c r="HMW29" s="3" t="s">
        <v>168</v>
      </c>
      <c r="HMX29" s="3" t="s">
        <v>169</v>
      </c>
      <c r="HMY29" s="3" t="s">
        <v>168</v>
      </c>
      <c r="HMZ29" s="3" t="s">
        <v>169</v>
      </c>
      <c r="HNA29" s="3" t="s">
        <v>168</v>
      </c>
      <c r="HNB29" s="3" t="s">
        <v>169</v>
      </c>
      <c r="HNC29" s="3" t="s">
        <v>168</v>
      </c>
      <c r="HND29" s="3" t="s">
        <v>169</v>
      </c>
      <c r="HNE29" s="3" t="s">
        <v>168</v>
      </c>
      <c r="HNF29" s="3" t="s">
        <v>169</v>
      </c>
      <c r="HNG29" s="3" t="s">
        <v>168</v>
      </c>
      <c r="HNH29" s="3" t="s">
        <v>169</v>
      </c>
      <c r="HNI29" s="3" t="s">
        <v>168</v>
      </c>
      <c r="HNJ29" s="3" t="s">
        <v>169</v>
      </c>
      <c r="HNK29" s="3" t="s">
        <v>168</v>
      </c>
      <c r="HNL29" s="3" t="s">
        <v>169</v>
      </c>
      <c r="HNM29" s="3" t="s">
        <v>168</v>
      </c>
      <c r="HNN29" s="3" t="s">
        <v>169</v>
      </c>
      <c r="HNO29" s="3" t="s">
        <v>168</v>
      </c>
      <c r="HNP29" s="3" t="s">
        <v>169</v>
      </c>
      <c r="HNQ29" s="3" t="s">
        <v>168</v>
      </c>
      <c r="HNR29" s="3" t="s">
        <v>169</v>
      </c>
      <c r="HNS29" s="3" t="s">
        <v>168</v>
      </c>
      <c r="HNT29" s="3" t="s">
        <v>169</v>
      </c>
      <c r="HNU29" s="3" t="s">
        <v>168</v>
      </c>
      <c r="HNV29" s="3" t="s">
        <v>169</v>
      </c>
      <c r="HNW29" s="3" t="s">
        <v>168</v>
      </c>
      <c r="HNX29" s="3" t="s">
        <v>169</v>
      </c>
      <c r="HNY29" s="3" t="s">
        <v>168</v>
      </c>
      <c r="HNZ29" s="3" t="s">
        <v>169</v>
      </c>
      <c r="HOA29" s="3" t="s">
        <v>168</v>
      </c>
      <c r="HOB29" s="3" t="s">
        <v>169</v>
      </c>
      <c r="HOC29" s="3" t="s">
        <v>168</v>
      </c>
      <c r="HOD29" s="3" t="s">
        <v>169</v>
      </c>
      <c r="HOE29" s="3" t="s">
        <v>168</v>
      </c>
      <c r="HOF29" s="3" t="s">
        <v>169</v>
      </c>
      <c r="HOG29" s="3" t="s">
        <v>168</v>
      </c>
      <c r="HOH29" s="3" t="s">
        <v>169</v>
      </c>
      <c r="HOI29" s="3" t="s">
        <v>168</v>
      </c>
      <c r="HOJ29" s="3" t="s">
        <v>169</v>
      </c>
      <c r="HOK29" s="3" t="s">
        <v>168</v>
      </c>
      <c r="HOL29" s="3" t="s">
        <v>169</v>
      </c>
      <c r="HOM29" s="3" t="s">
        <v>168</v>
      </c>
      <c r="HON29" s="3" t="s">
        <v>169</v>
      </c>
      <c r="HOO29" s="3" t="s">
        <v>168</v>
      </c>
      <c r="HOP29" s="3" t="s">
        <v>169</v>
      </c>
      <c r="HOQ29" s="3" t="s">
        <v>168</v>
      </c>
      <c r="HOR29" s="3" t="s">
        <v>169</v>
      </c>
      <c r="HOS29" s="3" t="s">
        <v>168</v>
      </c>
      <c r="HOT29" s="3" t="s">
        <v>169</v>
      </c>
      <c r="HOU29" s="3" t="s">
        <v>168</v>
      </c>
      <c r="HOV29" s="3" t="s">
        <v>169</v>
      </c>
      <c r="HOW29" s="3" t="s">
        <v>168</v>
      </c>
      <c r="HOX29" s="3" t="s">
        <v>169</v>
      </c>
      <c r="HOY29" s="3" t="s">
        <v>168</v>
      </c>
      <c r="HOZ29" s="3" t="s">
        <v>169</v>
      </c>
      <c r="HPA29" s="3" t="s">
        <v>168</v>
      </c>
      <c r="HPB29" s="3" t="s">
        <v>169</v>
      </c>
      <c r="HPC29" s="3" t="s">
        <v>168</v>
      </c>
      <c r="HPD29" s="3" t="s">
        <v>169</v>
      </c>
      <c r="HPE29" s="3" t="s">
        <v>168</v>
      </c>
      <c r="HPF29" s="3" t="s">
        <v>169</v>
      </c>
      <c r="HPG29" s="3" t="s">
        <v>168</v>
      </c>
      <c r="HPH29" s="3" t="s">
        <v>169</v>
      </c>
      <c r="HPI29" s="3" t="s">
        <v>168</v>
      </c>
      <c r="HPJ29" s="3" t="s">
        <v>169</v>
      </c>
      <c r="HPK29" s="3" t="s">
        <v>168</v>
      </c>
      <c r="HPL29" s="3" t="s">
        <v>169</v>
      </c>
      <c r="HPM29" s="3" t="s">
        <v>168</v>
      </c>
      <c r="HPN29" s="3" t="s">
        <v>169</v>
      </c>
      <c r="HPO29" s="3" t="s">
        <v>168</v>
      </c>
      <c r="HPP29" s="3" t="s">
        <v>169</v>
      </c>
      <c r="HPQ29" s="3" t="s">
        <v>168</v>
      </c>
      <c r="HPR29" s="3" t="s">
        <v>169</v>
      </c>
      <c r="HPS29" s="3" t="s">
        <v>168</v>
      </c>
      <c r="HPT29" s="3" t="s">
        <v>169</v>
      </c>
      <c r="HPU29" s="3" t="s">
        <v>168</v>
      </c>
      <c r="HPV29" s="3" t="s">
        <v>169</v>
      </c>
      <c r="HPW29" s="3" t="s">
        <v>168</v>
      </c>
      <c r="HPX29" s="3" t="s">
        <v>169</v>
      </c>
      <c r="HPY29" s="3" t="s">
        <v>168</v>
      </c>
      <c r="HPZ29" s="3" t="s">
        <v>169</v>
      </c>
      <c r="HQA29" s="3" t="s">
        <v>168</v>
      </c>
      <c r="HQB29" s="3" t="s">
        <v>169</v>
      </c>
      <c r="HQC29" s="3" t="s">
        <v>168</v>
      </c>
      <c r="HQD29" s="3" t="s">
        <v>169</v>
      </c>
      <c r="HQE29" s="3" t="s">
        <v>168</v>
      </c>
      <c r="HQF29" s="3" t="s">
        <v>169</v>
      </c>
      <c r="HQG29" s="3" t="s">
        <v>168</v>
      </c>
      <c r="HQH29" s="3" t="s">
        <v>169</v>
      </c>
      <c r="HQI29" s="3" t="s">
        <v>168</v>
      </c>
      <c r="HQJ29" s="3" t="s">
        <v>169</v>
      </c>
      <c r="HQK29" s="3" t="s">
        <v>168</v>
      </c>
      <c r="HQL29" s="3" t="s">
        <v>169</v>
      </c>
      <c r="HQM29" s="3" t="s">
        <v>168</v>
      </c>
      <c r="HQN29" s="3" t="s">
        <v>169</v>
      </c>
      <c r="HQO29" s="3" t="s">
        <v>168</v>
      </c>
      <c r="HQP29" s="3" t="s">
        <v>169</v>
      </c>
      <c r="HQQ29" s="3" t="s">
        <v>168</v>
      </c>
      <c r="HQR29" s="3" t="s">
        <v>169</v>
      </c>
      <c r="HQS29" s="3" t="s">
        <v>168</v>
      </c>
      <c r="HQT29" s="3" t="s">
        <v>169</v>
      </c>
      <c r="HQU29" s="3" t="s">
        <v>168</v>
      </c>
      <c r="HQV29" s="3" t="s">
        <v>169</v>
      </c>
      <c r="HQW29" s="3" t="s">
        <v>168</v>
      </c>
      <c r="HQX29" s="3" t="s">
        <v>169</v>
      </c>
      <c r="HQY29" s="3" t="s">
        <v>168</v>
      </c>
      <c r="HQZ29" s="3" t="s">
        <v>169</v>
      </c>
      <c r="HRA29" s="3" t="s">
        <v>168</v>
      </c>
      <c r="HRB29" s="3" t="s">
        <v>169</v>
      </c>
      <c r="HRC29" s="3" t="s">
        <v>168</v>
      </c>
      <c r="HRD29" s="3" t="s">
        <v>169</v>
      </c>
      <c r="HRE29" s="3" t="s">
        <v>168</v>
      </c>
      <c r="HRF29" s="3" t="s">
        <v>169</v>
      </c>
      <c r="HRG29" s="3" t="s">
        <v>168</v>
      </c>
      <c r="HRH29" s="3" t="s">
        <v>169</v>
      </c>
      <c r="HRI29" s="3" t="s">
        <v>168</v>
      </c>
      <c r="HRJ29" s="3" t="s">
        <v>169</v>
      </c>
      <c r="HRK29" s="3" t="s">
        <v>168</v>
      </c>
      <c r="HRL29" s="3" t="s">
        <v>169</v>
      </c>
      <c r="HRM29" s="3" t="s">
        <v>168</v>
      </c>
      <c r="HRN29" s="3" t="s">
        <v>169</v>
      </c>
      <c r="HRO29" s="3" t="s">
        <v>168</v>
      </c>
      <c r="HRP29" s="3" t="s">
        <v>169</v>
      </c>
      <c r="HRQ29" s="3" t="s">
        <v>168</v>
      </c>
      <c r="HRR29" s="3" t="s">
        <v>169</v>
      </c>
      <c r="HRS29" s="3" t="s">
        <v>168</v>
      </c>
      <c r="HRT29" s="3" t="s">
        <v>169</v>
      </c>
      <c r="HRU29" s="3" t="s">
        <v>168</v>
      </c>
      <c r="HRV29" s="3" t="s">
        <v>169</v>
      </c>
      <c r="HRW29" s="3" t="s">
        <v>168</v>
      </c>
      <c r="HRX29" s="3" t="s">
        <v>169</v>
      </c>
      <c r="HRY29" s="3" t="s">
        <v>168</v>
      </c>
      <c r="HRZ29" s="3" t="s">
        <v>169</v>
      </c>
      <c r="HSA29" s="3" t="s">
        <v>168</v>
      </c>
      <c r="HSB29" s="3" t="s">
        <v>169</v>
      </c>
      <c r="HSC29" s="3" t="s">
        <v>168</v>
      </c>
      <c r="HSD29" s="3" t="s">
        <v>169</v>
      </c>
      <c r="HSE29" s="3" t="s">
        <v>168</v>
      </c>
      <c r="HSF29" s="3" t="s">
        <v>169</v>
      </c>
      <c r="HSG29" s="3" t="s">
        <v>168</v>
      </c>
      <c r="HSH29" s="3" t="s">
        <v>169</v>
      </c>
      <c r="HSI29" s="3" t="s">
        <v>168</v>
      </c>
      <c r="HSJ29" s="3" t="s">
        <v>169</v>
      </c>
      <c r="HSK29" s="3" t="s">
        <v>168</v>
      </c>
      <c r="HSL29" s="3" t="s">
        <v>169</v>
      </c>
      <c r="HSM29" s="3" t="s">
        <v>168</v>
      </c>
      <c r="HSN29" s="3" t="s">
        <v>169</v>
      </c>
      <c r="HSO29" s="3" t="s">
        <v>168</v>
      </c>
      <c r="HSP29" s="3" t="s">
        <v>169</v>
      </c>
      <c r="HSQ29" s="3" t="s">
        <v>168</v>
      </c>
      <c r="HSR29" s="3" t="s">
        <v>169</v>
      </c>
      <c r="HSS29" s="3" t="s">
        <v>168</v>
      </c>
      <c r="HST29" s="3" t="s">
        <v>169</v>
      </c>
      <c r="HSU29" s="3" t="s">
        <v>168</v>
      </c>
      <c r="HSV29" s="3" t="s">
        <v>169</v>
      </c>
      <c r="HSW29" s="3" t="s">
        <v>168</v>
      </c>
      <c r="HSX29" s="3" t="s">
        <v>169</v>
      </c>
      <c r="HSY29" s="3" t="s">
        <v>168</v>
      </c>
      <c r="HSZ29" s="3" t="s">
        <v>169</v>
      </c>
      <c r="HTA29" s="3" t="s">
        <v>168</v>
      </c>
      <c r="HTB29" s="3" t="s">
        <v>169</v>
      </c>
      <c r="HTC29" s="3" t="s">
        <v>168</v>
      </c>
      <c r="HTD29" s="3" t="s">
        <v>169</v>
      </c>
      <c r="HTE29" s="3" t="s">
        <v>168</v>
      </c>
      <c r="HTF29" s="3" t="s">
        <v>169</v>
      </c>
      <c r="HTG29" s="3" t="s">
        <v>168</v>
      </c>
      <c r="HTH29" s="3" t="s">
        <v>169</v>
      </c>
      <c r="HTI29" s="3" t="s">
        <v>168</v>
      </c>
      <c r="HTJ29" s="3" t="s">
        <v>169</v>
      </c>
      <c r="HTK29" s="3" t="s">
        <v>168</v>
      </c>
      <c r="HTL29" s="3" t="s">
        <v>169</v>
      </c>
      <c r="HTM29" s="3" t="s">
        <v>168</v>
      </c>
      <c r="HTN29" s="3" t="s">
        <v>169</v>
      </c>
      <c r="HTO29" s="3" t="s">
        <v>168</v>
      </c>
      <c r="HTP29" s="3" t="s">
        <v>169</v>
      </c>
      <c r="HTQ29" s="3" t="s">
        <v>168</v>
      </c>
      <c r="HTR29" s="3" t="s">
        <v>169</v>
      </c>
      <c r="HTS29" s="3" t="s">
        <v>168</v>
      </c>
      <c r="HTT29" s="3" t="s">
        <v>169</v>
      </c>
      <c r="HTU29" s="3" t="s">
        <v>168</v>
      </c>
      <c r="HTV29" s="3" t="s">
        <v>169</v>
      </c>
      <c r="HTW29" s="3" t="s">
        <v>168</v>
      </c>
      <c r="HTX29" s="3" t="s">
        <v>169</v>
      </c>
      <c r="HTY29" s="3" t="s">
        <v>168</v>
      </c>
      <c r="HTZ29" s="3" t="s">
        <v>169</v>
      </c>
      <c r="HUA29" s="3" t="s">
        <v>168</v>
      </c>
      <c r="HUB29" s="3" t="s">
        <v>169</v>
      </c>
      <c r="HUC29" s="3" t="s">
        <v>168</v>
      </c>
      <c r="HUD29" s="3" t="s">
        <v>169</v>
      </c>
      <c r="HUE29" s="3" t="s">
        <v>168</v>
      </c>
      <c r="HUF29" s="3" t="s">
        <v>169</v>
      </c>
      <c r="HUG29" s="3" t="s">
        <v>168</v>
      </c>
      <c r="HUH29" s="3" t="s">
        <v>169</v>
      </c>
      <c r="HUI29" s="3" t="s">
        <v>168</v>
      </c>
      <c r="HUJ29" s="3" t="s">
        <v>169</v>
      </c>
      <c r="HUK29" s="3" t="s">
        <v>168</v>
      </c>
      <c r="HUL29" s="3" t="s">
        <v>169</v>
      </c>
      <c r="HUM29" s="3" t="s">
        <v>168</v>
      </c>
      <c r="HUN29" s="3" t="s">
        <v>169</v>
      </c>
      <c r="HUO29" s="3" t="s">
        <v>168</v>
      </c>
      <c r="HUP29" s="3" t="s">
        <v>169</v>
      </c>
      <c r="HUQ29" s="3" t="s">
        <v>168</v>
      </c>
      <c r="HUR29" s="3" t="s">
        <v>169</v>
      </c>
      <c r="HUS29" s="3" t="s">
        <v>168</v>
      </c>
      <c r="HUT29" s="3" t="s">
        <v>169</v>
      </c>
      <c r="HUU29" s="3" t="s">
        <v>168</v>
      </c>
      <c r="HUV29" s="3" t="s">
        <v>169</v>
      </c>
      <c r="HUW29" s="3" t="s">
        <v>168</v>
      </c>
      <c r="HUX29" s="3" t="s">
        <v>169</v>
      </c>
      <c r="HUY29" s="3" t="s">
        <v>168</v>
      </c>
      <c r="HUZ29" s="3" t="s">
        <v>169</v>
      </c>
      <c r="HVA29" s="3" t="s">
        <v>168</v>
      </c>
      <c r="HVB29" s="3" t="s">
        <v>169</v>
      </c>
      <c r="HVC29" s="3" t="s">
        <v>168</v>
      </c>
      <c r="HVD29" s="3" t="s">
        <v>169</v>
      </c>
      <c r="HVE29" s="3" t="s">
        <v>168</v>
      </c>
      <c r="HVF29" s="3" t="s">
        <v>169</v>
      </c>
      <c r="HVG29" s="3" t="s">
        <v>168</v>
      </c>
      <c r="HVH29" s="3" t="s">
        <v>169</v>
      </c>
      <c r="HVI29" s="3" t="s">
        <v>168</v>
      </c>
      <c r="HVJ29" s="3" t="s">
        <v>169</v>
      </c>
      <c r="HVK29" s="3" t="s">
        <v>168</v>
      </c>
      <c r="HVL29" s="3" t="s">
        <v>169</v>
      </c>
      <c r="HVM29" s="3" t="s">
        <v>168</v>
      </c>
      <c r="HVN29" s="3" t="s">
        <v>169</v>
      </c>
      <c r="HVO29" s="3" t="s">
        <v>168</v>
      </c>
      <c r="HVP29" s="3" t="s">
        <v>169</v>
      </c>
      <c r="HVQ29" s="3" t="s">
        <v>168</v>
      </c>
      <c r="HVR29" s="3" t="s">
        <v>169</v>
      </c>
      <c r="HVS29" s="3" t="s">
        <v>168</v>
      </c>
      <c r="HVT29" s="3" t="s">
        <v>169</v>
      </c>
      <c r="HVU29" s="3" t="s">
        <v>168</v>
      </c>
      <c r="HVV29" s="3" t="s">
        <v>169</v>
      </c>
      <c r="HVW29" s="3" t="s">
        <v>168</v>
      </c>
      <c r="HVX29" s="3" t="s">
        <v>169</v>
      </c>
      <c r="HVY29" s="3" t="s">
        <v>168</v>
      </c>
      <c r="HVZ29" s="3" t="s">
        <v>169</v>
      </c>
      <c r="HWA29" s="3" t="s">
        <v>168</v>
      </c>
      <c r="HWB29" s="3" t="s">
        <v>169</v>
      </c>
      <c r="HWC29" s="3" t="s">
        <v>168</v>
      </c>
      <c r="HWD29" s="3" t="s">
        <v>169</v>
      </c>
      <c r="HWE29" s="3" t="s">
        <v>168</v>
      </c>
      <c r="HWF29" s="3" t="s">
        <v>169</v>
      </c>
      <c r="HWG29" s="3" t="s">
        <v>168</v>
      </c>
      <c r="HWH29" s="3" t="s">
        <v>169</v>
      </c>
      <c r="HWI29" s="3" t="s">
        <v>168</v>
      </c>
      <c r="HWJ29" s="3" t="s">
        <v>169</v>
      </c>
      <c r="HWK29" s="3" t="s">
        <v>168</v>
      </c>
      <c r="HWL29" s="3" t="s">
        <v>169</v>
      </c>
      <c r="HWM29" s="3" t="s">
        <v>168</v>
      </c>
      <c r="HWN29" s="3" t="s">
        <v>169</v>
      </c>
      <c r="HWO29" s="3" t="s">
        <v>168</v>
      </c>
      <c r="HWP29" s="3" t="s">
        <v>169</v>
      </c>
      <c r="HWQ29" s="3" t="s">
        <v>168</v>
      </c>
      <c r="HWR29" s="3" t="s">
        <v>169</v>
      </c>
      <c r="HWS29" s="3" t="s">
        <v>168</v>
      </c>
      <c r="HWT29" s="3" t="s">
        <v>169</v>
      </c>
      <c r="HWU29" s="3" t="s">
        <v>168</v>
      </c>
      <c r="HWV29" s="3" t="s">
        <v>169</v>
      </c>
      <c r="HWW29" s="3" t="s">
        <v>168</v>
      </c>
      <c r="HWX29" s="3" t="s">
        <v>169</v>
      </c>
      <c r="HWY29" s="3" t="s">
        <v>168</v>
      </c>
      <c r="HWZ29" s="3" t="s">
        <v>169</v>
      </c>
      <c r="HXA29" s="3" t="s">
        <v>168</v>
      </c>
      <c r="HXB29" s="3" t="s">
        <v>169</v>
      </c>
      <c r="HXC29" s="3" t="s">
        <v>168</v>
      </c>
      <c r="HXD29" s="3" t="s">
        <v>169</v>
      </c>
      <c r="HXE29" s="3" t="s">
        <v>168</v>
      </c>
      <c r="HXF29" s="3" t="s">
        <v>169</v>
      </c>
      <c r="HXG29" s="3" t="s">
        <v>168</v>
      </c>
      <c r="HXH29" s="3" t="s">
        <v>169</v>
      </c>
      <c r="HXI29" s="3" t="s">
        <v>168</v>
      </c>
      <c r="HXJ29" s="3" t="s">
        <v>169</v>
      </c>
      <c r="HXK29" s="3" t="s">
        <v>168</v>
      </c>
      <c r="HXL29" s="3" t="s">
        <v>169</v>
      </c>
      <c r="HXM29" s="3" t="s">
        <v>168</v>
      </c>
      <c r="HXN29" s="3" t="s">
        <v>169</v>
      </c>
      <c r="HXO29" s="3" t="s">
        <v>168</v>
      </c>
      <c r="HXP29" s="3" t="s">
        <v>169</v>
      </c>
      <c r="HXQ29" s="3" t="s">
        <v>168</v>
      </c>
      <c r="HXR29" s="3" t="s">
        <v>169</v>
      </c>
      <c r="HXS29" s="3" t="s">
        <v>168</v>
      </c>
      <c r="HXT29" s="3" t="s">
        <v>169</v>
      </c>
      <c r="HXU29" s="3" t="s">
        <v>168</v>
      </c>
      <c r="HXV29" s="3" t="s">
        <v>169</v>
      </c>
      <c r="HXW29" s="3" t="s">
        <v>168</v>
      </c>
      <c r="HXX29" s="3" t="s">
        <v>169</v>
      </c>
      <c r="HXY29" s="3" t="s">
        <v>168</v>
      </c>
      <c r="HXZ29" s="3" t="s">
        <v>169</v>
      </c>
      <c r="HYA29" s="3" t="s">
        <v>168</v>
      </c>
      <c r="HYB29" s="3" t="s">
        <v>169</v>
      </c>
      <c r="HYC29" s="3" t="s">
        <v>168</v>
      </c>
      <c r="HYD29" s="3" t="s">
        <v>169</v>
      </c>
      <c r="HYE29" s="3" t="s">
        <v>168</v>
      </c>
      <c r="HYF29" s="3" t="s">
        <v>169</v>
      </c>
      <c r="HYG29" s="3" t="s">
        <v>168</v>
      </c>
      <c r="HYH29" s="3" t="s">
        <v>169</v>
      </c>
      <c r="HYI29" s="3" t="s">
        <v>168</v>
      </c>
      <c r="HYJ29" s="3" t="s">
        <v>169</v>
      </c>
      <c r="HYK29" s="3" t="s">
        <v>168</v>
      </c>
      <c r="HYL29" s="3" t="s">
        <v>169</v>
      </c>
      <c r="HYM29" s="3" t="s">
        <v>168</v>
      </c>
      <c r="HYN29" s="3" t="s">
        <v>169</v>
      </c>
      <c r="HYO29" s="3" t="s">
        <v>168</v>
      </c>
      <c r="HYP29" s="3" t="s">
        <v>169</v>
      </c>
      <c r="HYQ29" s="3" t="s">
        <v>168</v>
      </c>
      <c r="HYR29" s="3" t="s">
        <v>169</v>
      </c>
      <c r="HYS29" s="3" t="s">
        <v>168</v>
      </c>
      <c r="HYT29" s="3" t="s">
        <v>169</v>
      </c>
      <c r="HYU29" s="3" t="s">
        <v>168</v>
      </c>
      <c r="HYV29" s="3" t="s">
        <v>169</v>
      </c>
      <c r="HYW29" s="3" t="s">
        <v>168</v>
      </c>
      <c r="HYX29" s="3" t="s">
        <v>169</v>
      </c>
      <c r="HYY29" s="3" t="s">
        <v>168</v>
      </c>
      <c r="HYZ29" s="3" t="s">
        <v>169</v>
      </c>
      <c r="HZA29" s="3" t="s">
        <v>168</v>
      </c>
      <c r="HZB29" s="3" t="s">
        <v>169</v>
      </c>
      <c r="HZC29" s="3" t="s">
        <v>168</v>
      </c>
      <c r="HZD29" s="3" t="s">
        <v>169</v>
      </c>
      <c r="HZE29" s="3" t="s">
        <v>168</v>
      </c>
      <c r="HZF29" s="3" t="s">
        <v>169</v>
      </c>
      <c r="HZG29" s="3" t="s">
        <v>168</v>
      </c>
      <c r="HZH29" s="3" t="s">
        <v>169</v>
      </c>
      <c r="HZI29" s="3" t="s">
        <v>168</v>
      </c>
      <c r="HZJ29" s="3" t="s">
        <v>169</v>
      </c>
      <c r="HZK29" s="3" t="s">
        <v>168</v>
      </c>
      <c r="HZL29" s="3" t="s">
        <v>169</v>
      </c>
      <c r="HZM29" s="3" t="s">
        <v>168</v>
      </c>
      <c r="HZN29" s="3" t="s">
        <v>169</v>
      </c>
      <c r="HZO29" s="3" t="s">
        <v>168</v>
      </c>
      <c r="HZP29" s="3" t="s">
        <v>169</v>
      </c>
      <c r="HZQ29" s="3" t="s">
        <v>168</v>
      </c>
      <c r="HZR29" s="3" t="s">
        <v>169</v>
      </c>
      <c r="HZS29" s="3" t="s">
        <v>168</v>
      </c>
      <c r="HZT29" s="3" t="s">
        <v>169</v>
      </c>
      <c r="HZU29" s="3" t="s">
        <v>168</v>
      </c>
      <c r="HZV29" s="3" t="s">
        <v>169</v>
      </c>
      <c r="HZW29" s="3" t="s">
        <v>168</v>
      </c>
      <c r="HZX29" s="3" t="s">
        <v>169</v>
      </c>
      <c r="HZY29" s="3" t="s">
        <v>168</v>
      </c>
      <c r="HZZ29" s="3" t="s">
        <v>169</v>
      </c>
      <c r="IAA29" s="3" t="s">
        <v>168</v>
      </c>
      <c r="IAB29" s="3" t="s">
        <v>169</v>
      </c>
      <c r="IAC29" s="3" t="s">
        <v>168</v>
      </c>
      <c r="IAD29" s="3" t="s">
        <v>169</v>
      </c>
      <c r="IAE29" s="3" t="s">
        <v>168</v>
      </c>
      <c r="IAF29" s="3" t="s">
        <v>169</v>
      </c>
      <c r="IAG29" s="3" t="s">
        <v>168</v>
      </c>
      <c r="IAH29" s="3" t="s">
        <v>169</v>
      </c>
      <c r="IAI29" s="3" t="s">
        <v>168</v>
      </c>
      <c r="IAJ29" s="3" t="s">
        <v>169</v>
      </c>
      <c r="IAK29" s="3" t="s">
        <v>168</v>
      </c>
      <c r="IAL29" s="3" t="s">
        <v>169</v>
      </c>
      <c r="IAM29" s="3" t="s">
        <v>168</v>
      </c>
      <c r="IAN29" s="3" t="s">
        <v>169</v>
      </c>
      <c r="IAO29" s="3" t="s">
        <v>168</v>
      </c>
      <c r="IAP29" s="3" t="s">
        <v>169</v>
      </c>
      <c r="IAQ29" s="3" t="s">
        <v>168</v>
      </c>
      <c r="IAR29" s="3" t="s">
        <v>169</v>
      </c>
      <c r="IAS29" s="3" t="s">
        <v>168</v>
      </c>
      <c r="IAT29" s="3" t="s">
        <v>169</v>
      </c>
      <c r="IAU29" s="3" t="s">
        <v>168</v>
      </c>
      <c r="IAV29" s="3" t="s">
        <v>169</v>
      </c>
      <c r="IAW29" s="3" t="s">
        <v>168</v>
      </c>
      <c r="IAX29" s="3" t="s">
        <v>169</v>
      </c>
      <c r="IAY29" s="3" t="s">
        <v>168</v>
      </c>
      <c r="IAZ29" s="3" t="s">
        <v>169</v>
      </c>
      <c r="IBA29" s="3" t="s">
        <v>168</v>
      </c>
      <c r="IBB29" s="3" t="s">
        <v>169</v>
      </c>
      <c r="IBC29" s="3" t="s">
        <v>168</v>
      </c>
      <c r="IBD29" s="3" t="s">
        <v>169</v>
      </c>
      <c r="IBE29" s="3" t="s">
        <v>168</v>
      </c>
      <c r="IBF29" s="3" t="s">
        <v>169</v>
      </c>
      <c r="IBG29" s="3" t="s">
        <v>168</v>
      </c>
      <c r="IBH29" s="3" t="s">
        <v>169</v>
      </c>
      <c r="IBI29" s="3" t="s">
        <v>168</v>
      </c>
      <c r="IBJ29" s="3" t="s">
        <v>169</v>
      </c>
      <c r="IBK29" s="3" t="s">
        <v>168</v>
      </c>
      <c r="IBL29" s="3" t="s">
        <v>169</v>
      </c>
      <c r="IBM29" s="3" t="s">
        <v>168</v>
      </c>
      <c r="IBN29" s="3" t="s">
        <v>169</v>
      </c>
      <c r="IBO29" s="3" t="s">
        <v>168</v>
      </c>
      <c r="IBP29" s="3" t="s">
        <v>169</v>
      </c>
      <c r="IBQ29" s="3" t="s">
        <v>168</v>
      </c>
      <c r="IBR29" s="3" t="s">
        <v>169</v>
      </c>
      <c r="IBS29" s="3" t="s">
        <v>168</v>
      </c>
      <c r="IBT29" s="3" t="s">
        <v>169</v>
      </c>
      <c r="IBU29" s="3" t="s">
        <v>168</v>
      </c>
      <c r="IBV29" s="3" t="s">
        <v>169</v>
      </c>
      <c r="IBW29" s="3" t="s">
        <v>168</v>
      </c>
      <c r="IBX29" s="3" t="s">
        <v>169</v>
      </c>
      <c r="IBY29" s="3" t="s">
        <v>168</v>
      </c>
      <c r="IBZ29" s="3" t="s">
        <v>169</v>
      </c>
      <c r="ICA29" s="3" t="s">
        <v>168</v>
      </c>
      <c r="ICB29" s="3" t="s">
        <v>169</v>
      </c>
      <c r="ICC29" s="3" t="s">
        <v>168</v>
      </c>
      <c r="ICD29" s="3" t="s">
        <v>169</v>
      </c>
      <c r="ICE29" s="3" t="s">
        <v>168</v>
      </c>
      <c r="ICF29" s="3" t="s">
        <v>169</v>
      </c>
      <c r="ICG29" s="3" t="s">
        <v>168</v>
      </c>
      <c r="ICH29" s="3" t="s">
        <v>169</v>
      </c>
      <c r="ICI29" s="3" t="s">
        <v>168</v>
      </c>
      <c r="ICJ29" s="3" t="s">
        <v>169</v>
      </c>
      <c r="ICK29" s="3" t="s">
        <v>168</v>
      </c>
      <c r="ICL29" s="3" t="s">
        <v>169</v>
      </c>
      <c r="ICM29" s="3" t="s">
        <v>168</v>
      </c>
      <c r="ICN29" s="3" t="s">
        <v>169</v>
      </c>
      <c r="ICO29" s="3" t="s">
        <v>168</v>
      </c>
      <c r="ICP29" s="3" t="s">
        <v>169</v>
      </c>
      <c r="ICQ29" s="3" t="s">
        <v>168</v>
      </c>
      <c r="ICR29" s="3" t="s">
        <v>169</v>
      </c>
      <c r="ICS29" s="3" t="s">
        <v>168</v>
      </c>
      <c r="ICT29" s="3" t="s">
        <v>169</v>
      </c>
      <c r="ICU29" s="3" t="s">
        <v>168</v>
      </c>
      <c r="ICV29" s="3" t="s">
        <v>169</v>
      </c>
      <c r="ICW29" s="3" t="s">
        <v>168</v>
      </c>
      <c r="ICX29" s="3" t="s">
        <v>169</v>
      </c>
      <c r="ICY29" s="3" t="s">
        <v>168</v>
      </c>
      <c r="ICZ29" s="3" t="s">
        <v>169</v>
      </c>
      <c r="IDA29" s="3" t="s">
        <v>168</v>
      </c>
      <c r="IDB29" s="3" t="s">
        <v>169</v>
      </c>
      <c r="IDC29" s="3" t="s">
        <v>168</v>
      </c>
      <c r="IDD29" s="3" t="s">
        <v>169</v>
      </c>
      <c r="IDE29" s="3" t="s">
        <v>168</v>
      </c>
      <c r="IDF29" s="3" t="s">
        <v>169</v>
      </c>
      <c r="IDG29" s="3" t="s">
        <v>168</v>
      </c>
      <c r="IDH29" s="3" t="s">
        <v>169</v>
      </c>
      <c r="IDI29" s="3" t="s">
        <v>168</v>
      </c>
      <c r="IDJ29" s="3" t="s">
        <v>169</v>
      </c>
      <c r="IDK29" s="3" t="s">
        <v>168</v>
      </c>
      <c r="IDL29" s="3" t="s">
        <v>169</v>
      </c>
      <c r="IDM29" s="3" t="s">
        <v>168</v>
      </c>
      <c r="IDN29" s="3" t="s">
        <v>169</v>
      </c>
      <c r="IDO29" s="3" t="s">
        <v>168</v>
      </c>
      <c r="IDP29" s="3" t="s">
        <v>169</v>
      </c>
      <c r="IDQ29" s="3" t="s">
        <v>168</v>
      </c>
      <c r="IDR29" s="3" t="s">
        <v>169</v>
      </c>
      <c r="IDS29" s="3" t="s">
        <v>168</v>
      </c>
      <c r="IDT29" s="3" t="s">
        <v>169</v>
      </c>
      <c r="IDU29" s="3" t="s">
        <v>168</v>
      </c>
      <c r="IDV29" s="3" t="s">
        <v>169</v>
      </c>
      <c r="IDW29" s="3" t="s">
        <v>168</v>
      </c>
      <c r="IDX29" s="3" t="s">
        <v>169</v>
      </c>
      <c r="IDY29" s="3" t="s">
        <v>168</v>
      </c>
      <c r="IDZ29" s="3" t="s">
        <v>169</v>
      </c>
      <c r="IEA29" s="3" t="s">
        <v>168</v>
      </c>
      <c r="IEB29" s="3" t="s">
        <v>169</v>
      </c>
      <c r="IEC29" s="3" t="s">
        <v>168</v>
      </c>
      <c r="IED29" s="3" t="s">
        <v>169</v>
      </c>
      <c r="IEE29" s="3" t="s">
        <v>168</v>
      </c>
      <c r="IEF29" s="3" t="s">
        <v>169</v>
      </c>
      <c r="IEG29" s="3" t="s">
        <v>168</v>
      </c>
      <c r="IEH29" s="3" t="s">
        <v>169</v>
      </c>
      <c r="IEI29" s="3" t="s">
        <v>168</v>
      </c>
      <c r="IEJ29" s="3" t="s">
        <v>169</v>
      </c>
      <c r="IEK29" s="3" t="s">
        <v>168</v>
      </c>
      <c r="IEL29" s="3" t="s">
        <v>169</v>
      </c>
      <c r="IEM29" s="3" t="s">
        <v>168</v>
      </c>
      <c r="IEN29" s="3" t="s">
        <v>169</v>
      </c>
      <c r="IEO29" s="3" t="s">
        <v>168</v>
      </c>
      <c r="IEP29" s="3" t="s">
        <v>169</v>
      </c>
      <c r="IEQ29" s="3" t="s">
        <v>168</v>
      </c>
      <c r="IER29" s="3" t="s">
        <v>169</v>
      </c>
      <c r="IES29" s="3" t="s">
        <v>168</v>
      </c>
      <c r="IET29" s="3" t="s">
        <v>169</v>
      </c>
      <c r="IEU29" s="3" t="s">
        <v>168</v>
      </c>
      <c r="IEV29" s="3" t="s">
        <v>169</v>
      </c>
      <c r="IEW29" s="3" t="s">
        <v>168</v>
      </c>
      <c r="IEX29" s="3" t="s">
        <v>169</v>
      </c>
      <c r="IEY29" s="3" t="s">
        <v>168</v>
      </c>
      <c r="IEZ29" s="3" t="s">
        <v>169</v>
      </c>
      <c r="IFA29" s="3" t="s">
        <v>168</v>
      </c>
      <c r="IFB29" s="3" t="s">
        <v>169</v>
      </c>
      <c r="IFC29" s="3" t="s">
        <v>168</v>
      </c>
      <c r="IFD29" s="3" t="s">
        <v>169</v>
      </c>
      <c r="IFE29" s="3" t="s">
        <v>168</v>
      </c>
      <c r="IFF29" s="3" t="s">
        <v>169</v>
      </c>
      <c r="IFG29" s="3" t="s">
        <v>168</v>
      </c>
      <c r="IFH29" s="3" t="s">
        <v>169</v>
      </c>
      <c r="IFI29" s="3" t="s">
        <v>168</v>
      </c>
      <c r="IFJ29" s="3" t="s">
        <v>169</v>
      </c>
      <c r="IFK29" s="3" t="s">
        <v>168</v>
      </c>
      <c r="IFL29" s="3" t="s">
        <v>169</v>
      </c>
      <c r="IFM29" s="3" t="s">
        <v>168</v>
      </c>
      <c r="IFN29" s="3" t="s">
        <v>169</v>
      </c>
      <c r="IFO29" s="3" t="s">
        <v>168</v>
      </c>
      <c r="IFP29" s="3" t="s">
        <v>169</v>
      </c>
      <c r="IFQ29" s="3" t="s">
        <v>168</v>
      </c>
      <c r="IFR29" s="3" t="s">
        <v>169</v>
      </c>
      <c r="IFS29" s="3" t="s">
        <v>168</v>
      </c>
      <c r="IFT29" s="3" t="s">
        <v>169</v>
      </c>
      <c r="IFU29" s="3" t="s">
        <v>168</v>
      </c>
      <c r="IFV29" s="3" t="s">
        <v>169</v>
      </c>
      <c r="IFW29" s="3" t="s">
        <v>168</v>
      </c>
      <c r="IFX29" s="3" t="s">
        <v>169</v>
      </c>
      <c r="IFY29" s="3" t="s">
        <v>168</v>
      </c>
      <c r="IFZ29" s="3" t="s">
        <v>169</v>
      </c>
      <c r="IGA29" s="3" t="s">
        <v>168</v>
      </c>
      <c r="IGB29" s="3" t="s">
        <v>169</v>
      </c>
      <c r="IGC29" s="3" t="s">
        <v>168</v>
      </c>
      <c r="IGD29" s="3" t="s">
        <v>169</v>
      </c>
      <c r="IGE29" s="3" t="s">
        <v>168</v>
      </c>
      <c r="IGF29" s="3" t="s">
        <v>169</v>
      </c>
      <c r="IGG29" s="3" t="s">
        <v>168</v>
      </c>
      <c r="IGH29" s="3" t="s">
        <v>169</v>
      </c>
      <c r="IGI29" s="3" t="s">
        <v>168</v>
      </c>
      <c r="IGJ29" s="3" t="s">
        <v>169</v>
      </c>
      <c r="IGK29" s="3" t="s">
        <v>168</v>
      </c>
      <c r="IGL29" s="3" t="s">
        <v>169</v>
      </c>
      <c r="IGM29" s="3" t="s">
        <v>168</v>
      </c>
      <c r="IGN29" s="3" t="s">
        <v>169</v>
      </c>
      <c r="IGO29" s="3" t="s">
        <v>168</v>
      </c>
      <c r="IGP29" s="3" t="s">
        <v>169</v>
      </c>
      <c r="IGQ29" s="3" t="s">
        <v>168</v>
      </c>
      <c r="IGR29" s="3" t="s">
        <v>169</v>
      </c>
      <c r="IGS29" s="3" t="s">
        <v>168</v>
      </c>
      <c r="IGT29" s="3" t="s">
        <v>169</v>
      </c>
      <c r="IGU29" s="3" t="s">
        <v>168</v>
      </c>
      <c r="IGV29" s="3" t="s">
        <v>169</v>
      </c>
      <c r="IGW29" s="3" t="s">
        <v>168</v>
      </c>
      <c r="IGX29" s="3" t="s">
        <v>169</v>
      </c>
      <c r="IGY29" s="3" t="s">
        <v>168</v>
      </c>
      <c r="IGZ29" s="3" t="s">
        <v>169</v>
      </c>
      <c r="IHA29" s="3" t="s">
        <v>168</v>
      </c>
      <c r="IHB29" s="3" t="s">
        <v>169</v>
      </c>
      <c r="IHC29" s="3" t="s">
        <v>168</v>
      </c>
      <c r="IHD29" s="3" t="s">
        <v>169</v>
      </c>
      <c r="IHE29" s="3" t="s">
        <v>168</v>
      </c>
      <c r="IHF29" s="3" t="s">
        <v>169</v>
      </c>
      <c r="IHG29" s="3" t="s">
        <v>168</v>
      </c>
      <c r="IHH29" s="3" t="s">
        <v>169</v>
      </c>
      <c r="IHI29" s="3" t="s">
        <v>168</v>
      </c>
      <c r="IHJ29" s="3" t="s">
        <v>169</v>
      </c>
      <c r="IHK29" s="3" t="s">
        <v>168</v>
      </c>
      <c r="IHL29" s="3" t="s">
        <v>169</v>
      </c>
      <c r="IHM29" s="3" t="s">
        <v>168</v>
      </c>
      <c r="IHN29" s="3" t="s">
        <v>169</v>
      </c>
      <c r="IHO29" s="3" t="s">
        <v>168</v>
      </c>
      <c r="IHP29" s="3" t="s">
        <v>169</v>
      </c>
      <c r="IHQ29" s="3" t="s">
        <v>168</v>
      </c>
      <c r="IHR29" s="3" t="s">
        <v>169</v>
      </c>
      <c r="IHS29" s="3" t="s">
        <v>168</v>
      </c>
      <c r="IHT29" s="3" t="s">
        <v>169</v>
      </c>
      <c r="IHU29" s="3" t="s">
        <v>168</v>
      </c>
      <c r="IHV29" s="3" t="s">
        <v>169</v>
      </c>
      <c r="IHW29" s="3" t="s">
        <v>168</v>
      </c>
      <c r="IHX29" s="3" t="s">
        <v>169</v>
      </c>
      <c r="IHY29" s="3" t="s">
        <v>168</v>
      </c>
      <c r="IHZ29" s="3" t="s">
        <v>169</v>
      </c>
      <c r="IIA29" s="3" t="s">
        <v>168</v>
      </c>
      <c r="IIB29" s="3" t="s">
        <v>169</v>
      </c>
      <c r="IIC29" s="3" t="s">
        <v>168</v>
      </c>
      <c r="IID29" s="3" t="s">
        <v>169</v>
      </c>
      <c r="IIE29" s="3" t="s">
        <v>168</v>
      </c>
      <c r="IIF29" s="3" t="s">
        <v>169</v>
      </c>
      <c r="IIG29" s="3" t="s">
        <v>168</v>
      </c>
      <c r="IIH29" s="3" t="s">
        <v>169</v>
      </c>
      <c r="III29" s="3" t="s">
        <v>168</v>
      </c>
      <c r="IIJ29" s="3" t="s">
        <v>169</v>
      </c>
      <c r="IIK29" s="3" t="s">
        <v>168</v>
      </c>
      <c r="IIL29" s="3" t="s">
        <v>169</v>
      </c>
      <c r="IIM29" s="3" t="s">
        <v>168</v>
      </c>
      <c r="IIN29" s="3" t="s">
        <v>169</v>
      </c>
      <c r="IIO29" s="3" t="s">
        <v>168</v>
      </c>
      <c r="IIP29" s="3" t="s">
        <v>169</v>
      </c>
      <c r="IIQ29" s="3" t="s">
        <v>168</v>
      </c>
      <c r="IIR29" s="3" t="s">
        <v>169</v>
      </c>
      <c r="IIS29" s="3" t="s">
        <v>168</v>
      </c>
      <c r="IIT29" s="3" t="s">
        <v>169</v>
      </c>
      <c r="IIU29" s="3" t="s">
        <v>168</v>
      </c>
      <c r="IIV29" s="3" t="s">
        <v>169</v>
      </c>
      <c r="IIW29" s="3" t="s">
        <v>168</v>
      </c>
      <c r="IIX29" s="3" t="s">
        <v>169</v>
      </c>
      <c r="IIY29" s="3" t="s">
        <v>168</v>
      </c>
      <c r="IIZ29" s="3" t="s">
        <v>169</v>
      </c>
      <c r="IJA29" s="3" t="s">
        <v>168</v>
      </c>
      <c r="IJB29" s="3" t="s">
        <v>169</v>
      </c>
      <c r="IJC29" s="3" t="s">
        <v>168</v>
      </c>
      <c r="IJD29" s="3" t="s">
        <v>169</v>
      </c>
      <c r="IJE29" s="3" t="s">
        <v>168</v>
      </c>
      <c r="IJF29" s="3" t="s">
        <v>169</v>
      </c>
      <c r="IJG29" s="3" t="s">
        <v>168</v>
      </c>
      <c r="IJH29" s="3" t="s">
        <v>169</v>
      </c>
      <c r="IJI29" s="3" t="s">
        <v>168</v>
      </c>
      <c r="IJJ29" s="3" t="s">
        <v>169</v>
      </c>
      <c r="IJK29" s="3" t="s">
        <v>168</v>
      </c>
      <c r="IJL29" s="3" t="s">
        <v>169</v>
      </c>
      <c r="IJM29" s="3" t="s">
        <v>168</v>
      </c>
      <c r="IJN29" s="3" t="s">
        <v>169</v>
      </c>
      <c r="IJO29" s="3" t="s">
        <v>168</v>
      </c>
      <c r="IJP29" s="3" t="s">
        <v>169</v>
      </c>
      <c r="IJQ29" s="3" t="s">
        <v>168</v>
      </c>
      <c r="IJR29" s="3" t="s">
        <v>169</v>
      </c>
      <c r="IJS29" s="3" t="s">
        <v>168</v>
      </c>
      <c r="IJT29" s="3" t="s">
        <v>169</v>
      </c>
      <c r="IJU29" s="3" t="s">
        <v>168</v>
      </c>
      <c r="IJV29" s="3" t="s">
        <v>169</v>
      </c>
      <c r="IJW29" s="3" t="s">
        <v>168</v>
      </c>
      <c r="IJX29" s="3" t="s">
        <v>169</v>
      </c>
      <c r="IJY29" s="3" t="s">
        <v>168</v>
      </c>
      <c r="IJZ29" s="3" t="s">
        <v>169</v>
      </c>
      <c r="IKA29" s="3" t="s">
        <v>168</v>
      </c>
      <c r="IKB29" s="3" t="s">
        <v>169</v>
      </c>
      <c r="IKC29" s="3" t="s">
        <v>168</v>
      </c>
      <c r="IKD29" s="3" t="s">
        <v>169</v>
      </c>
      <c r="IKE29" s="3" t="s">
        <v>168</v>
      </c>
      <c r="IKF29" s="3" t="s">
        <v>169</v>
      </c>
      <c r="IKG29" s="3" t="s">
        <v>168</v>
      </c>
      <c r="IKH29" s="3" t="s">
        <v>169</v>
      </c>
      <c r="IKI29" s="3" t="s">
        <v>168</v>
      </c>
      <c r="IKJ29" s="3" t="s">
        <v>169</v>
      </c>
      <c r="IKK29" s="3" t="s">
        <v>168</v>
      </c>
      <c r="IKL29" s="3" t="s">
        <v>169</v>
      </c>
      <c r="IKM29" s="3" t="s">
        <v>168</v>
      </c>
      <c r="IKN29" s="3" t="s">
        <v>169</v>
      </c>
      <c r="IKO29" s="3" t="s">
        <v>168</v>
      </c>
      <c r="IKP29" s="3" t="s">
        <v>169</v>
      </c>
      <c r="IKQ29" s="3" t="s">
        <v>168</v>
      </c>
      <c r="IKR29" s="3" t="s">
        <v>169</v>
      </c>
      <c r="IKS29" s="3" t="s">
        <v>168</v>
      </c>
      <c r="IKT29" s="3" t="s">
        <v>169</v>
      </c>
      <c r="IKU29" s="3" t="s">
        <v>168</v>
      </c>
      <c r="IKV29" s="3" t="s">
        <v>169</v>
      </c>
      <c r="IKW29" s="3" t="s">
        <v>168</v>
      </c>
      <c r="IKX29" s="3" t="s">
        <v>169</v>
      </c>
      <c r="IKY29" s="3" t="s">
        <v>168</v>
      </c>
      <c r="IKZ29" s="3" t="s">
        <v>169</v>
      </c>
      <c r="ILA29" s="3" t="s">
        <v>168</v>
      </c>
      <c r="ILB29" s="3" t="s">
        <v>169</v>
      </c>
      <c r="ILC29" s="3" t="s">
        <v>168</v>
      </c>
      <c r="ILD29" s="3" t="s">
        <v>169</v>
      </c>
      <c r="ILE29" s="3" t="s">
        <v>168</v>
      </c>
      <c r="ILF29" s="3" t="s">
        <v>169</v>
      </c>
      <c r="ILG29" s="3" t="s">
        <v>168</v>
      </c>
      <c r="ILH29" s="3" t="s">
        <v>169</v>
      </c>
      <c r="ILI29" s="3" t="s">
        <v>168</v>
      </c>
      <c r="ILJ29" s="3" t="s">
        <v>169</v>
      </c>
      <c r="ILK29" s="3" t="s">
        <v>168</v>
      </c>
      <c r="ILL29" s="3" t="s">
        <v>169</v>
      </c>
      <c r="ILM29" s="3" t="s">
        <v>168</v>
      </c>
      <c r="ILN29" s="3" t="s">
        <v>169</v>
      </c>
      <c r="ILO29" s="3" t="s">
        <v>168</v>
      </c>
      <c r="ILP29" s="3" t="s">
        <v>169</v>
      </c>
      <c r="ILQ29" s="3" t="s">
        <v>168</v>
      </c>
      <c r="ILR29" s="3" t="s">
        <v>169</v>
      </c>
      <c r="ILS29" s="3" t="s">
        <v>168</v>
      </c>
      <c r="ILT29" s="3" t="s">
        <v>169</v>
      </c>
      <c r="ILU29" s="3" t="s">
        <v>168</v>
      </c>
      <c r="ILV29" s="3" t="s">
        <v>169</v>
      </c>
      <c r="ILW29" s="3" t="s">
        <v>168</v>
      </c>
      <c r="ILX29" s="3" t="s">
        <v>169</v>
      </c>
      <c r="ILY29" s="3" t="s">
        <v>168</v>
      </c>
      <c r="ILZ29" s="3" t="s">
        <v>169</v>
      </c>
      <c r="IMA29" s="3" t="s">
        <v>168</v>
      </c>
      <c r="IMB29" s="3" t="s">
        <v>169</v>
      </c>
      <c r="IMC29" s="3" t="s">
        <v>168</v>
      </c>
      <c r="IMD29" s="3" t="s">
        <v>169</v>
      </c>
      <c r="IME29" s="3" t="s">
        <v>168</v>
      </c>
      <c r="IMF29" s="3" t="s">
        <v>169</v>
      </c>
      <c r="IMG29" s="3" t="s">
        <v>168</v>
      </c>
      <c r="IMH29" s="3" t="s">
        <v>169</v>
      </c>
      <c r="IMI29" s="3" t="s">
        <v>168</v>
      </c>
      <c r="IMJ29" s="3" t="s">
        <v>169</v>
      </c>
      <c r="IMK29" s="3" t="s">
        <v>168</v>
      </c>
      <c r="IML29" s="3" t="s">
        <v>169</v>
      </c>
      <c r="IMM29" s="3" t="s">
        <v>168</v>
      </c>
      <c r="IMN29" s="3" t="s">
        <v>169</v>
      </c>
      <c r="IMO29" s="3" t="s">
        <v>168</v>
      </c>
      <c r="IMP29" s="3" t="s">
        <v>169</v>
      </c>
      <c r="IMQ29" s="3" t="s">
        <v>168</v>
      </c>
      <c r="IMR29" s="3" t="s">
        <v>169</v>
      </c>
      <c r="IMS29" s="3" t="s">
        <v>168</v>
      </c>
      <c r="IMT29" s="3" t="s">
        <v>169</v>
      </c>
      <c r="IMU29" s="3" t="s">
        <v>168</v>
      </c>
      <c r="IMV29" s="3" t="s">
        <v>169</v>
      </c>
      <c r="IMW29" s="3" t="s">
        <v>168</v>
      </c>
      <c r="IMX29" s="3" t="s">
        <v>169</v>
      </c>
      <c r="IMY29" s="3" t="s">
        <v>168</v>
      </c>
      <c r="IMZ29" s="3" t="s">
        <v>169</v>
      </c>
      <c r="INA29" s="3" t="s">
        <v>168</v>
      </c>
      <c r="INB29" s="3" t="s">
        <v>169</v>
      </c>
      <c r="INC29" s="3" t="s">
        <v>168</v>
      </c>
      <c r="IND29" s="3" t="s">
        <v>169</v>
      </c>
      <c r="INE29" s="3" t="s">
        <v>168</v>
      </c>
      <c r="INF29" s="3" t="s">
        <v>169</v>
      </c>
      <c r="ING29" s="3" t="s">
        <v>168</v>
      </c>
      <c r="INH29" s="3" t="s">
        <v>169</v>
      </c>
      <c r="INI29" s="3" t="s">
        <v>168</v>
      </c>
      <c r="INJ29" s="3" t="s">
        <v>169</v>
      </c>
      <c r="INK29" s="3" t="s">
        <v>168</v>
      </c>
      <c r="INL29" s="3" t="s">
        <v>169</v>
      </c>
      <c r="INM29" s="3" t="s">
        <v>168</v>
      </c>
      <c r="INN29" s="3" t="s">
        <v>169</v>
      </c>
      <c r="INO29" s="3" t="s">
        <v>168</v>
      </c>
      <c r="INP29" s="3" t="s">
        <v>169</v>
      </c>
      <c r="INQ29" s="3" t="s">
        <v>168</v>
      </c>
      <c r="INR29" s="3" t="s">
        <v>169</v>
      </c>
      <c r="INS29" s="3" t="s">
        <v>168</v>
      </c>
      <c r="INT29" s="3" t="s">
        <v>169</v>
      </c>
      <c r="INU29" s="3" t="s">
        <v>168</v>
      </c>
      <c r="INV29" s="3" t="s">
        <v>169</v>
      </c>
      <c r="INW29" s="3" t="s">
        <v>168</v>
      </c>
      <c r="INX29" s="3" t="s">
        <v>169</v>
      </c>
      <c r="INY29" s="3" t="s">
        <v>168</v>
      </c>
      <c r="INZ29" s="3" t="s">
        <v>169</v>
      </c>
      <c r="IOA29" s="3" t="s">
        <v>168</v>
      </c>
      <c r="IOB29" s="3" t="s">
        <v>169</v>
      </c>
      <c r="IOC29" s="3" t="s">
        <v>168</v>
      </c>
      <c r="IOD29" s="3" t="s">
        <v>169</v>
      </c>
      <c r="IOE29" s="3" t="s">
        <v>168</v>
      </c>
      <c r="IOF29" s="3" t="s">
        <v>169</v>
      </c>
      <c r="IOG29" s="3" t="s">
        <v>168</v>
      </c>
      <c r="IOH29" s="3" t="s">
        <v>169</v>
      </c>
      <c r="IOI29" s="3" t="s">
        <v>168</v>
      </c>
      <c r="IOJ29" s="3" t="s">
        <v>169</v>
      </c>
      <c r="IOK29" s="3" t="s">
        <v>168</v>
      </c>
      <c r="IOL29" s="3" t="s">
        <v>169</v>
      </c>
      <c r="IOM29" s="3" t="s">
        <v>168</v>
      </c>
      <c r="ION29" s="3" t="s">
        <v>169</v>
      </c>
      <c r="IOO29" s="3" t="s">
        <v>168</v>
      </c>
      <c r="IOP29" s="3" t="s">
        <v>169</v>
      </c>
      <c r="IOQ29" s="3" t="s">
        <v>168</v>
      </c>
      <c r="IOR29" s="3" t="s">
        <v>169</v>
      </c>
      <c r="IOS29" s="3" t="s">
        <v>168</v>
      </c>
      <c r="IOT29" s="3" t="s">
        <v>169</v>
      </c>
      <c r="IOU29" s="3" t="s">
        <v>168</v>
      </c>
      <c r="IOV29" s="3" t="s">
        <v>169</v>
      </c>
      <c r="IOW29" s="3" t="s">
        <v>168</v>
      </c>
      <c r="IOX29" s="3" t="s">
        <v>169</v>
      </c>
      <c r="IOY29" s="3" t="s">
        <v>168</v>
      </c>
      <c r="IOZ29" s="3" t="s">
        <v>169</v>
      </c>
      <c r="IPA29" s="3" t="s">
        <v>168</v>
      </c>
      <c r="IPB29" s="3" t="s">
        <v>169</v>
      </c>
      <c r="IPC29" s="3" t="s">
        <v>168</v>
      </c>
      <c r="IPD29" s="3" t="s">
        <v>169</v>
      </c>
      <c r="IPE29" s="3" t="s">
        <v>168</v>
      </c>
      <c r="IPF29" s="3" t="s">
        <v>169</v>
      </c>
      <c r="IPG29" s="3" t="s">
        <v>168</v>
      </c>
      <c r="IPH29" s="3" t="s">
        <v>169</v>
      </c>
      <c r="IPI29" s="3" t="s">
        <v>168</v>
      </c>
      <c r="IPJ29" s="3" t="s">
        <v>169</v>
      </c>
      <c r="IPK29" s="3" t="s">
        <v>168</v>
      </c>
      <c r="IPL29" s="3" t="s">
        <v>169</v>
      </c>
      <c r="IPM29" s="3" t="s">
        <v>168</v>
      </c>
      <c r="IPN29" s="3" t="s">
        <v>169</v>
      </c>
      <c r="IPO29" s="3" t="s">
        <v>168</v>
      </c>
      <c r="IPP29" s="3" t="s">
        <v>169</v>
      </c>
      <c r="IPQ29" s="3" t="s">
        <v>168</v>
      </c>
      <c r="IPR29" s="3" t="s">
        <v>169</v>
      </c>
      <c r="IPS29" s="3" t="s">
        <v>168</v>
      </c>
      <c r="IPT29" s="3" t="s">
        <v>169</v>
      </c>
      <c r="IPU29" s="3" t="s">
        <v>168</v>
      </c>
      <c r="IPV29" s="3" t="s">
        <v>169</v>
      </c>
      <c r="IPW29" s="3" t="s">
        <v>168</v>
      </c>
      <c r="IPX29" s="3" t="s">
        <v>169</v>
      </c>
      <c r="IPY29" s="3" t="s">
        <v>168</v>
      </c>
      <c r="IPZ29" s="3" t="s">
        <v>169</v>
      </c>
      <c r="IQA29" s="3" t="s">
        <v>168</v>
      </c>
      <c r="IQB29" s="3" t="s">
        <v>169</v>
      </c>
      <c r="IQC29" s="3" t="s">
        <v>168</v>
      </c>
      <c r="IQD29" s="3" t="s">
        <v>169</v>
      </c>
      <c r="IQE29" s="3" t="s">
        <v>168</v>
      </c>
      <c r="IQF29" s="3" t="s">
        <v>169</v>
      </c>
      <c r="IQG29" s="3" t="s">
        <v>168</v>
      </c>
      <c r="IQH29" s="3" t="s">
        <v>169</v>
      </c>
      <c r="IQI29" s="3" t="s">
        <v>168</v>
      </c>
      <c r="IQJ29" s="3" t="s">
        <v>169</v>
      </c>
      <c r="IQK29" s="3" t="s">
        <v>168</v>
      </c>
      <c r="IQL29" s="3" t="s">
        <v>169</v>
      </c>
      <c r="IQM29" s="3" t="s">
        <v>168</v>
      </c>
      <c r="IQN29" s="3" t="s">
        <v>169</v>
      </c>
      <c r="IQO29" s="3" t="s">
        <v>168</v>
      </c>
      <c r="IQP29" s="3" t="s">
        <v>169</v>
      </c>
      <c r="IQQ29" s="3" t="s">
        <v>168</v>
      </c>
      <c r="IQR29" s="3" t="s">
        <v>169</v>
      </c>
      <c r="IQS29" s="3" t="s">
        <v>168</v>
      </c>
      <c r="IQT29" s="3" t="s">
        <v>169</v>
      </c>
      <c r="IQU29" s="3" t="s">
        <v>168</v>
      </c>
      <c r="IQV29" s="3" t="s">
        <v>169</v>
      </c>
      <c r="IQW29" s="3" t="s">
        <v>168</v>
      </c>
      <c r="IQX29" s="3" t="s">
        <v>169</v>
      </c>
      <c r="IQY29" s="3" t="s">
        <v>168</v>
      </c>
      <c r="IQZ29" s="3" t="s">
        <v>169</v>
      </c>
      <c r="IRA29" s="3" t="s">
        <v>168</v>
      </c>
      <c r="IRB29" s="3" t="s">
        <v>169</v>
      </c>
      <c r="IRC29" s="3" t="s">
        <v>168</v>
      </c>
      <c r="IRD29" s="3" t="s">
        <v>169</v>
      </c>
      <c r="IRE29" s="3" t="s">
        <v>168</v>
      </c>
      <c r="IRF29" s="3" t="s">
        <v>169</v>
      </c>
      <c r="IRG29" s="3" t="s">
        <v>168</v>
      </c>
      <c r="IRH29" s="3" t="s">
        <v>169</v>
      </c>
      <c r="IRI29" s="3" t="s">
        <v>168</v>
      </c>
      <c r="IRJ29" s="3" t="s">
        <v>169</v>
      </c>
      <c r="IRK29" s="3" t="s">
        <v>168</v>
      </c>
      <c r="IRL29" s="3" t="s">
        <v>169</v>
      </c>
      <c r="IRM29" s="3" t="s">
        <v>168</v>
      </c>
      <c r="IRN29" s="3" t="s">
        <v>169</v>
      </c>
      <c r="IRO29" s="3" t="s">
        <v>168</v>
      </c>
      <c r="IRP29" s="3" t="s">
        <v>169</v>
      </c>
      <c r="IRQ29" s="3" t="s">
        <v>168</v>
      </c>
      <c r="IRR29" s="3" t="s">
        <v>169</v>
      </c>
      <c r="IRS29" s="3" t="s">
        <v>168</v>
      </c>
      <c r="IRT29" s="3" t="s">
        <v>169</v>
      </c>
      <c r="IRU29" s="3" t="s">
        <v>168</v>
      </c>
      <c r="IRV29" s="3" t="s">
        <v>169</v>
      </c>
      <c r="IRW29" s="3" t="s">
        <v>168</v>
      </c>
      <c r="IRX29" s="3" t="s">
        <v>169</v>
      </c>
      <c r="IRY29" s="3" t="s">
        <v>168</v>
      </c>
      <c r="IRZ29" s="3" t="s">
        <v>169</v>
      </c>
      <c r="ISA29" s="3" t="s">
        <v>168</v>
      </c>
      <c r="ISB29" s="3" t="s">
        <v>169</v>
      </c>
      <c r="ISC29" s="3" t="s">
        <v>168</v>
      </c>
      <c r="ISD29" s="3" t="s">
        <v>169</v>
      </c>
      <c r="ISE29" s="3" t="s">
        <v>168</v>
      </c>
      <c r="ISF29" s="3" t="s">
        <v>169</v>
      </c>
      <c r="ISG29" s="3" t="s">
        <v>168</v>
      </c>
      <c r="ISH29" s="3" t="s">
        <v>169</v>
      </c>
      <c r="ISI29" s="3" t="s">
        <v>168</v>
      </c>
      <c r="ISJ29" s="3" t="s">
        <v>169</v>
      </c>
      <c r="ISK29" s="3" t="s">
        <v>168</v>
      </c>
      <c r="ISL29" s="3" t="s">
        <v>169</v>
      </c>
      <c r="ISM29" s="3" t="s">
        <v>168</v>
      </c>
      <c r="ISN29" s="3" t="s">
        <v>169</v>
      </c>
      <c r="ISO29" s="3" t="s">
        <v>168</v>
      </c>
      <c r="ISP29" s="3" t="s">
        <v>169</v>
      </c>
      <c r="ISQ29" s="3" t="s">
        <v>168</v>
      </c>
      <c r="ISR29" s="3" t="s">
        <v>169</v>
      </c>
      <c r="ISS29" s="3" t="s">
        <v>168</v>
      </c>
      <c r="IST29" s="3" t="s">
        <v>169</v>
      </c>
      <c r="ISU29" s="3" t="s">
        <v>168</v>
      </c>
      <c r="ISV29" s="3" t="s">
        <v>169</v>
      </c>
      <c r="ISW29" s="3" t="s">
        <v>168</v>
      </c>
      <c r="ISX29" s="3" t="s">
        <v>169</v>
      </c>
      <c r="ISY29" s="3" t="s">
        <v>168</v>
      </c>
      <c r="ISZ29" s="3" t="s">
        <v>169</v>
      </c>
      <c r="ITA29" s="3" t="s">
        <v>168</v>
      </c>
      <c r="ITB29" s="3" t="s">
        <v>169</v>
      </c>
      <c r="ITC29" s="3" t="s">
        <v>168</v>
      </c>
      <c r="ITD29" s="3" t="s">
        <v>169</v>
      </c>
      <c r="ITE29" s="3" t="s">
        <v>168</v>
      </c>
      <c r="ITF29" s="3" t="s">
        <v>169</v>
      </c>
      <c r="ITG29" s="3" t="s">
        <v>168</v>
      </c>
      <c r="ITH29" s="3" t="s">
        <v>169</v>
      </c>
      <c r="ITI29" s="3" t="s">
        <v>168</v>
      </c>
      <c r="ITJ29" s="3" t="s">
        <v>169</v>
      </c>
      <c r="ITK29" s="3" t="s">
        <v>168</v>
      </c>
      <c r="ITL29" s="3" t="s">
        <v>169</v>
      </c>
      <c r="ITM29" s="3" t="s">
        <v>168</v>
      </c>
      <c r="ITN29" s="3" t="s">
        <v>169</v>
      </c>
      <c r="ITO29" s="3" t="s">
        <v>168</v>
      </c>
      <c r="ITP29" s="3" t="s">
        <v>169</v>
      </c>
      <c r="ITQ29" s="3" t="s">
        <v>168</v>
      </c>
      <c r="ITR29" s="3" t="s">
        <v>169</v>
      </c>
      <c r="ITS29" s="3" t="s">
        <v>168</v>
      </c>
      <c r="ITT29" s="3" t="s">
        <v>169</v>
      </c>
      <c r="ITU29" s="3" t="s">
        <v>168</v>
      </c>
      <c r="ITV29" s="3" t="s">
        <v>169</v>
      </c>
      <c r="ITW29" s="3" t="s">
        <v>168</v>
      </c>
      <c r="ITX29" s="3" t="s">
        <v>169</v>
      </c>
      <c r="ITY29" s="3" t="s">
        <v>168</v>
      </c>
      <c r="ITZ29" s="3" t="s">
        <v>169</v>
      </c>
      <c r="IUA29" s="3" t="s">
        <v>168</v>
      </c>
      <c r="IUB29" s="3" t="s">
        <v>169</v>
      </c>
      <c r="IUC29" s="3" t="s">
        <v>168</v>
      </c>
      <c r="IUD29" s="3" t="s">
        <v>169</v>
      </c>
      <c r="IUE29" s="3" t="s">
        <v>168</v>
      </c>
      <c r="IUF29" s="3" t="s">
        <v>169</v>
      </c>
      <c r="IUG29" s="3" t="s">
        <v>168</v>
      </c>
      <c r="IUH29" s="3" t="s">
        <v>169</v>
      </c>
      <c r="IUI29" s="3" t="s">
        <v>168</v>
      </c>
      <c r="IUJ29" s="3" t="s">
        <v>169</v>
      </c>
      <c r="IUK29" s="3" t="s">
        <v>168</v>
      </c>
      <c r="IUL29" s="3" t="s">
        <v>169</v>
      </c>
      <c r="IUM29" s="3" t="s">
        <v>168</v>
      </c>
      <c r="IUN29" s="3" t="s">
        <v>169</v>
      </c>
      <c r="IUO29" s="3" t="s">
        <v>168</v>
      </c>
      <c r="IUP29" s="3" t="s">
        <v>169</v>
      </c>
      <c r="IUQ29" s="3" t="s">
        <v>168</v>
      </c>
      <c r="IUR29" s="3" t="s">
        <v>169</v>
      </c>
      <c r="IUS29" s="3" t="s">
        <v>168</v>
      </c>
      <c r="IUT29" s="3" t="s">
        <v>169</v>
      </c>
      <c r="IUU29" s="3" t="s">
        <v>168</v>
      </c>
      <c r="IUV29" s="3" t="s">
        <v>169</v>
      </c>
      <c r="IUW29" s="3" t="s">
        <v>168</v>
      </c>
      <c r="IUX29" s="3" t="s">
        <v>169</v>
      </c>
      <c r="IUY29" s="3" t="s">
        <v>168</v>
      </c>
      <c r="IUZ29" s="3" t="s">
        <v>169</v>
      </c>
      <c r="IVA29" s="3" t="s">
        <v>168</v>
      </c>
      <c r="IVB29" s="3" t="s">
        <v>169</v>
      </c>
      <c r="IVC29" s="3" t="s">
        <v>168</v>
      </c>
      <c r="IVD29" s="3" t="s">
        <v>169</v>
      </c>
      <c r="IVE29" s="3" t="s">
        <v>168</v>
      </c>
      <c r="IVF29" s="3" t="s">
        <v>169</v>
      </c>
      <c r="IVG29" s="3" t="s">
        <v>168</v>
      </c>
      <c r="IVH29" s="3" t="s">
        <v>169</v>
      </c>
      <c r="IVI29" s="3" t="s">
        <v>168</v>
      </c>
      <c r="IVJ29" s="3" t="s">
        <v>169</v>
      </c>
      <c r="IVK29" s="3" t="s">
        <v>168</v>
      </c>
      <c r="IVL29" s="3" t="s">
        <v>169</v>
      </c>
      <c r="IVM29" s="3" t="s">
        <v>168</v>
      </c>
      <c r="IVN29" s="3" t="s">
        <v>169</v>
      </c>
      <c r="IVO29" s="3" t="s">
        <v>168</v>
      </c>
      <c r="IVP29" s="3" t="s">
        <v>169</v>
      </c>
      <c r="IVQ29" s="3" t="s">
        <v>168</v>
      </c>
      <c r="IVR29" s="3" t="s">
        <v>169</v>
      </c>
      <c r="IVS29" s="3" t="s">
        <v>168</v>
      </c>
      <c r="IVT29" s="3" t="s">
        <v>169</v>
      </c>
      <c r="IVU29" s="3" t="s">
        <v>168</v>
      </c>
      <c r="IVV29" s="3" t="s">
        <v>169</v>
      </c>
      <c r="IVW29" s="3" t="s">
        <v>168</v>
      </c>
      <c r="IVX29" s="3" t="s">
        <v>169</v>
      </c>
      <c r="IVY29" s="3" t="s">
        <v>168</v>
      </c>
      <c r="IVZ29" s="3" t="s">
        <v>169</v>
      </c>
      <c r="IWA29" s="3" t="s">
        <v>168</v>
      </c>
      <c r="IWB29" s="3" t="s">
        <v>169</v>
      </c>
      <c r="IWC29" s="3" t="s">
        <v>168</v>
      </c>
      <c r="IWD29" s="3" t="s">
        <v>169</v>
      </c>
      <c r="IWE29" s="3" t="s">
        <v>168</v>
      </c>
      <c r="IWF29" s="3" t="s">
        <v>169</v>
      </c>
      <c r="IWG29" s="3" t="s">
        <v>168</v>
      </c>
      <c r="IWH29" s="3" t="s">
        <v>169</v>
      </c>
      <c r="IWI29" s="3" t="s">
        <v>168</v>
      </c>
      <c r="IWJ29" s="3" t="s">
        <v>169</v>
      </c>
      <c r="IWK29" s="3" t="s">
        <v>168</v>
      </c>
      <c r="IWL29" s="3" t="s">
        <v>169</v>
      </c>
      <c r="IWM29" s="3" t="s">
        <v>168</v>
      </c>
      <c r="IWN29" s="3" t="s">
        <v>169</v>
      </c>
      <c r="IWO29" s="3" t="s">
        <v>168</v>
      </c>
      <c r="IWP29" s="3" t="s">
        <v>169</v>
      </c>
      <c r="IWQ29" s="3" t="s">
        <v>168</v>
      </c>
      <c r="IWR29" s="3" t="s">
        <v>169</v>
      </c>
      <c r="IWS29" s="3" t="s">
        <v>168</v>
      </c>
      <c r="IWT29" s="3" t="s">
        <v>169</v>
      </c>
      <c r="IWU29" s="3" t="s">
        <v>168</v>
      </c>
      <c r="IWV29" s="3" t="s">
        <v>169</v>
      </c>
      <c r="IWW29" s="3" t="s">
        <v>168</v>
      </c>
      <c r="IWX29" s="3" t="s">
        <v>169</v>
      </c>
      <c r="IWY29" s="3" t="s">
        <v>168</v>
      </c>
      <c r="IWZ29" s="3" t="s">
        <v>169</v>
      </c>
      <c r="IXA29" s="3" t="s">
        <v>168</v>
      </c>
      <c r="IXB29" s="3" t="s">
        <v>169</v>
      </c>
      <c r="IXC29" s="3" t="s">
        <v>168</v>
      </c>
      <c r="IXD29" s="3" t="s">
        <v>169</v>
      </c>
      <c r="IXE29" s="3" t="s">
        <v>168</v>
      </c>
      <c r="IXF29" s="3" t="s">
        <v>169</v>
      </c>
      <c r="IXG29" s="3" t="s">
        <v>168</v>
      </c>
      <c r="IXH29" s="3" t="s">
        <v>169</v>
      </c>
      <c r="IXI29" s="3" t="s">
        <v>168</v>
      </c>
      <c r="IXJ29" s="3" t="s">
        <v>169</v>
      </c>
      <c r="IXK29" s="3" t="s">
        <v>168</v>
      </c>
      <c r="IXL29" s="3" t="s">
        <v>169</v>
      </c>
      <c r="IXM29" s="3" t="s">
        <v>168</v>
      </c>
      <c r="IXN29" s="3" t="s">
        <v>169</v>
      </c>
      <c r="IXO29" s="3" t="s">
        <v>168</v>
      </c>
      <c r="IXP29" s="3" t="s">
        <v>169</v>
      </c>
      <c r="IXQ29" s="3" t="s">
        <v>168</v>
      </c>
      <c r="IXR29" s="3" t="s">
        <v>169</v>
      </c>
      <c r="IXS29" s="3" t="s">
        <v>168</v>
      </c>
      <c r="IXT29" s="3" t="s">
        <v>169</v>
      </c>
      <c r="IXU29" s="3" t="s">
        <v>168</v>
      </c>
      <c r="IXV29" s="3" t="s">
        <v>169</v>
      </c>
      <c r="IXW29" s="3" t="s">
        <v>168</v>
      </c>
      <c r="IXX29" s="3" t="s">
        <v>169</v>
      </c>
      <c r="IXY29" s="3" t="s">
        <v>168</v>
      </c>
      <c r="IXZ29" s="3" t="s">
        <v>169</v>
      </c>
      <c r="IYA29" s="3" t="s">
        <v>168</v>
      </c>
      <c r="IYB29" s="3" t="s">
        <v>169</v>
      </c>
      <c r="IYC29" s="3" t="s">
        <v>168</v>
      </c>
      <c r="IYD29" s="3" t="s">
        <v>169</v>
      </c>
      <c r="IYE29" s="3" t="s">
        <v>168</v>
      </c>
      <c r="IYF29" s="3" t="s">
        <v>169</v>
      </c>
      <c r="IYG29" s="3" t="s">
        <v>168</v>
      </c>
      <c r="IYH29" s="3" t="s">
        <v>169</v>
      </c>
      <c r="IYI29" s="3" t="s">
        <v>168</v>
      </c>
      <c r="IYJ29" s="3" t="s">
        <v>169</v>
      </c>
      <c r="IYK29" s="3" t="s">
        <v>168</v>
      </c>
      <c r="IYL29" s="3" t="s">
        <v>169</v>
      </c>
      <c r="IYM29" s="3" t="s">
        <v>168</v>
      </c>
      <c r="IYN29" s="3" t="s">
        <v>169</v>
      </c>
      <c r="IYO29" s="3" t="s">
        <v>168</v>
      </c>
      <c r="IYP29" s="3" t="s">
        <v>169</v>
      </c>
      <c r="IYQ29" s="3" t="s">
        <v>168</v>
      </c>
      <c r="IYR29" s="3" t="s">
        <v>169</v>
      </c>
      <c r="IYS29" s="3" t="s">
        <v>168</v>
      </c>
      <c r="IYT29" s="3" t="s">
        <v>169</v>
      </c>
      <c r="IYU29" s="3" t="s">
        <v>168</v>
      </c>
      <c r="IYV29" s="3" t="s">
        <v>169</v>
      </c>
      <c r="IYW29" s="3" t="s">
        <v>168</v>
      </c>
      <c r="IYX29" s="3" t="s">
        <v>169</v>
      </c>
      <c r="IYY29" s="3" t="s">
        <v>168</v>
      </c>
      <c r="IYZ29" s="3" t="s">
        <v>169</v>
      </c>
      <c r="IZA29" s="3" t="s">
        <v>168</v>
      </c>
      <c r="IZB29" s="3" t="s">
        <v>169</v>
      </c>
      <c r="IZC29" s="3" t="s">
        <v>168</v>
      </c>
      <c r="IZD29" s="3" t="s">
        <v>169</v>
      </c>
      <c r="IZE29" s="3" t="s">
        <v>168</v>
      </c>
      <c r="IZF29" s="3" t="s">
        <v>169</v>
      </c>
      <c r="IZG29" s="3" t="s">
        <v>168</v>
      </c>
      <c r="IZH29" s="3" t="s">
        <v>169</v>
      </c>
      <c r="IZI29" s="3" t="s">
        <v>168</v>
      </c>
      <c r="IZJ29" s="3" t="s">
        <v>169</v>
      </c>
      <c r="IZK29" s="3" t="s">
        <v>168</v>
      </c>
      <c r="IZL29" s="3" t="s">
        <v>169</v>
      </c>
      <c r="IZM29" s="3" t="s">
        <v>168</v>
      </c>
      <c r="IZN29" s="3" t="s">
        <v>169</v>
      </c>
      <c r="IZO29" s="3" t="s">
        <v>168</v>
      </c>
      <c r="IZP29" s="3" t="s">
        <v>169</v>
      </c>
      <c r="IZQ29" s="3" t="s">
        <v>168</v>
      </c>
      <c r="IZR29" s="3" t="s">
        <v>169</v>
      </c>
      <c r="IZS29" s="3" t="s">
        <v>168</v>
      </c>
      <c r="IZT29" s="3" t="s">
        <v>169</v>
      </c>
      <c r="IZU29" s="3" t="s">
        <v>168</v>
      </c>
      <c r="IZV29" s="3" t="s">
        <v>169</v>
      </c>
      <c r="IZW29" s="3" t="s">
        <v>168</v>
      </c>
      <c r="IZX29" s="3" t="s">
        <v>169</v>
      </c>
      <c r="IZY29" s="3" t="s">
        <v>168</v>
      </c>
      <c r="IZZ29" s="3" t="s">
        <v>169</v>
      </c>
      <c r="JAA29" s="3" t="s">
        <v>168</v>
      </c>
      <c r="JAB29" s="3" t="s">
        <v>169</v>
      </c>
      <c r="JAC29" s="3" t="s">
        <v>168</v>
      </c>
      <c r="JAD29" s="3" t="s">
        <v>169</v>
      </c>
      <c r="JAE29" s="3" t="s">
        <v>168</v>
      </c>
      <c r="JAF29" s="3" t="s">
        <v>169</v>
      </c>
      <c r="JAG29" s="3" t="s">
        <v>168</v>
      </c>
      <c r="JAH29" s="3" t="s">
        <v>169</v>
      </c>
      <c r="JAI29" s="3" t="s">
        <v>168</v>
      </c>
      <c r="JAJ29" s="3" t="s">
        <v>169</v>
      </c>
      <c r="JAK29" s="3" t="s">
        <v>168</v>
      </c>
      <c r="JAL29" s="3" t="s">
        <v>169</v>
      </c>
      <c r="JAM29" s="3" t="s">
        <v>168</v>
      </c>
      <c r="JAN29" s="3" t="s">
        <v>169</v>
      </c>
      <c r="JAO29" s="3" t="s">
        <v>168</v>
      </c>
      <c r="JAP29" s="3" t="s">
        <v>169</v>
      </c>
      <c r="JAQ29" s="3" t="s">
        <v>168</v>
      </c>
      <c r="JAR29" s="3" t="s">
        <v>169</v>
      </c>
      <c r="JAS29" s="3" t="s">
        <v>168</v>
      </c>
      <c r="JAT29" s="3" t="s">
        <v>169</v>
      </c>
      <c r="JAU29" s="3" t="s">
        <v>168</v>
      </c>
      <c r="JAV29" s="3" t="s">
        <v>169</v>
      </c>
      <c r="JAW29" s="3" t="s">
        <v>168</v>
      </c>
      <c r="JAX29" s="3" t="s">
        <v>169</v>
      </c>
      <c r="JAY29" s="3" t="s">
        <v>168</v>
      </c>
      <c r="JAZ29" s="3" t="s">
        <v>169</v>
      </c>
      <c r="JBA29" s="3" t="s">
        <v>168</v>
      </c>
      <c r="JBB29" s="3" t="s">
        <v>169</v>
      </c>
      <c r="JBC29" s="3" t="s">
        <v>168</v>
      </c>
      <c r="JBD29" s="3" t="s">
        <v>169</v>
      </c>
      <c r="JBE29" s="3" t="s">
        <v>168</v>
      </c>
      <c r="JBF29" s="3" t="s">
        <v>169</v>
      </c>
      <c r="JBG29" s="3" t="s">
        <v>168</v>
      </c>
      <c r="JBH29" s="3" t="s">
        <v>169</v>
      </c>
      <c r="JBI29" s="3" t="s">
        <v>168</v>
      </c>
      <c r="JBJ29" s="3" t="s">
        <v>169</v>
      </c>
      <c r="JBK29" s="3" t="s">
        <v>168</v>
      </c>
      <c r="JBL29" s="3" t="s">
        <v>169</v>
      </c>
      <c r="JBM29" s="3" t="s">
        <v>168</v>
      </c>
      <c r="JBN29" s="3" t="s">
        <v>169</v>
      </c>
      <c r="JBO29" s="3" t="s">
        <v>168</v>
      </c>
      <c r="JBP29" s="3" t="s">
        <v>169</v>
      </c>
      <c r="JBQ29" s="3" t="s">
        <v>168</v>
      </c>
      <c r="JBR29" s="3" t="s">
        <v>169</v>
      </c>
      <c r="JBS29" s="3" t="s">
        <v>168</v>
      </c>
      <c r="JBT29" s="3" t="s">
        <v>169</v>
      </c>
      <c r="JBU29" s="3" t="s">
        <v>168</v>
      </c>
      <c r="JBV29" s="3" t="s">
        <v>169</v>
      </c>
      <c r="JBW29" s="3" t="s">
        <v>168</v>
      </c>
      <c r="JBX29" s="3" t="s">
        <v>169</v>
      </c>
      <c r="JBY29" s="3" t="s">
        <v>168</v>
      </c>
      <c r="JBZ29" s="3" t="s">
        <v>169</v>
      </c>
      <c r="JCA29" s="3" t="s">
        <v>168</v>
      </c>
      <c r="JCB29" s="3" t="s">
        <v>169</v>
      </c>
      <c r="JCC29" s="3" t="s">
        <v>168</v>
      </c>
      <c r="JCD29" s="3" t="s">
        <v>169</v>
      </c>
      <c r="JCE29" s="3" t="s">
        <v>168</v>
      </c>
      <c r="JCF29" s="3" t="s">
        <v>169</v>
      </c>
      <c r="JCG29" s="3" t="s">
        <v>168</v>
      </c>
      <c r="JCH29" s="3" t="s">
        <v>169</v>
      </c>
      <c r="JCI29" s="3" t="s">
        <v>168</v>
      </c>
      <c r="JCJ29" s="3" t="s">
        <v>169</v>
      </c>
      <c r="JCK29" s="3" t="s">
        <v>168</v>
      </c>
      <c r="JCL29" s="3" t="s">
        <v>169</v>
      </c>
      <c r="JCM29" s="3" t="s">
        <v>168</v>
      </c>
      <c r="JCN29" s="3" t="s">
        <v>169</v>
      </c>
      <c r="JCO29" s="3" t="s">
        <v>168</v>
      </c>
      <c r="JCP29" s="3" t="s">
        <v>169</v>
      </c>
      <c r="JCQ29" s="3" t="s">
        <v>168</v>
      </c>
      <c r="JCR29" s="3" t="s">
        <v>169</v>
      </c>
      <c r="JCS29" s="3" t="s">
        <v>168</v>
      </c>
      <c r="JCT29" s="3" t="s">
        <v>169</v>
      </c>
      <c r="JCU29" s="3" t="s">
        <v>168</v>
      </c>
      <c r="JCV29" s="3" t="s">
        <v>169</v>
      </c>
      <c r="JCW29" s="3" t="s">
        <v>168</v>
      </c>
      <c r="JCX29" s="3" t="s">
        <v>169</v>
      </c>
      <c r="JCY29" s="3" t="s">
        <v>168</v>
      </c>
      <c r="JCZ29" s="3" t="s">
        <v>169</v>
      </c>
      <c r="JDA29" s="3" t="s">
        <v>168</v>
      </c>
      <c r="JDB29" s="3" t="s">
        <v>169</v>
      </c>
      <c r="JDC29" s="3" t="s">
        <v>168</v>
      </c>
      <c r="JDD29" s="3" t="s">
        <v>169</v>
      </c>
      <c r="JDE29" s="3" t="s">
        <v>168</v>
      </c>
      <c r="JDF29" s="3" t="s">
        <v>169</v>
      </c>
      <c r="JDG29" s="3" t="s">
        <v>168</v>
      </c>
      <c r="JDH29" s="3" t="s">
        <v>169</v>
      </c>
      <c r="JDI29" s="3" t="s">
        <v>168</v>
      </c>
      <c r="JDJ29" s="3" t="s">
        <v>169</v>
      </c>
      <c r="JDK29" s="3" t="s">
        <v>168</v>
      </c>
      <c r="JDL29" s="3" t="s">
        <v>169</v>
      </c>
      <c r="JDM29" s="3" t="s">
        <v>168</v>
      </c>
      <c r="JDN29" s="3" t="s">
        <v>169</v>
      </c>
      <c r="JDO29" s="3" t="s">
        <v>168</v>
      </c>
      <c r="JDP29" s="3" t="s">
        <v>169</v>
      </c>
      <c r="JDQ29" s="3" t="s">
        <v>168</v>
      </c>
      <c r="JDR29" s="3" t="s">
        <v>169</v>
      </c>
      <c r="JDS29" s="3" t="s">
        <v>168</v>
      </c>
      <c r="JDT29" s="3" t="s">
        <v>169</v>
      </c>
      <c r="JDU29" s="3" t="s">
        <v>168</v>
      </c>
      <c r="JDV29" s="3" t="s">
        <v>169</v>
      </c>
      <c r="JDW29" s="3" t="s">
        <v>168</v>
      </c>
      <c r="JDX29" s="3" t="s">
        <v>169</v>
      </c>
      <c r="JDY29" s="3" t="s">
        <v>168</v>
      </c>
      <c r="JDZ29" s="3" t="s">
        <v>169</v>
      </c>
      <c r="JEA29" s="3" t="s">
        <v>168</v>
      </c>
      <c r="JEB29" s="3" t="s">
        <v>169</v>
      </c>
      <c r="JEC29" s="3" t="s">
        <v>168</v>
      </c>
      <c r="JED29" s="3" t="s">
        <v>169</v>
      </c>
      <c r="JEE29" s="3" t="s">
        <v>168</v>
      </c>
      <c r="JEF29" s="3" t="s">
        <v>169</v>
      </c>
      <c r="JEG29" s="3" t="s">
        <v>168</v>
      </c>
      <c r="JEH29" s="3" t="s">
        <v>169</v>
      </c>
      <c r="JEI29" s="3" t="s">
        <v>168</v>
      </c>
      <c r="JEJ29" s="3" t="s">
        <v>169</v>
      </c>
      <c r="JEK29" s="3" t="s">
        <v>168</v>
      </c>
      <c r="JEL29" s="3" t="s">
        <v>169</v>
      </c>
      <c r="JEM29" s="3" t="s">
        <v>168</v>
      </c>
      <c r="JEN29" s="3" t="s">
        <v>169</v>
      </c>
      <c r="JEO29" s="3" t="s">
        <v>168</v>
      </c>
      <c r="JEP29" s="3" t="s">
        <v>169</v>
      </c>
      <c r="JEQ29" s="3" t="s">
        <v>168</v>
      </c>
      <c r="JER29" s="3" t="s">
        <v>169</v>
      </c>
      <c r="JES29" s="3" t="s">
        <v>168</v>
      </c>
      <c r="JET29" s="3" t="s">
        <v>169</v>
      </c>
      <c r="JEU29" s="3" t="s">
        <v>168</v>
      </c>
      <c r="JEV29" s="3" t="s">
        <v>169</v>
      </c>
      <c r="JEW29" s="3" t="s">
        <v>168</v>
      </c>
      <c r="JEX29" s="3" t="s">
        <v>169</v>
      </c>
      <c r="JEY29" s="3" t="s">
        <v>168</v>
      </c>
      <c r="JEZ29" s="3" t="s">
        <v>169</v>
      </c>
      <c r="JFA29" s="3" t="s">
        <v>168</v>
      </c>
      <c r="JFB29" s="3" t="s">
        <v>169</v>
      </c>
      <c r="JFC29" s="3" t="s">
        <v>168</v>
      </c>
      <c r="JFD29" s="3" t="s">
        <v>169</v>
      </c>
      <c r="JFE29" s="3" t="s">
        <v>168</v>
      </c>
      <c r="JFF29" s="3" t="s">
        <v>169</v>
      </c>
      <c r="JFG29" s="3" t="s">
        <v>168</v>
      </c>
      <c r="JFH29" s="3" t="s">
        <v>169</v>
      </c>
      <c r="JFI29" s="3" t="s">
        <v>168</v>
      </c>
      <c r="JFJ29" s="3" t="s">
        <v>169</v>
      </c>
      <c r="JFK29" s="3" t="s">
        <v>168</v>
      </c>
      <c r="JFL29" s="3" t="s">
        <v>169</v>
      </c>
      <c r="JFM29" s="3" t="s">
        <v>168</v>
      </c>
      <c r="JFN29" s="3" t="s">
        <v>169</v>
      </c>
      <c r="JFO29" s="3" t="s">
        <v>168</v>
      </c>
      <c r="JFP29" s="3" t="s">
        <v>169</v>
      </c>
      <c r="JFQ29" s="3" t="s">
        <v>168</v>
      </c>
      <c r="JFR29" s="3" t="s">
        <v>169</v>
      </c>
      <c r="JFS29" s="3" t="s">
        <v>168</v>
      </c>
      <c r="JFT29" s="3" t="s">
        <v>169</v>
      </c>
      <c r="JFU29" s="3" t="s">
        <v>168</v>
      </c>
      <c r="JFV29" s="3" t="s">
        <v>169</v>
      </c>
      <c r="JFW29" s="3" t="s">
        <v>168</v>
      </c>
      <c r="JFX29" s="3" t="s">
        <v>169</v>
      </c>
      <c r="JFY29" s="3" t="s">
        <v>168</v>
      </c>
      <c r="JFZ29" s="3" t="s">
        <v>169</v>
      </c>
      <c r="JGA29" s="3" t="s">
        <v>168</v>
      </c>
      <c r="JGB29" s="3" t="s">
        <v>169</v>
      </c>
      <c r="JGC29" s="3" t="s">
        <v>168</v>
      </c>
      <c r="JGD29" s="3" t="s">
        <v>169</v>
      </c>
      <c r="JGE29" s="3" t="s">
        <v>168</v>
      </c>
      <c r="JGF29" s="3" t="s">
        <v>169</v>
      </c>
      <c r="JGG29" s="3" t="s">
        <v>168</v>
      </c>
      <c r="JGH29" s="3" t="s">
        <v>169</v>
      </c>
      <c r="JGI29" s="3" t="s">
        <v>168</v>
      </c>
      <c r="JGJ29" s="3" t="s">
        <v>169</v>
      </c>
      <c r="JGK29" s="3" t="s">
        <v>168</v>
      </c>
      <c r="JGL29" s="3" t="s">
        <v>169</v>
      </c>
      <c r="JGM29" s="3" t="s">
        <v>168</v>
      </c>
      <c r="JGN29" s="3" t="s">
        <v>169</v>
      </c>
      <c r="JGO29" s="3" t="s">
        <v>168</v>
      </c>
      <c r="JGP29" s="3" t="s">
        <v>169</v>
      </c>
      <c r="JGQ29" s="3" t="s">
        <v>168</v>
      </c>
      <c r="JGR29" s="3" t="s">
        <v>169</v>
      </c>
      <c r="JGS29" s="3" t="s">
        <v>168</v>
      </c>
      <c r="JGT29" s="3" t="s">
        <v>169</v>
      </c>
      <c r="JGU29" s="3" t="s">
        <v>168</v>
      </c>
      <c r="JGV29" s="3" t="s">
        <v>169</v>
      </c>
      <c r="JGW29" s="3" t="s">
        <v>168</v>
      </c>
      <c r="JGX29" s="3" t="s">
        <v>169</v>
      </c>
      <c r="JGY29" s="3" t="s">
        <v>168</v>
      </c>
      <c r="JGZ29" s="3" t="s">
        <v>169</v>
      </c>
      <c r="JHA29" s="3" t="s">
        <v>168</v>
      </c>
      <c r="JHB29" s="3" t="s">
        <v>169</v>
      </c>
      <c r="JHC29" s="3" t="s">
        <v>168</v>
      </c>
      <c r="JHD29" s="3" t="s">
        <v>169</v>
      </c>
      <c r="JHE29" s="3" t="s">
        <v>168</v>
      </c>
      <c r="JHF29" s="3" t="s">
        <v>169</v>
      </c>
      <c r="JHG29" s="3" t="s">
        <v>168</v>
      </c>
      <c r="JHH29" s="3" t="s">
        <v>169</v>
      </c>
      <c r="JHI29" s="3" t="s">
        <v>168</v>
      </c>
      <c r="JHJ29" s="3" t="s">
        <v>169</v>
      </c>
      <c r="JHK29" s="3" t="s">
        <v>168</v>
      </c>
      <c r="JHL29" s="3" t="s">
        <v>169</v>
      </c>
      <c r="JHM29" s="3" t="s">
        <v>168</v>
      </c>
      <c r="JHN29" s="3" t="s">
        <v>169</v>
      </c>
      <c r="JHO29" s="3" t="s">
        <v>168</v>
      </c>
      <c r="JHP29" s="3" t="s">
        <v>169</v>
      </c>
      <c r="JHQ29" s="3" t="s">
        <v>168</v>
      </c>
      <c r="JHR29" s="3" t="s">
        <v>169</v>
      </c>
      <c r="JHS29" s="3" t="s">
        <v>168</v>
      </c>
      <c r="JHT29" s="3" t="s">
        <v>169</v>
      </c>
      <c r="JHU29" s="3" t="s">
        <v>168</v>
      </c>
      <c r="JHV29" s="3" t="s">
        <v>169</v>
      </c>
      <c r="JHW29" s="3" t="s">
        <v>168</v>
      </c>
      <c r="JHX29" s="3" t="s">
        <v>169</v>
      </c>
      <c r="JHY29" s="3" t="s">
        <v>168</v>
      </c>
      <c r="JHZ29" s="3" t="s">
        <v>169</v>
      </c>
      <c r="JIA29" s="3" t="s">
        <v>168</v>
      </c>
      <c r="JIB29" s="3" t="s">
        <v>169</v>
      </c>
      <c r="JIC29" s="3" t="s">
        <v>168</v>
      </c>
      <c r="JID29" s="3" t="s">
        <v>169</v>
      </c>
      <c r="JIE29" s="3" t="s">
        <v>168</v>
      </c>
      <c r="JIF29" s="3" t="s">
        <v>169</v>
      </c>
      <c r="JIG29" s="3" t="s">
        <v>168</v>
      </c>
      <c r="JIH29" s="3" t="s">
        <v>169</v>
      </c>
      <c r="JII29" s="3" t="s">
        <v>168</v>
      </c>
      <c r="JIJ29" s="3" t="s">
        <v>169</v>
      </c>
      <c r="JIK29" s="3" t="s">
        <v>168</v>
      </c>
      <c r="JIL29" s="3" t="s">
        <v>169</v>
      </c>
      <c r="JIM29" s="3" t="s">
        <v>168</v>
      </c>
      <c r="JIN29" s="3" t="s">
        <v>169</v>
      </c>
      <c r="JIO29" s="3" t="s">
        <v>168</v>
      </c>
      <c r="JIP29" s="3" t="s">
        <v>169</v>
      </c>
      <c r="JIQ29" s="3" t="s">
        <v>168</v>
      </c>
      <c r="JIR29" s="3" t="s">
        <v>169</v>
      </c>
      <c r="JIS29" s="3" t="s">
        <v>168</v>
      </c>
      <c r="JIT29" s="3" t="s">
        <v>169</v>
      </c>
      <c r="JIU29" s="3" t="s">
        <v>168</v>
      </c>
      <c r="JIV29" s="3" t="s">
        <v>169</v>
      </c>
      <c r="JIW29" s="3" t="s">
        <v>168</v>
      </c>
      <c r="JIX29" s="3" t="s">
        <v>169</v>
      </c>
      <c r="JIY29" s="3" t="s">
        <v>168</v>
      </c>
      <c r="JIZ29" s="3" t="s">
        <v>169</v>
      </c>
      <c r="JJA29" s="3" t="s">
        <v>168</v>
      </c>
      <c r="JJB29" s="3" t="s">
        <v>169</v>
      </c>
      <c r="JJC29" s="3" t="s">
        <v>168</v>
      </c>
      <c r="JJD29" s="3" t="s">
        <v>169</v>
      </c>
      <c r="JJE29" s="3" t="s">
        <v>168</v>
      </c>
      <c r="JJF29" s="3" t="s">
        <v>169</v>
      </c>
      <c r="JJG29" s="3" t="s">
        <v>168</v>
      </c>
      <c r="JJH29" s="3" t="s">
        <v>169</v>
      </c>
      <c r="JJI29" s="3" t="s">
        <v>168</v>
      </c>
      <c r="JJJ29" s="3" t="s">
        <v>169</v>
      </c>
      <c r="JJK29" s="3" t="s">
        <v>168</v>
      </c>
      <c r="JJL29" s="3" t="s">
        <v>169</v>
      </c>
      <c r="JJM29" s="3" t="s">
        <v>168</v>
      </c>
      <c r="JJN29" s="3" t="s">
        <v>169</v>
      </c>
      <c r="JJO29" s="3" t="s">
        <v>168</v>
      </c>
      <c r="JJP29" s="3" t="s">
        <v>169</v>
      </c>
      <c r="JJQ29" s="3" t="s">
        <v>168</v>
      </c>
      <c r="JJR29" s="3" t="s">
        <v>169</v>
      </c>
      <c r="JJS29" s="3" t="s">
        <v>168</v>
      </c>
      <c r="JJT29" s="3" t="s">
        <v>169</v>
      </c>
      <c r="JJU29" s="3" t="s">
        <v>168</v>
      </c>
      <c r="JJV29" s="3" t="s">
        <v>169</v>
      </c>
      <c r="JJW29" s="3" t="s">
        <v>168</v>
      </c>
      <c r="JJX29" s="3" t="s">
        <v>169</v>
      </c>
      <c r="JJY29" s="3" t="s">
        <v>168</v>
      </c>
      <c r="JJZ29" s="3" t="s">
        <v>169</v>
      </c>
      <c r="JKA29" s="3" t="s">
        <v>168</v>
      </c>
      <c r="JKB29" s="3" t="s">
        <v>169</v>
      </c>
      <c r="JKC29" s="3" t="s">
        <v>168</v>
      </c>
      <c r="JKD29" s="3" t="s">
        <v>169</v>
      </c>
      <c r="JKE29" s="3" t="s">
        <v>168</v>
      </c>
      <c r="JKF29" s="3" t="s">
        <v>169</v>
      </c>
      <c r="JKG29" s="3" t="s">
        <v>168</v>
      </c>
      <c r="JKH29" s="3" t="s">
        <v>169</v>
      </c>
      <c r="JKI29" s="3" t="s">
        <v>168</v>
      </c>
      <c r="JKJ29" s="3" t="s">
        <v>169</v>
      </c>
      <c r="JKK29" s="3" t="s">
        <v>168</v>
      </c>
      <c r="JKL29" s="3" t="s">
        <v>169</v>
      </c>
      <c r="JKM29" s="3" t="s">
        <v>168</v>
      </c>
      <c r="JKN29" s="3" t="s">
        <v>169</v>
      </c>
      <c r="JKO29" s="3" t="s">
        <v>168</v>
      </c>
      <c r="JKP29" s="3" t="s">
        <v>169</v>
      </c>
      <c r="JKQ29" s="3" t="s">
        <v>168</v>
      </c>
      <c r="JKR29" s="3" t="s">
        <v>169</v>
      </c>
      <c r="JKS29" s="3" t="s">
        <v>168</v>
      </c>
      <c r="JKT29" s="3" t="s">
        <v>169</v>
      </c>
      <c r="JKU29" s="3" t="s">
        <v>168</v>
      </c>
      <c r="JKV29" s="3" t="s">
        <v>169</v>
      </c>
      <c r="JKW29" s="3" t="s">
        <v>168</v>
      </c>
      <c r="JKX29" s="3" t="s">
        <v>169</v>
      </c>
      <c r="JKY29" s="3" t="s">
        <v>168</v>
      </c>
      <c r="JKZ29" s="3" t="s">
        <v>169</v>
      </c>
      <c r="JLA29" s="3" t="s">
        <v>168</v>
      </c>
      <c r="JLB29" s="3" t="s">
        <v>169</v>
      </c>
      <c r="JLC29" s="3" t="s">
        <v>168</v>
      </c>
      <c r="JLD29" s="3" t="s">
        <v>169</v>
      </c>
      <c r="JLE29" s="3" t="s">
        <v>168</v>
      </c>
      <c r="JLF29" s="3" t="s">
        <v>169</v>
      </c>
      <c r="JLG29" s="3" t="s">
        <v>168</v>
      </c>
      <c r="JLH29" s="3" t="s">
        <v>169</v>
      </c>
      <c r="JLI29" s="3" t="s">
        <v>168</v>
      </c>
      <c r="JLJ29" s="3" t="s">
        <v>169</v>
      </c>
      <c r="JLK29" s="3" t="s">
        <v>168</v>
      </c>
      <c r="JLL29" s="3" t="s">
        <v>169</v>
      </c>
      <c r="JLM29" s="3" t="s">
        <v>168</v>
      </c>
      <c r="JLN29" s="3" t="s">
        <v>169</v>
      </c>
      <c r="JLO29" s="3" t="s">
        <v>168</v>
      </c>
      <c r="JLP29" s="3" t="s">
        <v>169</v>
      </c>
      <c r="JLQ29" s="3" t="s">
        <v>168</v>
      </c>
      <c r="JLR29" s="3" t="s">
        <v>169</v>
      </c>
      <c r="JLS29" s="3" t="s">
        <v>168</v>
      </c>
      <c r="JLT29" s="3" t="s">
        <v>169</v>
      </c>
      <c r="JLU29" s="3" t="s">
        <v>168</v>
      </c>
      <c r="JLV29" s="3" t="s">
        <v>169</v>
      </c>
      <c r="JLW29" s="3" t="s">
        <v>168</v>
      </c>
      <c r="JLX29" s="3" t="s">
        <v>169</v>
      </c>
      <c r="JLY29" s="3" t="s">
        <v>168</v>
      </c>
      <c r="JLZ29" s="3" t="s">
        <v>169</v>
      </c>
      <c r="JMA29" s="3" t="s">
        <v>168</v>
      </c>
      <c r="JMB29" s="3" t="s">
        <v>169</v>
      </c>
      <c r="JMC29" s="3" t="s">
        <v>168</v>
      </c>
      <c r="JMD29" s="3" t="s">
        <v>169</v>
      </c>
      <c r="JME29" s="3" t="s">
        <v>168</v>
      </c>
      <c r="JMF29" s="3" t="s">
        <v>169</v>
      </c>
      <c r="JMG29" s="3" t="s">
        <v>168</v>
      </c>
      <c r="JMH29" s="3" t="s">
        <v>169</v>
      </c>
      <c r="JMI29" s="3" t="s">
        <v>168</v>
      </c>
      <c r="JMJ29" s="3" t="s">
        <v>169</v>
      </c>
      <c r="JMK29" s="3" t="s">
        <v>168</v>
      </c>
      <c r="JML29" s="3" t="s">
        <v>169</v>
      </c>
      <c r="JMM29" s="3" t="s">
        <v>168</v>
      </c>
      <c r="JMN29" s="3" t="s">
        <v>169</v>
      </c>
      <c r="JMO29" s="3" t="s">
        <v>168</v>
      </c>
      <c r="JMP29" s="3" t="s">
        <v>169</v>
      </c>
      <c r="JMQ29" s="3" t="s">
        <v>168</v>
      </c>
      <c r="JMR29" s="3" t="s">
        <v>169</v>
      </c>
      <c r="JMS29" s="3" t="s">
        <v>168</v>
      </c>
      <c r="JMT29" s="3" t="s">
        <v>169</v>
      </c>
      <c r="JMU29" s="3" t="s">
        <v>168</v>
      </c>
      <c r="JMV29" s="3" t="s">
        <v>169</v>
      </c>
      <c r="JMW29" s="3" t="s">
        <v>168</v>
      </c>
      <c r="JMX29" s="3" t="s">
        <v>169</v>
      </c>
      <c r="JMY29" s="3" t="s">
        <v>168</v>
      </c>
      <c r="JMZ29" s="3" t="s">
        <v>169</v>
      </c>
      <c r="JNA29" s="3" t="s">
        <v>168</v>
      </c>
      <c r="JNB29" s="3" t="s">
        <v>169</v>
      </c>
      <c r="JNC29" s="3" t="s">
        <v>168</v>
      </c>
      <c r="JND29" s="3" t="s">
        <v>169</v>
      </c>
      <c r="JNE29" s="3" t="s">
        <v>168</v>
      </c>
      <c r="JNF29" s="3" t="s">
        <v>169</v>
      </c>
      <c r="JNG29" s="3" t="s">
        <v>168</v>
      </c>
      <c r="JNH29" s="3" t="s">
        <v>169</v>
      </c>
      <c r="JNI29" s="3" t="s">
        <v>168</v>
      </c>
      <c r="JNJ29" s="3" t="s">
        <v>169</v>
      </c>
      <c r="JNK29" s="3" t="s">
        <v>168</v>
      </c>
      <c r="JNL29" s="3" t="s">
        <v>169</v>
      </c>
      <c r="JNM29" s="3" t="s">
        <v>168</v>
      </c>
      <c r="JNN29" s="3" t="s">
        <v>169</v>
      </c>
      <c r="JNO29" s="3" t="s">
        <v>168</v>
      </c>
      <c r="JNP29" s="3" t="s">
        <v>169</v>
      </c>
      <c r="JNQ29" s="3" t="s">
        <v>168</v>
      </c>
      <c r="JNR29" s="3" t="s">
        <v>169</v>
      </c>
      <c r="JNS29" s="3" t="s">
        <v>168</v>
      </c>
      <c r="JNT29" s="3" t="s">
        <v>169</v>
      </c>
      <c r="JNU29" s="3" t="s">
        <v>168</v>
      </c>
      <c r="JNV29" s="3" t="s">
        <v>169</v>
      </c>
      <c r="JNW29" s="3" t="s">
        <v>168</v>
      </c>
      <c r="JNX29" s="3" t="s">
        <v>169</v>
      </c>
      <c r="JNY29" s="3" t="s">
        <v>168</v>
      </c>
      <c r="JNZ29" s="3" t="s">
        <v>169</v>
      </c>
      <c r="JOA29" s="3" t="s">
        <v>168</v>
      </c>
      <c r="JOB29" s="3" t="s">
        <v>169</v>
      </c>
      <c r="JOC29" s="3" t="s">
        <v>168</v>
      </c>
      <c r="JOD29" s="3" t="s">
        <v>169</v>
      </c>
      <c r="JOE29" s="3" t="s">
        <v>168</v>
      </c>
      <c r="JOF29" s="3" t="s">
        <v>169</v>
      </c>
      <c r="JOG29" s="3" t="s">
        <v>168</v>
      </c>
      <c r="JOH29" s="3" t="s">
        <v>169</v>
      </c>
      <c r="JOI29" s="3" t="s">
        <v>168</v>
      </c>
      <c r="JOJ29" s="3" t="s">
        <v>169</v>
      </c>
      <c r="JOK29" s="3" t="s">
        <v>168</v>
      </c>
      <c r="JOL29" s="3" t="s">
        <v>169</v>
      </c>
      <c r="JOM29" s="3" t="s">
        <v>168</v>
      </c>
      <c r="JON29" s="3" t="s">
        <v>169</v>
      </c>
      <c r="JOO29" s="3" t="s">
        <v>168</v>
      </c>
      <c r="JOP29" s="3" t="s">
        <v>169</v>
      </c>
      <c r="JOQ29" s="3" t="s">
        <v>168</v>
      </c>
      <c r="JOR29" s="3" t="s">
        <v>169</v>
      </c>
      <c r="JOS29" s="3" t="s">
        <v>168</v>
      </c>
      <c r="JOT29" s="3" t="s">
        <v>169</v>
      </c>
      <c r="JOU29" s="3" t="s">
        <v>168</v>
      </c>
      <c r="JOV29" s="3" t="s">
        <v>169</v>
      </c>
      <c r="JOW29" s="3" t="s">
        <v>168</v>
      </c>
      <c r="JOX29" s="3" t="s">
        <v>169</v>
      </c>
      <c r="JOY29" s="3" t="s">
        <v>168</v>
      </c>
      <c r="JOZ29" s="3" t="s">
        <v>169</v>
      </c>
      <c r="JPA29" s="3" t="s">
        <v>168</v>
      </c>
      <c r="JPB29" s="3" t="s">
        <v>169</v>
      </c>
      <c r="JPC29" s="3" t="s">
        <v>168</v>
      </c>
      <c r="JPD29" s="3" t="s">
        <v>169</v>
      </c>
      <c r="JPE29" s="3" t="s">
        <v>168</v>
      </c>
      <c r="JPF29" s="3" t="s">
        <v>169</v>
      </c>
      <c r="JPG29" s="3" t="s">
        <v>168</v>
      </c>
      <c r="JPH29" s="3" t="s">
        <v>169</v>
      </c>
      <c r="JPI29" s="3" t="s">
        <v>168</v>
      </c>
      <c r="JPJ29" s="3" t="s">
        <v>169</v>
      </c>
      <c r="JPK29" s="3" t="s">
        <v>168</v>
      </c>
      <c r="JPL29" s="3" t="s">
        <v>169</v>
      </c>
      <c r="JPM29" s="3" t="s">
        <v>168</v>
      </c>
      <c r="JPN29" s="3" t="s">
        <v>169</v>
      </c>
      <c r="JPO29" s="3" t="s">
        <v>168</v>
      </c>
      <c r="JPP29" s="3" t="s">
        <v>169</v>
      </c>
      <c r="JPQ29" s="3" t="s">
        <v>168</v>
      </c>
      <c r="JPR29" s="3" t="s">
        <v>169</v>
      </c>
      <c r="JPS29" s="3" t="s">
        <v>168</v>
      </c>
      <c r="JPT29" s="3" t="s">
        <v>169</v>
      </c>
      <c r="JPU29" s="3" t="s">
        <v>168</v>
      </c>
      <c r="JPV29" s="3" t="s">
        <v>169</v>
      </c>
      <c r="JPW29" s="3" t="s">
        <v>168</v>
      </c>
      <c r="JPX29" s="3" t="s">
        <v>169</v>
      </c>
      <c r="JPY29" s="3" t="s">
        <v>168</v>
      </c>
      <c r="JPZ29" s="3" t="s">
        <v>169</v>
      </c>
      <c r="JQA29" s="3" t="s">
        <v>168</v>
      </c>
      <c r="JQB29" s="3" t="s">
        <v>169</v>
      </c>
      <c r="JQC29" s="3" t="s">
        <v>168</v>
      </c>
      <c r="JQD29" s="3" t="s">
        <v>169</v>
      </c>
      <c r="JQE29" s="3" t="s">
        <v>168</v>
      </c>
      <c r="JQF29" s="3" t="s">
        <v>169</v>
      </c>
      <c r="JQG29" s="3" t="s">
        <v>168</v>
      </c>
      <c r="JQH29" s="3" t="s">
        <v>169</v>
      </c>
      <c r="JQI29" s="3" t="s">
        <v>168</v>
      </c>
      <c r="JQJ29" s="3" t="s">
        <v>169</v>
      </c>
      <c r="JQK29" s="3" t="s">
        <v>168</v>
      </c>
      <c r="JQL29" s="3" t="s">
        <v>169</v>
      </c>
      <c r="JQM29" s="3" t="s">
        <v>168</v>
      </c>
      <c r="JQN29" s="3" t="s">
        <v>169</v>
      </c>
      <c r="JQO29" s="3" t="s">
        <v>168</v>
      </c>
      <c r="JQP29" s="3" t="s">
        <v>169</v>
      </c>
      <c r="JQQ29" s="3" t="s">
        <v>168</v>
      </c>
      <c r="JQR29" s="3" t="s">
        <v>169</v>
      </c>
      <c r="JQS29" s="3" t="s">
        <v>168</v>
      </c>
      <c r="JQT29" s="3" t="s">
        <v>169</v>
      </c>
      <c r="JQU29" s="3" t="s">
        <v>168</v>
      </c>
      <c r="JQV29" s="3" t="s">
        <v>169</v>
      </c>
      <c r="JQW29" s="3" t="s">
        <v>168</v>
      </c>
      <c r="JQX29" s="3" t="s">
        <v>169</v>
      </c>
      <c r="JQY29" s="3" t="s">
        <v>168</v>
      </c>
      <c r="JQZ29" s="3" t="s">
        <v>169</v>
      </c>
      <c r="JRA29" s="3" t="s">
        <v>168</v>
      </c>
      <c r="JRB29" s="3" t="s">
        <v>169</v>
      </c>
      <c r="JRC29" s="3" t="s">
        <v>168</v>
      </c>
      <c r="JRD29" s="3" t="s">
        <v>169</v>
      </c>
      <c r="JRE29" s="3" t="s">
        <v>168</v>
      </c>
      <c r="JRF29" s="3" t="s">
        <v>169</v>
      </c>
      <c r="JRG29" s="3" t="s">
        <v>168</v>
      </c>
      <c r="JRH29" s="3" t="s">
        <v>169</v>
      </c>
      <c r="JRI29" s="3" t="s">
        <v>168</v>
      </c>
      <c r="JRJ29" s="3" t="s">
        <v>169</v>
      </c>
      <c r="JRK29" s="3" t="s">
        <v>168</v>
      </c>
      <c r="JRL29" s="3" t="s">
        <v>169</v>
      </c>
      <c r="JRM29" s="3" t="s">
        <v>168</v>
      </c>
      <c r="JRN29" s="3" t="s">
        <v>169</v>
      </c>
      <c r="JRO29" s="3" t="s">
        <v>168</v>
      </c>
      <c r="JRP29" s="3" t="s">
        <v>169</v>
      </c>
      <c r="JRQ29" s="3" t="s">
        <v>168</v>
      </c>
      <c r="JRR29" s="3" t="s">
        <v>169</v>
      </c>
      <c r="JRS29" s="3" t="s">
        <v>168</v>
      </c>
      <c r="JRT29" s="3" t="s">
        <v>169</v>
      </c>
      <c r="JRU29" s="3" t="s">
        <v>168</v>
      </c>
      <c r="JRV29" s="3" t="s">
        <v>169</v>
      </c>
      <c r="JRW29" s="3" t="s">
        <v>168</v>
      </c>
      <c r="JRX29" s="3" t="s">
        <v>169</v>
      </c>
      <c r="JRY29" s="3" t="s">
        <v>168</v>
      </c>
      <c r="JRZ29" s="3" t="s">
        <v>169</v>
      </c>
      <c r="JSA29" s="3" t="s">
        <v>168</v>
      </c>
      <c r="JSB29" s="3" t="s">
        <v>169</v>
      </c>
      <c r="JSC29" s="3" t="s">
        <v>168</v>
      </c>
      <c r="JSD29" s="3" t="s">
        <v>169</v>
      </c>
      <c r="JSE29" s="3" t="s">
        <v>168</v>
      </c>
      <c r="JSF29" s="3" t="s">
        <v>169</v>
      </c>
      <c r="JSG29" s="3" t="s">
        <v>168</v>
      </c>
      <c r="JSH29" s="3" t="s">
        <v>169</v>
      </c>
      <c r="JSI29" s="3" t="s">
        <v>168</v>
      </c>
      <c r="JSJ29" s="3" t="s">
        <v>169</v>
      </c>
      <c r="JSK29" s="3" t="s">
        <v>168</v>
      </c>
      <c r="JSL29" s="3" t="s">
        <v>169</v>
      </c>
      <c r="JSM29" s="3" t="s">
        <v>168</v>
      </c>
      <c r="JSN29" s="3" t="s">
        <v>169</v>
      </c>
      <c r="JSO29" s="3" t="s">
        <v>168</v>
      </c>
      <c r="JSP29" s="3" t="s">
        <v>169</v>
      </c>
      <c r="JSQ29" s="3" t="s">
        <v>168</v>
      </c>
      <c r="JSR29" s="3" t="s">
        <v>169</v>
      </c>
      <c r="JSS29" s="3" t="s">
        <v>168</v>
      </c>
      <c r="JST29" s="3" t="s">
        <v>169</v>
      </c>
      <c r="JSU29" s="3" t="s">
        <v>168</v>
      </c>
      <c r="JSV29" s="3" t="s">
        <v>169</v>
      </c>
      <c r="JSW29" s="3" t="s">
        <v>168</v>
      </c>
      <c r="JSX29" s="3" t="s">
        <v>169</v>
      </c>
      <c r="JSY29" s="3" t="s">
        <v>168</v>
      </c>
      <c r="JSZ29" s="3" t="s">
        <v>169</v>
      </c>
      <c r="JTA29" s="3" t="s">
        <v>168</v>
      </c>
      <c r="JTB29" s="3" t="s">
        <v>169</v>
      </c>
      <c r="JTC29" s="3" t="s">
        <v>168</v>
      </c>
      <c r="JTD29" s="3" t="s">
        <v>169</v>
      </c>
      <c r="JTE29" s="3" t="s">
        <v>168</v>
      </c>
      <c r="JTF29" s="3" t="s">
        <v>169</v>
      </c>
      <c r="JTG29" s="3" t="s">
        <v>168</v>
      </c>
      <c r="JTH29" s="3" t="s">
        <v>169</v>
      </c>
      <c r="JTI29" s="3" t="s">
        <v>168</v>
      </c>
      <c r="JTJ29" s="3" t="s">
        <v>169</v>
      </c>
      <c r="JTK29" s="3" t="s">
        <v>168</v>
      </c>
      <c r="JTL29" s="3" t="s">
        <v>169</v>
      </c>
      <c r="JTM29" s="3" t="s">
        <v>168</v>
      </c>
      <c r="JTN29" s="3" t="s">
        <v>169</v>
      </c>
      <c r="JTO29" s="3" t="s">
        <v>168</v>
      </c>
      <c r="JTP29" s="3" t="s">
        <v>169</v>
      </c>
      <c r="JTQ29" s="3" t="s">
        <v>168</v>
      </c>
      <c r="JTR29" s="3" t="s">
        <v>169</v>
      </c>
      <c r="JTS29" s="3" t="s">
        <v>168</v>
      </c>
      <c r="JTT29" s="3" t="s">
        <v>169</v>
      </c>
      <c r="JTU29" s="3" t="s">
        <v>168</v>
      </c>
      <c r="JTV29" s="3" t="s">
        <v>169</v>
      </c>
      <c r="JTW29" s="3" t="s">
        <v>168</v>
      </c>
      <c r="JTX29" s="3" t="s">
        <v>169</v>
      </c>
      <c r="JTY29" s="3" t="s">
        <v>168</v>
      </c>
      <c r="JTZ29" s="3" t="s">
        <v>169</v>
      </c>
      <c r="JUA29" s="3" t="s">
        <v>168</v>
      </c>
      <c r="JUB29" s="3" t="s">
        <v>169</v>
      </c>
      <c r="JUC29" s="3" t="s">
        <v>168</v>
      </c>
      <c r="JUD29" s="3" t="s">
        <v>169</v>
      </c>
      <c r="JUE29" s="3" t="s">
        <v>168</v>
      </c>
      <c r="JUF29" s="3" t="s">
        <v>169</v>
      </c>
      <c r="JUG29" s="3" t="s">
        <v>168</v>
      </c>
      <c r="JUH29" s="3" t="s">
        <v>169</v>
      </c>
      <c r="JUI29" s="3" t="s">
        <v>168</v>
      </c>
      <c r="JUJ29" s="3" t="s">
        <v>169</v>
      </c>
      <c r="JUK29" s="3" t="s">
        <v>168</v>
      </c>
      <c r="JUL29" s="3" t="s">
        <v>169</v>
      </c>
      <c r="JUM29" s="3" t="s">
        <v>168</v>
      </c>
      <c r="JUN29" s="3" t="s">
        <v>169</v>
      </c>
      <c r="JUO29" s="3" t="s">
        <v>168</v>
      </c>
      <c r="JUP29" s="3" t="s">
        <v>169</v>
      </c>
      <c r="JUQ29" s="3" t="s">
        <v>168</v>
      </c>
      <c r="JUR29" s="3" t="s">
        <v>169</v>
      </c>
      <c r="JUS29" s="3" t="s">
        <v>168</v>
      </c>
      <c r="JUT29" s="3" t="s">
        <v>169</v>
      </c>
      <c r="JUU29" s="3" t="s">
        <v>168</v>
      </c>
      <c r="JUV29" s="3" t="s">
        <v>169</v>
      </c>
      <c r="JUW29" s="3" t="s">
        <v>168</v>
      </c>
      <c r="JUX29" s="3" t="s">
        <v>169</v>
      </c>
      <c r="JUY29" s="3" t="s">
        <v>168</v>
      </c>
      <c r="JUZ29" s="3" t="s">
        <v>169</v>
      </c>
      <c r="JVA29" s="3" t="s">
        <v>168</v>
      </c>
      <c r="JVB29" s="3" t="s">
        <v>169</v>
      </c>
      <c r="JVC29" s="3" t="s">
        <v>168</v>
      </c>
      <c r="JVD29" s="3" t="s">
        <v>169</v>
      </c>
      <c r="JVE29" s="3" t="s">
        <v>168</v>
      </c>
      <c r="JVF29" s="3" t="s">
        <v>169</v>
      </c>
      <c r="JVG29" s="3" t="s">
        <v>168</v>
      </c>
      <c r="JVH29" s="3" t="s">
        <v>169</v>
      </c>
      <c r="JVI29" s="3" t="s">
        <v>168</v>
      </c>
      <c r="JVJ29" s="3" t="s">
        <v>169</v>
      </c>
      <c r="JVK29" s="3" t="s">
        <v>168</v>
      </c>
      <c r="JVL29" s="3" t="s">
        <v>169</v>
      </c>
      <c r="JVM29" s="3" t="s">
        <v>168</v>
      </c>
      <c r="JVN29" s="3" t="s">
        <v>169</v>
      </c>
      <c r="JVO29" s="3" t="s">
        <v>168</v>
      </c>
      <c r="JVP29" s="3" t="s">
        <v>169</v>
      </c>
      <c r="JVQ29" s="3" t="s">
        <v>168</v>
      </c>
      <c r="JVR29" s="3" t="s">
        <v>169</v>
      </c>
      <c r="JVS29" s="3" t="s">
        <v>168</v>
      </c>
      <c r="JVT29" s="3" t="s">
        <v>169</v>
      </c>
      <c r="JVU29" s="3" t="s">
        <v>168</v>
      </c>
      <c r="JVV29" s="3" t="s">
        <v>169</v>
      </c>
      <c r="JVW29" s="3" t="s">
        <v>168</v>
      </c>
      <c r="JVX29" s="3" t="s">
        <v>169</v>
      </c>
      <c r="JVY29" s="3" t="s">
        <v>168</v>
      </c>
      <c r="JVZ29" s="3" t="s">
        <v>169</v>
      </c>
      <c r="JWA29" s="3" t="s">
        <v>168</v>
      </c>
      <c r="JWB29" s="3" t="s">
        <v>169</v>
      </c>
      <c r="JWC29" s="3" t="s">
        <v>168</v>
      </c>
      <c r="JWD29" s="3" t="s">
        <v>169</v>
      </c>
      <c r="JWE29" s="3" t="s">
        <v>168</v>
      </c>
      <c r="JWF29" s="3" t="s">
        <v>169</v>
      </c>
      <c r="JWG29" s="3" t="s">
        <v>168</v>
      </c>
      <c r="JWH29" s="3" t="s">
        <v>169</v>
      </c>
      <c r="JWI29" s="3" t="s">
        <v>168</v>
      </c>
      <c r="JWJ29" s="3" t="s">
        <v>169</v>
      </c>
      <c r="JWK29" s="3" t="s">
        <v>168</v>
      </c>
      <c r="JWL29" s="3" t="s">
        <v>169</v>
      </c>
      <c r="JWM29" s="3" t="s">
        <v>168</v>
      </c>
      <c r="JWN29" s="3" t="s">
        <v>169</v>
      </c>
      <c r="JWO29" s="3" t="s">
        <v>168</v>
      </c>
      <c r="JWP29" s="3" t="s">
        <v>169</v>
      </c>
      <c r="JWQ29" s="3" t="s">
        <v>168</v>
      </c>
      <c r="JWR29" s="3" t="s">
        <v>169</v>
      </c>
      <c r="JWS29" s="3" t="s">
        <v>168</v>
      </c>
      <c r="JWT29" s="3" t="s">
        <v>169</v>
      </c>
      <c r="JWU29" s="3" t="s">
        <v>168</v>
      </c>
      <c r="JWV29" s="3" t="s">
        <v>169</v>
      </c>
      <c r="JWW29" s="3" t="s">
        <v>168</v>
      </c>
      <c r="JWX29" s="3" t="s">
        <v>169</v>
      </c>
      <c r="JWY29" s="3" t="s">
        <v>168</v>
      </c>
      <c r="JWZ29" s="3" t="s">
        <v>169</v>
      </c>
      <c r="JXA29" s="3" t="s">
        <v>168</v>
      </c>
      <c r="JXB29" s="3" t="s">
        <v>169</v>
      </c>
      <c r="JXC29" s="3" t="s">
        <v>168</v>
      </c>
      <c r="JXD29" s="3" t="s">
        <v>169</v>
      </c>
      <c r="JXE29" s="3" t="s">
        <v>168</v>
      </c>
      <c r="JXF29" s="3" t="s">
        <v>169</v>
      </c>
      <c r="JXG29" s="3" t="s">
        <v>168</v>
      </c>
      <c r="JXH29" s="3" t="s">
        <v>169</v>
      </c>
      <c r="JXI29" s="3" t="s">
        <v>168</v>
      </c>
      <c r="JXJ29" s="3" t="s">
        <v>169</v>
      </c>
      <c r="JXK29" s="3" t="s">
        <v>168</v>
      </c>
      <c r="JXL29" s="3" t="s">
        <v>169</v>
      </c>
      <c r="JXM29" s="3" t="s">
        <v>168</v>
      </c>
      <c r="JXN29" s="3" t="s">
        <v>169</v>
      </c>
      <c r="JXO29" s="3" t="s">
        <v>168</v>
      </c>
      <c r="JXP29" s="3" t="s">
        <v>169</v>
      </c>
      <c r="JXQ29" s="3" t="s">
        <v>168</v>
      </c>
      <c r="JXR29" s="3" t="s">
        <v>169</v>
      </c>
      <c r="JXS29" s="3" t="s">
        <v>168</v>
      </c>
      <c r="JXT29" s="3" t="s">
        <v>169</v>
      </c>
      <c r="JXU29" s="3" t="s">
        <v>168</v>
      </c>
      <c r="JXV29" s="3" t="s">
        <v>169</v>
      </c>
      <c r="JXW29" s="3" t="s">
        <v>168</v>
      </c>
      <c r="JXX29" s="3" t="s">
        <v>169</v>
      </c>
      <c r="JXY29" s="3" t="s">
        <v>168</v>
      </c>
      <c r="JXZ29" s="3" t="s">
        <v>169</v>
      </c>
      <c r="JYA29" s="3" t="s">
        <v>168</v>
      </c>
      <c r="JYB29" s="3" t="s">
        <v>169</v>
      </c>
      <c r="JYC29" s="3" t="s">
        <v>168</v>
      </c>
      <c r="JYD29" s="3" t="s">
        <v>169</v>
      </c>
      <c r="JYE29" s="3" t="s">
        <v>168</v>
      </c>
      <c r="JYF29" s="3" t="s">
        <v>169</v>
      </c>
      <c r="JYG29" s="3" t="s">
        <v>168</v>
      </c>
      <c r="JYH29" s="3" t="s">
        <v>169</v>
      </c>
      <c r="JYI29" s="3" t="s">
        <v>168</v>
      </c>
      <c r="JYJ29" s="3" t="s">
        <v>169</v>
      </c>
      <c r="JYK29" s="3" t="s">
        <v>168</v>
      </c>
      <c r="JYL29" s="3" t="s">
        <v>169</v>
      </c>
      <c r="JYM29" s="3" t="s">
        <v>168</v>
      </c>
      <c r="JYN29" s="3" t="s">
        <v>169</v>
      </c>
      <c r="JYO29" s="3" t="s">
        <v>168</v>
      </c>
      <c r="JYP29" s="3" t="s">
        <v>169</v>
      </c>
      <c r="JYQ29" s="3" t="s">
        <v>168</v>
      </c>
      <c r="JYR29" s="3" t="s">
        <v>169</v>
      </c>
      <c r="JYS29" s="3" t="s">
        <v>168</v>
      </c>
      <c r="JYT29" s="3" t="s">
        <v>169</v>
      </c>
      <c r="JYU29" s="3" t="s">
        <v>168</v>
      </c>
      <c r="JYV29" s="3" t="s">
        <v>169</v>
      </c>
      <c r="JYW29" s="3" t="s">
        <v>168</v>
      </c>
      <c r="JYX29" s="3" t="s">
        <v>169</v>
      </c>
      <c r="JYY29" s="3" t="s">
        <v>168</v>
      </c>
      <c r="JYZ29" s="3" t="s">
        <v>169</v>
      </c>
      <c r="JZA29" s="3" t="s">
        <v>168</v>
      </c>
      <c r="JZB29" s="3" t="s">
        <v>169</v>
      </c>
      <c r="JZC29" s="3" t="s">
        <v>168</v>
      </c>
      <c r="JZD29" s="3" t="s">
        <v>169</v>
      </c>
      <c r="JZE29" s="3" t="s">
        <v>168</v>
      </c>
      <c r="JZF29" s="3" t="s">
        <v>169</v>
      </c>
      <c r="JZG29" s="3" t="s">
        <v>168</v>
      </c>
      <c r="JZH29" s="3" t="s">
        <v>169</v>
      </c>
      <c r="JZI29" s="3" t="s">
        <v>168</v>
      </c>
      <c r="JZJ29" s="3" t="s">
        <v>169</v>
      </c>
      <c r="JZK29" s="3" t="s">
        <v>168</v>
      </c>
      <c r="JZL29" s="3" t="s">
        <v>169</v>
      </c>
      <c r="JZM29" s="3" t="s">
        <v>168</v>
      </c>
      <c r="JZN29" s="3" t="s">
        <v>169</v>
      </c>
      <c r="JZO29" s="3" t="s">
        <v>168</v>
      </c>
      <c r="JZP29" s="3" t="s">
        <v>169</v>
      </c>
      <c r="JZQ29" s="3" t="s">
        <v>168</v>
      </c>
      <c r="JZR29" s="3" t="s">
        <v>169</v>
      </c>
      <c r="JZS29" s="3" t="s">
        <v>168</v>
      </c>
      <c r="JZT29" s="3" t="s">
        <v>169</v>
      </c>
      <c r="JZU29" s="3" t="s">
        <v>168</v>
      </c>
      <c r="JZV29" s="3" t="s">
        <v>169</v>
      </c>
      <c r="JZW29" s="3" t="s">
        <v>168</v>
      </c>
      <c r="JZX29" s="3" t="s">
        <v>169</v>
      </c>
      <c r="JZY29" s="3" t="s">
        <v>168</v>
      </c>
      <c r="JZZ29" s="3" t="s">
        <v>169</v>
      </c>
      <c r="KAA29" s="3" t="s">
        <v>168</v>
      </c>
      <c r="KAB29" s="3" t="s">
        <v>169</v>
      </c>
      <c r="KAC29" s="3" t="s">
        <v>168</v>
      </c>
      <c r="KAD29" s="3" t="s">
        <v>169</v>
      </c>
      <c r="KAE29" s="3" t="s">
        <v>168</v>
      </c>
      <c r="KAF29" s="3" t="s">
        <v>169</v>
      </c>
      <c r="KAG29" s="3" t="s">
        <v>168</v>
      </c>
      <c r="KAH29" s="3" t="s">
        <v>169</v>
      </c>
      <c r="KAI29" s="3" t="s">
        <v>168</v>
      </c>
      <c r="KAJ29" s="3" t="s">
        <v>169</v>
      </c>
      <c r="KAK29" s="3" t="s">
        <v>168</v>
      </c>
      <c r="KAL29" s="3" t="s">
        <v>169</v>
      </c>
      <c r="KAM29" s="3" t="s">
        <v>168</v>
      </c>
      <c r="KAN29" s="3" t="s">
        <v>169</v>
      </c>
      <c r="KAO29" s="3" t="s">
        <v>168</v>
      </c>
      <c r="KAP29" s="3" t="s">
        <v>169</v>
      </c>
      <c r="KAQ29" s="3" t="s">
        <v>168</v>
      </c>
      <c r="KAR29" s="3" t="s">
        <v>169</v>
      </c>
      <c r="KAS29" s="3" t="s">
        <v>168</v>
      </c>
      <c r="KAT29" s="3" t="s">
        <v>169</v>
      </c>
      <c r="KAU29" s="3" t="s">
        <v>168</v>
      </c>
      <c r="KAV29" s="3" t="s">
        <v>169</v>
      </c>
      <c r="KAW29" s="3" t="s">
        <v>168</v>
      </c>
      <c r="KAX29" s="3" t="s">
        <v>169</v>
      </c>
      <c r="KAY29" s="3" t="s">
        <v>168</v>
      </c>
      <c r="KAZ29" s="3" t="s">
        <v>169</v>
      </c>
      <c r="KBA29" s="3" t="s">
        <v>168</v>
      </c>
      <c r="KBB29" s="3" t="s">
        <v>169</v>
      </c>
      <c r="KBC29" s="3" t="s">
        <v>168</v>
      </c>
      <c r="KBD29" s="3" t="s">
        <v>169</v>
      </c>
      <c r="KBE29" s="3" t="s">
        <v>168</v>
      </c>
      <c r="KBF29" s="3" t="s">
        <v>169</v>
      </c>
      <c r="KBG29" s="3" t="s">
        <v>168</v>
      </c>
      <c r="KBH29" s="3" t="s">
        <v>169</v>
      </c>
      <c r="KBI29" s="3" t="s">
        <v>168</v>
      </c>
      <c r="KBJ29" s="3" t="s">
        <v>169</v>
      </c>
      <c r="KBK29" s="3" t="s">
        <v>168</v>
      </c>
      <c r="KBL29" s="3" t="s">
        <v>169</v>
      </c>
      <c r="KBM29" s="3" t="s">
        <v>168</v>
      </c>
      <c r="KBN29" s="3" t="s">
        <v>169</v>
      </c>
      <c r="KBO29" s="3" t="s">
        <v>168</v>
      </c>
      <c r="KBP29" s="3" t="s">
        <v>169</v>
      </c>
      <c r="KBQ29" s="3" t="s">
        <v>168</v>
      </c>
      <c r="KBR29" s="3" t="s">
        <v>169</v>
      </c>
      <c r="KBS29" s="3" t="s">
        <v>168</v>
      </c>
      <c r="KBT29" s="3" t="s">
        <v>169</v>
      </c>
      <c r="KBU29" s="3" t="s">
        <v>168</v>
      </c>
      <c r="KBV29" s="3" t="s">
        <v>169</v>
      </c>
      <c r="KBW29" s="3" t="s">
        <v>168</v>
      </c>
      <c r="KBX29" s="3" t="s">
        <v>169</v>
      </c>
      <c r="KBY29" s="3" t="s">
        <v>168</v>
      </c>
      <c r="KBZ29" s="3" t="s">
        <v>169</v>
      </c>
      <c r="KCA29" s="3" t="s">
        <v>168</v>
      </c>
      <c r="KCB29" s="3" t="s">
        <v>169</v>
      </c>
      <c r="KCC29" s="3" t="s">
        <v>168</v>
      </c>
      <c r="KCD29" s="3" t="s">
        <v>169</v>
      </c>
      <c r="KCE29" s="3" t="s">
        <v>168</v>
      </c>
      <c r="KCF29" s="3" t="s">
        <v>169</v>
      </c>
      <c r="KCG29" s="3" t="s">
        <v>168</v>
      </c>
      <c r="KCH29" s="3" t="s">
        <v>169</v>
      </c>
      <c r="KCI29" s="3" t="s">
        <v>168</v>
      </c>
      <c r="KCJ29" s="3" t="s">
        <v>169</v>
      </c>
      <c r="KCK29" s="3" t="s">
        <v>168</v>
      </c>
      <c r="KCL29" s="3" t="s">
        <v>169</v>
      </c>
      <c r="KCM29" s="3" t="s">
        <v>168</v>
      </c>
      <c r="KCN29" s="3" t="s">
        <v>169</v>
      </c>
      <c r="KCO29" s="3" t="s">
        <v>168</v>
      </c>
      <c r="KCP29" s="3" t="s">
        <v>169</v>
      </c>
      <c r="KCQ29" s="3" t="s">
        <v>168</v>
      </c>
      <c r="KCR29" s="3" t="s">
        <v>169</v>
      </c>
      <c r="KCS29" s="3" t="s">
        <v>168</v>
      </c>
      <c r="KCT29" s="3" t="s">
        <v>169</v>
      </c>
      <c r="KCU29" s="3" t="s">
        <v>168</v>
      </c>
      <c r="KCV29" s="3" t="s">
        <v>169</v>
      </c>
      <c r="KCW29" s="3" t="s">
        <v>168</v>
      </c>
      <c r="KCX29" s="3" t="s">
        <v>169</v>
      </c>
      <c r="KCY29" s="3" t="s">
        <v>168</v>
      </c>
      <c r="KCZ29" s="3" t="s">
        <v>169</v>
      </c>
      <c r="KDA29" s="3" t="s">
        <v>168</v>
      </c>
      <c r="KDB29" s="3" t="s">
        <v>169</v>
      </c>
      <c r="KDC29" s="3" t="s">
        <v>168</v>
      </c>
      <c r="KDD29" s="3" t="s">
        <v>169</v>
      </c>
      <c r="KDE29" s="3" t="s">
        <v>168</v>
      </c>
      <c r="KDF29" s="3" t="s">
        <v>169</v>
      </c>
      <c r="KDG29" s="3" t="s">
        <v>168</v>
      </c>
      <c r="KDH29" s="3" t="s">
        <v>169</v>
      </c>
      <c r="KDI29" s="3" t="s">
        <v>168</v>
      </c>
      <c r="KDJ29" s="3" t="s">
        <v>169</v>
      </c>
      <c r="KDK29" s="3" t="s">
        <v>168</v>
      </c>
      <c r="KDL29" s="3" t="s">
        <v>169</v>
      </c>
      <c r="KDM29" s="3" t="s">
        <v>168</v>
      </c>
      <c r="KDN29" s="3" t="s">
        <v>169</v>
      </c>
      <c r="KDO29" s="3" t="s">
        <v>168</v>
      </c>
      <c r="KDP29" s="3" t="s">
        <v>169</v>
      </c>
      <c r="KDQ29" s="3" t="s">
        <v>168</v>
      </c>
      <c r="KDR29" s="3" t="s">
        <v>169</v>
      </c>
      <c r="KDS29" s="3" t="s">
        <v>168</v>
      </c>
      <c r="KDT29" s="3" t="s">
        <v>169</v>
      </c>
      <c r="KDU29" s="3" t="s">
        <v>168</v>
      </c>
      <c r="KDV29" s="3" t="s">
        <v>169</v>
      </c>
      <c r="KDW29" s="3" t="s">
        <v>168</v>
      </c>
      <c r="KDX29" s="3" t="s">
        <v>169</v>
      </c>
      <c r="KDY29" s="3" t="s">
        <v>168</v>
      </c>
      <c r="KDZ29" s="3" t="s">
        <v>169</v>
      </c>
      <c r="KEA29" s="3" t="s">
        <v>168</v>
      </c>
      <c r="KEB29" s="3" t="s">
        <v>169</v>
      </c>
      <c r="KEC29" s="3" t="s">
        <v>168</v>
      </c>
      <c r="KED29" s="3" t="s">
        <v>169</v>
      </c>
      <c r="KEE29" s="3" t="s">
        <v>168</v>
      </c>
      <c r="KEF29" s="3" t="s">
        <v>169</v>
      </c>
      <c r="KEG29" s="3" t="s">
        <v>168</v>
      </c>
      <c r="KEH29" s="3" t="s">
        <v>169</v>
      </c>
      <c r="KEI29" s="3" t="s">
        <v>168</v>
      </c>
      <c r="KEJ29" s="3" t="s">
        <v>169</v>
      </c>
      <c r="KEK29" s="3" t="s">
        <v>168</v>
      </c>
      <c r="KEL29" s="3" t="s">
        <v>169</v>
      </c>
      <c r="KEM29" s="3" t="s">
        <v>168</v>
      </c>
      <c r="KEN29" s="3" t="s">
        <v>169</v>
      </c>
      <c r="KEO29" s="3" t="s">
        <v>168</v>
      </c>
      <c r="KEP29" s="3" t="s">
        <v>169</v>
      </c>
      <c r="KEQ29" s="3" t="s">
        <v>168</v>
      </c>
      <c r="KER29" s="3" t="s">
        <v>169</v>
      </c>
      <c r="KES29" s="3" t="s">
        <v>168</v>
      </c>
      <c r="KET29" s="3" t="s">
        <v>169</v>
      </c>
      <c r="KEU29" s="3" t="s">
        <v>168</v>
      </c>
      <c r="KEV29" s="3" t="s">
        <v>169</v>
      </c>
      <c r="KEW29" s="3" t="s">
        <v>168</v>
      </c>
      <c r="KEX29" s="3" t="s">
        <v>169</v>
      </c>
      <c r="KEY29" s="3" t="s">
        <v>168</v>
      </c>
      <c r="KEZ29" s="3" t="s">
        <v>169</v>
      </c>
      <c r="KFA29" s="3" t="s">
        <v>168</v>
      </c>
      <c r="KFB29" s="3" t="s">
        <v>169</v>
      </c>
      <c r="KFC29" s="3" t="s">
        <v>168</v>
      </c>
      <c r="KFD29" s="3" t="s">
        <v>169</v>
      </c>
      <c r="KFE29" s="3" t="s">
        <v>168</v>
      </c>
      <c r="KFF29" s="3" t="s">
        <v>169</v>
      </c>
      <c r="KFG29" s="3" t="s">
        <v>168</v>
      </c>
      <c r="KFH29" s="3" t="s">
        <v>169</v>
      </c>
      <c r="KFI29" s="3" t="s">
        <v>168</v>
      </c>
      <c r="KFJ29" s="3" t="s">
        <v>169</v>
      </c>
      <c r="KFK29" s="3" t="s">
        <v>168</v>
      </c>
      <c r="KFL29" s="3" t="s">
        <v>169</v>
      </c>
      <c r="KFM29" s="3" t="s">
        <v>168</v>
      </c>
      <c r="KFN29" s="3" t="s">
        <v>169</v>
      </c>
      <c r="KFO29" s="3" t="s">
        <v>168</v>
      </c>
      <c r="KFP29" s="3" t="s">
        <v>169</v>
      </c>
      <c r="KFQ29" s="3" t="s">
        <v>168</v>
      </c>
      <c r="KFR29" s="3" t="s">
        <v>169</v>
      </c>
      <c r="KFS29" s="3" t="s">
        <v>168</v>
      </c>
      <c r="KFT29" s="3" t="s">
        <v>169</v>
      </c>
      <c r="KFU29" s="3" t="s">
        <v>168</v>
      </c>
      <c r="KFV29" s="3" t="s">
        <v>169</v>
      </c>
      <c r="KFW29" s="3" t="s">
        <v>168</v>
      </c>
      <c r="KFX29" s="3" t="s">
        <v>169</v>
      </c>
      <c r="KFY29" s="3" t="s">
        <v>168</v>
      </c>
      <c r="KFZ29" s="3" t="s">
        <v>169</v>
      </c>
      <c r="KGA29" s="3" t="s">
        <v>168</v>
      </c>
      <c r="KGB29" s="3" t="s">
        <v>169</v>
      </c>
      <c r="KGC29" s="3" t="s">
        <v>168</v>
      </c>
      <c r="KGD29" s="3" t="s">
        <v>169</v>
      </c>
      <c r="KGE29" s="3" t="s">
        <v>168</v>
      </c>
      <c r="KGF29" s="3" t="s">
        <v>169</v>
      </c>
      <c r="KGG29" s="3" t="s">
        <v>168</v>
      </c>
      <c r="KGH29" s="3" t="s">
        <v>169</v>
      </c>
      <c r="KGI29" s="3" t="s">
        <v>168</v>
      </c>
      <c r="KGJ29" s="3" t="s">
        <v>169</v>
      </c>
      <c r="KGK29" s="3" t="s">
        <v>168</v>
      </c>
      <c r="KGL29" s="3" t="s">
        <v>169</v>
      </c>
      <c r="KGM29" s="3" t="s">
        <v>168</v>
      </c>
      <c r="KGN29" s="3" t="s">
        <v>169</v>
      </c>
      <c r="KGO29" s="3" t="s">
        <v>168</v>
      </c>
      <c r="KGP29" s="3" t="s">
        <v>169</v>
      </c>
      <c r="KGQ29" s="3" t="s">
        <v>168</v>
      </c>
      <c r="KGR29" s="3" t="s">
        <v>169</v>
      </c>
      <c r="KGS29" s="3" t="s">
        <v>168</v>
      </c>
      <c r="KGT29" s="3" t="s">
        <v>169</v>
      </c>
      <c r="KGU29" s="3" t="s">
        <v>168</v>
      </c>
      <c r="KGV29" s="3" t="s">
        <v>169</v>
      </c>
      <c r="KGW29" s="3" t="s">
        <v>168</v>
      </c>
      <c r="KGX29" s="3" t="s">
        <v>169</v>
      </c>
      <c r="KGY29" s="3" t="s">
        <v>168</v>
      </c>
      <c r="KGZ29" s="3" t="s">
        <v>169</v>
      </c>
      <c r="KHA29" s="3" t="s">
        <v>168</v>
      </c>
      <c r="KHB29" s="3" t="s">
        <v>169</v>
      </c>
      <c r="KHC29" s="3" t="s">
        <v>168</v>
      </c>
      <c r="KHD29" s="3" t="s">
        <v>169</v>
      </c>
      <c r="KHE29" s="3" t="s">
        <v>168</v>
      </c>
      <c r="KHF29" s="3" t="s">
        <v>169</v>
      </c>
      <c r="KHG29" s="3" t="s">
        <v>168</v>
      </c>
      <c r="KHH29" s="3" t="s">
        <v>169</v>
      </c>
      <c r="KHI29" s="3" t="s">
        <v>168</v>
      </c>
      <c r="KHJ29" s="3" t="s">
        <v>169</v>
      </c>
      <c r="KHK29" s="3" t="s">
        <v>168</v>
      </c>
      <c r="KHL29" s="3" t="s">
        <v>169</v>
      </c>
      <c r="KHM29" s="3" t="s">
        <v>168</v>
      </c>
      <c r="KHN29" s="3" t="s">
        <v>169</v>
      </c>
      <c r="KHO29" s="3" t="s">
        <v>168</v>
      </c>
      <c r="KHP29" s="3" t="s">
        <v>169</v>
      </c>
      <c r="KHQ29" s="3" t="s">
        <v>168</v>
      </c>
      <c r="KHR29" s="3" t="s">
        <v>169</v>
      </c>
      <c r="KHS29" s="3" t="s">
        <v>168</v>
      </c>
      <c r="KHT29" s="3" t="s">
        <v>169</v>
      </c>
      <c r="KHU29" s="3" t="s">
        <v>168</v>
      </c>
      <c r="KHV29" s="3" t="s">
        <v>169</v>
      </c>
      <c r="KHW29" s="3" t="s">
        <v>168</v>
      </c>
      <c r="KHX29" s="3" t="s">
        <v>169</v>
      </c>
      <c r="KHY29" s="3" t="s">
        <v>168</v>
      </c>
      <c r="KHZ29" s="3" t="s">
        <v>169</v>
      </c>
      <c r="KIA29" s="3" t="s">
        <v>168</v>
      </c>
      <c r="KIB29" s="3" t="s">
        <v>169</v>
      </c>
      <c r="KIC29" s="3" t="s">
        <v>168</v>
      </c>
      <c r="KID29" s="3" t="s">
        <v>169</v>
      </c>
      <c r="KIE29" s="3" t="s">
        <v>168</v>
      </c>
      <c r="KIF29" s="3" t="s">
        <v>169</v>
      </c>
      <c r="KIG29" s="3" t="s">
        <v>168</v>
      </c>
      <c r="KIH29" s="3" t="s">
        <v>169</v>
      </c>
      <c r="KII29" s="3" t="s">
        <v>168</v>
      </c>
      <c r="KIJ29" s="3" t="s">
        <v>169</v>
      </c>
      <c r="KIK29" s="3" t="s">
        <v>168</v>
      </c>
      <c r="KIL29" s="3" t="s">
        <v>169</v>
      </c>
      <c r="KIM29" s="3" t="s">
        <v>168</v>
      </c>
      <c r="KIN29" s="3" t="s">
        <v>169</v>
      </c>
      <c r="KIO29" s="3" t="s">
        <v>168</v>
      </c>
      <c r="KIP29" s="3" t="s">
        <v>169</v>
      </c>
      <c r="KIQ29" s="3" t="s">
        <v>168</v>
      </c>
      <c r="KIR29" s="3" t="s">
        <v>169</v>
      </c>
      <c r="KIS29" s="3" t="s">
        <v>168</v>
      </c>
      <c r="KIT29" s="3" t="s">
        <v>169</v>
      </c>
      <c r="KIU29" s="3" t="s">
        <v>168</v>
      </c>
      <c r="KIV29" s="3" t="s">
        <v>169</v>
      </c>
      <c r="KIW29" s="3" t="s">
        <v>168</v>
      </c>
      <c r="KIX29" s="3" t="s">
        <v>169</v>
      </c>
      <c r="KIY29" s="3" t="s">
        <v>168</v>
      </c>
      <c r="KIZ29" s="3" t="s">
        <v>169</v>
      </c>
      <c r="KJA29" s="3" t="s">
        <v>168</v>
      </c>
      <c r="KJB29" s="3" t="s">
        <v>169</v>
      </c>
      <c r="KJC29" s="3" t="s">
        <v>168</v>
      </c>
      <c r="KJD29" s="3" t="s">
        <v>169</v>
      </c>
      <c r="KJE29" s="3" t="s">
        <v>168</v>
      </c>
      <c r="KJF29" s="3" t="s">
        <v>169</v>
      </c>
      <c r="KJG29" s="3" t="s">
        <v>168</v>
      </c>
      <c r="KJH29" s="3" t="s">
        <v>169</v>
      </c>
      <c r="KJI29" s="3" t="s">
        <v>168</v>
      </c>
      <c r="KJJ29" s="3" t="s">
        <v>169</v>
      </c>
      <c r="KJK29" s="3" t="s">
        <v>168</v>
      </c>
      <c r="KJL29" s="3" t="s">
        <v>169</v>
      </c>
      <c r="KJM29" s="3" t="s">
        <v>168</v>
      </c>
      <c r="KJN29" s="3" t="s">
        <v>169</v>
      </c>
      <c r="KJO29" s="3" t="s">
        <v>168</v>
      </c>
      <c r="KJP29" s="3" t="s">
        <v>169</v>
      </c>
      <c r="KJQ29" s="3" t="s">
        <v>168</v>
      </c>
      <c r="KJR29" s="3" t="s">
        <v>169</v>
      </c>
      <c r="KJS29" s="3" t="s">
        <v>168</v>
      </c>
      <c r="KJT29" s="3" t="s">
        <v>169</v>
      </c>
      <c r="KJU29" s="3" t="s">
        <v>168</v>
      </c>
      <c r="KJV29" s="3" t="s">
        <v>169</v>
      </c>
      <c r="KJW29" s="3" t="s">
        <v>168</v>
      </c>
      <c r="KJX29" s="3" t="s">
        <v>169</v>
      </c>
      <c r="KJY29" s="3" t="s">
        <v>168</v>
      </c>
      <c r="KJZ29" s="3" t="s">
        <v>169</v>
      </c>
      <c r="KKA29" s="3" t="s">
        <v>168</v>
      </c>
      <c r="KKB29" s="3" t="s">
        <v>169</v>
      </c>
      <c r="KKC29" s="3" t="s">
        <v>168</v>
      </c>
      <c r="KKD29" s="3" t="s">
        <v>169</v>
      </c>
      <c r="KKE29" s="3" t="s">
        <v>168</v>
      </c>
      <c r="KKF29" s="3" t="s">
        <v>169</v>
      </c>
      <c r="KKG29" s="3" t="s">
        <v>168</v>
      </c>
      <c r="KKH29" s="3" t="s">
        <v>169</v>
      </c>
      <c r="KKI29" s="3" t="s">
        <v>168</v>
      </c>
      <c r="KKJ29" s="3" t="s">
        <v>169</v>
      </c>
      <c r="KKK29" s="3" t="s">
        <v>168</v>
      </c>
      <c r="KKL29" s="3" t="s">
        <v>169</v>
      </c>
      <c r="KKM29" s="3" t="s">
        <v>168</v>
      </c>
      <c r="KKN29" s="3" t="s">
        <v>169</v>
      </c>
      <c r="KKO29" s="3" t="s">
        <v>168</v>
      </c>
      <c r="KKP29" s="3" t="s">
        <v>169</v>
      </c>
      <c r="KKQ29" s="3" t="s">
        <v>168</v>
      </c>
      <c r="KKR29" s="3" t="s">
        <v>169</v>
      </c>
      <c r="KKS29" s="3" t="s">
        <v>168</v>
      </c>
      <c r="KKT29" s="3" t="s">
        <v>169</v>
      </c>
      <c r="KKU29" s="3" t="s">
        <v>168</v>
      </c>
      <c r="KKV29" s="3" t="s">
        <v>169</v>
      </c>
      <c r="KKW29" s="3" t="s">
        <v>168</v>
      </c>
      <c r="KKX29" s="3" t="s">
        <v>169</v>
      </c>
      <c r="KKY29" s="3" t="s">
        <v>168</v>
      </c>
      <c r="KKZ29" s="3" t="s">
        <v>169</v>
      </c>
      <c r="KLA29" s="3" t="s">
        <v>168</v>
      </c>
      <c r="KLB29" s="3" t="s">
        <v>169</v>
      </c>
      <c r="KLC29" s="3" t="s">
        <v>168</v>
      </c>
      <c r="KLD29" s="3" t="s">
        <v>169</v>
      </c>
      <c r="KLE29" s="3" t="s">
        <v>168</v>
      </c>
      <c r="KLF29" s="3" t="s">
        <v>169</v>
      </c>
      <c r="KLG29" s="3" t="s">
        <v>168</v>
      </c>
      <c r="KLH29" s="3" t="s">
        <v>169</v>
      </c>
      <c r="KLI29" s="3" t="s">
        <v>168</v>
      </c>
      <c r="KLJ29" s="3" t="s">
        <v>169</v>
      </c>
      <c r="KLK29" s="3" t="s">
        <v>168</v>
      </c>
      <c r="KLL29" s="3" t="s">
        <v>169</v>
      </c>
      <c r="KLM29" s="3" t="s">
        <v>168</v>
      </c>
      <c r="KLN29" s="3" t="s">
        <v>169</v>
      </c>
      <c r="KLO29" s="3" t="s">
        <v>168</v>
      </c>
      <c r="KLP29" s="3" t="s">
        <v>169</v>
      </c>
      <c r="KLQ29" s="3" t="s">
        <v>168</v>
      </c>
      <c r="KLR29" s="3" t="s">
        <v>169</v>
      </c>
      <c r="KLS29" s="3" t="s">
        <v>168</v>
      </c>
      <c r="KLT29" s="3" t="s">
        <v>169</v>
      </c>
      <c r="KLU29" s="3" t="s">
        <v>168</v>
      </c>
      <c r="KLV29" s="3" t="s">
        <v>169</v>
      </c>
      <c r="KLW29" s="3" t="s">
        <v>168</v>
      </c>
      <c r="KLX29" s="3" t="s">
        <v>169</v>
      </c>
      <c r="KLY29" s="3" t="s">
        <v>168</v>
      </c>
      <c r="KLZ29" s="3" t="s">
        <v>169</v>
      </c>
      <c r="KMA29" s="3" t="s">
        <v>168</v>
      </c>
      <c r="KMB29" s="3" t="s">
        <v>169</v>
      </c>
      <c r="KMC29" s="3" t="s">
        <v>168</v>
      </c>
      <c r="KMD29" s="3" t="s">
        <v>169</v>
      </c>
      <c r="KME29" s="3" t="s">
        <v>168</v>
      </c>
      <c r="KMF29" s="3" t="s">
        <v>169</v>
      </c>
      <c r="KMG29" s="3" t="s">
        <v>168</v>
      </c>
      <c r="KMH29" s="3" t="s">
        <v>169</v>
      </c>
      <c r="KMI29" s="3" t="s">
        <v>168</v>
      </c>
      <c r="KMJ29" s="3" t="s">
        <v>169</v>
      </c>
      <c r="KMK29" s="3" t="s">
        <v>168</v>
      </c>
      <c r="KML29" s="3" t="s">
        <v>169</v>
      </c>
      <c r="KMM29" s="3" t="s">
        <v>168</v>
      </c>
      <c r="KMN29" s="3" t="s">
        <v>169</v>
      </c>
      <c r="KMO29" s="3" t="s">
        <v>168</v>
      </c>
      <c r="KMP29" s="3" t="s">
        <v>169</v>
      </c>
      <c r="KMQ29" s="3" t="s">
        <v>168</v>
      </c>
      <c r="KMR29" s="3" t="s">
        <v>169</v>
      </c>
      <c r="KMS29" s="3" t="s">
        <v>168</v>
      </c>
      <c r="KMT29" s="3" t="s">
        <v>169</v>
      </c>
      <c r="KMU29" s="3" t="s">
        <v>168</v>
      </c>
      <c r="KMV29" s="3" t="s">
        <v>169</v>
      </c>
      <c r="KMW29" s="3" t="s">
        <v>168</v>
      </c>
      <c r="KMX29" s="3" t="s">
        <v>169</v>
      </c>
      <c r="KMY29" s="3" t="s">
        <v>168</v>
      </c>
      <c r="KMZ29" s="3" t="s">
        <v>169</v>
      </c>
      <c r="KNA29" s="3" t="s">
        <v>168</v>
      </c>
      <c r="KNB29" s="3" t="s">
        <v>169</v>
      </c>
      <c r="KNC29" s="3" t="s">
        <v>168</v>
      </c>
      <c r="KND29" s="3" t="s">
        <v>169</v>
      </c>
      <c r="KNE29" s="3" t="s">
        <v>168</v>
      </c>
      <c r="KNF29" s="3" t="s">
        <v>169</v>
      </c>
      <c r="KNG29" s="3" t="s">
        <v>168</v>
      </c>
      <c r="KNH29" s="3" t="s">
        <v>169</v>
      </c>
      <c r="KNI29" s="3" t="s">
        <v>168</v>
      </c>
      <c r="KNJ29" s="3" t="s">
        <v>169</v>
      </c>
      <c r="KNK29" s="3" t="s">
        <v>168</v>
      </c>
      <c r="KNL29" s="3" t="s">
        <v>169</v>
      </c>
      <c r="KNM29" s="3" t="s">
        <v>168</v>
      </c>
      <c r="KNN29" s="3" t="s">
        <v>169</v>
      </c>
      <c r="KNO29" s="3" t="s">
        <v>168</v>
      </c>
      <c r="KNP29" s="3" t="s">
        <v>169</v>
      </c>
      <c r="KNQ29" s="3" t="s">
        <v>168</v>
      </c>
      <c r="KNR29" s="3" t="s">
        <v>169</v>
      </c>
      <c r="KNS29" s="3" t="s">
        <v>168</v>
      </c>
      <c r="KNT29" s="3" t="s">
        <v>169</v>
      </c>
      <c r="KNU29" s="3" t="s">
        <v>168</v>
      </c>
      <c r="KNV29" s="3" t="s">
        <v>169</v>
      </c>
      <c r="KNW29" s="3" t="s">
        <v>168</v>
      </c>
      <c r="KNX29" s="3" t="s">
        <v>169</v>
      </c>
      <c r="KNY29" s="3" t="s">
        <v>168</v>
      </c>
      <c r="KNZ29" s="3" t="s">
        <v>169</v>
      </c>
      <c r="KOA29" s="3" t="s">
        <v>168</v>
      </c>
      <c r="KOB29" s="3" t="s">
        <v>169</v>
      </c>
      <c r="KOC29" s="3" t="s">
        <v>168</v>
      </c>
      <c r="KOD29" s="3" t="s">
        <v>169</v>
      </c>
      <c r="KOE29" s="3" t="s">
        <v>168</v>
      </c>
      <c r="KOF29" s="3" t="s">
        <v>169</v>
      </c>
      <c r="KOG29" s="3" t="s">
        <v>168</v>
      </c>
      <c r="KOH29" s="3" t="s">
        <v>169</v>
      </c>
      <c r="KOI29" s="3" t="s">
        <v>168</v>
      </c>
      <c r="KOJ29" s="3" t="s">
        <v>169</v>
      </c>
      <c r="KOK29" s="3" t="s">
        <v>168</v>
      </c>
      <c r="KOL29" s="3" t="s">
        <v>169</v>
      </c>
      <c r="KOM29" s="3" t="s">
        <v>168</v>
      </c>
      <c r="KON29" s="3" t="s">
        <v>169</v>
      </c>
      <c r="KOO29" s="3" t="s">
        <v>168</v>
      </c>
      <c r="KOP29" s="3" t="s">
        <v>169</v>
      </c>
      <c r="KOQ29" s="3" t="s">
        <v>168</v>
      </c>
      <c r="KOR29" s="3" t="s">
        <v>169</v>
      </c>
      <c r="KOS29" s="3" t="s">
        <v>168</v>
      </c>
      <c r="KOT29" s="3" t="s">
        <v>169</v>
      </c>
      <c r="KOU29" s="3" t="s">
        <v>168</v>
      </c>
      <c r="KOV29" s="3" t="s">
        <v>169</v>
      </c>
      <c r="KOW29" s="3" t="s">
        <v>168</v>
      </c>
      <c r="KOX29" s="3" t="s">
        <v>169</v>
      </c>
      <c r="KOY29" s="3" t="s">
        <v>168</v>
      </c>
      <c r="KOZ29" s="3" t="s">
        <v>169</v>
      </c>
      <c r="KPA29" s="3" t="s">
        <v>168</v>
      </c>
      <c r="KPB29" s="3" t="s">
        <v>169</v>
      </c>
      <c r="KPC29" s="3" t="s">
        <v>168</v>
      </c>
      <c r="KPD29" s="3" t="s">
        <v>169</v>
      </c>
      <c r="KPE29" s="3" t="s">
        <v>168</v>
      </c>
      <c r="KPF29" s="3" t="s">
        <v>169</v>
      </c>
      <c r="KPG29" s="3" t="s">
        <v>168</v>
      </c>
      <c r="KPH29" s="3" t="s">
        <v>169</v>
      </c>
      <c r="KPI29" s="3" t="s">
        <v>168</v>
      </c>
      <c r="KPJ29" s="3" t="s">
        <v>169</v>
      </c>
      <c r="KPK29" s="3" t="s">
        <v>168</v>
      </c>
      <c r="KPL29" s="3" t="s">
        <v>169</v>
      </c>
      <c r="KPM29" s="3" t="s">
        <v>168</v>
      </c>
      <c r="KPN29" s="3" t="s">
        <v>169</v>
      </c>
      <c r="KPO29" s="3" t="s">
        <v>168</v>
      </c>
      <c r="KPP29" s="3" t="s">
        <v>169</v>
      </c>
      <c r="KPQ29" s="3" t="s">
        <v>168</v>
      </c>
      <c r="KPR29" s="3" t="s">
        <v>169</v>
      </c>
      <c r="KPS29" s="3" t="s">
        <v>168</v>
      </c>
      <c r="KPT29" s="3" t="s">
        <v>169</v>
      </c>
      <c r="KPU29" s="3" t="s">
        <v>168</v>
      </c>
      <c r="KPV29" s="3" t="s">
        <v>169</v>
      </c>
      <c r="KPW29" s="3" t="s">
        <v>168</v>
      </c>
      <c r="KPX29" s="3" t="s">
        <v>169</v>
      </c>
      <c r="KPY29" s="3" t="s">
        <v>168</v>
      </c>
      <c r="KPZ29" s="3" t="s">
        <v>169</v>
      </c>
      <c r="KQA29" s="3" t="s">
        <v>168</v>
      </c>
      <c r="KQB29" s="3" t="s">
        <v>169</v>
      </c>
      <c r="KQC29" s="3" t="s">
        <v>168</v>
      </c>
      <c r="KQD29" s="3" t="s">
        <v>169</v>
      </c>
      <c r="KQE29" s="3" t="s">
        <v>168</v>
      </c>
      <c r="KQF29" s="3" t="s">
        <v>169</v>
      </c>
      <c r="KQG29" s="3" t="s">
        <v>168</v>
      </c>
      <c r="KQH29" s="3" t="s">
        <v>169</v>
      </c>
      <c r="KQI29" s="3" t="s">
        <v>168</v>
      </c>
      <c r="KQJ29" s="3" t="s">
        <v>169</v>
      </c>
      <c r="KQK29" s="3" t="s">
        <v>168</v>
      </c>
      <c r="KQL29" s="3" t="s">
        <v>169</v>
      </c>
      <c r="KQM29" s="3" t="s">
        <v>168</v>
      </c>
      <c r="KQN29" s="3" t="s">
        <v>169</v>
      </c>
      <c r="KQO29" s="3" t="s">
        <v>168</v>
      </c>
      <c r="KQP29" s="3" t="s">
        <v>169</v>
      </c>
      <c r="KQQ29" s="3" t="s">
        <v>168</v>
      </c>
      <c r="KQR29" s="3" t="s">
        <v>169</v>
      </c>
      <c r="KQS29" s="3" t="s">
        <v>168</v>
      </c>
      <c r="KQT29" s="3" t="s">
        <v>169</v>
      </c>
      <c r="KQU29" s="3" t="s">
        <v>168</v>
      </c>
      <c r="KQV29" s="3" t="s">
        <v>169</v>
      </c>
      <c r="KQW29" s="3" t="s">
        <v>168</v>
      </c>
      <c r="KQX29" s="3" t="s">
        <v>169</v>
      </c>
      <c r="KQY29" s="3" t="s">
        <v>168</v>
      </c>
      <c r="KQZ29" s="3" t="s">
        <v>169</v>
      </c>
      <c r="KRA29" s="3" t="s">
        <v>168</v>
      </c>
      <c r="KRB29" s="3" t="s">
        <v>169</v>
      </c>
      <c r="KRC29" s="3" t="s">
        <v>168</v>
      </c>
      <c r="KRD29" s="3" t="s">
        <v>169</v>
      </c>
      <c r="KRE29" s="3" t="s">
        <v>168</v>
      </c>
      <c r="KRF29" s="3" t="s">
        <v>169</v>
      </c>
      <c r="KRG29" s="3" t="s">
        <v>168</v>
      </c>
      <c r="KRH29" s="3" t="s">
        <v>169</v>
      </c>
      <c r="KRI29" s="3" t="s">
        <v>168</v>
      </c>
      <c r="KRJ29" s="3" t="s">
        <v>169</v>
      </c>
      <c r="KRK29" s="3" t="s">
        <v>168</v>
      </c>
      <c r="KRL29" s="3" t="s">
        <v>169</v>
      </c>
      <c r="KRM29" s="3" t="s">
        <v>168</v>
      </c>
      <c r="KRN29" s="3" t="s">
        <v>169</v>
      </c>
      <c r="KRO29" s="3" t="s">
        <v>168</v>
      </c>
      <c r="KRP29" s="3" t="s">
        <v>169</v>
      </c>
      <c r="KRQ29" s="3" t="s">
        <v>168</v>
      </c>
      <c r="KRR29" s="3" t="s">
        <v>169</v>
      </c>
      <c r="KRS29" s="3" t="s">
        <v>168</v>
      </c>
      <c r="KRT29" s="3" t="s">
        <v>169</v>
      </c>
      <c r="KRU29" s="3" t="s">
        <v>168</v>
      </c>
      <c r="KRV29" s="3" t="s">
        <v>169</v>
      </c>
      <c r="KRW29" s="3" t="s">
        <v>168</v>
      </c>
      <c r="KRX29" s="3" t="s">
        <v>169</v>
      </c>
      <c r="KRY29" s="3" t="s">
        <v>168</v>
      </c>
      <c r="KRZ29" s="3" t="s">
        <v>169</v>
      </c>
      <c r="KSA29" s="3" t="s">
        <v>168</v>
      </c>
      <c r="KSB29" s="3" t="s">
        <v>169</v>
      </c>
      <c r="KSC29" s="3" t="s">
        <v>168</v>
      </c>
      <c r="KSD29" s="3" t="s">
        <v>169</v>
      </c>
      <c r="KSE29" s="3" t="s">
        <v>168</v>
      </c>
      <c r="KSF29" s="3" t="s">
        <v>169</v>
      </c>
      <c r="KSG29" s="3" t="s">
        <v>168</v>
      </c>
      <c r="KSH29" s="3" t="s">
        <v>169</v>
      </c>
      <c r="KSI29" s="3" t="s">
        <v>168</v>
      </c>
      <c r="KSJ29" s="3" t="s">
        <v>169</v>
      </c>
      <c r="KSK29" s="3" t="s">
        <v>168</v>
      </c>
      <c r="KSL29" s="3" t="s">
        <v>169</v>
      </c>
      <c r="KSM29" s="3" t="s">
        <v>168</v>
      </c>
      <c r="KSN29" s="3" t="s">
        <v>169</v>
      </c>
      <c r="KSO29" s="3" t="s">
        <v>168</v>
      </c>
      <c r="KSP29" s="3" t="s">
        <v>169</v>
      </c>
      <c r="KSQ29" s="3" t="s">
        <v>168</v>
      </c>
      <c r="KSR29" s="3" t="s">
        <v>169</v>
      </c>
      <c r="KSS29" s="3" t="s">
        <v>168</v>
      </c>
      <c r="KST29" s="3" t="s">
        <v>169</v>
      </c>
      <c r="KSU29" s="3" t="s">
        <v>168</v>
      </c>
      <c r="KSV29" s="3" t="s">
        <v>169</v>
      </c>
      <c r="KSW29" s="3" t="s">
        <v>168</v>
      </c>
      <c r="KSX29" s="3" t="s">
        <v>169</v>
      </c>
      <c r="KSY29" s="3" t="s">
        <v>168</v>
      </c>
      <c r="KSZ29" s="3" t="s">
        <v>169</v>
      </c>
      <c r="KTA29" s="3" t="s">
        <v>168</v>
      </c>
      <c r="KTB29" s="3" t="s">
        <v>169</v>
      </c>
      <c r="KTC29" s="3" t="s">
        <v>168</v>
      </c>
      <c r="KTD29" s="3" t="s">
        <v>169</v>
      </c>
      <c r="KTE29" s="3" t="s">
        <v>168</v>
      </c>
      <c r="KTF29" s="3" t="s">
        <v>169</v>
      </c>
      <c r="KTG29" s="3" t="s">
        <v>168</v>
      </c>
      <c r="KTH29" s="3" t="s">
        <v>169</v>
      </c>
      <c r="KTI29" s="3" t="s">
        <v>168</v>
      </c>
      <c r="KTJ29" s="3" t="s">
        <v>169</v>
      </c>
      <c r="KTK29" s="3" t="s">
        <v>168</v>
      </c>
      <c r="KTL29" s="3" t="s">
        <v>169</v>
      </c>
      <c r="KTM29" s="3" t="s">
        <v>168</v>
      </c>
      <c r="KTN29" s="3" t="s">
        <v>169</v>
      </c>
      <c r="KTO29" s="3" t="s">
        <v>168</v>
      </c>
      <c r="KTP29" s="3" t="s">
        <v>169</v>
      </c>
      <c r="KTQ29" s="3" t="s">
        <v>168</v>
      </c>
      <c r="KTR29" s="3" t="s">
        <v>169</v>
      </c>
      <c r="KTS29" s="3" t="s">
        <v>168</v>
      </c>
      <c r="KTT29" s="3" t="s">
        <v>169</v>
      </c>
      <c r="KTU29" s="3" t="s">
        <v>168</v>
      </c>
      <c r="KTV29" s="3" t="s">
        <v>169</v>
      </c>
      <c r="KTW29" s="3" t="s">
        <v>168</v>
      </c>
      <c r="KTX29" s="3" t="s">
        <v>169</v>
      </c>
      <c r="KTY29" s="3" t="s">
        <v>168</v>
      </c>
      <c r="KTZ29" s="3" t="s">
        <v>169</v>
      </c>
      <c r="KUA29" s="3" t="s">
        <v>168</v>
      </c>
      <c r="KUB29" s="3" t="s">
        <v>169</v>
      </c>
      <c r="KUC29" s="3" t="s">
        <v>168</v>
      </c>
      <c r="KUD29" s="3" t="s">
        <v>169</v>
      </c>
      <c r="KUE29" s="3" t="s">
        <v>168</v>
      </c>
      <c r="KUF29" s="3" t="s">
        <v>169</v>
      </c>
      <c r="KUG29" s="3" t="s">
        <v>168</v>
      </c>
      <c r="KUH29" s="3" t="s">
        <v>169</v>
      </c>
      <c r="KUI29" s="3" t="s">
        <v>168</v>
      </c>
      <c r="KUJ29" s="3" t="s">
        <v>169</v>
      </c>
      <c r="KUK29" s="3" t="s">
        <v>168</v>
      </c>
      <c r="KUL29" s="3" t="s">
        <v>169</v>
      </c>
      <c r="KUM29" s="3" t="s">
        <v>168</v>
      </c>
      <c r="KUN29" s="3" t="s">
        <v>169</v>
      </c>
      <c r="KUO29" s="3" t="s">
        <v>168</v>
      </c>
      <c r="KUP29" s="3" t="s">
        <v>169</v>
      </c>
      <c r="KUQ29" s="3" t="s">
        <v>168</v>
      </c>
      <c r="KUR29" s="3" t="s">
        <v>169</v>
      </c>
      <c r="KUS29" s="3" t="s">
        <v>168</v>
      </c>
      <c r="KUT29" s="3" t="s">
        <v>169</v>
      </c>
      <c r="KUU29" s="3" t="s">
        <v>168</v>
      </c>
      <c r="KUV29" s="3" t="s">
        <v>169</v>
      </c>
      <c r="KUW29" s="3" t="s">
        <v>168</v>
      </c>
      <c r="KUX29" s="3" t="s">
        <v>169</v>
      </c>
      <c r="KUY29" s="3" t="s">
        <v>168</v>
      </c>
      <c r="KUZ29" s="3" t="s">
        <v>169</v>
      </c>
      <c r="KVA29" s="3" t="s">
        <v>168</v>
      </c>
      <c r="KVB29" s="3" t="s">
        <v>169</v>
      </c>
      <c r="KVC29" s="3" t="s">
        <v>168</v>
      </c>
      <c r="KVD29" s="3" t="s">
        <v>169</v>
      </c>
      <c r="KVE29" s="3" t="s">
        <v>168</v>
      </c>
      <c r="KVF29" s="3" t="s">
        <v>169</v>
      </c>
      <c r="KVG29" s="3" t="s">
        <v>168</v>
      </c>
      <c r="KVH29" s="3" t="s">
        <v>169</v>
      </c>
      <c r="KVI29" s="3" t="s">
        <v>168</v>
      </c>
      <c r="KVJ29" s="3" t="s">
        <v>169</v>
      </c>
      <c r="KVK29" s="3" t="s">
        <v>168</v>
      </c>
      <c r="KVL29" s="3" t="s">
        <v>169</v>
      </c>
      <c r="KVM29" s="3" t="s">
        <v>168</v>
      </c>
      <c r="KVN29" s="3" t="s">
        <v>169</v>
      </c>
      <c r="KVO29" s="3" t="s">
        <v>168</v>
      </c>
      <c r="KVP29" s="3" t="s">
        <v>169</v>
      </c>
      <c r="KVQ29" s="3" t="s">
        <v>168</v>
      </c>
      <c r="KVR29" s="3" t="s">
        <v>169</v>
      </c>
      <c r="KVS29" s="3" t="s">
        <v>168</v>
      </c>
      <c r="KVT29" s="3" t="s">
        <v>169</v>
      </c>
      <c r="KVU29" s="3" t="s">
        <v>168</v>
      </c>
      <c r="KVV29" s="3" t="s">
        <v>169</v>
      </c>
      <c r="KVW29" s="3" t="s">
        <v>168</v>
      </c>
      <c r="KVX29" s="3" t="s">
        <v>169</v>
      </c>
      <c r="KVY29" s="3" t="s">
        <v>168</v>
      </c>
      <c r="KVZ29" s="3" t="s">
        <v>169</v>
      </c>
      <c r="KWA29" s="3" t="s">
        <v>168</v>
      </c>
      <c r="KWB29" s="3" t="s">
        <v>169</v>
      </c>
      <c r="KWC29" s="3" t="s">
        <v>168</v>
      </c>
      <c r="KWD29" s="3" t="s">
        <v>169</v>
      </c>
      <c r="KWE29" s="3" t="s">
        <v>168</v>
      </c>
      <c r="KWF29" s="3" t="s">
        <v>169</v>
      </c>
      <c r="KWG29" s="3" t="s">
        <v>168</v>
      </c>
      <c r="KWH29" s="3" t="s">
        <v>169</v>
      </c>
      <c r="KWI29" s="3" t="s">
        <v>168</v>
      </c>
      <c r="KWJ29" s="3" t="s">
        <v>169</v>
      </c>
      <c r="KWK29" s="3" t="s">
        <v>168</v>
      </c>
      <c r="KWL29" s="3" t="s">
        <v>169</v>
      </c>
      <c r="KWM29" s="3" t="s">
        <v>168</v>
      </c>
      <c r="KWN29" s="3" t="s">
        <v>169</v>
      </c>
      <c r="KWO29" s="3" t="s">
        <v>168</v>
      </c>
      <c r="KWP29" s="3" t="s">
        <v>169</v>
      </c>
      <c r="KWQ29" s="3" t="s">
        <v>168</v>
      </c>
      <c r="KWR29" s="3" t="s">
        <v>169</v>
      </c>
      <c r="KWS29" s="3" t="s">
        <v>168</v>
      </c>
      <c r="KWT29" s="3" t="s">
        <v>169</v>
      </c>
      <c r="KWU29" s="3" t="s">
        <v>168</v>
      </c>
      <c r="KWV29" s="3" t="s">
        <v>169</v>
      </c>
      <c r="KWW29" s="3" t="s">
        <v>168</v>
      </c>
      <c r="KWX29" s="3" t="s">
        <v>169</v>
      </c>
      <c r="KWY29" s="3" t="s">
        <v>168</v>
      </c>
      <c r="KWZ29" s="3" t="s">
        <v>169</v>
      </c>
      <c r="KXA29" s="3" t="s">
        <v>168</v>
      </c>
      <c r="KXB29" s="3" t="s">
        <v>169</v>
      </c>
      <c r="KXC29" s="3" t="s">
        <v>168</v>
      </c>
      <c r="KXD29" s="3" t="s">
        <v>169</v>
      </c>
      <c r="KXE29" s="3" t="s">
        <v>168</v>
      </c>
      <c r="KXF29" s="3" t="s">
        <v>169</v>
      </c>
      <c r="KXG29" s="3" t="s">
        <v>168</v>
      </c>
      <c r="KXH29" s="3" t="s">
        <v>169</v>
      </c>
      <c r="KXI29" s="3" t="s">
        <v>168</v>
      </c>
      <c r="KXJ29" s="3" t="s">
        <v>169</v>
      </c>
      <c r="KXK29" s="3" t="s">
        <v>168</v>
      </c>
      <c r="KXL29" s="3" t="s">
        <v>169</v>
      </c>
      <c r="KXM29" s="3" t="s">
        <v>168</v>
      </c>
      <c r="KXN29" s="3" t="s">
        <v>169</v>
      </c>
      <c r="KXO29" s="3" t="s">
        <v>168</v>
      </c>
      <c r="KXP29" s="3" t="s">
        <v>169</v>
      </c>
      <c r="KXQ29" s="3" t="s">
        <v>168</v>
      </c>
      <c r="KXR29" s="3" t="s">
        <v>169</v>
      </c>
      <c r="KXS29" s="3" t="s">
        <v>168</v>
      </c>
      <c r="KXT29" s="3" t="s">
        <v>169</v>
      </c>
      <c r="KXU29" s="3" t="s">
        <v>168</v>
      </c>
      <c r="KXV29" s="3" t="s">
        <v>169</v>
      </c>
      <c r="KXW29" s="3" t="s">
        <v>168</v>
      </c>
      <c r="KXX29" s="3" t="s">
        <v>169</v>
      </c>
      <c r="KXY29" s="3" t="s">
        <v>168</v>
      </c>
      <c r="KXZ29" s="3" t="s">
        <v>169</v>
      </c>
      <c r="KYA29" s="3" t="s">
        <v>168</v>
      </c>
      <c r="KYB29" s="3" t="s">
        <v>169</v>
      </c>
      <c r="KYC29" s="3" t="s">
        <v>168</v>
      </c>
      <c r="KYD29" s="3" t="s">
        <v>169</v>
      </c>
      <c r="KYE29" s="3" t="s">
        <v>168</v>
      </c>
      <c r="KYF29" s="3" t="s">
        <v>169</v>
      </c>
      <c r="KYG29" s="3" t="s">
        <v>168</v>
      </c>
      <c r="KYH29" s="3" t="s">
        <v>169</v>
      </c>
      <c r="KYI29" s="3" t="s">
        <v>168</v>
      </c>
      <c r="KYJ29" s="3" t="s">
        <v>169</v>
      </c>
      <c r="KYK29" s="3" t="s">
        <v>168</v>
      </c>
      <c r="KYL29" s="3" t="s">
        <v>169</v>
      </c>
      <c r="KYM29" s="3" t="s">
        <v>168</v>
      </c>
      <c r="KYN29" s="3" t="s">
        <v>169</v>
      </c>
      <c r="KYO29" s="3" t="s">
        <v>168</v>
      </c>
      <c r="KYP29" s="3" t="s">
        <v>169</v>
      </c>
      <c r="KYQ29" s="3" t="s">
        <v>168</v>
      </c>
      <c r="KYR29" s="3" t="s">
        <v>169</v>
      </c>
      <c r="KYS29" s="3" t="s">
        <v>168</v>
      </c>
      <c r="KYT29" s="3" t="s">
        <v>169</v>
      </c>
      <c r="KYU29" s="3" t="s">
        <v>168</v>
      </c>
      <c r="KYV29" s="3" t="s">
        <v>169</v>
      </c>
      <c r="KYW29" s="3" t="s">
        <v>168</v>
      </c>
      <c r="KYX29" s="3" t="s">
        <v>169</v>
      </c>
      <c r="KYY29" s="3" t="s">
        <v>168</v>
      </c>
      <c r="KYZ29" s="3" t="s">
        <v>169</v>
      </c>
      <c r="KZA29" s="3" t="s">
        <v>168</v>
      </c>
      <c r="KZB29" s="3" t="s">
        <v>169</v>
      </c>
      <c r="KZC29" s="3" t="s">
        <v>168</v>
      </c>
      <c r="KZD29" s="3" t="s">
        <v>169</v>
      </c>
      <c r="KZE29" s="3" t="s">
        <v>168</v>
      </c>
      <c r="KZF29" s="3" t="s">
        <v>169</v>
      </c>
      <c r="KZG29" s="3" t="s">
        <v>168</v>
      </c>
      <c r="KZH29" s="3" t="s">
        <v>169</v>
      </c>
      <c r="KZI29" s="3" t="s">
        <v>168</v>
      </c>
      <c r="KZJ29" s="3" t="s">
        <v>169</v>
      </c>
      <c r="KZK29" s="3" t="s">
        <v>168</v>
      </c>
      <c r="KZL29" s="3" t="s">
        <v>169</v>
      </c>
      <c r="KZM29" s="3" t="s">
        <v>168</v>
      </c>
      <c r="KZN29" s="3" t="s">
        <v>169</v>
      </c>
      <c r="KZO29" s="3" t="s">
        <v>168</v>
      </c>
      <c r="KZP29" s="3" t="s">
        <v>169</v>
      </c>
      <c r="KZQ29" s="3" t="s">
        <v>168</v>
      </c>
      <c r="KZR29" s="3" t="s">
        <v>169</v>
      </c>
      <c r="KZS29" s="3" t="s">
        <v>168</v>
      </c>
      <c r="KZT29" s="3" t="s">
        <v>169</v>
      </c>
      <c r="KZU29" s="3" t="s">
        <v>168</v>
      </c>
      <c r="KZV29" s="3" t="s">
        <v>169</v>
      </c>
      <c r="KZW29" s="3" t="s">
        <v>168</v>
      </c>
      <c r="KZX29" s="3" t="s">
        <v>169</v>
      </c>
      <c r="KZY29" s="3" t="s">
        <v>168</v>
      </c>
      <c r="KZZ29" s="3" t="s">
        <v>169</v>
      </c>
      <c r="LAA29" s="3" t="s">
        <v>168</v>
      </c>
      <c r="LAB29" s="3" t="s">
        <v>169</v>
      </c>
      <c r="LAC29" s="3" t="s">
        <v>168</v>
      </c>
      <c r="LAD29" s="3" t="s">
        <v>169</v>
      </c>
      <c r="LAE29" s="3" t="s">
        <v>168</v>
      </c>
      <c r="LAF29" s="3" t="s">
        <v>169</v>
      </c>
      <c r="LAG29" s="3" t="s">
        <v>168</v>
      </c>
      <c r="LAH29" s="3" t="s">
        <v>169</v>
      </c>
      <c r="LAI29" s="3" t="s">
        <v>168</v>
      </c>
      <c r="LAJ29" s="3" t="s">
        <v>169</v>
      </c>
      <c r="LAK29" s="3" t="s">
        <v>168</v>
      </c>
      <c r="LAL29" s="3" t="s">
        <v>169</v>
      </c>
      <c r="LAM29" s="3" t="s">
        <v>168</v>
      </c>
      <c r="LAN29" s="3" t="s">
        <v>169</v>
      </c>
      <c r="LAO29" s="3" t="s">
        <v>168</v>
      </c>
      <c r="LAP29" s="3" t="s">
        <v>169</v>
      </c>
      <c r="LAQ29" s="3" t="s">
        <v>168</v>
      </c>
      <c r="LAR29" s="3" t="s">
        <v>169</v>
      </c>
      <c r="LAS29" s="3" t="s">
        <v>168</v>
      </c>
      <c r="LAT29" s="3" t="s">
        <v>169</v>
      </c>
      <c r="LAU29" s="3" t="s">
        <v>168</v>
      </c>
      <c r="LAV29" s="3" t="s">
        <v>169</v>
      </c>
      <c r="LAW29" s="3" t="s">
        <v>168</v>
      </c>
      <c r="LAX29" s="3" t="s">
        <v>169</v>
      </c>
      <c r="LAY29" s="3" t="s">
        <v>168</v>
      </c>
      <c r="LAZ29" s="3" t="s">
        <v>169</v>
      </c>
      <c r="LBA29" s="3" t="s">
        <v>168</v>
      </c>
      <c r="LBB29" s="3" t="s">
        <v>169</v>
      </c>
      <c r="LBC29" s="3" t="s">
        <v>168</v>
      </c>
      <c r="LBD29" s="3" t="s">
        <v>169</v>
      </c>
      <c r="LBE29" s="3" t="s">
        <v>168</v>
      </c>
      <c r="LBF29" s="3" t="s">
        <v>169</v>
      </c>
      <c r="LBG29" s="3" t="s">
        <v>168</v>
      </c>
      <c r="LBH29" s="3" t="s">
        <v>169</v>
      </c>
      <c r="LBI29" s="3" t="s">
        <v>168</v>
      </c>
      <c r="LBJ29" s="3" t="s">
        <v>169</v>
      </c>
      <c r="LBK29" s="3" t="s">
        <v>168</v>
      </c>
      <c r="LBL29" s="3" t="s">
        <v>169</v>
      </c>
      <c r="LBM29" s="3" t="s">
        <v>168</v>
      </c>
      <c r="LBN29" s="3" t="s">
        <v>169</v>
      </c>
      <c r="LBO29" s="3" t="s">
        <v>168</v>
      </c>
      <c r="LBP29" s="3" t="s">
        <v>169</v>
      </c>
      <c r="LBQ29" s="3" t="s">
        <v>168</v>
      </c>
      <c r="LBR29" s="3" t="s">
        <v>169</v>
      </c>
      <c r="LBS29" s="3" t="s">
        <v>168</v>
      </c>
      <c r="LBT29" s="3" t="s">
        <v>169</v>
      </c>
      <c r="LBU29" s="3" t="s">
        <v>168</v>
      </c>
      <c r="LBV29" s="3" t="s">
        <v>169</v>
      </c>
      <c r="LBW29" s="3" t="s">
        <v>168</v>
      </c>
      <c r="LBX29" s="3" t="s">
        <v>169</v>
      </c>
      <c r="LBY29" s="3" t="s">
        <v>168</v>
      </c>
      <c r="LBZ29" s="3" t="s">
        <v>169</v>
      </c>
      <c r="LCA29" s="3" t="s">
        <v>168</v>
      </c>
      <c r="LCB29" s="3" t="s">
        <v>169</v>
      </c>
      <c r="LCC29" s="3" t="s">
        <v>168</v>
      </c>
      <c r="LCD29" s="3" t="s">
        <v>169</v>
      </c>
      <c r="LCE29" s="3" t="s">
        <v>168</v>
      </c>
      <c r="LCF29" s="3" t="s">
        <v>169</v>
      </c>
      <c r="LCG29" s="3" t="s">
        <v>168</v>
      </c>
      <c r="LCH29" s="3" t="s">
        <v>169</v>
      </c>
      <c r="LCI29" s="3" t="s">
        <v>168</v>
      </c>
      <c r="LCJ29" s="3" t="s">
        <v>169</v>
      </c>
      <c r="LCK29" s="3" t="s">
        <v>168</v>
      </c>
      <c r="LCL29" s="3" t="s">
        <v>169</v>
      </c>
      <c r="LCM29" s="3" t="s">
        <v>168</v>
      </c>
      <c r="LCN29" s="3" t="s">
        <v>169</v>
      </c>
      <c r="LCO29" s="3" t="s">
        <v>168</v>
      </c>
      <c r="LCP29" s="3" t="s">
        <v>169</v>
      </c>
      <c r="LCQ29" s="3" t="s">
        <v>168</v>
      </c>
      <c r="LCR29" s="3" t="s">
        <v>169</v>
      </c>
      <c r="LCS29" s="3" t="s">
        <v>168</v>
      </c>
      <c r="LCT29" s="3" t="s">
        <v>169</v>
      </c>
      <c r="LCU29" s="3" t="s">
        <v>168</v>
      </c>
      <c r="LCV29" s="3" t="s">
        <v>169</v>
      </c>
      <c r="LCW29" s="3" t="s">
        <v>168</v>
      </c>
      <c r="LCX29" s="3" t="s">
        <v>169</v>
      </c>
      <c r="LCY29" s="3" t="s">
        <v>168</v>
      </c>
      <c r="LCZ29" s="3" t="s">
        <v>169</v>
      </c>
      <c r="LDA29" s="3" t="s">
        <v>168</v>
      </c>
      <c r="LDB29" s="3" t="s">
        <v>169</v>
      </c>
      <c r="LDC29" s="3" t="s">
        <v>168</v>
      </c>
      <c r="LDD29" s="3" t="s">
        <v>169</v>
      </c>
      <c r="LDE29" s="3" t="s">
        <v>168</v>
      </c>
      <c r="LDF29" s="3" t="s">
        <v>169</v>
      </c>
      <c r="LDG29" s="3" t="s">
        <v>168</v>
      </c>
      <c r="LDH29" s="3" t="s">
        <v>169</v>
      </c>
      <c r="LDI29" s="3" t="s">
        <v>168</v>
      </c>
      <c r="LDJ29" s="3" t="s">
        <v>169</v>
      </c>
      <c r="LDK29" s="3" t="s">
        <v>168</v>
      </c>
      <c r="LDL29" s="3" t="s">
        <v>169</v>
      </c>
      <c r="LDM29" s="3" t="s">
        <v>168</v>
      </c>
      <c r="LDN29" s="3" t="s">
        <v>169</v>
      </c>
      <c r="LDO29" s="3" t="s">
        <v>168</v>
      </c>
      <c r="LDP29" s="3" t="s">
        <v>169</v>
      </c>
      <c r="LDQ29" s="3" t="s">
        <v>168</v>
      </c>
      <c r="LDR29" s="3" t="s">
        <v>169</v>
      </c>
      <c r="LDS29" s="3" t="s">
        <v>168</v>
      </c>
      <c r="LDT29" s="3" t="s">
        <v>169</v>
      </c>
      <c r="LDU29" s="3" t="s">
        <v>168</v>
      </c>
      <c r="LDV29" s="3" t="s">
        <v>169</v>
      </c>
      <c r="LDW29" s="3" t="s">
        <v>168</v>
      </c>
      <c r="LDX29" s="3" t="s">
        <v>169</v>
      </c>
      <c r="LDY29" s="3" t="s">
        <v>168</v>
      </c>
      <c r="LDZ29" s="3" t="s">
        <v>169</v>
      </c>
      <c r="LEA29" s="3" t="s">
        <v>168</v>
      </c>
      <c r="LEB29" s="3" t="s">
        <v>169</v>
      </c>
      <c r="LEC29" s="3" t="s">
        <v>168</v>
      </c>
      <c r="LED29" s="3" t="s">
        <v>169</v>
      </c>
      <c r="LEE29" s="3" t="s">
        <v>168</v>
      </c>
      <c r="LEF29" s="3" t="s">
        <v>169</v>
      </c>
      <c r="LEG29" s="3" t="s">
        <v>168</v>
      </c>
      <c r="LEH29" s="3" t="s">
        <v>169</v>
      </c>
      <c r="LEI29" s="3" t="s">
        <v>168</v>
      </c>
      <c r="LEJ29" s="3" t="s">
        <v>169</v>
      </c>
      <c r="LEK29" s="3" t="s">
        <v>168</v>
      </c>
      <c r="LEL29" s="3" t="s">
        <v>169</v>
      </c>
      <c r="LEM29" s="3" t="s">
        <v>168</v>
      </c>
      <c r="LEN29" s="3" t="s">
        <v>169</v>
      </c>
      <c r="LEO29" s="3" t="s">
        <v>168</v>
      </c>
      <c r="LEP29" s="3" t="s">
        <v>169</v>
      </c>
      <c r="LEQ29" s="3" t="s">
        <v>168</v>
      </c>
      <c r="LER29" s="3" t="s">
        <v>169</v>
      </c>
      <c r="LES29" s="3" t="s">
        <v>168</v>
      </c>
      <c r="LET29" s="3" t="s">
        <v>169</v>
      </c>
      <c r="LEU29" s="3" t="s">
        <v>168</v>
      </c>
      <c r="LEV29" s="3" t="s">
        <v>169</v>
      </c>
      <c r="LEW29" s="3" t="s">
        <v>168</v>
      </c>
      <c r="LEX29" s="3" t="s">
        <v>169</v>
      </c>
      <c r="LEY29" s="3" t="s">
        <v>168</v>
      </c>
      <c r="LEZ29" s="3" t="s">
        <v>169</v>
      </c>
      <c r="LFA29" s="3" t="s">
        <v>168</v>
      </c>
      <c r="LFB29" s="3" t="s">
        <v>169</v>
      </c>
      <c r="LFC29" s="3" t="s">
        <v>168</v>
      </c>
      <c r="LFD29" s="3" t="s">
        <v>169</v>
      </c>
      <c r="LFE29" s="3" t="s">
        <v>168</v>
      </c>
      <c r="LFF29" s="3" t="s">
        <v>169</v>
      </c>
      <c r="LFG29" s="3" t="s">
        <v>168</v>
      </c>
      <c r="LFH29" s="3" t="s">
        <v>169</v>
      </c>
      <c r="LFI29" s="3" t="s">
        <v>168</v>
      </c>
      <c r="LFJ29" s="3" t="s">
        <v>169</v>
      </c>
      <c r="LFK29" s="3" t="s">
        <v>168</v>
      </c>
      <c r="LFL29" s="3" t="s">
        <v>169</v>
      </c>
      <c r="LFM29" s="3" t="s">
        <v>168</v>
      </c>
      <c r="LFN29" s="3" t="s">
        <v>169</v>
      </c>
      <c r="LFO29" s="3" t="s">
        <v>168</v>
      </c>
      <c r="LFP29" s="3" t="s">
        <v>169</v>
      </c>
      <c r="LFQ29" s="3" t="s">
        <v>168</v>
      </c>
      <c r="LFR29" s="3" t="s">
        <v>169</v>
      </c>
      <c r="LFS29" s="3" t="s">
        <v>168</v>
      </c>
      <c r="LFT29" s="3" t="s">
        <v>169</v>
      </c>
      <c r="LFU29" s="3" t="s">
        <v>168</v>
      </c>
      <c r="LFV29" s="3" t="s">
        <v>169</v>
      </c>
      <c r="LFW29" s="3" t="s">
        <v>168</v>
      </c>
      <c r="LFX29" s="3" t="s">
        <v>169</v>
      </c>
      <c r="LFY29" s="3" t="s">
        <v>168</v>
      </c>
      <c r="LFZ29" s="3" t="s">
        <v>169</v>
      </c>
      <c r="LGA29" s="3" t="s">
        <v>168</v>
      </c>
      <c r="LGB29" s="3" t="s">
        <v>169</v>
      </c>
      <c r="LGC29" s="3" t="s">
        <v>168</v>
      </c>
      <c r="LGD29" s="3" t="s">
        <v>169</v>
      </c>
      <c r="LGE29" s="3" t="s">
        <v>168</v>
      </c>
      <c r="LGF29" s="3" t="s">
        <v>169</v>
      </c>
      <c r="LGG29" s="3" t="s">
        <v>168</v>
      </c>
      <c r="LGH29" s="3" t="s">
        <v>169</v>
      </c>
      <c r="LGI29" s="3" t="s">
        <v>168</v>
      </c>
      <c r="LGJ29" s="3" t="s">
        <v>169</v>
      </c>
      <c r="LGK29" s="3" t="s">
        <v>168</v>
      </c>
      <c r="LGL29" s="3" t="s">
        <v>169</v>
      </c>
      <c r="LGM29" s="3" t="s">
        <v>168</v>
      </c>
      <c r="LGN29" s="3" t="s">
        <v>169</v>
      </c>
      <c r="LGO29" s="3" t="s">
        <v>168</v>
      </c>
      <c r="LGP29" s="3" t="s">
        <v>169</v>
      </c>
      <c r="LGQ29" s="3" t="s">
        <v>168</v>
      </c>
      <c r="LGR29" s="3" t="s">
        <v>169</v>
      </c>
      <c r="LGS29" s="3" t="s">
        <v>168</v>
      </c>
      <c r="LGT29" s="3" t="s">
        <v>169</v>
      </c>
      <c r="LGU29" s="3" t="s">
        <v>168</v>
      </c>
      <c r="LGV29" s="3" t="s">
        <v>169</v>
      </c>
      <c r="LGW29" s="3" t="s">
        <v>168</v>
      </c>
      <c r="LGX29" s="3" t="s">
        <v>169</v>
      </c>
      <c r="LGY29" s="3" t="s">
        <v>168</v>
      </c>
      <c r="LGZ29" s="3" t="s">
        <v>169</v>
      </c>
      <c r="LHA29" s="3" t="s">
        <v>168</v>
      </c>
      <c r="LHB29" s="3" t="s">
        <v>169</v>
      </c>
      <c r="LHC29" s="3" t="s">
        <v>168</v>
      </c>
      <c r="LHD29" s="3" t="s">
        <v>169</v>
      </c>
      <c r="LHE29" s="3" t="s">
        <v>168</v>
      </c>
      <c r="LHF29" s="3" t="s">
        <v>169</v>
      </c>
      <c r="LHG29" s="3" t="s">
        <v>168</v>
      </c>
      <c r="LHH29" s="3" t="s">
        <v>169</v>
      </c>
      <c r="LHI29" s="3" t="s">
        <v>168</v>
      </c>
      <c r="LHJ29" s="3" t="s">
        <v>169</v>
      </c>
      <c r="LHK29" s="3" t="s">
        <v>168</v>
      </c>
      <c r="LHL29" s="3" t="s">
        <v>169</v>
      </c>
      <c r="LHM29" s="3" t="s">
        <v>168</v>
      </c>
      <c r="LHN29" s="3" t="s">
        <v>169</v>
      </c>
      <c r="LHO29" s="3" t="s">
        <v>168</v>
      </c>
      <c r="LHP29" s="3" t="s">
        <v>169</v>
      </c>
      <c r="LHQ29" s="3" t="s">
        <v>168</v>
      </c>
      <c r="LHR29" s="3" t="s">
        <v>169</v>
      </c>
      <c r="LHS29" s="3" t="s">
        <v>168</v>
      </c>
      <c r="LHT29" s="3" t="s">
        <v>169</v>
      </c>
      <c r="LHU29" s="3" t="s">
        <v>168</v>
      </c>
      <c r="LHV29" s="3" t="s">
        <v>169</v>
      </c>
      <c r="LHW29" s="3" t="s">
        <v>168</v>
      </c>
      <c r="LHX29" s="3" t="s">
        <v>169</v>
      </c>
      <c r="LHY29" s="3" t="s">
        <v>168</v>
      </c>
      <c r="LHZ29" s="3" t="s">
        <v>169</v>
      </c>
      <c r="LIA29" s="3" t="s">
        <v>168</v>
      </c>
      <c r="LIB29" s="3" t="s">
        <v>169</v>
      </c>
      <c r="LIC29" s="3" t="s">
        <v>168</v>
      </c>
      <c r="LID29" s="3" t="s">
        <v>169</v>
      </c>
      <c r="LIE29" s="3" t="s">
        <v>168</v>
      </c>
      <c r="LIF29" s="3" t="s">
        <v>169</v>
      </c>
      <c r="LIG29" s="3" t="s">
        <v>168</v>
      </c>
      <c r="LIH29" s="3" t="s">
        <v>169</v>
      </c>
      <c r="LII29" s="3" t="s">
        <v>168</v>
      </c>
      <c r="LIJ29" s="3" t="s">
        <v>169</v>
      </c>
      <c r="LIK29" s="3" t="s">
        <v>168</v>
      </c>
      <c r="LIL29" s="3" t="s">
        <v>169</v>
      </c>
      <c r="LIM29" s="3" t="s">
        <v>168</v>
      </c>
      <c r="LIN29" s="3" t="s">
        <v>169</v>
      </c>
      <c r="LIO29" s="3" t="s">
        <v>168</v>
      </c>
      <c r="LIP29" s="3" t="s">
        <v>169</v>
      </c>
      <c r="LIQ29" s="3" t="s">
        <v>168</v>
      </c>
      <c r="LIR29" s="3" t="s">
        <v>169</v>
      </c>
      <c r="LIS29" s="3" t="s">
        <v>168</v>
      </c>
      <c r="LIT29" s="3" t="s">
        <v>169</v>
      </c>
      <c r="LIU29" s="3" t="s">
        <v>168</v>
      </c>
      <c r="LIV29" s="3" t="s">
        <v>169</v>
      </c>
      <c r="LIW29" s="3" t="s">
        <v>168</v>
      </c>
      <c r="LIX29" s="3" t="s">
        <v>169</v>
      </c>
      <c r="LIY29" s="3" t="s">
        <v>168</v>
      </c>
      <c r="LIZ29" s="3" t="s">
        <v>169</v>
      </c>
      <c r="LJA29" s="3" t="s">
        <v>168</v>
      </c>
      <c r="LJB29" s="3" t="s">
        <v>169</v>
      </c>
      <c r="LJC29" s="3" t="s">
        <v>168</v>
      </c>
      <c r="LJD29" s="3" t="s">
        <v>169</v>
      </c>
      <c r="LJE29" s="3" t="s">
        <v>168</v>
      </c>
      <c r="LJF29" s="3" t="s">
        <v>169</v>
      </c>
      <c r="LJG29" s="3" t="s">
        <v>168</v>
      </c>
      <c r="LJH29" s="3" t="s">
        <v>169</v>
      </c>
      <c r="LJI29" s="3" t="s">
        <v>168</v>
      </c>
      <c r="LJJ29" s="3" t="s">
        <v>169</v>
      </c>
      <c r="LJK29" s="3" t="s">
        <v>168</v>
      </c>
      <c r="LJL29" s="3" t="s">
        <v>169</v>
      </c>
      <c r="LJM29" s="3" t="s">
        <v>168</v>
      </c>
      <c r="LJN29" s="3" t="s">
        <v>169</v>
      </c>
      <c r="LJO29" s="3" t="s">
        <v>168</v>
      </c>
      <c r="LJP29" s="3" t="s">
        <v>169</v>
      </c>
      <c r="LJQ29" s="3" t="s">
        <v>168</v>
      </c>
      <c r="LJR29" s="3" t="s">
        <v>169</v>
      </c>
      <c r="LJS29" s="3" t="s">
        <v>168</v>
      </c>
      <c r="LJT29" s="3" t="s">
        <v>169</v>
      </c>
      <c r="LJU29" s="3" t="s">
        <v>168</v>
      </c>
      <c r="LJV29" s="3" t="s">
        <v>169</v>
      </c>
      <c r="LJW29" s="3" t="s">
        <v>168</v>
      </c>
      <c r="LJX29" s="3" t="s">
        <v>169</v>
      </c>
      <c r="LJY29" s="3" t="s">
        <v>168</v>
      </c>
      <c r="LJZ29" s="3" t="s">
        <v>169</v>
      </c>
      <c r="LKA29" s="3" t="s">
        <v>168</v>
      </c>
      <c r="LKB29" s="3" t="s">
        <v>169</v>
      </c>
      <c r="LKC29" s="3" t="s">
        <v>168</v>
      </c>
      <c r="LKD29" s="3" t="s">
        <v>169</v>
      </c>
      <c r="LKE29" s="3" t="s">
        <v>168</v>
      </c>
      <c r="LKF29" s="3" t="s">
        <v>169</v>
      </c>
      <c r="LKG29" s="3" t="s">
        <v>168</v>
      </c>
      <c r="LKH29" s="3" t="s">
        <v>169</v>
      </c>
      <c r="LKI29" s="3" t="s">
        <v>168</v>
      </c>
      <c r="LKJ29" s="3" t="s">
        <v>169</v>
      </c>
      <c r="LKK29" s="3" t="s">
        <v>168</v>
      </c>
      <c r="LKL29" s="3" t="s">
        <v>169</v>
      </c>
      <c r="LKM29" s="3" t="s">
        <v>168</v>
      </c>
      <c r="LKN29" s="3" t="s">
        <v>169</v>
      </c>
      <c r="LKO29" s="3" t="s">
        <v>168</v>
      </c>
      <c r="LKP29" s="3" t="s">
        <v>169</v>
      </c>
      <c r="LKQ29" s="3" t="s">
        <v>168</v>
      </c>
      <c r="LKR29" s="3" t="s">
        <v>169</v>
      </c>
      <c r="LKS29" s="3" t="s">
        <v>168</v>
      </c>
      <c r="LKT29" s="3" t="s">
        <v>169</v>
      </c>
      <c r="LKU29" s="3" t="s">
        <v>168</v>
      </c>
      <c r="LKV29" s="3" t="s">
        <v>169</v>
      </c>
      <c r="LKW29" s="3" t="s">
        <v>168</v>
      </c>
      <c r="LKX29" s="3" t="s">
        <v>169</v>
      </c>
      <c r="LKY29" s="3" t="s">
        <v>168</v>
      </c>
      <c r="LKZ29" s="3" t="s">
        <v>169</v>
      </c>
      <c r="LLA29" s="3" t="s">
        <v>168</v>
      </c>
      <c r="LLB29" s="3" t="s">
        <v>169</v>
      </c>
      <c r="LLC29" s="3" t="s">
        <v>168</v>
      </c>
      <c r="LLD29" s="3" t="s">
        <v>169</v>
      </c>
      <c r="LLE29" s="3" t="s">
        <v>168</v>
      </c>
      <c r="LLF29" s="3" t="s">
        <v>169</v>
      </c>
      <c r="LLG29" s="3" t="s">
        <v>168</v>
      </c>
      <c r="LLH29" s="3" t="s">
        <v>169</v>
      </c>
      <c r="LLI29" s="3" t="s">
        <v>168</v>
      </c>
      <c r="LLJ29" s="3" t="s">
        <v>169</v>
      </c>
      <c r="LLK29" s="3" t="s">
        <v>168</v>
      </c>
      <c r="LLL29" s="3" t="s">
        <v>169</v>
      </c>
      <c r="LLM29" s="3" t="s">
        <v>168</v>
      </c>
      <c r="LLN29" s="3" t="s">
        <v>169</v>
      </c>
      <c r="LLO29" s="3" t="s">
        <v>168</v>
      </c>
      <c r="LLP29" s="3" t="s">
        <v>169</v>
      </c>
      <c r="LLQ29" s="3" t="s">
        <v>168</v>
      </c>
      <c r="LLR29" s="3" t="s">
        <v>169</v>
      </c>
      <c r="LLS29" s="3" t="s">
        <v>168</v>
      </c>
      <c r="LLT29" s="3" t="s">
        <v>169</v>
      </c>
      <c r="LLU29" s="3" t="s">
        <v>168</v>
      </c>
      <c r="LLV29" s="3" t="s">
        <v>169</v>
      </c>
      <c r="LLW29" s="3" t="s">
        <v>168</v>
      </c>
      <c r="LLX29" s="3" t="s">
        <v>169</v>
      </c>
      <c r="LLY29" s="3" t="s">
        <v>168</v>
      </c>
      <c r="LLZ29" s="3" t="s">
        <v>169</v>
      </c>
      <c r="LMA29" s="3" t="s">
        <v>168</v>
      </c>
      <c r="LMB29" s="3" t="s">
        <v>169</v>
      </c>
      <c r="LMC29" s="3" t="s">
        <v>168</v>
      </c>
      <c r="LMD29" s="3" t="s">
        <v>169</v>
      </c>
      <c r="LME29" s="3" t="s">
        <v>168</v>
      </c>
      <c r="LMF29" s="3" t="s">
        <v>169</v>
      </c>
      <c r="LMG29" s="3" t="s">
        <v>168</v>
      </c>
      <c r="LMH29" s="3" t="s">
        <v>169</v>
      </c>
      <c r="LMI29" s="3" t="s">
        <v>168</v>
      </c>
      <c r="LMJ29" s="3" t="s">
        <v>169</v>
      </c>
      <c r="LMK29" s="3" t="s">
        <v>168</v>
      </c>
      <c r="LML29" s="3" t="s">
        <v>169</v>
      </c>
      <c r="LMM29" s="3" t="s">
        <v>168</v>
      </c>
      <c r="LMN29" s="3" t="s">
        <v>169</v>
      </c>
      <c r="LMO29" s="3" t="s">
        <v>168</v>
      </c>
      <c r="LMP29" s="3" t="s">
        <v>169</v>
      </c>
      <c r="LMQ29" s="3" t="s">
        <v>168</v>
      </c>
      <c r="LMR29" s="3" t="s">
        <v>169</v>
      </c>
      <c r="LMS29" s="3" t="s">
        <v>168</v>
      </c>
      <c r="LMT29" s="3" t="s">
        <v>169</v>
      </c>
      <c r="LMU29" s="3" t="s">
        <v>168</v>
      </c>
      <c r="LMV29" s="3" t="s">
        <v>169</v>
      </c>
      <c r="LMW29" s="3" t="s">
        <v>168</v>
      </c>
      <c r="LMX29" s="3" t="s">
        <v>169</v>
      </c>
      <c r="LMY29" s="3" t="s">
        <v>168</v>
      </c>
      <c r="LMZ29" s="3" t="s">
        <v>169</v>
      </c>
      <c r="LNA29" s="3" t="s">
        <v>168</v>
      </c>
      <c r="LNB29" s="3" t="s">
        <v>169</v>
      </c>
      <c r="LNC29" s="3" t="s">
        <v>168</v>
      </c>
      <c r="LND29" s="3" t="s">
        <v>169</v>
      </c>
      <c r="LNE29" s="3" t="s">
        <v>168</v>
      </c>
      <c r="LNF29" s="3" t="s">
        <v>169</v>
      </c>
      <c r="LNG29" s="3" t="s">
        <v>168</v>
      </c>
      <c r="LNH29" s="3" t="s">
        <v>169</v>
      </c>
      <c r="LNI29" s="3" t="s">
        <v>168</v>
      </c>
      <c r="LNJ29" s="3" t="s">
        <v>169</v>
      </c>
      <c r="LNK29" s="3" t="s">
        <v>168</v>
      </c>
      <c r="LNL29" s="3" t="s">
        <v>169</v>
      </c>
      <c r="LNM29" s="3" t="s">
        <v>168</v>
      </c>
      <c r="LNN29" s="3" t="s">
        <v>169</v>
      </c>
      <c r="LNO29" s="3" t="s">
        <v>168</v>
      </c>
      <c r="LNP29" s="3" t="s">
        <v>169</v>
      </c>
      <c r="LNQ29" s="3" t="s">
        <v>168</v>
      </c>
      <c r="LNR29" s="3" t="s">
        <v>169</v>
      </c>
      <c r="LNS29" s="3" t="s">
        <v>168</v>
      </c>
      <c r="LNT29" s="3" t="s">
        <v>169</v>
      </c>
      <c r="LNU29" s="3" t="s">
        <v>168</v>
      </c>
      <c r="LNV29" s="3" t="s">
        <v>169</v>
      </c>
      <c r="LNW29" s="3" t="s">
        <v>168</v>
      </c>
      <c r="LNX29" s="3" t="s">
        <v>169</v>
      </c>
      <c r="LNY29" s="3" t="s">
        <v>168</v>
      </c>
      <c r="LNZ29" s="3" t="s">
        <v>169</v>
      </c>
      <c r="LOA29" s="3" t="s">
        <v>168</v>
      </c>
      <c r="LOB29" s="3" t="s">
        <v>169</v>
      </c>
      <c r="LOC29" s="3" t="s">
        <v>168</v>
      </c>
      <c r="LOD29" s="3" t="s">
        <v>169</v>
      </c>
      <c r="LOE29" s="3" t="s">
        <v>168</v>
      </c>
      <c r="LOF29" s="3" t="s">
        <v>169</v>
      </c>
      <c r="LOG29" s="3" t="s">
        <v>168</v>
      </c>
      <c r="LOH29" s="3" t="s">
        <v>169</v>
      </c>
      <c r="LOI29" s="3" t="s">
        <v>168</v>
      </c>
      <c r="LOJ29" s="3" t="s">
        <v>169</v>
      </c>
      <c r="LOK29" s="3" t="s">
        <v>168</v>
      </c>
      <c r="LOL29" s="3" t="s">
        <v>169</v>
      </c>
      <c r="LOM29" s="3" t="s">
        <v>168</v>
      </c>
      <c r="LON29" s="3" t="s">
        <v>169</v>
      </c>
      <c r="LOO29" s="3" t="s">
        <v>168</v>
      </c>
      <c r="LOP29" s="3" t="s">
        <v>169</v>
      </c>
      <c r="LOQ29" s="3" t="s">
        <v>168</v>
      </c>
      <c r="LOR29" s="3" t="s">
        <v>169</v>
      </c>
      <c r="LOS29" s="3" t="s">
        <v>168</v>
      </c>
      <c r="LOT29" s="3" t="s">
        <v>169</v>
      </c>
      <c r="LOU29" s="3" t="s">
        <v>168</v>
      </c>
      <c r="LOV29" s="3" t="s">
        <v>169</v>
      </c>
      <c r="LOW29" s="3" t="s">
        <v>168</v>
      </c>
      <c r="LOX29" s="3" t="s">
        <v>169</v>
      </c>
      <c r="LOY29" s="3" t="s">
        <v>168</v>
      </c>
      <c r="LOZ29" s="3" t="s">
        <v>169</v>
      </c>
      <c r="LPA29" s="3" t="s">
        <v>168</v>
      </c>
      <c r="LPB29" s="3" t="s">
        <v>169</v>
      </c>
      <c r="LPC29" s="3" t="s">
        <v>168</v>
      </c>
      <c r="LPD29" s="3" t="s">
        <v>169</v>
      </c>
      <c r="LPE29" s="3" t="s">
        <v>168</v>
      </c>
      <c r="LPF29" s="3" t="s">
        <v>169</v>
      </c>
      <c r="LPG29" s="3" t="s">
        <v>168</v>
      </c>
      <c r="LPH29" s="3" t="s">
        <v>169</v>
      </c>
      <c r="LPI29" s="3" t="s">
        <v>168</v>
      </c>
      <c r="LPJ29" s="3" t="s">
        <v>169</v>
      </c>
      <c r="LPK29" s="3" t="s">
        <v>168</v>
      </c>
      <c r="LPL29" s="3" t="s">
        <v>169</v>
      </c>
      <c r="LPM29" s="3" t="s">
        <v>168</v>
      </c>
      <c r="LPN29" s="3" t="s">
        <v>169</v>
      </c>
      <c r="LPO29" s="3" t="s">
        <v>168</v>
      </c>
      <c r="LPP29" s="3" t="s">
        <v>169</v>
      </c>
      <c r="LPQ29" s="3" t="s">
        <v>168</v>
      </c>
      <c r="LPR29" s="3" t="s">
        <v>169</v>
      </c>
      <c r="LPS29" s="3" t="s">
        <v>168</v>
      </c>
      <c r="LPT29" s="3" t="s">
        <v>169</v>
      </c>
      <c r="LPU29" s="3" t="s">
        <v>168</v>
      </c>
      <c r="LPV29" s="3" t="s">
        <v>169</v>
      </c>
      <c r="LPW29" s="3" t="s">
        <v>168</v>
      </c>
      <c r="LPX29" s="3" t="s">
        <v>169</v>
      </c>
      <c r="LPY29" s="3" t="s">
        <v>168</v>
      </c>
      <c r="LPZ29" s="3" t="s">
        <v>169</v>
      </c>
      <c r="LQA29" s="3" t="s">
        <v>168</v>
      </c>
      <c r="LQB29" s="3" t="s">
        <v>169</v>
      </c>
      <c r="LQC29" s="3" t="s">
        <v>168</v>
      </c>
      <c r="LQD29" s="3" t="s">
        <v>169</v>
      </c>
      <c r="LQE29" s="3" t="s">
        <v>168</v>
      </c>
      <c r="LQF29" s="3" t="s">
        <v>169</v>
      </c>
      <c r="LQG29" s="3" t="s">
        <v>168</v>
      </c>
      <c r="LQH29" s="3" t="s">
        <v>169</v>
      </c>
      <c r="LQI29" s="3" t="s">
        <v>168</v>
      </c>
      <c r="LQJ29" s="3" t="s">
        <v>169</v>
      </c>
      <c r="LQK29" s="3" t="s">
        <v>168</v>
      </c>
      <c r="LQL29" s="3" t="s">
        <v>169</v>
      </c>
      <c r="LQM29" s="3" t="s">
        <v>168</v>
      </c>
      <c r="LQN29" s="3" t="s">
        <v>169</v>
      </c>
      <c r="LQO29" s="3" t="s">
        <v>168</v>
      </c>
      <c r="LQP29" s="3" t="s">
        <v>169</v>
      </c>
      <c r="LQQ29" s="3" t="s">
        <v>168</v>
      </c>
      <c r="LQR29" s="3" t="s">
        <v>169</v>
      </c>
      <c r="LQS29" s="3" t="s">
        <v>168</v>
      </c>
      <c r="LQT29" s="3" t="s">
        <v>169</v>
      </c>
      <c r="LQU29" s="3" t="s">
        <v>168</v>
      </c>
      <c r="LQV29" s="3" t="s">
        <v>169</v>
      </c>
      <c r="LQW29" s="3" t="s">
        <v>168</v>
      </c>
      <c r="LQX29" s="3" t="s">
        <v>169</v>
      </c>
      <c r="LQY29" s="3" t="s">
        <v>168</v>
      </c>
      <c r="LQZ29" s="3" t="s">
        <v>169</v>
      </c>
      <c r="LRA29" s="3" t="s">
        <v>168</v>
      </c>
      <c r="LRB29" s="3" t="s">
        <v>169</v>
      </c>
      <c r="LRC29" s="3" t="s">
        <v>168</v>
      </c>
      <c r="LRD29" s="3" t="s">
        <v>169</v>
      </c>
      <c r="LRE29" s="3" t="s">
        <v>168</v>
      </c>
      <c r="LRF29" s="3" t="s">
        <v>169</v>
      </c>
      <c r="LRG29" s="3" t="s">
        <v>168</v>
      </c>
      <c r="LRH29" s="3" t="s">
        <v>169</v>
      </c>
      <c r="LRI29" s="3" t="s">
        <v>168</v>
      </c>
      <c r="LRJ29" s="3" t="s">
        <v>169</v>
      </c>
      <c r="LRK29" s="3" t="s">
        <v>168</v>
      </c>
      <c r="LRL29" s="3" t="s">
        <v>169</v>
      </c>
      <c r="LRM29" s="3" t="s">
        <v>168</v>
      </c>
      <c r="LRN29" s="3" t="s">
        <v>169</v>
      </c>
      <c r="LRO29" s="3" t="s">
        <v>168</v>
      </c>
      <c r="LRP29" s="3" t="s">
        <v>169</v>
      </c>
      <c r="LRQ29" s="3" t="s">
        <v>168</v>
      </c>
      <c r="LRR29" s="3" t="s">
        <v>169</v>
      </c>
      <c r="LRS29" s="3" t="s">
        <v>168</v>
      </c>
      <c r="LRT29" s="3" t="s">
        <v>169</v>
      </c>
      <c r="LRU29" s="3" t="s">
        <v>168</v>
      </c>
      <c r="LRV29" s="3" t="s">
        <v>169</v>
      </c>
      <c r="LRW29" s="3" t="s">
        <v>168</v>
      </c>
      <c r="LRX29" s="3" t="s">
        <v>169</v>
      </c>
      <c r="LRY29" s="3" t="s">
        <v>168</v>
      </c>
      <c r="LRZ29" s="3" t="s">
        <v>169</v>
      </c>
      <c r="LSA29" s="3" t="s">
        <v>168</v>
      </c>
      <c r="LSB29" s="3" t="s">
        <v>169</v>
      </c>
      <c r="LSC29" s="3" t="s">
        <v>168</v>
      </c>
      <c r="LSD29" s="3" t="s">
        <v>169</v>
      </c>
      <c r="LSE29" s="3" t="s">
        <v>168</v>
      </c>
      <c r="LSF29" s="3" t="s">
        <v>169</v>
      </c>
      <c r="LSG29" s="3" t="s">
        <v>168</v>
      </c>
      <c r="LSH29" s="3" t="s">
        <v>169</v>
      </c>
      <c r="LSI29" s="3" t="s">
        <v>168</v>
      </c>
      <c r="LSJ29" s="3" t="s">
        <v>169</v>
      </c>
      <c r="LSK29" s="3" t="s">
        <v>168</v>
      </c>
      <c r="LSL29" s="3" t="s">
        <v>169</v>
      </c>
      <c r="LSM29" s="3" t="s">
        <v>168</v>
      </c>
      <c r="LSN29" s="3" t="s">
        <v>169</v>
      </c>
      <c r="LSO29" s="3" t="s">
        <v>168</v>
      </c>
      <c r="LSP29" s="3" t="s">
        <v>169</v>
      </c>
      <c r="LSQ29" s="3" t="s">
        <v>168</v>
      </c>
      <c r="LSR29" s="3" t="s">
        <v>169</v>
      </c>
      <c r="LSS29" s="3" t="s">
        <v>168</v>
      </c>
      <c r="LST29" s="3" t="s">
        <v>169</v>
      </c>
      <c r="LSU29" s="3" t="s">
        <v>168</v>
      </c>
      <c r="LSV29" s="3" t="s">
        <v>169</v>
      </c>
      <c r="LSW29" s="3" t="s">
        <v>168</v>
      </c>
      <c r="LSX29" s="3" t="s">
        <v>169</v>
      </c>
      <c r="LSY29" s="3" t="s">
        <v>168</v>
      </c>
      <c r="LSZ29" s="3" t="s">
        <v>169</v>
      </c>
      <c r="LTA29" s="3" t="s">
        <v>168</v>
      </c>
      <c r="LTB29" s="3" t="s">
        <v>169</v>
      </c>
      <c r="LTC29" s="3" t="s">
        <v>168</v>
      </c>
      <c r="LTD29" s="3" t="s">
        <v>169</v>
      </c>
      <c r="LTE29" s="3" t="s">
        <v>168</v>
      </c>
      <c r="LTF29" s="3" t="s">
        <v>169</v>
      </c>
      <c r="LTG29" s="3" t="s">
        <v>168</v>
      </c>
      <c r="LTH29" s="3" t="s">
        <v>169</v>
      </c>
      <c r="LTI29" s="3" t="s">
        <v>168</v>
      </c>
      <c r="LTJ29" s="3" t="s">
        <v>169</v>
      </c>
      <c r="LTK29" s="3" t="s">
        <v>168</v>
      </c>
      <c r="LTL29" s="3" t="s">
        <v>169</v>
      </c>
      <c r="LTM29" s="3" t="s">
        <v>168</v>
      </c>
      <c r="LTN29" s="3" t="s">
        <v>169</v>
      </c>
      <c r="LTO29" s="3" t="s">
        <v>168</v>
      </c>
      <c r="LTP29" s="3" t="s">
        <v>169</v>
      </c>
      <c r="LTQ29" s="3" t="s">
        <v>168</v>
      </c>
      <c r="LTR29" s="3" t="s">
        <v>169</v>
      </c>
      <c r="LTS29" s="3" t="s">
        <v>168</v>
      </c>
      <c r="LTT29" s="3" t="s">
        <v>169</v>
      </c>
      <c r="LTU29" s="3" t="s">
        <v>168</v>
      </c>
      <c r="LTV29" s="3" t="s">
        <v>169</v>
      </c>
      <c r="LTW29" s="3" t="s">
        <v>168</v>
      </c>
      <c r="LTX29" s="3" t="s">
        <v>169</v>
      </c>
      <c r="LTY29" s="3" t="s">
        <v>168</v>
      </c>
      <c r="LTZ29" s="3" t="s">
        <v>169</v>
      </c>
      <c r="LUA29" s="3" t="s">
        <v>168</v>
      </c>
      <c r="LUB29" s="3" t="s">
        <v>169</v>
      </c>
      <c r="LUC29" s="3" t="s">
        <v>168</v>
      </c>
      <c r="LUD29" s="3" t="s">
        <v>169</v>
      </c>
      <c r="LUE29" s="3" t="s">
        <v>168</v>
      </c>
      <c r="LUF29" s="3" t="s">
        <v>169</v>
      </c>
      <c r="LUG29" s="3" t="s">
        <v>168</v>
      </c>
      <c r="LUH29" s="3" t="s">
        <v>169</v>
      </c>
      <c r="LUI29" s="3" t="s">
        <v>168</v>
      </c>
      <c r="LUJ29" s="3" t="s">
        <v>169</v>
      </c>
      <c r="LUK29" s="3" t="s">
        <v>168</v>
      </c>
      <c r="LUL29" s="3" t="s">
        <v>169</v>
      </c>
      <c r="LUM29" s="3" t="s">
        <v>168</v>
      </c>
      <c r="LUN29" s="3" t="s">
        <v>169</v>
      </c>
      <c r="LUO29" s="3" t="s">
        <v>168</v>
      </c>
      <c r="LUP29" s="3" t="s">
        <v>169</v>
      </c>
      <c r="LUQ29" s="3" t="s">
        <v>168</v>
      </c>
      <c r="LUR29" s="3" t="s">
        <v>169</v>
      </c>
      <c r="LUS29" s="3" t="s">
        <v>168</v>
      </c>
      <c r="LUT29" s="3" t="s">
        <v>169</v>
      </c>
      <c r="LUU29" s="3" t="s">
        <v>168</v>
      </c>
      <c r="LUV29" s="3" t="s">
        <v>169</v>
      </c>
      <c r="LUW29" s="3" t="s">
        <v>168</v>
      </c>
      <c r="LUX29" s="3" t="s">
        <v>169</v>
      </c>
      <c r="LUY29" s="3" t="s">
        <v>168</v>
      </c>
      <c r="LUZ29" s="3" t="s">
        <v>169</v>
      </c>
      <c r="LVA29" s="3" t="s">
        <v>168</v>
      </c>
      <c r="LVB29" s="3" t="s">
        <v>169</v>
      </c>
      <c r="LVC29" s="3" t="s">
        <v>168</v>
      </c>
      <c r="LVD29" s="3" t="s">
        <v>169</v>
      </c>
      <c r="LVE29" s="3" t="s">
        <v>168</v>
      </c>
      <c r="LVF29" s="3" t="s">
        <v>169</v>
      </c>
      <c r="LVG29" s="3" t="s">
        <v>168</v>
      </c>
      <c r="LVH29" s="3" t="s">
        <v>169</v>
      </c>
      <c r="LVI29" s="3" t="s">
        <v>168</v>
      </c>
      <c r="LVJ29" s="3" t="s">
        <v>169</v>
      </c>
      <c r="LVK29" s="3" t="s">
        <v>168</v>
      </c>
      <c r="LVL29" s="3" t="s">
        <v>169</v>
      </c>
      <c r="LVM29" s="3" t="s">
        <v>168</v>
      </c>
      <c r="LVN29" s="3" t="s">
        <v>169</v>
      </c>
      <c r="LVO29" s="3" t="s">
        <v>168</v>
      </c>
      <c r="LVP29" s="3" t="s">
        <v>169</v>
      </c>
      <c r="LVQ29" s="3" t="s">
        <v>168</v>
      </c>
      <c r="LVR29" s="3" t="s">
        <v>169</v>
      </c>
      <c r="LVS29" s="3" t="s">
        <v>168</v>
      </c>
      <c r="LVT29" s="3" t="s">
        <v>169</v>
      </c>
      <c r="LVU29" s="3" t="s">
        <v>168</v>
      </c>
      <c r="LVV29" s="3" t="s">
        <v>169</v>
      </c>
      <c r="LVW29" s="3" t="s">
        <v>168</v>
      </c>
      <c r="LVX29" s="3" t="s">
        <v>169</v>
      </c>
      <c r="LVY29" s="3" t="s">
        <v>168</v>
      </c>
      <c r="LVZ29" s="3" t="s">
        <v>169</v>
      </c>
      <c r="LWA29" s="3" t="s">
        <v>168</v>
      </c>
      <c r="LWB29" s="3" t="s">
        <v>169</v>
      </c>
      <c r="LWC29" s="3" t="s">
        <v>168</v>
      </c>
      <c r="LWD29" s="3" t="s">
        <v>169</v>
      </c>
      <c r="LWE29" s="3" t="s">
        <v>168</v>
      </c>
      <c r="LWF29" s="3" t="s">
        <v>169</v>
      </c>
      <c r="LWG29" s="3" t="s">
        <v>168</v>
      </c>
      <c r="LWH29" s="3" t="s">
        <v>169</v>
      </c>
      <c r="LWI29" s="3" t="s">
        <v>168</v>
      </c>
      <c r="LWJ29" s="3" t="s">
        <v>169</v>
      </c>
      <c r="LWK29" s="3" t="s">
        <v>168</v>
      </c>
      <c r="LWL29" s="3" t="s">
        <v>169</v>
      </c>
      <c r="LWM29" s="3" t="s">
        <v>168</v>
      </c>
      <c r="LWN29" s="3" t="s">
        <v>169</v>
      </c>
      <c r="LWO29" s="3" t="s">
        <v>168</v>
      </c>
      <c r="LWP29" s="3" t="s">
        <v>169</v>
      </c>
      <c r="LWQ29" s="3" t="s">
        <v>168</v>
      </c>
      <c r="LWR29" s="3" t="s">
        <v>169</v>
      </c>
      <c r="LWS29" s="3" t="s">
        <v>168</v>
      </c>
      <c r="LWT29" s="3" t="s">
        <v>169</v>
      </c>
      <c r="LWU29" s="3" t="s">
        <v>168</v>
      </c>
      <c r="LWV29" s="3" t="s">
        <v>169</v>
      </c>
      <c r="LWW29" s="3" t="s">
        <v>168</v>
      </c>
      <c r="LWX29" s="3" t="s">
        <v>169</v>
      </c>
      <c r="LWY29" s="3" t="s">
        <v>168</v>
      </c>
      <c r="LWZ29" s="3" t="s">
        <v>169</v>
      </c>
      <c r="LXA29" s="3" t="s">
        <v>168</v>
      </c>
      <c r="LXB29" s="3" t="s">
        <v>169</v>
      </c>
      <c r="LXC29" s="3" t="s">
        <v>168</v>
      </c>
      <c r="LXD29" s="3" t="s">
        <v>169</v>
      </c>
      <c r="LXE29" s="3" t="s">
        <v>168</v>
      </c>
      <c r="LXF29" s="3" t="s">
        <v>169</v>
      </c>
      <c r="LXG29" s="3" t="s">
        <v>168</v>
      </c>
      <c r="LXH29" s="3" t="s">
        <v>169</v>
      </c>
      <c r="LXI29" s="3" t="s">
        <v>168</v>
      </c>
      <c r="LXJ29" s="3" t="s">
        <v>169</v>
      </c>
      <c r="LXK29" s="3" t="s">
        <v>168</v>
      </c>
      <c r="LXL29" s="3" t="s">
        <v>169</v>
      </c>
      <c r="LXM29" s="3" t="s">
        <v>168</v>
      </c>
      <c r="LXN29" s="3" t="s">
        <v>169</v>
      </c>
      <c r="LXO29" s="3" t="s">
        <v>168</v>
      </c>
      <c r="LXP29" s="3" t="s">
        <v>169</v>
      </c>
      <c r="LXQ29" s="3" t="s">
        <v>168</v>
      </c>
      <c r="LXR29" s="3" t="s">
        <v>169</v>
      </c>
      <c r="LXS29" s="3" t="s">
        <v>168</v>
      </c>
      <c r="LXT29" s="3" t="s">
        <v>169</v>
      </c>
      <c r="LXU29" s="3" t="s">
        <v>168</v>
      </c>
      <c r="LXV29" s="3" t="s">
        <v>169</v>
      </c>
      <c r="LXW29" s="3" t="s">
        <v>168</v>
      </c>
      <c r="LXX29" s="3" t="s">
        <v>169</v>
      </c>
      <c r="LXY29" s="3" t="s">
        <v>168</v>
      </c>
      <c r="LXZ29" s="3" t="s">
        <v>169</v>
      </c>
      <c r="LYA29" s="3" t="s">
        <v>168</v>
      </c>
      <c r="LYB29" s="3" t="s">
        <v>169</v>
      </c>
      <c r="LYC29" s="3" t="s">
        <v>168</v>
      </c>
      <c r="LYD29" s="3" t="s">
        <v>169</v>
      </c>
      <c r="LYE29" s="3" t="s">
        <v>168</v>
      </c>
      <c r="LYF29" s="3" t="s">
        <v>169</v>
      </c>
      <c r="LYG29" s="3" t="s">
        <v>168</v>
      </c>
      <c r="LYH29" s="3" t="s">
        <v>169</v>
      </c>
      <c r="LYI29" s="3" t="s">
        <v>168</v>
      </c>
      <c r="LYJ29" s="3" t="s">
        <v>169</v>
      </c>
      <c r="LYK29" s="3" t="s">
        <v>168</v>
      </c>
      <c r="LYL29" s="3" t="s">
        <v>169</v>
      </c>
      <c r="LYM29" s="3" t="s">
        <v>168</v>
      </c>
      <c r="LYN29" s="3" t="s">
        <v>169</v>
      </c>
      <c r="LYO29" s="3" t="s">
        <v>168</v>
      </c>
      <c r="LYP29" s="3" t="s">
        <v>169</v>
      </c>
      <c r="LYQ29" s="3" t="s">
        <v>168</v>
      </c>
      <c r="LYR29" s="3" t="s">
        <v>169</v>
      </c>
      <c r="LYS29" s="3" t="s">
        <v>168</v>
      </c>
      <c r="LYT29" s="3" t="s">
        <v>169</v>
      </c>
      <c r="LYU29" s="3" t="s">
        <v>168</v>
      </c>
      <c r="LYV29" s="3" t="s">
        <v>169</v>
      </c>
      <c r="LYW29" s="3" t="s">
        <v>168</v>
      </c>
      <c r="LYX29" s="3" t="s">
        <v>169</v>
      </c>
      <c r="LYY29" s="3" t="s">
        <v>168</v>
      </c>
      <c r="LYZ29" s="3" t="s">
        <v>169</v>
      </c>
      <c r="LZA29" s="3" t="s">
        <v>168</v>
      </c>
      <c r="LZB29" s="3" t="s">
        <v>169</v>
      </c>
      <c r="LZC29" s="3" t="s">
        <v>168</v>
      </c>
      <c r="LZD29" s="3" t="s">
        <v>169</v>
      </c>
      <c r="LZE29" s="3" t="s">
        <v>168</v>
      </c>
      <c r="LZF29" s="3" t="s">
        <v>169</v>
      </c>
      <c r="LZG29" s="3" t="s">
        <v>168</v>
      </c>
      <c r="LZH29" s="3" t="s">
        <v>169</v>
      </c>
      <c r="LZI29" s="3" t="s">
        <v>168</v>
      </c>
      <c r="LZJ29" s="3" t="s">
        <v>169</v>
      </c>
      <c r="LZK29" s="3" t="s">
        <v>168</v>
      </c>
      <c r="LZL29" s="3" t="s">
        <v>169</v>
      </c>
      <c r="LZM29" s="3" t="s">
        <v>168</v>
      </c>
      <c r="LZN29" s="3" t="s">
        <v>169</v>
      </c>
      <c r="LZO29" s="3" t="s">
        <v>168</v>
      </c>
      <c r="LZP29" s="3" t="s">
        <v>169</v>
      </c>
      <c r="LZQ29" s="3" t="s">
        <v>168</v>
      </c>
      <c r="LZR29" s="3" t="s">
        <v>169</v>
      </c>
      <c r="LZS29" s="3" t="s">
        <v>168</v>
      </c>
      <c r="LZT29" s="3" t="s">
        <v>169</v>
      </c>
      <c r="LZU29" s="3" t="s">
        <v>168</v>
      </c>
      <c r="LZV29" s="3" t="s">
        <v>169</v>
      </c>
      <c r="LZW29" s="3" t="s">
        <v>168</v>
      </c>
      <c r="LZX29" s="3" t="s">
        <v>169</v>
      </c>
      <c r="LZY29" s="3" t="s">
        <v>168</v>
      </c>
      <c r="LZZ29" s="3" t="s">
        <v>169</v>
      </c>
      <c r="MAA29" s="3" t="s">
        <v>168</v>
      </c>
      <c r="MAB29" s="3" t="s">
        <v>169</v>
      </c>
      <c r="MAC29" s="3" t="s">
        <v>168</v>
      </c>
      <c r="MAD29" s="3" t="s">
        <v>169</v>
      </c>
      <c r="MAE29" s="3" t="s">
        <v>168</v>
      </c>
      <c r="MAF29" s="3" t="s">
        <v>169</v>
      </c>
      <c r="MAG29" s="3" t="s">
        <v>168</v>
      </c>
      <c r="MAH29" s="3" t="s">
        <v>169</v>
      </c>
      <c r="MAI29" s="3" t="s">
        <v>168</v>
      </c>
      <c r="MAJ29" s="3" t="s">
        <v>169</v>
      </c>
      <c r="MAK29" s="3" t="s">
        <v>168</v>
      </c>
      <c r="MAL29" s="3" t="s">
        <v>169</v>
      </c>
      <c r="MAM29" s="3" t="s">
        <v>168</v>
      </c>
      <c r="MAN29" s="3" t="s">
        <v>169</v>
      </c>
      <c r="MAO29" s="3" t="s">
        <v>168</v>
      </c>
      <c r="MAP29" s="3" t="s">
        <v>169</v>
      </c>
      <c r="MAQ29" s="3" t="s">
        <v>168</v>
      </c>
      <c r="MAR29" s="3" t="s">
        <v>169</v>
      </c>
      <c r="MAS29" s="3" t="s">
        <v>168</v>
      </c>
      <c r="MAT29" s="3" t="s">
        <v>169</v>
      </c>
      <c r="MAU29" s="3" t="s">
        <v>168</v>
      </c>
      <c r="MAV29" s="3" t="s">
        <v>169</v>
      </c>
      <c r="MAW29" s="3" t="s">
        <v>168</v>
      </c>
      <c r="MAX29" s="3" t="s">
        <v>169</v>
      </c>
      <c r="MAY29" s="3" t="s">
        <v>168</v>
      </c>
      <c r="MAZ29" s="3" t="s">
        <v>169</v>
      </c>
      <c r="MBA29" s="3" t="s">
        <v>168</v>
      </c>
      <c r="MBB29" s="3" t="s">
        <v>169</v>
      </c>
      <c r="MBC29" s="3" t="s">
        <v>168</v>
      </c>
      <c r="MBD29" s="3" t="s">
        <v>169</v>
      </c>
      <c r="MBE29" s="3" t="s">
        <v>168</v>
      </c>
      <c r="MBF29" s="3" t="s">
        <v>169</v>
      </c>
      <c r="MBG29" s="3" t="s">
        <v>168</v>
      </c>
      <c r="MBH29" s="3" t="s">
        <v>169</v>
      </c>
      <c r="MBI29" s="3" t="s">
        <v>168</v>
      </c>
      <c r="MBJ29" s="3" t="s">
        <v>169</v>
      </c>
      <c r="MBK29" s="3" t="s">
        <v>168</v>
      </c>
      <c r="MBL29" s="3" t="s">
        <v>169</v>
      </c>
      <c r="MBM29" s="3" t="s">
        <v>168</v>
      </c>
      <c r="MBN29" s="3" t="s">
        <v>169</v>
      </c>
      <c r="MBO29" s="3" t="s">
        <v>168</v>
      </c>
      <c r="MBP29" s="3" t="s">
        <v>169</v>
      </c>
      <c r="MBQ29" s="3" t="s">
        <v>168</v>
      </c>
      <c r="MBR29" s="3" t="s">
        <v>169</v>
      </c>
      <c r="MBS29" s="3" t="s">
        <v>168</v>
      </c>
      <c r="MBT29" s="3" t="s">
        <v>169</v>
      </c>
      <c r="MBU29" s="3" t="s">
        <v>168</v>
      </c>
      <c r="MBV29" s="3" t="s">
        <v>169</v>
      </c>
      <c r="MBW29" s="3" t="s">
        <v>168</v>
      </c>
      <c r="MBX29" s="3" t="s">
        <v>169</v>
      </c>
      <c r="MBY29" s="3" t="s">
        <v>168</v>
      </c>
      <c r="MBZ29" s="3" t="s">
        <v>169</v>
      </c>
      <c r="MCA29" s="3" t="s">
        <v>168</v>
      </c>
      <c r="MCB29" s="3" t="s">
        <v>169</v>
      </c>
      <c r="MCC29" s="3" t="s">
        <v>168</v>
      </c>
      <c r="MCD29" s="3" t="s">
        <v>169</v>
      </c>
      <c r="MCE29" s="3" t="s">
        <v>168</v>
      </c>
      <c r="MCF29" s="3" t="s">
        <v>169</v>
      </c>
      <c r="MCG29" s="3" t="s">
        <v>168</v>
      </c>
      <c r="MCH29" s="3" t="s">
        <v>169</v>
      </c>
      <c r="MCI29" s="3" t="s">
        <v>168</v>
      </c>
      <c r="MCJ29" s="3" t="s">
        <v>169</v>
      </c>
      <c r="MCK29" s="3" t="s">
        <v>168</v>
      </c>
      <c r="MCL29" s="3" t="s">
        <v>169</v>
      </c>
      <c r="MCM29" s="3" t="s">
        <v>168</v>
      </c>
      <c r="MCN29" s="3" t="s">
        <v>169</v>
      </c>
      <c r="MCO29" s="3" t="s">
        <v>168</v>
      </c>
      <c r="MCP29" s="3" t="s">
        <v>169</v>
      </c>
      <c r="MCQ29" s="3" t="s">
        <v>168</v>
      </c>
      <c r="MCR29" s="3" t="s">
        <v>169</v>
      </c>
      <c r="MCS29" s="3" t="s">
        <v>168</v>
      </c>
      <c r="MCT29" s="3" t="s">
        <v>169</v>
      </c>
      <c r="MCU29" s="3" t="s">
        <v>168</v>
      </c>
      <c r="MCV29" s="3" t="s">
        <v>169</v>
      </c>
      <c r="MCW29" s="3" t="s">
        <v>168</v>
      </c>
      <c r="MCX29" s="3" t="s">
        <v>169</v>
      </c>
      <c r="MCY29" s="3" t="s">
        <v>168</v>
      </c>
      <c r="MCZ29" s="3" t="s">
        <v>169</v>
      </c>
      <c r="MDA29" s="3" t="s">
        <v>168</v>
      </c>
      <c r="MDB29" s="3" t="s">
        <v>169</v>
      </c>
      <c r="MDC29" s="3" t="s">
        <v>168</v>
      </c>
      <c r="MDD29" s="3" t="s">
        <v>169</v>
      </c>
      <c r="MDE29" s="3" t="s">
        <v>168</v>
      </c>
      <c r="MDF29" s="3" t="s">
        <v>169</v>
      </c>
      <c r="MDG29" s="3" t="s">
        <v>168</v>
      </c>
      <c r="MDH29" s="3" t="s">
        <v>169</v>
      </c>
      <c r="MDI29" s="3" t="s">
        <v>168</v>
      </c>
      <c r="MDJ29" s="3" t="s">
        <v>169</v>
      </c>
      <c r="MDK29" s="3" t="s">
        <v>168</v>
      </c>
      <c r="MDL29" s="3" t="s">
        <v>169</v>
      </c>
      <c r="MDM29" s="3" t="s">
        <v>168</v>
      </c>
      <c r="MDN29" s="3" t="s">
        <v>169</v>
      </c>
      <c r="MDO29" s="3" t="s">
        <v>168</v>
      </c>
      <c r="MDP29" s="3" t="s">
        <v>169</v>
      </c>
      <c r="MDQ29" s="3" t="s">
        <v>168</v>
      </c>
      <c r="MDR29" s="3" t="s">
        <v>169</v>
      </c>
      <c r="MDS29" s="3" t="s">
        <v>168</v>
      </c>
      <c r="MDT29" s="3" t="s">
        <v>169</v>
      </c>
      <c r="MDU29" s="3" t="s">
        <v>168</v>
      </c>
      <c r="MDV29" s="3" t="s">
        <v>169</v>
      </c>
      <c r="MDW29" s="3" t="s">
        <v>168</v>
      </c>
      <c r="MDX29" s="3" t="s">
        <v>169</v>
      </c>
      <c r="MDY29" s="3" t="s">
        <v>168</v>
      </c>
      <c r="MDZ29" s="3" t="s">
        <v>169</v>
      </c>
      <c r="MEA29" s="3" t="s">
        <v>168</v>
      </c>
      <c r="MEB29" s="3" t="s">
        <v>169</v>
      </c>
      <c r="MEC29" s="3" t="s">
        <v>168</v>
      </c>
      <c r="MED29" s="3" t="s">
        <v>169</v>
      </c>
      <c r="MEE29" s="3" t="s">
        <v>168</v>
      </c>
      <c r="MEF29" s="3" t="s">
        <v>169</v>
      </c>
      <c r="MEG29" s="3" t="s">
        <v>168</v>
      </c>
      <c r="MEH29" s="3" t="s">
        <v>169</v>
      </c>
      <c r="MEI29" s="3" t="s">
        <v>168</v>
      </c>
      <c r="MEJ29" s="3" t="s">
        <v>169</v>
      </c>
      <c r="MEK29" s="3" t="s">
        <v>168</v>
      </c>
      <c r="MEL29" s="3" t="s">
        <v>169</v>
      </c>
      <c r="MEM29" s="3" t="s">
        <v>168</v>
      </c>
      <c r="MEN29" s="3" t="s">
        <v>169</v>
      </c>
      <c r="MEO29" s="3" t="s">
        <v>168</v>
      </c>
      <c r="MEP29" s="3" t="s">
        <v>169</v>
      </c>
      <c r="MEQ29" s="3" t="s">
        <v>168</v>
      </c>
      <c r="MER29" s="3" t="s">
        <v>169</v>
      </c>
      <c r="MES29" s="3" t="s">
        <v>168</v>
      </c>
      <c r="MET29" s="3" t="s">
        <v>169</v>
      </c>
      <c r="MEU29" s="3" t="s">
        <v>168</v>
      </c>
      <c r="MEV29" s="3" t="s">
        <v>169</v>
      </c>
      <c r="MEW29" s="3" t="s">
        <v>168</v>
      </c>
      <c r="MEX29" s="3" t="s">
        <v>169</v>
      </c>
      <c r="MEY29" s="3" t="s">
        <v>168</v>
      </c>
      <c r="MEZ29" s="3" t="s">
        <v>169</v>
      </c>
      <c r="MFA29" s="3" t="s">
        <v>168</v>
      </c>
      <c r="MFB29" s="3" t="s">
        <v>169</v>
      </c>
      <c r="MFC29" s="3" t="s">
        <v>168</v>
      </c>
      <c r="MFD29" s="3" t="s">
        <v>169</v>
      </c>
      <c r="MFE29" s="3" t="s">
        <v>168</v>
      </c>
      <c r="MFF29" s="3" t="s">
        <v>169</v>
      </c>
      <c r="MFG29" s="3" t="s">
        <v>168</v>
      </c>
      <c r="MFH29" s="3" t="s">
        <v>169</v>
      </c>
      <c r="MFI29" s="3" t="s">
        <v>168</v>
      </c>
      <c r="MFJ29" s="3" t="s">
        <v>169</v>
      </c>
      <c r="MFK29" s="3" t="s">
        <v>168</v>
      </c>
      <c r="MFL29" s="3" t="s">
        <v>169</v>
      </c>
      <c r="MFM29" s="3" t="s">
        <v>168</v>
      </c>
      <c r="MFN29" s="3" t="s">
        <v>169</v>
      </c>
      <c r="MFO29" s="3" t="s">
        <v>168</v>
      </c>
      <c r="MFP29" s="3" t="s">
        <v>169</v>
      </c>
      <c r="MFQ29" s="3" t="s">
        <v>168</v>
      </c>
      <c r="MFR29" s="3" t="s">
        <v>169</v>
      </c>
      <c r="MFS29" s="3" t="s">
        <v>168</v>
      </c>
      <c r="MFT29" s="3" t="s">
        <v>169</v>
      </c>
      <c r="MFU29" s="3" t="s">
        <v>168</v>
      </c>
      <c r="MFV29" s="3" t="s">
        <v>169</v>
      </c>
      <c r="MFW29" s="3" t="s">
        <v>168</v>
      </c>
      <c r="MFX29" s="3" t="s">
        <v>169</v>
      </c>
      <c r="MFY29" s="3" t="s">
        <v>168</v>
      </c>
      <c r="MFZ29" s="3" t="s">
        <v>169</v>
      </c>
      <c r="MGA29" s="3" t="s">
        <v>168</v>
      </c>
      <c r="MGB29" s="3" t="s">
        <v>169</v>
      </c>
      <c r="MGC29" s="3" t="s">
        <v>168</v>
      </c>
      <c r="MGD29" s="3" t="s">
        <v>169</v>
      </c>
      <c r="MGE29" s="3" t="s">
        <v>168</v>
      </c>
      <c r="MGF29" s="3" t="s">
        <v>169</v>
      </c>
      <c r="MGG29" s="3" t="s">
        <v>168</v>
      </c>
      <c r="MGH29" s="3" t="s">
        <v>169</v>
      </c>
      <c r="MGI29" s="3" t="s">
        <v>168</v>
      </c>
      <c r="MGJ29" s="3" t="s">
        <v>169</v>
      </c>
      <c r="MGK29" s="3" t="s">
        <v>168</v>
      </c>
      <c r="MGL29" s="3" t="s">
        <v>169</v>
      </c>
      <c r="MGM29" s="3" t="s">
        <v>168</v>
      </c>
      <c r="MGN29" s="3" t="s">
        <v>169</v>
      </c>
      <c r="MGO29" s="3" t="s">
        <v>168</v>
      </c>
      <c r="MGP29" s="3" t="s">
        <v>169</v>
      </c>
      <c r="MGQ29" s="3" t="s">
        <v>168</v>
      </c>
      <c r="MGR29" s="3" t="s">
        <v>169</v>
      </c>
      <c r="MGS29" s="3" t="s">
        <v>168</v>
      </c>
      <c r="MGT29" s="3" t="s">
        <v>169</v>
      </c>
      <c r="MGU29" s="3" t="s">
        <v>168</v>
      </c>
      <c r="MGV29" s="3" t="s">
        <v>169</v>
      </c>
      <c r="MGW29" s="3" t="s">
        <v>168</v>
      </c>
      <c r="MGX29" s="3" t="s">
        <v>169</v>
      </c>
      <c r="MGY29" s="3" t="s">
        <v>168</v>
      </c>
      <c r="MGZ29" s="3" t="s">
        <v>169</v>
      </c>
      <c r="MHA29" s="3" t="s">
        <v>168</v>
      </c>
      <c r="MHB29" s="3" t="s">
        <v>169</v>
      </c>
      <c r="MHC29" s="3" t="s">
        <v>168</v>
      </c>
      <c r="MHD29" s="3" t="s">
        <v>169</v>
      </c>
      <c r="MHE29" s="3" t="s">
        <v>168</v>
      </c>
      <c r="MHF29" s="3" t="s">
        <v>169</v>
      </c>
      <c r="MHG29" s="3" t="s">
        <v>168</v>
      </c>
      <c r="MHH29" s="3" t="s">
        <v>169</v>
      </c>
      <c r="MHI29" s="3" t="s">
        <v>168</v>
      </c>
      <c r="MHJ29" s="3" t="s">
        <v>169</v>
      </c>
      <c r="MHK29" s="3" t="s">
        <v>168</v>
      </c>
      <c r="MHL29" s="3" t="s">
        <v>169</v>
      </c>
      <c r="MHM29" s="3" t="s">
        <v>168</v>
      </c>
      <c r="MHN29" s="3" t="s">
        <v>169</v>
      </c>
      <c r="MHO29" s="3" t="s">
        <v>168</v>
      </c>
      <c r="MHP29" s="3" t="s">
        <v>169</v>
      </c>
      <c r="MHQ29" s="3" t="s">
        <v>168</v>
      </c>
      <c r="MHR29" s="3" t="s">
        <v>169</v>
      </c>
      <c r="MHS29" s="3" t="s">
        <v>168</v>
      </c>
      <c r="MHT29" s="3" t="s">
        <v>169</v>
      </c>
      <c r="MHU29" s="3" t="s">
        <v>168</v>
      </c>
      <c r="MHV29" s="3" t="s">
        <v>169</v>
      </c>
      <c r="MHW29" s="3" t="s">
        <v>168</v>
      </c>
      <c r="MHX29" s="3" t="s">
        <v>169</v>
      </c>
      <c r="MHY29" s="3" t="s">
        <v>168</v>
      </c>
      <c r="MHZ29" s="3" t="s">
        <v>169</v>
      </c>
      <c r="MIA29" s="3" t="s">
        <v>168</v>
      </c>
      <c r="MIB29" s="3" t="s">
        <v>169</v>
      </c>
      <c r="MIC29" s="3" t="s">
        <v>168</v>
      </c>
      <c r="MID29" s="3" t="s">
        <v>169</v>
      </c>
      <c r="MIE29" s="3" t="s">
        <v>168</v>
      </c>
      <c r="MIF29" s="3" t="s">
        <v>169</v>
      </c>
      <c r="MIG29" s="3" t="s">
        <v>168</v>
      </c>
      <c r="MIH29" s="3" t="s">
        <v>169</v>
      </c>
      <c r="MII29" s="3" t="s">
        <v>168</v>
      </c>
      <c r="MIJ29" s="3" t="s">
        <v>169</v>
      </c>
      <c r="MIK29" s="3" t="s">
        <v>168</v>
      </c>
      <c r="MIL29" s="3" t="s">
        <v>169</v>
      </c>
      <c r="MIM29" s="3" t="s">
        <v>168</v>
      </c>
      <c r="MIN29" s="3" t="s">
        <v>169</v>
      </c>
      <c r="MIO29" s="3" t="s">
        <v>168</v>
      </c>
      <c r="MIP29" s="3" t="s">
        <v>169</v>
      </c>
      <c r="MIQ29" s="3" t="s">
        <v>168</v>
      </c>
      <c r="MIR29" s="3" t="s">
        <v>169</v>
      </c>
      <c r="MIS29" s="3" t="s">
        <v>168</v>
      </c>
      <c r="MIT29" s="3" t="s">
        <v>169</v>
      </c>
      <c r="MIU29" s="3" t="s">
        <v>168</v>
      </c>
      <c r="MIV29" s="3" t="s">
        <v>169</v>
      </c>
      <c r="MIW29" s="3" t="s">
        <v>168</v>
      </c>
      <c r="MIX29" s="3" t="s">
        <v>169</v>
      </c>
      <c r="MIY29" s="3" t="s">
        <v>168</v>
      </c>
      <c r="MIZ29" s="3" t="s">
        <v>169</v>
      </c>
      <c r="MJA29" s="3" t="s">
        <v>168</v>
      </c>
      <c r="MJB29" s="3" t="s">
        <v>169</v>
      </c>
      <c r="MJC29" s="3" t="s">
        <v>168</v>
      </c>
      <c r="MJD29" s="3" t="s">
        <v>169</v>
      </c>
      <c r="MJE29" s="3" t="s">
        <v>168</v>
      </c>
      <c r="MJF29" s="3" t="s">
        <v>169</v>
      </c>
      <c r="MJG29" s="3" t="s">
        <v>168</v>
      </c>
      <c r="MJH29" s="3" t="s">
        <v>169</v>
      </c>
      <c r="MJI29" s="3" t="s">
        <v>168</v>
      </c>
      <c r="MJJ29" s="3" t="s">
        <v>169</v>
      </c>
      <c r="MJK29" s="3" t="s">
        <v>168</v>
      </c>
      <c r="MJL29" s="3" t="s">
        <v>169</v>
      </c>
      <c r="MJM29" s="3" t="s">
        <v>168</v>
      </c>
      <c r="MJN29" s="3" t="s">
        <v>169</v>
      </c>
      <c r="MJO29" s="3" t="s">
        <v>168</v>
      </c>
      <c r="MJP29" s="3" t="s">
        <v>169</v>
      </c>
      <c r="MJQ29" s="3" t="s">
        <v>168</v>
      </c>
      <c r="MJR29" s="3" t="s">
        <v>169</v>
      </c>
      <c r="MJS29" s="3" t="s">
        <v>168</v>
      </c>
      <c r="MJT29" s="3" t="s">
        <v>169</v>
      </c>
      <c r="MJU29" s="3" t="s">
        <v>168</v>
      </c>
      <c r="MJV29" s="3" t="s">
        <v>169</v>
      </c>
      <c r="MJW29" s="3" t="s">
        <v>168</v>
      </c>
      <c r="MJX29" s="3" t="s">
        <v>169</v>
      </c>
      <c r="MJY29" s="3" t="s">
        <v>168</v>
      </c>
      <c r="MJZ29" s="3" t="s">
        <v>169</v>
      </c>
      <c r="MKA29" s="3" t="s">
        <v>168</v>
      </c>
      <c r="MKB29" s="3" t="s">
        <v>169</v>
      </c>
      <c r="MKC29" s="3" t="s">
        <v>168</v>
      </c>
      <c r="MKD29" s="3" t="s">
        <v>169</v>
      </c>
      <c r="MKE29" s="3" t="s">
        <v>168</v>
      </c>
      <c r="MKF29" s="3" t="s">
        <v>169</v>
      </c>
      <c r="MKG29" s="3" t="s">
        <v>168</v>
      </c>
      <c r="MKH29" s="3" t="s">
        <v>169</v>
      </c>
      <c r="MKI29" s="3" t="s">
        <v>168</v>
      </c>
      <c r="MKJ29" s="3" t="s">
        <v>169</v>
      </c>
      <c r="MKK29" s="3" t="s">
        <v>168</v>
      </c>
      <c r="MKL29" s="3" t="s">
        <v>169</v>
      </c>
      <c r="MKM29" s="3" t="s">
        <v>168</v>
      </c>
      <c r="MKN29" s="3" t="s">
        <v>169</v>
      </c>
      <c r="MKO29" s="3" t="s">
        <v>168</v>
      </c>
      <c r="MKP29" s="3" t="s">
        <v>169</v>
      </c>
      <c r="MKQ29" s="3" t="s">
        <v>168</v>
      </c>
      <c r="MKR29" s="3" t="s">
        <v>169</v>
      </c>
      <c r="MKS29" s="3" t="s">
        <v>168</v>
      </c>
      <c r="MKT29" s="3" t="s">
        <v>169</v>
      </c>
      <c r="MKU29" s="3" t="s">
        <v>168</v>
      </c>
      <c r="MKV29" s="3" t="s">
        <v>169</v>
      </c>
      <c r="MKW29" s="3" t="s">
        <v>168</v>
      </c>
      <c r="MKX29" s="3" t="s">
        <v>169</v>
      </c>
      <c r="MKY29" s="3" t="s">
        <v>168</v>
      </c>
      <c r="MKZ29" s="3" t="s">
        <v>169</v>
      </c>
      <c r="MLA29" s="3" t="s">
        <v>168</v>
      </c>
      <c r="MLB29" s="3" t="s">
        <v>169</v>
      </c>
      <c r="MLC29" s="3" t="s">
        <v>168</v>
      </c>
      <c r="MLD29" s="3" t="s">
        <v>169</v>
      </c>
      <c r="MLE29" s="3" t="s">
        <v>168</v>
      </c>
      <c r="MLF29" s="3" t="s">
        <v>169</v>
      </c>
      <c r="MLG29" s="3" t="s">
        <v>168</v>
      </c>
      <c r="MLH29" s="3" t="s">
        <v>169</v>
      </c>
      <c r="MLI29" s="3" t="s">
        <v>168</v>
      </c>
      <c r="MLJ29" s="3" t="s">
        <v>169</v>
      </c>
      <c r="MLK29" s="3" t="s">
        <v>168</v>
      </c>
      <c r="MLL29" s="3" t="s">
        <v>169</v>
      </c>
      <c r="MLM29" s="3" t="s">
        <v>168</v>
      </c>
      <c r="MLN29" s="3" t="s">
        <v>169</v>
      </c>
      <c r="MLO29" s="3" t="s">
        <v>168</v>
      </c>
      <c r="MLP29" s="3" t="s">
        <v>169</v>
      </c>
      <c r="MLQ29" s="3" t="s">
        <v>168</v>
      </c>
      <c r="MLR29" s="3" t="s">
        <v>169</v>
      </c>
      <c r="MLS29" s="3" t="s">
        <v>168</v>
      </c>
      <c r="MLT29" s="3" t="s">
        <v>169</v>
      </c>
      <c r="MLU29" s="3" t="s">
        <v>168</v>
      </c>
      <c r="MLV29" s="3" t="s">
        <v>169</v>
      </c>
      <c r="MLW29" s="3" t="s">
        <v>168</v>
      </c>
      <c r="MLX29" s="3" t="s">
        <v>169</v>
      </c>
      <c r="MLY29" s="3" t="s">
        <v>168</v>
      </c>
      <c r="MLZ29" s="3" t="s">
        <v>169</v>
      </c>
      <c r="MMA29" s="3" t="s">
        <v>168</v>
      </c>
      <c r="MMB29" s="3" t="s">
        <v>169</v>
      </c>
      <c r="MMC29" s="3" t="s">
        <v>168</v>
      </c>
      <c r="MMD29" s="3" t="s">
        <v>169</v>
      </c>
      <c r="MME29" s="3" t="s">
        <v>168</v>
      </c>
      <c r="MMF29" s="3" t="s">
        <v>169</v>
      </c>
      <c r="MMG29" s="3" t="s">
        <v>168</v>
      </c>
      <c r="MMH29" s="3" t="s">
        <v>169</v>
      </c>
      <c r="MMI29" s="3" t="s">
        <v>168</v>
      </c>
      <c r="MMJ29" s="3" t="s">
        <v>169</v>
      </c>
      <c r="MMK29" s="3" t="s">
        <v>168</v>
      </c>
      <c r="MML29" s="3" t="s">
        <v>169</v>
      </c>
      <c r="MMM29" s="3" t="s">
        <v>168</v>
      </c>
      <c r="MMN29" s="3" t="s">
        <v>169</v>
      </c>
      <c r="MMO29" s="3" t="s">
        <v>168</v>
      </c>
      <c r="MMP29" s="3" t="s">
        <v>169</v>
      </c>
      <c r="MMQ29" s="3" t="s">
        <v>168</v>
      </c>
      <c r="MMR29" s="3" t="s">
        <v>169</v>
      </c>
      <c r="MMS29" s="3" t="s">
        <v>168</v>
      </c>
      <c r="MMT29" s="3" t="s">
        <v>169</v>
      </c>
      <c r="MMU29" s="3" t="s">
        <v>168</v>
      </c>
      <c r="MMV29" s="3" t="s">
        <v>169</v>
      </c>
      <c r="MMW29" s="3" t="s">
        <v>168</v>
      </c>
      <c r="MMX29" s="3" t="s">
        <v>169</v>
      </c>
      <c r="MMY29" s="3" t="s">
        <v>168</v>
      </c>
      <c r="MMZ29" s="3" t="s">
        <v>169</v>
      </c>
      <c r="MNA29" s="3" t="s">
        <v>168</v>
      </c>
      <c r="MNB29" s="3" t="s">
        <v>169</v>
      </c>
      <c r="MNC29" s="3" t="s">
        <v>168</v>
      </c>
      <c r="MND29" s="3" t="s">
        <v>169</v>
      </c>
      <c r="MNE29" s="3" t="s">
        <v>168</v>
      </c>
      <c r="MNF29" s="3" t="s">
        <v>169</v>
      </c>
      <c r="MNG29" s="3" t="s">
        <v>168</v>
      </c>
      <c r="MNH29" s="3" t="s">
        <v>169</v>
      </c>
      <c r="MNI29" s="3" t="s">
        <v>168</v>
      </c>
      <c r="MNJ29" s="3" t="s">
        <v>169</v>
      </c>
      <c r="MNK29" s="3" t="s">
        <v>168</v>
      </c>
      <c r="MNL29" s="3" t="s">
        <v>169</v>
      </c>
      <c r="MNM29" s="3" t="s">
        <v>168</v>
      </c>
      <c r="MNN29" s="3" t="s">
        <v>169</v>
      </c>
      <c r="MNO29" s="3" t="s">
        <v>168</v>
      </c>
      <c r="MNP29" s="3" t="s">
        <v>169</v>
      </c>
      <c r="MNQ29" s="3" t="s">
        <v>168</v>
      </c>
      <c r="MNR29" s="3" t="s">
        <v>169</v>
      </c>
      <c r="MNS29" s="3" t="s">
        <v>168</v>
      </c>
      <c r="MNT29" s="3" t="s">
        <v>169</v>
      </c>
      <c r="MNU29" s="3" t="s">
        <v>168</v>
      </c>
      <c r="MNV29" s="3" t="s">
        <v>169</v>
      </c>
      <c r="MNW29" s="3" t="s">
        <v>168</v>
      </c>
      <c r="MNX29" s="3" t="s">
        <v>169</v>
      </c>
      <c r="MNY29" s="3" t="s">
        <v>168</v>
      </c>
      <c r="MNZ29" s="3" t="s">
        <v>169</v>
      </c>
      <c r="MOA29" s="3" t="s">
        <v>168</v>
      </c>
      <c r="MOB29" s="3" t="s">
        <v>169</v>
      </c>
      <c r="MOC29" s="3" t="s">
        <v>168</v>
      </c>
      <c r="MOD29" s="3" t="s">
        <v>169</v>
      </c>
      <c r="MOE29" s="3" t="s">
        <v>168</v>
      </c>
      <c r="MOF29" s="3" t="s">
        <v>169</v>
      </c>
      <c r="MOG29" s="3" t="s">
        <v>168</v>
      </c>
      <c r="MOH29" s="3" t="s">
        <v>169</v>
      </c>
      <c r="MOI29" s="3" t="s">
        <v>168</v>
      </c>
      <c r="MOJ29" s="3" t="s">
        <v>169</v>
      </c>
      <c r="MOK29" s="3" t="s">
        <v>168</v>
      </c>
      <c r="MOL29" s="3" t="s">
        <v>169</v>
      </c>
      <c r="MOM29" s="3" t="s">
        <v>168</v>
      </c>
      <c r="MON29" s="3" t="s">
        <v>169</v>
      </c>
      <c r="MOO29" s="3" t="s">
        <v>168</v>
      </c>
      <c r="MOP29" s="3" t="s">
        <v>169</v>
      </c>
      <c r="MOQ29" s="3" t="s">
        <v>168</v>
      </c>
      <c r="MOR29" s="3" t="s">
        <v>169</v>
      </c>
      <c r="MOS29" s="3" t="s">
        <v>168</v>
      </c>
      <c r="MOT29" s="3" t="s">
        <v>169</v>
      </c>
      <c r="MOU29" s="3" t="s">
        <v>168</v>
      </c>
      <c r="MOV29" s="3" t="s">
        <v>169</v>
      </c>
      <c r="MOW29" s="3" t="s">
        <v>168</v>
      </c>
      <c r="MOX29" s="3" t="s">
        <v>169</v>
      </c>
      <c r="MOY29" s="3" t="s">
        <v>168</v>
      </c>
      <c r="MOZ29" s="3" t="s">
        <v>169</v>
      </c>
      <c r="MPA29" s="3" t="s">
        <v>168</v>
      </c>
      <c r="MPB29" s="3" t="s">
        <v>169</v>
      </c>
      <c r="MPC29" s="3" t="s">
        <v>168</v>
      </c>
      <c r="MPD29" s="3" t="s">
        <v>169</v>
      </c>
      <c r="MPE29" s="3" t="s">
        <v>168</v>
      </c>
      <c r="MPF29" s="3" t="s">
        <v>169</v>
      </c>
      <c r="MPG29" s="3" t="s">
        <v>168</v>
      </c>
      <c r="MPH29" s="3" t="s">
        <v>169</v>
      </c>
      <c r="MPI29" s="3" t="s">
        <v>168</v>
      </c>
      <c r="MPJ29" s="3" t="s">
        <v>169</v>
      </c>
      <c r="MPK29" s="3" t="s">
        <v>168</v>
      </c>
      <c r="MPL29" s="3" t="s">
        <v>169</v>
      </c>
      <c r="MPM29" s="3" t="s">
        <v>168</v>
      </c>
      <c r="MPN29" s="3" t="s">
        <v>169</v>
      </c>
      <c r="MPO29" s="3" t="s">
        <v>168</v>
      </c>
      <c r="MPP29" s="3" t="s">
        <v>169</v>
      </c>
      <c r="MPQ29" s="3" t="s">
        <v>168</v>
      </c>
      <c r="MPR29" s="3" t="s">
        <v>169</v>
      </c>
      <c r="MPS29" s="3" t="s">
        <v>168</v>
      </c>
      <c r="MPT29" s="3" t="s">
        <v>169</v>
      </c>
      <c r="MPU29" s="3" t="s">
        <v>168</v>
      </c>
      <c r="MPV29" s="3" t="s">
        <v>169</v>
      </c>
      <c r="MPW29" s="3" t="s">
        <v>168</v>
      </c>
      <c r="MPX29" s="3" t="s">
        <v>169</v>
      </c>
      <c r="MPY29" s="3" t="s">
        <v>168</v>
      </c>
      <c r="MPZ29" s="3" t="s">
        <v>169</v>
      </c>
      <c r="MQA29" s="3" t="s">
        <v>168</v>
      </c>
      <c r="MQB29" s="3" t="s">
        <v>169</v>
      </c>
      <c r="MQC29" s="3" t="s">
        <v>168</v>
      </c>
      <c r="MQD29" s="3" t="s">
        <v>169</v>
      </c>
      <c r="MQE29" s="3" t="s">
        <v>168</v>
      </c>
      <c r="MQF29" s="3" t="s">
        <v>169</v>
      </c>
      <c r="MQG29" s="3" t="s">
        <v>168</v>
      </c>
      <c r="MQH29" s="3" t="s">
        <v>169</v>
      </c>
      <c r="MQI29" s="3" t="s">
        <v>168</v>
      </c>
      <c r="MQJ29" s="3" t="s">
        <v>169</v>
      </c>
      <c r="MQK29" s="3" t="s">
        <v>168</v>
      </c>
      <c r="MQL29" s="3" t="s">
        <v>169</v>
      </c>
      <c r="MQM29" s="3" t="s">
        <v>168</v>
      </c>
      <c r="MQN29" s="3" t="s">
        <v>169</v>
      </c>
      <c r="MQO29" s="3" t="s">
        <v>168</v>
      </c>
      <c r="MQP29" s="3" t="s">
        <v>169</v>
      </c>
      <c r="MQQ29" s="3" t="s">
        <v>168</v>
      </c>
      <c r="MQR29" s="3" t="s">
        <v>169</v>
      </c>
      <c r="MQS29" s="3" t="s">
        <v>168</v>
      </c>
      <c r="MQT29" s="3" t="s">
        <v>169</v>
      </c>
      <c r="MQU29" s="3" t="s">
        <v>168</v>
      </c>
      <c r="MQV29" s="3" t="s">
        <v>169</v>
      </c>
      <c r="MQW29" s="3" t="s">
        <v>168</v>
      </c>
      <c r="MQX29" s="3" t="s">
        <v>169</v>
      </c>
      <c r="MQY29" s="3" t="s">
        <v>168</v>
      </c>
      <c r="MQZ29" s="3" t="s">
        <v>169</v>
      </c>
      <c r="MRA29" s="3" t="s">
        <v>168</v>
      </c>
      <c r="MRB29" s="3" t="s">
        <v>169</v>
      </c>
      <c r="MRC29" s="3" t="s">
        <v>168</v>
      </c>
      <c r="MRD29" s="3" t="s">
        <v>169</v>
      </c>
      <c r="MRE29" s="3" t="s">
        <v>168</v>
      </c>
      <c r="MRF29" s="3" t="s">
        <v>169</v>
      </c>
      <c r="MRG29" s="3" t="s">
        <v>168</v>
      </c>
      <c r="MRH29" s="3" t="s">
        <v>169</v>
      </c>
      <c r="MRI29" s="3" t="s">
        <v>168</v>
      </c>
      <c r="MRJ29" s="3" t="s">
        <v>169</v>
      </c>
      <c r="MRK29" s="3" t="s">
        <v>168</v>
      </c>
      <c r="MRL29" s="3" t="s">
        <v>169</v>
      </c>
      <c r="MRM29" s="3" t="s">
        <v>168</v>
      </c>
      <c r="MRN29" s="3" t="s">
        <v>169</v>
      </c>
      <c r="MRO29" s="3" t="s">
        <v>168</v>
      </c>
      <c r="MRP29" s="3" t="s">
        <v>169</v>
      </c>
      <c r="MRQ29" s="3" t="s">
        <v>168</v>
      </c>
      <c r="MRR29" s="3" t="s">
        <v>169</v>
      </c>
      <c r="MRS29" s="3" t="s">
        <v>168</v>
      </c>
      <c r="MRT29" s="3" t="s">
        <v>169</v>
      </c>
      <c r="MRU29" s="3" t="s">
        <v>168</v>
      </c>
      <c r="MRV29" s="3" t="s">
        <v>169</v>
      </c>
      <c r="MRW29" s="3" t="s">
        <v>168</v>
      </c>
      <c r="MRX29" s="3" t="s">
        <v>169</v>
      </c>
      <c r="MRY29" s="3" t="s">
        <v>168</v>
      </c>
      <c r="MRZ29" s="3" t="s">
        <v>169</v>
      </c>
      <c r="MSA29" s="3" t="s">
        <v>168</v>
      </c>
      <c r="MSB29" s="3" t="s">
        <v>169</v>
      </c>
      <c r="MSC29" s="3" t="s">
        <v>168</v>
      </c>
      <c r="MSD29" s="3" t="s">
        <v>169</v>
      </c>
      <c r="MSE29" s="3" t="s">
        <v>168</v>
      </c>
      <c r="MSF29" s="3" t="s">
        <v>169</v>
      </c>
      <c r="MSG29" s="3" t="s">
        <v>168</v>
      </c>
      <c r="MSH29" s="3" t="s">
        <v>169</v>
      </c>
      <c r="MSI29" s="3" t="s">
        <v>168</v>
      </c>
      <c r="MSJ29" s="3" t="s">
        <v>169</v>
      </c>
      <c r="MSK29" s="3" t="s">
        <v>168</v>
      </c>
      <c r="MSL29" s="3" t="s">
        <v>169</v>
      </c>
      <c r="MSM29" s="3" t="s">
        <v>168</v>
      </c>
      <c r="MSN29" s="3" t="s">
        <v>169</v>
      </c>
      <c r="MSO29" s="3" t="s">
        <v>168</v>
      </c>
      <c r="MSP29" s="3" t="s">
        <v>169</v>
      </c>
      <c r="MSQ29" s="3" t="s">
        <v>168</v>
      </c>
      <c r="MSR29" s="3" t="s">
        <v>169</v>
      </c>
      <c r="MSS29" s="3" t="s">
        <v>168</v>
      </c>
      <c r="MST29" s="3" t="s">
        <v>169</v>
      </c>
      <c r="MSU29" s="3" t="s">
        <v>168</v>
      </c>
      <c r="MSV29" s="3" t="s">
        <v>169</v>
      </c>
      <c r="MSW29" s="3" t="s">
        <v>168</v>
      </c>
      <c r="MSX29" s="3" t="s">
        <v>169</v>
      </c>
      <c r="MSY29" s="3" t="s">
        <v>168</v>
      </c>
      <c r="MSZ29" s="3" t="s">
        <v>169</v>
      </c>
      <c r="MTA29" s="3" t="s">
        <v>168</v>
      </c>
      <c r="MTB29" s="3" t="s">
        <v>169</v>
      </c>
      <c r="MTC29" s="3" t="s">
        <v>168</v>
      </c>
      <c r="MTD29" s="3" t="s">
        <v>169</v>
      </c>
      <c r="MTE29" s="3" t="s">
        <v>168</v>
      </c>
      <c r="MTF29" s="3" t="s">
        <v>169</v>
      </c>
      <c r="MTG29" s="3" t="s">
        <v>168</v>
      </c>
      <c r="MTH29" s="3" t="s">
        <v>169</v>
      </c>
      <c r="MTI29" s="3" t="s">
        <v>168</v>
      </c>
      <c r="MTJ29" s="3" t="s">
        <v>169</v>
      </c>
      <c r="MTK29" s="3" t="s">
        <v>168</v>
      </c>
      <c r="MTL29" s="3" t="s">
        <v>169</v>
      </c>
      <c r="MTM29" s="3" t="s">
        <v>168</v>
      </c>
      <c r="MTN29" s="3" t="s">
        <v>169</v>
      </c>
      <c r="MTO29" s="3" t="s">
        <v>168</v>
      </c>
      <c r="MTP29" s="3" t="s">
        <v>169</v>
      </c>
      <c r="MTQ29" s="3" t="s">
        <v>168</v>
      </c>
      <c r="MTR29" s="3" t="s">
        <v>169</v>
      </c>
      <c r="MTS29" s="3" t="s">
        <v>168</v>
      </c>
      <c r="MTT29" s="3" t="s">
        <v>169</v>
      </c>
      <c r="MTU29" s="3" t="s">
        <v>168</v>
      </c>
      <c r="MTV29" s="3" t="s">
        <v>169</v>
      </c>
      <c r="MTW29" s="3" t="s">
        <v>168</v>
      </c>
      <c r="MTX29" s="3" t="s">
        <v>169</v>
      </c>
      <c r="MTY29" s="3" t="s">
        <v>168</v>
      </c>
      <c r="MTZ29" s="3" t="s">
        <v>169</v>
      </c>
      <c r="MUA29" s="3" t="s">
        <v>168</v>
      </c>
      <c r="MUB29" s="3" t="s">
        <v>169</v>
      </c>
      <c r="MUC29" s="3" t="s">
        <v>168</v>
      </c>
      <c r="MUD29" s="3" t="s">
        <v>169</v>
      </c>
      <c r="MUE29" s="3" t="s">
        <v>168</v>
      </c>
      <c r="MUF29" s="3" t="s">
        <v>169</v>
      </c>
      <c r="MUG29" s="3" t="s">
        <v>168</v>
      </c>
      <c r="MUH29" s="3" t="s">
        <v>169</v>
      </c>
      <c r="MUI29" s="3" t="s">
        <v>168</v>
      </c>
      <c r="MUJ29" s="3" t="s">
        <v>169</v>
      </c>
      <c r="MUK29" s="3" t="s">
        <v>168</v>
      </c>
      <c r="MUL29" s="3" t="s">
        <v>169</v>
      </c>
      <c r="MUM29" s="3" t="s">
        <v>168</v>
      </c>
      <c r="MUN29" s="3" t="s">
        <v>169</v>
      </c>
      <c r="MUO29" s="3" t="s">
        <v>168</v>
      </c>
      <c r="MUP29" s="3" t="s">
        <v>169</v>
      </c>
      <c r="MUQ29" s="3" t="s">
        <v>168</v>
      </c>
      <c r="MUR29" s="3" t="s">
        <v>169</v>
      </c>
      <c r="MUS29" s="3" t="s">
        <v>168</v>
      </c>
      <c r="MUT29" s="3" t="s">
        <v>169</v>
      </c>
      <c r="MUU29" s="3" t="s">
        <v>168</v>
      </c>
      <c r="MUV29" s="3" t="s">
        <v>169</v>
      </c>
      <c r="MUW29" s="3" t="s">
        <v>168</v>
      </c>
      <c r="MUX29" s="3" t="s">
        <v>169</v>
      </c>
      <c r="MUY29" s="3" t="s">
        <v>168</v>
      </c>
      <c r="MUZ29" s="3" t="s">
        <v>169</v>
      </c>
      <c r="MVA29" s="3" t="s">
        <v>168</v>
      </c>
      <c r="MVB29" s="3" t="s">
        <v>169</v>
      </c>
      <c r="MVC29" s="3" t="s">
        <v>168</v>
      </c>
      <c r="MVD29" s="3" t="s">
        <v>169</v>
      </c>
      <c r="MVE29" s="3" t="s">
        <v>168</v>
      </c>
      <c r="MVF29" s="3" t="s">
        <v>169</v>
      </c>
      <c r="MVG29" s="3" t="s">
        <v>168</v>
      </c>
      <c r="MVH29" s="3" t="s">
        <v>169</v>
      </c>
      <c r="MVI29" s="3" t="s">
        <v>168</v>
      </c>
      <c r="MVJ29" s="3" t="s">
        <v>169</v>
      </c>
      <c r="MVK29" s="3" t="s">
        <v>168</v>
      </c>
      <c r="MVL29" s="3" t="s">
        <v>169</v>
      </c>
      <c r="MVM29" s="3" t="s">
        <v>168</v>
      </c>
      <c r="MVN29" s="3" t="s">
        <v>169</v>
      </c>
      <c r="MVO29" s="3" t="s">
        <v>168</v>
      </c>
      <c r="MVP29" s="3" t="s">
        <v>169</v>
      </c>
      <c r="MVQ29" s="3" t="s">
        <v>168</v>
      </c>
      <c r="MVR29" s="3" t="s">
        <v>169</v>
      </c>
      <c r="MVS29" s="3" t="s">
        <v>168</v>
      </c>
      <c r="MVT29" s="3" t="s">
        <v>169</v>
      </c>
      <c r="MVU29" s="3" t="s">
        <v>168</v>
      </c>
      <c r="MVV29" s="3" t="s">
        <v>169</v>
      </c>
      <c r="MVW29" s="3" t="s">
        <v>168</v>
      </c>
      <c r="MVX29" s="3" t="s">
        <v>169</v>
      </c>
      <c r="MVY29" s="3" t="s">
        <v>168</v>
      </c>
      <c r="MVZ29" s="3" t="s">
        <v>169</v>
      </c>
      <c r="MWA29" s="3" t="s">
        <v>168</v>
      </c>
      <c r="MWB29" s="3" t="s">
        <v>169</v>
      </c>
      <c r="MWC29" s="3" t="s">
        <v>168</v>
      </c>
      <c r="MWD29" s="3" t="s">
        <v>169</v>
      </c>
      <c r="MWE29" s="3" t="s">
        <v>168</v>
      </c>
      <c r="MWF29" s="3" t="s">
        <v>169</v>
      </c>
      <c r="MWG29" s="3" t="s">
        <v>168</v>
      </c>
      <c r="MWH29" s="3" t="s">
        <v>169</v>
      </c>
      <c r="MWI29" s="3" t="s">
        <v>168</v>
      </c>
      <c r="MWJ29" s="3" t="s">
        <v>169</v>
      </c>
      <c r="MWK29" s="3" t="s">
        <v>168</v>
      </c>
      <c r="MWL29" s="3" t="s">
        <v>169</v>
      </c>
      <c r="MWM29" s="3" t="s">
        <v>168</v>
      </c>
      <c r="MWN29" s="3" t="s">
        <v>169</v>
      </c>
      <c r="MWO29" s="3" t="s">
        <v>168</v>
      </c>
      <c r="MWP29" s="3" t="s">
        <v>169</v>
      </c>
      <c r="MWQ29" s="3" t="s">
        <v>168</v>
      </c>
      <c r="MWR29" s="3" t="s">
        <v>169</v>
      </c>
      <c r="MWS29" s="3" t="s">
        <v>168</v>
      </c>
      <c r="MWT29" s="3" t="s">
        <v>169</v>
      </c>
      <c r="MWU29" s="3" t="s">
        <v>168</v>
      </c>
      <c r="MWV29" s="3" t="s">
        <v>169</v>
      </c>
      <c r="MWW29" s="3" t="s">
        <v>168</v>
      </c>
      <c r="MWX29" s="3" t="s">
        <v>169</v>
      </c>
      <c r="MWY29" s="3" t="s">
        <v>168</v>
      </c>
      <c r="MWZ29" s="3" t="s">
        <v>169</v>
      </c>
      <c r="MXA29" s="3" t="s">
        <v>168</v>
      </c>
      <c r="MXB29" s="3" t="s">
        <v>169</v>
      </c>
      <c r="MXC29" s="3" t="s">
        <v>168</v>
      </c>
      <c r="MXD29" s="3" t="s">
        <v>169</v>
      </c>
      <c r="MXE29" s="3" t="s">
        <v>168</v>
      </c>
      <c r="MXF29" s="3" t="s">
        <v>169</v>
      </c>
      <c r="MXG29" s="3" t="s">
        <v>168</v>
      </c>
      <c r="MXH29" s="3" t="s">
        <v>169</v>
      </c>
      <c r="MXI29" s="3" t="s">
        <v>168</v>
      </c>
      <c r="MXJ29" s="3" t="s">
        <v>169</v>
      </c>
      <c r="MXK29" s="3" t="s">
        <v>168</v>
      </c>
      <c r="MXL29" s="3" t="s">
        <v>169</v>
      </c>
      <c r="MXM29" s="3" t="s">
        <v>168</v>
      </c>
      <c r="MXN29" s="3" t="s">
        <v>169</v>
      </c>
      <c r="MXO29" s="3" t="s">
        <v>168</v>
      </c>
      <c r="MXP29" s="3" t="s">
        <v>169</v>
      </c>
      <c r="MXQ29" s="3" t="s">
        <v>168</v>
      </c>
      <c r="MXR29" s="3" t="s">
        <v>169</v>
      </c>
      <c r="MXS29" s="3" t="s">
        <v>168</v>
      </c>
      <c r="MXT29" s="3" t="s">
        <v>169</v>
      </c>
      <c r="MXU29" s="3" t="s">
        <v>168</v>
      </c>
      <c r="MXV29" s="3" t="s">
        <v>169</v>
      </c>
      <c r="MXW29" s="3" t="s">
        <v>168</v>
      </c>
      <c r="MXX29" s="3" t="s">
        <v>169</v>
      </c>
      <c r="MXY29" s="3" t="s">
        <v>168</v>
      </c>
      <c r="MXZ29" s="3" t="s">
        <v>169</v>
      </c>
      <c r="MYA29" s="3" t="s">
        <v>168</v>
      </c>
      <c r="MYB29" s="3" t="s">
        <v>169</v>
      </c>
      <c r="MYC29" s="3" t="s">
        <v>168</v>
      </c>
      <c r="MYD29" s="3" t="s">
        <v>169</v>
      </c>
      <c r="MYE29" s="3" t="s">
        <v>168</v>
      </c>
      <c r="MYF29" s="3" t="s">
        <v>169</v>
      </c>
      <c r="MYG29" s="3" t="s">
        <v>168</v>
      </c>
      <c r="MYH29" s="3" t="s">
        <v>169</v>
      </c>
      <c r="MYI29" s="3" t="s">
        <v>168</v>
      </c>
      <c r="MYJ29" s="3" t="s">
        <v>169</v>
      </c>
      <c r="MYK29" s="3" t="s">
        <v>168</v>
      </c>
      <c r="MYL29" s="3" t="s">
        <v>169</v>
      </c>
      <c r="MYM29" s="3" t="s">
        <v>168</v>
      </c>
      <c r="MYN29" s="3" t="s">
        <v>169</v>
      </c>
      <c r="MYO29" s="3" t="s">
        <v>168</v>
      </c>
      <c r="MYP29" s="3" t="s">
        <v>169</v>
      </c>
      <c r="MYQ29" s="3" t="s">
        <v>168</v>
      </c>
      <c r="MYR29" s="3" t="s">
        <v>169</v>
      </c>
      <c r="MYS29" s="3" t="s">
        <v>168</v>
      </c>
      <c r="MYT29" s="3" t="s">
        <v>169</v>
      </c>
      <c r="MYU29" s="3" t="s">
        <v>168</v>
      </c>
      <c r="MYV29" s="3" t="s">
        <v>169</v>
      </c>
      <c r="MYW29" s="3" t="s">
        <v>168</v>
      </c>
      <c r="MYX29" s="3" t="s">
        <v>169</v>
      </c>
      <c r="MYY29" s="3" t="s">
        <v>168</v>
      </c>
      <c r="MYZ29" s="3" t="s">
        <v>169</v>
      </c>
      <c r="MZA29" s="3" t="s">
        <v>168</v>
      </c>
      <c r="MZB29" s="3" t="s">
        <v>169</v>
      </c>
      <c r="MZC29" s="3" t="s">
        <v>168</v>
      </c>
      <c r="MZD29" s="3" t="s">
        <v>169</v>
      </c>
      <c r="MZE29" s="3" t="s">
        <v>168</v>
      </c>
      <c r="MZF29" s="3" t="s">
        <v>169</v>
      </c>
      <c r="MZG29" s="3" t="s">
        <v>168</v>
      </c>
      <c r="MZH29" s="3" t="s">
        <v>169</v>
      </c>
      <c r="MZI29" s="3" t="s">
        <v>168</v>
      </c>
      <c r="MZJ29" s="3" t="s">
        <v>169</v>
      </c>
      <c r="MZK29" s="3" t="s">
        <v>168</v>
      </c>
      <c r="MZL29" s="3" t="s">
        <v>169</v>
      </c>
      <c r="MZM29" s="3" t="s">
        <v>168</v>
      </c>
      <c r="MZN29" s="3" t="s">
        <v>169</v>
      </c>
      <c r="MZO29" s="3" t="s">
        <v>168</v>
      </c>
      <c r="MZP29" s="3" t="s">
        <v>169</v>
      </c>
      <c r="MZQ29" s="3" t="s">
        <v>168</v>
      </c>
      <c r="MZR29" s="3" t="s">
        <v>169</v>
      </c>
      <c r="MZS29" s="3" t="s">
        <v>168</v>
      </c>
      <c r="MZT29" s="3" t="s">
        <v>169</v>
      </c>
      <c r="MZU29" s="3" t="s">
        <v>168</v>
      </c>
      <c r="MZV29" s="3" t="s">
        <v>169</v>
      </c>
      <c r="MZW29" s="3" t="s">
        <v>168</v>
      </c>
      <c r="MZX29" s="3" t="s">
        <v>169</v>
      </c>
      <c r="MZY29" s="3" t="s">
        <v>168</v>
      </c>
      <c r="MZZ29" s="3" t="s">
        <v>169</v>
      </c>
      <c r="NAA29" s="3" t="s">
        <v>168</v>
      </c>
      <c r="NAB29" s="3" t="s">
        <v>169</v>
      </c>
      <c r="NAC29" s="3" t="s">
        <v>168</v>
      </c>
      <c r="NAD29" s="3" t="s">
        <v>169</v>
      </c>
      <c r="NAE29" s="3" t="s">
        <v>168</v>
      </c>
      <c r="NAF29" s="3" t="s">
        <v>169</v>
      </c>
      <c r="NAG29" s="3" t="s">
        <v>168</v>
      </c>
      <c r="NAH29" s="3" t="s">
        <v>169</v>
      </c>
      <c r="NAI29" s="3" t="s">
        <v>168</v>
      </c>
      <c r="NAJ29" s="3" t="s">
        <v>169</v>
      </c>
      <c r="NAK29" s="3" t="s">
        <v>168</v>
      </c>
      <c r="NAL29" s="3" t="s">
        <v>169</v>
      </c>
      <c r="NAM29" s="3" t="s">
        <v>168</v>
      </c>
      <c r="NAN29" s="3" t="s">
        <v>169</v>
      </c>
      <c r="NAO29" s="3" t="s">
        <v>168</v>
      </c>
      <c r="NAP29" s="3" t="s">
        <v>169</v>
      </c>
      <c r="NAQ29" s="3" t="s">
        <v>168</v>
      </c>
      <c r="NAR29" s="3" t="s">
        <v>169</v>
      </c>
      <c r="NAS29" s="3" t="s">
        <v>168</v>
      </c>
      <c r="NAT29" s="3" t="s">
        <v>169</v>
      </c>
      <c r="NAU29" s="3" t="s">
        <v>168</v>
      </c>
      <c r="NAV29" s="3" t="s">
        <v>169</v>
      </c>
      <c r="NAW29" s="3" t="s">
        <v>168</v>
      </c>
      <c r="NAX29" s="3" t="s">
        <v>169</v>
      </c>
      <c r="NAY29" s="3" t="s">
        <v>168</v>
      </c>
      <c r="NAZ29" s="3" t="s">
        <v>169</v>
      </c>
      <c r="NBA29" s="3" t="s">
        <v>168</v>
      </c>
      <c r="NBB29" s="3" t="s">
        <v>169</v>
      </c>
      <c r="NBC29" s="3" t="s">
        <v>168</v>
      </c>
      <c r="NBD29" s="3" t="s">
        <v>169</v>
      </c>
      <c r="NBE29" s="3" t="s">
        <v>168</v>
      </c>
      <c r="NBF29" s="3" t="s">
        <v>169</v>
      </c>
      <c r="NBG29" s="3" t="s">
        <v>168</v>
      </c>
      <c r="NBH29" s="3" t="s">
        <v>169</v>
      </c>
      <c r="NBI29" s="3" t="s">
        <v>168</v>
      </c>
      <c r="NBJ29" s="3" t="s">
        <v>169</v>
      </c>
      <c r="NBK29" s="3" t="s">
        <v>168</v>
      </c>
      <c r="NBL29" s="3" t="s">
        <v>169</v>
      </c>
      <c r="NBM29" s="3" t="s">
        <v>168</v>
      </c>
      <c r="NBN29" s="3" t="s">
        <v>169</v>
      </c>
      <c r="NBO29" s="3" t="s">
        <v>168</v>
      </c>
      <c r="NBP29" s="3" t="s">
        <v>169</v>
      </c>
      <c r="NBQ29" s="3" t="s">
        <v>168</v>
      </c>
      <c r="NBR29" s="3" t="s">
        <v>169</v>
      </c>
      <c r="NBS29" s="3" t="s">
        <v>168</v>
      </c>
      <c r="NBT29" s="3" t="s">
        <v>169</v>
      </c>
      <c r="NBU29" s="3" t="s">
        <v>168</v>
      </c>
      <c r="NBV29" s="3" t="s">
        <v>169</v>
      </c>
      <c r="NBW29" s="3" t="s">
        <v>168</v>
      </c>
      <c r="NBX29" s="3" t="s">
        <v>169</v>
      </c>
      <c r="NBY29" s="3" t="s">
        <v>168</v>
      </c>
      <c r="NBZ29" s="3" t="s">
        <v>169</v>
      </c>
      <c r="NCA29" s="3" t="s">
        <v>168</v>
      </c>
      <c r="NCB29" s="3" t="s">
        <v>169</v>
      </c>
      <c r="NCC29" s="3" t="s">
        <v>168</v>
      </c>
      <c r="NCD29" s="3" t="s">
        <v>169</v>
      </c>
      <c r="NCE29" s="3" t="s">
        <v>168</v>
      </c>
      <c r="NCF29" s="3" t="s">
        <v>169</v>
      </c>
      <c r="NCG29" s="3" t="s">
        <v>168</v>
      </c>
      <c r="NCH29" s="3" t="s">
        <v>169</v>
      </c>
      <c r="NCI29" s="3" t="s">
        <v>168</v>
      </c>
      <c r="NCJ29" s="3" t="s">
        <v>169</v>
      </c>
      <c r="NCK29" s="3" t="s">
        <v>168</v>
      </c>
      <c r="NCL29" s="3" t="s">
        <v>169</v>
      </c>
      <c r="NCM29" s="3" t="s">
        <v>168</v>
      </c>
      <c r="NCN29" s="3" t="s">
        <v>169</v>
      </c>
      <c r="NCO29" s="3" t="s">
        <v>168</v>
      </c>
      <c r="NCP29" s="3" t="s">
        <v>169</v>
      </c>
      <c r="NCQ29" s="3" t="s">
        <v>168</v>
      </c>
      <c r="NCR29" s="3" t="s">
        <v>169</v>
      </c>
      <c r="NCS29" s="3" t="s">
        <v>168</v>
      </c>
      <c r="NCT29" s="3" t="s">
        <v>169</v>
      </c>
      <c r="NCU29" s="3" t="s">
        <v>168</v>
      </c>
      <c r="NCV29" s="3" t="s">
        <v>169</v>
      </c>
      <c r="NCW29" s="3" t="s">
        <v>168</v>
      </c>
      <c r="NCX29" s="3" t="s">
        <v>169</v>
      </c>
      <c r="NCY29" s="3" t="s">
        <v>168</v>
      </c>
      <c r="NCZ29" s="3" t="s">
        <v>169</v>
      </c>
      <c r="NDA29" s="3" t="s">
        <v>168</v>
      </c>
      <c r="NDB29" s="3" t="s">
        <v>169</v>
      </c>
      <c r="NDC29" s="3" t="s">
        <v>168</v>
      </c>
      <c r="NDD29" s="3" t="s">
        <v>169</v>
      </c>
      <c r="NDE29" s="3" t="s">
        <v>168</v>
      </c>
      <c r="NDF29" s="3" t="s">
        <v>169</v>
      </c>
      <c r="NDG29" s="3" t="s">
        <v>168</v>
      </c>
      <c r="NDH29" s="3" t="s">
        <v>169</v>
      </c>
      <c r="NDI29" s="3" t="s">
        <v>168</v>
      </c>
      <c r="NDJ29" s="3" t="s">
        <v>169</v>
      </c>
      <c r="NDK29" s="3" t="s">
        <v>168</v>
      </c>
      <c r="NDL29" s="3" t="s">
        <v>169</v>
      </c>
      <c r="NDM29" s="3" t="s">
        <v>168</v>
      </c>
      <c r="NDN29" s="3" t="s">
        <v>169</v>
      </c>
      <c r="NDO29" s="3" t="s">
        <v>168</v>
      </c>
      <c r="NDP29" s="3" t="s">
        <v>169</v>
      </c>
      <c r="NDQ29" s="3" t="s">
        <v>168</v>
      </c>
      <c r="NDR29" s="3" t="s">
        <v>169</v>
      </c>
      <c r="NDS29" s="3" t="s">
        <v>168</v>
      </c>
      <c r="NDT29" s="3" t="s">
        <v>169</v>
      </c>
      <c r="NDU29" s="3" t="s">
        <v>168</v>
      </c>
      <c r="NDV29" s="3" t="s">
        <v>169</v>
      </c>
      <c r="NDW29" s="3" t="s">
        <v>168</v>
      </c>
      <c r="NDX29" s="3" t="s">
        <v>169</v>
      </c>
      <c r="NDY29" s="3" t="s">
        <v>168</v>
      </c>
      <c r="NDZ29" s="3" t="s">
        <v>169</v>
      </c>
      <c r="NEA29" s="3" t="s">
        <v>168</v>
      </c>
      <c r="NEB29" s="3" t="s">
        <v>169</v>
      </c>
      <c r="NEC29" s="3" t="s">
        <v>168</v>
      </c>
      <c r="NED29" s="3" t="s">
        <v>169</v>
      </c>
      <c r="NEE29" s="3" t="s">
        <v>168</v>
      </c>
      <c r="NEF29" s="3" t="s">
        <v>169</v>
      </c>
      <c r="NEG29" s="3" t="s">
        <v>168</v>
      </c>
      <c r="NEH29" s="3" t="s">
        <v>169</v>
      </c>
      <c r="NEI29" s="3" t="s">
        <v>168</v>
      </c>
      <c r="NEJ29" s="3" t="s">
        <v>169</v>
      </c>
      <c r="NEK29" s="3" t="s">
        <v>168</v>
      </c>
      <c r="NEL29" s="3" t="s">
        <v>169</v>
      </c>
      <c r="NEM29" s="3" t="s">
        <v>168</v>
      </c>
      <c r="NEN29" s="3" t="s">
        <v>169</v>
      </c>
      <c r="NEO29" s="3" t="s">
        <v>168</v>
      </c>
      <c r="NEP29" s="3" t="s">
        <v>169</v>
      </c>
      <c r="NEQ29" s="3" t="s">
        <v>168</v>
      </c>
      <c r="NER29" s="3" t="s">
        <v>169</v>
      </c>
      <c r="NES29" s="3" t="s">
        <v>168</v>
      </c>
      <c r="NET29" s="3" t="s">
        <v>169</v>
      </c>
      <c r="NEU29" s="3" t="s">
        <v>168</v>
      </c>
      <c r="NEV29" s="3" t="s">
        <v>169</v>
      </c>
      <c r="NEW29" s="3" t="s">
        <v>168</v>
      </c>
      <c r="NEX29" s="3" t="s">
        <v>169</v>
      </c>
      <c r="NEY29" s="3" t="s">
        <v>168</v>
      </c>
      <c r="NEZ29" s="3" t="s">
        <v>169</v>
      </c>
      <c r="NFA29" s="3" t="s">
        <v>168</v>
      </c>
      <c r="NFB29" s="3" t="s">
        <v>169</v>
      </c>
      <c r="NFC29" s="3" t="s">
        <v>168</v>
      </c>
      <c r="NFD29" s="3" t="s">
        <v>169</v>
      </c>
      <c r="NFE29" s="3" t="s">
        <v>168</v>
      </c>
      <c r="NFF29" s="3" t="s">
        <v>169</v>
      </c>
      <c r="NFG29" s="3" t="s">
        <v>168</v>
      </c>
      <c r="NFH29" s="3" t="s">
        <v>169</v>
      </c>
      <c r="NFI29" s="3" t="s">
        <v>168</v>
      </c>
      <c r="NFJ29" s="3" t="s">
        <v>169</v>
      </c>
      <c r="NFK29" s="3" t="s">
        <v>168</v>
      </c>
      <c r="NFL29" s="3" t="s">
        <v>169</v>
      </c>
      <c r="NFM29" s="3" t="s">
        <v>168</v>
      </c>
      <c r="NFN29" s="3" t="s">
        <v>169</v>
      </c>
      <c r="NFO29" s="3" t="s">
        <v>168</v>
      </c>
      <c r="NFP29" s="3" t="s">
        <v>169</v>
      </c>
      <c r="NFQ29" s="3" t="s">
        <v>168</v>
      </c>
      <c r="NFR29" s="3" t="s">
        <v>169</v>
      </c>
      <c r="NFS29" s="3" t="s">
        <v>168</v>
      </c>
      <c r="NFT29" s="3" t="s">
        <v>169</v>
      </c>
      <c r="NFU29" s="3" t="s">
        <v>168</v>
      </c>
      <c r="NFV29" s="3" t="s">
        <v>169</v>
      </c>
      <c r="NFW29" s="3" t="s">
        <v>168</v>
      </c>
      <c r="NFX29" s="3" t="s">
        <v>169</v>
      </c>
      <c r="NFY29" s="3" t="s">
        <v>168</v>
      </c>
      <c r="NFZ29" s="3" t="s">
        <v>169</v>
      </c>
      <c r="NGA29" s="3" t="s">
        <v>168</v>
      </c>
      <c r="NGB29" s="3" t="s">
        <v>169</v>
      </c>
      <c r="NGC29" s="3" t="s">
        <v>168</v>
      </c>
      <c r="NGD29" s="3" t="s">
        <v>169</v>
      </c>
      <c r="NGE29" s="3" t="s">
        <v>168</v>
      </c>
      <c r="NGF29" s="3" t="s">
        <v>169</v>
      </c>
      <c r="NGG29" s="3" t="s">
        <v>168</v>
      </c>
      <c r="NGH29" s="3" t="s">
        <v>169</v>
      </c>
      <c r="NGI29" s="3" t="s">
        <v>168</v>
      </c>
      <c r="NGJ29" s="3" t="s">
        <v>169</v>
      </c>
      <c r="NGK29" s="3" t="s">
        <v>168</v>
      </c>
      <c r="NGL29" s="3" t="s">
        <v>169</v>
      </c>
      <c r="NGM29" s="3" t="s">
        <v>168</v>
      </c>
      <c r="NGN29" s="3" t="s">
        <v>169</v>
      </c>
      <c r="NGO29" s="3" t="s">
        <v>168</v>
      </c>
      <c r="NGP29" s="3" t="s">
        <v>169</v>
      </c>
      <c r="NGQ29" s="3" t="s">
        <v>168</v>
      </c>
      <c r="NGR29" s="3" t="s">
        <v>169</v>
      </c>
      <c r="NGS29" s="3" t="s">
        <v>168</v>
      </c>
      <c r="NGT29" s="3" t="s">
        <v>169</v>
      </c>
      <c r="NGU29" s="3" t="s">
        <v>168</v>
      </c>
      <c r="NGV29" s="3" t="s">
        <v>169</v>
      </c>
      <c r="NGW29" s="3" t="s">
        <v>168</v>
      </c>
      <c r="NGX29" s="3" t="s">
        <v>169</v>
      </c>
      <c r="NGY29" s="3" t="s">
        <v>168</v>
      </c>
      <c r="NGZ29" s="3" t="s">
        <v>169</v>
      </c>
      <c r="NHA29" s="3" t="s">
        <v>168</v>
      </c>
      <c r="NHB29" s="3" t="s">
        <v>169</v>
      </c>
      <c r="NHC29" s="3" t="s">
        <v>168</v>
      </c>
      <c r="NHD29" s="3" t="s">
        <v>169</v>
      </c>
      <c r="NHE29" s="3" t="s">
        <v>168</v>
      </c>
      <c r="NHF29" s="3" t="s">
        <v>169</v>
      </c>
      <c r="NHG29" s="3" t="s">
        <v>168</v>
      </c>
      <c r="NHH29" s="3" t="s">
        <v>169</v>
      </c>
      <c r="NHI29" s="3" t="s">
        <v>168</v>
      </c>
      <c r="NHJ29" s="3" t="s">
        <v>169</v>
      </c>
      <c r="NHK29" s="3" t="s">
        <v>168</v>
      </c>
      <c r="NHL29" s="3" t="s">
        <v>169</v>
      </c>
      <c r="NHM29" s="3" t="s">
        <v>168</v>
      </c>
      <c r="NHN29" s="3" t="s">
        <v>169</v>
      </c>
      <c r="NHO29" s="3" t="s">
        <v>168</v>
      </c>
      <c r="NHP29" s="3" t="s">
        <v>169</v>
      </c>
      <c r="NHQ29" s="3" t="s">
        <v>168</v>
      </c>
      <c r="NHR29" s="3" t="s">
        <v>169</v>
      </c>
      <c r="NHS29" s="3" t="s">
        <v>168</v>
      </c>
      <c r="NHT29" s="3" t="s">
        <v>169</v>
      </c>
      <c r="NHU29" s="3" t="s">
        <v>168</v>
      </c>
      <c r="NHV29" s="3" t="s">
        <v>169</v>
      </c>
      <c r="NHW29" s="3" t="s">
        <v>168</v>
      </c>
      <c r="NHX29" s="3" t="s">
        <v>169</v>
      </c>
      <c r="NHY29" s="3" t="s">
        <v>168</v>
      </c>
      <c r="NHZ29" s="3" t="s">
        <v>169</v>
      </c>
      <c r="NIA29" s="3" t="s">
        <v>168</v>
      </c>
      <c r="NIB29" s="3" t="s">
        <v>169</v>
      </c>
      <c r="NIC29" s="3" t="s">
        <v>168</v>
      </c>
      <c r="NID29" s="3" t="s">
        <v>169</v>
      </c>
      <c r="NIE29" s="3" t="s">
        <v>168</v>
      </c>
      <c r="NIF29" s="3" t="s">
        <v>169</v>
      </c>
      <c r="NIG29" s="3" t="s">
        <v>168</v>
      </c>
      <c r="NIH29" s="3" t="s">
        <v>169</v>
      </c>
      <c r="NII29" s="3" t="s">
        <v>168</v>
      </c>
      <c r="NIJ29" s="3" t="s">
        <v>169</v>
      </c>
      <c r="NIK29" s="3" t="s">
        <v>168</v>
      </c>
      <c r="NIL29" s="3" t="s">
        <v>169</v>
      </c>
      <c r="NIM29" s="3" t="s">
        <v>168</v>
      </c>
      <c r="NIN29" s="3" t="s">
        <v>169</v>
      </c>
      <c r="NIO29" s="3" t="s">
        <v>168</v>
      </c>
      <c r="NIP29" s="3" t="s">
        <v>169</v>
      </c>
      <c r="NIQ29" s="3" t="s">
        <v>168</v>
      </c>
      <c r="NIR29" s="3" t="s">
        <v>169</v>
      </c>
      <c r="NIS29" s="3" t="s">
        <v>168</v>
      </c>
      <c r="NIT29" s="3" t="s">
        <v>169</v>
      </c>
      <c r="NIU29" s="3" t="s">
        <v>168</v>
      </c>
      <c r="NIV29" s="3" t="s">
        <v>169</v>
      </c>
      <c r="NIW29" s="3" t="s">
        <v>168</v>
      </c>
      <c r="NIX29" s="3" t="s">
        <v>169</v>
      </c>
      <c r="NIY29" s="3" t="s">
        <v>168</v>
      </c>
      <c r="NIZ29" s="3" t="s">
        <v>169</v>
      </c>
      <c r="NJA29" s="3" t="s">
        <v>168</v>
      </c>
      <c r="NJB29" s="3" t="s">
        <v>169</v>
      </c>
      <c r="NJC29" s="3" t="s">
        <v>168</v>
      </c>
      <c r="NJD29" s="3" t="s">
        <v>169</v>
      </c>
      <c r="NJE29" s="3" t="s">
        <v>168</v>
      </c>
      <c r="NJF29" s="3" t="s">
        <v>169</v>
      </c>
      <c r="NJG29" s="3" t="s">
        <v>168</v>
      </c>
      <c r="NJH29" s="3" t="s">
        <v>169</v>
      </c>
      <c r="NJI29" s="3" t="s">
        <v>168</v>
      </c>
      <c r="NJJ29" s="3" t="s">
        <v>169</v>
      </c>
      <c r="NJK29" s="3" t="s">
        <v>168</v>
      </c>
      <c r="NJL29" s="3" t="s">
        <v>169</v>
      </c>
      <c r="NJM29" s="3" t="s">
        <v>168</v>
      </c>
      <c r="NJN29" s="3" t="s">
        <v>169</v>
      </c>
      <c r="NJO29" s="3" t="s">
        <v>168</v>
      </c>
      <c r="NJP29" s="3" t="s">
        <v>169</v>
      </c>
      <c r="NJQ29" s="3" t="s">
        <v>168</v>
      </c>
      <c r="NJR29" s="3" t="s">
        <v>169</v>
      </c>
      <c r="NJS29" s="3" t="s">
        <v>168</v>
      </c>
      <c r="NJT29" s="3" t="s">
        <v>169</v>
      </c>
      <c r="NJU29" s="3" t="s">
        <v>168</v>
      </c>
      <c r="NJV29" s="3" t="s">
        <v>169</v>
      </c>
      <c r="NJW29" s="3" t="s">
        <v>168</v>
      </c>
      <c r="NJX29" s="3" t="s">
        <v>169</v>
      </c>
      <c r="NJY29" s="3" t="s">
        <v>168</v>
      </c>
      <c r="NJZ29" s="3" t="s">
        <v>169</v>
      </c>
      <c r="NKA29" s="3" t="s">
        <v>168</v>
      </c>
      <c r="NKB29" s="3" t="s">
        <v>169</v>
      </c>
      <c r="NKC29" s="3" t="s">
        <v>168</v>
      </c>
      <c r="NKD29" s="3" t="s">
        <v>169</v>
      </c>
      <c r="NKE29" s="3" t="s">
        <v>168</v>
      </c>
      <c r="NKF29" s="3" t="s">
        <v>169</v>
      </c>
      <c r="NKG29" s="3" t="s">
        <v>168</v>
      </c>
      <c r="NKH29" s="3" t="s">
        <v>169</v>
      </c>
      <c r="NKI29" s="3" t="s">
        <v>168</v>
      </c>
      <c r="NKJ29" s="3" t="s">
        <v>169</v>
      </c>
      <c r="NKK29" s="3" t="s">
        <v>168</v>
      </c>
      <c r="NKL29" s="3" t="s">
        <v>169</v>
      </c>
      <c r="NKM29" s="3" t="s">
        <v>168</v>
      </c>
      <c r="NKN29" s="3" t="s">
        <v>169</v>
      </c>
      <c r="NKO29" s="3" t="s">
        <v>168</v>
      </c>
      <c r="NKP29" s="3" t="s">
        <v>169</v>
      </c>
      <c r="NKQ29" s="3" t="s">
        <v>168</v>
      </c>
      <c r="NKR29" s="3" t="s">
        <v>169</v>
      </c>
      <c r="NKS29" s="3" t="s">
        <v>168</v>
      </c>
      <c r="NKT29" s="3" t="s">
        <v>169</v>
      </c>
      <c r="NKU29" s="3" t="s">
        <v>168</v>
      </c>
      <c r="NKV29" s="3" t="s">
        <v>169</v>
      </c>
      <c r="NKW29" s="3" t="s">
        <v>168</v>
      </c>
      <c r="NKX29" s="3" t="s">
        <v>169</v>
      </c>
      <c r="NKY29" s="3" t="s">
        <v>168</v>
      </c>
      <c r="NKZ29" s="3" t="s">
        <v>169</v>
      </c>
      <c r="NLA29" s="3" t="s">
        <v>168</v>
      </c>
      <c r="NLB29" s="3" t="s">
        <v>169</v>
      </c>
      <c r="NLC29" s="3" t="s">
        <v>168</v>
      </c>
      <c r="NLD29" s="3" t="s">
        <v>169</v>
      </c>
      <c r="NLE29" s="3" t="s">
        <v>168</v>
      </c>
      <c r="NLF29" s="3" t="s">
        <v>169</v>
      </c>
      <c r="NLG29" s="3" t="s">
        <v>168</v>
      </c>
      <c r="NLH29" s="3" t="s">
        <v>169</v>
      </c>
      <c r="NLI29" s="3" t="s">
        <v>168</v>
      </c>
      <c r="NLJ29" s="3" t="s">
        <v>169</v>
      </c>
      <c r="NLK29" s="3" t="s">
        <v>168</v>
      </c>
      <c r="NLL29" s="3" t="s">
        <v>169</v>
      </c>
      <c r="NLM29" s="3" t="s">
        <v>168</v>
      </c>
      <c r="NLN29" s="3" t="s">
        <v>169</v>
      </c>
      <c r="NLO29" s="3" t="s">
        <v>168</v>
      </c>
      <c r="NLP29" s="3" t="s">
        <v>169</v>
      </c>
      <c r="NLQ29" s="3" t="s">
        <v>168</v>
      </c>
      <c r="NLR29" s="3" t="s">
        <v>169</v>
      </c>
      <c r="NLS29" s="3" t="s">
        <v>168</v>
      </c>
      <c r="NLT29" s="3" t="s">
        <v>169</v>
      </c>
      <c r="NLU29" s="3" t="s">
        <v>168</v>
      </c>
      <c r="NLV29" s="3" t="s">
        <v>169</v>
      </c>
      <c r="NLW29" s="3" t="s">
        <v>168</v>
      </c>
      <c r="NLX29" s="3" t="s">
        <v>169</v>
      </c>
      <c r="NLY29" s="3" t="s">
        <v>168</v>
      </c>
      <c r="NLZ29" s="3" t="s">
        <v>169</v>
      </c>
      <c r="NMA29" s="3" t="s">
        <v>168</v>
      </c>
      <c r="NMB29" s="3" t="s">
        <v>169</v>
      </c>
      <c r="NMC29" s="3" t="s">
        <v>168</v>
      </c>
      <c r="NMD29" s="3" t="s">
        <v>169</v>
      </c>
      <c r="NME29" s="3" t="s">
        <v>168</v>
      </c>
      <c r="NMF29" s="3" t="s">
        <v>169</v>
      </c>
      <c r="NMG29" s="3" t="s">
        <v>168</v>
      </c>
      <c r="NMH29" s="3" t="s">
        <v>169</v>
      </c>
      <c r="NMI29" s="3" t="s">
        <v>168</v>
      </c>
      <c r="NMJ29" s="3" t="s">
        <v>169</v>
      </c>
      <c r="NMK29" s="3" t="s">
        <v>168</v>
      </c>
      <c r="NML29" s="3" t="s">
        <v>169</v>
      </c>
      <c r="NMM29" s="3" t="s">
        <v>168</v>
      </c>
      <c r="NMN29" s="3" t="s">
        <v>169</v>
      </c>
      <c r="NMO29" s="3" t="s">
        <v>168</v>
      </c>
      <c r="NMP29" s="3" t="s">
        <v>169</v>
      </c>
      <c r="NMQ29" s="3" t="s">
        <v>168</v>
      </c>
      <c r="NMR29" s="3" t="s">
        <v>169</v>
      </c>
      <c r="NMS29" s="3" t="s">
        <v>168</v>
      </c>
      <c r="NMT29" s="3" t="s">
        <v>169</v>
      </c>
      <c r="NMU29" s="3" t="s">
        <v>168</v>
      </c>
      <c r="NMV29" s="3" t="s">
        <v>169</v>
      </c>
      <c r="NMW29" s="3" t="s">
        <v>168</v>
      </c>
      <c r="NMX29" s="3" t="s">
        <v>169</v>
      </c>
      <c r="NMY29" s="3" t="s">
        <v>168</v>
      </c>
      <c r="NMZ29" s="3" t="s">
        <v>169</v>
      </c>
      <c r="NNA29" s="3" t="s">
        <v>168</v>
      </c>
      <c r="NNB29" s="3" t="s">
        <v>169</v>
      </c>
      <c r="NNC29" s="3" t="s">
        <v>168</v>
      </c>
      <c r="NND29" s="3" t="s">
        <v>169</v>
      </c>
      <c r="NNE29" s="3" t="s">
        <v>168</v>
      </c>
      <c r="NNF29" s="3" t="s">
        <v>169</v>
      </c>
      <c r="NNG29" s="3" t="s">
        <v>168</v>
      </c>
      <c r="NNH29" s="3" t="s">
        <v>169</v>
      </c>
      <c r="NNI29" s="3" t="s">
        <v>168</v>
      </c>
      <c r="NNJ29" s="3" t="s">
        <v>169</v>
      </c>
      <c r="NNK29" s="3" t="s">
        <v>168</v>
      </c>
      <c r="NNL29" s="3" t="s">
        <v>169</v>
      </c>
      <c r="NNM29" s="3" t="s">
        <v>168</v>
      </c>
      <c r="NNN29" s="3" t="s">
        <v>169</v>
      </c>
      <c r="NNO29" s="3" t="s">
        <v>168</v>
      </c>
      <c r="NNP29" s="3" t="s">
        <v>169</v>
      </c>
      <c r="NNQ29" s="3" t="s">
        <v>168</v>
      </c>
      <c r="NNR29" s="3" t="s">
        <v>169</v>
      </c>
      <c r="NNS29" s="3" t="s">
        <v>168</v>
      </c>
      <c r="NNT29" s="3" t="s">
        <v>169</v>
      </c>
      <c r="NNU29" s="3" t="s">
        <v>168</v>
      </c>
      <c r="NNV29" s="3" t="s">
        <v>169</v>
      </c>
      <c r="NNW29" s="3" t="s">
        <v>168</v>
      </c>
      <c r="NNX29" s="3" t="s">
        <v>169</v>
      </c>
      <c r="NNY29" s="3" t="s">
        <v>168</v>
      </c>
      <c r="NNZ29" s="3" t="s">
        <v>169</v>
      </c>
      <c r="NOA29" s="3" t="s">
        <v>168</v>
      </c>
      <c r="NOB29" s="3" t="s">
        <v>169</v>
      </c>
      <c r="NOC29" s="3" t="s">
        <v>168</v>
      </c>
      <c r="NOD29" s="3" t="s">
        <v>169</v>
      </c>
      <c r="NOE29" s="3" t="s">
        <v>168</v>
      </c>
      <c r="NOF29" s="3" t="s">
        <v>169</v>
      </c>
      <c r="NOG29" s="3" t="s">
        <v>168</v>
      </c>
      <c r="NOH29" s="3" t="s">
        <v>169</v>
      </c>
      <c r="NOI29" s="3" t="s">
        <v>168</v>
      </c>
      <c r="NOJ29" s="3" t="s">
        <v>169</v>
      </c>
      <c r="NOK29" s="3" t="s">
        <v>168</v>
      </c>
      <c r="NOL29" s="3" t="s">
        <v>169</v>
      </c>
      <c r="NOM29" s="3" t="s">
        <v>168</v>
      </c>
      <c r="NON29" s="3" t="s">
        <v>169</v>
      </c>
      <c r="NOO29" s="3" t="s">
        <v>168</v>
      </c>
      <c r="NOP29" s="3" t="s">
        <v>169</v>
      </c>
      <c r="NOQ29" s="3" t="s">
        <v>168</v>
      </c>
      <c r="NOR29" s="3" t="s">
        <v>169</v>
      </c>
      <c r="NOS29" s="3" t="s">
        <v>168</v>
      </c>
      <c r="NOT29" s="3" t="s">
        <v>169</v>
      </c>
      <c r="NOU29" s="3" t="s">
        <v>168</v>
      </c>
      <c r="NOV29" s="3" t="s">
        <v>169</v>
      </c>
      <c r="NOW29" s="3" t="s">
        <v>168</v>
      </c>
      <c r="NOX29" s="3" t="s">
        <v>169</v>
      </c>
      <c r="NOY29" s="3" t="s">
        <v>168</v>
      </c>
      <c r="NOZ29" s="3" t="s">
        <v>169</v>
      </c>
      <c r="NPA29" s="3" t="s">
        <v>168</v>
      </c>
      <c r="NPB29" s="3" t="s">
        <v>169</v>
      </c>
      <c r="NPC29" s="3" t="s">
        <v>168</v>
      </c>
      <c r="NPD29" s="3" t="s">
        <v>169</v>
      </c>
      <c r="NPE29" s="3" t="s">
        <v>168</v>
      </c>
      <c r="NPF29" s="3" t="s">
        <v>169</v>
      </c>
      <c r="NPG29" s="3" t="s">
        <v>168</v>
      </c>
      <c r="NPH29" s="3" t="s">
        <v>169</v>
      </c>
      <c r="NPI29" s="3" t="s">
        <v>168</v>
      </c>
      <c r="NPJ29" s="3" t="s">
        <v>169</v>
      </c>
      <c r="NPK29" s="3" t="s">
        <v>168</v>
      </c>
      <c r="NPL29" s="3" t="s">
        <v>169</v>
      </c>
      <c r="NPM29" s="3" t="s">
        <v>168</v>
      </c>
      <c r="NPN29" s="3" t="s">
        <v>169</v>
      </c>
      <c r="NPO29" s="3" t="s">
        <v>168</v>
      </c>
      <c r="NPP29" s="3" t="s">
        <v>169</v>
      </c>
      <c r="NPQ29" s="3" t="s">
        <v>168</v>
      </c>
      <c r="NPR29" s="3" t="s">
        <v>169</v>
      </c>
      <c r="NPS29" s="3" t="s">
        <v>168</v>
      </c>
      <c r="NPT29" s="3" t="s">
        <v>169</v>
      </c>
      <c r="NPU29" s="3" t="s">
        <v>168</v>
      </c>
      <c r="NPV29" s="3" t="s">
        <v>169</v>
      </c>
      <c r="NPW29" s="3" t="s">
        <v>168</v>
      </c>
      <c r="NPX29" s="3" t="s">
        <v>169</v>
      </c>
      <c r="NPY29" s="3" t="s">
        <v>168</v>
      </c>
      <c r="NPZ29" s="3" t="s">
        <v>169</v>
      </c>
      <c r="NQA29" s="3" t="s">
        <v>168</v>
      </c>
      <c r="NQB29" s="3" t="s">
        <v>169</v>
      </c>
      <c r="NQC29" s="3" t="s">
        <v>168</v>
      </c>
      <c r="NQD29" s="3" t="s">
        <v>169</v>
      </c>
      <c r="NQE29" s="3" t="s">
        <v>168</v>
      </c>
      <c r="NQF29" s="3" t="s">
        <v>169</v>
      </c>
      <c r="NQG29" s="3" t="s">
        <v>168</v>
      </c>
      <c r="NQH29" s="3" t="s">
        <v>169</v>
      </c>
      <c r="NQI29" s="3" t="s">
        <v>168</v>
      </c>
      <c r="NQJ29" s="3" t="s">
        <v>169</v>
      </c>
      <c r="NQK29" s="3" t="s">
        <v>168</v>
      </c>
      <c r="NQL29" s="3" t="s">
        <v>169</v>
      </c>
      <c r="NQM29" s="3" t="s">
        <v>168</v>
      </c>
      <c r="NQN29" s="3" t="s">
        <v>169</v>
      </c>
      <c r="NQO29" s="3" t="s">
        <v>168</v>
      </c>
      <c r="NQP29" s="3" t="s">
        <v>169</v>
      </c>
      <c r="NQQ29" s="3" t="s">
        <v>168</v>
      </c>
      <c r="NQR29" s="3" t="s">
        <v>169</v>
      </c>
      <c r="NQS29" s="3" t="s">
        <v>168</v>
      </c>
      <c r="NQT29" s="3" t="s">
        <v>169</v>
      </c>
      <c r="NQU29" s="3" t="s">
        <v>168</v>
      </c>
      <c r="NQV29" s="3" t="s">
        <v>169</v>
      </c>
      <c r="NQW29" s="3" t="s">
        <v>168</v>
      </c>
      <c r="NQX29" s="3" t="s">
        <v>169</v>
      </c>
      <c r="NQY29" s="3" t="s">
        <v>168</v>
      </c>
      <c r="NQZ29" s="3" t="s">
        <v>169</v>
      </c>
      <c r="NRA29" s="3" t="s">
        <v>168</v>
      </c>
      <c r="NRB29" s="3" t="s">
        <v>169</v>
      </c>
      <c r="NRC29" s="3" t="s">
        <v>168</v>
      </c>
      <c r="NRD29" s="3" t="s">
        <v>169</v>
      </c>
      <c r="NRE29" s="3" t="s">
        <v>168</v>
      </c>
      <c r="NRF29" s="3" t="s">
        <v>169</v>
      </c>
      <c r="NRG29" s="3" t="s">
        <v>168</v>
      </c>
      <c r="NRH29" s="3" t="s">
        <v>169</v>
      </c>
      <c r="NRI29" s="3" t="s">
        <v>168</v>
      </c>
      <c r="NRJ29" s="3" t="s">
        <v>169</v>
      </c>
      <c r="NRK29" s="3" t="s">
        <v>168</v>
      </c>
      <c r="NRL29" s="3" t="s">
        <v>169</v>
      </c>
      <c r="NRM29" s="3" t="s">
        <v>168</v>
      </c>
      <c r="NRN29" s="3" t="s">
        <v>169</v>
      </c>
      <c r="NRO29" s="3" t="s">
        <v>168</v>
      </c>
      <c r="NRP29" s="3" t="s">
        <v>169</v>
      </c>
      <c r="NRQ29" s="3" t="s">
        <v>168</v>
      </c>
      <c r="NRR29" s="3" t="s">
        <v>169</v>
      </c>
      <c r="NRS29" s="3" t="s">
        <v>168</v>
      </c>
      <c r="NRT29" s="3" t="s">
        <v>169</v>
      </c>
      <c r="NRU29" s="3" t="s">
        <v>168</v>
      </c>
      <c r="NRV29" s="3" t="s">
        <v>169</v>
      </c>
      <c r="NRW29" s="3" t="s">
        <v>168</v>
      </c>
      <c r="NRX29" s="3" t="s">
        <v>169</v>
      </c>
      <c r="NRY29" s="3" t="s">
        <v>168</v>
      </c>
      <c r="NRZ29" s="3" t="s">
        <v>169</v>
      </c>
      <c r="NSA29" s="3" t="s">
        <v>168</v>
      </c>
      <c r="NSB29" s="3" t="s">
        <v>169</v>
      </c>
      <c r="NSC29" s="3" t="s">
        <v>168</v>
      </c>
      <c r="NSD29" s="3" t="s">
        <v>169</v>
      </c>
      <c r="NSE29" s="3" t="s">
        <v>168</v>
      </c>
      <c r="NSF29" s="3" t="s">
        <v>169</v>
      </c>
      <c r="NSG29" s="3" t="s">
        <v>168</v>
      </c>
      <c r="NSH29" s="3" t="s">
        <v>169</v>
      </c>
      <c r="NSI29" s="3" t="s">
        <v>168</v>
      </c>
      <c r="NSJ29" s="3" t="s">
        <v>169</v>
      </c>
      <c r="NSK29" s="3" t="s">
        <v>168</v>
      </c>
      <c r="NSL29" s="3" t="s">
        <v>169</v>
      </c>
      <c r="NSM29" s="3" t="s">
        <v>168</v>
      </c>
      <c r="NSN29" s="3" t="s">
        <v>169</v>
      </c>
      <c r="NSO29" s="3" t="s">
        <v>168</v>
      </c>
      <c r="NSP29" s="3" t="s">
        <v>169</v>
      </c>
      <c r="NSQ29" s="3" t="s">
        <v>168</v>
      </c>
      <c r="NSR29" s="3" t="s">
        <v>169</v>
      </c>
      <c r="NSS29" s="3" t="s">
        <v>168</v>
      </c>
      <c r="NST29" s="3" t="s">
        <v>169</v>
      </c>
      <c r="NSU29" s="3" t="s">
        <v>168</v>
      </c>
      <c r="NSV29" s="3" t="s">
        <v>169</v>
      </c>
      <c r="NSW29" s="3" t="s">
        <v>168</v>
      </c>
      <c r="NSX29" s="3" t="s">
        <v>169</v>
      </c>
      <c r="NSY29" s="3" t="s">
        <v>168</v>
      </c>
      <c r="NSZ29" s="3" t="s">
        <v>169</v>
      </c>
      <c r="NTA29" s="3" t="s">
        <v>168</v>
      </c>
      <c r="NTB29" s="3" t="s">
        <v>169</v>
      </c>
      <c r="NTC29" s="3" t="s">
        <v>168</v>
      </c>
      <c r="NTD29" s="3" t="s">
        <v>169</v>
      </c>
      <c r="NTE29" s="3" t="s">
        <v>168</v>
      </c>
      <c r="NTF29" s="3" t="s">
        <v>169</v>
      </c>
      <c r="NTG29" s="3" t="s">
        <v>168</v>
      </c>
      <c r="NTH29" s="3" t="s">
        <v>169</v>
      </c>
      <c r="NTI29" s="3" t="s">
        <v>168</v>
      </c>
      <c r="NTJ29" s="3" t="s">
        <v>169</v>
      </c>
      <c r="NTK29" s="3" t="s">
        <v>168</v>
      </c>
      <c r="NTL29" s="3" t="s">
        <v>169</v>
      </c>
      <c r="NTM29" s="3" t="s">
        <v>168</v>
      </c>
      <c r="NTN29" s="3" t="s">
        <v>169</v>
      </c>
      <c r="NTO29" s="3" t="s">
        <v>168</v>
      </c>
      <c r="NTP29" s="3" t="s">
        <v>169</v>
      </c>
      <c r="NTQ29" s="3" t="s">
        <v>168</v>
      </c>
      <c r="NTR29" s="3" t="s">
        <v>169</v>
      </c>
      <c r="NTS29" s="3" t="s">
        <v>168</v>
      </c>
      <c r="NTT29" s="3" t="s">
        <v>169</v>
      </c>
      <c r="NTU29" s="3" t="s">
        <v>168</v>
      </c>
      <c r="NTV29" s="3" t="s">
        <v>169</v>
      </c>
      <c r="NTW29" s="3" t="s">
        <v>168</v>
      </c>
      <c r="NTX29" s="3" t="s">
        <v>169</v>
      </c>
      <c r="NTY29" s="3" t="s">
        <v>168</v>
      </c>
      <c r="NTZ29" s="3" t="s">
        <v>169</v>
      </c>
      <c r="NUA29" s="3" t="s">
        <v>168</v>
      </c>
      <c r="NUB29" s="3" t="s">
        <v>169</v>
      </c>
      <c r="NUC29" s="3" t="s">
        <v>168</v>
      </c>
      <c r="NUD29" s="3" t="s">
        <v>169</v>
      </c>
      <c r="NUE29" s="3" t="s">
        <v>168</v>
      </c>
      <c r="NUF29" s="3" t="s">
        <v>169</v>
      </c>
      <c r="NUG29" s="3" t="s">
        <v>168</v>
      </c>
      <c r="NUH29" s="3" t="s">
        <v>169</v>
      </c>
      <c r="NUI29" s="3" t="s">
        <v>168</v>
      </c>
      <c r="NUJ29" s="3" t="s">
        <v>169</v>
      </c>
      <c r="NUK29" s="3" t="s">
        <v>168</v>
      </c>
      <c r="NUL29" s="3" t="s">
        <v>169</v>
      </c>
      <c r="NUM29" s="3" t="s">
        <v>168</v>
      </c>
      <c r="NUN29" s="3" t="s">
        <v>169</v>
      </c>
      <c r="NUO29" s="3" t="s">
        <v>168</v>
      </c>
      <c r="NUP29" s="3" t="s">
        <v>169</v>
      </c>
      <c r="NUQ29" s="3" t="s">
        <v>168</v>
      </c>
      <c r="NUR29" s="3" t="s">
        <v>169</v>
      </c>
      <c r="NUS29" s="3" t="s">
        <v>168</v>
      </c>
      <c r="NUT29" s="3" t="s">
        <v>169</v>
      </c>
      <c r="NUU29" s="3" t="s">
        <v>168</v>
      </c>
      <c r="NUV29" s="3" t="s">
        <v>169</v>
      </c>
      <c r="NUW29" s="3" t="s">
        <v>168</v>
      </c>
      <c r="NUX29" s="3" t="s">
        <v>169</v>
      </c>
      <c r="NUY29" s="3" t="s">
        <v>168</v>
      </c>
      <c r="NUZ29" s="3" t="s">
        <v>169</v>
      </c>
      <c r="NVA29" s="3" t="s">
        <v>168</v>
      </c>
      <c r="NVB29" s="3" t="s">
        <v>169</v>
      </c>
      <c r="NVC29" s="3" t="s">
        <v>168</v>
      </c>
      <c r="NVD29" s="3" t="s">
        <v>169</v>
      </c>
      <c r="NVE29" s="3" t="s">
        <v>168</v>
      </c>
      <c r="NVF29" s="3" t="s">
        <v>169</v>
      </c>
      <c r="NVG29" s="3" t="s">
        <v>168</v>
      </c>
      <c r="NVH29" s="3" t="s">
        <v>169</v>
      </c>
      <c r="NVI29" s="3" t="s">
        <v>168</v>
      </c>
      <c r="NVJ29" s="3" t="s">
        <v>169</v>
      </c>
      <c r="NVK29" s="3" t="s">
        <v>168</v>
      </c>
      <c r="NVL29" s="3" t="s">
        <v>169</v>
      </c>
      <c r="NVM29" s="3" t="s">
        <v>168</v>
      </c>
      <c r="NVN29" s="3" t="s">
        <v>169</v>
      </c>
      <c r="NVO29" s="3" t="s">
        <v>168</v>
      </c>
      <c r="NVP29" s="3" t="s">
        <v>169</v>
      </c>
      <c r="NVQ29" s="3" t="s">
        <v>168</v>
      </c>
      <c r="NVR29" s="3" t="s">
        <v>169</v>
      </c>
      <c r="NVS29" s="3" t="s">
        <v>168</v>
      </c>
      <c r="NVT29" s="3" t="s">
        <v>169</v>
      </c>
      <c r="NVU29" s="3" t="s">
        <v>168</v>
      </c>
      <c r="NVV29" s="3" t="s">
        <v>169</v>
      </c>
      <c r="NVW29" s="3" t="s">
        <v>168</v>
      </c>
      <c r="NVX29" s="3" t="s">
        <v>169</v>
      </c>
      <c r="NVY29" s="3" t="s">
        <v>168</v>
      </c>
      <c r="NVZ29" s="3" t="s">
        <v>169</v>
      </c>
      <c r="NWA29" s="3" t="s">
        <v>168</v>
      </c>
      <c r="NWB29" s="3" t="s">
        <v>169</v>
      </c>
      <c r="NWC29" s="3" t="s">
        <v>168</v>
      </c>
      <c r="NWD29" s="3" t="s">
        <v>169</v>
      </c>
      <c r="NWE29" s="3" t="s">
        <v>168</v>
      </c>
      <c r="NWF29" s="3" t="s">
        <v>169</v>
      </c>
      <c r="NWG29" s="3" t="s">
        <v>168</v>
      </c>
      <c r="NWH29" s="3" t="s">
        <v>169</v>
      </c>
      <c r="NWI29" s="3" t="s">
        <v>168</v>
      </c>
      <c r="NWJ29" s="3" t="s">
        <v>169</v>
      </c>
      <c r="NWK29" s="3" t="s">
        <v>168</v>
      </c>
      <c r="NWL29" s="3" t="s">
        <v>169</v>
      </c>
      <c r="NWM29" s="3" t="s">
        <v>168</v>
      </c>
      <c r="NWN29" s="3" t="s">
        <v>169</v>
      </c>
      <c r="NWO29" s="3" t="s">
        <v>168</v>
      </c>
      <c r="NWP29" s="3" t="s">
        <v>169</v>
      </c>
      <c r="NWQ29" s="3" t="s">
        <v>168</v>
      </c>
      <c r="NWR29" s="3" t="s">
        <v>169</v>
      </c>
      <c r="NWS29" s="3" t="s">
        <v>168</v>
      </c>
      <c r="NWT29" s="3" t="s">
        <v>169</v>
      </c>
      <c r="NWU29" s="3" t="s">
        <v>168</v>
      </c>
      <c r="NWV29" s="3" t="s">
        <v>169</v>
      </c>
      <c r="NWW29" s="3" t="s">
        <v>168</v>
      </c>
      <c r="NWX29" s="3" t="s">
        <v>169</v>
      </c>
      <c r="NWY29" s="3" t="s">
        <v>168</v>
      </c>
      <c r="NWZ29" s="3" t="s">
        <v>169</v>
      </c>
      <c r="NXA29" s="3" t="s">
        <v>168</v>
      </c>
      <c r="NXB29" s="3" t="s">
        <v>169</v>
      </c>
      <c r="NXC29" s="3" t="s">
        <v>168</v>
      </c>
      <c r="NXD29" s="3" t="s">
        <v>169</v>
      </c>
      <c r="NXE29" s="3" t="s">
        <v>168</v>
      </c>
      <c r="NXF29" s="3" t="s">
        <v>169</v>
      </c>
      <c r="NXG29" s="3" t="s">
        <v>168</v>
      </c>
      <c r="NXH29" s="3" t="s">
        <v>169</v>
      </c>
      <c r="NXI29" s="3" t="s">
        <v>168</v>
      </c>
      <c r="NXJ29" s="3" t="s">
        <v>169</v>
      </c>
      <c r="NXK29" s="3" t="s">
        <v>168</v>
      </c>
      <c r="NXL29" s="3" t="s">
        <v>169</v>
      </c>
      <c r="NXM29" s="3" t="s">
        <v>168</v>
      </c>
      <c r="NXN29" s="3" t="s">
        <v>169</v>
      </c>
      <c r="NXO29" s="3" t="s">
        <v>168</v>
      </c>
      <c r="NXP29" s="3" t="s">
        <v>169</v>
      </c>
      <c r="NXQ29" s="3" t="s">
        <v>168</v>
      </c>
      <c r="NXR29" s="3" t="s">
        <v>169</v>
      </c>
      <c r="NXS29" s="3" t="s">
        <v>168</v>
      </c>
      <c r="NXT29" s="3" t="s">
        <v>169</v>
      </c>
      <c r="NXU29" s="3" t="s">
        <v>168</v>
      </c>
      <c r="NXV29" s="3" t="s">
        <v>169</v>
      </c>
      <c r="NXW29" s="3" t="s">
        <v>168</v>
      </c>
      <c r="NXX29" s="3" t="s">
        <v>169</v>
      </c>
      <c r="NXY29" s="3" t="s">
        <v>168</v>
      </c>
      <c r="NXZ29" s="3" t="s">
        <v>169</v>
      </c>
      <c r="NYA29" s="3" t="s">
        <v>168</v>
      </c>
      <c r="NYB29" s="3" t="s">
        <v>169</v>
      </c>
      <c r="NYC29" s="3" t="s">
        <v>168</v>
      </c>
      <c r="NYD29" s="3" t="s">
        <v>169</v>
      </c>
      <c r="NYE29" s="3" t="s">
        <v>168</v>
      </c>
      <c r="NYF29" s="3" t="s">
        <v>169</v>
      </c>
      <c r="NYG29" s="3" t="s">
        <v>168</v>
      </c>
      <c r="NYH29" s="3" t="s">
        <v>169</v>
      </c>
      <c r="NYI29" s="3" t="s">
        <v>168</v>
      </c>
      <c r="NYJ29" s="3" t="s">
        <v>169</v>
      </c>
      <c r="NYK29" s="3" t="s">
        <v>168</v>
      </c>
      <c r="NYL29" s="3" t="s">
        <v>169</v>
      </c>
      <c r="NYM29" s="3" t="s">
        <v>168</v>
      </c>
      <c r="NYN29" s="3" t="s">
        <v>169</v>
      </c>
      <c r="NYO29" s="3" t="s">
        <v>168</v>
      </c>
      <c r="NYP29" s="3" t="s">
        <v>169</v>
      </c>
      <c r="NYQ29" s="3" t="s">
        <v>168</v>
      </c>
      <c r="NYR29" s="3" t="s">
        <v>169</v>
      </c>
      <c r="NYS29" s="3" t="s">
        <v>168</v>
      </c>
      <c r="NYT29" s="3" t="s">
        <v>169</v>
      </c>
      <c r="NYU29" s="3" t="s">
        <v>168</v>
      </c>
      <c r="NYV29" s="3" t="s">
        <v>169</v>
      </c>
      <c r="NYW29" s="3" t="s">
        <v>168</v>
      </c>
      <c r="NYX29" s="3" t="s">
        <v>169</v>
      </c>
      <c r="NYY29" s="3" t="s">
        <v>168</v>
      </c>
      <c r="NYZ29" s="3" t="s">
        <v>169</v>
      </c>
      <c r="NZA29" s="3" t="s">
        <v>168</v>
      </c>
      <c r="NZB29" s="3" t="s">
        <v>169</v>
      </c>
      <c r="NZC29" s="3" t="s">
        <v>168</v>
      </c>
      <c r="NZD29" s="3" t="s">
        <v>169</v>
      </c>
      <c r="NZE29" s="3" t="s">
        <v>168</v>
      </c>
      <c r="NZF29" s="3" t="s">
        <v>169</v>
      </c>
      <c r="NZG29" s="3" t="s">
        <v>168</v>
      </c>
      <c r="NZH29" s="3" t="s">
        <v>169</v>
      </c>
      <c r="NZI29" s="3" t="s">
        <v>168</v>
      </c>
      <c r="NZJ29" s="3" t="s">
        <v>169</v>
      </c>
      <c r="NZK29" s="3" t="s">
        <v>168</v>
      </c>
      <c r="NZL29" s="3" t="s">
        <v>169</v>
      </c>
      <c r="NZM29" s="3" t="s">
        <v>168</v>
      </c>
      <c r="NZN29" s="3" t="s">
        <v>169</v>
      </c>
      <c r="NZO29" s="3" t="s">
        <v>168</v>
      </c>
      <c r="NZP29" s="3" t="s">
        <v>169</v>
      </c>
      <c r="NZQ29" s="3" t="s">
        <v>168</v>
      </c>
      <c r="NZR29" s="3" t="s">
        <v>169</v>
      </c>
      <c r="NZS29" s="3" t="s">
        <v>168</v>
      </c>
      <c r="NZT29" s="3" t="s">
        <v>169</v>
      </c>
      <c r="NZU29" s="3" t="s">
        <v>168</v>
      </c>
      <c r="NZV29" s="3" t="s">
        <v>169</v>
      </c>
      <c r="NZW29" s="3" t="s">
        <v>168</v>
      </c>
      <c r="NZX29" s="3" t="s">
        <v>169</v>
      </c>
      <c r="NZY29" s="3" t="s">
        <v>168</v>
      </c>
      <c r="NZZ29" s="3" t="s">
        <v>169</v>
      </c>
      <c r="OAA29" s="3" t="s">
        <v>168</v>
      </c>
      <c r="OAB29" s="3" t="s">
        <v>169</v>
      </c>
      <c r="OAC29" s="3" t="s">
        <v>168</v>
      </c>
      <c r="OAD29" s="3" t="s">
        <v>169</v>
      </c>
      <c r="OAE29" s="3" t="s">
        <v>168</v>
      </c>
      <c r="OAF29" s="3" t="s">
        <v>169</v>
      </c>
      <c r="OAG29" s="3" t="s">
        <v>168</v>
      </c>
      <c r="OAH29" s="3" t="s">
        <v>169</v>
      </c>
      <c r="OAI29" s="3" t="s">
        <v>168</v>
      </c>
      <c r="OAJ29" s="3" t="s">
        <v>169</v>
      </c>
      <c r="OAK29" s="3" t="s">
        <v>168</v>
      </c>
      <c r="OAL29" s="3" t="s">
        <v>169</v>
      </c>
      <c r="OAM29" s="3" t="s">
        <v>168</v>
      </c>
      <c r="OAN29" s="3" t="s">
        <v>169</v>
      </c>
      <c r="OAO29" s="3" t="s">
        <v>168</v>
      </c>
      <c r="OAP29" s="3" t="s">
        <v>169</v>
      </c>
      <c r="OAQ29" s="3" t="s">
        <v>168</v>
      </c>
      <c r="OAR29" s="3" t="s">
        <v>169</v>
      </c>
      <c r="OAS29" s="3" t="s">
        <v>168</v>
      </c>
      <c r="OAT29" s="3" t="s">
        <v>169</v>
      </c>
      <c r="OAU29" s="3" t="s">
        <v>168</v>
      </c>
      <c r="OAV29" s="3" t="s">
        <v>169</v>
      </c>
      <c r="OAW29" s="3" t="s">
        <v>168</v>
      </c>
      <c r="OAX29" s="3" t="s">
        <v>169</v>
      </c>
      <c r="OAY29" s="3" t="s">
        <v>168</v>
      </c>
      <c r="OAZ29" s="3" t="s">
        <v>169</v>
      </c>
      <c r="OBA29" s="3" t="s">
        <v>168</v>
      </c>
      <c r="OBB29" s="3" t="s">
        <v>169</v>
      </c>
      <c r="OBC29" s="3" t="s">
        <v>168</v>
      </c>
      <c r="OBD29" s="3" t="s">
        <v>169</v>
      </c>
      <c r="OBE29" s="3" t="s">
        <v>168</v>
      </c>
      <c r="OBF29" s="3" t="s">
        <v>169</v>
      </c>
      <c r="OBG29" s="3" t="s">
        <v>168</v>
      </c>
      <c r="OBH29" s="3" t="s">
        <v>169</v>
      </c>
      <c r="OBI29" s="3" t="s">
        <v>168</v>
      </c>
      <c r="OBJ29" s="3" t="s">
        <v>169</v>
      </c>
      <c r="OBK29" s="3" t="s">
        <v>168</v>
      </c>
      <c r="OBL29" s="3" t="s">
        <v>169</v>
      </c>
      <c r="OBM29" s="3" t="s">
        <v>168</v>
      </c>
      <c r="OBN29" s="3" t="s">
        <v>169</v>
      </c>
      <c r="OBO29" s="3" t="s">
        <v>168</v>
      </c>
      <c r="OBP29" s="3" t="s">
        <v>169</v>
      </c>
      <c r="OBQ29" s="3" t="s">
        <v>168</v>
      </c>
      <c r="OBR29" s="3" t="s">
        <v>169</v>
      </c>
      <c r="OBS29" s="3" t="s">
        <v>168</v>
      </c>
      <c r="OBT29" s="3" t="s">
        <v>169</v>
      </c>
      <c r="OBU29" s="3" t="s">
        <v>168</v>
      </c>
      <c r="OBV29" s="3" t="s">
        <v>169</v>
      </c>
      <c r="OBW29" s="3" t="s">
        <v>168</v>
      </c>
      <c r="OBX29" s="3" t="s">
        <v>169</v>
      </c>
      <c r="OBY29" s="3" t="s">
        <v>168</v>
      </c>
      <c r="OBZ29" s="3" t="s">
        <v>169</v>
      </c>
      <c r="OCA29" s="3" t="s">
        <v>168</v>
      </c>
      <c r="OCB29" s="3" t="s">
        <v>169</v>
      </c>
      <c r="OCC29" s="3" t="s">
        <v>168</v>
      </c>
      <c r="OCD29" s="3" t="s">
        <v>169</v>
      </c>
      <c r="OCE29" s="3" t="s">
        <v>168</v>
      </c>
      <c r="OCF29" s="3" t="s">
        <v>169</v>
      </c>
      <c r="OCG29" s="3" t="s">
        <v>168</v>
      </c>
      <c r="OCH29" s="3" t="s">
        <v>169</v>
      </c>
      <c r="OCI29" s="3" t="s">
        <v>168</v>
      </c>
      <c r="OCJ29" s="3" t="s">
        <v>169</v>
      </c>
      <c r="OCK29" s="3" t="s">
        <v>168</v>
      </c>
      <c r="OCL29" s="3" t="s">
        <v>169</v>
      </c>
      <c r="OCM29" s="3" t="s">
        <v>168</v>
      </c>
      <c r="OCN29" s="3" t="s">
        <v>169</v>
      </c>
      <c r="OCO29" s="3" t="s">
        <v>168</v>
      </c>
      <c r="OCP29" s="3" t="s">
        <v>169</v>
      </c>
      <c r="OCQ29" s="3" t="s">
        <v>168</v>
      </c>
      <c r="OCR29" s="3" t="s">
        <v>169</v>
      </c>
      <c r="OCS29" s="3" t="s">
        <v>168</v>
      </c>
      <c r="OCT29" s="3" t="s">
        <v>169</v>
      </c>
      <c r="OCU29" s="3" t="s">
        <v>168</v>
      </c>
      <c r="OCV29" s="3" t="s">
        <v>169</v>
      </c>
      <c r="OCW29" s="3" t="s">
        <v>168</v>
      </c>
      <c r="OCX29" s="3" t="s">
        <v>169</v>
      </c>
      <c r="OCY29" s="3" t="s">
        <v>168</v>
      </c>
      <c r="OCZ29" s="3" t="s">
        <v>169</v>
      </c>
      <c r="ODA29" s="3" t="s">
        <v>168</v>
      </c>
      <c r="ODB29" s="3" t="s">
        <v>169</v>
      </c>
      <c r="ODC29" s="3" t="s">
        <v>168</v>
      </c>
      <c r="ODD29" s="3" t="s">
        <v>169</v>
      </c>
      <c r="ODE29" s="3" t="s">
        <v>168</v>
      </c>
      <c r="ODF29" s="3" t="s">
        <v>169</v>
      </c>
      <c r="ODG29" s="3" t="s">
        <v>168</v>
      </c>
      <c r="ODH29" s="3" t="s">
        <v>169</v>
      </c>
      <c r="ODI29" s="3" t="s">
        <v>168</v>
      </c>
      <c r="ODJ29" s="3" t="s">
        <v>169</v>
      </c>
      <c r="ODK29" s="3" t="s">
        <v>168</v>
      </c>
      <c r="ODL29" s="3" t="s">
        <v>169</v>
      </c>
      <c r="ODM29" s="3" t="s">
        <v>168</v>
      </c>
      <c r="ODN29" s="3" t="s">
        <v>169</v>
      </c>
      <c r="ODO29" s="3" t="s">
        <v>168</v>
      </c>
      <c r="ODP29" s="3" t="s">
        <v>169</v>
      </c>
      <c r="ODQ29" s="3" t="s">
        <v>168</v>
      </c>
      <c r="ODR29" s="3" t="s">
        <v>169</v>
      </c>
      <c r="ODS29" s="3" t="s">
        <v>168</v>
      </c>
      <c r="ODT29" s="3" t="s">
        <v>169</v>
      </c>
      <c r="ODU29" s="3" t="s">
        <v>168</v>
      </c>
      <c r="ODV29" s="3" t="s">
        <v>169</v>
      </c>
      <c r="ODW29" s="3" t="s">
        <v>168</v>
      </c>
      <c r="ODX29" s="3" t="s">
        <v>169</v>
      </c>
      <c r="ODY29" s="3" t="s">
        <v>168</v>
      </c>
      <c r="ODZ29" s="3" t="s">
        <v>169</v>
      </c>
      <c r="OEA29" s="3" t="s">
        <v>168</v>
      </c>
      <c r="OEB29" s="3" t="s">
        <v>169</v>
      </c>
      <c r="OEC29" s="3" t="s">
        <v>168</v>
      </c>
      <c r="OED29" s="3" t="s">
        <v>169</v>
      </c>
      <c r="OEE29" s="3" t="s">
        <v>168</v>
      </c>
      <c r="OEF29" s="3" t="s">
        <v>169</v>
      </c>
      <c r="OEG29" s="3" t="s">
        <v>168</v>
      </c>
      <c r="OEH29" s="3" t="s">
        <v>169</v>
      </c>
      <c r="OEI29" s="3" t="s">
        <v>168</v>
      </c>
      <c r="OEJ29" s="3" t="s">
        <v>169</v>
      </c>
      <c r="OEK29" s="3" t="s">
        <v>168</v>
      </c>
      <c r="OEL29" s="3" t="s">
        <v>169</v>
      </c>
      <c r="OEM29" s="3" t="s">
        <v>168</v>
      </c>
      <c r="OEN29" s="3" t="s">
        <v>169</v>
      </c>
      <c r="OEO29" s="3" t="s">
        <v>168</v>
      </c>
      <c r="OEP29" s="3" t="s">
        <v>169</v>
      </c>
      <c r="OEQ29" s="3" t="s">
        <v>168</v>
      </c>
      <c r="OER29" s="3" t="s">
        <v>169</v>
      </c>
      <c r="OES29" s="3" t="s">
        <v>168</v>
      </c>
      <c r="OET29" s="3" t="s">
        <v>169</v>
      </c>
      <c r="OEU29" s="3" t="s">
        <v>168</v>
      </c>
      <c r="OEV29" s="3" t="s">
        <v>169</v>
      </c>
      <c r="OEW29" s="3" t="s">
        <v>168</v>
      </c>
      <c r="OEX29" s="3" t="s">
        <v>169</v>
      </c>
      <c r="OEY29" s="3" t="s">
        <v>168</v>
      </c>
      <c r="OEZ29" s="3" t="s">
        <v>169</v>
      </c>
      <c r="OFA29" s="3" t="s">
        <v>168</v>
      </c>
      <c r="OFB29" s="3" t="s">
        <v>169</v>
      </c>
      <c r="OFC29" s="3" t="s">
        <v>168</v>
      </c>
      <c r="OFD29" s="3" t="s">
        <v>169</v>
      </c>
      <c r="OFE29" s="3" t="s">
        <v>168</v>
      </c>
      <c r="OFF29" s="3" t="s">
        <v>169</v>
      </c>
      <c r="OFG29" s="3" t="s">
        <v>168</v>
      </c>
      <c r="OFH29" s="3" t="s">
        <v>169</v>
      </c>
      <c r="OFI29" s="3" t="s">
        <v>168</v>
      </c>
      <c r="OFJ29" s="3" t="s">
        <v>169</v>
      </c>
      <c r="OFK29" s="3" t="s">
        <v>168</v>
      </c>
      <c r="OFL29" s="3" t="s">
        <v>169</v>
      </c>
      <c r="OFM29" s="3" t="s">
        <v>168</v>
      </c>
      <c r="OFN29" s="3" t="s">
        <v>169</v>
      </c>
      <c r="OFO29" s="3" t="s">
        <v>168</v>
      </c>
      <c r="OFP29" s="3" t="s">
        <v>169</v>
      </c>
      <c r="OFQ29" s="3" t="s">
        <v>168</v>
      </c>
      <c r="OFR29" s="3" t="s">
        <v>169</v>
      </c>
      <c r="OFS29" s="3" t="s">
        <v>168</v>
      </c>
      <c r="OFT29" s="3" t="s">
        <v>169</v>
      </c>
      <c r="OFU29" s="3" t="s">
        <v>168</v>
      </c>
      <c r="OFV29" s="3" t="s">
        <v>169</v>
      </c>
      <c r="OFW29" s="3" t="s">
        <v>168</v>
      </c>
      <c r="OFX29" s="3" t="s">
        <v>169</v>
      </c>
      <c r="OFY29" s="3" t="s">
        <v>168</v>
      </c>
      <c r="OFZ29" s="3" t="s">
        <v>169</v>
      </c>
      <c r="OGA29" s="3" t="s">
        <v>168</v>
      </c>
      <c r="OGB29" s="3" t="s">
        <v>169</v>
      </c>
      <c r="OGC29" s="3" t="s">
        <v>168</v>
      </c>
      <c r="OGD29" s="3" t="s">
        <v>169</v>
      </c>
      <c r="OGE29" s="3" t="s">
        <v>168</v>
      </c>
      <c r="OGF29" s="3" t="s">
        <v>169</v>
      </c>
      <c r="OGG29" s="3" t="s">
        <v>168</v>
      </c>
      <c r="OGH29" s="3" t="s">
        <v>169</v>
      </c>
      <c r="OGI29" s="3" t="s">
        <v>168</v>
      </c>
      <c r="OGJ29" s="3" t="s">
        <v>169</v>
      </c>
      <c r="OGK29" s="3" t="s">
        <v>168</v>
      </c>
      <c r="OGL29" s="3" t="s">
        <v>169</v>
      </c>
      <c r="OGM29" s="3" t="s">
        <v>168</v>
      </c>
      <c r="OGN29" s="3" t="s">
        <v>169</v>
      </c>
      <c r="OGO29" s="3" t="s">
        <v>168</v>
      </c>
      <c r="OGP29" s="3" t="s">
        <v>169</v>
      </c>
      <c r="OGQ29" s="3" t="s">
        <v>168</v>
      </c>
      <c r="OGR29" s="3" t="s">
        <v>169</v>
      </c>
      <c r="OGS29" s="3" t="s">
        <v>168</v>
      </c>
      <c r="OGT29" s="3" t="s">
        <v>169</v>
      </c>
      <c r="OGU29" s="3" t="s">
        <v>168</v>
      </c>
      <c r="OGV29" s="3" t="s">
        <v>169</v>
      </c>
      <c r="OGW29" s="3" t="s">
        <v>168</v>
      </c>
      <c r="OGX29" s="3" t="s">
        <v>169</v>
      </c>
      <c r="OGY29" s="3" t="s">
        <v>168</v>
      </c>
      <c r="OGZ29" s="3" t="s">
        <v>169</v>
      </c>
      <c r="OHA29" s="3" t="s">
        <v>168</v>
      </c>
      <c r="OHB29" s="3" t="s">
        <v>169</v>
      </c>
      <c r="OHC29" s="3" t="s">
        <v>168</v>
      </c>
      <c r="OHD29" s="3" t="s">
        <v>169</v>
      </c>
      <c r="OHE29" s="3" t="s">
        <v>168</v>
      </c>
      <c r="OHF29" s="3" t="s">
        <v>169</v>
      </c>
      <c r="OHG29" s="3" t="s">
        <v>168</v>
      </c>
      <c r="OHH29" s="3" t="s">
        <v>169</v>
      </c>
      <c r="OHI29" s="3" t="s">
        <v>168</v>
      </c>
      <c r="OHJ29" s="3" t="s">
        <v>169</v>
      </c>
      <c r="OHK29" s="3" t="s">
        <v>168</v>
      </c>
      <c r="OHL29" s="3" t="s">
        <v>169</v>
      </c>
      <c r="OHM29" s="3" t="s">
        <v>168</v>
      </c>
      <c r="OHN29" s="3" t="s">
        <v>169</v>
      </c>
      <c r="OHO29" s="3" t="s">
        <v>168</v>
      </c>
      <c r="OHP29" s="3" t="s">
        <v>169</v>
      </c>
      <c r="OHQ29" s="3" t="s">
        <v>168</v>
      </c>
      <c r="OHR29" s="3" t="s">
        <v>169</v>
      </c>
      <c r="OHS29" s="3" t="s">
        <v>168</v>
      </c>
      <c r="OHT29" s="3" t="s">
        <v>169</v>
      </c>
      <c r="OHU29" s="3" t="s">
        <v>168</v>
      </c>
      <c r="OHV29" s="3" t="s">
        <v>169</v>
      </c>
      <c r="OHW29" s="3" t="s">
        <v>168</v>
      </c>
      <c r="OHX29" s="3" t="s">
        <v>169</v>
      </c>
      <c r="OHY29" s="3" t="s">
        <v>168</v>
      </c>
      <c r="OHZ29" s="3" t="s">
        <v>169</v>
      </c>
      <c r="OIA29" s="3" t="s">
        <v>168</v>
      </c>
      <c r="OIB29" s="3" t="s">
        <v>169</v>
      </c>
      <c r="OIC29" s="3" t="s">
        <v>168</v>
      </c>
      <c r="OID29" s="3" t="s">
        <v>169</v>
      </c>
      <c r="OIE29" s="3" t="s">
        <v>168</v>
      </c>
      <c r="OIF29" s="3" t="s">
        <v>169</v>
      </c>
      <c r="OIG29" s="3" t="s">
        <v>168</v>
      </c>
      <c r="OIH29" s="3" t="s">
        <v>169</v>
      </c>
      <c r="OII29" s="3" t="s">
        <v>168</v>
      </c>
      <c r="OIJ29" s="3" t="s">
        <v>169</v>
      </c>
      <c r="OIK29" s="3" t="s">
        <v>168</v>
      </c>
      <c r="OIL29" s="3" t="s">
        <v>169</v>
      </c>
      <c r="OIM29" s="3" t="s">
        <v>168</v>
      </c>
      <c r="OIN29" s="3" t="s">
        <v>169</v>
      </c>
      <c r="OIO29" s="3" t="s">
        <v>168</v>
      </c>
      <c r="OIP29" s="3" t="s">
        <v>169</v>
      </c>
      <c r="OIQ29" s="3" t="s">
        <v>168</v>
      </c>
      <c r="OIR29" s="3" t="s">
        <v>169</v>
      </c>
      <c r="OIS29" s="3" t="s">
        <v>168</v>
      </c>
      <c r="OIT29" s="3" t="s">
        <v>169</v>
      </c>
      <c r="OIU29" s="3" t="s">
        <v>168</v>
      </c>
      <c r="OIV29" s="3" t="s">
        <v>169</v>
      </c>
      <c r="OIW29" s="3" t="s">
        <v>168</v>
      </c>
      <c r="OIX29" s="3" t="s">
        <v>169</v>
      </c>
      <c r="OIY29" s="3" t="s">
        <v>168</v>
      </c>
      <c r="OIZ29" s="3" t="s">
        <v>169</v>
      </c>
      <c r="OJA29" s="3" t="s">
        <v>168</v>
      </c>
      <c r="OJB29" s="3" t="s">
        <v>169</v>
      </c>
      <c r="OJC29" s="3" t="s">
        <v>168</v>
      </c>
      <c r="OJD29" s="3" t="s">
        <v>169</v>
      </c>
      <c r="OJE29" s="3" t="s">
        <v>168</v>
      </c>
      <c r="OJF29" s="3" t="s">
        <v>169</v>
      </c>
      <c r="OJG29" s="3" t="s">
        <v>168</v>
      </c>
      <c r="OJH29" s="3" t="s">
        <v>169</v>
      </c>
      <c r="OJI29" s="3" t="s">
        <v>168</v>
      </c>
      <c r="OJJ29" s="3" t="s">
        <v>169</v>
      </c>
      <c r="OJK29" s="3" t="s">
        <v>168</v>
      </c>
      <c r="OJL29" s="3" t="s">
        <v>169</v>
      </c>
      <c r="OJM29" s="3" t="s">
        <v>168</v>
      </c>
      <c r="OJN29" s="3" t="s">
        <v>169</v>
      </c>
      <c r="OJO29" s="3" t="s">
        <v>168</v>
      </c>
      <c r="OJP29" s="3" t="s">
        <v>169</v>
      </c>
      <c r="OJQ29" s="3" t="s">
        <v>168</v>
      </c>
      <c r="OJR29" s="3" t="s">
        <v>169</v>
      </c>
      <c r="OJS29" s="3" t="s">
        <v>168</v>
      </c>
      <c r="OJT29" s="3" t="s">
        <v>169</v>
      </c>
      <c r="OJU29" s="3" t="s">
        <v>168</v>
      </c>
      <c r="OJV29" s="3" t="s">
        <v>169</v>
      </c>
      <c r="OJW29" s="3" t="s">
        <v>168</v>
      </c>
      <c r="OJX29" s="3" t="s">
        <v>169</v>
      </c>
      <c r="OJY29" s="3" t="s">
        <v>168</v>
      </c>
      <c r="OJZ29" s="3" t="s">
        <v>169</v>
      </c>
      <c r="OKA29" s="3" t="s">
        <v>168</v>
      </c>
      <c r="OKB29" s="3" t="s">
        <v>169</v>
      </c>
      <c r="OKC29" s="3" t="s">
        <v>168</v>
      </c>
      <c r="OKD29" s="3" t="s">
        <v>169</v>
      </c>
      <c r="OKE29" s="3" t="s">
        <v>168</v>
      </c>
      <c r="OKF29" s="3" t="s">
        <v>169</v>
      </c>
      <c r="OKG29" s="3" t="s">
        <v>168</v>
      </c>
      <c r="OKH29" s="3" t="s">
        <v>169</v>
      </c>
      <c r="OKI29" s="3" t="s">
        <v>168</v>
      </c>
      <c r="OKJ29" s="3" t="s">
        <v>169</v>
      </c>
      <c r="OKK29" s="3" t="s">
        <v>168</v>
      </c>
      <c r="OKL29" s="3" t="s">
        <v>169</v>
      </c>
      <c r="OKM29" s="3" t="s">
        <v>168</v>
      </c>
      <c r="OKN29" s="3" t="s">
        <v>169</v>
      </c>
      <c r="OKO29" s="3" t="s">
        <v>168</v>
      </c>
      <c r="OKP29" s="3" t="s">
        <v>169</v>
      </c>
      <c r="OKQ29" s="3" t="s">
        <v>168</v>
      </c>
      <c r="OKR29" s="3" t="s">
        <v>169</v>
      </c>
      <c r="OKS29" s="3" t="s">
        <v>168</v>
      </c>
      <c r="OKT29" s="3" t="s">
        <v>169</v>
      </c>
      <c r="OKU29" s="3" t="s">
        <v>168</v>
      </c>
      <c r="OKV29" s="3" t="s">
        <v>169</v>
      </c>
      <c r="OKW29" s="3" t="s">
        <v>168</v>
      </c>
      <c r="OKX29" s="3" t="s">
        <v>169</v>
      </c>
      <c r="OKY29" s="3" t="s">
        <v>168</v>
      </c>
      <c r="OKZ29" s="3" t="s">
        <v>169</v>
      </c>
      <c r="OLA29" s="3" t="s">
        <v>168</v>
      </c>
      <c r="OLB29" s="3" t="s">
        <v>169</v>
      </c>
      <c r="OLC29" s="3" t="s">
        <v>168</v>
      </c>
      <c r="OLD29" s="3" t="s">
        <v>169</v>
      </c>
      <c r="OLE29" s="3" t="s">
        <v>168</v>
      </c>
      <c r="OLF29" s="3" t="s">
        <v>169</v>
      </c>
      <c r="OLG29" s="3" t="s">
        <v>168</v>
      </c>
      <c r="OLH29" s="3" t="s">
        <v>169</v>
      </c>
      <c r="OLI29" s="3" t="s">
        <v>168</v>
      </c>
      <c r="OLJ29" s="3" t="s">
        <v>169</v>
      </c>
      <c r="OLK29" s="3" t="s">
        <v>168</v>
      </c>
      <c r="OLL29" s="3" t="s">
        <v>169</v>
      </c>
      <c r="OLM29" s="3" t="s">
        <v>168</v>
      </c>
      <c r="OLN29" s="3" t="s">
        <v>169</v>
      </c>
      <c r="OLO29" s="3" t="s">
        <v>168</v>
      </c>
      <c r="OLP29" s="3" t="s">
        <v>169</v>
      </c>
      <c r="OLQ29" s="3" t="s">
        <v>168</v>
      </c>
      <c r="OLR29" s="3" t="s">
        <v>169</v>
      </c>
      <c r="OLS29" s="3" t="s">
        <v>168</v>
      </c>
      <c r="OLT29" s="3" t="s">
        <v>169</v>
      </c>
      <c r="OLU29" s="3" t="s">
        <v>168</v>
      </c>
      <c r="OLV29" s="3" t="s">
        <v>169</v>
      </c>
      <c r="OLW29" s="3" t="s">
        <v>168</v>
      </c>
      <c r="OLX29" s="3" t="s">
        <v>169</v>
      </c>
      <c r="OLY29" s="3" t="s">
        <v>168</v>
      </c>
      <c r="OLZ29" s="3" t="s">
        <v>169</v>
      </c>
      <c r="OMA29" s="3" t="s">
        <v>168</v>
      </c>
      <c r="OMB29" s="3" t="s">
        <v>169</v>
      </c>
      <c r="OMC29" s="3" t="s">
        <v>168</v>
      </c>
      <c r="OMD29" s="3" t="s">
        <v>169</v>
      </c>
      <c r="OME29" s="3" t="s">
        <v>168</v>
      </c>
      <c r="OMF29" s="3" t="s">
        <v>169</v>
      </c>
      <c r="OMG29" s="3" t="s">
        <v>168</v>
      </c>
      <c r="OMH29" s="3" t="s">
        <v>169</v>
      </c>
      <c r="OMI29" s="3" t="s">
        <v>168</v>
      </c>
      <c r="OMJ29" s="3" t="s">
        <v>169</v>
      </c>
      <c r="OMK29" s="3" t="s">
        <v>168</v>
      </c>
      <c r="OML29" s="3" t="s">
        <v>169</v>
      </c>
      <c r="OMM29" s="3" t="s">
        <v>168</v>
      </c>
      <c r="OMN29" s="3" t="s">
        <v>169</v>
      </c>
      <c r="OMO29" s="3" t="s">
        <v>168</v>
      </c>
      <c r="OMP29" s="3" t="s">
        <v>169</v>
      </c>
      <c r="OMQ29" s="3" t="s">
        <v>168</v>
      </c>
      <c r="OMR29" s="3" t="s">
        <v>169</v>
      </c>
      <c r="OMS29" s="3" t="s">
        <v>168</v>
      </c>
      <c r="OMT29" s="3" t="s">
        <v>169</v>
      </c>
      <c r="OMU29" s="3" t="s">
        <v>168</v>
      </c>
      <c r="OMV29" s="3" t="s">
        <v>169</v>
      </c>
      <c r="OMW29" s="3" t="s">
        <v>168</v>
      </c>
      <c r="OMX29" s="3" t="s">
        <v>169</v>
      </c>
      <c r="OMY29" s="3" t="s">
        <v>168</v>
      </c>
      <c r="OMZ29" s="3" t="s">
        <v>169</v>
      </c>
      <c r="ONA29" s="3" t="s">
        <v>168</v>
      </c>
      <c r="ONB29" s="3" t="s">
        <v>169</v>
      </c>
      <c r="ONC29" s="3" t="s">
        <v>168</v>
      </c>
      <c r="OND29" s="3" t="s">
        <v>169</v>
      </c>
      <c r="ONE29" s="3" t="s">
        <v>168</v>
      </c>
      <c r="ONF29" s="3" t="s">
        <v>169</v>
      </c>
      <c r="ONG29" s="3" t="s">
        <v>168</v>
      </c>
      <c r="ONH29" s="3" t="s">
        <v>169</v>
      </c>
      <c r="ONI29" s="3" t="s">
        <v>168</v>
      </c>
      <c r="ONJ29" s="3" t="s">
        <v>169</v>
      </c>
      <c r="ONK29" s="3" t="s">
        <v>168</v>
      </c>
      <c r="ONL29" s="3" t="s">
        <v>169</v>
      </c>
      <c r="ONM29" s="3" t="s">
        <v>168</v>
      </c>
      <c r="ONN29" s="3" t="s">
        <v>169</v>
      </c>
      <c r="ONO29" s="3" t="s">
        <v>168</v>
      </c>
      <c r="ONP29" s="3" t="s">
        <v>169</v>
      </c>
      <c r="ONQ29" s="3" t="s">
        <v>168</v>
      </c>
      <c r="ONR29" s="3" t="s">
        <v>169</v>
      </c>
      <c r="ONS29" s="3" t="s">
        <v>168</v>
      </c>
      <c r="ONT29" s="3" t="s">
        <v>169</v>
      </c>
      <c r="ONU29" s="3" t="s">
        <v>168</v>
      </c>
      <c r="ONV29" s="3" t="s">
        <v>169</v>
      </c>
      <c r="ONW29" s="3" t="s">
        <v>168</v>
      </c>
      <c r="ONX29" s="3" t="s">
        <v>169</v>
      </c>
      <c r="ONY29" s="3" t="s">
        <v>168</v>
      </c>
      <c r="ONZ29" s="3" t="s">
        <v>169</v>
      </c>
      <c r="OOA29" s="3" t="s">
        <v>168</v>
      </c>
      <c r="OOB29" s="3" t="s">
        <v>169</v>
      </c>
      <c r="OOC29" s="3" t="s">
        <v>168</v>
      </c>
      <c r="OOD29" s="3" t="s">
        <v>169</v>
      </c>
      <c r="OOE29" s="3" t="s">
        <v>168</v>
      </c>
      <c r="OOF29" s="3" t="s">
        <v>169</v>
      </c>
      <c r="OOG29" s="3" t="s">
        <v>168</v>
      </c>
      <c r="OOH29" s="3" t="s">
        <v>169</v>
      </c>
      <c r="OOI29" s="3" t="s">
        <v>168</v>
      </c>
      <c r="OOJ29" s="3" t="s">
        <v>169</v>
      </c>
      <c r="OOK29" s="3" t="s">
        <v>168</v>
      </c>
      <c r="OOL29" s="3" t="s">
        <v>169</v>
      </c>
      <c r="OOM29" s="3" t="s">
        <v>168</v>
      </c>
      <c r="OON29" s="3" t="s">
        <v>169</v>
      </c>
      <c r="OOO29" s="3" t="s">
        <v>168</v>
      </c>
      <c r="OOP29" s="3" t="s">
        <v>169</v>
      </c>
      <c r="OOQ29" s="3" t="s">
        <v>168</v>
      </c>
      <c r="OOR29" s="3" t="s">
        <v>169</v>
      </c>
      <c r="OOS29" s="3" t="s">
        <v>168</v>
      </c>
      <c r="OOT29" s="3" t="s">
        <v>169</v>
      </c>
      <c r="OOU29" s="3" t="s">
        <v>168</v>
      </c>
      <c r="OOV29" s="3" t="s">
        <v>169</v>
      </c>
      <c r="OOW29" s="3" t="s">
        <v>168</v>
      </c>
      <c r="OOX29" s="3" t="s">
        <v>169</v>
      </c>
      <c r="OOY29" s="3" t="s">
        <v>168</v>
      </c>
      <c r="OOZ29" s="3" t="s">
        <v>169</v>
      </c>
      <c r="OPA29" s="3" t="s">
        <v>168</v>
      </c>
      <c r="OPB29" s="3" t="s">
        <v>169</v>
      </c>
      <c r="OPC29" s="3" t="s">
        <v>168</v>
      </c>
      <c r="OPD29" s="3" t="s">
        <v>169</v>
      </c>
      <c r="OPE29" s="3" t="s">
        <v>168</v>
      </c>
      <c r="OPF29" s="3" t="s">
        <v>169</v>
      </c>
      <c r="OPG29" s="3" t="s">
        <v>168</v>
      </c>
      <c r="OPH29" s="3" t="s">
        <v>169</v>
      </c>
      <c r="OPI29" s="3" t="s">
        <v>168</v>
      </c>
      <c r="OPJ29" s="3" t="s">
        <v>169</v>
      </c>
      <c r="OPK29" s="3" t="s">
        <v>168</v>
      </c>
      <c r="OPL29" s="3" t="s">
        <v>169</v>
      </c>
      <c r="OPM29" s="3" t="s">
        <v>168</v>
      </c>
      <c r="OPN29" s="3" t="s">
        <v>169</v>
      </c>
      <c r="OPO29" s="3" t="s">
        <v>168</v>
      </c>
      <c r="OPP29" s="3" t="s">
        <v>169</v>
      </c>
      <c r="OPQ29" s="3" t="s">
        <v>168</v>
      </c>
      <c r="OPR29" s="3" t="s">
        <v>169</v>
      </c>
      <c r="OPS29" s="3" t="s">
        <v>168</v>
      </c>
      <c r="OPT29" s="3" t="s">
        <v>169</v>
      </c>
      <c r="OPU29" s="3" t="s">
        <v>168</v>
      </c>
      <c r="OPV29" s="3" t="s">
        <v>169</v>
      </c>
      <c r="OPW29" s="3" t="s">
        <v>168</v>
      </c>
      <c r="OPX29" s="3" t="s">
        <v>169</v>
      </c>
      <c r="OPY29" s="3" t="s">
        <v>168</v>
      </c>
      <c r="OPZ29" s="3" t="s">
        <v>169</v>
      </c>
      <c r="OQA29" s="3" t="s">
        <v>168</v>
      </c>
      <c r="OQB29" s="3" t="s">
        <v>169</v>
      </c>
      <c r="OQC29" s="3" t="s">
        <v>168</v>
      </c>
      <c r="OQD29" s="3" t="s">
        <v>169</v>
      </c>
      <c r="OQE29" s="3" t="s">
        <v>168</v>
      </c>
      <c r="OQF29" s="3" t="s">
        <v>169</v>
      </c>
      <c r="OQG29" s="3" t="s">
        <v>168</v>
      </c>
      <c r="OQH29" s="3" t="s">
        <v>169</v>
      </c>
      <c r="OQI29" s="3" t="s">
        <v>168</v>
      </c>
      <c r="OQJ29" s="3" t="s">
        <v>169</v>
      </c>
      <c r="OQK29" s="3" t="s">
        <v>168</v>
      </c>
      <c r="OQL29" s="3" t="s">
        <v>169</v>
      </c>
      <c r="OQM29" s="3" t="s">
        <v>168</v>
      </c>
      <c r="OQN29" s="3" t="s">
        <v>169</v>
      </c>
      <c r="OQO29" s="3" t="s">
        <v>168</v>
      </c>
      <c r="OQP29" s="3" t="s">
        <v>169</v>
      </c>
      <c r="OQQ29" s="3" t="s">
        <v>168</v>
      </c>
      <c r="OQR29" s="3" t="s">
        <v>169</v>
      </c>
      <c r="OQS29" s="3" t="s">
        <v>168</v>
      </c>
      <c r="OQT29" s="3" t="s">
        <v>169</v>
      </c>
      <c r="OQU29" s="3" t="s">
        <v>168</v>
      </c>
      <c r="OQV29" s="3" t="s">
        <v>169</v>
      </c>
      <c r="OQW29" s="3" t="s">
        <v>168</v>
      </c>
      <c r="OQX29" s="3" t="s">
        <v>169</v>
      </c>
      <c r="OQY29" s="3" t="s">
        <v>168</v>
      </c>
      <c r="OQZ29" s="3" t="s">
        <v>169</v>
      </c>
      <c r="ORA29" s="3" t="s">
        <v>168</v>
      </c>
      <c r="ORB29" s="3" t="s">
        <v>169</v>
      </c>
      <c r="ORC29" s="3" t="s">
        <v>168</v>
      </c>
      <c r="ORD29" s="3" t="s">
        <v>169</v>
      </c>
      <c r="ORE29" s="3" t="s">
        <v>168</v>
      </c>
      <c r="ORF29" s="3" t="s">
        <v>169</v>
      </c>
      <c r="ORG29" s="3" t="s">
        <v>168</v>
      </c>
      <c r="ORH29" s="3" t="s">
        <v>169</v>
      </c>
      <c r="ORI29" s="3" t="s">
        <v>168</v>
      </c>
      <c r="ORJ29" s="3" t="s">
        <v>169</v>
      </c>
      <c r="ORK29" s="3" t="s">
        <v>168</v>
      </c>
      <c r="ORL29" s="3" t="s">
        <v>169</v>
      </c>
      <c r="ORM29" s="3" t="s">
        <v>168</v>
      </c>
      <c r="ORN29" s="3" t="s">
        <v>169</v>
      </c>
      <c r="ORO29" s="3" t="s">
        <v>168</v>
      </c>
      <c r="ORP29" s="3" t="s">
        <v>169</v>
      </c>
      <c r="ORQ29" s="3" t="s">
        <v>168</v>
      </c>
      <c r="ORR29" s="3" t="s">
        <v>169</v>
      </c>
      <c r="ORS29" s="3" t="s">
        <v>168</v>
      </c>
      <c r="ORT29" s="3" t="s">
        <v>169</v>
      </c>
      <c r="ORU29" s="3" t="s">
        <v>168</v>
      </c>
      <c r="ORV29" s="3" t="s">
        <v>169</v>
      </c>
      <c r="ORW29" s="3" t="s">
        <v>168</v>
      </c>
      <c r="ORX29" s="3" t="s">
        <v>169</v>
      </c>
      <c r="ORY29" s="3" t="s">
        <v>168</v>
      </c>
      <c r="ORZ29" s="3" t="s">
        <v>169</v>
      </c>
      <c r="OSA29" s="3" t="s">
        <v>168</v>
      </c>
      <c r="OSB29" s="3" t="s">
        <v>169</v>
      </c>
      <c r="OSC29" s="3" t="s">
        <v>168</v>
      </c>
      <c r="OSD29" s="3" t="s">
        <v>169</v>
      </c>
      <c r="OSE29" s="3" t="s">
        <v>168</v>
      </c>
      <c r="OSF29" s="3" t="s">
        <v>169</v>
      </c>
      <c r="OSG29" s="3" t="s">
        <v>168</v>
      </c>
      <c r="OSH29" s="3" t="s">
        <v>169</v>
      </c>
      <c r="OSI29" s="3" t="s">
        <v>168</v>
      </c>
      <c r="OSJ29" s="3" t="s">
        <v>169</v>
      </c>
      <c r="OSK29" s="3" t="s">
        <v>168</v>
      </c>
      <c r="OSL29" s="3" t="s">
        <v>169</v>
      </c>
      <c r="OSM29" s="3" t="s">
        <v>168</v>
      </c>
      <c r="OSN29" s="3" t="s">
        <v>169</v>
      </c>
      <c r="OSO29" s="3" t="s">
        <v>168</v>
      </c>
      <c r="OSP29" s="3" t="s">
        <v>169</v>
      </c>
      <c r="OSQ29" s="3" t="s">
        <v>168</v>
      </c>
      <c r="OSR29" s="3" t="s">
        <v>169</v>
      </c>
      <c r="OSS29" s="3" t="s">
        <v>168</v>
      </c>
      <c r="OST29" s="3" t="s">
        <v>169</v>
      </c>
      <c r="OSU29" s="3" t="s">
        <v>168</v>
      </c>
      <c r="OSV29" s="3" t="s">
        <v>169</v>
      </c>
      <c r="OSW29" s="3" t="s">
        <v>168</v>
      </c>
      <c r="OSX29" s="3" t="s">
        <v>169</v>
      </c>
      <c r="OSY29" s="3" t="s">
        <v>168</v>
      </c>
      <c r="OSZ29" s="3" t="s">
        <v>169</v>
      </c>
      <c r="OTA29" s="3" t="s">
        <v>168</v>
      </c>
      <c r="OTB29" s="3" t="s">
        <v>169</v>
      </c>
      <c r="OTC29" s="3" t="s">
        <v>168</v>
      </c>
      <c r="OTD29" s="3" t="s">
        <v>169</v>
      </c>
      <c r="OTE29" s="3" t="s">
        <v>168</v>
      </c>
      <c r="OTF29" s="3" t="s">
        <v>169</v>
      </c>
      <c r="OTG29" s="3" t="s">
        <v>168</v>
      </c>
      <c r="OTH29" s="3" t="s">
        <v>169</v>
      </c>
      <c r="OTI29" s="3" t="s">
        <v>168</v>
      </c>
      <c r="OTJ29" s="3" t="s">
        <v>169</v>
      </c>
      <c r="OTK29" s="3" t="s">
        <v>168</v>
      </c>
      <c r="OTL29" s="3" t="s">
        <v>169</v>
      </c>
      <c r="OTM29" s="3" t="s">
        <v>168</v>
      </c>
      <c r="OTN29" s="3" t="s">
        <v>169</v>
      </c>
      <c r="OTO29" s="3" t="s">
        <v>168</v>
      </c>
      <c r="OTP29" s="3" t="s">
        <v>169</v>
      </c>
      <c r="OTQ29" s="3" t="s">
        <v>168</v>
      </c>
      <c r="OTR29" s="3" t="s">
        <v>169</v>
      </c>
      <c r="OTS29" s="3" t="s">
        <v>168</v>
      </c>
      <c r="OTT29" s="3" t="s">
        <v>169</v>
      </c>
      <c r="OTU29" s="3" t="s">
        <v>168</v>
      </c>
      <c r="OTV29" s="3" t="s">
        <v>169</v>
      </c>
      <c r="OTW29" s="3" t="s">
        <v>168</v>
      </c>
      <c r="OTX29" s="3" t="s">
        <v>169</v>
      </c>
      <c r="OTY29" s="3" t="s">
        <v>168</v>
      </c>
      <c r="OTZ29" s="3" t="s">
        <v>169</v>
      </c>
      <c r="OUA29" s="3" t="s">
        <v>168</v>
      </c>
      <c r="OUB29" s="3" t="s">
        <v>169</v>
      </c>
      <c r="OUC29" s="3" t="s">
        <v>168</v>
      </c>
      <c r="OUD29" s="3" t="s">
        <v>169</v>
      </c>
      <c r="OUE29" s="3" t="s">
        <v>168</v>
      </c>
      <c r="OUF29" s="3" t="s">
        <v>169</v>
      </c>
      <c r="OUG29" s="3" t="s">
        <v>168</v>
      </c>
      <c r="OUH29" s="3" t="s">
        <v>169</v>
      </c>
      <c r="OUI29" s="3" t="s">
        <v>168</v>
      </c>
      <c r="OUJ29" s="3" t="s">
        <v>169</v>
      </c>
      <c r="OUK29" s="3" t="s">
        <v>168</v>
      </c>
      <c r="OUL29" s="3" t="s">
        <v>169</v>
      </c>
      <c r="OUM29" s="3" t="s">
        <v>168</v>
      </c>
      <c r="OUN29" s="3" t="s">
        <v>169</v>
      </c>
      <c r="OUO29" s="3" t="s">
        <v>168</v>
      </c>
      <c r="OUP29" s="3" t="s">
        <v>169</v>
      </c>
      <c r="OUQ29" s="3" t="s">
        <v>168</v>
      </c>
      <c r="OUR29" s="3" t="s">
        <v>169</v>
      </c>
      <c r="OUS29" s="3" t="s">
        <v>168</v>
      </c>
      <c r="OUT29" s="3" t="s">
        <v>169</v>
      </c>
      <c r="OUU29" s="3" t="s">
        <v>168</v>
      </c>
      <c r="OUV29" s="3" t="s">
        <v>169</v>
      </c>
      <c r="OUW29" s="3" t="s">
        <v>168</v>
      </c>
      <c r="OUX29" s="3" t="s">
        <v>169</v>
      </c>
      <c r="OUY29" s="3" t="s">
        <v>168</v>
      </c>
      <c r="OUZ29" s="3" t="s">
        <v>169</v>
      </c>
      <c r="OVA29" s="3" t="s">
        <v>168</v>
      </c>
      <c r="OVB29" s="3" t="s">
        <v>169</v>
      </c>
      <c r="OVC29" s="3" t="s">
        <v>168</v>
      </c>
      <c r="OVD29" s="3" t="s">
        <v>169</v>
      </c>
      <c r="OVE29" s="3" t="s">
        <v>168</v>
      </c>
      <c r="OVF29" s="3" t="s">
        <v>169</v>
      </c>
      <c r="OVG29" s="3" t="s">
        <v>168</v>
      </c>
      <c r="OVH29" s="3" t="s">
        <v>169</v>
      </c>
      <c r="OVI29" s="3" t="s">
        <v>168</v>
      </c>
      <c r="OVJ29" s="3" t="s">
        <v>169</v>
      </c>
      <c r="OVK29" s="3" t="s">
        <v>168</v>
      </c>
      <c r="OVL29" s="3" t="s">
        <v>169</v>
      </c>
      <c r="OVM29" s="3" t="s">
        <v>168</v>
      </c>
      <c r="OVN29" s="3" t="s">
        <v>169</v>
      </c>
      <c r="OVO29" s="3" t="s">
        <v>168</v>
      </c>
      <c r="OVP29" s="3" t="s">
        <v>169</v>
      </c>
      <c r="OVQ29" s="3" t="s">
        <v>168</v>
      </c>
      <c r="OVR29" s="3" t="s">
        <v>169</v>
      </c>
      <c r="OVS29" s="3" t="s">
        <v>168</v>
      </c>
      <c r="OVT29" s="3" t="s">
        <v>169</v>
      </c>
      <c r="OVU29" s="3" t="s">
        <v>168</v>
      </c>
      <c r="OVV29" s="3" t="s">
        <v>169</v>
      </c>
      <c r="OVW29" s="3" t="s">
        <v>168</v>
      </c>
      <c r="OVX29" s="3" t="s">
        <v>169</v>
      </c>
      <c r="OVY29" s="3" t="s">
        <v>168</v>
      </c>
      <c r="OVZ29" s="3" t="s">
        <v>169</v>
      </c>
      <c r="OWA29" s="3" t="s">
        <v>168</v>
      </c>
      <c r="OWB29" s="3" t="s">
        <v>169</v>
      </c>
      <c r="OWC29" s="3" t="s">
        <v>168</v>
      </c>
      <c r="OWD29" s="3" t="s">
        <v>169</v>
      </c>
      <c r="OWE29" s="3" t="s">
        <v>168</v>
      </c>
      <c r="OWF29" s="3" t="s">
        <v>169</v>
      </c>
      <c r="OWG29" s="3" t="s">
        <v>168</v>
      </c>
      <c r="OWH29" s="3" t="s">
        <v>169</v>
      </c>
      <c r="OWI29" s="3" t="s">
        <v>168</v>
      </c>
      <c r="OWJ29" s="3" t="s">
        <v>169</v>
      </c>
      <c r="OWK29" s="3" t="s">
        <v>168</v>
      </c>
      <c r="OWL29" s="3" t="s">
        <v>169</v>
      </c>
      <c r="OWM29" s="3" t="s">
        <v>168</v>
      </c>
      <c r="OWN29" s="3" t="s">
        <v>169</v>
      </c>
      <c r="OWO29" s="3" t="s">
        <v>168</v>
      </c>
      <c r="OWP29" s="3" t="s">
        <v>169</v>
      </c>
      <c r="OWQ29" s="3" t="s">
        <v>168</v>
      </c>
      <c r="OWR29" s="3" t="s">
        <v>169</v>
      </c>
      <c r="OWS29" s="3" t="s">
        <v>168</v>
      </c>
      <c r="OWT29" s="3" t="s">
        <v>169</v>
      </c>
      <c r="OWU29" s="3" t="s">
        <v>168</v>
      </c>
      <c r="OWV29" s="3" t="s">
        <v>169</v>
      </c>
      <c r="OWW29" s="3" t="s">
        <v>168</v>
      </c>
      <c r="OWX29" s="3" t="s">
        <v>169</v>
      </c>
      <c r="OWY29" s="3" t="s">
        <v>168</v>
      </c>
      <c r="OWZ29" s="3" t="s">
        <v>169</v>
      </c>
      <c r="OXA29" s="3" t="s">
        <v>168</v>
      </c>
      <c r="OXB29" s="3" t="s">
        <v>169</v>
      </c>
      <c r="OXC29" s="3" t="s">
        <v>168</v>
      </c>
      <c r="OXD29" s="3" t="s">
        <v>169</v>
      </c>
      <c r="OXE29" s="3" t="s">
        <v>168</v>
      </c>
      <c r="OXF29" s="3" t="s">
        <v>169</v>
      </c>
      <c r="OXG29" s="3" t="s">
        <v>168</v>
      </c>
      <c r="OXH29" s="3" t="s">
        <v>169</v>
      </c>
      <c r="OXI29" s="3" t="s">
        <v>168</v>
      </c>
      <c r="OXJ29" s="3" t="s">
        <v>169</v>
      </c>
      <c r="OXK29" s="3" t="s">
        <v>168</v>
      </c>
      <c r="OXL29" s="3" t="s">
        <v>169</v>
      </c>
      <c r="OXM29" s="3" t="s">
        <v>168</v>
      </c>
      <c r="OXN29" s="3" t="s">
        <v>169</v>
      </c>
      <c r="OXO29" s="3" t="s">
        <v>168</v>
      </c>
      <c r="OXP29" s="3" t="s">
        <v>169</v>
      </c>
      <c r="OXQ29" s="3" t="s">
        <v>168</v>
      </c>
      <c r="OXR29" s="3" t="s">
        <v>169</v>
      </c>
      <c r="OXS29" s="3" t="s">
        <v>168</v>
      </c>
      <c r="OXT29" s="3" t="s">
        <v>169</v>
      </c>
      <c r="OXU29" s="3" t="s">
        <v>168</v>
      </c>
      <c r="OXV29" s="3" t="s">
        <v>169</v>
      </c>
      <c r="OXW29" s="3" t="s">
        <v>168</v>
      </c>
      <c r="OXX29" s="3" t="s">
        <v>169</v>
      </c>
      <c r="OXY29" s="3" t="s">
        <v>168</v>
      </c>
      <c r="OXZ29" s="3" t="s">
        <v>169</v>
      </c>
      <c r="OYA29" s="3" t="s">
        <v>168</v>
      </c>
      <c r="OYB29" s="3" t="s">
        <v>169</v>
      </c>
      <c r="OYC29" s="3" t="s">
        <v>168</v>
      </c>
      <c r="OYD29" s="3" t="s">
        <v>169</v>
      </c>
      <c r="OYE29" s="3" t="s">
        <v>168</v>
      </c>
      <c r="OYF29" s="3" t="s">
        <v>169</v>
      </c>
      <c r="OYG29" s="3" t="s">
        <v>168</v>
      </c>
      <c r="OYH29" s="3" t="s">
        <v>169</v>
      </c>
      <c r="OYI29" s="3" t="s">
        <v>168</v>
      </c>
      <c r="OYJ29" s="3" t="s">
        <v>169</v>
      </c>
      <c r="OYK29" s="3" t="s">
        <v>168</v>
      </c>
      <c r="OYL29" s="3" t="s">
        <v>169</v>
      </c>
      <c r="OYM29" s="3" t="s">
        <v>168</v>
      </c>
      <c r="OYN29" s="3" t="s">
        <v>169</v>
      </c>
      <c r="OYO29" s="3" t="s">
        <v>168</v>
      </c>
      <c r="OYP29" s="3" t="s">
        <v>169</v>
      </c>
      <c r="OYQ29" s="3" t="s">
        <v>168</v>
      </c>
      <c r="OYR29" s="3" t="s">
        <v>169</v>
      </c>
      <c r="OYS29" s="3" t="s">
        <v>168</v>
      </c>
      <c r="OYT29" s="3" t="s">
        <v>169</v>
      </c>
      <c r="OYU29" s="3" t="s">
        <v>168</v>
      </c>
      <c r="OYV29" s="3" t="s">
        <v>169</v>
      </c>
      <c r="OYW29" s="3" t="s">
        <v>168</v>
      </c>
      <c r="OYX29" s="3" t="s">
        <v>169</v>
      </c>
      <c r="OYY29" s="3" t="s">
        <v>168</v>
      </c>
      <c r="OYZ29" s="3" t="s">
        <v>169</v>
      </c>
      <c r="OZA29" s="3" t="s">
        <v>168</v>
      </c>
      <c r="OZB29" s="3" t="s">
        <v>169</v>
      </c>
      <c r="OZC29" s="3" t="s">
        <v>168</v>
      </c>
      <c r="OZD29" s="3" t="s">
        <v>169</v>
      </c>
      <c r="OZE29" s="3" t="s">
        <v>168</v>
      </c>
      <c r="OZF29" s="3" t="s">
        <v>169</v>
      </c>
      <c r="OZG29" s="3" t="s">
        <v>168</v>
      </c>
      <c r="OZH29" s="3" t="s">
        <v>169</v>
      </c>
      <c r="OZI29" s="3" t="s">
        <v>168</v>
      </c>
      <c r="OZJ29" s="3" t="s">
        <v>169</v>
      </c>
      <c r="OZK29" s="3" t="s">
        <v>168</v>
      </c>
      <c r="OZL29" s="3" t="s">
        <v>169</v>
      </c>
      <c r="OZM29" s="3" t="s">
        <v>168</v>
      </c>
      <c r="OZN29" s="3" t="s">
        <v>169</v>
      </c>
      <c r="OZO29" s="3" t="s">
        <v>168</v>
      </c>
      <c r="OZP29" s="3" t="s">
        <v>169</v>
      </c>
      <c r="OZQ29" s="3" t="s">
        <v>168</v>
      </c>
      <c r="OZR29" s="3" t="s">
        <v>169</v>
      </c>
      <c r="OZS29" s="3" t="s">
        <v>168</v>
      </c>
      <c r="OZT29" s="3" t="s">
        <v>169</v>
      </c>
      <c r="OZU29" s="3" t="s">
        <v>168</v>
      </c>
      <c r="OZV29" s="3" t="s">
        <v>169</v>
      </c>
      <c r="OZW29" s="3" t="s">
        <v>168</v>
      </c>
      <c r="OZX29" s="3" t="s">
        <v>169</v>
      </c>
      <c r="OZY29" s="3" t="s">
        <v>168</v>
      </c>
      <c r="OZZ29" s="3" t="s">
        <v>169</v>
      </c>
      <c r="PAA29" s="3" t="s">
        <v>168</v>
      </c>
      <c r="PAB29" s="3" t="s">
        <v>169</v>
      </c>
      <c r="PAC29" s="3" t="s">
        <v>168</v>
      </c>
      <c r="PAD29" s="3" t="s">
        <v>169</v>
      </c>
      <c r="PAE29" s="3" t="s">
        <v>168</v>
      </c>
      <c r="PAF29" s="3" t="s">
        <v>169</v>
      </c>
      <c r="PAG29" s="3" t="s">
        <v>168</v>
      </c>
      <c r="PAH29" s="3" t="s">
        <v>169</v>
      </c>
      <c r="PAI29" s="3" t="s">
        <v>168</v>
      </c>
      <c r="PAJ29" s="3" t="s">
        <v>169</v>
      </c>
      <c r="PAK29" s="3" t="s">
        <v>168</v>
      </c>
      <c r="PAL29" s="3" t="s">
        <v>169</v>
      </c>
      <c r="PAM29" s="3" t="s">
        <v>168</v>
      </c>
      <c r="PAN29" s="3" t="s">
        <v>169</v>
      </c>
      <c r="PAO29" s="3" t="s">
        <v>168</v>
      </c>
      <c r="PAP29" s="3" t="s">
        <v>169</v>
      </c>
      <c r="PAQ29" s="3" t="s">
        <v>168</v>
      </c>
      <c r="PAR29" s="3" t="s">
        <v>169</v>
      </c>
      <c r="PAS29" s="3" t="s">
        <v>168</v>
      </c>
      <c r="PAT29" s="3" t="s">
        <v>169</v>
      </c>
      <c r="PAU29" s="3" t="s">
        <v>168</v>
      </c>
      <c r="PAV29" s="3" t="s">
        <v>169</v>
      </c>
      <c r="PAW29" s="3" t="s">
        <v>168</v>
      </c>
      <c r="PAX29" s="3" t="s">
        <v>169</v>
      </c>
      <c r="PAY29" s="3" t="s">
        <v>168</v>
      </c>
      <c r="PAZ29" s="3" t="s">
        <v>169</v>
      </c>
      <c r="PBA29" s="3" t="s">
        <v>168</v>
      </c>
      <c r="PBB29" s="3" t="s">
        <v>169</v>
      </c>
      <c r="PBC29" s="3" t="s">
        <v>168</v>
      </c>
      <c r="PBD29" s="3" t="s">
        <v>169</v>
      </c>
      <c r="PBE29" s="3" t="s">
        <v>168</v>
      </c>
      <c r="PBF29" s="3" t="s">
        <v>169</v>
      </c>
      <c r="PBG29" s="3" t="s">
        <v>168</v>
      </c>
      <c r="PBH29" s="3" t="s">
        <v>169</v>
      </c>
      <c r="PBI29" s="3" t="s">
        <v>168</v>
      </c>
      <c r="PBJ29" s="3" t="s">
        <v>169</v>
      </c>
      <c r="PBK29" s="3" t="s">
        <v>168</v>
      </c>
      <c r="PBL29" s="3" t="s">
        <v>169</v>
      </c>
      <c r="PBM29" s="3" t="s">
        <v>168</v>
      </c>
      <c r="PBN29" s="3" t="s">
        <v>169</v>
      </c>
      <c r="PBO29" s="3" t="s">
        <v>168</v>
      </c>
      <c r="PBP29" s="3" t="s">
        <v>169</v>
      </c>
      <c r="PBQ29" s="3" t="s">
        <v>168</v>
      </c>
      <c r="PBR29" s="3" t="s">
        <v>169</v>
      </c>
      <c r="PBS29" s="3" t="s">
        <v>168</v>
      </c>
      <c r="PBT29" s="3" t="s">
        <v>169</v>
      </c>
      <c r="PBU29" s="3" t="s">
        <v>168</v>
      </c>
      <c r="PBV29" s="3" t="s">
        <v>169</v>
      </c>
      <c r="PBW29" s="3" t="s">
        <v>168</v>
      </c>
      <c r="PBX29" s="3" t="s">
        <v>169</v>
      </c>
      <c r="PBY29" s="3" t="s">
        <v>168</v>
      </c>
      <c r="PBZ29" s="3" t="s">
        <v>169</v>
      </c>
      <c r="PCA29" s="3" t="s">
        <v>168</v>
      </c>
      <c r="PCB29" s="3" t="s">
        <v>169</v>
      </c>
      <c r="PCC29" s="3" t="s">
        <v>168</v>
      </c>
      <c r="PCD29" s="3" t="s">
        <v>169</v>
      </c>
      <c r="PCE29" s="3" t="s">
        <v>168</v>
      </c>
      <c r="PCF29" s="3" t="s">
        <v>169</v>
      </c>
      <c r="PCG29" s="3" t="s">
        <v>168</v>
      </c>
      <c r="PCH29" s="3" t="s">
        <v>169</v>
      </c>
      <c r="PCI29" s="3" t="s">
        <v>168</v>
      </c>
      <c r="PCJ29" s="3" t="s">
        <v>169</v>
      </c>
      <c r="PCK29" s="3" t="s">
        <v>168</v>
      </c>
      <c r="PCL29" s="3" t="s">
        <v>169</v>
      </c>
      <c r="PCM29" s="3" t="s">
        <v>168</v>
      </c>
      <c r="PCN29" s="3" t="s">
        <v>169</v>
      </c>
      <c r="PCO29" s="3" t="s">
        <v>168</v>
      </c>
      <c r="PCP29" s="3" t="s">
        <v>169</v>
      </c>
      <c r="PCQ29" s="3" t="s">
        <v>168</v>
      </c>
      <c r="PCR29" s="3" t="s">
        <v>169</v>
      </c>
      <c r="PCS29" s="3" t="s">
        <v>168</v>
      </c>
      <c r="PCT29" s="3" t="s">
        <v>169</v>
      </c>
      <c r="PCU29" s="3" t="s">
        <v>168</v>
      </c>
      <c r="PCV29" s="3" t="s">
        <v>169</v>
      </c>
      <c r="PCW29" s="3" t="s">
        <v>168</v>
      </c>
      <c r="PCX29" s="3" t="s">
        <v>169</v>
      </c>
      <c r="PCY29" s="3" t="s">
        <v>168</v>
      </c>
      <c r="PCZ29" s="3" t="s">
        <v>169</v>
      </c>
      <c r="PDA29" s="3" t="s">
        <v>168</v>
      </c>
      <c r="PDB29" s="3" t="s">
        <v>169</v>
      </c>
      <c r="PDC29" s="3" t="s">
        <v>168</v>
      </c>
      <c r="PDD29" s="3" t="s">
        <v>169</v>
      </c>
      <c r="PDE29" s="3" t="s">
        <v>168</v>
      </c>
      <c r="PDF29" s="3" t="s">
        <v>169</v>
      </c>
      <c r="PDG29" s="3" t="s">
        <v>168</v>
      </c>
      <c r="PDH29" s="3" t="s">
        <v>169</v>
      </c>
      <c r="PDI29" s="3" t="s">
        <v>168</v>
      </c>
      <c r="PDJ29" s="3" t="s">
        <v>169</v>
      </c>
      <c r="PDK29" s="3" t="s">
        <v>168</v>
      </c>
      <c r="PDL29" s="3" t="s">
        <v>169</v>
      </c>
      <c r="PDM29" s="3" t="s">
        <v>168</v>
      </c>
      <c r="PDN29" s="3" t="s">
        <v>169</v>
      </c>
      <c r="PDO29" s="3" t="s">
        <v>168</v>
      </c>
      <c r="PDP29" s="3" t="s">
        <v>169</v>
      </c>
      <c r="PDQ29" s="3" t="s">
        <v>168</v>
      </c>
      <c r="PDR29" s="3" t="s">
        <v>169</v>
      </c>
      <c r="PDS29" s="3" t="s">
        <v>168</v>
      </c>
      <c r="PDT29" s="3" t="s">
        <v>169</v>
      </c>
      <c r="PDU29" s="3" t="s">
        <v>168</v>
      </c>
      <c r="PDV29" s="3" t="s">
        <v>169</v>
      </c>
      <c r="PDW29" s="3" t="s">
        <v>168</v>
      </c>
      <c r="PDX29" s="3" t="s">
        <v>169</v>
      </c>
      <c r="PDY29" s="3" t="s">
        <v>168</v>
      </c>
      <c r="PDZ29" s="3" t="s">
        <v>169</v>
      </c>
      <c r="PEA29" s="3" t="s">
        <v>168</v>
      </c>
      <c r="PEB29" s="3" t="s">
        <v>169</v>
      </c>
      <c r="PEC29" s="3" t="s">
        <v>168</v>
      </c>
      <c r="PED29" s="3" t="s">
        <v>169</v>
      </c>
      <c r="PEE29" s="3" t="s">
        <v>168</v>
      </c>
      <c r="PEF29" s="3" t="s">
        <v>169</v>
      </c>
      <c r="PEG29" s="3" t="s">
        <v>168</v>
      </c>
      <c r="PEH29" s="3" t="s">
        <v>169</v>
      </c>
      <c r="PEI29" s="3" t="s">
        <v>168</v>
      </c>
      <c r="PEJ29" s="3" t="s">
        <v>169</v>
      </c>
      <c r="PEK29" s="3" t="s">
        <v>168</v>
      </c>
      <c r="PEL29" s="3" t="s">
        <v>169</v>
      </c>
      <c r="PEM29" s="3" t="s">
        <v>168</v>
      </c>
      <c r="PEN29" s="3" t="s">
        <v>169</v>
      </c>
      <c r="PEO29" s="3" t="s">
        <v>168</v>
      </c>
      <c r="PEP29" s="3" t="s">
        <v>169</v>
      </c>
      <c r="PEQ29" s="3" t="s">
        <v>168</v>
      </c>
      <c r="PER29" s="3" t="s">
        <v>169</v>
      </c>
      <c r="PES29" s="3" t="s">
        <v>168</v>
      </c>
      <c r="PET29" s="3" t="s">
        <v>169</v>
      </c>
      <c r="PEU29" s="3" t="s">
        <v>168</v>
      </c>
      <c r="PEV29" s="3" t="s">
        <v>169</v>
      </c>
      <c r="PEW29" s="3" t="s">
        <v>168</v>
      </c>
      <c r="PEX29" s="3" t="s">
        <v>169</v>
      </c>
      <c r="PEY29" s="3" t="s">
        <v>168</v>
      </c>
      <c r="PEZ29" s="3" t="s">
        <v>169</v>
      </c>
      <c r="PFA29" s="3" t="s">
        <v>168</v>
      </c>
      <c r="PFB29" s="3" t="s">
        <v>169</v>
      </c>
      <c r="PFC29" s="3" t="s">
        <v>168</v>
      </c>
      <c r="PFD29" s="3" t="s">
        <v>169</v>
      </c>
      <c r="PFE29" s="3" t="s">
        <v>168</v>
      </c>
      <c r="PFF29" s="3" t="s">
        <v>169</v>
      </c>
      <c r="PFG29" s="3" t="s">
        <v>168</v>
      </c>
      <c r="PFH29" s="3" t="s">
        <v>169</v>
      </c>
      <c r="PFI29" s="3" t="s">
        <v>168</v>
      </c>
      <c r="PFJ29" s="3" t="s">
        <v>169</v>
      </c>
      <c r="PFK29" s="3" t="s">
        <v>168</v>
      </c>
      <c r="PFL29" s="3" t="s">
        <v>169</v>
      </c>
      <c r="PFM29" s="3" t="s">
        <v>168</v>
      </c>
      <c r="PFN29" s="3" t="s">
        <v>169</v>
      </c>
      <c r="PFO29" s="3" t="s">
        <v>168</v>
      </c>
      <c r="PFP29" s="3" t="s">
        <v>169</v>
      </c>
      <c r="PFQ29" s="3" t="s">
        <v>168</v>
      </c>
      <c r="PFR29" s="3" t="s">
        <v>169</v>
      </c>
      <c r="PFS29" s="3" t="s">
        <v>168</v>
      </c>
      <c r="PFT29" s="3" t="s">
        <v>169</v>
      </c>
      <c r="PFU29" s="3" t="s">
        <v>168</v>
      </c>
      <c r="PFV29" s="3" t="s">
        <v>169</v>
      </c>
      <c r="PFW29" s="3" t="s">
        <v>168</v>
      </c>
      <c r="PFX29" s="3" t="s">
        <v>169</v>
      </c>
      <c r="PFY29" s="3" t="s">
        <v>168</v>
      </c>
      <c r="PFZ29" s="3" t="s">
        <v>169</v>
      </c>
      <c r="PGA29" s="3" t="s">
        <v>168</v>
      </c>
      <c r="PGB29" s="3" t="s">
        <v>169</v>
      </c>
      <c r="PGC29" s="3" t="s">
        <v>168</v>
      </c>
      <c r="PGD29" s="3" t="s">
        <v>169</v>
      </c>
      <c r="PGE29" s="3" t="s">
        <v>168</v>
      </c>
      <c r="PGF29" s="3" t="s">
        <v>169</v>
      </c>
      <c r="PGG29" s="3" t="s">
        <v>168</v>
      </c>
      <c r="PGH29" s="3" t="s">
        <v>169</v>
      </c>
      <c r="PGI29" s="3" t="s">
        <v>168</v>
      </c>
      <c r="PGJ29" s="3" t="s">
        <v>169</v>
      </c>
      <c r="PGK29" s="3" t="s">
        <v>168</v>
      </c>
      <c r="PGL29" s="3" t="s">
        <v>169</v>
      </c>
      <c r="PGM29" s="3" t="s">
        <v>168</v>
      </c>
      <c r="PGN29" s="3" t="s">
        <v>169</v>
      </c>
      <c r="PGO29" s="3" t="s">
        <v>168</v>
      </c>
      <c r="PGP29" s="3" t="s">
        <v>169</v>
      </c>
      <c r="PGQ29" s="3" t="s">
        <v>168</v>
      </c>
      <c r="PGR29" s="3" t="s">
        <v>169</v>
      </c>
      <c r="PGS29" s="3" t="s">
        <v>168</v>
      </c>
      <c r="PGT29" s="3" t="s">
        <v>169</v>
      </c>
      <c r="PGU29" s="3" t="s">
        <v>168</v>
      </c>
      <c r="PGV29" s="3" t="s">
        <v>169</v>
      </c>
      <c r="PGW29" s="3" t="s">
        <v>168</v>
      </c>
      <c r="PGX29" s="3" t="s">
        <v>169</v>
      </c>
      <c r="PGY29" s="3" t="s">
        <v>168</v>
      </c>
      <c r="PGZ29" s="3" t="s">
        <v>169</v>
      </c>
      <c r="PHA29" s="3" t="s">
        <v>168</v>
      </c>
      <c r="PHB29" s="3" t="s">
        <v>169</v>
      </c>
      <c r="PHC29" s="3" t="s">
        <v>168</v>
      </c>
      <c r="PHD29" s="3" t="s">
        <v>169</v>
      </c>
      <c r="PHE29" s="3" t="s">
        <v>168</v>
      </c>
      <c r="PHF29" s="3" t="s">
        <v>169</v>
      </c>
      <c r="PHG29" s="3" t="s">
        <v>168</v>
      </c>
      <c r="PHH29" s="3" t="s">
        <v>169</v>
      </c>
      <c r="PHI29" s="3" t="s">
        <v>168</v>
      </c>
      <c r="PHJ29" s="3" t="s">
        <v>169</v>
      </c>
      <c r="PHK29" s="3" t="s">
        <v>168</v>
      </c>
      <c r="PHL29" s="3" t="s">
        <v>169</v>
      </c>
      <c r="PHM29" s="3" t="s">
        <v>168</v>
      </c>
      <c r="PHN29" s="3" t="s">
        <v>169</v>
      </c>
      <c r="PHO29" s="3" t="s">
        <v>168</v>
      </c>
      <c r="PHP29" s="3" t="s">
        <v>169</v>
      </c>
      <c r="PHQ29" s="3" t="s">
        <v>168</v>
      </c>
      <c r="PHR29" s="3" t="s">
        <v>169</v>
      </c>
      <c r="PHS29" s="3" t="s">
        <v>168</v>
      </c>
      <c r="PHT29" s="3" t="s">
        <v>169</v>
      </c>
      <c r="PHU29" s="3" t="s">
        <v>168</v>
      </c>
      <c r="PHV29" s="3" t="s">
        <v>169</v>
      </c>
      <c r="PHW29" s="3" t="s">
        <v>168</v>
      </c>
      <c r="PHX29" s="3" t="s">
        <v>169</v>
      </c>
      <c r="PHY29" s="3" t="s">
        <v>168</v>
      </c>
      <c r="PHZ29" s="3" t="s">
        <v>169</v>
      </c>
      <c r="PIA29" s="3" t="s">
        <v>168</v>
      </c>
      <c r="PIB29" s="3" t="s">
        <v>169</v>
      </c>
      <c r="PIC29" s="3" t="s">
        <v>168</v>
      </c>
      <c r="PID29" s="3" t="s">
        <v>169</v>
      </c>
      <c r="PIE29" s="3" t="s">
        <v>168</v>
      </c>
      <c r="PIF29" s="3" t="s">
        <v>169</v>
      </c>
      <c r="PIG29" s="3" t="s">
        <v>168</v>
      </c>
      <c r="PIH29" s="3" t="s">
        <v>169</v>
      </c>
      <c r="PII29" s="3" t="s">
        <v>168</v>
      </c>
      <c r="PIJ29" s="3" t="s">
        <v>169</v>
      </c>
      <c r="PIK29" s="3" t="s">
        <v>168</v>
      </c>
      <c r="PIL29" s="3" t="s">
        <v>169</v>
      </c>
      <c r="PIM29" s="3" t="s">
        <v>168</v>
      </c>
      <c r="PIN29" s="3" t="s">
        <v>169</v>
      </c>
      <c r="PIO29" s="3" t="s">
        <v>168</v>
      </c>
      <c r="PIP29" s="3" t="s">
        <v>169</v>
      </c>
      <c r="PIQ29" s="3" t="s">
        <v>168</v>
      </c>
      <c r="PIR29" s="3" t="s">
        <v>169</v>
      </c>
      <c r="PIS29" s="3" t="s">
        <v>168</v>
      </c>
      <c r="PIT29" s="3" t="s">
        <v>169</v>
      </c>
      <c r="PIU29" s="3" t="s">
        <v>168</v>
      </c>
      <c r="PIV29" s="3" t="s">
        <v>169</v>
      </c>
      <c r="PIW29" s="3" t="s">
        <v>168</v>
      </c>
      <c r="PIX29" s="3" t="s">
        <v>169</v>
      </c>
      <c r="PIY29" s="3" t="s">
        <v>168</v>
      </c>
      <c r="PIZ29" s="3" t="s">
        <v>169</v>
      </c>
      <c r="PJA29" s="3" t="s">
        <v>168</v>
      </c>
      <c r="PJB29" s="3" t="s">
        <v>169</v>
      </c>
      <c r="PJC29" s="3" t="s">
        <v>168</v>
      </c>
      <c r="PJD29" s="3" t="s">
        <v>169</v>
      </c>
      <c r="PJE29" s="3" t="s">
        <v>168</v>
      </c>
      <c r="PJF29" s="3" t="s">
        <v>169</v>
      </c>
      <c r="PJG29" s="3" t="s">
        <v>168</v>
      </c>
      <c r="PJH29" s="3" t="s">
        <v>169</v>
      </c>
      <c r="PJI29" s="3" t="s">
        <v>168</v>
      </c>
      <c r="PJJ29" s="3" t="s">
        <v>169</v>
      </c>
      <c r="PJK29" s="3" t="s">
        <v>168</v>
      </c>
      <c r="PJL29" s="3" t="s">
        <v>169</v>
      </c>
      <c r="PJM29" s="3" t="s">
        <v>168</v>
      </c>
      <c r="PJN29" s="3" t="s">
        <v>169</v>
      </c>
      <c r="PJO29" s="3" t="s">
        <v>168</v>
      </c>
      <c r="PJP29" s="3" t="s">
        <v>169</v>
      </c>
      <c r="PJQ29" s="3" t="s">
        <v>168</v>
      </c>
      <c r="PJR29" s="3" t="s">
        <v>169</v>
      </c>
      <c r="PJS29" s="3" t="s">
        <v>168</v>
      </c>
      <c r="PJT29" s="3" t="s">
        <v>169</v>
      </c>
      <c r="PJU29" s="3" t="s">
        <v>168</v>
      </c>
      <c r="PJV29" s="3" t="s">
        <v>169</v>
      </c>
      <c r="PJW29" s="3" t="s">
        <v>168</v>
      </c>
      <c r="PJX29" s="3" t="s">
        <v>169</v>
      </c>
      <c r="PJY29" s="3" t="s">
        <v>168</v>
      </c>
      <c r="PJZ29" s="3" t="s">
        <v>169</v>
      </c>
      <c r="PKA29" s="3" t="s">
        <v>168</v>
      </c>
      <c r="PKB29" s="3" t="s">
        <v>169</v>
      </c>
      <c r="PKC29" s="3" t="s">
        <v>168</v>
      </c>
      <c r="PKD29" s="3" t="s">
        <v>169</v>
      </c>
      <c r="PKE29" s="3" t="s">
        <v>168</v>
      </c>
      <c r="PKF29" s="3" t="s">
        <v>169</v>
      </c>
      <c r="PKG29" s="3" t="s">
        <v>168</v>
      </c>
      <c r="PKH29" s="3" t="s">
        <v>169</v>
      </c>
      <c r="PKI29" s="3" t="s">
        <v>168</v>
      </c>
      <c r="PKJ29" s="3" t="s">
        <v>169</v>
      </c>
      <c r="PKK29" s="3" t="s">
        <v>168</v>
      </c>
      <c r="PKL29" s="3" t="s">
        <v>169</v>
      </c>
      <c r="PKM29" s="3" t="s">
        <v>168</v>
      </c>
      <c r="PKN29" s="3" t="s">
        <v>169</v>
      </c>
      <c r="PKO29" s="3" t="s">
        <v>168</v>
      </c>
      <c r="PKP29" s="3" t="s">
        <v>169</v>
      </c>
      <c r="PKQ29" s="3" t="s">
        <v>168</v>
      </c>
      <c r="PKR29" s="3" t="s">
        <v>169</v>
      </c>
      <c r="PKS29" s="3" t="s">
        <v>168</v>
      </c>
      <c r="PKT29" s="3" t="s">
        <v>169</v>
      </c>
      <c r="PKU29" s="3" t="s">
        <v>168</v>
      </c>
      <c r="PKV29" s="3" t="s">
        <v>169</v>
      </c>
      <c r="PKW29" s="3" t="s">
        <v>168</v>
      </c>
      <c r="PKX29" s="3" t="s">
        <v>169</v>
      </c>
      <c r="PKY29" s="3" t="s">
        <v>168</v>
      </c>
      <c r="PKZ29" s="3" t="s">
        <v>169</v>
      </c>
      <c r="PLA29" s="3" t="s">
        <v>168</v>
      </c>
      <c r="PLB29" s="3" t="s">
        <v>169</v>
      </c>
      <c r="PLC29" s="3" t="s">
        <v>168</v>
      </c>
      <c r="PLD29" s="3" t="s">
        <v>169</v>
      </c>
      <c r="PLE29" s="3" t="s">
        <v>168</v>
      </c>
      <c r="PLF29" s="3" t="s">
        <v>169</v>
      </c>
      <c r="PLG29" s="3" t="s">
        <v>168</v>
      </c>
      <c r="PLH29" s="3" t="s">
        <v>169</v>
      </c>
      <c r="PLI29" s="3" t="s">
        <v>168</v>
      </c>
      <c r="PLJ29" s="3" t="s">
        <v>169</v>
      </c>
      <c r="PLK29" s="3" t="s">
        <v>168</v>
      </c>
      <c r="PLL29" s="3" t="s">
        <v>169</v>
      </c>
      <c r="PLM29" s="3" t="s">
        <v>168</v>
      </c>
      <c r="PLN29" s="3" t="s">
        <v>169</v>
      </c>
      <c r="PLO29" s="3" t="s">
        <v>168</v>
      </c>
      <c r="PLP29" s="3" t="s">
        <v>169</v>
      </c>
      <c r="PLQ29" s="3" t="s">
        <v>168</v>
      </c>
      <c r="PLR29" s="3" t="s">
        <v>169</v>
      </c>
      <c r="PLS29" s="3" t="s">
        <v>168</v>
      </c>
      <c r="PLT29" s="3" t="s">
        <v>169</v>
      </c>
      <c r="PLU29" s="3" t="s">
        <v>168</v>
      </c>
      <c r="PLV29" s="3" t="s">
        <v>169</v>
      </c>
      <c r="PLW29" s="3" t="s">
        <v>168</v>
      </c>
      <c r="PLX29" s="3" t="s">
        <v>169</v>
      </c>
      <c r="PLY29" s="3" t="s">
        <v>168</v>
      </c>
      <c r="PLZ29" s="3" t="s">
        <v>169</v>
      </c>
      <c r="PMA29" s="3" t="s">
        <v>168</v>
      </c>
      <c r="PMB29" s="3" t="s">
        <v>169</v>
      </c>
      <c r="PMC29" s="3" t="s">
        <v>168</v>
      </c>
      <c r="PMD29" s="3" t="s">
        <v>169</v>
      </c>
      <c r="PME29" s="3" t="s">
        <v>168</v>
      </c>
      <c r="PMF29" s="3" t="s">
        <v>169</v>
      </c>
      <c r="PMG29" s="3" t="s">
        <v>168</v>
      </c>
      <c r="PMH29" s="3" t="s">
        <v>169</v>
      </c>
      <c r="PMI29" s="3" t="s">
        <v>168</v>
      </c>
      <c r="PMJ29" s="3" t="s">
        <v>169</v>
      </c>
      <c r="PMK29" s="3" t="s">
        <v>168</v>
      </c>
      <c r="PML29" s="3" t="s">
        <v>169</v>
      </c>
      <c r="PMM29" s="3" t="s">
        <v>168</v>
      </c>
      <c r="PMN29" s="3" t="s">
        <v>169</v>
      </c>
      <c r="PMO29" s="3" t="s">
        <v>168</v>
      </c>
      <c r="PMP29" s="3" t="s">
        <v>169</v>
      </c>
      <c r="PMQ29" s="3" t="s">
        <v>168</v>
      </c>
      <c r="PMR29" s="3" t="s">
        <v>169</v>
      </c>
      <c r="PMS29" s="3" t="s">
        <v>168</v>
      </c>
      <c r="PMT29" s="3" t="s">
        <v>169</v>
      </c>
      <c r="PMU29" s="3" t="s">
        <v>168</v>
      </c>
      <c r="PMV29" s="3" t="s">
        <v>169</v>
      </c>
      <c r="PMW29" s="3" t="s">
        <v>168</v>
      </c>
      <c r="PMX29" s="3" t="s">
        <v>169</v>
      </c>
      <c r="PMY29" s="3" t="s">
        <v>168</v>
      </c>
      <c r="PMZ29" s="3" t="s">
        <v>169</v>
      </c>
      <c r="PNA29" s="3" t="s">
        <v>168</v>
      </c>
      <c r="PNB29" s="3" t="s">
        <v>169</v>
      </c>
      <c r="PNC29" s="3" t="s">
        <v>168</v>
      </c>
      <c r="PND29" s="3" t="s">
        <v>169</v>
      </c>
      <c r="PNE29" s="3" t="s">
        <v>168</v>
      </c>
      <c r="PNF29" s="3" t="s">
        <v>169</v>
      </c>
      <c r="PNG29" s="3" t="s">
        <v>168</v>
      </c>
      <c r="PNH29" s="3" t="s">
        <v>169</v>
      </c>
      <c r="PNI29" s="3" t="s">
        <v>168</v>
      </c>
      <c r="PNJ29" s="3" t="s">
        <v>169</v>
      </c>
      <c r="PNK29" s="3" t="s">
        <v>168</v>
      </c>
      <c r="PNL29" s="3" t="s">
        <v>169</v>
      </c>
      <c r="PNM29" s="3" t="s">
        <v>168</v>
      </c>
      <c r="PNN29" s="3" t="s">
        <v>169</v>
      </c>
      <c r="PNO29" s="3" t="s">
        <v>168</v>
      </c>
      <c r="PNP29" s="3" t="s">
        <v>169</v>
      </c>
      <c r="PNQ29" s="3" t="s">
        <v>168</v>
      </c>
      <c r="PNR29" s="3" t="s">
        <v>169</v>
      </c>
      <c r="PNS29" s="3" t="s">
        <v>168</v>
      </c>
      <c r="PNT29" s="3" t="s">
        <v>169</v>
      </c>
      <c r="PNU29" s="3" t="s">
        <v>168</v>
      </c>
      <c r="PNV29" s="3" t="s">
        <v>169</v>
      </c>
      <c r="PNW29" s="3" t="s">
        <v>168</v>
      </c>
      <c r="PNX29" s="3" t="s">
        <v>169</v>
      </c>
      <c r="PNY29" s="3" t="s">
        <v>168</v>
      </c>
      <c r="PNZ29" s="3" t="s">
        <v>169</v>
      </c>
      <c r="POA29" s="3" t="s">
        <v>168</v>
      </c>
      <c r="POB29" s="3" t="s">
        <v>169</v>
      </c>
      <c r="POC29" s="3" t="s">
        <v>168</v>
      </c>
      <c r="POD29" s="3" t="s">
        <v>169</v>
      </c>
      <c r="POE29" s="3" t="s">
        <v>168</v>
      </c>
      <c r="POF29" s="3" t="s">
        <v>169</v>
      </c>
      <c r="POG29" s="3" t="s">
        <v>168</v>
      </c>
      <c r="POH29" s="3" t="s">
        <v>169</v>
      </c>
      <c r="POI29" s="3" t="s">
        <v>168</v>
      </c>
      <c r="POJ29" s="3" t="s">
        <v>169</v>
      </c>
      <c r="POK29" s="3" t="s">
        <v>168</v>
      </c>
      <c r="POL29" s="3" t="s">
        <v>169</v>
      </c>
      <c r="POM29" s="3" t="s">
        <v>168</v>
      </c>
      <c r="PON29" s="3" t="s">
        <v>169</v>
      </c>
      <c r="POO29" s="3" t="s">
        <v>168</v>
      </c>
      <c r="POP29" s="3" t="s">
        <v>169</v>
      </c>
      <c r="POQ29" s="3" t="s">
        <v>168</v>
      </c>
      <c r="POR29" s="3" t="s">
        <v>169</v>
      </c>
      <c r="POS29" s="3" t="s">
        <v>168</v>
      </c>
      <c r="POT29" s="3" t="s">
        <v>169</v>
      </c>
      <c r="POU29" s="3" t="s">
        <v>168</v>
      </c>
      <c r="POV29" s="3" t="s">
        <v>169</v>
      </c>
      <c r="POW29" s="3" t="s">
        <v>168</v>
      </c>
      <c r="POX29" s="3" t="s">
        <v>169</v>
      </c>
      <c r="POY29" s="3" t="s">
        <v>168</v>
      </c>
      <c r="POZ29" s="3" t="s">
        <v>169</v>
      </c>
      <c r="PPA29" s="3" t="s">
        <v>168</v>
      </c>
      <c r="PPB29" s="3" t="s">
        <v>169</v>
      </c>
      <c r="PPC29" s="3" t="s">
        <v>168</v>
      </c>
      <c r="PPD29" s="3" t="s">
        <v>169</v>
      </c>
      <c r="PPE29" s="3" t="s">
        <v>168</v>
      </c>
      <c r="PPF29" s="3" t="s">
        <v>169</v>
      </c>
      <c r="PPG29" s="3" t="s">
        <v>168</v>
      </c>
      <c r="PPH29" s="3" t="s">
        <v>169</v>
      </c>
      <c r="PPI29" s="3" t="s">
        <v>168</v>
      </c>
      <c r="PPJ29" s="3" t="s">
        <v>169</v>
      </c>
      <c r="PPK29" s="3" t="s">
        <v>168</v>
      </c>
      <c r="PPL29" s="3" t="s">
        <v>169</v>
      </c>
      <c r="PPM29" s="3" t="s">
        <v>168</v>
      </c>
      <c r="PPN29" s="3" t="s">
        <v>169</v>
      </c>
      <c r="PPO29" s="3" t="s">
        <v>168</v>
      </c>
      <c r="PPP29" s="3" t="s">
        <v>169</v>
      </c>
      <c r="PPQ29" s="3" t="s">
        <v>168</v>
      </c>
      <c r="PPR29" s="3" t="s">
        <v>169</v>
      </c>
      <c r="PPS29" s="3" t="s">
        <v>168</v>
      </c>
      <c r="PPT29" s="3" t="s">
        <v>169</v>
      </c>
      <c r="PPU29" s="3" t="s">
        <v>168</v>
      </c>
      <c r="PPV29" s="3" t="s">
        <v>169</v>
      </c>
      <c r="PPW29" s="3" t="s">
        <v>168</v>
      </c>
      <c r="PPX29" s="3" t="s">
        <v>169</v>
      </c>
      <c r="PPY29" s="3" t="s">
        <v>168</v>
      </c>
      <c r="PPZ29" s="3" t="s">
        <v>169</v>
      </c>
      <c r="PQA29" s="3" t="s">
        <v>168</v>
      </c>
      <c r="PQB29" s="3" t="s">
        <v>169</v>
      </c>
      <c r="PQC29" s="3" t="s">
        <v>168</v>
      </c>
      <c r="PQD29" s="3" t="s">
        <v>169</v>
      </c>
      <c r="PQE29" s="3" t="s">
        <v>168</v>
      </c>
      <c r="PQF29" s="3" t="s">
        <v>169</v>
      </c>
      <c r="PQG29" s="3" t="s">
        <v>168</v>
      </c>
      <c r="PQH29" s="3" t="s">
        <v>169</v>
      </c>
      <c r="PQI29" s="3" t="s">
        <v>168</v>
      </c>
      <c r="PQJ29" s="3" t="s">
        <v>169</v>
      </c>
      <c r="PQK29" s="3" t="s">
        <v>168</v>
      </c>
      <c r="PQL29" s="3" t="s">
        <v>169</v>
      </c>
      <c r="PQM29" s="3" t="s">
        <v>168</v>
      </c>
      <c r="PQN29" s="3" t="s">
        <v>169</v>
      </c>
      <c r="PQO29" s="3" t="s">
        <v>168</v>
      </c>
      <c r="PQP29" s="3" t="s">
        <v>169</v>
      </c>
      <c r="PQQ29" s="3" t="s">
        <v>168</v>
      </c>
      <c r="PQR29" s="3" t="s">
        <v>169</v>
      </c>
      <c r="PQS29" s="3" t="s">
        <v>168</v>
      </c>
      <c r="PQT29" s="3" t="s">
        <v>169</v>
      </c>
      <c r="PQU29" s="3" t="s">
        <v>168</v>
      </c>
      <c r="PQV29" s="3" t="s">
        <v>169</v>
      </c>
      <c r="PQW29" s="3" t="s">
        <v>168</v>
      </c>
      <c r="PQX29" s="3" t="s">
        <v>169</v>
      </c>
      <c r="PQY29" s="3" t="s">
        <v>168</v>
      </c>
      <c r="PQZ29" s="3" t="s">
        <v>169</v>
      </c>
      <c r="PRA29" s="3" t="s">
        <v>168</v>
      </c>
      <c r="PRB29" s="3" t="s">
        <v>169</v>
      </c>
      <c r="PRC29" s="3" t="s">
        <v>168</v>
      </c>
      <c r="PRD29" s="3" t="s">
        <v>169</v>
      </c>
      <c r="PRE29" s="3" t="s">
        <v>168</v>
      </c>
      <c r="PRF29" s="3" t="s">
        <v>169</v>
      </c>
      <c r="PRG29" s="3" t="s">
        <v>168</v>
      </c>
      <c r="PRH29" s="3" t="s">
        <v>169</v>
      </c>
      <c r="PRI29" s="3" t="s">
        <v>168</v>
      </c>
      <c r="PRJ29" s="3" t="s">
        <v>169</v>
      </c>
      <c r="PRK29" s="3" t="s">
        <v>168</v>
      </c>
      <c r="PRL29" s="3" t="s">
        <v>169</v>
      </c>
      <c r="PRM29" s="3" t="s">
        <v>168</v>
      </c>
      <c r="PRN29" s="3" t="s">
        <v>169</v>
      </c>
      <c r="PRO29" s="3" t="s">
        <v>168</v>
      </c>
      <c r="PRP29" s="3" t="s">
        <v>169</v>
      </c>
      <c r="PRQ29" s="3" t="s">
        <v>168</v>
      </c>
      <c r="PRR29" s="3" t="s">
        <v>169</v>
      </c>
      <c r="PRS29" s="3" t="s">
        <v>168</v>
      </c>
      <c r="PRT29" s="3" t="s">
        <v>169</v>
      </c>
      <c r="PRU29" s="3" t="s">
        <v>168</v>
      </c>
      <c r="PRV29" s="3" t="s">
        <v>169</v>
      </c>
      <c r="PRW29" s="3" t="s">
        <v>168</v>
      </c>
      <c r="PRX29" s="3" t="s">
        <v>169</v>
      </c>
      <c r="PRY29" s="3" t="s">
        <v>168</v>
      </c>
      <c r="PRZ29" s="3" t="s">
        <v>169</v>
      </c>
      <c r="PSA29" s="3" t="s">
        <v>168</v>
      </c>
      <c r="PSB29" s="3" t="s">
        <v>169</v>
      </c>
      <c r="PSC29" s="3" t="s">
        <v>168</v>
      </c>
      <c r="PSD29" s="3" t="s">
        <v>169</v>
      </c>
      <c r="PSE29" s="3" t="s">
        <v>168</v>
      </c>
      <c r="PSF29" s="3" t="s">
        <v>169</v>
      </c>
      <c r="PSG29" s="3" t="s">
        <v>168</v>
      </c>
      <c r="PSH29" s="3" t="s">
        <v>169</v>
      </c>
      <c r="PSI29" s="3" t="s">
        <v>168</v>
      </c>
      <c r="PSJ29" s="3" t="s">
        <v>169</v>
      </c>
      <c r="PSK29" s="3" t="s">
        <v>168</v>
      </c>
      <c r="PSL29" s="3" t="s">
        <v>169</v>
      </c>
      <c r="PSM29" s="3" t="s">
        <v>168</v>
      </c>
      <c r="PSN29" s="3" t="s">
        <v>169</v>
      </c>
      <c r="PSO29" s="3" t="s">
        <v>168</v>
      </c>
      <c r="PSP29" s="3" t="s">
        <v>169</v>
      </c>
      <c r="PSQ29" s="3" t="s">
        <v>168</v>
      </c>
      <c r="PSR29" s="3" t="s">
        <v>169</v>
      </c>
      <c r="PSS29" s="3" t="s">
        <v>168</v>
      </c>
      <c r="PST29" s="3" t="s">
        <v>169</v>
      </c>
      <c r="PSU29" s="3" t="s">
        <v>168</v>
      </c>
      <c r="PSV29" s="3" t="s">
        <v>169</v>
      </c>
      <c r="PSW29" s="3" t="s">
        <v>168</v>
      </c>
      <c r="PSX29" s="3" t="s">
        <v>169</v>
      </c>
      <c r="PSY29" s="3" t="s">
        <v>168</v>
      </c>
      <c r="PSZ29" s="3" t="s">
        <v>169</v>
      </c>
      <c r="PTA29" s="3" t="s">
        <v>168</v>
      </c>
      <c r="PTB29" s="3" t="s">
        <v>169</v>
      </c>
      <c r="PTC29" s="3" t="s">
        <v>168</v>
      </c>
      <c r="PTD29" s="3" t="s">
        <v>169</v>
      </c>
      <c r="PTE29" s="3" t="s">
        <v>168</v>
      </c>
      <c r="PTF29" s="3" t="s">
        <v>169</v>
      </c>
      <c r="PTG29" s="3" t="s">
        <v>168</v>
      </c>
      <c r="PTH29" s="3" t="s">
        <v>169</v>
      </c>
      <c r="PTI29" s="3" t="s">
        <v>168</v>
      </c>
      <c r="PTJ29" s="3" t="s">
        <v>169</v>
      </c>
      <c r="PTK29" s="3" t="s">
        <v>168</v>
      </c>
      <c r="PTL29" s="3" t="s">
        <v>169</v>
      </c>
      <c r="PTM29" s="3" t="s">
        <v>168</v>
      </c>
      <c r="PTN29" s="3" t="s">
        <v>169</v>
      </c>
      <c r="PTO29" s="3" t="s">
        <v>168</v>
      </c>
      <c r="PTP29" s="3" t="s">
        <v>169</v>
      </c>
      <c r="PTQ29" s="3" t="s">
        <v>168</v>
      </c>
      <c r="PTR29" s="3" t="s">
        <v>169</v>
      </c>
      <c r="PTS29" s="3" t="s">
        <v>168</v>
      </c>
      <c r="PTT29" s="3" t="s">
        <v>169</v>
      </c>
      <c r="PTU29" s="3" t="s">
        <v>168</v>
      </c>
      <c r="PTV29" s="3" t="s">
        <v>169</v>
      </c>
      <c r="PTW29" s="3" t="s">
        <v>168</v>
      </c>
      <c r="PTX29" s="3" t="s">
        <v>169</v>
      </c>
      <c r="PTY29" s="3" t="s">
        <v>168</v>
      </c>
      <c r="PTZ29" s="3" t="s">
        <v>169</v>
      </c>
      <c r="PUA29" s="3" t="s">
        <v>168</v>
      </c>
      <c r="PUB29" s="3" t="s">
        <v>169</v>
      </c>
      <c r="PUC29" s="3" t="s">
        <v>168</v>
      </c>
      <c r="PUD29" s="3" t="s">
        <v>169</v>
      </c>
      <c r="PUE29" s="3" t="s">
        <v>168</v>
      </c>
      <c r="PUF29" s="3" t="s">
        <v>169</v>
      </c>
      <c r="PUG29" s="3" t="s">
        <v>168</v>
      </c>
      <c r="PUH29" s="3" t="s">
        <v>169</v>
      </c>
      <c r="PUI29" s="3" t="s">
        <v>168</v>
      </c>
      <c r="PUJ29" s="3" t="s">
        <v>169</v>
      </c>
      <c r="PUK29" s="3" t="s">
        <v>168</v>
      </c>
      <c r="PUL29" s="3" t="s">
        <v>169</v>
      </c>
      <c r="PUM29" s="3" t="s">
        <v>168</v>
      </c>
      <c r="PUN29" s="3" t="s">
        <v>169</v>
      </c>
      <c r="PUO29" s="3" t="s">
        <v>168</v>
      </c>
      <c r="PUP29" s="3" t="s">
        <v>169</v>
      </c>
      <c r="PUQ29" s="3" t="s">
        <v>168</v>
      </c>
      <c r="PUR29" s="3" t="s">
        <v>169</v>
      </c>
      <c r="PUS29" s="3" t="s">
        <v>168</v>
      </c>
      <c r="PUT29" s="3" t="s">
        <v>169</v>
      </c>
      <c r="PUU29" s="3" t="s">
        <v>168</v>
      </c>
      <c r="PUV29" s="3" t="s">
        <v>169</v>
      </c>
      <c r="PUW29" s="3" t="s">
        <v>168</v>
      </c>
      <c r="PUX29" s="3" t="s">
        <v>169</v>
      </c>
      <c r="PUY29" s="3" t="s">
        <v>168</v>
      </c>
      <c r="PUZ29" s="3" t="s">
        <v>169</v>
      </c>
      <c r="PVA29" s="3" t="s">
        <v>168</v>
      </c>
      <c r="PVB29" s="3" t="s">
        <v>169</v>
      </c>
      <c r="PVC29" s="3" t="s">
        <v>168</v>
      </c>
      <c r="PVD29" s="3" t="s">
        <v>169</v>
      </c>
      <c r="PVE29" s="3" t="s">
        <v>168</v>
      </c>
      <c r="PVF29" s="3" t="s">
        <v>169</v>
      </c>
      <c r="PVG29" s="3" t="s">
        <v>168</v>
      </c>
      <c r="PVH29" s="3" t="s">
        <v>169</v>
      </c>
      <c r="PVI29" s="3" t="s">
        <v>168</v>
      </c>
      <c r="PVJ29" s="3" t="s">
        <v>169</v>
      </c>
      <c r="PVK29" s="3" t="s">
        <v>168</v>
      </c>
      <c r="PVL29" s="3" t="s">
        <v>169</v>
      </c>
      <c r="PVM29" s="3" t="s">
        <v>168</v>
      </c>
      <c r="PVN29" s="3" t="s">
        <v>169</v>
      </c>
      <c r="PVO29" s="3" t="s">
        <v>168</v>
      </c>
      <c r="PVP29" s="3" t="s">
        <v>169</v>
      </c>
      <c r="PVQ29" s="3" t="s">
        <v>168</v>
      </c>
      <c r="PVR29" s="3" t="s">
        <v>169</v>
      </c>
      <c r="PVS29" s="3" t="s">
        <v>168</v>
      </c>
      <c r="PVT29" s="3" t="s">
        <v>169</v>
      </c>
      <c r="PVU29" s="3" t="s">
        <v>168</v>
      </c>
      <c r="PVV29" s="3" t="s">
        <v>169</v>
      </c>
      <c r="PVW29" s="3" t="s">
        <v>168</v>
      </c>
      <c r="PVX29" s="3" t="s">
        <v>169</v>
      </c>
      <c r="PVY29" s="3" t="s">
        <v>168</v>
      </c>
      <c r="PVZ29" s="3" t="s">
        <v>169</v>
      </c>
      <c r="PWA29" s="3" t="s">
        <v>168</v>
      </c>
      <c r="PWB29" s="3" t="s">
        <v>169</v>
      </c>
      <c r="PWC29" s="3" t="s">
        <v>168</v>
      </c>
      <c r="PWD29" s="3" t="s">
        <v>169</v>
      </c>
      <c r="PWE29" s="3" t="s">
        <v>168</v>
      </c>
      <c r="PWF29" s="3" t="s">
        <v>169</v>
      </c>
      <c r="PWG29" s="3" t="s">
        <v>168</v>
      </c>
      <c r="PWH29" s="3" t="s">
        <v>169</v>
      </c>
      <c r="PWI29" s="3" t="s">
        <v>168</v>
      </c>
      <c r="PWJ29" s="3" t="s">
        <v>169</v>
      </c>
      <c r="PWK29" s="3" t="s">
        <v>168</v>
      </c>
      <c r="PWL29" s="3" t="s">
        <v>169</v>
      </c>
      <c r="PWM29" s="3" t="s">
        <v>168</v>
      </c>
      <c r="PWN29" s="3" t="s">
        <v>169</v>
      </c>
      <c r="PWO29" s="3" t="s">
        <v>168</v>
      </c>
      <c r="PWP29" s="3" t="s">
        <v>169</v>
      </c>
      <c r="PWQ29" s="3" t="s">
        <v>168</v>
      </c>
      <c r="PWR29" s="3" t="s">
        <v>169</v>
      </c>
      <c r="PWS29" s="3" t="s">
        <v>168</v>
      </c>
      <c r="PWT29" s="3" t="s">
        <v>169</v>
      </c>
      <c r="PWU29" s="3" t="s">
        <v>168</v>
      </c>
      <c r="PWV29" s="3" t="s">
        <v>169</v>
      </c>
      <c r="PWW29" s="3" t="s">
        <v>168</v>
      </c>
      <c r="PWX29" s="3" t="s">
        <v>169</v>
      </c>
      <c r="PWY29" s="3" t="s">
        <v>168</v>
      </c>
      <c r="PWZ29" s="3" t="s">
        <v>169</v>
      </c>
      <c r="PXA29" s="3" t="s">
        <v>168</v>
      </c>
      <c r="PXB29" s="3" t="s">
        <v>169</v>
      </c>
      <c r="PXC29" s="3" t="s">
        <v>168</v>
      </c>
      <c r="PXD29" s="3" t="s">
        <v>169</v>
      </c>
      <c r="PXE29" s="3" t="s">
        <v>168</v>
      </c>
      <c r="PXF29" s="3" t="s">
        <v>169</v>
      </c>
      <c r="PXG29" s="3" t="s">
        <v>168</v>
      </c>
      <c r="PXH29" s="3" t="s">
        <v>169</v>
      </c>
      <c r="PXI29" s="3" t="s">
        <v>168</v>
      </c>
      <c r="PXJ29" s="3" t="s">
        <v>169</v>
      </c>
      <c r="PXK29" s="3" t="s">
        <v>168</v>
      </c>
      <c r="PXL29" s="3" t="s">
        <v>169</v>
      </c>
      <c r="PXM29" s="3" t="s">
        <v>168</v>
      </c>
      <c r="PXN29" s="3" t="s">
        <v>169</v>
      </c>
      <c r="PXO29" s="3" t="s">
        <v>168</v>
      </c>
      <c r="PXP29" s="3" t="s">
        <v>169</v>
      </c>
      <c r="PXQ29" s="3" t="s">
        <v>168</v>
      </c>
      <c r="PXR29" s="3" t="s">
        <v>169</v>
      </c>
      <c r="PXS29" s="3" t="s">
        <v>168</v>
      </c>
      <c r="PXT29" s="3" t="s">
        <v>169</v>
      </c>
      <c r="PXU29" s="3" t="s">
        <v>168</v>
      </c>
      <c r="PXV29" s="3" t="s">
        <v>169</v>
      </c>
      <c r="PXW29" s="3" t="s">
        <v>168</v>
      </c>
      <c r="PXX29" s="3" t="s">
        <v>169</v>
      </c>
      <c r="PXY29" s="3" t="s">
        <v>168</v>
      </c>
      <c r="PXZ29" s="3" t="s">
        <v>169</v>
      </c>
      <c r="PYA29" s="3" t="s">
        <v>168</v>
      </c>
      <c r="PYB29" s="3" t="s">
        <v>169</v>
      </c>
      <c r="PYC29" s="3" t="s">
        <v>168</v>
      </c>
      <c r="PYD29" s="3" t="s">
        <v>169</v>
      </c>
      <c r="PYE29" s="3" t="s">
        <v>168</v>
      </c>
      <c r="PYF29" s="3" t="s">
        <v>169</v>
      </c>
      <c r="PYG29" s="3" t="s">
        <v>168</v>
      </c>
      <c r="PYH29" s="3" t="s">
        <v>169</v>
      </c>
      <c r="PYI29" s="3" t="s">
        <v>168</v>
      </c>
      <c r="PYJ29" s="3" t="s">
        <v>169</v>
      </c>
      <c r="PYK29" s="3" t="s">
        <v>168</v>
      </c>
      <c r="PYL29" s="3" t="s">
        <v>169</v>
      </c>
      <c r="PYM29" s="3" t="s">
        <v>168</v>
      </c>
      <c r="PYN29" s="3" t="s">
        <v>169</v>
      </c>
      <c r="PYO29" s="3" t="s">
        <v>168</v>
      </c>
      <c r="PYP29" s="3" t="s">
        <v>169</v>
      </c>
      <c r="PYQ29" s="3" t="s">
        <v>168</v>
      </c>
      <c r="PYR29" s="3" t="s">
        <v>169</v>
      </c>
      <c r="PYS29" s="3" t="s">
        <v>168</v>
      </c>
      <c r="PYT29" s="3" t="s">
        <v>169</v>
      </c>
      <c r="PYU29" s="3" t="s">
        <v>168</v>
      </c>
      <c r="PYV29" s="3" t="s">
        <v>169</v>
      </c>
      <c r="PYW29" s="3" t="s">
        <v>168</v>
      </c>
      <c r="PYX29" s="3" t="s">
        <v>169</v>
      </c>
      <c r="PYY29" s="3" t="s">
        <v>168</v>
      </c>
      <c r="PYZ29" s="3" t="s">
        <v>169</v>
      </c>
      <c r="PZA29" s="3" t="s">
        <v>168</v>
      </c>
      <c r="PZB29" s="3" t="s">
        <v>169</v>
      </c>
      <c r="PZC29" s="3" t="s">
        <v>168</v>
      </c>
      <c r="PZD29" s="3" t="s">
        <v>169</v>
      </c>
      <c r="PZE29" s="3" t="s">
        <v>168</v>
      </c>
      <c r="PZF29" s="3" t="s">
        <v>169</v>
      </c>
      <c r="PZG29" s="3" t="s">
        <v>168</v>
      </c>
      <c r="PZH29" s="3" t="s">
        <v>169</v>
      </c>
      <c r="PZI29" s="3" t="s">
        <v>168</v>
      </c>
      <c r="PZJ29" s="3" t="s">
        <v>169</v>
      </c>
      <c r="PZK29" s="3" t="s">
        <v>168</v>
      </c>
      <c r="PZL29" s="3" t="s">
        <v>169</v>
      </c>
      <c r="PZM29" s="3" t="s">
        <v>168</v>
      </c>
      <c r="PZN29" s="3" t="s">
        <v>169</v>
      </c>
      <c r="PZO29" s="3" t="s">
        <v>168</v>
      </c>
      <c r="PZP29" s="3" t="s">
        <v>169</v>
      </c>
      <c r="PZQ29" s="3" t="s">
        <v>168</v>
      </c>
      <c r="PZR29" s="3" t="s">
        <v>169</v>
      </c>
      <c r="PZS29" s="3" t="s">
        <v>168</v>
      </c>
      <c r="PZT29" s="3" t="s">
        <v>169</v>
      </c>
      <c r="PZU29" s="3" t="s">
        <v>168</v>
      </c>
      <c r="PZV29" s="3" t="s">
        <v>169</v>
      </c>
      <c r="PZW29" s="3" t="s">
        <v>168</v>
      </c>
      <c r="PZX29" s="3" t="s">
        <v>169</v>
      </c>
      <c r="PZY29" s="3" t="s">
        <v>168</v>
      </c>
      <c r="PZZ29" s="3" t="s">
        <v>169</v>
      </c>
      <c r="QAA29" s="3" t="s">
        <v>168</v>
      </c>
      <c r="QAB29" s="3" t="s">
        <v>169</v>
      </c>
      <c r="QAC29" s="3" t="s">
        <v>168</v>
      </c>
      <c r="QAD29" s="3" t="s">
        <v>169</v>
      </c>
      <c r="QAE29" s="3" t="s">
        <v>168</v>
      </c>
      <c r="QAF29" s="3" t="s">
        <v>169</v>
      </c>
      <c r="QAG29" s="3" t="s">
        <v>168</v>
      </c>
      <c r="QAH29" s="3" t="s">
        <v>169</v>
      </c>
      <c r="QAI29" s="3" t="s">
        <v>168</v>
      </c>
      <c r="QAJ29" s="3" t="s">
        <v>169</v>
      </c>
      <c r="QAK29" s="3" t="s">
        <v>168</v>
      </c>
      <c r="QAL29" s="3" t="s">
        <v>169</v>
      </c>
      <c r="QAM29" s="3" t="s">
        <v>168</v>
      </c>
      <c r="QAN29" s="3" t="s">
        <v>169</v>
      </c>
      <c r="QAO29" s="3" t="s">
        <v>168</v>
      </c>
      <c r="QAP29" s="3" t="s">
        <v>169</v>
      </c>
      <c r="QAQ29" s="3" t="s">
        <v>168</v>
      </c>
      <c r="QAR29" s="3" t="s">
        <v>169</v>
      </c>
      <c r="QAS29" s="3" t="s">
        <v>168</v>
      </c>
      <c r="QAT29" s="3" t="s">
        <v>169</v>
      </c>
      <c r="QAU29" s="3" t="s">
        <v>168</v>
      </c>
      <c r="QAV29" s="3" t="s">
        <v>169</v>
      </c>
      <c r="QAW29" s="3" t="s">
        <v>168</v>
      </c>
      <c r="QAX29" s="3" t="s">
        <v>169</v>
      </c>
      <c r="QAY29" s="3" t="s">
        <v>168</v>
      </c>
      <c r="QAZ29" s="3" t="s">
        <v>169</v>
      </c>
      <c r="QBA29" s="3" t="s">
        <v>168</v>
      </c>
      <c r="QBB29" s="3" t="s">
        <v>169</v>
      </c>
      <c r="QBC29" s="3" t="s">
        <v>168</v>
      </c>
      <c r="QBD29" s="3" t="s">
        <v>169</v>
      </c>
      <c r="QBE29" s="3" t="s">
        <v>168</v>
      </c>
      <c r="QBF29" s="3" t="s">
        <v>169</v>
      </c>
      <c r="QBG29" s="3" t="s">
        <v>168</v>
      </c>
      <c r="QBH29" s="3" t="s">
        <v>169</v>
      </c>
      <c r="QBI29" s="3" t="s">
        <v>168</v>
      </c>
      <c r="QBJ29" s="3" t="s">
        <v>169</v>
      </c>
      <c r="QBK29" s="3" t="s">
        <v>168</v>
      </c>
      <c r="QBL29" s="3" t="s">
        <v>169</v>
      </c>
      <c r="QBM29" s="3" t="s">
        <v>168</v>
      </c>
      <c r="QBN29" s="3" t="s">
        <v>169</v>
      </c>
      <c r="QBO29" s="3" t="s">
        <v>168</v>
      </c>
      <c r="QBP29" s="3" t="s">
        <v>169</v>
      </c>
      <c r="QBQ29" s="3" t="s">
        <v>168</v>
      </c>
      <c r="QBR29" s="3" t="s">
        <v>169</v>
      </c>
      <c r="QBS29" s="3" t="s">
        <v>168</v>
      </c>
      <c r="QBT29" s="3" t="s">
        <v>169</v>
      </c>
      <c r="QBU29" s="3" t="s">
        <v>168</v>
      </c>
      <c r="QBV29" s="3" t="s">
        <v>169</v>
      </c>
      <c r="QBW29" s="3" t="s">
        <v>168</v>
      </c>
      <c r="QBX29" s="3" t="s">
        <v>169</v>
      </c>
      <c r="QBY29" s="3" t="s">
        <v>168</v>
      </c>
      <c r="QBZ29" s="3" t="s">
        <v>169</v>
      </c>
      <c r="QCA29" s="3" t="s">
        <v>168</v>
      </c>
      <c r="QCB29" s="3" t="s">
        <v>169</v>
      </c>
      <c r="QCC29" s="3" t="s">
        <v>168</v>
      </c>
      <c r="QCD29" s="3" t="s">
        <v>169</v>
      </c>
      <c r="QCE29" s="3" t="s">
        <v>168</v>
      </c>
      <c r="QCF29" s="3" t="s">
        <v>169</v>
      </c>
      <c r="QCG29" s="3" t="s">
        <v>168</v>
      </c>
      <c r="QCH29" s="3" t="s">
        <v>169</v>
      </c>
      <c r="QCI29" s="3" t="s">
        <v>168</v>
      </c>
      <c r="QCJ29" s="3" t="s">
        <v>169</v>
      </c>
      <c r="QCK29" s="3" t="s">
        <v>168</v>
      </c>
      <c r="QCL29" s="3" t="s">
        <v>169</v>
      </c>
      <c r="QCM29" s="3" t="s">
        <v>168</v>
      </c>
      <c r="QCN29" s="3" t="s">
        <v>169</v>
      </c>
      <c r="QCO29" s="3" t="s">
        <v>168</v>
      </c>
      <c r="QCP29" s="3" t="s">
        <v>169</v>
      </c>
      <c r="QCQ29" s="3" t="s">
        <v>168</v>
      </c>
      <c r="QCR29" s="3" t="s">
        <v>169</v>
      </c>
      <c r="QCS29" s="3" t="s">
        <v>168</v>
      </c>
      <c r="QCT29" s="3" t="s">
        <v>169</v>
      </c>
      <c r="QCU29" s="3" t="s">
        <v>168</v>
      </c>
      <c r="QCV29" s="3" t="s">
        <v>169</v>
      </c>
      <c r="QCW29" s="3" t="s">
        <v>168</v>
      </c>
      <c r="QCX29" s="3" t="s">
        <v>169</v>
      </c>
      <c r="QCY29" s="3" t="s">
        <v>168</v>
      </c>
      <c r="QCZ29" s="3" t="s">
        <v>169</v>
      </c>
      <c r="QDA29" s="3" t="s">
        <v>168</v>
      </c>
      <c r="QDB29" s="3" t="s">
        <v>169</v>
      </c>
      <c r="QDC29" s="3" t="s">
        <v>168</v>
      </c>
      <c r="QDD29" s="3" t="s">
        <v>169</v>
      </c>
      <c r="QDE29" s="3" t="s">
        <v>168</v>
      </c>
      <c r="QDF29" s="3" t="s">
        <v>169</v>
      </c>
      <c r="QDG29" s="3" t="s">
        <v>168</v>
      </c>
      <c r="QDH29" s="3" t="s">
        <v>169</v>
      </c>
      <c r="QDI29" s="3" t="s">
        <v>168</v>
      </c>
      <c r="QDJ29" s="3" t="s">
        <v>169</v>
      </c>
      <c r="QDK29" s="3" t="s">
        <v>168</v>
      </c>
      <c r="QDL29" s="3" t="s">
        <v>169</v>
      </c>
      <c r="QDM29" s="3" t="s">
        <v>168</v>
      </c>
      <c r="QDN29" s="3" t="s">
        <v>169</v>
      </c>
      <c r="QDO29" s="3" t="s">
        <v>168</v>
      </c>
      <c r="QDP29" s="3" t="s">
        <v>169</v>
      </c>
      <c r="QDQ29" s="3" t="s">
        <v>168</v>
      </c>
      <c r="QDR29" s="3" t="s">
        <v>169</v>
      </c>
      <c r="QDS29" s="3" t="s">
        <v>168</v>
      </c>
      <c r="QDT29" s="3" t="s">
        <v>169</v>
      </c>
      <c r="QDU29" s="3" t="s">
        <v>168</v>
      </c>
      <c r="QDV29" s="3" t="s">
        <v>169</v>
      </c>
      <c r="QDW29" s="3" t="s">
        <v>168</v>
      </c>
      <c r="QDX29" s="3" t="s">
        <v>169</v>
      </c>
      <c r="QDY29" s="3" t="s">
        <v>168</v>
      </c>
      <c r="QDZ29" s="3" t="s">
        <v>169</v>
      </c>
      <c r="QEA29" s="3" t="s">
        <v>168</v>
      </c>
      <c r="QEB29" s="3" t="s">
        <v>169</v>
      </c>
      <c r="QEC29" s="3" t="s">
        <v>168</v>
      </c>
      <c r="QED29" s="3" t="s">
        <v>169</v>
      </c>
      <c r="QEE29" s="3" t="s">
        <v>168</v>
      </c>
      <c r="QEF29" s="3" t="s">
        <v>169</v>
      </c>
      <c r="QEG29" s="3" t="s">
        <v>168</v>
      </c>
      <c r="QEH29" s="3" t="s">
        <v>169</v>
      </c>
      <c r="QEI29" s="3" t="s">
        <v>168</v>
      </c>
      <c r="QEJ29" s="3" t="s">
        <v>169</v>
      </c>
      <c r="QEK29" s="3" t="s">
        <v>168</v>
      </c>
      <c r="QEL29" s="3" t="s">
        <v>169</v>
      </c>
      <c r="QEM29" s="3" t="s">
        <v>168</v>
      </c>
      <c r="QEN29" s="3" t="s">
        <v>169</v>
      </c>
      <c r="QEO29" s="3" t="s">
        <v>168</v>
      </c>
      <c r="QEP29" s="3" t="s">
        <v>169</v>
      </c>
      <c r="QEQ29" s="3" t="s">
        <v>168</v>
      </c>
      <c r="QER29" s="3" t="s">
        <v>169</v>
      </c>
      <c r="QES29" s="3" t="s">
        <v>168</v>
      </c>
      <c r="QET29" s="3" t="s">
        <v>169</v>
      </c>
      <c r="QEU29" s="3" t="s">
        <v>168</v>
      </c>
      <c r="QEV29" s="3" t="s">
        <v>169</v>
      </c>
      <c r="QEW29" s="3" t="s">
        <v>168</v>
      </c>
      <c r="QEX29" s="3" t="s">
        <v>169</v>
      </c>
      <c r="QEY29" s="3" t="s">
        <v>168</v>
      </c>
      <c r="QEZ29" s="3" t="s">
        <v>169</v>
      </c>
      <c r="QFA29" s="3" t="s">
        <v>168</v>
      </c>
      <c r="QFB29" s="3" t="s">
        <v>169</v>
      </c>
      <c r="QFC29" s="3" t="s">
        <v>168</v>
      </c>
      <c r="QFD29" s="3" t="s">
        <v>169</v>
      </c>
      <c r="QFE29" s="3" t="s">
        <v>168</v>
      </c>
      <c r="QFF29" s="3" t="s">
        <v>169</v>
      </c>
      <c r="QFG29" s="3" t="s">
        <v>168</v>
      </c>
      <c r="QFH29" s="3" t="s">
        <v>169</v>
      </c>
      <c r="QFI29" s="3" t="s">
        <v>168</v>
      </c>
      <c r="QFJ29" s="3" t="s">
        <v>169</v>
      </c>
      <c r="QFK29" s="3" t="s">
        <v>168</v>
      </c>
      <c r="QFL29" s="3" t="s">
        <v>169</v>
      </c>
      <c r="QFM29" s="3" t="s">
        <v>168</v>
      </c>
      <c r="QFN29" s="3" t="s">
        <v>169</v>
      </c>
      <c r="QFO29" s="3" t="s">
        <v>168</v>
      </c>
      <c r="QFP29" s="3" t="s">
        <v>169</v>
      </c>
      <c r="QFQ29" s="3" t="s">
        <v>168</v>
      </c>
      <c r="QFR29" s="3" t="s">
        <v>169</v>
      </c>
      <c r="QFS29" s="3" t="s">
        <v>168</v>
      </c>
      <c r="QFT29" s="3" t="s">
        <v>169</v>
      </c>
      <c r="QFU29" s="3" t="s">
        <v>168</v>
      </c>
      <c r="QFV29" s="3" t="s">
        <v>169</v>
      </c>
      <c r="QFW29" s="3" t="s">
        <v>168</v>
      </c>
      <c r="QFX29" s="3" t="s">
        <v>169</v>
      </c>
      <c r="QFY29" s="3" t="s">
        <v>168</v>
      </c>
      <c r="QFZ29" s="3" t="s">
        <v>169</v>
      </c>
      <c r="QGA29" s="3" t="s">
        <v>168</v>
      </c>
      <c r="QGB29" s="3" t="s">
        <v>169</v>
      </c>
      <c r="QGC29" s="3" t="s">
        <v>168</v>
      </c>
      <c r="QGD29" s="3" t="s">
        <v>169</v>
      </c>
      <c r="QGE29" s="3" t="s">
        <v>168</v>
      </c>
      <c r="QGF29" s="3" t="s">
        <v>169</v>
      </c>
      <c r="QGG29" s="3" t="s">
        <v>168</v>
      </c>
      <c r="QGH29" s="3" t="s">
        <v>169</v>
      </c>
      <c r="QGI29" s="3" t="s">
        <v>168</v>
      </c>
      <c r="QGJ29" s="3" t="s">
        <v>169</v>
      </c>
      <c r="QGK29" s="3" t="s">
        <v>168</v>
      </c>
      <c r="QGL29" s="3" t="s">
        <v>169</v>
      </c>
      <c r="QGM29" s="3" t="s">
        <v>168</v>
      </c>
      <c r="QGN29" s="3" t="s">
        <v>169</v>
      </c>
      <c r="QGO29" s="3" t="s">
        <v>168</v>
      </c>
      <c r="QGP29" s="3" t="s">
        <v>169</v>
      </c>
      <c r="QGQ29" s="3" t="s">
        <v>168</v>
      </c>
      <c r="QGR29" s="3" t="s">
        <v>169</v>
      </c>
      <c r="QGS29" s="3" t="s">
        <v>168</v>
      </c>
      <c r="QGT29" s="3" t="s">
        <v>169</v>
      </c>
      <c r="QGU29" s="3" t="s">
        <v>168</v>
      </c>
      <c r="QGV29" s="3" t="s">
        <v>169</v>
      </c>
      <c r="QGW29" s="3" t="s">
        <v>168</v>
      </c>
      <c r="QGX29" s="3" t="s">
        <v>169</v>
      </c>
      <c r="QGY29" s="3" t="s">
        <v>168</v>
      </c>
      <c r="QGZ29" s="3" t="s">
        <v>169</v>
      </c>
      <c r="QHA29" s="3" t="s">
        <v>168</v>
      </c>
      <c r="QHB29" s="3" t="s">
        <v>169</v>
      </c>
      <c r="QHC29" s="3" t="s">
        <v>168</v>
      </c>
      <c r="QHD29" s="3" t="s">
        <v>169</v>
      </c>
      <c r="QHE29" s="3" t="s">
        <v>168</v>
      </c>
      <c r="QHF29" s="3" t="s">
        <v>169</v>
      </c>
      <c r="QHG29" s="3" t="s">
        <v>168</v>
      </c>
      <c r="QHH29" s="3" t="s">
        <v>169</v>
      </c>
      <c r="QHI29" s="3" t="s">
        <v>168</v>
      </c>
      <c r="QHJ29" s="3" t="s">
        <v>169</v>
      </c>
      <c r="QHK29" s="3" t="s">
        <v>168</v>
      </c>
      <c r="QHL29" s="3" t="s">
        <v>169</v>
      </c>
      <c r="QHM29" s="3" t="s">
        <v>168</v>
      </c>
      <c r="QHN29" s="3" t="s">
        <v>169</v>
      </c>
      <c r="QHO29" s="3" t="s">
        <v>168</v>
      </c>
      <c r="QHP29" s="3" t="s">
        <v>169</v>
      </c>
      <c r="QHQ29" s="3" t="s">
        <v>168</v>
      </c>
      <c r="QHR29" s="3" t="s">
        <v>169</v>
      </c>
      <c r="QHS29" s="3" t="s">
        <v>168</v>
      </c>
      <c r="QHT29" s="3" t="s">
        <v>169</v>
      </c>
      <c r="QHU29" s="3" t="s">
        <v>168</v>
      </c>
      <c r="QHV29" s="3" t="s">
        <v>169</v>
      </c>
      <c r="QHW29" s="3" t="s">
        <v>168</v>
      </c>
      <c r="QHX29" s="3" t="s">
        <v>169</v>
      </c>
      <c r="QHY29" s="3" t="s">
        <v>168</v>
      </c>
      <c r="QHZ29" s="3" t="s">
        <v>169</v>
      </c>
      <c r="QIA29" s="3" t="s">
        <v>168</v>
      </c>
      <c r="QIB29" s="3" t="s">
        <v>169</v>
      </c>
      <c r="QIC29" s="3" t="s">
        <v>168</v>
      </c>
      <c r="QID29" s="3" t="s">
        <v>169</v>
      </c>
      <c r="QIE29" s="3" t="s">
        <v>168</v>
      </c>
      <c r="QIF29" s="3" t="s">
        <v>169</v>
      </c>
      <c r="QIG29" s="3" t="s">
        <v>168</v>
      </c>
      <c r="QIH29" s="3" t="s">
        <v>169</v>
      </c>
      <c r="QII29" s="3" t="s">
        <v>168</v>
      </c>
      <c r="QIJ29" s="3" t="s">
        <v>169</v>
      </c>
      <c r="QIK29" s="3" t="s">
        <v>168</v>
      </c>
      <c r="QIL29" s="3" t="s">
        <v>169</v>
      </c>
      <c r="QIM29" s="3" t="s">
        <v>168</v>
      </c>
      <c r="QIN29" s="3" t="s">
        <v>169</v>
      </c>
      <c r="QIO29" s="3" t="s">
        <v>168</v>
      </c>
      <c r="QIP29" s="3" t="s">
        <v>169</v>
      </c>
      <c r="QIQ29" s="3" t="s">
        <v>168</v>
      </c>
      <c r="QIR29" s="3" t="s">
        <v>169</v>
      </c>
      <c r="QIS29" s="3" t="s">
        <v>168</v>
      </c>
      <c r="QIT29" s="3" t="s">
        <v>169</v>
      </c>
      <c r="QIU29" s="3" t="s">
        <v>168</v>
      </c>
      <c r="QIV29" s="3" t="s">
        <v>169</v>
      </c>
      <c r="QIW29" s="3" t="s">
        <v>168</v>
      </c>
      <c r="QIX29" s="3" t="s">
        <v>169</v>
      </c>
      <c r="QIY29" s="3" t="s">
        <v>168</v>
      </c>
      <c r="QIZ29" s="3" t="s">
        <v>169</v>
      </c>
      <c r="QJA29" s="3" t="s">
        <v>168</v>
      </c>
      <c r="QJB29" s="3" t="s">
        <v>169</v>
      </c>
      <c r="QJC29" s="3" t="s">
        <v>168</v>
      </c>
      <c r="QJD29" s="3" t="s">
        <v>169</v>
      </c>
      <c r="QJE29" s="3" t="s">
        <v>168</v>
      </c>
      <c r="QJF29" s="3" t="s">
        <v>169</v>
      </c>
      <c r="QJG29" s="3" t="s">
        <v>168</v>
      </c>
      <c r="QJH29" s="3" t="s">
        <v>169</v>
      </c>
      <c r="QJI29" s="3" t="s">
        <v>168</v>
      </c>
      <c r="QJJ29" s="3" t="s">
        <v>169</v>
      </c>
      <c r="QJK29" s="3" t="s">
        <v>168</v>
      </c>
      <c r="QJL29" s="3" t="s">
        <v>169</v>
      </c>
      <c r="QJM29" s="3" t="s">
        <v>168</v>
      </c>
      <c r="QJN29" s="3" t="s">
        <v>169</v>
      </c>
      <c r="QJO29" s="3" t="s">
        <v>168</v>
      </c>
      <c r="QJP29" s="3" t="s">
        <v>169</v>
      </c>
      <c r="QJQ29" s="3" t="s">
        <v>168</v>
      </c>
      <c r="QJR29" s="3" t="s">
        <v>169</v>
      </c>
      <c r="QJS29" s="3" t="s">
        <v>168</v>
      </c>
      <c r="QJT29" s="3" t="s">
        <v>169</v>
      </c>
      <c r="QJU29" s="3" t="s">
        <v>168</v>
      </c>
      <c r="QJV29" s="3" t="s">
        <v>169</v>
      </c>
      <c r="QJW29" s="3" t="s">
        <v>168</v>
      </c>
      <c r="QJX29" s="3" t="s">
        <v>169</v>
      </c>
      <c r="QJY29" s="3" t="s">
        <v>168</v>
      </c>
      <c r="QJZ29" s="3" t="s">
        <v>169</v>
      </c>
      <c r="QKA29" s="3" t="s">
        <v>168</v>
      </c>
      <c r="QKB29" s="3" t="s">
        <v>169</v>
      </c>
      <c r="QKC29" s="3" t="s">
        <v>168</v>
      </c>
      <c r="QKD29" s="3" t="s">
        <v>169</v>
      </c>
      <c r="QKE29" s="3" t="s">
        <v>168</v>
      </c>
      <c r="QKF29" s="3" t="s">
        <v>169</v>
      </c>
      <c r="QKG29" s="3" t="s">
        <v>168</v>
      </c>
      <c r="QKH29" s="3" t="s">
        <v>169</v>
      </c>
      <c r="QKI29" s="3" t="s">
        <v>168</v>
      </c>
      <c r="QKJ29" s="3" t="s">
        <v>169</v>
      </c>
      <c r="QKK29" s="3" t="s">
        <v>168</v>
      </c>
      <c r="QKL29" s="3" t="s">
        <v>169</v>
      </c>
      <c r="QKM29" s="3" t="s">
        <v>168</v>
      </c>
      <c r="QKN29" s="3" t="s">
        <v>169</v>
      </c>
      <c r="QKO29" s="3" t="s">
        <v>168</v>
      </c>
      <c r="QKP29" s="3" t="s">
        <v>169</v>
      </c>
      <c r="QKQ29" s="3" t="s">
        <v>168</v>
      </c>
      <c r="QKR29" s="3" t="s">
        <v>169</v>
      </c>
      <c r="QKS29" s="3" t="s">
        <v>168</v>
      </c>
      <c r="QKT29" s="3" t="s">
        <v>169</v>
      </c>
      <c r="QKU29" s="3" t="s">
        <v>168</v>
      </c>
      <c r="QKV29" s="3" t="s">
        <v>169</v>
      </c>
      <c r="QKW29" s="3" t="s">
        <v>168</v>
      </c>
      <c r="QKX29" s="3" t="s">
        <v>169</v>
      </c>
      <c r="QKY29" s="3" t="s">
        <v>168</v>
      </c>
      <c r="QKZ29" s="3" t="s">
        <v>169</v>
      </c>
      <c r="QLA29" s="3" t="s">
        <v>168</v>
      </c>
      <c r="QLB29" s="3" t="s">
        <v>169</v>
      </c>
      <c r="QLC29" s="3" t="s">
        <v>168</v>
      </c>
      <c r="QLD29" s="3" t="s">
        <v>169</v>
      </c>
      <c r="QLE29" s="3" t="s">
        <v>168</v>
      </c>
      <c r="QLF29" s="3" t="s">
        <v>169</v>
      </c>
      <c r="QLG29" s="3" t="s">
        <v>168</v>
      </c>
      <c r="QLH29" s="3" t="s">
        <v>169</v>
      </c>
      <c r="QLI29" s="3" t="s">
        <v>168</v>
      </c>
      <c r="QLJ29" s="3" t="s">
        <v>169</v>
      </c>
      <c r="QLK29" s="3" t="s">
        <v>168</v>
      </c>
      <c r="QLL29" s="3" t="s">
        <v>169</v>
      </c>
      <c r="QLM29" s="3" t="s">
        <v>168</v>
      </c>
      <c r="QLN29" s="3" t="s">
        <v>169</v>
      </c>
      <c r="QLO29" s="3" t="s">
        <v>168</v>
      </c>
      <c r="QLP29" s="3" t="s">
        <v>169</v>
      </c>
      <c r="QLQ29" s="3" t="s">
        <v>168</v>
      </c>
      <c r="QLR29" s="3" t="s">
        <v>169</v>
      </c>
      <c r="QLS29" s="3" t="s">
        <v>168</v>
      </c>
      <c r="QLT29" s="3" t="s">
        <v>169</v>
      </c>
      <c r="QLU29" s="3" t="s">
        <v>168</v>
      </c>
      <c r="QLV29" s="3" t="s">
        <v>169</v>
      </c>
      <c r="QLW29" s="3" t="s">
        <v>168</v>
      </c>
      <c r="QLX29" s="3" t="s">
        <v>169</v>
      </c>
      <c r="QLY29" s="3" t="s">
        <v>168</v>
      </c>
      <c r="QLZ29" s="3" t="s">
        <v>169</v>
      </c>
      <c r="QMA29" s="3" t="s">
        <v>168</v>
      </c>
      <c r="QMB29" s="3" t="s">
        <v>169</v>
      </c>
      <c r="QMC29" s="3" t="s">
        <v>168</v>
      </c>
      <c r="QMD29" s="3" t="s">
        <v>169</v>
      </c>
      <c r="QME29" s="3" t="s">
        <v>168</v>
      </c>
      <c r="QMF29" s="3" t="s">
        <v>169</v>
      </c>
      <c r="QMG29" s="3" t="s">
        <v>168</v>
      </c>
      <c r="QMH29" s="3" t="s">
        <v>169</v>
      </c>
      <c r="QMI29" s="3" t="s">
        <v>168</v>
      </c>
      <c r="QMJ29" s="3" t="s">
        <v>169</v>
      </c>
      <c r="QMK29" s="3" t="s">
        <v>168</v>
      </c>
      <c r="QML29" s="3" t="s">
        <v>169</v>
      </c>
      <c r="QMM29" s="3" t="s">
        <v>168</v>
      </c>
      <c r="QMN29" s="3" t="s">
        <v>169</v>
      </c>
      <c r="QMO29" s="3" t="s">
        <v>168</v>
      </c>
      <c r="QMP29" s="3" t="s">
        <v>169</v>
      </c>
      <c r="QMQ29" s="3" t="s">
        <v>168</v>
      </c>
      <c r="QMR29" s="3" t="s">
        <v>169</v>
      </c>
      <c r="QMS29" s="3" t="s">
        <v>168</v>
      </c>
      <c r="QMT29" s="3" t="s">
        <v>169</v>
      </c>
      <c r="QMU29" s="3" t="s">
        <v>168</v>
      </c>
      <c r="QMV29" s="3" t="s">
        <v>169</v>
      </c>
      <c r="QMW29" s="3" t="s">
        <v>168</v>
      </c>
      <c r="QMX29" s="3" t="s">
        <v>169</v>
      </c>
      <c r="QMY29" s="3" t="s">
        <v>168</v>
      </c>
      <c r="QMZ29" s="3" t="s">
        <v>169</v>
      </c>
      <c r="QNA29" s="3" t="s">
        <v>168</v>
      </c>
      <c r="QNB29" s="3" t="s">
        <v>169</v>
      </c>
      <c r="QNC29" s="3" t="s">
        <v>168</v>
      </c>
      <c r="QND29" s="3" t="s">
        <v>169</v>
      </c>
      <c r="QNE29" s="3" t="s">
        <v>168</v>
      </c>
      <c r="QNF29" s="3" t="s">
        <v>169</v>
      </c>
      <c r="QNG29" s="3" t="s">
        <v>168</v>
      </c>
      <c r="QNH29" s="3" t="s">
        <v>169</v>
      </c>
      <c r="QNI29" s="3" t="s">
        <v>168</v>
      </c>
      <c r="QNJ29" s="3" t="s">
        <v>169</v>
      </c>
      <c r="QNK29" s="3" t="s">
        <v>168</v>
      </c>
      <c r="QNL29" s="3" t="s">
        <v>169</v>
      </c>
      <c r="QNM29" s="3" t="s">
        <v>168</v>
      </c>
      <c r="QNN29" s="3" t="s">
        <v>169</v>
      </c>
      <c r="QNO29" s="3" t="s">
        <v>168</v>
      </c>
      <c r="QNP29" s="3" t="s">
        <v>169</v>
      </c>
      <c r="QNQ29" s="3" t="s">
        <v>168</v>
      </c>
      <c r="QNR29" s="3" t="s">
        <v>169</v>
      </c>
      <c r="QNS29" s="3" t="s">
        <v>168</v>
      </c>
      <c r="QNT29" s="3" t="s">
        <v>169</v>
      </c>
      <c r="QNU29" s="3" t="s">
        <v>168</v>
      </c>
      <c r="QNV29" s="3" t="s">
        <v>169</v>
      </c>
      <c r="QNW29" s="3" t="s">
        <v>168</v>
      </c>
      <c r="QNX29" s="3" t="s">
        <v>169</v>
      </c>
      <c r="QNY29" s="3" t="s">
        <v>168</v>
      </c>
      <c r="QNZ29" s="3" t="s">
        <v>169</v>
      </c>
      <c r="QOA29" s="3" t="s">
        <v>168</v>
      </c>
      <c r="QOB29" s="3" t="s">
        <v>169</v>
      </c>
      <c r="QOC29" s="3" t="s">
        <v>168</v>
      </c>
      <c r="QOD29" s="3" t="s">
        <v>169</v>
      </c>
      <c r="QOE29" s="3" t="s">
        <v>168</v>
      </c>
      <c r="QOF29" s="3" t="s">
        <v>169</v>
      </c>
      <c r="QOG29" s="3" t="s">
        <v>168</v>
      </c>
      <c r="QOH29" s="3" t="s">
        <v>169</v>
      </c>
      <c r="QOI29" s="3" t="s">
        <v>168</v>
      </c>
      <c r="QOJ29" s="3" t="s">
        <v>169</v>
      </c>
      <c r="QOK29" s="3" t="s">
        <v>168</v>
      </c>
      <c r="QOL29" s="3" t="s">
        <v>169</v>
      </c>
      <c r="QOM29" s="3" t="s">
        <v>168</v>
      </c>
      <c r="QON29" s="3" t="s">
        <v>169</v>
      </c>
      <c r="QOO29" s="3" t="s">
        <v>168</v>
      </c>
      <c r="QOP29" s="3" t="s">
        <v>169</v>
      </c>
      <c r="QOQ29" s="3" t="s">
        <v>168</v>
      </c>
      <c r="QOR29" s="3" t="s">
        <v>169</v>
      </c>
      <c r="QOS29" s="3" t="s">
        <v>168</v>
      </c>
      <c r="QOT29" s="3" t="s">
        <v>169</v>
      </c>
      <c r="QOU29" s="3" t="s">
        <v>168</v>
      </c>
      <c r="QOV29" s="3" t="s">
        <v>169</v>
      </c>
      <c r="QOW29" s="3" t="s">
        <v>168</v>
      </c>
      <c r="QOX29" s="3" t="s">
        <v>169</v>
      </c>
      <c r="QOY29" s="3" t="s">
        <v>168</v>
      </c>
      <c r="QOZ29" s="3" t="s">
        <v>169</v>
      </c>
      <c r="QPA29" s="3" t="s">
        <v>168</v>
      </c>
      <c r="QPB29" s="3" t="s">
        <v>169</v>
      </c>
      <c r="QPC29" s="3" t="s">
        <v>168</v>
      </c>
      <c r="QPD29" s="3" t="s">
        <v>169</v>
      </c>
      <c r="QPE29" s="3" t="s">
        <v>168</v>
      </c>
      <c r="QPF29" s="3" t="s">
        <v>169</v>
      </c>
      <c r="QPG29" s="3" t="s">
        <v>168</v>
      </c>
      <c r="QPH29" s="3" t="s">
        <v>169</v>
      </c>
      <c r="QPI29" s="3" t="s">
        <v>168</v>
      </c>
      <c r="QPJ29" s="3" t="s">
        <v>169</v>
      </c>
      <c r="QPK29" s="3" t="s">
        <v>168</v>
      </c>
      <c r="QPL29" s="3" t="s">
        <v>169</v>
      </c>
      <c r="QPM29" s="3" t="s">
        <v>168</v>
      </c>
      <c r="QPN29" s="3" t="s">
        <v>169</v>
      </c>
      <c r="QPO29" s="3" t="s">
        <v>168</v>
      </c>
      <c r="QPP29" s="3" t="s">
        <v>169</v>
      </c>
      <c r="QPQ29" s="3" t="s">
        <v>168</v>
      </c>
      <c r="QPR29" s="3" t="s">
        <v>169</v>
      </c>
      <c r="QPS29" s="3" t="s">
        <v>168</v>
      </c>
      <c r="QPT29" s="3" t="s">
        <v>169</v>
      </c>
      <c r="QPU29" s="3" t="s">
        <v>168</v>
      </c>
      <c r="QPV29" s="3" t="s">
        <v>169</v>
      </c>
      <c r="QPW29" s="3" t="s">
        <v>168</v>
      </c>
      <c r="QPX29" s="3" t="s">
        <v>169</v>
      </c>
      <c r="QPY29" s="3" t="s">
        <v>168</v>
      </c>
      <c r="QPZ29" s="3" t="s">
        <v>169</v>
      </c>
      <c r="QQA29" s="3" t="s">
        <v>168</v>
      </c>
      <c r="QQB29" s="3" t="s">
        <v>169</v>
      </c>
      <c r="QQC29" s="3" t="s">
        <v>168</v>
      </c>
      <c r="QQD29" s="3" t="s">
        <v>169</v>
      </c>
      <c r="QQE29" s="3" t="s">
        <v>168</v>
      </c>
      <c r="QQF29" s="3" t="s">
        <v>169</v>
      </c>
      <c r="QQG29" s="3" t="s">
        <v>168</v>
      </c>
      <c r="QQH29" s="3" t="s">
        <v>169</v>
      </c>
      <c r="QQI29" s="3" t="s">
        <v>168</v>
      </c>
      <c r="QQJ29" s="3" t="s">
        <v>169</v>
      </c>
      <c r="QQK29" s="3" t="s">
        <v>168</v>
      </c>
      <c r="QQL29" s="3" t="s">
        <v>169</v>
      </c>
      <c r="QQM29" s="3" t="s">
        <v>168</v>
      </c>
      <c r="QQN29" s="3" t="s">
        <v>169</v>
      </c>
      <c r="QQO29" s="3" t="s">
        <v>168</v>
      </c>
      <c r="QQP29" s="3" t="s">
        <v>169</v>
      </c>
      <c r="QQQ29" s="3" t="s">
        <v>168</v>
      </c>
      <c r="QQR29" s="3" t="s">
        <v>169</v>
      </c>
      <c r="QQS29" s="3" t="s">
        <v>168</v>
      </c>
      <c r="QQT29" s="3" t="s">
        <v>169</v>
      </c>
      <c r="QQU29" s="3" t="s">
        <v>168</v>
      </c>
      <c r="QQV29" s="3" t="s">
        <v>169</v>
      </c>
      <c r="QQW29" s="3" t="s">
        <v>168</v>
      </c>
      <c r="QQX29" s="3" t="s">
        <v>169</v>
      </c>
      <c r="QQY29" s="3" t="s">
        <v>168</v>
      </c>
      <c r="QQZ29" s="3" t="s">
        <v>169</v>
      </c>
      <c r="QRA29" s="3" t="s">
        <v>168</v>
      </c>
      <c r="QRB29" s="3" t="s">
        <v>169</v>
      </c>
      <c r="QRC29" s="3" t="s">
        <v>168</v>
      </c>
      <c r="QRD29" s="3" t="s">
        <v>169</v>
      </c>
      <c r="QRE29" s="3" t="s">
        <v>168</v>
      </c>
      <c r="QRF29" s="3" t="s">
        <v>169</v>
      </c>
      <c r="QRG29" s="3" t="s">
        <v>168</v>
      </c>
      <c r="QRH29" s="3" t="s">
        <v>169</v>
      </c>
      <c r="QRI29" s="3" t="s">
        <v>168</v>
      </c>
      <c r="QRJ29" s="3" t="s">
        <v>169</v>
      </c>
      <c r="QRK29" s="3" t="s">
        <v>168</v>
      </c>
      <c r="QRL29" s="3" t="s">
        <v>169</v>
      </c>
      <c r="QRM29" s="3" t="s">
        <v>168</v>
      </c>
      <c r="QRN29" s="3" t="s">
        <v>169</v>
      </c>
      <c r="QRO29" s="3" t="s">
        <v>168</v>
      </c>
      <c r="QRP29" s="3" t="s">
        <v>169</v>
      </c>
      <c r="QRQ29" s="3" t="s">
        <v>168</v>
      </c>
      <c r="QRR29" s="3" t="s">
        <v>169</v>
      </c>
      <c r="QRS29" s="3" t="s">
        <v>168</v>
      </c>
      <c r="QRT29" s="3" t="s">
        <v>169</v>
      </c>
      <c r="QRU29" s="3" t="s">
        <v>168</v>
      </c>
      <c r="QRV29" s="3" t="s">
        <v>169</v>
      </c>
      <c r="QRW29" s="3" t="s">
        <v>168</v>
      </c>
      <c r="QRX29" s="3" t="s">
        <v>169</v>
      </c>
      <c r="QRY29" s="3" t="s">
        <v>168</v>
      </c>
      <c r="QRZ29" s="3" t="s">
        <v>169</v>
      </c>
      <c r="QSA29" s="3" t="s">
        <v>168</v>
      </c>
      <c r="QSB29" s="3" t="s">
        <v>169</v>
      </c>
      <c r="QSC29" s="3" t="s">
        <v>168</v>
      </c>
      <c r="QSD29" s="3" t="s">
        <v>169</v>
      </c>
      <c r="QSE29" s="3" t="s">
        <v>168</v>
      </c>
      <c r="QSF29" s="3" t="s">
        <v>169</v>
      </c>
      <c r="QSG29" s="3" t="s">
        <v>168</v>
      </c>
      <c r="QSH29" s="3" t="s">
        <v>169</v>
      </c>
      <c r="QSI29" s="3" t="s">
        <v>168</v>
      </c>
      <c r="QSJ29" s="3" t="s">
        <v>169</v>
      </c>
      <c r="QSK29" s="3" t="s">
        <v>168</v>
      </c>
      <c r="QSL29" s="3" t="s">
        <v>169</v>
      </c>
      <c r="QSM29" s="3" t="s">
        <v>168</v>
      </c>
      <c r="QSN29" s="3" t="s">
        <v>169</v>
      </c>
      <c r="QSO29" s="3" t="s">
        <v>168</v>
      </c>
      <c r="QSP29" s="3" t="s">
        <v>169</v>
      </c>
      <c r="QSQ29" s="3" t="s">
        <v>168</v>
      </c>
      <c r="QSR29" s="3" t="s">
        <v>169</v>
      </c>
      <c r="QSS29" s="3" t="s">
        <v>168</v>
      </c>
      <c r="QST29" s="3" t="s">
        <v>169</v>
      </c>
      <c r="QSU29" s="3" t="s">
        <v>168</v>
      </c>
      <c r="QSV29" s="3" t="s">
        <v>169</v>
      </c>
      <c r="QSW29" s="3" t="s">
        <v>168</v>
      </c>
      <c r="QSX29" s="3" t="s">
        <v>169</v>
      </c>
      <c r="QSY29" s="3" t="s">
        <v>168</v>
      </c>
      <c r="QSZ29" s="3" t="s">
        <v>169</v>
      </c>
      <c r="QTA29" s="3" t="s">
        <v>168</v>
      </c>
      <c r="QTB29" s="3" t="s">
        <v>169</v>
      </c>
      <c r="QTC29" s="3" t="s">
        <v>168</v>
      </c>
      <c r="QTD29" s="3" t="s">
        <v>169</v>
      </c>
      <c r="QTE29" s="3" t="s">
        <v>168</v>
      </c>
      <c r="QTF29" s="3" t="s">
        <v>169</v>
      </c>
      <c r="QTG29" s="3" t="s">
        <v>168</v>
      </c>
      <c r="QTH29" s="3" t="s">
        <v>169</v>
      </c>
      <c r="QTI29" s="3" t="s">
        <v>168</v>
      </c>
      <c r="QTJ29" s="3" t="s">
        <v>169</v>
      </c>
      <c r="QTK29" s="3" t="s">
        <v>168</v>
      </c>
      <c r="QTL29" s="3" t="s">
        <v>169</v>
      </c>
      <c r="QTM29" s="3" t="s">
        <v>168</v>
      </c>
      <c r="QTN29" s="3" t="s">
        <v>169</v>
      </c>
      <c r="QTO29" s="3" t="s">
        <v>168</v>
      </c>
      <c r="QTP29" s="3" t="s">
        <v>169</v>
      </c>
      <c r="QTQ29" s="3" t="s">
        <v>168</v>
      </c>
      <c r="QTR29" s="3" t="s">
        <v>169</v>
      </c>
      <c r="QTS29" s="3" t="s">
        <v>168</v>
      </c>
      <c r="QTT29" s="3" t="s">
        <v>169</v>
      </c>
      <c r="QTU29" s="3" t="s">
        <v>168</v>
      </c>
      <c r="QTV29" s="3" t="s">
        <v>169</v>
      </c>
      <c r="QTW29" s="3" t="s">
        <v>168</v>
      </c>
      <c r="QTX29" s="3" t="s">
        <v>169</v>
      </c>
      <c r="QTY29" s="3" t="s">
        <v>168</v>
      </c>
      <c r="QTZ29" s="3" t="s">
        <v>169</v>
      </c>
      <c r="QUA29" s="3" t="s">
        <v>168</v>
      </c>
      <c r="QUB29" s="3" t="s">
        <v>169</v>
      </c>
      <c r="QUC29" s="3" t="s">
        <v>168</v>
      </c>
      <c r="QUD29" s="3" t="s">
        <v>169</v>
      </c>
      <c r="QUE29" s="3" t="s">
        <v>168</v>
      </c>
      <c r="QUF29" s="3" t="s">
        <v>169</v>
      </c>
      <c r="QUG29" s="3" t="s">
        <v>168</v>
      </c>
      <c r="QUH29" s="3" t="s">
        <v>169</v>
      </c>
      <c r="QUI29" s="3" t="s">
        <v>168</v>
      </c>
      <c r="QUJ29" s="3" t="s">
        <v>169</v>
      </c>
      <c r="QUK29" s="3" t="s">
        <v>168</v>
      </c>
      <c r="QUL29" s="3" t="s">
        <v>169</v>
      </c>
      <c r="QUM29" s="3" t="s">
        <v>168</v>
      </c>
      <c r="QUN29" s="3" t="s">
        <v>169</v>
      </c>
      <c r="QUO29" s="3" t="s">
        <v>168</v>
      </c>
      <c r="QUP29" s="3" t="s">
        <v>169</v>
      </c>
      <c r="QUQ29" s="3" t="s">
        <v>168</v>
      </c>
      <c r="QUR29" s="3" t="s">
        <v>169</v>
      </c>
      <c r="QUS29" s="3" t="s">
        <v>168</v>
      </c>
      <c r="QUT29" s="3" t="s">
        <v>169</v>
      </c>
      <c r="QUU29" s="3" t="s">
        <v>168</v>
      </c>
      <c r="QUV29" s="3" t="s">
        <v>169</v>
      </c>
      <c r="QUW29" s="3" t="s">
        <v>168</v>
      </c>
      <c r="QUX29" s="3" t="s">
        <v>169</v>
      </c>
      <c r="QUY29" s="3" t="s">
        <v>168</v>
      </c>
      <c r="QUZ29" s="3" t="s">
        <v>169</v>
      </c>
      <c r="QVA29" s="3" t="s">
        <v>168</v>
      </c>
      <c r="QVB29" s="3" t="s">
        <v>169</v>
      </c>
      <c r="QVC29" s="3" t="s">
        <v>168</v>
      </c>
      <c r="QVD29" s="3" t="s">
        <v>169</v>
      </c>
      <c r="QVE29" s="3" t="s">
        <v>168</v>
      </c>
      <c r="QVF29" s="3" t="s">
        <v>169</v>
      </c>
      <c r="QVG29" s="3" t="s">
        <v>168</v>
      </c>
      <c r="QVH29" s="3" t="s">
        <v>169</v>
      </c>
      <c r="QVI29" s="3" t="s">
        <v>168</v>
      </c>
      <c r="QVJ29" s="3" t="s">
        <v>169</v>
      </c>
      <c r="QVK29" s="3" t="s">
        <v>168</v>
      </c>
      <c r="QVL29" s="3" t="s">
        <v>169</v>
      </c>
      <c r="QVM29" s="3" t="s">
        <v>168</v>
      </c>
      <c r="QVN29" s="3" t="s">
        <v>169</v>
      </c>
      <c r="QVO29" s="3" t="s">
        <v>168</v>
      </c>
      <c r="QVP29" s="3" t="s">
        <v>169</v>
      </c>
      <c r="QVQ29" s="3" t="s">
        <v>168</v>
      </c>
      <c r="QVR29" s="3" t="s">
        <v>169</v>
      </c>
      <c r="QVS29" s="3" t="s">
        <v>168</v>
      </c>
      <c r="QVT29" s="3" t="s">
        <v>169</v>
      </c>
      <c r="QVU29" s="3" t="s">
        <v>168</v>
      </c>
      <c r="QVV29" s="3" t="s">
        <v>169</v>
      </c>
      <c r="QVW29" s="3" t="s">
        <v>168</v>
      </c>
      <c r="QVX29" s="3" t="s">
        <v>169</v>
      </c>
      <c r="QVY29" s="3" t="s">
        <v>168</v>
      </c>
      <c r="QVZ29" s="3" t="s">
        <v>169</v>
      </c>
      <c r="QWA29" s="3" t="s">
        <v>168</v>
      </c>
      <c r="QWB29" s="3" t="s">
        <v>169</v>
      </c>
      <c r="QWC29" s="3" t="s">
        <v>168</v>
      </c>
      <c r="QWD29" s="3" t="s">
        <v>169</v>
      </c>
      <c r="QWE29" s="3" t="s">
        <v>168</v>
      </c>
      <c r="QWF29" s="3" t="s">
        <v>169</v>
      </c>
      <c r="QWG29" s="3" t="s">
        <v>168</v>
      </c>
      <c r="QWH29" s="3" t="s">
        <v>169</v>
      </c>
      <c r="QWI29" s="3" t="s">
        <v>168</v>
      </c>
      <c r="QWJ29" s="3" t="s">
        <v>169</v>
      </c>
      <c r="QWK29" s="3" t="s">
        <v>168</v>
      </c>
      <c r="QWL29" s="3" t="s">
        <v>169</v>
      </c>
      <c r="QWM29" s="3" t="s">
        <v>168</v>
      </c>
      <c r="QWN29" s="3" t="s">
        <v>169</v>
      </c>
      <c r="QWO29" s="3" t="s">
        <v>168</v>
      </c>
      <c r="QWP29" s="3" t="s">
        <v>169</v>
      </c>
      <c r="QWQ29" s="3" t="s">
        <v>168</v>
      </c>
      <c r="QWR29" s="3" t="s">
        <v>169</v>
      </c>
      <c r="QWS29" s="3" t="s">
        <v>168</v>
      </c>
      <c r="QWT29" s="3" t="s">
        <v>169</v>
      </c>
      <c r="QWU29" s="3" t="s">
        <v>168</v>
      </c>
      <c r="QWV29" s="3" t="s">
        <v>169</v>
      </c>
      <c r="QWW29" s="3" t="s">
        <v>168</v>
      </c>
      <c r="QWX29" s="3" t="s">
        <v>169</v>
      </c>
      <c r="QWY29" s="3" t="s">
        <v>168</v>
      </c>
      <c r="QWZ29" s="3" t="s">
        <v>169</v>
      </c>
      <c r="QXA29" s="3" t="s">
        <v>168</v>
      </c>
      <c r="QXB29" s="3" t="s">
        <v>169</v>
      </c>
      <c r="QXC29" s="3" t="s">
        <v>168</v>
      </c>
      <c r="QXD29" s="3" t="s">
        <v>169</v>
      </c>
      <c r="QXE29" s="3" t="s">
        <v>168</v>
      </c>
      <c r="QXF29" s="3" t="s">
        <v>169</v>
      </c>
      <c r="QXG29" s="3" t="s">
        <v>168</v>
      </c>
      <c r="QXH29" s="3" t="s">
        <v>169</v>
      </c>
      <c r="QXI29" s="3" t="s">
        <v>168</v>
      </c>
      <c r="QXJ29" s="3" t="s">
        <v>169</v>
      </c>
      <c r="QXK29" s="3" t="s">
        <v>168</v>
      </c>
      <c r="QXL29" s="3" t="s">
        <v>169</v>
      </c>
      <c r="QXM29" s="3" t="s">
        <v>168</v>
      </c>
      <c r="QXN29" s="3" t="s">
        <v>169</v>
      </c>
      <c r="QXO29" s="3" t="s">
        <v>168</v>
      </c>
      <c r="QXP29" s="3" t="s">
        <v>169</v>
      </c>
      <c r="QXQ29" s="3" t="s">
        <v>168</v>
      </c>
      <c r="QXR29" s="3" t="s">
        <v>169</v>
      </c>
      <c r="QXS29" s="3" t="s">
        <v>168</v>
      </c>
      <c r="QXT29" s="3" t="s">
        <v>169</v>
      </c>
      <c r="QXU29" s="3" t="s">
        <v>168</v>
      </c>
      <c r="QXV29" s="3" t="s">
        <v>169</v>
      </c>
      <c r="QXW29" s="3" t="s">
        <v>168</v>
      </c>
      <c r="QXX29" s="3" t="s">
        <v>169</v>
      </c>
      <c r="QXY29" s="3" t="s">
        <v>168</v>
      </c>
      <c r="QXZ29" s="3" t="s">
        <v>169</v>
      </c>
      <c r="QYA29" s="3" t="s">
        <v>168</v>
      </c>
      <c r="QYB29" s="3" t="s">
        <v>169</v>
      </c>
      <c r="QYC29" s="3" t="s">
        <v>168</v>
      </c>
      <c r="QYD29" s="3" t="s">
        <v>169</v>
      </c>
      <c r="QYE29" s="3" t="s">
        <v>168</v>
      </c>
      <c r="QYF29" s="3" t="s">
        <v>169</v>
      </c>
      <c r="QYG29" s="3" t="s">
        <v>168</v>
      </c>
      <c r="QYH29" s="3" t="s">
        <v>169</v>
      </c>
      <c r="QYI29" s="3" t="s">
        <v>168</v>
      </c>
      <c r="QYJ29" s="3" t="s">
        <v>169</v>
      </c>
      <c r="QYK29" s="3" t="s">
        <v>168</v>
      </c>
      <c r="QYL29" s="3" t="s">
        <v>169</v>
      </c>
      <c r="QYM29" s="3" t="s">
        <v>168</v>
      </c>
      <c r="QYN29" s="3" t="s">
        <v>169</v>
      </c>
      <c r="QYO29" s="3" t="s">
        <v>168</v>
      </c>
      <c r="QYP29" s="3" t="s">
        <v>169</v>
      </c>
      <c r="QYQ29" s="3" t="s">
        <v>168</v>
      </c>
      <c r="QYR29" s="3" t="s">
        <v>169</v>
      </c>
      <c r="QYS29" s="3" t="s">
        <v>168</v>
      </c>
      <c r="QYT29" s="3" t="s">
        <v>169</v>
      </c>
      <c r="QYU29" s="3" t="s">
        <v>168</v>
      </c>
      <c r="QYV29" s="3" t="s">
        <v>169</v>
      </c>
      <c r="QYW29" s="3" t="s">
        <v>168</v>
      </c>
      <c r="QYX29" s="3" t="s">
        <v>169</v>
      </c>
      <c r="QYY29" s="3" t="s">
        <v>168</v>
      </c>
      <c r="QYZ29" s="3" t="s">
        <v>169</v>
      </c>
      <c r="QZA29" s="3" t="s">
        <v>168</v>
      </c>
      <c r="QZB29" s="3" t="s">
        <v>169</v>
      </c>
      <c r="QZC29" s="3" t="s">
        <v>168</v>
      </c>
      <c r="QZD29" s="3" t="s">
        <v>169</v>
      </c>
      <c r="QZE29" s="3" t="s">
        <v>168</v>
      </c>
      <c r="QZF29" s="3" t="s">
        <v>169</v>
      </c>
      <c r="QZG29" s="3" t="s">
        <v>168</v>
      </c>
      <c r="QZH29" s="3" t="s">
        <v>169</v>
      </c>
      <c r="QZI29" s="3" t="s">
        <v>168</v>
      </c>
      <c r="QZJ29" s="3" t="s">
        <v>169</v>
      </c>
      <c r="QZK29" s="3" t="s">
        <v>168</v>
      </c>
      <c r="QZL29" s="3" t="s">
        <v>169</v>
      </c>
      <c r="QZM29" s="3" t="s">
        <v>168</v>
      </c>
      <c r="QZN29" s="3" t="s">
        <v>169</v>
      </c>
      <c r="QZO29" s="3" t="s">
        <v>168</v>
      </c>
      <c r="QZP29" s="3" t="s">
        <v>169</v>
      </c>
      <c r="QZQ29" s="3" t="s">
        <v>168</v>
      </c>
      <c r="QZR29" s="3" t="s">
        <v>169</v>
      </c>
      <c r="QZS29" s="3" t="s">
        <v>168</v>
      </c>
      <c r="QZT29" s="3" t="s">
        <v>169</v>
      </c>
      <c r="QZU29" s="3" t="s">
        <v>168</v>
      </c>
      <c r="QZV29" s="3" t="s">
        <v>169</v>
      </c>
      <c r="QZW29" s="3" t="s">
        <v>168</v>
      </c>
      <c r="QZX29" s="3" t="s">
        <v>169</v>
      </c>
      <c r="QZY29" s="3" t="s">
        <v>168</v>
      </c>
      <c r="QZZ29" s="3" t="s">
        <v>169</v>
      </c>
      <c r="RAA29" s="3" t="s">
        <v>168</v>
      </c>
      <c r="RAB29" s="3" t="s">
        <v>169</v>
      </c>
      <c r="RAC29" s="3" t="s">
        <v>168</v>
      </c>
      <c r="RAD29" s="3" t="s">
        <v>169</v>
      </c>
      <c r="RAE29" s="3" t="s">
        <v>168</v>
      </c>
      <c r="RAF29" s="3" t="s">
        <v>169</v>
      </c>
      <c r="RAG29" s="3" t="s">
        <v>168</v>
      </c>
      <c r="RAH29" s="3" t="s">
        <v>169</v>
      </c>
      <c r="RAI29" s="3" t="s">
        <v>168</v>
      </c>
      <c r="RAJ29" s="3" t="s">
        <v>169</v>
      </c>
      <c r="RAK29" s="3" t="s">
        <v>168</v>
      </c>
      <c r="RAL29" s="3" t="s">
        <v>169</v>
      </c>
      <c r="RAM29" s="3" t="s">
        <v>168</v>
      </c>
      <c r="RAN29" s="3" t="s">
        <v>169</v>
      </c>
      <c r="RAO29" s="3" t="s">
        <v>168</v>
      </c>
      <c r="RAP29" s="3" t="s">
        <v>169</v>
      </c>
      <c r="RAQ29" s="3" t="s">
        <v>168</v>
      </c>
      <c r="RAR29" s="3" t="s">
        <v>169</v>
      </c>
      <c r="RAS29" s="3" t="s">
        <v>168</v>
      </c>
      <c r="RAT29" s="3" t="s">
        <v>169</v>
      </c>
      <c r="RAU29" s="3" t="s">
        <v>168</v>
      </c>
      <c r="RAV29" s="3" t="s">
        <v>169</v>
      </c>
      <c r="RAW29" s="3" t="s">
        <v>168</v>
      </c>
      <c r="RAX29" s="3" t="s">
        <v>169</v>
      </c>
      <c r="RAY29" s="3" t="s">
        <v>168</v>
      </c>
      <c r="RAZ29" s="3" t="s">
        <v>169</v>
      </c>
      <c r="RBA29" s="3" t="s">
        <v>168</v>
      </c>
      <c r="RBB29" s="3" t="s">
        <v>169</v>
      </c>
      <c r="RBC29" s="3" t="s">
        <v>168</v>
      </c>
      <c r="RBD29" s="3" t="s">
        <v>169</v>
      </c>
      <c r="RBE29" s="3" t="s">
        <v>168</v>
      </c>
      <c r="RBF29" s="3" t="s">
        <v>169</v>
      </c>
      <c r="RBG29" s="3" t="s">
        <v>168</v>
      </c>
      <c r="RBH29" s="3" t="s">
        <v>169</v>
      </c>
      <c r="RBI29" s="3" t="s">
        <v>168</v>
      </c>
      <c r="RBJ29" s="3" t="s">
        <v>169</v>
      </c>
      <c r="RBK29" s="3" t="s">
        <v>168</v>
      </c>
      <c r="RBL29" s="3" t="s">
        <v>169</v>
      </c>
      <c r="RBM29" s="3" t="s">
        <v>168</v>
      </c>
      <c r="RBN29" s="3" t="s">
        <v>169</v>
      </c>
      <c r="RBO29" s="3" t="s">
        <v>168</v>
      </c>
      <c r="RBP29" s="3" t="s">
        <v>169</v>
      </c>
      <c r="RBQ29" s="3" t="s">
        <v>168</v>
      </c>
      <c r="RBR29" s="3" t="s">
        <v>169</v>
      </c>
      <c r="RBS29" s="3" t="s">
        <v>168</v>
      </c>
      <c r="RBT29" s="3" t="s">
        <v>169</v>
      </c>
      <c r="RBU29" s="3" t="s">
        <v>168</v>
      </c>
      <c r="RBV29" s="3" t="s">
        <v>169</v>
      </c>
      <c r="RBW29" s="3" t="s">
        <v>168</v>
      </c>
      <c r="RBX29" s="3" t="s">
        <v>169</v>
      </c>
      <c r="RBY29" s="3" t="s">
        <v>168</v>
      </c>
      <c r="RBZ29" s="3" t="s">
        <v>169</v>
      </c>
      <c r="RCA29" s="3" t="s">
        <v>168</v>
      </c>
      <c r="RCB29" s="3" t="s">
        <v>169</v>
      </c>
      <c r="RCC29" s="3" t="s">
        <v>168</v>
      </c>
      <c r="RCD29" s="3" t="s">
        <v>169</v>
      </c>
      <c r="RCE29" s="3" t="s">
        <v>168</v>
      </c>
      <c r="RCF29" s="3" t="s">
        <v>169</v>
      </c>
      <c r="RCG29" s="3" t="s">
        <v>168</v>
      </c>
      <c r="RCH29" s="3" t="s">
        <v>169</v>
      </c>
      <c r="RCI29" s="3" t="s">
        <v>168</v>
      </c>
      <c r="RCJ29" s="3" t="s">
        <v>169</v>
      </c>
      <c r="RCK29" s="3" t="s">
        <v>168</v>
      </c>
      <c r="RCL29" s="3" t="s">
        <v>169</v>
      </c>
      <c r="RCM29" s="3" t="s">
        <v>168</v>
      </c>
      <c r="RCN29" s="3" t="s">
        <v>169</v>
      </c>
      <c r="RCO29" s="3" t="s">
        <v>168</v>
      </c>
      <c r="RCP29" s="3" t="s">
        <v>169</v>
      </c>
      <c r="RCQ29" s="3" t="s">
        <v>168</v>
      </c>
      <c r="RCR29" s="3" t="s">
        <v>169</v>
      </c>
      <c r="RCS29" s="3" t="s">
        <v>168</v>
      </c>
      <c r="RCT29" s="3" t="s">
        <v>169</v>
      </c>
      <c r="RCU29" s="3" t="s">
        <v>168</v>
      </c>
      <c r="RCV29" s="3" t="s">
        <v>169</v>
      </c>
      <c r="RCW29" s="3" t="s">
        <v>168</v>
      </c>
      <c r="RCX29" s="3" t="s">
        <v>169</v>
      </c>
      <c r="RCY29" s="3" t="s">
        <v>168</v>
      </c>
      <c r="RCZ29" s="3" t="s">
        <v>169</v>
      </c>
      <c r="RDA29" s="3" t="s">
        <v>168</v>
      </c>
      <c r="RDB29" s="3" t="s">
        <v>169</v>
      </c>
      <c r="RDC29" s="3" t="s">
        <v>168</v>
      </c>
      <c r="RDD29" s="3" t="s">
        <v>169</v>
      </c>
      <c r="RDE29" s="3" t="s">
        <v>168</v>
      </c>
      <c r="RDF29" s="3" t="s">
        <v>169</v>
      </c>
      <c r="RDG29" s="3" t="s">
        <v>168</v>
      </c>
      <c r="RDH29" s="3" t="s">
        <v>169</v>
      </c>
      <c r="RDI29" s="3" t="s">
        <v>168</v>
      </c>
      <c r="RDJ29" s="3" t="s">
        <v>169</v>
      </c>
      <c r="RDK29" s="3" t="s">
        <v>168</v>
      </c>
      <c r="RDL29" s="3" t="s">
        <v>169</v>
      </c>
      <c r="RDM29" s="3" t="s">
        <v>168</v>
      </c>
      <c r="RDN29" s="3" t="s">
        <v>169</v>
      </c>
      <c r="RDO29" s="3" t="s">
        <v>168</v>
      </c>
      <c r="RDP29" s="3" t="s">
        <v>169</v>
      </c>
      <c r="RDQ29" s="3" t="s">
        <v>168</v>
      </c>
      <c r="RDR29" s="3" t="s">
        <v>169</v>
      </c>
      <c r="RDS29" s="3" t="s">
        <v>168</v>
      </c>
      <c r="RDT29" s="3" t="s">
        <v>169</v>
      </c>
      <c r="RDU29" s="3" t="s">
        <v>168</v>
      </c>
      <c r="RDV29" s="3" t="s">
        <v>169</v>
      </c>
      <c r="RDW29" s="3" t="s">
        <v>168</v>
      </c>
      <c r="RDX29" s="3" t="s">
        <v>169</v>
      </c>
      <c r="RDY29" s="3" t="s">
        <v>168</v>
      </c>
      <c r="RDZ29" s="3" t="s">
        <v>169</v>
      </c>
      <c r="REA29" s="3" t="s">
        <v>168</v>
      </c>
      <c r="REB29" s="3" t="s">
        <v>169</v>
      </c>
      <c r="REC29" s="3" t="s">
        <v>168</v>
      </c>
      <c r="RED29" s="3" t="s">
        <v>169</v>
      </c>
      <c r="REE29" s="3" t="s">
        <v>168</v>
      </c>
      <c r="REF29" s="3" t="s">
        <v>169</v>
      </c>
      <c r="REG29" s="3" t="s">
        <v>168</v>
      </c>
      <c r="REH29" s="3" t="s">
        <v>169</v>
      </c>
      <c r="REI29" s="3" t="s">
        <v>168</v>
      </c>
      <c r="REJ29" s="3" t="s">
        <v>169</v>
      </c>
      <c r="REK29" s="3" t="s">
        <v>168</v>
      </c>
      <c r="REL29" s="3" t="s">
        <v>169</v>
      </c>
      <c r="REM29" s="3" t="s">
        <v>168</v>
      </c>
      <c r="REN29" s="3" t="s">
        <v>169</v>
      </c>
      <c r="REO29" s="3" t="s">
        <v>168</v>
      </c>
      <c r="REP29" s="3" t="s">
        <v>169</v>
      </c>
      <c r="REQ29" s="3" t="s">
        <v>168</v>
      </c>
      <c r="RER29" s="3" t="s">
        <v>169</v>
      </c>
      <c r="RES29" s="3" t="s">
        <v>168</v>
      </c>
      <c r="RET29" s="3" t="s">
        <v>169</v>
      </c>
      <c r="REU29" s="3" t="s">
        <v>168</v>
      </c>
      <c r="REV29" s="3" t="s">
        <v>169</v>
      </c>
      <c r="REW29" s="3" t="s">
        <v>168</v>
      </c>
      <c r="REX29" s="3" t="s">
        <v>169</v>
      </c>
      <c r="REY29" s="3" t="s">
        <v>168</v>
      </c>
      <c r="REZ29" s="3" t="s">
        <v>169</v>
      </c>
      <c r="RFA29" s="3" t="s">
        <v>168</v>
      </c>
      <c r="RFB29" s="3" t="s">
        <v>169</v>
      </c>
      <c r="RFC29" s="3" t="s">
        <v>168</v>
      </c>
      <c r="RFD29" s="3" t="s">
        <v>169</v>
      </c>
      <c r="RFE29" s="3" t="s">
        <v>168</v>
      </c>
      <c r="RFF29" s="3" t="s">
        <v>169</v>
      </c>
      <c r="RFG29" s="3" t="s">
        <v>168</v>
      </c>
      <c r="RFH29" s="3" t="s">
        <v>169</v>
      </c>
      <c r="RFI29" s="3" t="s">
        <v>168</v>
      </c>
      <c r="RFJ29" s="3" t="s">
        <v>169</v>
      </c>
      <c r="RFK29" s="3" t="s">
        <v>168</v>
      </c>
      <c r="RFL29" s="3" t="s">
        <v>169</v>
      </c>
      <c r="RFM29" s="3" t="s">
        <v>168</v>
      </c>
      <c r="RFN29" s="3" t="s">
        <v>169</v>
      </c>
      <c r="RFO29" s="3" t="s">
        <v>168</v>
      </c>
      <c r="RFP29" s="3" t="s">
        <v>169</v>
      </c>
      <c r="RFQ29" s="3" t="s">
        <v>168</v>
      </c>
      <c r="RFR29" s="3" t="s">
        <v>169</v>
      </c>
      <c r="RFS29" s="3" t="s">
        <v>168</v>
      </c>
      <c r="RFT29" s="3" t="s">
        <v>169</v>
      </c>
      <c r="RFU29" s="3" t="s">
        <v>168</v>
      </c>
      <c r="RFV29" s="3" t="s">
        <v>169</v>
      </c>
      <c r="RFW29" s="3" t="s">
        <v>168</v>
      </c>
      <c r="RFX29" s="3" t="s">
        <v>169</v>
      </c>
      <c r="RFY29" s="3" t="s">
        <v>168</v>
      </c>
      <c r="RFZ29" s="3" t="s">
        <v>169</v>
      </c>
      <c r="RGA29" s="3" t="s">
        <v>168</v>
      </c>
      <c r="RGB29" s="3" t="s">
        <v>169</v>
      </c>
      <c r="RGC29" s="3" t="s">
        <v>168</v>
      </c>
      <c r="RGD29" s="3" t="s">
        <v>169</v>
      </c>
      <c r="RGE29" s="3" t="s">
        <v>168</v>
      </c>
      <c r="RGF29" s="3" t="s">
        <v>169</v>
      </c>
      <c r="RGG29" s="3" t="s">
        <v>168</v>
      </c>
      <c r="RGH29" s="3" t="s">
        <v>169</v>
      </c>
      <c r="RGI29" s="3" t="s">
        <v>168</v>
      </c>
      <c r="RGJ29" s="3" t="s">
        <v>169</v>
      </c>
      <c r="RGK29" s="3" t="s">
        <v>168</v>
      </c>
      <c r="RGL29" s="3" t="s">
        <v>169</v>
      </c>
      <c r="RGM29" s="3" t="s">
        <v>168</v>
      </c>
      <c r="RGN29" s="3" t="s">
        <v>169</v>
      </c>
      <c r="RGO29" s="3" t="s">
        <v>168</v>
      </c>
      <c r="RGP29" s="3" t="s">
        <v>169</v>
      </c>
      <c r="RGQ29" s="3" t="s">
        <v>168</v>
      </c>
      <c r="RGR29" s="3" t="s">
        <v>169</v>
      </c>
      <c r="RGS29" s="3" t="s">
        <v>168</v>
      </c>
      <c r="RGT29" s="3" t="s">
        <v>169</v>
      </c>
      <c r="RGU29" s="3" t="s">
        <v>168</v>
      </c>
      <c r="RGV29" s="3" t="s">
        <v>169</v>
      </c>
      <c r="RGW29" s="3" t="s">
        <v>168</v>
      </c>
      <c r="RGX29" s="3" t="s">
        <v>169</v>
      </c>
      <c r="RGY29" s="3" t="s">
        <v>168</v>
      </c>
      <c r="RGZ29" s="3" t="s">
        <v>169</v>
      </c>
      <c r="RHA29" s="3" t="s">
        <v>168</v>
      </c>
      <c r="RHB29" s="3" t="s">
        <v>169</v>
      </c>
      <c r="RHC29" s="3" t="s">
        <v>168</v>
      </c>
      <c r="RHD29" s="3" t="s">
        <v>169</v>
      </c>
      <c r="RHE29" s="3" t="s">
        <v>168</v>
      </c>
      <c r="RHF29" s="3" t="s">
        <v>169</v>
      </c>
      <c r="RHG29" s="3" t="s">
        <v>168</v>
      </c>
      <c r="RHH29" s="3" t="s">
        <v>169</v>
      </c>
      <c r="RHI29" s="3" t="s">
        <v>168</v>
      </c>
      <c r="RHJ29" s="3" t="s">
        <v>169</v>
      </c>
      <c r="RHK29" s="3" t="s">
        <v>168</v>
      </c>
      <c r="RHL29" s="3" t="s">
        <v>169</v>
      </c>
      <c r="RHM29" s="3" t="s">
        <v>168</v>
      </c>
      <c r="RHN29" s="3" t="s">
        <v>169</v>
      </c>
      <c r="RHO29" s="3" t="s">
        <v>168</v>
      </c>
      <c r="RHP29" s="3" t="s">
        <v>169</v>
      </c>
      <c r="RHQ29" s="3" t="s">
        <v>168</v>
      </c>
      <c r="RHR29" s="3" t="s">
        <v>169</v>
      </c>
      <c r="RHS29" s="3" t="s">
        <v>168</v>
      </c>
      <c r="RHT29" s="3" t="s">
        <v>169</v>
      </c>
      <c r="RHU29" s="3" t="s">
        <v>168</v>
      </c>
      <c r="RHV29" s="3" t="s">
        <v>169</v>
      </c>
      <c r="RHW29" s="3" t="s">
        <v>168</v>
      </c>
      <c r="RHX29" s="3" t="s">
        <v>169</v>
      </c>
      <c r="RHY29" s="3" t="s">
        <v>168</v>
      </c>
      <c r="RHZ29" s="3" t="s">
        <v>169</v>
      </c>
      <c r="RIA29" s="3" t="s">
        <v>168</v>
      </c>
      <c r="RIB29" s="3" t="s">
        <v>169</v>
      </c>
      <c r="RIC29" s="3" t="s">
        <v>168</v>
      </c>
      <c r="RID29" s="3" t="s">
        <v>169</v>
      </c>
      <c r="RIE29" s="3" t="s">
        <v>168</v>
      </c>
      <c r="RIF29" s="3" t="s">
        <v>169</v>
      </c>
      <c r="RIG29" s="3" t="s">
        <v>168</v>
      </c>
      <c r="RIH29" s="3" t="s">
        <v>169</v>
      </c>
      <c r="RII29" s="3" t="s">
        <v>168</v>
      </c>
      <c r="RIJ29" s="3" t="s">
        <v>169</v>
      </c>
      <c r="RIK29" s="3" t="s">
        <v>168</v>
      </c>
      <c r="RIL29" s="3" t="s">
        <v>169</v>
      </c>
      <c r="RIM29" s="3" t="s">
        <v>168</v>
      </c>
      <c r="RIN29" s="3" t="s">
        <v>169</v>
      </c>
      <c r="RIO29" s="3" t="s">
        <v>168</v>
      </c>
      <c r="RIP29" s="3" t="s">
        <v>169</v>
      </c>
      <c r="RIQ29" s="3" t="s">
        <v>168</v>
      </c>
      <c r="RIR29" s="3" t="s">
        <v>169</v>
      </c>
      <c r="RIS29" s="3" t="s">
        <v>168</v>
      </c>
      <c r="RIT29" s="3" t="s">
        <v>169</v>
      </c>
      <c r="RIU29" s="3" t="s">
        <v>168</v>
      </c>
      <c r="RIV29" s="3" t="s">
        <v>169</v>
      </c>
      <c r="RIW29" s="3" t="s">
        <v>168</v>
      </c>
      <c r="RIX29" s="3" t="s">
        <v>169</v>
      </c>
      <c r="RIY29" s="3" t="s">
        <v>168</v>
      </c>
      <c r="RIZ29" s="3" t="s">
        <v>169</v>
      </c>
      <c r="RJA29" s="3" t="s">
        <v>168</v>
      </c>
      <c r="RJB29" s="3" t="s">
        <v>169</v>
      </c>
      <c r="RJC29" s="3" t="s">
        <v>168</v>
      </c>
      <c r="RJD29" s="3" t="s">
        <v>169</v>
      </c>
      <c r="RJE29" s="3" t="s">
        <v>168</v>
      </c>
      <c r="RJF29" s="3" t="s">
        <v>169</v>
      </c>
      <c r="RJG29" s="3" t="s">
        <v>168</v>
      </c>
      <c r="RJH29" s="3" t="s">
        <v>169</v>
      </c>
      <c r="RJI29" s="3" t="s">
        <v>168</v>
      </c>
      <c r="RJJ29" s="3" t="s">
        <v>169</v>
      </c>
      <c r="RJK29" s="3" t="s">
        <v>168</v>
      </c>
      <c r="RJL29" s="3" t="s">
        <v>169</v>
      </c>
      <c r="RJM29" s="3" t="s">
        <v>168</v>
      </c>
      <c r="RJN29" s="3" t="s">
        <v>169</v>
      </c>
      <c r="RJO29" s="3" t="s">
        <v>168</v>
      </c>
      <c r="RJP29" s="3" t="s">
        <v>169</v>
      </c>
      <c r="RJQ29" s="3" t="s">
        <v>168</v>
      </c>
      <c r="RJR29" s="3" t="s">
        <v>169</v>
      </c>
      <c r="RJS29" s="3" t="s">
        <v>168</v>
      </c>
      <c r="RJT29" s="3" t="s">
        <v>169</v>
      </c>
      <c r="RJU29" s="3" t="s">
        <v>168</v>
      </c>
      <c r="RJV29" s="3" t="s">
        <v>169</v>
      </c>
      <c r="RJW29" s="3" t="s">
        <v>168</v>
      </c>
      <c r="RJX29" s="3" t="s">
        <v>169</v>
      </c>
      <c r="RJY29" s="3" t="s">
        <v>168</v>
      </c>
      <c r="RJZ29" s="3" t="s">
        <v>169</v>
      </c>
      <c r="RKA29" s="3" t="s">
        <v>168</v>
      </c>
      <c r="RKB29" s="3" t="s">
        <v>169</v>
      </c>
      <c r="RKC29" s="3" t="s">
        <v>168</v>
      </c>
      <c r="RKD29" s="3" t="s">
        <v>169</v>
      </c>
      <c r="RKE29" s="3" t="s">
        <v>168</v>
      </c>
      <c r="RKF29" s="3" t="s">
        <v>169</v>
      </c>
      <c r="RKG29" s="3" t="s">
        <v>168</v>
      </c>
      <c r="RKH29" s="3" t="s">
        <v>169</v>
      </c>
      <c r="RKI29" s="3" t="s">
        <v>168</v>
      </c>
      <c r="RKJ29" s="3" t="s">
        <v>169</v>
      </c>
      <c r="RKK29" s="3" t="s">
        <v>168</v>
      </c>
      <c r="RKL29" s="3" t="s">
        <v>169</v>
      </c>
      <c r="RKM29" s="3" t="s">
        <v>168</v>
      </c>
      <c r="RKN29" s="3" t="s">
        <v>169</v>
      </c>
      <c r="RKO29" s="3" t="s">
        <v>168</v>
      </c>
      <c r="RKP29" s="3" t="s">
        <v>169</v>
      </c>
      <c r="RKQ29" s="3" t="s">
        <v>168</v>
      </c>
      <c r="RKR29" s="3" t="s">
        <v>169</v>
      </c>
      <c r="RKS29" s="3" t="s">
        <v>168</v>
      </c>
      <c r="RKT29" s="3" t="s">
        <v>169</v>
      </c>
      <c r="RKU29" s="3" t="s">
        <v>168</v>
      </c>
      <c r="RKV29" s="3" t="s">
        <v>169</v>
      </c>
      <c r="RKW29" s="3" t="s">
        <v>168</v>
      </c>
      <c r="RKX29" s="3" t="s">
        <v>169</v>
      </c>
      <c r="RKY29" s="3" t="s">
        <v>168</v>
      </c>
      <c r="RKZ29" s="3" t="s">
        <v>169</v>
      </c>
      <c r="RLA29" s="3" t="s">
        <v>168</v>
      </c>
      <c r="RLB29" s="3" t="s">
        <v>169</v>
      </c>
      <c r="RLC29" s="3" t="s">
        <v>168</v>
      </c>
      <c r="RLD29" s="3" t="s">
        <v>169</v>
      </c>
      <c r="RLE29" s="3" t="s">
        <v>168</v>
      </c>
      <c r="RLF29" s="3" t="s">
        <v>169</v>
      </c>
      <c r="RLG29" s="3" t="s">
        <v>168</v>
      </c>
      <c r="RLH29" s="3" t="s">
        <v>169</v>
      </c>
      <c r="RLI29" s="3" t="s">
        <v>168</v>
      </c>
      <c r="RLJ29" s="3" t="s">
        <v>169</v>
      </c>
      <c r="RLK29" s="3" t="s">
        <v>168</v>
      </c>
      <c r="RLL29" s="3" t="s">
        <v>169</v>
      </c>
      <c r="RLM29" s="3" t="s">
        <v>168</v>
      </c>
      <c r="RLN29" s="3" t="s">
        <v>169</v>
      </c>
      <c r="RLO29" s="3" t="s">
        <v>168</v>
      </c>
      <c r="RLP29" s="3" t="s">
        <v>169</v>
      </c>
      <c r="RLQ29" s="3" t="s">
        <v>168</v>
      </c>
      <c r="RLR29" s="3" t="s">
        <v>169</v>
      </c>
      <c r="RLS29" s="3" t="s">
        <v>168</v>
      </c>
      <c r="RLT29" s="3" t="s">
        <v>169</v>
      </c>
      <c r="RLU29" s="3" t="s">
        <v>168</v>
      </c>
      <c r="RLV29" s="3" t="s">
        <v>169</v>
      </c>
      <c r="RLW29" s="3" t="s">
        <v>168</v>
      </c>
      <c r="RLX29" s="3" t="s">
        <v>169</v>
      </c>
      <c r="RLY29" s="3" t="s">
        <v>168</v>
      </c>
      <c r="RLZ29" s="3" t="s">
        <v>169</v>
      </c>
      <c r="RMA29" s="3" t="s">
        <v>168</v>
      </c>
      <c r="RMB29" s="3" t="s">
        <v>169</v>
      </c>
      <c r="RMC29" s="3" t="s">
        <v>168</v>
      </c>
      <c r="RMD29" s="3" t="s">
        <v>169</v>
      </c>
      <c r="RME29" s="3" t="s">
        <v>168</v>
      </c>
      <c r="RMF29" s="3" t="s">
        <v>169</v>
      </c>
      <c r="RMG29" s="3" t="s">
        <v>168</v>
      </c>
      <c r="RMH29" s="3" t="s">
        <v>169</v>
      </c>
      <c r="RMI29" s="3" t="s">
        <v>168</v>
      </c>
      <c r="RMJ29" s="3" t="s">
        <v>169</v>
      </c>
      <c r="RMK29" s="3" t="s">
        <v>168</v>
      </c>
      <c r="RML29" s="3" t="s">
        <v>169</v>
      </c>
      <c r="RMM29" s="3" t="s">
        <v>168</v>
      </c>
      <c r="RMN29" s="3" t="s">
        <v>169</v>
      </c>
      <c r="RMO29" s="3" t="s">
        <v>168</v>
      </c>
      <c r="RMP29" s="3" t="s">
        <v>169</v>
      </c>
      <c r="RMQ29" s="3" t="s">
        <v>168</v>
      </c>
      <c r="RMR29" s="3" t="s">
        <v>169</v>
      </c>
      <c r="RMS29" s="3" t="s">
        <v>168</v>
      </c>
      <c r="RMT29" s="3" t="s">
        <v>169</v>
      </c>
      <c r="RMU29" s="3" t="s">
        <v>168</v>
      </c>
      <c r="RMV29" s="3" t="s">
        <v>169</v>
      </c>
      <c r="RMW29" s="3" t="s">
        <v>168</v>
      </c>
      <c r="RMX29" s="3" t="s">
        <v>169</v>
      </c>
      <c r="RMY29" s="3" t="s">
        <v>168</v>
      </c>
      <c r="RMZ29" s="3" t="s">
        <v>169</v>
      </c>
      <c r="RNA29" s="3" t="s">
        <v>168</v>
      </c>
      <c r="RNB29" s="3" t="s">
        <v>169</v>
      </c>
      <c r="RNC29" s="3" t="s">
        <v>168</v>
      </c>
      <c r="RND29" s="3" t="s">
        <v>169</v>
      </c>
      <c r="RNE29" s="3" t="s">
        <v>168</v>
      </c>
      <c r="RNF29" s="3" t="s">
        <v>169</v>
      </c>
      <c r="RNG29" s="3" t="s">
        <v>168</v>
      </c>
      <c r="RNH29" s="3" t="s">
        <v>169</v>
      </c>
      <c r="RNI29" s="3" t="s">
        <v>168</v>
      </c>
      <c r="RNJ29" s="3" t="s">
        <v>169</v>
      </c>
      <c r="RNK29" s="3" t="s">
        <v>168</v>
      </c>
      <c r="RNL29" s="3" t="s">
        <v>169</v>
      </c>
      <c r="RNM29" s="3" t="s">
        <v>168</v>
      </c>
      <c r="RNN29" s="3" t="s">
        <v>169</v>
      </c>
      <c r="RNO29" s="3" t="s">
        <v>168</v>
      </c>
      <c r="RNP29" s="3" t="s">
        <v>169</v>
      </c>
      <c r="RNQ29" s="3" t="s">
        <v>168</v>
      </c>
      <c r="RNR29" s="3" t="s">
        <v>169</v>
      </c>
      <c r="RNS29" s="3" t="s">
        <v>168</v>
      </c>
      <c r="RNT29" s="3" t="s">
        <v>169</v>
      </c>
      <c r="RNU29" s="3" t="s">
        <v>168</v>
      </c>
      <c r="RNV29" s="3" t="s">
        <v>169</v>
      </c>
      <c r="RNW29" s="3" t="s">
        <v>168</v>
      </c>
      <c r="RNX29" s="3" t="s">
        <v>169</v>
      </c>
      <c r="RNY29" s="3" t="s">
        <v>168</v>
      </c>
      <c r="RNZ29" s="3" t="s">
        <v>169</v>
      </c>
      <c r="ROA29" s="3" t="s">
        <v>168</v>
      </c>
      <c r="ROB29" s="3" t="s">
        <v>169</v>
      </c>
      <c r="ROC29" s="3" t="s">
        <v>168</v>
      </c>
      <c r="ROD29" s="3" t="s">
        <v>169</v>
      </c>
      <c r="ROE29" s="3" t="s">
        <v>168</v>
      </c>
      <c r="ROF29" s="3" t="s">
        <v>169</v>
      </c>
      <c r="ROG29" s="3" t="s">
        <v>168</v>
      </c>
      <c r="ROH29" s="3" t="s">
        <v>169</v>
      </c>
      <c r="ROI29" s="3" t="s">
        <v>168</v>
      </c>
      <c r="ROJ29" s="3" t="s">
        <v>169</v>
      </c>
      <c r="ROK29" s="3" t="s">
        <v>168</v>
      </c>
      <c r="ROL29" s="3" t="s">
        <v>169</v>
      </c>
      <c r="ROM29" s="3" t="s">
        <v>168</v>
      </c>
      <c r="RON29" s="3" t="s">
        <v>169</v>
      </c>
      <c r="ROO29" s="3" t="s">
        <v>168</v>
      </c>
      <c r="ROP29" s="3" t="s">
        <v>169</v>
      </c>
      <c r="ROQ29" s="3" t="s">
        <v>168</v>
      </c>
      <c r="ROR29" s="3" t="s">
        <v>169</v>
      </c>
      <c r="ROS29" s="3" t="s">
        <v>168</v>
      </c>
      <c r="ROT29" s="3" t="s">
        <v>169</v>
      </c>
      <c r="ROU29" s="3" t="s">
        <v>168</v>
      </c>
      <c r="ROV29" s="3" t="s">
        <v>169</v>
      </c>
      <c r="ROW29" s="3" t="s">
        <v>168</v>
      </c>
      <c r="ROX29" s="3" t="s">
        <v>169</v>
      </c>
      <c r="ROY29" s="3" t="s">
        <v>168</v>
      </c>
      <c r="ROZ29" s="3" t="s">
        <v>169</v>
      </c>
      <c r="RPA29" s="3" t="s">
        <v>168</v>
      </c>
      <c r="RPB29" s="3" t="s">
        <v>169</v>
      </c>
      <c r="RPC29" s="3" t="s">
        <v>168</v>
      </c>
      <c r="RPD29" s="3" t="s">
        <v>169</v>
      </c>
      <c r="RPE29" s="3" t="s">
        <v>168</v>
      </c>
      <c r="RPF29" s="3" t="s">
        <v>169</v>
      </c>
      <c r="RPG29" s="3" t="s">
        <v>168</v>
      </c>
      <c r="RPH29" s="3" t="s">
        <v>169</v>
      </c>
      <c r="RPI29" s="3" t="s">
        <v>168</v>
      </c>
      <c r="RPJ29" s="3" t="s">
        <v>169</v>
      </c>
      <c r="RPK29" s="3" t="s">
        <v>168</v>
      </c>
      <c r="RPL29" s="3" t="s">
        <v>169</v>
      </c>
      <c r="RPM29" s="3" t="s">
        <v>168</v>
      </c>
      <c r="RPN29" s="3" t="s">
        <v>169</v>
      </c>
      <c r="RPO29" s="3" t="s">
        <v>168</v>
      </c>
      <c r="RPP29" s="3" t="s">
        <v>169</v>
      </c>
      <c r="RPQ29" s="3" t="s">
        <v>168</v>
      </c>
      <c r="RPR29" s="3" t="s">
        <v>169</v>
      </c>
      <c r="RPS29" s="3" t="s">
        <v>168</v>
      </c>
      <c r="RPT29" s="3" t="s">
        <v>169</v>
      </c>
      <c r="RPU29" s="3" t="s">
        <v>168</v>
      </c>
      <c r="RPV29" s="3" t="s">
        <v>169</v>
      </c>
      <c r="RPW29" s="3" t="s">
        <v>168</v>
      </c>
      <c r="RPX29" s="3" t="s">
        <v>169</v>
      </c>
      <c r="RPY29" s="3" t="s">
        <v>168</v>
      </c>
      <c r="RPZ29" s="3" t="s">
        <v>169</v>
      </c>
      <c r="RQA29" s="3" t="s">
        <v>168</v>
      </c>
      <c r="RQB29" s="3" t="s">
        <v>169</v>
      </c>
      <c r="RQC29" s="3" t="s">
        <v>168</v>
      </c>
      <c r="RQD29" s="3" t="s">
        <v>169</v>
      </c>
      <c r="RQE29" s="3" t="s">
        <v>168</v>
      </c>
      <c r="RQF29" s="3" t="s">
        <v>169</v>
      </c>
      <c r="RQG29" s="3" t="s">
        <v>168</v>
      </c>
      <c r="RQH29" s="3" t="s">
        <v>169</v>
      </c>
      <c r="RQI29" s="3" t="s">
        <v>168</v>
      </c>
      <c r="RQJ29" s="3" t="s">
        <v>169</v>
      </c>
      <c r="RQK29" s="3" t="s">
        <v>168</v>
      </c>
      <c r="RQL29" s="3" t="s">
        <v>169</v>
      </c>
      <c r="RQM29" s="3" t="s">
        <v>168</v>
      </c>
      <c r="RQN29" s="3" t="s">
        <v>169</v>
      </c>
      <c r="RQO29" s="3" t="s">
        <v>168</v>
      </c>
      <c r="RQP29" s="3" t="s">
        <v>169</v>
      </c>
      <c r="RQQ29" s="3" t="s">
        <v>168</v>
      </c>
      <c r="RQR29" s="3" t="s">
        <v>169</v>
      </c>
      <c r="RQS29" s="3" t="s">
        <v>168</v>
      </c>
      <c r="RQT29" s="3" t="s">
        <v>169</v>
      </c>
      <c r="RQU29" s="3" t="s">
        <v>168</v>
      </c>
      <c r="RQV29" s="3" t="s">
        <v>169</v>
      </c>
      <c r="RQW29" s="3" t="s">
        <v>168</v>
      </c>
      <c r="RQX29" s="3" t="s">
        <v>169</v>
      </c>
      <c r="RQY29" s="3" t="s">
        <v>168</v>
      </c>
      <c r="RQZ29" s="3" t="s">
        <v>169</v>
      </c>
      <c r="RRA29" s="3" t="s">
        <v>168</v>
      </c>
      <c r="RRB29" s="3" t="s">
        <v>169</v>
      </c>
      <c r="RRC29" s="3" t="s">
        <v>168</v>
      </c>
      <c r="RRD29" s="3" t="s">
        <v>169</v>
      </c>
      <c r="RRE29" s="3" t="s">
        <v>168</v>
      </c>
      <c r="RRF29" s="3" t="s">
        <v>169</v>
      </c>
      <c r="RRG29" s="3" t="s">
        <v>168</v>
      </c>
      <c r="RRH29" s="3" t="s">
        <v>169</v>
      </c>
      <c r="RRI29" s="3" t="s">
        <v>168</v>
      </c>
      <c r="RRJ29" s="3" t="s">
        <v>169</v>
      </c>
      <c r="RRK29" s="3" t="s">
        <v>168</v>
      </c>
      <c r="RRL29" s="3" t="s">
        <v>169</v>
      </c>
      <c r="RRM29" s="3" t="s">
        <v>168</v>
      </c>
      <c r="RRN29" s="3" t="s">
        <v>169</v>
      </c>
      <c r="RRO29" s="3" t="s">
        <v>168</v>
      </c>
      <c r="RRP29" s="3" t="s">
        <v>169</v>
      </c>
      <c r="RRQ29" s="3" t="s">
        <v>168</v>
      </c>
      <c r="RRR29" s="3" t="s">
        <v>169</v>
      </c>
      <c r="RRS29" s="3" t="s">
        <v>168</v>
      </c>
      <c r="RRT29" s="3" t="s">
        <v>169</v>
      </c>
      <c r="RRU29" s="3" t="s">
        <v>168</v>
      </c>
      <c r="RRV29" s="3" t="s">
        <v>169</v>
      </c>
      <c r="RRW29" s="3" t="s">
        <v>168</v>
      </c>
      <c r="RRX29" s="3" t="s">
        <v>169</v>
      </c>
      <c r="RRY29" s="3" t="s">
        <v>168</v>
      </c>
      <c r="RRZ29" s="3" t="s">
        <v>169</v>
      </c>
      <c r="RSA29" s="3" t="s">
        <v>168</v>
      </c>
      <c r="RSB29" s="3" t="s">
        <v>169</v>
      </c>
      <c r="RSC29" s="3" t="s">
        <v>168</v>
      </c>
      <c r="RSD29" s="3" t="s">
        <v>169</v>
      </c>
      <c r="RSE29" s="3" t="s">
        <v>168</v>
      </c>
      <c r="RSF29" s="3" t="s">
        <v>169</v>
      </c>
      <c r="RSG29" s="3" t="s">
        <v>168</v>
      </c>
      <c r="RSH29" s="3" t="s">
        <v>169</v>
      </c>
      <c r="RSI29" s="3" t="s">
        <v>168</v>
      </c>
      <c r="RSJ29" s="3" t="s">
        <v>169</v>
      </c>
      <c r="RSK29" s="3" t="s">
        <v>168</v>
      </c>
      <c r="RSL29" s="3" t="s">
        <v>169</v>
      </c>
      <c r="RSM29" s="3" t="s">
        <v>168</v>
      </c>
      <c r="RSN29" s="3" t="s">
        <v>169</v>
      </c>
      <c r="RSO29" s="3" t="s">
        <v>168</v>
      </c>
      <c r="RSP29" s="3" t="s">
        <v>169</v>
      </c>
      <c r="RSQ29" s="3" t="s">
        <v>168</v>
      </c>
      <c r="RSR29" s="3" t="s">
        <v>169</v>
      </c>
      <c r="RSS29" s="3" t="s">
        <v>168</v>
      </c>
      <c r="RST29" s="3" t="s">
        <v>169</v>
      </c>
      <c r="RSU29" s="3" t="s">
        <v>168</v>
      </c>
      <c r="RSV29" s="3" t="s">
        <v>169</v>
      </c>
      <c r="RSW29" s="3" t="s">
        <v>168</v>
      </c>
      <c r="RSX29" s="3" t="s">
        <v>169</v>
      </c>
      <c r="RSY29" s="3" t="s">
        <v>168</v>
      </c>
      <c r="RSZ29" s="3" t="s">
        <v>169</v>
      </c>
      <c r="RTA29" s="3" t="s">
        <v>168</v>
      </c>
      <c r="RTB29" s="3" t="s">
        <v>169</v>
      </c>
      <c r="RTC29" s="3" t="s">
        <v>168</v>
      </c>
      <c r="RTD29" s="3" t="s">
        <v>169</v>
      </c>
      <c r="RTE29" s="3" t="s">
        <v>168</v>
      </c>
      <c r="RTF29" s="3" t="s">
        <v>169</v>
      </c>
      <c r="RTG29" s="3" t="s">
        <v>168</v>
      </c>
      <c r="RTH29" s="3" t="s">
        <v>169</v>
      </c>
      <c r="RTI29" s="3" t="s">
        <v>168</v>
      </c>
      <c r="RTJ29" s="3" t="s">
        <v>169</v>
      </c>
      <c r="RTK29" s="3" t="s">
        <v>168</v>
      </c>
      <c r="RTL29" s="3" t="s">
        <v>169</v>
      </c>
      <c r="RTM29" s="3" t="s">
        <v>168</v>
      </c>
      <c r="RTN29" s="3" t="s">
        <v>169</v>
      </c>
      <c r="RTO29" s="3" t="s">
        <v>168</v>
      </c>
      <c r="RTP29" s="3" t="s">
        <v>169</v>
      </c>
      <c r="RTQ29" s="3" t="s">
        <v>168</v>
      </c>
      <c r="RTR29" s="3" t="s">
        <v>169</v>
      </c>
      <c r="RTS29" s="3" t="s">
        <v>168</v>
      </c>
      <c r="RTT29" s="3" t="s">
        <v>169</v>
      </c>
      <c r="RTU29" s="3" t="s">
        <v>168</v>
      </c>
      <c r="RTV29" s="3" t="s">
        <v>169</v>
      </c>
      <c r="RTW29" s="3" t="s">
        <v>168</v>
      </c>
      <c r="RTX29" s="3" t="s">
        <v>169</v>
      </c>
      <c r="RTY29" s="3" t="s">
        <v>168</v>
      </c>
      <c r="RTZ29" s="3" t="s">
        <v>169</v>
      </c>
      <c r="RUA29" s="3" t="s">
        <v>168</v>
      </c>
      <c r="RUB29" s="3" t="s">
        <v>169</v>
      </c>
      <c r="RUC29" s="3" t="s">
        <v>168</v>
      </c>
      <c r="RUD29" s="3" t="s">
        <v>169</v>
      </c>
      <c r="RUE29" s="3" t="s">
        <v>168</v>
      </c>
      <c r="RUF29" s="3" t="s">
        <v>169</v>
      </c>
      <c r="RUG29" s="3" t="s">
        <v>168</v>
      </c>
      <c r="RUH29" s="3" t="s">
        <v>169</v>
      </c>
      <c r="RUI29" s="3" t="s">
        <v>168</v>
      </c>
      <c r="RUJ29" s="3" t="s">
        <v>169</v>
      </c>
      <c r="RUK29" s="3" t="s">
        <v>168</v>
      </c>
      <c r="RUL29" s="3" t="s">
        <v>169</v>
      </c>
      <c r="RUM29" s="3" t="s">
        <v>168</v>
      </c>
      <c r="RUN29" s="3" t="s">
        <v>169</v>
      </c>
      <c r="RUO29" s="3" t="s">
        <v>168</v>
      </c>
      <c r="RUP29" s="3" t="s">
        <v>169</v>
      </c>
      <c r="RUQ29" s="3" t="s">
        <v>168</v>
      </c>
      <c r="RUR29" s="3" t="s">
        <v>169</v>
      </c>
      <c r="RUS29" s="3" t="s">
        <v>168</v>
      </c>
      <c r="RUT29" s="3" t="s">
        <v>169</v>
      </c>
      <c r="RUU29" s="3" t="s">
        <v>168</v>
      </c>
      <c r="RUV29" s="3" t="s">
        <v>169</v>
      </c>
      <c r="RUW29" s="3" t="s">
        <v>168</v>
      </c>
      <c r="RUX29" s="3" t="s">
        <v>169</v>
      </c>
      <c r="RUY29" s="3" t="s">
        <v>168</v>
      </c>
      <c r="RUZ29" s="3" t="s">
        <v>169</v>
      </c>
      <c r="RVA29" s="3" t="s">
        <v>168</v>
      </c>
      <c r="RVB29" s="3" t="s">
        <v>169</v>
      </c>
      <c r="RVC29" s="3" t="s">
        <v>168</v>
      </c>
      <c r="RVD29" s="3" t="s">
        <v>169</v>
      </c>
      <c r="RVE29" s="3" t="s">
        <v>168</v>
      </c>
      <c r="RVF29" s="3" t="s">
        <v>169</v>
      </c>
      <c r="RVG29" s="3" t="s">
        <v>168</v>
      </c>
      <c r="RVH29" s="3" t="s">
        <v>169</v>
      </c>
      <c r="RVI29" s="3" t="s">
        <v>168</v>
      </c>
      <c r="RVJ29" s="3" t="s">
        <v>169</v>
      </c>
      <c r="RVK29" s="3" t="s">
        <v>168</v>
      </c>
      <c r="RVL29" s="3" t="s">
        <v>169</v>
      </c>
      <c r="RVM29" s="3" t="s">
        <v>168</v>
      </c>
      <c r="RVN29" s="3" t="s">
        <v>169</v>
      </c>
      <c r="RVO29" s="3" t="s">
        <v>168</v>
      </c>
      <c r="RVP29" s="3" t="s">
        <v>169</v>
      </c>
      <c r="RVQ29" s="3" t="s">
        <v>168</v>
      </c>
      <c r="RVR29" s="3" t="s">
        <v>169</v>
      </c>
      <c r="RVS29" s="3" t="s">
        <v>168</v>
      </c>
      <c r="RVT29" s="3" t="s">
        <v>169</v>
      </c>
      <c r="RVU29" s="3" t="s">
        <v>168</v>
      </c>
      <c r="RVV29" s="3" t="s">
        <v>169</v>
      </c>
      <c r="RVW29" s="3" t="s">
        <v>168</v>
      </c>
      <c r="RVX29" s="3" t="s">
        <v>169</v>
      </c>
      <c r="RVY29" s="3" t="s">
        <v>168</v>
      </c>
      <c r="RVZ29" s="3" t="s">
        <v>169</v>
      </c>
      <c r="RWA29" s="3" t="s">
        <v>168</v>
      </c>
      <c r="RWB29" s="3" t="s">
        <v>169</v>
      </c>
      <c r="RWC29" s="3" t="s">
        <v>168</v>
      </c>
      <c r="RWD29" s="3" t="s">
        <v>169</v>
      </c>
      <c r="RWE29" s="3" t="s">
        <v>168</v>
      </c>
      <c r="RWF29" s="3" t="s">
        <v>169</v>
      </c>
      <c r="RWG29" s="3" t="s">
        <v>168</v>
      </c>
      <c r="RWH29" s="3" t="s">
        <v>169</v>
      </c>
      <c r="RWI29" s="3" t="s">
        <v>168</v>
      </c>
      <c r="RWJ29" s="3" t="s">
        <v>169</v>
      </c>
      <c r="RWK29" s="3" t="s">
        <v>168</v>
      </c>
      <c r="RWL29" s="3" t="s">
        <v>169</v>
      </c>
      <c r="RWM29" s="3" t="s">
        <v>168</v>
      </c>
      <c r="RWN29" s="3" t="s">
        <v>169</v>
      </c>
      <c r="RWO29" s="3" t="s">
        <v>168</v>
      </c>
      <c r="RWP29" s="3" t="s">
        <v>169</v>
      </c>
      <c r="RWQ29" s="3" t="s">
        <v>168</v>
      </c>
      <c r="RWR29" s="3" t="s">
        <v>169</v>
      </c>
      <c r="RWS29" s="3" t="s">
        <v>168</v>
      </c>
      <c r="RWT29" s="3" t="s">
        <v>169</v>
      </c>
      <c r="RWU29" s="3" t="s">
        <v>168</v>
      </c>
      <c r="RWV29" s="3" t="s">
        <v>169</v>
      </c>
      <c r="RWW29" s="3" t="s">
        <v>168</v>
      </c>
      <c r="RWX29" s="3" t="s">
        <v>169</v>
      </c>
      <c r="RWY29" s="3" t="s">
        <v>168</v>
      </c>
      <c r="RWZ29" s="3" t="s">
        <v>169</v>
      </c>
      <c r="RXA29" s="3" t="s">
        <v>168</v>
      </c>
      <c r="RXB29" s="3" t="s">
        <v>169</v>
      </c>
      <c r="RXC29" s="3" t="s">
        <v>168</v>
      </c>
      <c r="RXD29" s="3" t="s">
        <v>169</v>
      </c>
      <c r="RXE29" s="3" t="s">
        <v>168</v>
      </c>
      <c r="RXF29" s="3" t="s">
        <v>169</v>
      </c>
      <c r="RXG29" s="3" t="s">
        <v>168</v>
      </c>
      <c r="RXH29" s="3" t="s">
        <v>169</v>
      </c>
      <c r="RXI29" s="3" t="s">
        <v>168</v>
      </c>
      <c r="RXJ29" s="3" t="s">
        <v>169</v>
      </c>
      <c r="RXK29" s="3" t="s">
        <v>168</v>
      </c>
      <c r="RXL29" s="3" t="s">
        <v>169</v>
      </c>
      <c r="RXM29" s="3" t="s">
        <v>168</v>
      </c>
      <c r="RXN29" s="3" t="s">
        <v>169</v>
      </c>
      <c r="RXO29" s="3" t="s">
        <v>168</v>
      </c>
      <c r="RXP29" s="3" t="s">
        <v>169</v>
      </c>
      <c r="RXQ29" s="3" t="s">
        <v>168</v>
      </c>
      <c r="RXR29" s="3" t="s">
        <v>169</v>
      </c>
      <c r="RXS29" s="3" t="s">
        <v>168</v>
      </c>
      <c r="RXT29" s="3" t="s">
        <v>169</v>
      </c>
      <c r="RXU29" s="3" t="s">
        <v>168</v>
      </c>
      <c r="RXV29" s="3" t="s">
        <v>169</v>
      </c>
      <c r="RXW29" s="3" t="s">
        <v>168</v>
      </c>
      <c r="RXX29" s="3" t="s">
        <v>169</v>
      </c>
      <c r="RXY29" s="3" t="s">
        <v>168</v>
      </c>
      <c r="RXZ29" s="3" t="s">
        <v>169</v>
      </c>
      <c r="RYA29" s="3" t="s">
        <v>168</v>
      </c>
      <c r="RYB29" s="3" t="s">
        <v>169</v>
      </c>
      <c r="RYC29" s="3" t="s">
        <v>168</v>
      </c>
      <c r="RYD29" s="3" t="s">
        <v>169</v>
      </c>
      <c r="RYE29" s="3" t="s">
        <v>168</v>
      </c>
      <c r="RYF29" s="3" t="s">
        <v>169</v>
      </c>
      <c r="RYG29" s="3" t="s">
        <v>168</v>
      </c>
      <c r="RYH29" s="3" t="s">
        <v>169</v>
      </c>
      <c r="RYI29" s="3" t="s">
        <v>168</v>
      </c>
      <c r="RYJ29" s="3" t="s">
        <v>169</v>
      </c>
      <c r="RYK29" s="3" t="s">
        <v>168</v>
      </c>
      <c r="RYL29" s="3" t="s">
        <v>169</v>
      </c>
      <c r="RYM29" s="3" t="s">
        <v>168</v>
      </c>
      <c r="RYN29" s="3" t="s">
        <v>169</v>
      </c>
      <c r="RYO29" s="3" t="s">
        <v>168</v>
      </c>
      <c r="RYP29" s="3" t="s">
        <v>169</v>
      </c>
      <c r="RYQ29" s="3" t="s">
        <v>168</v>
      </c>
      <c r="RYR29" s="3" t="s">
        <v>169</v>
      </c>
      <c r="RYS29" s="3" t="s">
        <v>168</v>
      </c>
      <c r="RYT29" s="3" t="s">
        <v>169</v>
      </c>
      <c r="RYU29" s="3" t="s">
        <v>168</v>
      </c>
      <c r="RYV29" s="3" t="s">
        <v>169</v>
      </c>
      <c r="RYW29" s="3" t="s">
        <v>168</v>
      </c>
      <c r="RYX29" s="3" t="s">
        <v>169</v>
      </c>
      <c r="RYY29" s="3" t="s">
        <v>168</v>
      </c>
      <c r="RYZ29" s="3" t="s">
        <v>169</v>
      </c>
      <c r="RZA29" s="3" t="s">
        <v>168</v>
      </c>
      <c r="RZB29" s="3" t="s">
        <v>169</v>
      </c>
      <c r="RZC29" s="3" t="s">
        <v>168</v>
      </c>
      <c r="RZD29" s="3" t="s">
        <v>169</v>
      </c>
      <c r="RZE29" s="3" t="s">
        <v>168</v>
      </c>
      <c r="RZF29" s="3" t="s">
        <v>169</v>
      </c>
      <c r="RZG29" s="3" t="s">
        <v>168</v>
      </c>
      <c r="RZH29" s="3" t="s">
        <v>169</v>
      </c>
      <c r="RZI29" s="3" t="s">
        <v>168</v>
      </c>
      <c r="RZJ29" s="3" t="s">
        <v>169</v>
      </c>
      <c r="RZK29" s="3" t="s">
        <v>168</v>
      </c>
      <c r="RZL29" s="3" t="s">
        <v>169</v>
      </c>
      <c r="RZM29" s="3" t="s">
        <v>168</v>
      </c>
      <c r="RZN29" s="3" t="s">
        <v>169</v>
      </c>
      <c r="RZO29" s="3" t="s">
        <v>168</v>
      </c>
      <c r="RZP29" s="3" t="s">
        <v>169</v>
      </c>
      <c r="RZQ29" s="3" t="s">
        <v>168</v>
      </c>
      <c r="RZR29" s="3" t="s">
        <v>169</v>
      </c>
      <c r="RZS29" s="3" t="s">
        <v>168</v>
      </c>
      <c r="RZT29" s="3" t="s">
        <v>169</v>
      </c>
      <c r="RZU29" s="3" t="s">
        <v>168</v>
      </c>
      <c r="RZV29" s="3" t="s">
        <v>169</v>
      </c>
      <c r="RZW29" s="3" t="s">
        <v>168</v>
      </c>
      <c r="RZX29" s="3" t="s">
        <v>169</v>
      </c>
      <c r="RZY29" s="3" t="s">
        <v>168</v>
      </c>
      <c r="RZZ29" s="3" t="s">
        <v>169</v>
      </c>
      <c r="SAA29" s="3" t="s">
        <v>168</v>
      </c>
      <c r="SAB29" s="3" t="s">
        <v>169</v>
      </c>
      <c r="SAC29" s="3" t="s">
        <v>168</v>
      </c>
      <c r="SAD29" s="3" t="s">
        <v>169</v>
      </c>
      <c r="SAE29" s="3" t="s">
        <v>168</v>
      </c>
      <c r="SAF29" s="3" t="s">
        <v>169</v>
      </c>
      <c r="SAG29" s="3" t="s">
        <v>168</v>
      </c>
      <c r="SAH29" s="3" t="s">
        <v>169</v>
      </c>
      <c r="SAI29" s="3" t="s">
        <v>168</v>
      </c>
      <c r="SAJ29" s="3" t="s">
        <v>169</v>
      </c>
      <c r="SAK29" s="3" t="s">
        <v>168</v>
      </c>
      <c r="SAL29" s="3" t="s">
        <v>169</v>
      </c>
      <c r="SAM29" s="3" t="s">
        <v>168</v>
      </c>
      <c r="SAN29" s="3" t="s">
        <v>169</v>
      </c>
      <c r="SAO29" s="3" t="s">
        <v>168</v>
      </c>
      <c r="SAP29" s="3" t="s">
        <v>169</v>
      </c>
      <c r="SAQ29" s="3" t="s">
        <v>168</v>
      </c>
      <c r="SAR29" s="3" t="s">
        <v>169</v>
      </c>
      <c r="SAS29" s="3" t="s">
        <v>168</v>
      </c>
      <c r="SAT29" s="3" t="s">
        <v>169</v>
      </c>
      <c r="SAU29" s="3" t="s">
        <v>168</v>
      </c>
      <c r="SAV29" s="3" t="s">
        <v>169</v>
      </c>
      <c r="SAW29" s="3" t="s">
        <v>168</v>
      </c>
      <c r="SAX29" s="3" t="s">
        <v>169</v>
      </c>
      <c r="SAY29" s="3" t="s">
        <v>168</v>
      </c>
      <c r="SAZ29" s="3" t="s">
        <v>169</v>
      </c>
      <c r="SBA29" s="3" t="s">
        <v>168</v>
      </c>
      <c r="SBB29" s="3" t="s">
        <v>169</v>
      </c>
      <c r="SBC29" s="3" t="s">
        <v>168</v>
      </c>
      <c r="SBD29" s="3" t="s">
        <v>169</v>
      </c>
      <c r="SBE29" s="3" t="s">
        <v>168</v>
      </c>
      <c r="SBF29" s="3" t="s">
        <v>169</v>
      </c>
      <c r="SBG29" s="3" t="s">
        <v>168</v>
      </c>
      <c r="SBH29" s="3" t="s">
        <v>169</v>
      </c>
      <c r="SBI29" s="3" t="s">
        <v>168</v>
      </c>
      <c r="SBJ29" s="3" t="s">
        <v>169</v>
      </c>
      <c r="SBK29" s="3" t="s">
        <v>168</v>
      </c>
      <c r="SBL29" s="3" t="s">
        <v>169</v>
      </c>
      <c r="SBM29" s="3" t="s">
        <v>168</v>
      </c>
      <c r="SBN29" s="3" t="s">
        <v>169</v>
      </c>
      <c r="SBO29" s="3" t="s">
        <v>168</v>
      </c>
      <c r="SBP29" s="3" t="s">
        <v>169</v>
      </c>
      <c r="SBQ29" s="3" t="s">
        <v>168</v>
      </c>
      <c r="SBR29" s="3" t="s">
        <v>169</v>
      </c>
      <c r="SBS29" s="3" t="s">
        <v>168</v>
      </c>
      <c r="SBT29" s="3" t="s">
        <v>169</v>
      </c>
      <c r="SBU29" s="3" t="s">
        <v>168</v>
      </c>
      <c r="SBV29" s="3" t="s">
        <v>169</v>
      </c>
      <c r="SBW29" s="3" t="s">
        <v>168</v>
      </c>
      <c r="SBX29" s="3" t="s">
        <v>169</v>
      </c>
      <c r="SBY29" s="3" t="s">
        <v>168</v>
      </c>
      <c r="SBZ29" s="3" t="s">
        <v>169</v>
      </c>
      <c r="SCA29" s="3" t="s">
        <v>168</v>
      </c>
      <c r="SCB29" s="3" t="s">
        <v>169</v>
      </c>
      <c r="SCC29" s="3" t="s">
        <v>168</v>
      </c>
      <c r="SCD29" s="3" t="s">
        <v>169</v>
      </c>
      <c r="SCE29" s="3" t="s">
        <v>168</v>
      </c>
      <c r="SCF29" s="3" t="s">
        <v>169</v>
      </c>
      <c r="SCG29" s="3" t="s">
        <v>168</v>
      </c>
      <c r="SCH29" s="3" t="s">
        <v>169</v>
      </c>
      <c r="SCI29" s="3" t="s">
        <v>168</v>
      </c>
      <c r="SCJ29" s="3" t="s">
        <v>169</v>
      </c>
      <c r="SCK29" s="3" t="s">
        <v>168</v>
      </c>
      <c r="SCL29" s="3" t="s">
        <v>169</v>
      </c>
      <c r="SCM29" s="3" t="s">
        <v>168</v>
      </c>
      <c r="SCN29" s="3" t="s">
        <v>169</v>
      </c>
      <c r="SCO29" s="3" t="s">
        <v>168</v>
      </c>
      <c r="SCP29" s="3" t="s">
        <v>169</v>
      </c>
      <c r="SCQ29" s="3" t="s">
        <v>168</v>
      </c>
      <c r="SCR29" s="3" t="s">
        <v>169</v>
      </c>
      <c r="SCS29" s="3" t="s">
        <v>168</v>
      </c>
      <c r="SCT29" s="3" t="s">
        <v>169</v>
      </c>
      <c r="SCU29" s="3" t="s">
        <v>168</v>
      </c>
      <c r="SCV29" s="3" t="s">
        <v>169</v>
      </c>
      <c r="SCW29" s="3" t="s">
        <v>168</v>
      </c>
      <c r="SCX29" s="3" t="s">
        <v>169</v>
      </c>
      <c r="SCY29" s="3" t="s">
        <v>168</v>
      </c>
      <c r="SCZ29" s="3" t="s">
        <v>169</v>
      </c>
      <c r="SDA29" s="3" t="s">
        <v>168</v>
      </c>
      <c r="SDB29" s="3" t="s">
        <v>169</v>
      </c>
      <c r="SDC29" s="3" t="s">
        <v>168</v>
      </c>
      <c r="SDD29" s="3" t="s">
        <v>169</v>
      </c>
      <c r="SDE29" s="3" t="s">
        <v>168</v>
      </c>
      <c r="SDF29" s="3" t="s">
        <v>169</v>
      </c>
      <c r="SDG29" s="3" t="s">
        <v>168</v>
      </c>
      <c r="SDH29" s="3" t="s">
        <v>169</v>
      </c>
      <c r="SDI29" s="3" t="s">
        <v>168</v>
      </c>
      <c r="SDJ29" s="3" t="s">
        <v>169</v>
      </c>
      <c r="SDK29" s="3" t="s">
        <v>168</v>
      </c>
      <c r="SDL29" s="3" t="s">
        <v>169</v>
      </c>
      <c r="SDM29" s="3" t="s">
        <v>168</v>
      </c>
      <c r="SDN29" s="3" t="s">
        <v>169</v>
      </c>
      <c r="SDO29" s="3" t="s">
        <v>168</v>
      </c>
      <c r="SDP29" s="3" t="s">
        <v>169</v>
      </c>
      <c r="SDQ29" s="3" t="s">
        <v>168</v>
      </c>
      <c r="SDR29" s="3" t="s">
        <v>169</v>
      </c>
      <c r="SDS29" s="3" t="s">
        <v>168</v>
      </c>
      <c r="SDT29" s="3" t="s">
        <v>169</v>
      </c>
      <c r="SDU29" s="3" t="s">
        <v>168</v>
      </c>
      <c r="SDV29" s="3" t="s">
        <v>169</v>
      </c>
      <c r="SDW29" s="3" t="s">
        <v>168</v>
      </c>
      <c r="SDX29" s="3" t="s">
        <v>169</v>
      </c>
      <c r="SDY29" s="3" t="s">
        <v>168</v>
      </c>
      <c r="SDZ29" s="3" t="s">
        <v>169</v>
      </c>
      <c r="SEA29" s="3" t="s">
        <v>168</v>
      </c>
      <c r="SEB29" s="3" t="s">
        <v>169</v>
      </c>
      <c r="SEC29" s="3" t="s">
        <v>168</v>
      </c>
      <c r="SED29" s="3" t="s">
        <v>169</v>
      </c>
      <c r="SEE29" s="3" t="s">
        <v>168</v>
      </c>
      <c r="SEF29" s="3" t="s">
        <v>169</v>
      </c>
      <c r="SEG29" s="3" t="s">
        <v>168</v>
      </c>
      <c r="SEH29" s="3" t="s">
        <v>169</v>
      </c>
      <c r="SEI29" s="3" t="s">
        <v>168</v>
      </c>
      <c r="SEJ29" s="3" t="s">
        <v>169</v>
      </c>
      <c r="SEK29" s="3" t="s">
        <v>168</v>
      </c>
      <c r="SEL29" s="3" t="s">
        <v>169</v>
      </c>
      <c r="SEM29" s="3" t="s">
        <v>168</v>
      </c>
      <c r="SEN29" s="3" t="s">
        <v>169</v>
      </c>
      <c r="SEO29" s="3" t="s">
        <v>168</v>
      </c>
      <c r="SEP29" s="3" t="s">
        <v>169</v>
      </c>
      <c r="SEQ29" s="3" t="s">
        <v>168</v>
      </c>
      <c r="SER29" s="3" t="s">
        <v>169</v>
      </c>
      <c r="SES29" s="3" t="s">
        <v>168</v>
      </c>
      <c r="SET29" s="3" t="s">
        <v>169</v>
      </c>
      <c r="SEU29" s="3" t="s">
        <v>168</v>
      </c>
      <c r="SEV29" s="3" t="s">
        <v>169</v>
      </c>
      <c r="SEW29" s="3" t="s">
        <v>168</v>
      </c>
      <c r="SEX29" s="3" t="s">
        <v>169</v>
      </c>
      <c r="SEY29" s="3" t="s">
        <v>168</v>
      </c>
      <c r="SEZ29" s="3" t="s">
        <v>169</v>
      </c>
      <c r="SFA29" s="3" t="s">
        <v>168</v>
      </c>
      <c r="SFB29" s="3" t="s">
        <v>169</v>
      </c>
      <c r="SFC29" s="3" t="s">
        <v>168</v>
      </c>
      <c r="SFD29" s="3" t="s">
        <v>169</v>
      </c>
      <c r="SFE29" s="3" t="s">
        <v>168</v>
      </c>
      <c r="SFF29" s="3" t="s">
        <v>169</v>
      </c>
      <c r="SFG29" s="3" t="s">
        <v>168</v>
      </c>
      <c r="SFH29" s="3" t="s">
        <v>169</v>
      </c>
      <c r="SFI29" s="3" t="s">
        <v>168</v>
      </c>
      <c r="SFJ29" s="3" t="s">
        <v>169</v>
      </c>
      <c r="SFK29" s="3" t="s">
        <v>168</v>
      </c>
      <c r="SFL29" s="3" t="s">
        <v>169</v>
      </c>
      <c r="SFM29" s="3" t="s">
        <v>168</v>
      </c>
      <c r="SFN29" s="3" t="s">
        <v>169</v>
      </c>
      <c r="SFO29" s="3" t="s">
        <v>168</v>
      </c>
      <c r="SFP29" s="3" t="s">
        <v>169</v>
      </c>
      <c r="SFQ29" s="3" t="s">
        <v>168</v>
      </c>
      <c r="SFR29" s="3" t="s">
        <v>169</v>
      </c>
      <c r="SFS29" s="3" t="s">
        <v>168</v>
      </c>
      <c r="SFT29" s="3" t="s">
        <v>169</v>
      </c>
      <c r="SFU29" s="3" t="s">
        <v>168</v>
      </c>
      <c r="SFV29" s="3" t="s">
        <v>169</v>
      </c>
      <c r="SFW29" s="3" t="s">
        <v>168</v>
      </c>
      <c r="SFX29" s="3" t="s">
        <v>169</v>
      </c>
      <c r="SFY29" s="3" t="s">
        <v>168</v>
      </c>
      <c r="SFZ29" s="3" t="s">
        <v>169</v>
      </c>
      <c r="SGA29" s="3" t="s">
        <v>168</v>
      </c>
      <c r="SGB29" s="3" t="s">
        <v>169</v>
      </c>
      <c r="SGC29" s="3" t="s">
        <v>168</v>
      </c>
      <c r="SGD29" s="3" t="s">
        <v>169</v>
      </c>
      <c r="SGE29" s="3" t="s">
        <v>168</v>
      </c>
      <c r="SGF29" s="3" t="s">
        <v>169</v>
      </c>
      <c r="SGG29" s="3" t="s">
        <v>168</v>
      </c>
      <c r="SGH29" s="3" t="s">
        <v>169</v>
      </c>
      <c r="SGI29" s="3" t="s">
        <v>168</v>
      </c>
      <c r="SGJ29" s="3" t="s">
        <v>169</v>
      </c>
      <c r="SGK29" s="3" t="s">
        <v>168</v>
      </c>
      <c r="SGL29" s="3" t="s">
        <v>169</v>
      </c>
      <c r="SGM29" s="3" t="s">
        <v>168</v>
      </c>
      <c r="SGN29" s="3" t="s">
        <v>169</v>
      </c>
      <c r="SGO29" s="3" t="s">
        <v>168</v>
      </c>
      <c r="SGP29" s="3" t="s">
        <v>169</v>
      </c>
      <c r="SGQ29" s="3" t="s">
        <v>168</v>
      </c>
      <c r="SGR29" s="3" t="s">
        <v>169</v>
      </c>
      <c r="SGS29" s="3" t="s">
        <v>168</v>
      </c>
      <c r="SGT29" s="3" t="s">
        <v>169</v>
      </c>
      <c r="SGU29" s="3" t="s">
        <v>168</v>
      </c>
      <c r="SGV29" s="3" t="s">
        <v>169</v>
      </c>
      <c r="SGW29" s="3" t="s">
        <v>168</v>
      </c>
      <c r="SGX29" s="3" t="s">
        <v>169</v>
      </c>
      <c r="SGY29" s="3" t="s">
        <v>168</v>
      </c>
      <c r="SGZ29" s="3" t="s">
        <v>169</v>
      </c>
      <c r="SHA29" s="3" t="s">
        <v>168</v>
      </c>
      <c r="SHB29" s="3" t="s">
        <v>169</v>
      </c>
      <c r="SHC29" s="3" t="s">
        <v>168</v>
      </c>
      <c r="SHD29" s="3" t="s">
        <v>169</v>
      </c>
      <c r="SHE29" s="3" t="s">
        <v>168</v>
      </c>
      <c r="SHF29" s="3" t="s">
        <v>169</v>
      </c>
      <c r="SHG29" s="3" t="s">
        <v>168</v>
      </c>
      <c r="SHH29" s="3" t="s">
        <v>169</v>
      </c>
      <c r="SHI29" s="3" t="s">
        <v>168</v>
      </c>
      <c r="SHJ29" s="3" t="s">
        <v>169</v>
      </c>
      <c r="SHK29" s="3" t="s">
        <v>168</v>
      </c>
      <c r="SHL29" s="3" t="s">
        <v>169</v>
      </c>
      <c r="SHM29" s="3" t="s">
        <v>168</v>
      </c>
      <c r="SHN29" s="3" t="s">
        <v>169</v>
      </c>
      <c r="SHO29" s="3" t="s">
        <v>168</v>
      </c>
      <c r="SHP29" s="3" t="s">
        <v>169</v>
      </c>
      <c r="SHQ29" s="3" t="s">
        <v>168</v>
      </c>
      <c r="SHR29" s="3" t="s">
        <v>169</v>
      </c>
      <c r="SHS29" s="3" t="s">
        <v>168</v>
      </c>
      <c r="SHT29" s="3" t="s">
        <v>169</v>
      </c>
      <c r="SHU29" s="3" t="s">
        <v>168</v>
      </c>
      <c r="SHV29" s="3" t="s">
        <v>169</v>
      </c>
      <c r="SHW29" s="3" t="s">
        <v>168</v>
      </c>
      <c r="SHX29" s="3" t="s">
        <v>169</v>
      </c>
      <c r="SHY29" s="3" t="s">
        <v>168</v>
      </c>
      <c r="SHZ29" s="3" t="s">
        <v>169</v>
      </c>
      <c r="SIA29" s="3" t="s">
        <v>168</v>
      </c>
      <c r="SIB29" s="3" t="s">
        <v>169</v>
      </c>
      <c r="SIC29" s="3" t="s">
        <v>168</v>
      </c>
      <c r="SID29" s="3" t="s">
        <v>169</v>
      </c>
      <c r="SIE29" s="3" t="s">
        <v>168</v>
      </c>
      <c r="SIF29" s="3" t="s">
        <v>169</v>
      </c>
      <c r="SIG29" s="3" t="s">
        <v>168</v>
      </c>
      <c r="SIH29" s="3" t="s">
        <v>169</v>
      </c>
      <c r="SII29" s="3" t="s">
        <v>168</v>
      </c>
      <c r="SIJ29" s="3" t="s">
        <v>169</v>
      </c>
      <c r="SIK29" s="3" t="s">
        <v>168</v>
      </c>
      <c r="SIL29" s="3" t="s">
        <v>169</v>
      </c>
      <c r="SIM29" s="3" t="s">
        <v>168</v>
      </c>
      <c r="SIN29" s="3" t="s">
        <v>169</v>
      </c>
      <c r="SIO29" s="3" t="s">
        <v>168</v>
      </c>
      <c r="SIP29" s="3" t="s">
        <v>169</v>
      </c>
      <c r="SIQ29" s="3" t="s">
        <v>168</v>
      </c>
      <c r="SIR29" s="3" t="s">
        <v>169</v>
      </c>
      <c r="SIS29" s="3" t="s">
        <v>168</v>
      </c>
      <c r="SIT29" s="3" t="s">
        <v>169</v>
      </c>
      <c r="SIU29" s="3" t="s">
        <v>168</v>
      </c>
      <c r="SIV29" s="3" t="s">
        <v>169</v>
      </c>
      <c r="SIW29" s="3" t="s">
        <v>168</v>
      </c>
      <c r="SIX29" s="3" t="s">
        <v>169</v>
      </c>
      <c r="SIY29" s="3" t="s">
        <v>168</v>
      </c>
      <c r="SIZ29" s="3" t="s">
        <v>169</v>
      </c>
      <c r="SJA29" s="3" t="s">
        <v>168</v>
      </c>
      <c r="SJB29" s="3" t="s">
        <v>169</v>
      </c>
      <c r="SJC29" s="3" t="s">
        <v>168</v>
      </c>
      <c r="SJD29" s="3" t="s">
        <v>169</v>
      </c>
      <c r="SJE29" s="3" t="s">
        <v>168</v>
      </c>
      <c r="SJF29" s="3" t="s">
        <v>169</v>
      </c>
      <c r="SJG29" s="3" t="s">
        <v>168</v>
      </c>
      <c r="SJH29" s="3" t="s">
        <v>169</v>
      </c>
      <c r="SJI29" s="3" t="s">
        <v>168</v>
      </c>
      <c r="SJJ29" s="3" t="s">
        <v>169</v>
      </c>
      <c r="SJK29" s="3" t="s">
        <v>168</v>
      </c>
      <c r="SJL29" s="3" t="s">
        <v>169</v>
      </c>
      <c r="SJM29" s="3" t="s">
        <v>168</v>
      </c>
      <c r="SJN29" s="3" t="s">
        <v>169</v>
      </c>
      <c r="SJO29" s="3" t="s">
        <v>168</v>
      </c>
      <c r="SJP29" s="3" t="s">
        <v>169</v>
      </c>
      <c r="SJQ29" s="3" t="s">
        <v>168</v>
      </c>
      <c r="SJR29" s="3" t="s">
        <v>169</v>
      </c>
      <c r="SJS29" s="3" t="s">
        <v>168</v>
      </c>
      <c r="SJT29" s="3" t="s">
        <v>169</v>
      </c>
      <c r="SJU29" s="3" t="s">
        <v>168</v>
      </c>
      <c r="SJV29" s="3" t="s">
        <v>169</v>
      </c>
      <c r="SJW29" s="3" t="s">
        <v>168</v>
      </c>
      <c r="SJX29" s="3" t="s">
        <v>169</v>
      </c>
      <c r="SJY29" s="3" t="s">
        <v>168</v>
      </c>
      <c r="SJZ29" s="3" t="s">
        <v>169</v>
      </c>
      <c r="SKA29" s="3" t="s">
        <v>168</v>
      </c>
      <c r="SKB29" s="3" t="s">
        <v>169</v>
      </c>
      <c r="SKC29" s="3" t="s">
        <v>168</v>
      </c>
      <c r="SKD29" s="3" t="s">
        <v>169</v>
      </c>
      <c r="SKE29" s="3" t="s">
        <v>168</v>
      </c>
      <c r="SKF29" s="3" t="s">
        <v>169</v>
      </c>
      <c r="SKG29" s="3" t="s">
        <v>168</v>
      </c>
      <c r="SKH29" s="3" t="s">
        <v>169</v>
      </c>
      <c r="SKI29" s="3" t="s">
        <v>168</v>
      </c>
      <c r="SKJ29" s="3" t="s">
        <v>169</v>
      </c>
      <c r="SKK29" s="3" t="s">
        <v>168</v>
      </c>
      <c r="SKL29" s="3" t="s">
        <v>169</v>
      </c>
      <c r="SKM29" s="3" t="s">
        <v>168</v>
      </c>
      <c r="SKN29" s="3" t="s">
        <v>169</v>
      </c>
      <c r="SKO29" s="3" t="s">
        <v>168</v>
      </c>
      <c r="SKP29" s="3" t="s">
        <v>169</v>
      </c>
      <c r="SKQ29" s="3" t="s">
        <v>168</v>
      </c>
      <c r="SKR29" s="3" t="s">
        <v>169</v>
      </c>
      <c r="SKS29" s="3" t="s">
        <v>168</v>
      </c>
      <c r="SKT29" s="3" t="s">
        <v>169</v>
      </c>
      <c r="SKU29" s="3" t="s">
        <v>168</v>
      </c>
      <c r="SKV29" s="3" t="s">
        <v>169</v>
      </c>
      <c r="SKW29" s="3" t="s">
        <v>168</v>
      </c>
      <c r="SKX29" s="3" t="s">
        <v>169</v>
      </c>
      <c r="SKY29" s="3" t="s">
        <v>168</v>
      </c>
      <c r="SKZ29" s="3" t="s">
        <v>169</v>
      </c>
      <c r="SLA29" s="3" t="s">
        <v>168</v>
      </c>
      <c r="SLB29" s="3" t="s">
        <v>169</v>
      </c>
      <c r="SLC29" s="3" t="s">
        <v>168</v>
      </c>
      <c r="SLD29" s="3" t="s">
        <v>169</v>
      </c>
      <c r="SLE29" s="3" t="s">
        <v>168</v>
      </c>
      <c r="SLF29" s="3" t="s">
        <v>169</v>
      </c>
      <c r="SLG29" s="3" t="s">
        <v>168</v>
      </c>
      <c r="SLH29" s="3" t="s">
        <v>169</v>
      </c>
      <c r="SLI29" s="3" t="s">
        <v>168</v>
      </c>
      <c r="SLJ29" s="3" t="s">
        <v>169</v>
      </c>
      <c r="SLK29" s="3" t="s">
        <v>168</v>
      </c>
      <c r="SLL29" s="3" t="s">
        <v>169</v>
      </c>
      <c r="SLM29" s="3" t="s">
        <v>168</v>
      </c>
      <c r="SLN29" s="3" t="s">
        <v>169</v>
      </c>
      <c r="SLO29" s="3" t="s">
        <v>168</v>
      </c>
      <c r="SLP29" s="3" t="s">
        <v>169</v>
      </c>
      <c r="SLQ29" s="3" t="s">
        <v>168</v>
      </c>
      <c r="SLR29" s="3" t="s">
        <v>169</v>
      </c>
      <c r="SLS29" s="3" t="s">
        <v>168</v>
      </c>
      <c r="SLT29" s="3" t="s">
        <v>169</v>
      </c>
      <c r="SLU29" s="3" t="s">
        <v>168</v>
      </c>
      <c r="SLV29" s="3" t="s">
        <v>169</v>
      </c>
      <c r="SLW29" s="3" t="s">
        <v>168</v>
      </c>
      <c r="SLX29" s="3" t="s">
        <v>169</v>
      </c>
      <c r="SLY29" s="3" t="s">
        <v>168</v>
      </c>
      <c r="SLZ29" s="3" t="s">
        <v>169</v>
      </c>
      <c r="SMA29" s="3" t="s">
        <v>168</v>
      </c>
      <c r="SMB29" s="3" t="s">
        <v>169</v>
      </c>
      <c r="SMC29" s="3" t="s">
        <v>168</v>
      </c>
      <c r="SMD29" s="3" t="s">
        <v>169</v>
      </c>
      <c r="SME29" s="3" t="s">
        <v>168</v>
      </c>
      <c r="SMF29" s="3" t="s">
        <v>169</v>
      </c>
      <c r="SMG29" s="3" t="s">
        <v>168</v>
      </c>
      <c r="SMH29" s="3" t="s">
        <v>169</v>
      </c>
      <c r="SMI29" s="3" t="s">
        <v>168</v>
      </c>
      <c r="SMJ29" s="3" t="s">
        <v>169</v>
      </c>
      <c r="SMK29" s="3" t="s">
        <v>168</v>
      </c>
      <c r="SML29" s="3" t="s">
        <v>169</v>
      </c>
      <c r="SMM29" s="3" t="s">
        <v>168</v>
      </c>
      <c r="SMN29" s="3" t="s">
        <v>169</v>
      </c>
      <c r="SMO29" s="3" t="s">
        <v>168</v>
      </c>
      <c r="SMP29" s="3" t="s">
        <v>169</v>
      </c>
      <c r="SMQ29" s="3" t="s">
        <v>168</v>
      </c>
      <c r="SMR29" s="3" t="s">
        <v>169</v>
      </c>
      <c r="SMS29" s="3" t="s">
        <v>168</v>
      </c>
      <c r="SMT29" s="3" t="s">
        <v>169</v>
      </c>
      <c r="SMU29" s="3" t="s">
        <v>168</v>
      </c>
      <c r="SMV29" s="3" t="s">
        <v>169</v>
      </c>
      <c r="SMW29" s="3" t="s">
        <v>168</v>
      </c>
      <c r="SMX29" s="3" t="s">
        <v>169</v>
      </c>
      <c r="SMY29" s="3" t="s">
        <v>168</v>
      </c>
      <c r="SMZ29" s="3" t="s">
        <v>169</v>
      </c>
      <c r="SNA29" s="3" t="s">
        <v>168</v>
      </c>
      <c r="SNB29" s="3" t="s">
        <v>169</v>
      </c>
      <c r="SNC29" s="3" t="s">
        <v>168</v>
      </c>
      <c r="SND29" s="3" t="s">
        <v>169</v>
      </c>
      <c r="SNE29" s="3" t="s">
        <v>168</v>
      </c>
      <c r="SNF29" s="3" t="s">
        <v>169</v>
      </c>
      <c r="SNG29" s="3" t="s">
        <v>168</v>
      </c>
      <c r="SNH29" s="3" t="s">
        <v>169</v>
      </c>
      <c r="SNI29" s="3" t="s">
        <v>168</v>
      </c>
      <c r="SNJ29" s="3" t="s">
        <v>169</v>
      </c>
      <c r="SNK29" s="3" t="s">
        <v>168</v>
      </c>
      <c r="SNL29" s="3" t="s">
        <v>169</v>
      </c>
      <c r="SNM29" s="3" t="s">
        <v>168</v>
      </c>
      <c r="SNN29" s="3" t="s">
        <v>169</v>
      </c>
      <c r="SNO29" s="3" t="s">
        <v>168</v>
      </c>
      <c r="SNP29" s="3" t="s">
        <v>169</v>
      </c>
      <c r="SNQ29" s="3" t="s">
        <v>168</v>
      </c>
      <c r="SNR29" s="3" t="s">
        <v>169</v>
      </c>
      <c r="SNS29" s="3" t="s">
        <v>168</v>
      </c>
      <c r="SNT29" s="3" t="s">
        <v>169</v>
      </c>
      <c r="SNU29" s="3" t="s">
        <v>168</v>
      </c>
      <c r="SNV29" s="3" t="s">
        <v>169</v>
      </c>
      <c r="SNW29" s="3" t="s">
        <v>168</v>
      </c>
      <c r="SNX29" s="3" t="s">
        <v>169</v>
      </c>
      <c r="SNY29" s="3" t="s">
        <v>168</v>
      </c>
      <c r="SNZ29" s="3" t="s">
        <v>169</v>
      </c>
      <c r="SOA29" s="3" t="s">
        <v>168</v>
      </c>
      <c r="SOB29" s="3" t="s">
        <v>169</v>
      </c>
      <c r="SOC29" s="3" t="s">
        <v>168</v>
      </c>
      <c r="SOD29" s="3" t="s">
        <v>169</v>
      </c>
      <c r="SOE29" s="3" t="s">
        <v>168</v>
      </c>
      <c r="SOF29" s="3" t="s">
        <v>169</v>
      </c>
      <c r="SOG29" s="3" t="s">
        <v>168</v>
      </c>
      <c r="SOH29" s="3" t="s">
        <v>169</v>
      </c>
      <c r="SOI29" s="3" t="s">
        <v>168</v>
      </c>
      <c r="SOJ29" s="3" t="s">
        <v>169</v>
      </c>
      <c r="SOK29" s="3" t="s">
        <v>168</v>
      </c>
      <c r="SOL29" s="3" t="s">
        <v>169</v>
      </c>
      <c r="SOM29" s="3" t="s">
        <v>168</v>
      </c>
      <c r="SON29" s="3" t="s">
        <v>169</v>
      </c>
      <c r="SOO29" s="3" t="s">
        <v>168</v>
      </c>
      <c r="SOP29" s="3" t="s">
        <v>169</v>
      </c>
      <c r="SOQ29" s="3" t="s">
        <v>168</v>
      </c>
      <c r="SOR29" s="3" t="s">
        <v>169</v>
      </c>
      <c r="SOS29" s="3" t="s">
        <v>168</v>
      </c>
      <c r="SOT29" s="3" t="s">
        <v>169</v>
      </c>
      <c r="SOU29" s="3" t="s">
        <v>168</v>
      </c>
      <c r="SOV29" s="3" t="s">
        <v>169</v>
      </c>
      <c r="SOW29" s="3" t="s">
        <v>168</v>
      </c>
      <c r="SOX29" s="3" t="s">
        <v>169</v>
      </c>
      <c r="SOY29" s="3" t="s">
        <v>168</v>
      </c>
      <c r="SOZ29" s="3" t="s">
        <v>169</v>
      </c>
      <c r="SPA29" s="3" t="s">
        <v>168</v>
      </c>
      <c r="SPB29" s="3" t="s">
        <v>169</v>
      </c>
      <c r="SPC29" s="3" t="s">
        <v>168</v>
      </c>
      <c r="SPD29" s="3" t="s">
        <v>169</v>
      </c>
      <c r="SPE29" s="3" t="s">
        <v>168</v>
      </c>
      <c r="SPF29" s="3" t="s">
        <v>169</v>
      </c>
      <c r="SPG29" s="3" t="s">
        <v>168</v>
      </c>
      <c r="SPH29" s="3" t="s">
        <v>169</v>
      </c>
      <c r="SPI29" s="3" t="s">
        <v>168</v>
      </c>
      <c r="SPJ29" s="3" t="s">
        <v>169</v>
      </c>
      <c r="SPK29" s="3" t="s">
        <v>168</v>
      </c>
      <c r="SPL29" s="3" t="s">
        <v>169</v>
      </c>
      <c r="SPM29" s="3" t="s">
        <v>168</v>
      </c>
      <c r="SPN29" s="3" t="s">
        <v>169</v>
      </c>
      <c r="SPO29" s="3" t="s">
        <v>168</v>
      </c>
      <c r="SPP29" s="3" t="s">
        <v>169</v>
      </c>
      <c r="SPQ29" s="3" t="s">
        <v>168</v>
      </c>
      <c r="SPR29" s="3" t="s">
        <v>169</v>
      </c>
      <c r="SPS29" s="3" t="s">
        <v>168</v>
      </c>
      <c r="SPT29" s="3" t="s">
        <v>169</v>
      </c>
      <c r="SPU29" s="3" t="s">
        <v>168</v>
      </c>
      <c r="SPV29" s="3" t="s">
        <v>169</v>
      </c>
      <c r="SPW29" s="3" t="s">
        <v>168</v>
      </c>
      <c r="SPX29" s="3" t="s">
        <v>169</v>
      </c>
      <c r="SPY29" s="3" t="s">
        <v>168</v>
      </c>
      <c r="SPZ29" s="3" t="s">
        <v>169</v>
      </c>
      <c r="SQA29" s="3" t="s">
        <v>168</v>
      </c>
      <c r="SQB29" s="3" t="s">
        <v>169</v>
      </c>
      <c r="SQC29" s="3" t="s">
        <v>168</v>
      </c>
      <c r="SQD29" s="3" t="s">
        <v>169</v>
      </c>
      <c r="SQE29" s="3" t="s">
        <v>168</v>
      </c>
      <c r="SQF29" s="3" t="s">
        <v>169</v>
      </c>
      <c r="SQG29" s="3" t="s">
        <v>168</v>
      </c>
      <c r="SQH29" s="3" t="s">
        <v>169</v>
      </c>
      <c r="SQI29" s="3" t="s">
        <v>168</v>
      </c>
      <c r="SQJ29" s="3" t="s">
        <v>169</v>
      </c>
      <c r="SQK29" s="3" t="s">
        <v>168</v>
      </c>
      <c r="SQL29" s="3" t="s">
        <v>169</v>
      </c>
      <c r="SQM29" s="3" t="s">
        <v>168</v>
      </c>
      <c r="SQN29" s="3" t="s">
        <v>169</v>
      </c>
      <c r="SQO29" s="3" t="s">
        <v>168</v>
      </c>
      <c r="SQP29" s="3" t="s">
        <v>169</v>
      </c>
      <c r="SQQ29" s="3" t="s">
        <v>168</v>
      </c>
      <c r="SQR29" s="3" t="s">
        <v>169</v>
      </c>
      <c r="SQS29" s="3" t="s">
        <v>168</v>
      </c>
      <c r="SQT29" s="3" t="s">
        <v>169</v>
      </c>
      <c r="SQU29" s="3" t="s">
        <v>168</v>
      </c>
      <c r="SQV29" s="3" t="s">
        <v>169</v>
      </c>
      <c r="SQW29" s="3" t="s">
        <v>168</v>
      </c>
      <c r="SQX29" s="3" t="s">
        <v>169</v>
      </c>
      <c r="SQY29" s="3" t="s">
        <v>168</v>
      </c>
      <c r="SQZ29" s="3" t="s">
        <v>169</v>
      </c>
      <c r="SRA29" s="3" t="s">
        <v>168</v>
      </c>
      <c r="SRB29" s="3" t="s">
        <v>169</v>
      </c>
      <c r="SRC29" s="3" t="s">
        <v>168</v>
      </c>
      <c r="SRD29" s="3" t="s">
        <v>169</v>
      </c>
      <c r="SRE29" s="3" t="s">
        <v>168</v>
      </c>
      <c r="SRF29" s="3" t="s">
        <v>169</v>
      </c>
      <c r="SRG29" s="3" t="s">
        <v>168</v>
      </c>
      <c r="SRH29" s="3" t="s">
        <v>169</v>
      </c>
      <c r="SRI29" s="3" t="s">
        <v>168</v>
      </c>
      <c r="SRJ29" s="3" t="s">
        <v>169</v>
      </c>
      <c r="SRK29" s="3" t="s">
        <v>168</v>
      </c>
      <c r="SRL29" s="3" t="s">
        <v>169</v>
      </c>
      <c r="SRM29" s="3" t="s">
        <v>168</v>
      </c>
      <c r="SRN29" s="3" t="s">
        <v>169</v>
      </c>
      <c r="SRO29" s="3" t="s">
        <v>168</v>
      </c>
      <c r="SRP29" s="3" t="s">
        <v>169</v>
      </c>
      <c r="SRQ29" s="3" t="s">
        <v>168</v>
      </c>
      <c r="SRR29" s="3" t="s">
        <v>169</v>
      </c>
      <c r="SRS29" s="3" t="s">
        <v>168</v>
      </c>
      <c r="SRT29" s="3" t="s">
        <v>169</v>
      </c>
      <c r="SRU29" s="3" t="s">
        <v>168</v>
      </c>
      <c r="SRV29" s="3" t="s">
        <v>169</v>
      </c>
      <c r="SRW29" s="3" t="s">
        <v>168</v>
      </c>
      <c r="SRX29" s="3" t="s">
        <v>169</v>
      </c>
      <c r="SRY29" s="3" t="s">
        <v>168</v>
      </c>
      <c r="SRZ29" s="3" t="s">
        <v>169</v>
      </c>
      <c r="SSA29" s="3" t="s">
        <v>168</v>
      </c>
      <c r="SSB29" s="3" t="s">
        <v>169</v>
      </c>
      <c r="SSC29" s="3" t="s">
        <v>168</v>
      </c>
      <c r="SSD29" s="3" t="s">
        <v>169</v>
      </c>
      <c r="SSE29" s="3" t="s">
        <v>168</v>
      </c>
      <c r="SSF29" s="3" t="s">
        <v>169</v>
      </c>
      <c r="SSG29" s="3" t="s">
        <v>168</v>
      </c>
      <c r="SSH29" s="3" t="s">
        <v>169</v>
      </c>
      <c r="SSI29" s="3" t="s">
        <v>168</v>
      </c>
      <c r="SSJ29" s="3" t="s">
        <v>169</v>
      </c>
      <c r="SSK29" s="3" t="s">
        <v>168</v>
      </c>
      <c r="SSL29" s="3" t="s">
        <v>169</v>
      </c>
      <c r="SSM29" s="3" t="s">
        <v>168</v>
      </c>
      <c r="SSN29" s="3" t="s">
        <v>169</v>
      </c>
      <c r="SSO29" s="3" t="s">
        <v>168</v>
      </c>
      <c r="SSP29" s="3" t="s">
        <v>169</v>
      </c>
      <c r="SSQ29" s="3" t="s">
        <v>168</v>
      </c>
      <c r="SSR29" s="3" t="s">
        <v>169</v>
      </c>
      <c r="SSS29" s="3" t="s">
        <v>168</v>
      </c>
      <c r="SST29" s="3" t="s">
        <v>169</v>
      </c>
      <c r="SSU29" s="3" t="s">
        <v>168</v>
      </c>
      <c r="SSV29" s="3" t="s">
        <v>169</v>
      </c>
      <c r="SSW29" s="3" t="s">
        <v>168</v>
      </c>
      <c r="SSX29" s="3" t="s">
        <v>169</v>
      </c>
      <c r="SSY29" s="3" t="s">
        <v>168</v>
      </c>
      <c r="SSZ29" s="3" t="s">
        <v>169</v>
      </c>
      <c r="STA29" s="3" t="s">
        <v>168</v>
      </c>
      <c r="STB29" s="3" t="s">
        <v>169</v>
      </c>
      <c r="STC29" s="3" t="s">
        <v>168</v>
      </c>
      <c r="STD29" s="3" t="s">
        <v>169</v>
      </c>
      <c r="STE29" s="3" t="s">
        <v>168</v>
      </c>
      <c r="STF29" s="3" t="s">
        <v>169</v>
      </c>
      <c r="STG29" s="3" t="s">
        <v>168</v>
      </c>
      <c r="STH29" s="3" t="s">
        <v>169</v>
      </c>
      <c r="STI29" s="3" t="s">
        <v>168</v>
      </c>
      <c r="STJ29" s="3" t="s">
        <v>169</v>
      </c>
      <c r="STK29" s="3" t="s">
        <v>168</v>
      </c>
      <c r="STL29" s="3" t="s">
        <v>169</v>
      </c>
      <c r="STM29" s="3" t="s">
        <v>168</v>
      </c>
      <c r="STN29" s="3" t="s">
        <v>169</v>
      </c>
      <c r="STO29" s="3" t="s">
        <v>168</v>
      </c>
      <c r="STP29" s="3" t="s">
        <v>169</v>
      </c>
      <c r="STQ29" s="3" t="s">
        <v>168</v>
      </c>
      <c r="STR29" s="3" t="s">
        <v>169</v>
      </c>
      <c r="STS29" s="3" t="s">
        <v>168</v>
      </c>
      <c r="STT29" s="3" t="s">
        <v>169</v>
      </c>
      <c r="STU29" s="3" t="s">
        <v>168</v>
      </c>
      <c r="STV29" s="3" t="s">
        <v>169</v>
      </c>
      <c r="STW29" s="3" t="s">
        <v>168</v>
      </c>
      <c r="STX29" s="3" t="s">
        <v>169</v>
      </c>
      <c r="STY29" s="3" t="s">
        <v>168</v>
      </c>
      <c r="STZ29" s="3" t="s">
        <v>169</v>
      </c>
      <c r="SUA29" s="3" t="s">
        <v>168</v>
      </c>
      <c r="SUB29" s="3" t="s">
        <v>169</v>
      </c>
      <c r="SUC29" s="3" t="s">
        <v>168</v>
      </c>
      <c r="SUD29" s="3" t="s">
        <v>169</v>
      </c>
      <c r="SUE29" s="3" t="s">
        <v>168</v>
      </c>
      <c r="SUF29" s="3" t="s">
        <v>169</v>
      </c>
      <c r="SUG29" s="3" t="s">
        <v>168</v>
      </c>
      <c r="SUH29" s="3" t="s">
        <v>169</v>
      </c>
      <c r="SUI29" s="3" t="s">
        <v>168</v>
      </c>
      <c r="SUJ29" s="3" t="s">
        <v>169</v>
      </c>
      <c r="SUK29" s="3" t="s">
        <v>168</v>
      </c>
      <c r="SUL29" s="3" t="s">
        <v>169</v>
      </c>
      <c r="SUM29" s="3" t="s">
        <v>168</v>
      </c>
      <c r="SUN29" s="3" t="s">
        <v>169</v>
      </c>
      <c r="SUO29" s="3" t="s">
        <v>168</v>
      </c>
      <c r="SUP29" s="3" t="s">
        <v>169</v>
      </c>
      <c r="SUQ29" s="3" t="s">
        <v>168</v>
      </c>
      <c r="SUR29" s="3" t="s">
        <v>169</v>
      </c>
      <c r="SUS29" s="3" t="s">
        <v>168</v>
      </c>
      <c r="SUT29" s="3" t="s">
        <v>169</v>
      </c>
      <c r="SUU29" s="3" t="s">
        <v>168</v>
      </c>
      <c r="SUV29" s="3" t="s">
        <v>169</v>
      </c>
      <c r="SUW29" s="3" t="s">
        <v>168</v>
      </c>
      <c r="SUX29" s="3" t="s">
        <v>169</v>
      </c>
      <c r="SUY29" s="3" t="s">
        <v>168</v>
      </c>
      <c r="SUZ29" s="3" t="s">
        <v>169</v>
      </c>
      <c r="SVA29" s="3" t="s">
        <v>168</v>
      </c>
      <c r="SVB29" s="3" t="s">
        <v>169</v>
      </c>
      <c r="SVC29" s="3" t="s">
        <v>168</v>
      </c>
      <c r="SVD29" s="3" t="s">
        <v>169</v>
      </c>
      <c r="SVE29" s="3" t="s">
        <v>168</v>
      </c>
      <c r="SVF29" s="3" t="s">
        <v>169</v>
      </c>
      <c r="SVG29" s="3" t="s">
        <v>168</v>
      </c>
      <c r="SVH29" s="3" t="s">
        <v>169</v>
      </c>
      <c r="SVI29" s="3" t="s">
        <v>168</v>
      </c>
      <c r="SVJ29" s="3" t="s">
        <v>169</v>
      </c>
      <c r="SVK29" s="3" t="s">
        <v>168</v>
      </c>
      <c r="SVL29" s="3" t="s">
        <v>169</v>
      </c>
      <c r="SVM29" s="3" t="s">
        <v>168</v>
      </c>
      <c r="SVN29" s="3" t="s">
        <v>169</v>
      </c>
      <c r="SVO29" s="3" t="s">
        <v>168</v>
      </c>
      <c r="SVP29" s="3" t="s">
        <v>169</v>
      </c>
      <c r="SVQ29" s="3" t="s">
        <v>168</v>
      </c>
      <c r="SVR29" s="3" t="s">
        <v>169</v>
      </c>
      <c r="SVS29" s="3" t="s">
        <v>168</v>
      </c>
      <c r="SVT29" s="3" t="s">
        <v>169</v>
      </c>
      <c r="SVU29" s="3" t="s">
        <v>168</v>
      </c>
      <c r="SVV29" s="3" t="s">
        <v>169</v>
      </c>
      <c r="SVW29" s="3" t="s">
        <v>168</v>
      </c>
      <c r="SVX29" s="3" t="s">
        <v>169</v>
      </c>
      <c r="SVY29" s="3" t="s">
        <v>168</v>
      </c>
      <c r="SVZ29" s="3" t="s">
        <v>169</v>
      </c>
      <c r="SWA29" s="3" t="s">
        <v>168</v>
      </c>
      <c r="SWB29" s="3" t="s">
        <v>169</v>
      </c>
      <c r="SWC29" s="3" t="s">
        <v>168</v>
      </c>
      <c r="SWD29" s="3" t="s">
        <v>169</v>
      </c>
      <c r="SWE29" s="3" t="s">
        <v>168</v>
      </c>
      <c r="SWF29" s="3" t="s">
        <v>169</v>
      </c>
      <c r="SWG29" s="3" t="s">
        <v>168</v>
      </c>
      <c r="SWH29" s="3" t="s">
        <v>169</v>
      </c>
      <c r="SWI29" s="3" t="s">
        <v>168</v>
      </c>
      <c r="SWJ29" s="3" t="s">
        <v>169</v>
      </c>
      <c r="SWK29" s="3" t="s">
        <v>168</v>
      </c>
      <c r="SWL29" s="3" t="s">
        <v>169</v>
      </c>
      <c r="SWM29" s="3" t="s">
        <v>168</v>
      </c>
      <c r="SWN29" s="3" t="s">
        <v>169</v>
      </c>
      <c r="SWO29" s="3" t="s">
        <v>168</v>
      </c>
      <c r="SWP29" s="3" t="s">
        <v>169</v>
      </c>
      <c r="SWQ29" s="3" t="s">
        <v>168</v>
      </c>
      <c r="SWR29" s="3" t="s">
        <v>169</v>
      </c>
      <c r="SWS29" s="3" t="s">
        <v>168</v>
      </c>
      <c r="SWT29" s="3" t="s">
        <v>169</v>
      </c>
      <c r="SWU29" s="3" t="s">
        <v>168</v>
      </c>
      <c r="SWV29" s="3" t="s">
        <v>169</v>
      </c>
      <c r="SWW29" s="3" t="s">
        <v>168</v>
      </c>
      <c r="SWX29" s="3" t="s">
        <v>169</v>
      </c>
      <c r="SWY29" s="3" t="s">
        <v>168</v>
      </c>
      <c r="SWZ29" s="3" t="s">
        <v>169</v>
      </c>
      <c r="SXA29" s="3" t="s">
        <v>168</v>
      </c>
      <c r="SXB29" s="3" t="s">
        <v>169</v>
      </c>
      <c r="SXC29" s="3" t="s">
        <v>168</v>
      </c>
      <c r="SXD29" s="3" t="s">
        <v>169</v>
      </c>
      <c r="SXE29" s="3" t="s">
        <v>168</v>
      </c>
      <c r="SXF29" s="3" t="s">
        <v>169</v>
      </c>
      <c r="SXG29" s="3" t="s">
        <v>168</v>
      </c>
      <c r="SXH29" s="3" t="s">
        <v>169</v>
      </c>
      <c r="SXI29" s="3" t="s">
        <v>168</v>
      </c>
      <c r="SXJ29" s="3" t="s">
        <v>169</v>
      </c>
      <c r="SXK29" s="3" t="s">
        <v>168</v>
      </c>
      <c r="SXL29" s="3" t="s">
        <v>169</v>
      </c>
      <c r="SXM29" s="3" t="s">
        <v>168</v>
      </c>
      <c r="SXN29" s="3" t="s">
        <v>169</v>
      </c>
      <c r="SXO29" s="3" t="s">
        <v>168</v>
      </c>
      <c r="SXP29" s="3" t="s">
        <v>169</v>
      </c>
      <c r="SXQ29" s="3" t="s">
        <v>168</v>
      </c>
      <c r="SXR29" s="3" t="s">
        <v>169</v>
      </c>
      <c r="SXS29" s="3" t="s">
        <v>168</v>
      </c>
      <c r="SXT29" s="3" t="s">
        <v>169</v>
      </c>
      <c r="SXU29" s="3" t="s">
        <v>168</v>
      </c>
      <c r="SXV29" s="3" t="s">
        <v>169</v>
      </c>
      <c r="SXW29" s="3" t="s">
        <v>168</v>
      </c>
      <c r="SXX29" s="3" t="s">
        <v>169</v>
      </c>
      <c r="SXY29" s="3" t="s">
        <v>168</v>
      </c>
      <c r="SXZ29" s="3" t="s">
        <v>169</v>
      </c>
      <c r="SYA29" s="3" t="s">
        <v>168</v>
      </c>
      <c r="SYB29" s="3" t="s">
        <v>169</v>
      </c>
      <c r="SYC29" s="3" t="s">
        <v>168</v>
      </c>
      <c r="SYD29" s="3" t="s">
        <v>169</v>
      </c>
      <c r="SYE29" s="3" t="s">
        <v>168</v>
      </c>
      <c r="SYF29" s="3" t="s">
        <v>169</v>
      </c>
      <c r="SYG29" s="3" t="s">
        <v>168</v>
      </c>
      <c r="SYH29" s="3" t="s">
        <v>169</v>
      </c>
      <c r="SYI29" s="3" t="s">
        <v>168</v>
      </c>
      <c r="SYJ29" s="3" t="s">
        <v>169</v>
      </c>
      <c r="SYK29" s="3" t="s">
        <v>168</v>
      </c>
      <c r="SYL29" s="3" t="s">
        <v>169</v>
      </c>
      <c r="SYM29" s="3" t="s">
        <v>168</v>
      </c>
      <c r="SYN29" s="3" t="s">
        <v>169</v>
      </c>
      <c r="SYO29" s="3" t="s">
        <v>168</v>
      </c>
      <c r="SYP29" s="3" t="s">
        <v>169</v>
      </c>
      <c r="SYQ29" s="3" t="s">
        <v>168</v>
      </c>
      <c r="SYR29" s="3" t="s">
        <v>169</v>
      </c>
      <c r="SYS29" s="3" t="s">
        <v>168</v>
      </c>
      <c r="SYT29" s="3" t="s">
        <v>169</v>
      </c>
      <c r="SYU29" s="3" t="s">
        <v>168</v>
      </c>
      <c r="SYV29" s="3" t="s">
        <v>169</v>
      </c>
      <c r="SYW29" s="3" t="s">
        <v>168</v>
      </c>
      <c r="SYX29" s="3" t="s">
        <v>169</v>
      </c>
      <c r="SYY29" s="3" t="s">
        <v>168</v>
      </c>
      <c r="SYZ29" s="3" t="s">
        <v>169</v>
      </c>
      <c r="SZA29" s="3" t="s">
        <v>168</v>
      </c>
      <c r="SZB29" s="3" t="s">
        <v>169</v>
      </c>
      <c r="SZC29" s="3" t="s">
        <v>168</v>
      </c>
      <c r="SZD29" s="3" t="s">
        <v>169</v>
      </c>
      <c r="SZE29" s="3" t="s">
        <v>168</v>
      </c>
      <c r="SZF29" s="3" t="s">
        <v>169</v>
      </c>
      <c r="SZG29" s="3" t="s">
        <v>168</v>
      </c>
      <c r="SZH29" s="3" t="s">
        <v>169</v>
      </c>
      <c r="SZI29" s="3" t="s">
        <v>168</v>
      </c>
      <c r="SZJ29" s="3" t="s">
        <v>169</v>
      </c>
      <c r="SZK29" s="3" t="s">
        <v>168</v>
      </c>
      <c r="SZL29" s="3" t="s">
        <v>169</v>
      </c>
      <c r="SZM29" s="3" t="s">
        <v>168</v>
      </c>
      <c r="SZN29" s="3" t="s">
        <v>169</v>
      </c>
      <c r="SZO29" s="3" t="s">
        <v>168</v>
      </c>
      <c r="SZP29" s="3" t="s">
        <v>169</v>
      </c>
      <c r="SZQ29" s="3" t="s">
        <v>168</v>
      </c>
      <c r="SZR29" s="3" t="s">
        <v>169</v>
      </c>
      <c r="SZS29" s="3" t="s">
        <v>168</v>
      </c>
      <c r="SZT29" s="3" t="s">
        <v>169</v>
      </c>
      <c r="SZU29" s="3" t="s">
        <v>168</v>
      </c>
      <c r="SZV29" s="3" t="s">
        <v>169</v>
      </c>
      <c r="SZW29" s="3" t="s">
        <v>168</v>
      </c>
      <c r="SZX29" s="3" t="s">
        <v>169</v>
      </c>
      <c r="SZY29" s="3" t="s">
        <v>168</v>
      </c>
      <c r="SZZ29" s="3" t="s">
        <v>169</v>
      </c>
      <c r="TAA29" s="3" t="s">
        <v>168</v>
      </c>
      <c r="TAB29" s="3" t="s">
        <v>169</v>
      </c>
      <c r="TAC29" s="3" t="s">
        <v>168</v>
      </c>
      <c r="TAD29" s="3" t="s">
        <v>169</v>
      </c>
      <c r="TAE29" s="3" t="s">
        <v>168</v>
      </c>
      <c r="TAF29" s="3" t="s">
        <v>169</v>
      </c>
      <c r="TAG29" s="3" t="s">
        <v>168</v>
      </c>
      <c r="TAH29" s="3" t="s">
        <v>169</v>
      </c>
      <c r="TAI29" s="3" t="s">
        <v>168</v>
      </c>
      <c r="TAJ29" s="3" t="s">
        <v>169</v>
      </c>
      <c r="TAK29" s="3" t="s">
        <v>168</v>
      </c>
      <c r="TAL29" s="3" t="s">
        <v>169</v>
      </c>
      <c r="TAM29" s="3" t="s">
        <v>168</v>
      </c>
      <c r="TAN29" s="3" t="s">
        <v>169</v>
      </c>
      <c r="TAO29" s="3" t="s">
        <v>168</v>
      </c>
      <c r="TAP29" s="3" t="s">
        <v>169</v>
      </c>
      <c r="TAQ29" s="3" t="s">
        <v>168</v>
      </c>
      <c r="TAR29" s="3" t="s">
        <v>169</v>
      </c>
      <c r="TAS29" s="3" t="s">
        <v>168</v>
      </c>
      <c r="TAT29" s="3" t="s">
        <v>169</v>
      </c>
      <c r="TAU29" s="3" t="s">
        <v>168</v>
      </c>
      <c r="TAV29" s="3" t="s">
        <v>169</v>
      </c>
      <c r="TAW29" s="3" t="s">
        <v>168</v>
      </c>
      <c r="TAX29" s="3" t="s">
        <v>169</v>
      </c>
      <c r="TAY29" s="3" t="s">
        <v>168</v>
      </c>
      <c r="TAZ29" s="3" t="s">
        <v>169</v>
      </c>
      <c r="TBA29" s="3" t="s">
        <v>168</v>
      </c>
      <c r="TBB29" s="3" t="s">
        <v>169</v>
      </c>
      <c r="TBC29" s="3" t="s">
        <v>168</v>
      </c>
      <c r="TBD29" s="3" t="s">
        <v>169</v>
      </c>
      <c r="TBE29" s="3" t="s">
        <v>168</v>
      </c>
      <c r="TBF29" s="3" t="s">
        <v>169</v>
      </c>
      <c r="TBG29" s="3" t="s">
        <v>168</v>
      </c>
      <c r="TBH29" s="3" t="s">
        <v>169</v>
      </c>
      <c r="TBI29" s="3" t="s">
        <v>168</v>
      </c>
      <c r="TBJ29" s="3" t="s">
        <v>169</v>
      </c>
      <c r="TBK29" s="3" t="s">
        <v>168</v>
      </c>
      <c r="TBL29" s="3" t="s">
        <v>169</v>
      </c>
      <c r="TBM29" s="3" t="s">
        <v>168</v>
      </c>
      <c r="TBN29" s="3" t="s">
        <v>169</v>
      </c>
      <c r="TBO29" s="3" t="s">
        <v>168</v>
      </c>
      <c r="TBP29" s="3" t="s">
        <v>169</v>
      </c>
      <c r="TBQ29" s="3" t="s">
        <v>168</v>
      </c>
      <c r="TBR29" s="3" t="s">
        <v>169</v>
      </c>
      <c r="TBS29" s="3" t="s">
        <v>168</v>
      </c>
      <c r="TBT29" s="3" t="s">
        <v>169</v>
      </c>
      <c r="TBU29" s="3" t="s">
        <v>168</v>
      </c>
      <c r="TBV29" s="3" t="s">
        <v>169</v>
      </c>
      <c r="TBW29" s="3" t="s">
        <v>168</v>
      </c>
      <c r="TBX29" s="3" t="s">
        <v>169</v>
      </c>
      <c r="TBY29" s="3" t="s">
        <v>168</v>
      </c>
      <c r="TBZ29" s="3" t="s">
        <v>169</v>
      </c>
      <c r="TCA29" s="3" t="s">
        <v>168</v>
      </c>
      <c r="TCB29" s="3" t="s">
        <v>169</v>
      </c>
      <c r="TCC29" s="3" t="s">
        <v>168</v>
      </c>
      <c r="TCD29" s="3" t="s">
        <v>169</v>
      </c>
      <c r="TCE29" s="3" t="s">
        <v>168</v>
      </c>
      <c r="TCF29" s="3" t="s">
        <v>169</v>
      </c>
      <c r="TCG29" s="3" t="s">
        <v>168</v>
      </c>
      <c r="TCH29" s="3" t="s">
        <v>169</v>
      </c>
      <c r="TCI29" s="3" t="s">
        <v>168</v>
      </c>
      <c r="TCJ29" s="3" t="s">
        <v>169</v>
      </c>
      <c r="TCK29" s="3" t="s">
        <v>168</v>
      </c>
      <c r="TCL29" s="3" t="s">
        <v>169</v>
      </c>
      <c r="TCM29" s="3" t="s">
        <v>168</v>
      </c>
      <c r="TCN29" s="3" t="s">
        <v>169</v>
      </c>
      <c r="TCO29" s="3" t="s">
        <v>168</v>
      </c>
      <c r="TCP29" s="3" t="s">
        <v>169</v>
      </c>
      <c r="TCQ29" s="3" t="s">
        <v>168</v>
      </c>
      <c r="TCR29" s="3" t="s">
        <v>169</v>
      </c>
      <c r="TCS29" s="3" t="s">
        <v>168</v>
      </c>
      <c r="TCT29" s="3" t="s">
        <v>169</v>
      </c>
      <c r="TCU29" s="3" t="s">
        <v>168</v>
      </c>
      <c r="TCV29" s="3" t="s">
        <v>169</v>
      </c>
      <c r="TCW29" s="3" t="s">
        <v>168</v>
      </c>
      <c r="TCX29" s="3" t="s">
        <v>169</v>
      </c>
      <c r="TCY29" s="3" t="s">
        <v>168</v>
      </c>
      <c r="TCZ29" s="3" t="s">
        <v>169</v>
      </c>
      <c r="TDA29" s="3" t="s">
        <v>168</v>
      </c>
      <c r="TDB29" s="3" t="s">
        <v>169</v>
      </c>
      <c r="TDC29" s="3" t="s">
        <v>168</v>
      </c>
      <c r="TDD29" s="3" t="s">
        <v>169</v>
      </c>
      <c r="TDE29" s="3" t="s">
        <v>168</v>
      </c>
      <c r="TDF29" s="3" t="s">
        <v>169</v>
      </c>
      <c r="TDG29" s="3" t="s">
        <v>168</v>
      </c>
      <c r="TDH29" s="3" t="s">
        <v>169</v>
      </c>
      <c r="TDI29" s="3" t="s">
        <v>168</v>
      </c>
      <c r="TDJ29" s="3" t="s">
        <v>169</v>
      </c>
      <c r="TDK29" s="3" t="s">
        <v>168</v>
      </c>
      <c r="TDL29" s="3" t="s">
        <v>169</v>
      </c>
      <c r="TDM29" s="3" t="s">
        <v>168</v>
      </c>
      <c r="TDN29" s="3" t="s">
        <v>169</v>
      </c>
      <c r="TDO29" s="3" t="s">
        <v>168</v>
      </c>
      <c r="TDP29" s="3" t="s">
        <v>169</v>
      </c>
      <c r="TDQ29" s="3" t="s">
        <v>168</v>
      </c>
      <c r="TDR29" s="3" t="s">
        <v>169</v>
      </c>
      <c r="TDS29" s="3" t="s">
        <v>168</v>
      </c>
      <c r="TDT29" s="3" t="s">
        <v>169</v>
      </c>
      <c r="TDU29" s="3" t="s">
        <v>168</v>
      </c>
      <c r="TDV29" s="3" t="s">
        <v>169</v>
      </c>
      <c r="TDW29" s="3" t="s">
        <v>168</v>
      </c>
      <c r="TDX29" s="3" t="s">
        <v>169</v>
      </c>
      <c r="TDY29" s="3" t="s">
        <v>168</v>
      </c>
      <c r="TDZ29" s="3" t="s">
        <v>169</v>
      </c>
      <c r="TEA29" s="3" t="s">
        <v>168</v>
      </c>
      <c r="TEB29" s="3" t="s">
        <v>169</v>
      </c>
      <c r="TEC29" s="3" t="s">
        <v>168</v>
      </c>
      <c r="TED29" s="3" t="s">
        <v>169</v>
      </c>
      <c r="TEE29" s="3" t="s">
        <v>168</v>
      </c>
      <c r="TEF29" s="3" t="s">
        <v>169</v>
      </c>
      <c r="TEG29" s="3" t="s">
        <v>168</v>
      </c>
      <c r="TEH29" s="3" t="s">
        <v>169</v>
      </c>
      <c r="TEI29" s="3" t="s">
        <v>168</v>
      </c>
      <c r="TEJ29" s="3" t="s">
        <v>169</v>
      </c>
      <c r="TEK29" s="3" t="s">
        <v>168</v>
      </c>
      <c r="TEL29" s="3" t="s">
        <v>169</v>
      </c>
      <c r="TEM29" s="3" t="s">
        <v>168</v>
      </c>
      <c r="TEN29" s="3" t="s">
        <v>169</v>
      </c>
      <c r="TEO29" s="3" t="s">
        <v>168</v>
      </c>
      <c r="TEP29" s="3" t="s">
        <v>169</v>
      </c>
      <c r="TEQ29" s="3" t="s">
        <v>168</v>
      </c>
      <c r="TER29" s="3" t="s">
        <v>169</v>
      </c>
      <c r="TES29" s="3" t="s">
        <v>168</v>
      </c>
      <c r="TET29" s="3" t="s">
        <v>169</v>
      </c>
      <c r="TEU29" s="3" t="s">
        <v>168</v>
      </c>
      <c r="TEV29" s="3" t="s">
        <v>169</v>
      </c>
      <c r="TEW29" s="3" t="s">
        <v>168</v>
      </c>
      <c r="TEX29" s="3" t="s">
        <v>169</v>
      </c>
      <c r="TEY29" s="3" t="s">
        <v>168</v>
      </c>
      <c r="TEZ29" s="3" t="s">
        <v>169</v>
      </c>
      <c r="TFA29" s="3" t="s">
        <v>168</v>
      </c>
      <c r="TFB29" s="3" t="s">
        <v>169</v>
      </c>
      <c r="TFC29" s="3" t="s">
        <v>168</v>
      </c>
      <c r="TFD29" s="3" t="s">
        <v>169</v>
      </c>
      <c r="TFE29" s="3" t="s">
        <v>168</v>
      </c>
      <c r="TFF29" s="3" t="s">
        <v>169</v>
      </c>
      <c r="TFG29" s="3" t="s">
        <v>168</v>
      </c>
      <c r="TFH29" s="3" t="s">
        <v>169</v>
      </c>
      <c r="TFI29" s="3" t="s">
        <v>168</v>
      </c>
      <c r="TFJ29" s="3" t="s">
        <v>169</v>
      </c>
      <c r="TFK29" s="3" t="s">
        <v>168</v>
      </c>
      <c r="TFL29" s="3" t="s">
        <v>169</v>
      </c>
      <c r="TFM29" s="3" t="s">
        <v>168</v>
      </c>
      <c r="TFN29" s="3" t="s">
        <v>169</v>
      </c>
      <c r="TFO29" s="3" t="s">
        <v>168</v>
      </c>
      <c r="TFP29" s="3" t="s">
        <v>169</v>
      </c>
      <c r="TFQ29" s="3" t="s">
        <v>168</v>
      </c>
      <c r="TFR29" s="3" t="s">
        <v>169</v>
      </c>
      <c r="TFS29" s="3" t="s">
        <v>168</v>
      </c>
      <c r="TFT29" s="3" t="s">
        <v>169</v>
      </c>
      <c r="TFU29" s="3" t="s">
        <v>168</v>
      </c>
      <c r="TFV29" s="3" t="s">
        <v>169</v>
      </c>
      <c r="TFW29" s="3" t="s">
        <v>168</v>
      </c>
      <c r="TFX29" s="3" t="s">
        <v>169</v>
      </c>
      <c r="TFY29" s="3" t="s">
        <v>168</v>
      </c>
      <c r="TFZ29" s="3" t="s">
        <v>169</v>
      </c>
      <c r="TGA29" s="3" t="s">
        <v>168</v>
      </c>
      <c r="TGB29" s="3" t="s">
        <v>169</v>
      </c>
      <c r="TGC29" s="3" t="s">
        <v>168</v>
      </c>
      <c r="TGD29" s="3" t="s">
        <v>169</v>
      </c>
      <c r="TGE29" s="3" t="s">
        <v>168</v>
      </c>
      <c r="TGF29" s="3" t="s">
        <v>169</v>
      </c>
      <c r="TGG29" s="3" t="s">
        <v>168</v>
      </c>
      <c r="TGH29" s="3" t="s">
        <v>169</v>
      </c>
      <c r="TGI29" s="3" t="s">
        <v>168</v>
      </c>
      <c r="TGJ29" s="3" t="s">
        <v>169</v>
      </c>
      <c r="TGK29" s="3" t="s">
        <v>168</v>
      </c>
      <c r="TGL29" s="3" t="s">
        <v>169</v>
      </c>
      <c r="TGM29" s="3" t="s">
        <v>168</v>
      </c>
      <c r="TGN29" s="3" t="s">
        <v>169</v>
      </c>
      <c r="TGO29" s="3" t="s">
        <v>168</v>
      </c>
      <c r="TGP29" s="3" t="s">
        <v>169</v>
      </c>
      <c r="TGQ29" s="3" t="s">
        <v>168</v>
      </c>
      <c r="TGR29" s="3" t="s">
        <v>169</v>
      </c>
      <c r="TGS29" s="3" t="s">
        <v>168</v>
      </c>
      <c r="TGT29" s="3" t="s">
        <v>169</v>
      </c>
      <c r="TGU29" s="3" t="s">
        <v>168</v>
      </c>
      <c r="TGV29" s="3" t="s">
        <v>169</v>
      </c>
      <c r="TGW29" s="3" t="s">
        <v>168</v>
      </c>
      <c r="TGX29" s="3" t="s">
        <v>169</v>
      </c>
      <c r="TGY29" s="3" t="s">
        <v>168</v>
      </c>
      <c r="TGZ29" s="3" t="s">
        <v>169</v>
      </c>
      <c r="THA29" s="3" t="s">
        <v>168</v>
      </c>
      <c r="THB29" s="3" t="s">
        <v>169</v>
      </c>
      <c r="THC29" s="3" t="s">
        <v>168</v>
      </c>
      <c r="THD29" s="3" t="s">
        <v>169</v>
      </c>
      <c r="THE29" s="3" t="s">
        <v>168</v>
      </c>
      <c r="THF29" s="3" t="s">
        <v>169</v>
      </c>
      <c r="THG29" s="3" t="s">
        <v>168</v>
      </c>
      <c r="THH29" s="3" t="s">
        <v>169</v>
      </c>
      <c r="THI29" s="3" t="s">
        <v>168</v>
      </c>
      <c r="THJ29" s="3" t="s">
        <v>169</v>
      </c>
      <c r="THK29" s="3" t="s">
        <v>168</v>
      </c>
      <c r="THL29" s="3" t="s">
        <v>169</v>
      </c>
      <c r="THM29" s="3" t="s">
        <v>168</v>
      </c>
      <c r="THN29" s="3" t="s">
        <v>169</v>
      </c>
      <c r="THO29" s="3" t="s">
        <v>168</v>
      </c>
      <c r="THP29" s="3" t="s">
        <v>169</v>
      </c>
      <c r="THQ29" s="3" t="s">
        <v>168</v>
      </c>
      <c r="THR29" s="3" t="s">
        <v>169</v>
      </c>
      <c r="THS29" s="3" t="s">
        <v>168</v>
      </c>
      <c r="THT29" s="3" t="s">
        <v>169</v>
      </c>
      <c r="THU29" s="3" t="s">
        <v>168</v>
      </c>
      <c r="THV29" s="3" t="s">
        <v>169</v>
      </c>
      <c r="THW29" s="3" t="s">
        <v>168</v>
      </c>
      <c r="THX29" s="3" t="s">
        <v>169</v>
      </c>
      <c r="THY29" s="3" t="s">
        <v>168</v>
      </c>
      <c r="THZ29" s="3" t="s">
        <v>169</v>
      </c>
      <c r="TIA29" s="3" t="s">
        <v>168</v>
      </c>
      <c r="TIB29" s="3" t="s">
        <v>169</v>
      </c>
      <c r="TIC29" s="3" t="s">
        <v>168</v>
      </c>
      <c r="TID29" s="3" t="s">
        <v>169</v>
      </c>
      <c r="TIE29" s="3" t="s">
        <v>168</v>
      </c>
      <c r="TIF29" s="3" t="s">
        <v>169</v>
      </c>
      <c r="TIG29" s="3" t="s">
        <v>168</v>
      </c>
      <c r="TIH29" s="3" t="s">
        <v>169</v>
      </c>
      <c r="TII29" s="3" t="s">
        <v>168</v>
      </c>
      <c r="TIJ29" s="3" t="s">
        <v>169</v>
      </c>
      <c r="TIK29" s="3" t="s">
        <v>168</v>
      </c>
      <c r="TIL29" s="3" t="s">
        <v>169</v>
      </c>
      <c r="TIM29" s="3" t="s">
        <v>168</v>
      </c>
      <c r="TIN29" s="3" t="s">
        <v>169</v>
      </c>
      <c r="TIO29" s="3" t="s">
        <v>168</v>
      </c>
      <c r="TIP29" s="3" t="s">
        <v>169</v>
      </c>
      <c r="TIQ29" s="3" t="s">
        <v>168</v>
      </c>
      <c r="TIR29" s="3" t="s">
        <v>169</v>
      </c>
      <c r="TIS29" s="3" t="s">
        <v>168</v>
      </c>
      <c r="TIT29" s="3" t="s">
        <v>169</v>
      </c>
      <c r="TIU29" s="3" t="s">
        <v>168</v>
      </c>
      <c r="TIV29" s="3" t="s">
        <v>169</v>
      </c>
      <c r="TIW29" s="3" t="s">
        <v>168</v>
      </c>
      <c r="TIX29" s="3" t="s">
        <v>169</v>
      </c>
      <c r="TIY29" s="3" t="s">
        <v>168</v>
      </c>
      <c r="TIZ29" s="3" t="s">
        <v>169</v>
      </c>
      <c r="TJA29" s="3" t="s">
        <v>168</v>
      </c>
      <c r="TJB29" s="3" t="s">
        <v>169</v>
      </c>
      <c r="TJC29" s="3" t="s">
        <v>168</v>
      </c>
      <c r="TJD29" s="3" t="s">
        <v>169</v>
      </c>
      <c r="TJE29" s="3" t="s">
        <v>168</v>
      </c>
      <c r="TJF29" s="3" t="s">
        <v>169</v>
      </c>
      <c r="TJG29" s="3" t="s">
        <v>168</v>
      </c>
      <c r="TJH29" s="3" t="s">
        <v>169</v>
      </c>
      <c r="TJI29" s="3" t="s">
        <v>168</v>
      </c>
      <c r="TJJ29" s="3" t="s">
        <v>169</v>
      </c>
      <c r="TJK29" s="3" t="s">
        <v>168</v>
      </c>
      <c r="TJL29" s="3" t="s">
        <v>169</v>
      </c>
      <c r="TJM29" s="3" t="s">
        <v>168</v>
      </c>
      <c r="TJN29" s="3" t="s">
        <v>169</v>
      </c>
      <c r="TJO29" s="3" t="s">
        <v>168</v>
      </c>
      <c r="TJP29" s="3" t="s">
        <v>169</v>
      </c>
      <c r="TJQ29" s="3" t="s">
        <v>168</v>
      </c>
      <c r="TJR29" s="3" t="s">
        <v>169</v>
      </c>
      <c r="TJS29" s="3" t="s">
        <v>168</v>
      </c>
      <c r="TJT29" s="3" t="s">
        <v>169</v>
      </c>
      <c r="TJU29" s="3" t="s">
        <v>168</v>
      </c>
      <c r="TJV29" s="3" t="s">
        <v>169</v>
      </c>
      <c r="TJW29" s="3" t="s">
        <v>168</v>
      </c>
      <c r="TJX29" s="3" t="s">
        <v>169</v>
      </c>
      <c r="TJY29" s="3" t="s">
        <v>168</v>
      </c>
      <c r="TJZ29" s="3" t="s">
        <v>169</v>
      </c>
      <c r="TKA29" s="3" t="s">
        <v>168</v>
      </c>
      <c r="TKB29" s="3" t="s">
        <v>169</v>
      </c>
      <c r="TKC29" s="3" t="s">
        <v>168</v>
      </c>
      <c r="TKD29" s="3" t="s">
        <v>169</v>
      </c>
      <c r="TKE29" s="3" t="s">
        <v>168</v>
      </c>
      <c r="TKF29" s="3" t="s">
        <v>169</v>
      </c>
      <c r="TKG29" s="3" t="s">
        <v>168</v>
      </c>
      <c r="TKH29" s="3" t="s">
        <v>169</v>
      </c>
      <c r="TKI29" s="3" t="s">
        <v>168</v>
      </c>
      <c r="TKJ29" s="3" t="s">
        <v>169</v>
      </c>
      <c r="TKK29" s="3" t="s">
        <v>168</v>
      </c>
      <c r="TKL29" s="3" t="s">
        <v>169</v>
      </c>
      <c r="TKM29" s="3" t="s">
        <v>168</v>
      </c>
      <c r="TKN29" s="3" t="s">
        <v>169</v>
      </c>
      <c r="TKO29" s="3" t="s">
        <v>168</v>
      </c>
      <c r="TKP29" s="3" t="s">
        <v>169</v>
      </c>
      <c r="TKQ29" s="3" t="s">
        <v>168</v>
      </c>
      <c r="TKR29" s="3" t="s">
        <v>169</v>
      </c>
      <c r="TKS29" s="3" t="s">
        <v>168</v>
      </c>
      <c r="TKT29" s="3" t="s">
        <v>169</v>
      </c>
      <c r="TKU29" s="3" t="s">
        <v>168</v>
      </c>
      <c r="TKV29" s="3" t="s">
        <v>169</v>
      </c>
      <c r="TKW29" s="3" t="s">
        <v>168</v>
      </c>
      <c r="TKX29" s="3" t="s">
        <v>169</v>
      </c>
      <c r="TKY29" s="3" t="s">
        <v>168</v>
      </c>
      <c r="TKZ29" s="3" t="s">
        <v>169</v>
      </c>
      <c r="TLA29" s="3" t="s">
        <v>168</v>
      </c>
      <c r="TLB29" s="3" t="s">
        <v>169</v>
      </c>
      <c r="TLC29" s="3" t="s">
        <v>168</v>
      </c>
      <c r="TLD29" s="3" t="s">
        <v>169</v>
      </c>
      <c r="TLE29" s="3" t="s">
        <v>168</v>
      </c>
      <c r="TLF29" s="3" t="s">
        <v>169</v>
      </c>
      <c r="TLG29" s="3" t="s">
        <v>168</v>
      </c>
      <c r="TLH29" s="3" t="s">
        <v>169</v>
      </c>
      <c r="TLI29" s="3" t="s">
        <v>168</v>
      </c>
      <c r="TLJ29" s="3" t="s">
        <v>169</v>
      </c>
      <c r="TLK29" s="3" t="s">
        <v>168</v>
      </c>
      <c r="TLL29" s="3" t="s">
        <v>169</v>
      </c>
      <c r="TLM29" s="3" t="s">
        <v>168</v>
      </c>
      <c r="TLN29" s="3" t="s">
        <v>169</v>
      </c>
      <c r="TLO29" s="3" t="s">
        <v>168</v>
      </c>
      <c r="TLP29" s="3" t="s">
        <v>169</v>
      </c>
      <c r="TLQ29" s="3" t="s">
        <v>168</v>
      </c>
      <c r="TLR29" s="3" t="s">
        <v>169</v>
      </c>
      <c r="TLS29" s="3" t="s">
        <v>168</v>
      </c>
      <c r="TLT29" s="3" t="s">
        <v>169</v>
      </c>
      <c r="TLU29" s="3" t="s">
        <v>168</v>
      </c>
      <c r="TLV29" s="3" t="s">
        <v>169</v>
      </c>
      <c r="TLW29" s="3" t="s">
        <v>168</v>
      </c>
      <c r="TLX29" s="3" t="s">
        <v>169</v>
      </c>
      <c r="TLY29" s="3" t="s">
        <v>168</v>
      </c>
      <c r="TLZ29" s="3" t="s">
        <v>169</v>
      </c>
      <c r="TMA29" s="3" t="s">
        <v>168</v>
      </c>
      <c r="TMB29" s="3" t="s">
        <v>169</v>
      </c>
      <c r="TMC29" s="3" t="s">
        <v>168</v>
      </c>
      <c r="TMD29" s="3" t="s">
        <v>169</v>
      </c>
      <c r="TME29" s="3" t="s">
        <v>168</v>
      </c>
      <c r="TMF29" s="3" t="s">
        <v>169</v>
      </c>
      <c r="TMG29" s="3" t="s">
        <v>168</v>
      </c>
      <c r="TMH29" s="3" t="s">
        <v>169</v>
      </c>
      <c r="TMI29" s="3" t="s">
        <v>168</v>
      </c>
      <c r="TMJ29" s="3" t="s">
        <v>169</v>
      </c>
      <c r="TMK29" s="3" t="s">
        <v>168</v>
      </c>
      <c r="TML29" s="3" t="s">
        <v>169</v>
      </c>
      <c r="TMM29" s="3" t="s">
        <v>168</v>
      </c>
      <c r="TMN29" s="3" t="s">
        <v>169</v>
      </c>
      <c r="TMO29" s="3" t="s">
        <v>168</v>
      </c>
      <c r="TMP29" s="3" t="s">
        <v>169</v>
      </c>
      <c r="TMQ29" s="3" t="s">
        <v>168</v>
      </c>
      <c r="TMR29" s="3" t="s">
        <v>169</v>
      </c>
      <c r="TMS29" s="3" t="s">
        <v>168</v>
      </c>
      <c r="TMT29" s="3" t="s">
        <v>169</v>
      </c>
      <c r="TMU29" s="3" t="s">
        <v>168</v>
      </c>
      <c r="TMV29" s="3" t="s">
        <v>169</v>
      </c>
      <c r="TMW29" s="3" t="s">
        <v>168</v>
      </c>
      <c r="TMX29" s="3" t="s">
        <v>169</v>
      </c>
      <c r="TMY29" s="3" t="s">
        <v>168</v>
      </c>
      <c r="TMZ29" s="3" t="s">
        <v>169</v>
      </c>
      <c r="TNA29" s="3" t="s">
        <v>168</v>
      </c>
      <c r="TNB29" s="3" t="s">
        <v>169</v>
      </c>
      <c r="TNC29" s="3" t="s">
        <v>168</v>
      </c>
      <c r="TND29" s="3" t="s">
        <v>169</v>
      </c>
      <c r="TNE29" s="3" t="s">
        <v>168</v>
      </c>
      <c r="TNF29" s="3" t="s">
        <v>169</v>
      </c>
      <c r="TNG29" s="3" t="s">
        <v>168</v>
      </c>
      <c r="TNH29" s="3" t="s">
        <v>169</v>
      </c>
      <c r="TNI29" s="3" t="s">
        <v>168</v>
      </c>
      <c r="TNJ29" s="3" t="s">
        <v>169</v>
      </c>
      <c r="TNK29" s="3" t="s">
        <v>168</v>
      </c>
      <c r="TNL29" s="3" t="s">
        <v>169</v>
      </c>
      <c r="TNM29" s="3" t="s">
        <v>168</v>
      </c>
      <c r="TNN29" s="3" t="s">
        <v>169</v>
      </c>
      <c r="TNO29" s="3" t="s">
        <v>168</v>
      </c>
      <c r="TNP29" s="3" t="s">
        <v>169</v>
      </c>
      <c r="TNQ29" s="3" t="s">
        <v>168</v>
      </c>
      <c r="TNR29" s="3" t="s">
        <v>169</v>
      </c>
      <c r="TNS29" s="3" t="s">
        <v>168</v>
      </c>
      <c r="TNT29" s="3" t="s">
        <v>169</v>
      </c>
      <c r="TNU29" s="3" t="s">
        <v>168</v>
      </c>
      <c r="TNV29" s="3" t="s">
        <v>169</v>
      </c>
      <c r="TNW29" s="3" t="s">
        <v>168</v>
      </c>
      <c r="TNX29" s="3" t="s">
        <v>169</v>
      </c>
      <c r="TNY29" s="3" t="s">
        <v>168</v>
      </c>
      <c r="TNZ29" s="3" t="s">
        <v>169</v>
      </c>
      <c r="TOA29" s="3" t="s">
        <v>168</v>
      </c>
      <c r="TOB29" s="3" t="s">
        <v>169</v>
      </c>
      <c r="TOC29" s="3" t="s">
        <v>168</v>
      </c>
      <c r="TOD29" s="3" t="s">
        <v>169</v>
      </c>
      <c r="TOE29" s="3" t="s">
        <v>168</v>
      </c>
      <c r="TOF29" s="3" t="s">
        <v>169</v>
      </c>
      <c r="TOG29" s="3" t="s">
        <v>168</v>
      </c>
      <c r="TOH29" s="3" t="s">
        <v>169</v>
      </c>
      <c r="TOI29" s="3" t="s">
        <v>168</v>
      </c>
      <c r="TOJ29" s="3" t="s">
        <v>169</v>
      </c>
      <c r="TOK29" s="3" t="s">
        <v>168</v>
      </c>
      <c r="TOL29" s="3" t="s">
        <v>169</v>
      </c>
      <c r="TOM29" s="3" t="s">
        <v>168</v>
      </c>
      <c r="TON29" s="3" t="s">
        <v>169</v>
      </c>
      <c r="TOO29" s="3" t="s">
        <v>168</v>
      </c>
      <c r="TOP29" s="3" t="s">
        <v>169</v>
      </c>
      <c r="TOQ29" s="3" t="s">
        <v>168</v>
      </c>
      <c r="TOR29" s="3" t="s">
        <v>169</v>
      </c>
      <c r="TOS29" s="3" t="s">
        <v>168</v>
      </c>
      <c r="TOT29" s="3" t="s">
        <v>169</v>
      </c>
      <c r="TOU29" s="3" t="s">
        <v>168</v>
      </c>
      <c r="TOV29" s="3" t="s">
        <v>169</v>
      </c>
      <c r="TOW29" s="3" t="s">
        <v>168</v>
      </c>
      <c r="TOX29" s="3" t="s">
        <v>169</v>
      </c>
      <c r="TOY29" s="3" t="s">
        <v>168</v>
      </c>
      <c r="TOZ29" s="3" t="s">
        <v>169</v>
      </c>
      <c r="TPA29" s="3" t="s">
        <v>168</v>
      </c>
      <c r="TPB29" s="3" t="s">
        <v>169</v>
      </c>
      <c r="TPC29" s="3" t="s">
        <v>168</v>
      </c>
      <c r="TPD29" s="3" t="s">
        <v>169</v>
      </c>
      <c r="TPE29" s="3" t="s">
        <v>168</v>
      </c>
      <c r="TPF29" s="3" t="s">
        <v>169</v>
      </c>
      <c r="TPG29" s="3" t="s">
        <v>168</v>
      </c>
      <c r="TPH29" s="3" t="s">
        <v>169</v>
      </c>
      <c r="TPI29" s="3" t="s">
        <v>168</v>
      </c>
      <c r="TPJ29" s="3" t="s">
        <v>169</v>
      </c>
      <c r="TPK29" s="3" t="s">
        <v>168</v>
      </c>
      <c r="TPL29" s="3" t="s">
        <v>169</v>
      </c>
      <c r="TPM29" s="3" t="s">
        <v>168</v>
      </c>
      <c r="TPN29" s="3" t="s">
        <v>169</v>
      </c>
      <c r="TPO29" s="3" t="s">
        <v>168</v>
      </c>
      <c r="TPP29" s="3" t="s">
        <v>169</v>
      </c>
      <c r="TPQ29" s="3" t="s">
        <v>168</v>
      </c>
      <c r="TPR29" s="3" t="s">
        <v>169</v>
      </c>
      <c r="TPS29" s="3" t="s">
        <v>168</v>
      </c>
      <c r="TPT29" s="3" t="s">
        <v>169</v>
      </c>
      <c r="TPU29" s="3" t="s">
        <v>168</v>
      </c>
      <c r="TPV29" s="3" t="s">
        <v>169</v>
      </c>
      <c r="TPW29" s="3" t="s">
        <v>168</v>
      </c>
      <c r="TPX29" s="3" t="s">
        <v>169</v>
      </c>
      <c r="TPY29" s="3" t="s">
        <v>168</v>
      </c>
      <c r="TPZ29" s="3" t="s">
        <v>169</v>
      </c>
      <c r="TQA29" s="3" t="s">
        <v>168</v>
      </c>
      <c r="TQB29" s="3" t="s">
        <v>169</v>
      </c>
      <c r="TQC29" s="3" t="s">
        <v>168</v>
      </c>
      <c r="TQD29" s="3" t="s">
        <v>169</v>
      </c>
      <c r="TQE29" s="3" t="s">
        <v>168</v>
      </c>
      <c r="TQF29" s="3" t="s">
        <v>169</v>
      </c>
      <c r="TQG29" s="3" t="s">
        <v>168</v>
      </c>
      <c r="TQH29" s="3" t="s">
        <v>169</v>
      </c>
      <c r="TQI29" s="3" t="s">
        <v>168</v>
      </c>
      <c r="TQJ29" s="3" t="s">
        <v>169</v>
      </c>
      <c r="TQK29" s="3" t="s">
        <v>168</v>
      </c>
      <c r="TQL29" s="3" t="s">
        <v>169</v>
      </c>
      <c r="TQM29" s="3" t="s">
        <v>168</v>
      </c>
      <c r="TQN29" s="3" t="s">
        <v>169</v>
      </c>
      <c r="TQO29" s="3" t="s">
        <v>168</v>
      </c>
      <c r="TQP29" s="3" t="s">
        <v>169</v>
      </c>
      <c r="TQQ29" s="3" t="s">
        <v>168</v>
      </c>
      <c r="TQR29" s="3" t="s">
        <v>169</v>
      </c>
      <c r="TQS29" s="3" t="s">
        <v>168</v>
      </c>
      <c r="TQT29" s="3" t="s">
        <v>169</v>
      </c>
      <c r="TQU29" s="3" t="s">
        <v>168</v>
      </c>
      <c r="TQV29" s="3" t="s">
        <v>169</v>
      </c>
      <c r="TQW29" s="3" t="s">
        <v>168</v>
      </c>
      <c r="TQX29" s="3" t="s">
        <v>169</v>
      </c>
      <c r="TQY29" s="3" t="s">
        <v>168</v>
      </c>
      <c r="TQZ29" s="3" t="s">
        <v>169</v>
      </c>
      <c r="TRA29" s="3" t="s">
        <v>168</v>
      </c>
      <c r="TRB29" s="3" t="s">
        <v>169</v>
      </c>
      <c r="TRC29" s="3" t="s">
        <v>168</v>
      </c>
      <c r="TRD29" s="3" t="s">
        <v>169</v>
      </c>
      <c r="TRE29" s="3" t="s">
        <v>168</v>
      </c>
      <c r="TRF29" s="3" t="s">
        <v>169</v>
      </c>
      <c r="TRG29" s="3" t="s">
        <v>168</v>
      </c>
      <c r="TRH29" s="3" t="s">
        <v>169</v>
      </c>
      <c r="TRI29" s="3" t="s">
        <v>168</v>
      </c>
      <c r="TRJ29" s="3" t="s">
        <v>169</v>
      </c>
      <c r="TRK29" s="3" t="s">
        <v>168</v>
      </c>
      <c r="TRL29" s="3" t="s">
        <v>169</v>
      </c>
      <c r="TRM29" s="3" t="s">
        <v>168</v>
      </c>
      <c r="TRN29" s="3" t="s">
        <v>169</v>
      </c>
      <c r="TRO29" s="3" t="s">
        <v>168</v>
      </c>
      <c r="TRP29" s="3" t="s">
        <v>169</v>
      </c>
      <c r="TRQ29" s="3" t="s">
        <v>168</v>
      </c>
      <c r="TRR29" s="3" t="s">
        <v>169</v>
      </c>
      <c r="TRS29" s="3" t="s">
        <v>168</v>
      </c>
      <c r="TRT29" s="3" t="s">
        <v>169</v>
      </c>
      <c r="TRU29" s="3" t="s">
        <v>168</v>
      </c>
      <c r="TRV29" s="3" t="s">
        <v>169</v>
      </c>
      <c r="TRW29" s="3" t="s">
        <v>168</v>
      </c>
      <c r="TRX29" s="3" t="s">
        <v>169</v>
      </c>
      <c r="TRY29" s="3" t="s">
        <v>168</v>
      </c>
      <c r="TRZ29" s="3" t="s">
        <v>169</v>
      </c>
      <c r="TSA29" s="3" t="s">
        <v>168</v>
      </c>
      <c r="TSB29" s="3" t="s">
        <v>169</v>
      </c>
      <c r="TSC29" s="3" t="s">
        <v>168</v>
      </c>
      <c r="TSD29" s="3" t="s">
        <v>169</v>
      </c>
      <c r="TSE29" s="3" t="s">
        <v>168</v>
      </c>
      <c r="TSF29" s="3" t="s">
        <v>169</v>
      </c>
      <c r="TSG29" s="3" t="s">
        <v>168</v>
      </c>
      <c r="TSH29" s="3" t="s">
        <v>169</v>
      </c>
      <c r="TSI29" s="3" t="s">
        <v>168</v>
      </c>
      <c r="TSJ29" s="3" t="s">
        <v>169</v>
      </c>
      <c r="TSK29" s="3" t="s">
        <v>168</v>
      </c>
      <c r="TSL29" s="3" t="s">
        <v>169</v>
      </c>
      <c r="TSM29" s="3" t="s">
        <v>168</v>
      </c>
      <c r="TSN29" s="3" t="s">
        <v>169</v>
      </c>
      <c r="TSO29" s="3" t="s">
        <v>168</v>
      </c>
      <c r="TSP29" s="3" t="s">
        <v>169</v>
      </c>
      <c r="TSQ29" s="3" t="s">
        <v>168</v>
      </c>
      <c r="TSR29" s="3" t="s">
        <v>169</v>
      </c>
      <c r="TSS29" s="3" t="s">
        <v>168</v>
      </c>
      <c r="TST29" s="3" t="s">
        <v>169</v>
      </c>
      <c r="TSU29" s="3" t="s">
        <v>168</v>
      </c>
      <c r="TSV29" s="3" t="s">
        <v>169</v>
      </c>
      <c r="TSW29" s="3" t="s">
        <v>168</v>
      </c>
      <c r="TSX29" s="3" t="s">
        <v>169</v>
      </c>
      <c r="TSY29" s="3" t="s">
        <v>168</v>
      </c>
      <c r="TSZ29" s="3" t="s">
        <v>169</v>
      </c>
      <c r="TTA29" s="3" t="s">
        <v>168</v>
      </c>
      <c r="TTB29" s="3" t="s">
        <v>169</v>
      </c>
      <c r="TTC29" s="3" t="s">
        <v>168</v>
      </c>
      <c r="TTD29" s="3" t="s">
        <v>169</v>
      </c>
      <c r="TTE29" s="3" t="s">
        <v>168</v>
      </c>
      <c r="TTF29" s="3" t="s">
        <v>169</v>
      </c>
      <c r="TTG29" s="3" t="s">
        <v>168</v>
      </c>
      <c r="TTH29" s="3" t="s">
        <v>169</v>
      </c>
      <c r="TTI29" s="3" t="s">
        <v>168</v>
      </c>
      <c r="TTJ29" s="3" t="s">
        <v>169</v>
      </c>
      <c r="TTK29" s="3" t="s">
        <v>168</v>
      </c>
      <c r="TTL29" s="3" t="s">
        <v>169</v>
      </c>
      <c r="TTM29" s="3" t="s">
        <v>168</v>
      </c>
      <c r="TTN29" s="3" t="s">
        <v>169</v>
      </c>
      <c r="TTO29" s="3" t="s">
        <v>168</v>
      </c>
      <c r="TTP29" s="3" t="s">
        <v>169</v>
      </c>
      <c r="TTQ29" s="3" t="s">
        <v>168</v>
      </c>
      <c r="TTR29" s="3" t="s">
        <v>169</v>
      </c>
      <c r="TTS29" s="3" t="s">
        <v>168</v>
      </c>
      <c r="TTT29" s="3" t="s">
        <v>169</v>
      </c>
      <c r="TTU29" s="3" t="s">
        <v>168</v>
      </c>
      <c r="TTV29" s="3" t="s">
        <v>169</v>
      </c>
      <c r="TTW29" s="3" t="s">
        <v>168</v>
      </c>
      <c r="TTX29" s="3" t="s">
        <v>169</v>
      </c>
      <c r="TTY29" s="3" t="s">
        <v>168</v>
      </c>
      <c r="TTZ29" s="3" t="s">
        <v>169</v>
      </c>
      <c r="TUA29" s="3" t="s">
        <v>168</v>
      </c>
      <c r="TUB29" s="3" t="s">
        <v>169</v>
      </c>
      <c r="TUC29" s="3" t="s">
        <v>168</v>
      </c>
      <c r="TUD29" s="3" t="s">
        <v>169</v>
      </c>
      <c r="TUE29" s="3" t="s">
        <v>168</v>
      </c>
      <c r="TUF29" s="3" t="s">
        <v>169</v>
      </c>
      <c r="TUG29" s="3" t="s">
        <v>168</v>
      </c>
      <c r="TUH29" s="3" t="s">
        <v>169</v>
      </c>
      <c r="TUI29" s="3" t="s">
        <v>168</v>
      </c>
      <c r="TUJ29" s="3" t="s">
        <v>169</v>
      </c>
      <c r="TUK29" s="3" t="s">
        <v>168</v>
      </c>
      <c r="TUL29" s="3" t="s">
        <v>169</v>
      </c>
      <c r="TUM29" s="3" t="s">
        <v>168</v>
      </c>
      <c r="TUN29" s="3" t="s">
        <v>169</v>
      </c>
      <c r="TUO29" s="3" t="s">
        <v>168</v>
      </c>
      <c r="TUP29" s="3" t="s">
        <v>169</v>
      </c>
      <c r="TUQ29" s="3" t="s">
        <v>168</v>
      </c>
      <c r="TUR29" s="3" t="s">
        <v>169</v>
      </c>
      <c r="TUS29" s="3" t="s">
        <v>168</v>
      </c>
      <c r="TUT29" s="3" t="s">
        <v>169</v>
      </c>
      <c r="TUU29" s="3" t="s">
        <v>168</v>
      </c>
      <c r="TUV29" s="3" t="s">
        <v>169</v>
      </c>
      <c r="TUW29" s="3" t="s">
        <v>168</v>
      </c>
      <c r="TUX29" s="3" t="s">
        <v>169</v>
      </c>
      <c r="TUY29" s="3" t="s">
        <v>168</v>
      </c>
      <c r="TUZ29" s="3" t="s">
        <v>169</v>
      </c>
      <c r="TVA29" s="3" t="s">
        <v>168</v>
      </c>
      <c r="TVB29" s="3" t="s">
        <v>169</v>
      </c>
      <c r="TVC29" s="3" t="s">
        <v>168</v>
      </c>
      <c r="TVD29" s="3" t="s">
        <v>169</v>
      </c>
      <c r="TVE29" s="3" t="s">
        <v>168</v>
      </c>
      <c r="TVF29" s="3" t="s">
        <v>169</v>
      </c>
      <c r="TVG29" s="3" t="s">
        <v>168</v>
      </c>
      <c r="TVH29" s="3" t="s">
        <v>169</v>
      </c>
      <c r="TVI29" s="3" t="s">
        <v>168</v>
      </c>
      <c r="TVJ29" s="3" t="s">
        <v>169</v>
      </c>
      <c r="TVK29" s="3" t="s">
        <v>168</v>
      </c>
      <c r="TVL29" s="3" t="s">
        <v>169</v>
      </c>
      <c r="TVM29" s="3" t="s">
        <v>168</v>
      </c>
      <c r="TVN29" s="3" t="s">
        <v>169</v>
      </c>
      <c r="TVO29" s="3" t="s">
        <v>168</v>
      </c>
      <c r="TVP29" s="3" t="s">
        <v>169</v>
      </c>
      <c r="TVQ29" s="3" t="s">
        <v>168</v>
      </c>
      <c r="TVR29" s="3" t="s">
        <v>169</v>
      </c>
      <c r="TVS29" s="3" t="s">
        <v>168</v>
      </c>
      <c r="TVT29" s="3" t="s">
        <v>169</v>
      </c>
      <c r="TVU29" s="3" t="s">
        <v>168</v>
      </c>
      <c r="TVV29" s="3" t="s">
        <v>169</v>
      </c>
      <c r="TVW29" s="3" t="s">
        <v>168</v>
      </c>
      <c r="TVX29" s="3" t="s">
        <v>169</v>
      </c>
      <c r="TVY29" s="3" t="s">
        <v>168</v>
      </c>
      <c r="TVZ29" s="3" t="s">
        <v>169</v>
      </c>
      <c r="TWA29" s="3" t="s">
        <v>168</v>
      </c>
      <c r="TWB29" s="3" t="s">
        <v>169</v>
      </c>
      <c r="TWC29" s="3" t="s">
        <v>168</v>
      </c>
      <c r="TWD29" s="3" t="s">
        <v>169</v>
      </c>
      <c r="TWE29" s="3" t="s">
        <v>168</v>
      </c>
      <c r="TWF29" s="3" t="s">
        <v>169</v>
      </c>
      <c r="TWG29" s="3" t="s">
        <v>168</v>
      </c>
      <c r="TWH29" s="3" t="s">
        <v>169</v>
      </c>
      <c r="TWI29" s="3" t="s">
        <v>168</v>
      </c>
      <c r="TWJ29" s="3" t="s">
        <v>169</v>
      </c>
      <c r="TWK29" s="3" t="s">
        <v>168</v>
      </c>
      <c r="TWL29" s="3" t="s">
        <v>169</v>
      </c>
      <c r="TWM29" s="3" t="s">
        <v>168</v>
      </c>
      <c r="TWN29" s="3" t="s">
        <v>169</v>
      </c>
      <c r="TWO29" s="3" t="s">
        <v>168</v>
      </c>
      <c r="TWP29" s="3" t="s">
        <v>169</v>
      </c>
      <c r="TWQ29" s="3" t="s">
        <v>168</v>
      </c>
      <c r="TWR29" s="3" t="s">
        <v>169</v>
      </c>
      <c r="TWS29" s="3" t="s">
        <v>168</v>
      </c>
      <c r="TWT29" s="3" t="s">
        <v>169</v>
      </c>
      <c r="TWU29" s="3" t="s">
        <v>168</v>
      </c>
      <c r="TWV29" s="3" t="s">
        <v>169</v>
      </c>
      <c r="TWW29" s="3" t="s">
        <v>168</v>
      </c>
      <c r="TWX29" s="3" t="s">
        <v>169</v>
      </c>
      <c r="TWY29" s="3" t="s">
        <v>168</v>
      </c>
      <c r="TWZ29" s="3" t="s">
        <v>169</v>
      </c>
      <c r="TXA29" s="3" t="s">
        <v>168</v>
      </c>
      <c r="TXB29" s="3" t="s">
        <v>169</v>
      </c>
      <c r="TXC29" s="3" t="s">
        <v>168</v>
      </c>
      <c r="TXD29" s="3" t="s">
        <v>169</v>
      </c>
      <c r="TXE29" s="3" t="s">
        <v>168</v>
      </c>
      <c r="TXF29" s="3" t="s">
        <v>169</v>
      </c>
      <c r="TXG29" s="3" t="s">
        <v>168</v>
      </c>
      <c r="TXH29" s="3" t="s">
        <v>169</v>
      </c>
      <c r="TXI29" s="3" t="s">
        <v>168</v>
      </c>
      <c r="TXJ29" s="3" t="s">
        <v>169</v>
      </c>
      <c r="TXK29" s="3" t="s">
        <v>168</v>
      </c>
      <c r="TXL29" s="3" t="s">
        <v>169</v>
      </c>
      <c r="TXM29" s="3" t="s">
        <v>168</v>
      </c>
      <c r="TXN29" s="3" t="s">
        <v>169</v>
      </c>
      <c r="TXO29" s="3" t="s">
        <v>168</v>
      </c>
      <c r="TXP29" s="3" t="s">
        <v>169</v>
      </c>
      <c r="TXQ29" s="3" t="s">
        <v>168</v>
      </c>
      <c r="TXR29" s="3" t="s">
        <v>169</v>
      </c>
      <c r="TXS29" s="3" t="s">
        <v>168</v>
      </c>
      <c r="TXT29" s="3" t="s">
        <v>169</v>
      </c>
      <c r="TXU29" s="3" t="s">
        <v>168</v>
      </c>
      <c r="TXV29" s="3" t="s">
        <v>169</v>
      </c>
      <c r="TXW29" s="3" t="s">
        <v>168</v>
      </c>
      <c r="TXX29" s="3" t="s">
        <v>169</v>
      </c>
      <c r="TXY29" s="3" t="s">
        <v>168</v>
      </c>
      <c r="TXZ29" s="3" t="s">
        <v>169</v>
      </c>
      <c r="TYA29" s="3" t="s">
        <v>168</v>
      </c>
      <c r="TYB29" s="3" t="s">
        <v>169</v>
      </c>
      <c r="TYC29" s="3" t="s">
        <v>168</v>
      </c>
      <c r="TYD29" s="3" t="s">
        <v>169</v>
      </c>
      <c r="TYE29" s="3" t="s">
        <v>168</v>
      </c>
      <c r="TYF29" s="3" t="s">
        <v>169</v>
      </c>
      <c r="TYG29" s="3" t="s">
        <v>168</v>
      </c>
      <c r="TYH29" s="3" t="s">
        <v>169</v>
      </c>
      <c r="TYI29" s="3" t="s">
        <v>168</v>
      </c>
      <c r="TYJ29" s="3" t="s">
        <v>169</v>
      </c>
      <c r="TYK29" s="3" t="s">
        <v>168</v>
      </c>
      <c r="TYL29" s="3" t="s">
        <v>169</v>
      </c>
      <c r="TYM29" s="3" t="s">
        <v>168</v>
      </c>
      <c r="TYN29" s="3" t="s">
        <v>169</v>
      </c>
      <c r="TYO29" s="3" t="s">
        <v>168</v>
      </c>
      <c r="TYP29" s="3" t="s">
        <v>169</v>
      </c>
      <c r="TYQ29" s="3" t="s">
        <v>168</v>
      </c>
      <c r="TYR29" s="3" t="s">
        <v>169</v>
      </c>
      <c r="TYS29" s="3" t="s">
        <v>168</v>
      </c>
      <c r="TYT29" s="3" t="s">
        <v>169</v>
      </c>
      <c r="TYU29" s="3" t="s">
        <v>168</v>
      </c>
      <c r="TYV29" s="3" t="s">
        <v>169</v>
      </c>
      <c r="TYW29" s="3" t="s">
        <v>168</v>
      </c>
      <c r="TYX29" s="3" t="s">
        <v>169</v>
      </c>
      <c r="TYY29" s="3" t="s">
        <v>168</v>
      </c>
      <c r="TYZ29" s="3" t="s">
        <v>169</v>
      </c>
      <c r="TZA29" s="3" t="s">
        <v>168</v>
      </c>
      <c r="TZB29" s="3" t="s">
        <v>169</v>
      </c>
      <c r="TZC29" s="3" t="s">
        <v>168</v>
      </c>
      <c r="TZD29" s="3" t="s">
        <v>169</v>
      </c>
      <c r="TZE29" s="3" t="s">
        <v>168</v>
      </c>
      <c r="TZF29" s="3" t="s">
        <v>169</v>
      </c>
      <c r="TZG29" s="3" t="s">
        <v>168</v>
      </c>
      <c r="TZH29" s="3" t="s">
        <v>169</v>
      </c>
      <c r="TZI29" s="3" t="s">
        <v>168</v>
      </c>
      <c r="TZJ29" s="3" t="s">
        <v>169</v>
      </c>
      <c r="TZK29" s="3" t="s">
        <v>168</v>
      </c>
      <c r="TZL29" s="3" t="s">
        <v>169</v>
      </c>
      <c r="TZM29" s="3" t="s">
        <v>168</v>
      </c>
      <c r="TZN29" s="3" t="s">
        <v>169</v>
      </c>
      <c r="TZO29" s="3" t="s">
        <v>168</v>
      </c>
      <c r="TZP29" s="3" t="s">
        <v>169</v>
      </c>
      <c r="TZQ29" s="3" t="s">
        <v>168</v>
      </c>
      <c r="TZR29" s="3" t="s">
        <v>169</v>
      </c>
      <c r="TZS29" s="3" t="s">
        <v>168</v>
      </c>
      <c r="TZT29" s="3" t="s">
        <v>169</v>
      </c>
      <c r="TZU29" s="3" t="s">
        <v>168</v>
      </c>
      <c r="TZV29" s="3" t="s">
        <v>169</v>
      </c>
      <c r="TZW29" s="3" t="s">
        <v>168</v>
      </c>
      <c r="TZX29" s="3" t="s">
        <v>169</v>
      </c>
      <c r="TZY29" s="3" t="s">
        <v>168</v>
      </c>
      <c r="TZZ29" s="3" t="s">
        <v>169</v>
      </c>
      <c r="UAA29" s="3" t="s">
        <v>168</v>
      </c>
      <c r="UAB29" s="3" t="s">
        <v>169</v>
      </c>
      <c r="UAC29" s="3" t="s">
        <v>168</v>
      </c>
      <c r="UAD29" s="3" t="s">
        <v>169</v>
      </c>
      <c r="UAE29" s="3" t="s">
        <v>168</v>
      </c>
      <c r="UAF29" s="3" t="s">
        <v>169</v>
      </c>
      <c r="UAG29" s="3" t="s">
        <v>168</v>
      </c>
      <c r="UAH29" s="3" t="s">
        <v>169</v>
      </c>
      <c r="UAI29" s="3" t="s">
        <v>168</v>
      </c>
      <c r="UAJ29" s="3" t="s">
        <v>169</v>
      </c>
      <c r="UAK29" s="3" t="s">
        <v>168</v>
      </c>
      <c r="UAL29" s="3" t="s">
        <v>169</v>
      </c>
      <c r="UAM29" s="3" t="s">
        <v>168</v>
      </c>
      <c r="UAN29" s="3" t="s">
        <v>169</v>
      </c>
      <c r="UAO29" s="3" t="s">
        <v>168</v>
      </c>
      <c r="UAP29" s="3" t="s">
        <v>169</v>
      </c>
      <c r="UAQ29" s="3" t="s">
        <v>168</v>
      </c>
      <c r="UAR29" s="3" t="s">
        <v>169</v>
      </c>
      <c r="UAS29" s="3" t="s">
        <v>168</v>
      </c>
      <c r="UAT29" s="3" t="s">
        <v>169</v>
      </c>
      <c r="UAU29" s="3" t="s">
        <v>168</v>
      </c>
      <c r="UAV29" s="3" t="s">
        <v>169</v>
      </c>
      <c r="UAW29" s="3" t="s">
        <v>168</v>
      </c>
      <c r="UAX29" s="3" t="s">
        <v>169</v>
      </c>
      <c r="UAY29" s="3" t="s">
        <v>168</v>
      </c>
      <c r="UAZ29" s="3" t="s">
        <v>169</v>
      </c>
      <c r="UBA29" s="3" t="s">
        <v>168</v>
      </c>
      <c r="UBB29" s="3" t="s">
        <v>169</v>
      </c>
      <c r="UBC29" s="3" t="s">
        <v>168</v>
      </c>
      <c r="UBD29" s="3" t="s">
        <v>169</v>
      </c>
      <c r="UBE29" s="3" t="s">
        <v>168</v>
      </c>
      <c r="UBF29" s="3" t="s">
        <v>169</v>
      </c>
      <c r="UBG29" s="3" t="s">
        <v>168</v>
      </c>
      <c r="UBH29" s="3" t="s">
        <v>169</v>
      </c>
      <c r="UBI29" s="3" t="s">
        <v>168</v>
      </c>
      <c r="UBJ29" s="3" t="s">
        <v>169</v>
      </c>
      <c r="UBK29" s="3" t="s">
        <v>168</v>
      </c>
      <c r="UBL29" s="3" t="s">
        <v>169</v>
      </c>
      <c r="UBM29" s="3" t="s">
        <v>168</v>
      </c>
      <c r="UBN29" s="3" t="s">
        <v>169</v>
      </c>
      <c r="UBO29" s="3" t="s">
        <v>168</v>
      </c>
      <c r="UBP29" s="3" t="s">
        <v>169</v>
      </c>
      <c r="UBQ29" s="3" t="s">
        <v>168</v>
      </c>
      <c r="UBR29" s="3" t="s">
        <v>169</v>
      </c>
      <c r="UBS29" s="3" t="s">
        <v>168</v>
      </c>
      <c r="UBT29" s="3" t="s">
        <v>169</v>
      </c>
      <c r="UBU29" s="3" t="s">
        <v>168</v>
      </c>
      <c r="UBV29" s="3" t="s">
        <v>169</v>
      </c>
      <c r="UBW29" s="3" t="s">
        <v>168</v>
      </c>
      <c r="UBX29" s="3" t="s">
        <v>169</v>
      </c>
      <c r="UBY29" s="3" t="s">
        <v>168</v>
      </c>
      <c r="UBZ29" s="3" t="s">
        <v>169</v>
      </c>
      <c r="UCA29" s="3" t="s">
        <v>168</v>
      </c>
      <c r="UCB29" s="3" t="s">
        <v>169</v>
      </c>
      <c r="UCC29" s="3" t="s">
        <v>168</v>
      </c>
      <c r="UCD29" s="3" t="s">
        <v>169</v>
      </c>
      <c r="UCE29" s="3" t="s">
        <v>168</v>
      </c>
      <c r="UCF29" s="3" t="s">
        <v>169</v>
      </c>
      <c r="UCG29" s="3" t="s">
        <v>168</v>
      </c>
      <c r="UCH29" s="3" t="s">
        <v>169</v>
      </c>
      <c r="UCI29" s="3" t="s">
        <v>168</v>
      </c>
      <c r="UCJ29" s="3" t="s">
        <v>169</v>
      </c>
      <c r="UCK29" s="3" t="s">
        <v>168</v>
      </c>
      <c r="UCL29" s="3" t="s">
        <v>169</v>
      </c>
      <c r="UCM29" s="3" t="s">
        <v>168</v>
      </c>
      <c r="UCN29" s="3" t="s">
        <v>169</v>
      </c>
      <c r="UCO29" s="3" t="s">
        <v>168</v>
      </c>
      <c r="UCP29" s="3" t="s">
        <v>169</v>
      </c>
      <c r="UCQ29" s="3" t="s">
        <v>168</v>
      </c>
      <c r="UCR29" s="3" t="s">
        <v>169</v>
      </c>
      <c r="UCS29" s="3" t="s">
        <v>168</v>
      </c>
      <c r="UCT29" s="3" t="s">
        <v>169</v>
      </c>
      <c r="UCU29" s="3" t="s">
        <v>168</v>
      </c>
      <c r="UCV29" s="3" t="s">
        <v>169</v>
      </c>
      <c r="UCW29" s="3" t="s">
        <v>168</v>
      </c>
      <c r="UCX29" s="3" t="s">
        <v>169</v>
      </c>
      <c r="UCY29" s="3" t="s">
        <v>168</v>
      </c>
      <c r="UCZ29" s="3" t="s">
        <v>169</v>
      </c>
      <c r="UDA29" s="3" t="s">
        <v>168</v>
      </c>
      <c r="UDB29" s="3" t="s">
        <v>169</v>
      </c>
      <c r="UDC29" s="3" t="s">
        <v>168</v>
      </c>
      <c r="UDD29" s="3" t="s">
        <v>169</v>
      </c>
      <c r="UDE29" s="3" t="s">
        <v>168</v>
      </c>
      <c r="UDF29" s="3" t="s">
        <v>169</v>
      </c>
      <c r="UDG29" s="3" t="s">
        <v>168</v>
      </c>
      <c r="UDH29" s="3" t="s">
        <v>169</v>
      </c>
      <c r="UDI29" s="3" t="s">
        <v>168</v>
      </c>
      <c r="UDJ29" s="3" t="s">
        <v>169</v>
      </c>
      <c r="UDK29" s="3" t="s">
        <v>168</v>
      </c>
      <c r="UDL29" s="3" t="s">
        <v>169</v>
      </c>
      <c r="UDM29" s="3" t="s">
        <v>168</v>
      </c>
      <c r="UDN29" s="3" t="s">
        <v>169</v>
      </c>
      <c r="UDO29" s="3" t="s">
        <v>168</v>
      </c>
      <c r="UDP29" s="3" t="s">
        <v>169</v>
      </c>
      <c r="UDQ29" s="3" t="s">
        <v>168</v>
      </c>
      <c r="UDR29" s="3" t="s">
        <v>169</v>
      </c>
      <c r="UDS29" s="3" t="s">
        <v>168</v>
      </c>
      <c r="UDT29" s="3" t="s">
        <v>169</v>
      </c>
      <c r="UDU29" s="3" t="s">
        <v>168</v>
      </c>
      <c r="UDV29" s="3" t="s">
        <v>169</v>
      </c>
      <c r="UDW29" s="3" t="s">
        <v>168</v>
      </c>
      <c r="UDX29" s="3" t="s">
        <v>169</v>
      </c>
      <c r="UDY29" s="3" t="s">
        <v>168</v>
      </c>
      <c r="UDZ29" s="3" t="s">
        <v>169</v>
      </c>
      <c r="UEA29" s="3" t="s">
        <v>168</v>
      </c>
      <c r="UEB29" s="3" t="s">
        <v>169</v>
      </c>
      <c r="UEC29" s="3" t="s">
        <v>168</v>
      </c>
      <c r="UED29" s="3" t="s">
        <v>169</v>
      </c>
      <c r="UEE29" s="3" t="s">
        <v>168</v>
      </c>
      <c r="UEF29" s="3" t="s">
        <v>169</v>
      </c>
      <c r="UEG29" s="3" t="s">
        <v>168</v>
      </c>
      <c r="UEH29" s="3" t="s">
        <v>169</v>
      </c>
      <c r="UEI29" s="3" t="s">
        <v>168</v>
      </c>
      <c r="UEJ29" s="3" t="s">
        <v>169</v>
      </c>
      <c r="UEK29" s="3" t="s">
        <v>168</v>
      </c>
      <c r="UEL29" s="3" t="s">
        <v>169</v>
      </c>
      <c r="UEM29" s="3" t="s">
        <v>168</v>
      </c>
      <c r="UEN29" s="3" t="s">
        <v>169</v>
      </c>
      <c r="UEO29" s="3" t="s">
        <v>168</v>
      </c>
      <c r="UEP29" s="3" t="s">
        <v>169</v>
      </c>
      <c r="UEQ29" s="3" t="s">
        <v>168</v>
      </c>
      <c r="UER29" s="3" t="s">
        <v>169</v>
      </c>
      <c r="UES29" s="3" t="s">
        <v>168</v>
      </c>
      <c r="UET29" s="3" t="s">
        <v>169</v>
      </c>
      <c r="UEU29" s="3" t="s">
        <v>168</v>
      </c>
      <c r="UEV29" s="3" t="s">
        <v>169</v>
      </c>
      <c r="UEW29" s="3" t="s">
        <v>168</v>
      </c>
      <c r="UEX29" s="3" t="s">
        <v>169</v>
      </c>
      <c r="UEY29" s="3" t="s">
        <v>168</v>
      </c>
      <c r="UEZ29" s="3" t="s">
        <v>169</v>
      </c>
      <c r="UFA29" s="3" t="s">
        <v>168</v>
      </c>
      <c r="UFB29" s="3" t="s">
        <v>169</v>
      </c>
      <c r="UFC29" s="3" t="s">
        <v>168</v>
      </c>
      <c r="UFD29" s="3" t="s">
        <v>169</v>
      </c>
      <c r="UFE29" s="3" t="s">
        <v>168</v>
      </c>
      <c r="UFF29" s="3" t="s">
        <v>169</v>
      </c>
      <c r="UFG29" s="3" t="s">
        <v>168</v>
      </c>
      <c r="UFH29" s="3" t="s">
        <v>169</v>
      </c>
      <c r="UFI29" s="3" t="s">
        <v>168</v>
      </c>
      <c r="UFJ29" s="3" t="s">
        <v>169</v>
      </c>
      <c r="UFK29" s="3" t="s">
        <v>168</v>
      </c>
      <c r="UFL29" s="3" t="s">
        <v>169</v>
      </c>
      <c r="UFM29" s="3" t="s">
        <v>168</v>
      </c>
      <c r="UFN29" s="3" t="s">
        <v>169</v>
      </c>
      <c r="UFO29" s="3" t="s">
        <v>168</v>
      </c>
      <c r="UFP29" s="3" t="s">
        <v>169</v>
      </c>
      <c r="UFQ29" s="3" t="s">
        <v>168</v>
      </c>
      <c r="UFR29" s="3" t="s">
        <v>169</v>
      </c>
      <c r="UFS29" s="3" t="s">
        <v>168</v>
      </c>
      <c r="UFT29" s="3" t="s">
        <v>169</v>
      </c>
      <c r="UFU29" s="3" t="s">
        <v>168</v>
      </c>
      <c r="UFV29" s="3" t="s">
        <v>169</v>
      </c>
      <c r="UFW29" s="3" t="s">
        <v>168</v>
      </c>
      <c r="UFX29" s="3" t="s">
        <v>169</v>
      </c>
      <c r="UFY29" s="3" t="s">
        <v>168</v>
      </c>
      <c r="UFZ29" s="3" t="s">
        <v>169</v>
      </c>
      <c r="UGA29" s="3" t="s">
        <v>168</v>
      </c>
      <c r="UGB29" s="3" t="s">
        <v>169</v>
      </c>
      <c r="UGC29" s="3" t="s">
        <v>168</v>
      </c>
      <c r="UGD29" s="3" t="s">
        <v>169</v>
      </c>
      <c r="UGE29" s="3" t="s">
        <v>168</v>
      </c>
      <c r="UGF29" s="3" t="s">
        <v>169</v>
      </c>
      <c r="UGG29" s="3" t="s">
        <v>168</v>
      </c>
      <c r="UGH29" s="3" t="s">
        <v>169</v>
      </c>
      <c r="UGI29" s="3" t="s">
        <v>168</v>
      </c>
      <c r="UGJ29" s="3" t="s">
        <v>169</v>
      </c>
      <c r="UGK29" s="3" t="s">
        <v>168</v>
      </c>
      <c r="UGL29" s="3" t="s">
        <v>169</v>
      </c>
      <c r="UGM29" s="3" t="s">
        <v>168</v>
      </c>
      <c r="UGN29" s="3" t="s">
        <v>169</v>
      </c>
      <c r="UGO29" s="3" t="s">
        <v>168</v>
      </c>
      <c r="UGP29" s="3" t="s">
        <v>169</v>
      </c>
      <c r="UGQ29" s="3" t="s">
        <v>168</v>
      </c>
      <c r="UGR29" s="3" t="s">
        <v>169</v>
      </c>
      <c r="UGS29" s="3" t="s">
        <v>168</v>
      </c>
      <c r="UGT29" s="3" t="s">
        <v>169</v>
      </c>
      <c r="UGU29" s="3" t="s">
        <v>168</v>
      </c>
      <c r="UGV29" s="3" t="s">
        <v>169</v>
      </c>
      <c r="UGW29" s="3" t="s">
        <v>168</v>
      </c>
      <c r="UGX29" s="3" t="s">
        <v>169</v>
      </c>
      <c r="UGY29" s="3" t="s">
        <v>168</v>
      </c>
      <c r="UGZ29" s="3" t="s">
        <v>169</v>
      </c>
      <c r="UHA29" s="3" t="s">
        <v>168</v>
      </c>
      <c r="UHB29" s="3" t="s">
        <v>169</v>
      </c>
      <c r="UHC29" s="3" t="s">
        <v>168</v>
      </c>
      <c r="UHD29" s="3" t="s">
        <v>169</v>
      </c>
      <c r="UHE29" s="3" t="s">
        <v>168</v>
      </c>
      <c r="UHF29" s="3" t="s">
        <v>169</v>
      </c>
      <c r="UHG29" s="3" t="s">
        <v>168</v>
      </c>
      <c r="UHH29" s="3" t="s">
        <v>169</v>
      </c>
      <c r="UHI29" s="3" t="s">
        <v>168</v>
      </c>
      <c r="UHJ29" s="3" t="s">
        <v>169</v>
      </c>
      <c r="UHK29" s="3" t="s">
        <v>168</v>
      </c>
      <c r="UHL29" s="3" t="s">
        <v>169</v>
      </c>
      <c r="UHM29" s="3" t="s">
        <v>168</v>
      </c>
      <c r="UHN29" s="3" t="s">
        <v>169</v>
      </c>
      <c r="UHO29" s="3" t="s">
        <v>168</v>
      </c>
      <c r="UHP29" s="3" t="s">
        <v>169</v>
      </c>
      <c r="UHQ29" s="3" t="s">
        <v>168</v>
      </c>
      <c r="UHR29" s="3" t="s">
        <v>169</v>
      </c>
      <c r="UHS29" s="3" t="s">
        <v>168</v>
      </c>
      <c r="UHT29" s="3" t="s">
        <v>169</v>
      </c>
      <c r="UHU29" s="3" t="s">
        <v>168</v>
      </c>
      <c r="UHV29" s="3" t="s">
        <v>169</v>
      </c>
      <c r="UHW29" s="3" t="s">
        <v>168</v>
      </c>
      <c r="UHX29" s="3" t="s">
        <v>169</v>
      </c>
      <c r="UHY29" s="3" t="s">
        <v>168</v>
      </c>
      <c r="UHZ29" s="3" t="s">
        <v>169</v>
      </c>
      <c r="UIA29" s="3" t="s">
        <v>168</v>
      </c>
      <c r="UIB29" s="3" t="s">
        <v>169</v>
      </c>
      <c r="UIC29" s="3" t="s">
        <v>168</v>
      </c>
      <c r="UID29" s="3" t="s">
        <v>169</v>
      </c>
      <c r="UIE29" s="3" t="s">
        <v>168</v>
      </c>
      <c r="UIF29" s="3" t="s">
        <v>169</v>
      </c>
      <c r="UIG29" s="3" t="s">
        <v>168</v>
      </c>
      <c r="UIH29" s="3" t="s">
        <v>169</v>
      </c>
      <c r="UII29" s="3" t="s">
        <v>168</v>
      </c>
      <c r="UIJ29" s="3" t="s">
        <v>169</v>
      </c>
      <c r="UIK29" s="3" t="s">
        <v>168</v>
      </c>
      <c r="UIL29" s="3" t="s">
        <v>169</v>
      </c>
      <c r="UIM29" s="3" t="s">
        <v>168</v>
      </c>
      <c r="UIN29" s="3" t="s">
        <v>169</v>
      </c>
      <c r="UIO29" s="3" t="s">
        <v>168</v>
      </c>
      <c r="UIP29" s="3" t="s">
        <v>169</v>
      </c>
      <c r="UIQ29" s="3" t="s">
        <v>168</v>
      </c>
      <c r="UIR29" s="3" t="s">
        <v>169</v>
      </c>
      <c r="UIS29" s="3" t="s">
        <v>168</v>
      </c>
      <c r="UIT29" s="3" t="s">
        <v>169</v>
      </c>
      <c r="UIU29" s="3" t="s">
        <v>168</v>
      </c>
      <c r="UIV29" s="3" t="s">
        <v>169</v>
      </c>
      <c r="UIW29" s="3" t="s">
        <v>168</v>
      </c>
      <c r="UIX29" s="3" t="s">
        <v>169</v>
      </c>
      <c r="UIY29" s="3" t="s">
        <v>168</v>
      </c>
      <c r="UIZ29" s="3" t="s">
        <v>169</v>
      </c>
      <c r="UJA29" s="3" t="s">
        <v>168</v>
      </c>
      <c r="UJB29" s="3" t="s">
        <v>169</v>
      </c>
      <c r="UJC29" s="3" t="s">
        <v>168</v>
      </c>
      <c r="UJD29" s="3" t="s">
        <v>169</v>
      </c>
      <c r="UJE29" s="3" t="s">
        <v>168</v>
      </c>
      <c r="UJF29" s="3" t="s">
        <v>169</v>
      </c>
      <c r="UJG29" s="3" t="s">
        <v>168</v>
      </c>
      <c r="UJH29" s="3" t="s">
        <v>169</v>
      </c>
      <c r="UJI29" s="3" t="s">
        <v>168</v>
      </c>
      <c r="UJJ29" s="3" t="s">
        <v>169</v>
      </c>
      <c r="UJK29" s="3" t="s">
        <v>168</v>
      </c>
      <c r="UJL29" s="3" t="s">
        <v>169</v>
      </c>
      <c r="UJM29" s="3" t="s">
        <v>168</v>
      </c>
      <c r="UJN29" s="3" t="s">
        <v>169</v>
      </c>
      <c r="UJO29" s="3" t="s">
        <v>168</v>
      </c>
      <c r="UJP29" s="3" t="s">
        <v>169</v>
      </c>
      <c r="UJQ29" s="3" t="s">
        <v>168</v>
      </c>
      <c r="UJR29" s="3" t="s">
        <v>169</v>
      </c>
      <c r="UJS29" s="3" t="s">
        <v>168</v>
      </c>
      <c r="UJT29" s="3" t="s">
        <v>169</v>
      </c>
      <c r="UJU29" s="3" t="s">
        <v>168</v>
      </c>
      <c r="UJV29" s="3" t="s">
        <v>169</v>
      </c>
      <c r="UJW29" s="3" t="s">
        <v>168</v>
      </c>
      <c r="UJX29" s="3" t="s">
        <v>169</v>
      </c>
      <c r="UJY29" s="3" t="s">
        <v>168</v>
      </c>
      <c r="UJZ29" s="3" t="s">
        <v>169</v>
      </c>
      <c r="UKA29" s="3" t="s">
        <v>168</v>
      </c>
      <c r="UKB29" s="3" t="s">
        <v>169</v>
      </c>
      <c r="UKC29" s="3" t="s">
        <v>168</v>
      </c>
      <c r="UKD29" s="3" t="s">
        <v>169</v>
      </c>
      <c r="UKE29" s="3" t="s">
        <v>168</v>
      </c>
      <c r="UKF29" s="3" t="s">
        <v>169</v>
      </c>
      <c r="UKG29" s="3" t="s">
        <v>168</v>
      </c>
      <c r="UKH29" s="3" t="s">
        <v>169</v>
      </c>
      <c r="UKI29" s="3" t="s">
        <v>168</v>
      </c>
      <c r="UKJ29" s="3" t="s">
        <v>169</v>
      </c>
      <c r="UKK29" s="3" t="s">
        <v>168</v>
      </c>
      <c r="UKL29" s="3" t="s">
        <v>169</v>
      </c>
      <c r="UKM29" s="3" t="s">
        <v>168</v>
      </c>
      <c r="UKN29" s="3" t="s">
        <v>169</v>
      </c>
      <c r="UKO29" s="3" t="s">
        <v>168</v>
      </c>
      <c r="UKP29" s="3" t="s">
        <v>169</v>
      </c>
      <c r="UKQ29" s="3" t="s">
        <v>168</v>
      </c>
      <c r="UKR29" s="3" t="s">
        <v>169</v>
      </c>
      <c r="UKS29" s="3" t="s">
        <v>168</v>
      </c>
      <c r="UKT29" s="3" t="s">
        <v>169</v>
      </c>
      <c r="UKU29" s="3" t="s">
        <v>168</v>
      </c>
      <c r="UKV29" s="3" t="s">
        <v>169</v>
      </c>
      <c r="UKW29" s="3" t="s">
        <v>168</v>
      </c>
      <c r="UKX29" s="3" t="s">
        <v>169</v>
      </c>
      <c r="UKY29" s="3" t="s">
        <v>168</v>
      </c>
      <c r="UKZ29" s="3" t="s">
        <v>169</v>
      </c>
      <c r="ULA29" s="3" t="s">
        <v>168</v>
      </c>
      <c r="ULB29" s="3" t="s">
        <v>169</v>
      </c>
      <c r="ULC29" s="3" t="s">
        <v>168</v>
      </c>
      <c r="ULD29" s="3" t="s">
        <v>169</v>
      </c>
      <c r="ULE29" s="3" t="s">
        <v>168</v>
      </c>
      <c r="ULF29" s="3" t="s">
        <v>169</v>
      </c>
      <c r="ULG29" s="3" t="s">
        <v>168</v>
      </c>
      <c r="ULH29" s="3" t="s">
        <v>169</v>
      </c>
      <c r="ULI29" s="3" t="s">
        <v>168</v>
      </c>
      <c r="ULJ29" s="3" t="s">
        <v>169</v>
      </c>
      <c r="ULK29" s="3" t="s">
        <v>168</v>
      </c>
      <c r="ULL29" s="3" t="s">
        <v>169</v>
      </c>
      <c r="ULM29" s="3" t="s">
        <v>168</v>
      </c>
      <c r="ULN29" s="3" t="s">
        <v>169</v>
      </c>
      <c r="ULO29" s="3" t="s">
        <v>168</v>
      </c>
      <c r="ULP29" s="3" t="s">
        <v>169</v>
      </c>
      <c r="ULQ29" s="3" t="s">
        <v>168</v>
      </c>
      <c r="ULR29" s="3" t="s">
        <v>169</v>
      </c>
      <c r="ULS29" s="3" t="s">
        <v>168</v>
      </c>
      <c r="ULT29" s="3" t="s">
        <v>169</v>
      </c>
      <c r="ULU29" s="3" t="s">
        <v>168</v>
      </c>
      <c r="ULV29" s="3" t="s">
        <v>169</v>
      </c>
      <c r="ULW29" s="3" t="s">
        <v>168</v>
      </c>
      <c r="ULX29" s="3" t="s">
        <v>169</v>
      </c>
      <c r="ULY29" s="3" t="s">
        <v>168</v>
      </c>
      <c r="ULZ29" s="3" t="s">
        <v>169</v>
      </c>
      <c r="UMA29" s="3" t="s">
        <v>168</v>
      </c>
      <c r="UMB29" s="3" t="s">
        <v>169</v>
      </c>
      <c r="UMC29" s="3" t="s">
        <v>168</v>
      </c>
      <c r="UMD29" s="3" t="s">
        <v>169</v>
      </c>
      <c r="UME29" s="3" t="s">
        <v>168</v>
      </c>
      <c r="UMF29" s="3" t="s">
        <v>169</v>
      </c>
      <c r="UMG29" s="3" t="s">
        <v>168</v>
      </c>
      <c r="UMH29" s="3" t="s">
        <v>169</v>
      </c>
      <c r="UMI29" s="3" t="s">
        <v>168</v>
      </c>
      <c r="UMJ29" s="3" t="s">
        <v>169</v>
      </c>
      <c r="UMK29" s="3" t="s">
        <v>168</v>
      </c>
      <c r="UML29" s="3" t="s">
        <v>169</v>
      </c>
      <c r="UMM29" s="3" t="s">
        <v>168</v>
      </c>
      <c r="UMN29" s="3" t="s">
        <v>169</v>
      </c>
      <c r="UMO29" s="3" t="s">
        <v>168</v>
      </c>
      <c r="UMP29" s="3" t="s">
        <v>169</v>
      </c>
      <c r="UMQ29" s="3" t="s">
        <v>168</v>
      </c>
      <c r="UMR29" s="3" t="s">
        <v>169</v>
      </c>
      <c r="UMS29" s="3" t="s">
        <v>168</v>
      </c>
      <c r="UMT29" s="3" t="s">
        <v>169</v>
      </c>
      <c r="UMU29" s="3" t="s">
        <v>168</v>
      </c>
      <c r="UMV29" s="3" t="s">
        <v>169</v>
      </c>
      <c r="UMW29" s="3" t="s">
        <v>168</v>
      </c>
      <c r="UMX29" s="3" t="s">
        <v>169</v>
      </c>
      <c r="UMY29" s="3" t="s">
        <v>168</v>
      </c>
      <c r="UMZ29" s="3" t="s">
        <v>169</v>
      </c>
      <c r="UNA29" s="3" t="s">
        <v>168</v>
      </c>
      <c r="UNB29" s="3" t="s">
        <v>169</v>
      </c>
      <c r="UNC29" s="3" t="s">
        <v>168</v>
      </c>
      <c r="UND29" s="3" t="s">
        <v>169</v>
      </c>
      <c r="UNE29" s="3" t="s">
        <v>168</v>
      </c>
      <c r="UNF29" s="3" t="s">
        <v>169</v>
      </c>
      <c r="UNG29" s="3" t="s">
        <v>168</v>
      </c>
      <c r="UNH29" s="3" t="s">
        <v>169</v>
      </c>
      <c r="UNI29" s="3" t="s">
        <v>168</v>
      </c>
      <c r="UNJ29" s="3" t="s">
        <v>169</v>
      </c>
      <c r="UNK29" s="3" t="s">
        <v>168</v>
      </c>
      <c r="UNL29" s="3" t="s">
        <v>169</v>
      </c>
      <c r="UNM29" s="3" t="s">
        <v>168</v>
      </c>
      <c r="UNN29" s="3" t="s">
        <v>169</v>
      </c>
      <c r="UNO29" s="3" t="s">
        <v>168</v>
      </c>
      <c r="UNP29" s="3" t="s">
        <v>169</v>
      </c>
      <c r="UNQ29" s="3" t="s">
        <v>168</v>
      </c>
      <c r="UNR29" s="3" t="s">
        <v>169</v>
      </c>
      <c r="UNS29" s="3" t="s">
        <v>168</v>
      </c>
      <c r="UNT29" s="3" t="s">
        <v>169</v>
      </c>
      <c r="UNU29" s="3" t="s">
        <v>168</v>
      </c>
      <c r="UNV29" s="3" t="s">
        <v>169</v>
      </c>
      <c r="UNW29" s="3" t="s">
        <v>168</v>
      </c>
      <c r="UNX29" s="3" t="s">
        <v>169</v>
      </c>
      <c r="UNY29" s="3" t="s">
        <v>168</v>
      </c>
      <c r="UNZ29" s="3" t="s">
        <v>169</v>
      </c>
      <c r="UOA29" s="3" t="s">
        <v>168</v>
      </c>
      <c r="UOB29" s="3" t="s">
        <v>169</v>
      </c>
      <c r="UOC29" s="3" t="s">
        <v>168</v>
      </c>
      <c r="UOD29" s="3" t="s">
        <v>169</v>
      </c>
      <c r="UOE29" s="3" t="s">
        <v>168</v>
      </c>
      <c r="UOF29" s="3" t="s">
        <v>169</v>
      </c>
      <c r="UOG29" s="3" t="s">
        <v>168</v>
      </c>
      <c r="UOH29" s="3" t="s">
        <v>169</v>
      </c>
      <c r="UOI29" s="3" t="s">
        <v>168</v>
      </c>
      <c r="UOJ29" s="3" t="s">
        <v>169</v>
      </c>
      <c r="UOK29" s="3" t="s">
        <v>168</v>
      </c>
      <c r="UOL29" s="3" t="s">
        <v>169</v>
      </c>
      <c r="UOM29" s="3" t="s">
        <v>168</v>
      </c>
      <c r="UON29" s="3" t="s">
        <v>169</v>
      </c>
      <c r="UOO29" s="3" t="s">
        <v>168</v>
      </c>
      <c r="UOP29" s="3" t="s">
        <v>169</v>
      </c>
      <c r="UOQ29" s="3" t="s">
        <v>168</v>
      </c>
      <c r="UOR29" s="3" t="s">
        <v>169</v>
      </c>
      <c r="UOS29" s="3" t="s">
        <v>168</v>
      </c>
      <c r="UOT29" s="3" t="s">
        <v>169</v>
      </c>
      <c r="UOU29" s="3" t="s">
        <v>168</v>
      </c>
      <c r="UOV29" s="3" t="s">
        <v>169</v>
      </c>
      <c r="UOW29" s="3" t="s">
        <v>168</v>
      </c>
      <c r="UOX29" s="3" t="s">
        <v>169</v>
      </c>
      <c r="UOY29" s="3" t="s">
        <v>168</v>
      </c>
      <c r="UOZ29" s="3" t="s">
        <v>169</v>
      </c>
      <c r="UPA29" s="3" t="s">
        <v>168</v>
      </c>
      <c r="UPB29" s="3" t="s">
        <v>169</v>
      </c>
      <c r="UPC29" s="3" t="s">
        <v>168</v>
      </c>
      <c r="UPD29" s="3" t="s">
        <v>169</v>
      </c>
      <c r="UPE29" s="3" t="s">
        <v>168</v>
      </c>
      <c r="UPF29" s="3" t="s">
        <v>169</v>
      </c>
      <c r="UPG29" s="3" t="s">
        <v>168</v>
      </c>
      <c r="UPH29" s="3" t="s">
        <v>169</v>
      </c>
      <c r="UPI29" s="3" t="s">
        <v>168</v>
      </c>
      <c r="UPJ29" s="3" t="s">
        <v>169</v>
      </c>
      <c r="UPK29" s="3" t="s">
        <v>168</v>
      </c>
      <c r="UPL29" s="3" t="s">
        <v>169</v>
      </c>
      <c r="UPM29" s="3" t="s">
        <v>168</v>
      </c>
      <c r="UPN29" s="3" t="s">
        <v>169</v>
      </c>
      <c r="UPO29" s="3" t="s">
        <v>168</v>
      </c>
      <c r="UPP29" s="3" t="s">
        <v>169</v>
      </c>
      <c r="UPQ29" s="3" t="s">
        <v>168</v>
      </c>
      <c r="UPR29" s="3" t="s">
        <v>169</v>
      </c>
      <c r="UPS29" s="3" t="s">
        <v>168</v>
      </c>
      <c r="UPT29" s="3" t="s">
        <v>169</v>
      </c>
      <c r="UPU29" s="3" t="s">
        <v>168</v>
      </c>
      <c r="UPV29" s="3" t="s">
        <v>169</v>
      </c>
      <c r="UPW29" s="3" t="s">
        <v>168</v>
      </c>
      <c r="UPX29" s="3" t="s">
        <v>169</v>
      </c>
      <c r="UPY29" s="3" t="s">
        <v>168</v>
      </c>
      <c r="UPZ29" s="3" t="s">
        <v>169</v>
      </c>
      <c r="UQA29" s="3" t="s">
        <v>168</v>
      </c>
      <c r="UQB29" s="3" t="s">
        <v>169</v>
      </c>
      <c r="UQC29" s="3" t="s">
        <v>168</v>
      </c>
      <c r="UQD29" s="3" t="s">
        <v>169</v>
      </c>
      <c r="UQE29" s="3" t="s">
        <v>168</v>
      </c>
      <c r="UQF29" s="3" t="s">
        <v>169</v>
      </c>
      <c r="UQG29" s="3" t="s">
        <v>168</v>
      </c>
      <c r="UQH29" s="3" t="s">
        <v>169</v>
      </c>
      <c r="UQI29" s="3" t="s">
        <v>168</v>
      </c>
      <c r="UQJ29" s="3" t="s">
        <v>169</v>
      </c>
      <c r="UQK29" s="3" t="s">
        <v>168</v>
      </c>
      <c r="UQL29" s="3" t="s">
        <v>169</v>
      </c>
      <c r="UQM29" s="3" t="s">
        <v>168</v>
      </c>
      <c r="UQN29" s="3" t="s">
        <v>169</v>
      </c>
      <c r="UQO29" s="3" t="s">
        <v>168</v>
      </c>
      <c r="UQP29" s="3" t="s">
        <v>169</v>
      </c>
      <c r="UQQ29" s="3" t="s">
        <v>168</v>
      </c>
      <c r="UQR29" s="3" t="s">
        <v>169</v>
      </c>
      <c r="UQS29" s="3" t="s">
        <v>168</v>
      </c>
      <c r="UQT29" s="3" t="s">
        <v>169</v>
      </c>
      <c r="UQU29" s="3" t="s">
        <v>168</v>
      </c>
      <c r="UQV29" s="3" t="s">
        <v>169</v>
      </c>
      <c r="UQW29" s="3" t="s">
        <v>168</v>
      </c>
      <c r="UQX29" s="3" t="s">
        <v>169</v>
      </c>
      <c r="UQY29" s="3" t="s">
        <v>168</v>
      </c>
      <c r="UQZ29" s="3" t="s">
        <v>169</v>
      </c>
      <c r="URA29" s="3" t="s">
        <v>168</v>
      </c>
      <c r="URB29" s="3" t="s">
        <v>169</v>
      </c>
      <c r="URC29" s="3" t="s">
        <v>168</v>
      </c>
      <c r="URD29" s="3" t="s">
        <v>169</v>
      </c>
      <c r="URE29" s="3" t="s">
        <v>168</v>
      </c>
      <c r="URF29" s="3" t="s">
        <v>169</v>
      </c>
      <c r="URG29" s="3" t="s">
        <v>168</v>
      </c>
      <c r="URH29" s="3" t="s">
        <v>169</v>
      </c>
      <c r="URI29" s="3" t="s">
        <v>168</v>
      </c>
      <c r="URJ29" s="3" t="s">
        <v>169</v>
      </c>
      <c r="URK29" s="3" t="s">
        <v>168</v>
      </c>
      <c r="URL29" s="3" t="s">
        <v>169</v>
      </c>
      <c r="URM29" s="3" t="s">
        <v>168</v>
      </c>
      <c r="URN29" s="3" t="s">
        <v>169</v>
      </c>
      <c r="URO29" s="3" t="s">
        <v>168</v>
      </c>
      <c r="URP29" s="3" t="s">
        <v>169</v>
      </c>
      <c r="URQ29" s="3" t="s">
        <v>168</v>
      </c>
      <c r="URR29" s="3" t="s">
        <v>169</v>
      </c>
      <c r="URS29" s="3" t="s">
        <v>168</v>
      </c>
      <c r="URT29" s="3" t="s">
        <v>169</v>
      </c>
      <c r="URU29" s="3" t="s">
        <v>168</v>
      </c>
      <c r="URV29" s="3" t="s">
        <v>169</v>
      </c>
      <c r="URW29" s="3" t="s">
        <v>168</v>
      </c>
      <c r="URX29" s="3" t="s">
        <v>169</v>
      </c>
      <c r="URY29" s="3" t="s">
        <v>168</v>
      </c>
      <c r="URZ29" s="3" t="s">
        <v>169</v>
      </c>
      <c r="USA29" s="3" t="s">
        <v>168</v>
      </c>
      <c r="USB29" s="3" t="s">
        <v>169</v>
      </c>
      <c r="USC29" s="3" t="s">
        <v>168</v>
      </c>
      <c r="USD29" s="3" t="s">
        <v>169</v>
      </c>
      <c r="USE29" s="3" t="s">
        <v>168</v>
      </c>
      <c r="USF29" s="3" t="s">
        <v>169</v>
      </c>
      <c r="USG29" s="3" t="s">
        <v>168</v>
      </c>
      <c r="USH29" s="3" t="s">
        <v>169</v>
      </c>
      <c r="USI29" s="3" t="s">
        <v>168</v>
      </c>
      <c r="USJ29" s="3" t="s">
        <v>169</v>
      </c>
      <c r="USK29" s="3" t="s">
        <v>168</v>
      </c>
      <c r="USL29" s="3" t="s">
        <v>169</v>
      </c>
      <c r="USM29" s="3" t="s">
        <v>168</v>
      </c>
      <c r="USN29" s="3" t="s">
        <v>169</v>
      </c>
      <c r="USO29" s="3" t="s">
        <v>168</v>
      </c>
      <c r="USP29" s="3" t="s">
        <v>169</v>
      </c>
      <c r="USQ29" s="3" t="s">
        <v>168</v>
      </c>
      <c r="USR29" s="3" t="s">
        <v>169</v>
      </c>
      <c r="USS29" s="3" t="s">
        <v>168</v>
      </c>
      <c r="UST29" s="3" t="s">
        <v>169</v>
      </c>
      <c r="USU29" s="3" t="s">
        <v>168</v>
      </c>
      <c r="USV29" s="3" t="s">
        <v>169</v>
      </c>
      <c r="USW29" s="3" t="s">
        <v>168</v>
      </c>
      <c r="USX29" s="3" t="s">
        <v>169</v>
      </c>
      <c r="USY29" s="3" t="s">
        <v>168</v>
      </c>
      <c r="USZ29" s="3" t="s">
        <v>169</v>
      </c>
      <c r="UTA29" s="3" t="s">
        <v>168</v>
      </c>
      <c r="UTB29" s="3" t="s">
        <v>169</v>
      </c>
      <c r="UTC29" s="3" t="s">
        <v>168</v>
      </c>
      <c r="UTD29" s="3" t="s">
        <v>169</v>
      </c>
      <c r="UTE29" s="3" t="s">
        <v>168</v>
      </c>
      <c r="UTF29" s="3" t="s">
        <v>169</v>
      </c>
      <c r="UTG29" s="3" t="s">
        <v>168</v>
      </c>
      <c r="UTH29" s="3" t="s">
        <v>169</v>
      </c>
      <c r="UTI29" s="3" t="s">
        <v>168</v>
      </c>
      <c r="UTJ29" s="3" t="s">
        <v>169</v>
      </c>
      <c r="UTK29" s="3" t="s">
        <v>168</v>
      </c>
      <c r="UTL29" s="3" t="s">
        <v>169</v>
      </c>
      <c r="UTM29" s="3" t="s">
        <v>168</v>
      </c>
      <c r="UTN29" s="3" t="s">
        <v>169</v>
      </c>
      <c r="UTO29" s="3" t="s">
        <v>168</v>
      </c>
      <c r="UTP29" s="3" t="s">
        <v>169</v>
      </c>
      <c r="UTQ29" s="3" t="s">
        <v>168</v>
      </c>
      <c r="UTR29" s="3" t="s">
        <v>169</v>
      </c>
      <c r="UTS29" s="3" t="s">
        <v>168</v>
      </c>
      <c r="UTT29" s="3" t="s">
        <v>169</v>
      </c>
      <c r="UTU29" s="3" t="s">
        <v>168</v>
      </c>
      <c r="UTV29" s="3" t="s">
        <v>169</v>
      </c>
      <c r="UTW29" s="3" t="s">
        <v>168</v>
      </c>
      <c r="UTX29" s="3" t="s">
        <v>169</v>
      </c>
      <c r="UTY29" s="3" t="s">
        <v>168</v>
      </c>
      <c r="UTZ29" s="3" t="s">
        <v>169</v>
      </c>
      <c r="UUA29" s="3" t="s">
        <v>168</v>
      </c>
      <c r="UUB29" s="3" t="s">
        <v>169</v>
      </c>
      <c r="UUC29" s="3" t="s">
        <v>168</v>
      </c>
      <c r="UUD29" s="3" t="s">
        <v>169</v>
      </c>
      <c r="UUE29" s="3" t="s">
        <v>168</v>
      </c>
      <c r="UUF29" s="3" t="s">
        <v>169</v>
      </c>
      <c r="UUG29" s="3" t="s">
        <v>168</v>
      </c>
      <c r="UUH29" s="3" t="s">
        <v>169</v>
      </c>
      <c r="UUI29" s="3" t="s">
        <v>168</v>
      </c>
      <c r="UUJ29" s="3" t="s">
        <v>169</v>
      </c>
      <c r="UUK29" s="3" t="s">
        <v>168</v>
      </c>
      <c r="UUL29" s="3" t="s">
        <v>169</v>
      </c>
      <c r="UUM29" s="3" t="s">
        <v>168</v>
      </c>
      <c r="UUN29" s="3" t="s">
        <v>169</v>
      </c>
      <c r="UUO29" s="3" t="s">
        <v>168</v>
      </c>
      <c r="UUP29" s="3" t="s">
        <v>169</v>
      </c>
      <c r="UUQ29" s="3" t="s">
        <v>168</v>
      </c>
      <c r="UUR29" s="3" t="s">
        <v>169</v>
      </c>
      <c r="UUS29" s="3" t="s">
        <v>168</v>
      </c>
      <c r="UUT29" s="3" t="s">
        <v>169</v>
      </c>
      <c r="UUU29" s="3" t="s">
        <v>168</v>
      </c>
      <c r="UUV29" s="3" t="s">
        <v>169</v>
      </c>
      <c r="UUW29" s="3" t="s">
        <v>168</v>
      </c>
      <c r="UUX29" s="3" t="s">
        <v>169</v>
      </c>
      <c r="UUY29" s="3" t="s">
        <v>168</v>
      </c>
      <c r="UUZ29" s="3" t="s">
        <v>169</v>
      </c>
      <c r="UVA29" s="3" t="s">
        <v>168</v>
      </c>
      <c r="UVB29" s="3" t="s">
        <v>169</v>
      </c>
      <c r="UVC29" s="3" t="s">
        <v>168</v>
      </c>
      <c r="UVD29" s="3" t="s">
        <v>169</v>
      </c>
      <c r="UVE29" s="3" t="s">
        <v>168</v>
      </c>
      <c r="UVF29" s="3" t="s">
        <v>169</v>
      </c>
      <c r="UVG29" s="3" t="s">
        <v>168</v>
      </c>
      <c r="UVH29" s="3" t="s">
        <v>169</v>
      </c>
      <c r="UVI29" s="3" t="s">
        <v>168</v>
      </c>
      <c r="UVJ29" s="3" t="s">
        <v>169</v>
      </c>
      <c r="UVK29" s="3" t="s">
        <v>168</v>
      </c>
      <c r="UVL29" s="3" t="s">
        <v>169</v>
      </c>
      <c r="UVM29" s="3" t="s">
        <v>168</v>
      </c>
      <c r="UVN29" s="3" t="s">
        <v>169</v>
      </c>
      <c r="UVO29" s="3" t="s">
        <v>168</v>
      </c>
      <c r="UVP29" s="3" t="s">
        <v>169</v>
      </c>
      <c r="UVQ29" s="3" t="s">
        <v>168</v>
      </c>
      <c r="UVR29" s="3" t="s">
        <v>169</v>
      </c>
      <c r="UVS29" s="3" t="s">
        <v>168</v>
      </c>
      <c r="UVT29" s="3" t="s">
        <v>169</v>
      </c>
      <c r="UVU29" s="3" t="s">
        <v>168</v>
      </c>
      <c r="UVV29" s="3" t="s">
        <v>169</v>
      </c>
      <c r="UVW29" s="3" t="s">
        <v>168</v>
      </c>
      <c r="UVX29" s="3" t="s">
        <v>169</v>
      </c>
      <c r="UVY29" s="3" t="s">
        <v>168</v>
      </c>
      <c r="UVZ29" s="3" t="s">
        <v>169</v>
      </c>
      <c r="UWA29" s="3" t="s">
        <v>168</v>
      </c>
      <c r="UWB29" s="3" t="s">
        <v>169</v>
      </c>
      <c r="UWC29" s="3" t="s">
        <v>168</v>
      </c>
      <c r="UWD29" s="3" t="s">
        <v>169</v>
      </c>
      <c r="UWE29" s="3" t="s">
        <v>168</v>
      </c>
      <c r="UWF29" s="3" t="s">
        <v>169</v>
      </c>
      <c r="UWG29" s="3" t="s">
        <v>168</v>
      </c>
      <c r="UWH29" s="3" t="s">
        <v>169</v>
      </c>
      <c r="UWI29" s="3" t="s">
        <v>168</v>
      </c>
      <c r="UWJ29" s="3" t="s">
        <v>169</v>
      </c>
      <c r="UWK29" s="3" t="s">
        <v>168</v>
      </c>
      <c r="UWL29" s="3" t="s">
        <v>169</v>
      </c>
      <c r="UWM29" s="3" t="s">
        <v>168</v>
      </c>
      <c r="UWN29" s="3" t="s">
        <v>169</v>
      </c>
      <c r="UWO29" s="3" t="s">
        <v>168</v>
      </c>
      <c r="UWP29" s="3" t="s">
        <v>169</v>
      </c>
      <c r="UWQ29" s="3" t="s">
        <v>168</v>
      </c>
      <c r="UWR29" s="3" t="s">
        <v>169</v>
      </c>
      <c r="UWS29" s="3" t="s">
        <v>168</v>
      </c>
      <c r="UWT29" s="3" t="s">
        <v>169</v>
      </c>
      <c r="UWU29" s="3" t="s">
        <v>168</v>
      </c>
      <c r="UWV29" s="3" t="s">
        <v>169</v>
      </c>
      <c r="UWW29" s="3" t="s">
        <v>168</v>
      </c>
      <c r="UWX29" s="3" t="s">
        <v>169</v>
      </c>
      <c r="UWY29" s="3" t="s">
        <v>168</v>
      </c>
      <c r="UWZ29" s="3" t="s">
        <v>169</v>
      </c>
      <c r="UXA29" s="3" t="s">
        <v>168</v>
      </c>
      <c r="UXB29" s="3" t="s">
        <v>169</v>
      </c>
      <c r="UXC29" s="3" t="s">
        <v>168</v>
      </c>
      <c r="UXD29" s="3" t="s">
        <v>169</v>
      </c>
      <c r="UXE29" s="3" t="s">
        <v>168</v>
      </c>
      <c r="UXF29" s="3" t="s">
        <v>169</v>
      </c>
      <c r="UXG29" s="3" t="s">
        <v>168</v>
      </c>
      <c r="UXH29" s="3" t="s">
        <v>169</v>
      </c>
      <c r="UXI29" s="3" t="s">
        <v>168</v>
      </c>
      <c r="UXJ29" s="3" t="s">
        <v>169</v>
      </c>
      <c r="UXK29" s="3" t="s">
        <v>168</v>
      </c>
      <c r="UXL29" s="3" t="s">
        <v>169</v>
      </c>
      <c r="UXM29" s="3" t="s">
        <v>168</v>
      </c>
      <c r="UXN29" s="3" t="s">
        <v>169</v>
      </c>
      <c r="UXO29" s="3" t="s">
        <v>168</v>
      </c>
      <c r="UXP29" s="3" t="s">
        <v>169</v>
      </c>
      <c r="UXQ29" s="3" t="s">
        <v>168</v>
      </c>
      <c r="UXR29" s="3" t="s">
        <v>169</v>
      </c>
      <c r="UXS29" s="3" t="s">
        <v>168</v>
      </c>
      <c r="UXT29" s="3" t="s">
        <v>169</v>
      </c>
      <c r="UXU29" s="3" t="s">
        <v>168</v>
      </c>
      <c r="UXV29" s="3" t="s">
        <v>169</v>
      </c>
      <c r="UXW29" s="3" t="s">
        <v>168</v>
      </c>
      <c r="UXX29" s="3" t="s">
        <v>169</v>
      </c>
      <c r="UXY29" s="3" t="s">
        <v>168</v>
      </c>
      <c r="UXZ29" s="3" t="s">
        <v>169</v>
      </c>
      <c r="UYA29" s="3" t="s">
        <v>168</v>
      </c>
      <c r="UYB29" s="3" t="s">
        <v>169</v>
      </c>
      <c r="UYC29" s="3" t="s">
        <v>168</v>
      </c>
      <c r="UYD29" s="3" t="s">
        <v>169</v>
      </c>
      <c r="UYE29" s="3" t="s">
        <v>168</v>
      </c>
      <c r="UYF29" s="3" t="s">
        <v>169</v>
      </c>
      <c r="UYG29" s="3" t="s">
        <v>168</v>
      </c>
      <c r="UYH29" s="3" t="s">
        <v>169</v>
      </c>
      <c r="UYI29" s="3" t="s">
        <v>168</v>
      </c>
      <c r="UYJ29" s="3" t="s">
        <v>169</v>
      </c>
      <c r="UYK29" s="3" t="s">
        <v>168</v>
      </c>
      <c r="UYL29" s="3" t="s">
        <v>169</v>
      </c>
      <c r="UYM29" s="3" t="s">
        <v>168</v>
      </c>
      <c r="UYN29" s="3" t="s">
        <v>169</v>
      </c>
      <c r="UYO29" s="3" t="s">
        <v>168</v>
      </c>
      <c r="UYP29" s="3" t="s">
        <v>169</v>
      </c>
      <c r="UYQ29" s="3" t="s">
        <v>168</v>
      </c>
      <c r="UYR29" s="3" t="s">
        <v>169</v>
      </c>
      <c r="UYS29" s="3" t="s">
        <v>168</v>
      </c>
      <c r="UYT29" s="3" t="s">
        <v>169</v>
      </c>
      <c r="UYU29" s="3" t="s">
        <v>168</v>
      </c>
      <c r="UYV29" s="3" t="s">
        <v>169</v>
      </c>
      <c r="UYW29" s="3" t="s">
        <v>168</v>
      </c>
      <c r="UYX29" s="3" t="s">
        <v>169</v>
      </c>
      <c r="UYY29" s="3" t="s">
        <v>168</v>
      </c>
      <c r="UYZ29" s="3" t="s">
        <v>169</v>
      </c>
      <c r="UZA29" s="3" t="s">
        <v>168</v>
      </c>
      <c r="UZB29" s="3" t="s">
        <v>169</v>
      </c>
      <c r="UZC29" s="3" t="s">
        <v>168</v>
      </c>
      <c r="UZD29" s="3" t="s">
        <v>169</v>
      </c>
      <c r="UZE29" s="3" t="s">
        <v>168</v>
      </c>
      <c r="UZF29" s="3" t="s">
        <v>169</v>
      </c>
      <c r="UZG29" s="3" t="s">
        <v>168</v>
      </c>
      <c r="UZH29" s="3" t="s">
        <v>169</v>
      </c>
      <c r="UZI29" s="3" t="s">
        <v>168</v>
      </c>
      <c r="UZJ29" s="3" t="s">
        <v>169</v>
      </c>
      <c r="UZK29" s="3" t="s">
        <v>168</v>
      </c>
      <c r="UZL29" s="3" t="s">
        <v>169</v>
      </c>
      <c r="UZM29" s="3" t="s">
        <v>168</v>
      </c>
      <c r="UZN29" s="3" t="s">
        <v>169</v>
      </c>
      <c r="UZO29" s="3" t="s">
        <v>168</v>
      </c>
      <c r="UZP29" s="3" t="s">
        <v>169</v>
      </c>
      <c r="UZQ29" s="3" t="s">
        <v>168</v>
      </c>
      <c r="UZR29" s="3" t="s">
        <v>169</v>
      </c>
      <c r="UZS29" s="3" t="s">
        <v>168</v>
      </c>
      <c r="UZT29" s="3" t="s">
        <v>169</v>
      </c>
      <c r="UZU29" s="3" t="s">
        <v>168</v>
      </c>
      <c r="UZV29" s="3" t="s">
        <v>169</v>
      </c>
      <c r="UZW29" s="3" t="s">
        <v>168</v>
      </c>
      <c r="UZX29" s="3" t="s">
        <v>169</v>
      </c>
      <c r="UZY29" s="3" t="s">
        <v>168</v>
      </c>
      <c r="UZZ29" s="3" t="s">
        <v>169</v>
      </c>
      <c r="VAA29" s="3" t="s">
        <v>168</v>
      </c>
      <c r="VAB29" s="3" t="s">
        <v>169</v>
      </c>
      <c r="VAC29" s="3" t="s">
        <v>168</v>
      </c>
      <c r="VAD29" s="3" t="s">
        <v>169</v>
      </c>
      <c r="VAE29" s="3" t="s">
        <v>168</v>
      </c>
      <c r="VAF29" s="3" t="s">
        <v>169</v>
      </c>
      <c r="VAG29" s="3" t="s">
        <v>168</v>
      </c>
      <c r="VAH29" s="3" t="s">
        <v>169</v>
      </c>
      <c r="VAI29" s="3" t="s">
        <v>168</v>
      </c>
      <c r="VAJ29" s="3" t="s">
        <v>169</v>
      </c>
      <c r="VAK29" s="3" t="s">
        <v>168</v>
      </c>
      <c r="VAL29" s="3" t="s">
        <v>169</v>
      </c>
      <c r="VAM29" s="3" t="s">
        <v>168</v>
      </c>
      <c r="VAN29" s="3" t="s">
        <v>169</v>
      </c>
      <c r="VAO29" s="3" t="s">
        <v>168</v>
      </c>
      <c r="VAP29" s="3" t="s">
        <v>169</v>
      </c>
      <c r="VAQ29" s="3" t="s">
        <v>168</v>
      </c>
      <c r="VAR29" s="3" t="s">
        <v>169</v>
      </c>
      <c r="VAS29" s="3" t="s">
        <v>168</v>
      </c>
      <c r="VAT29" s="3" t="s">
        <v>169</v>
      </c>
      <c r="VAU29" s="3" t="s">
        <v>168</v>
      </c>
      <c r="VAV29" s="3" t="s">
        <v>169</v>
      </c>
      <c r="VAW29" s="3" t="s">
        <v>168</v>
      </c>
      <c r="VAX29" s="3" t="s">
        <v>169</v>
      </c>
      <c r="VAY29" s="3" t="s">
        <v>168</v>
      </c>
      <c r="VAZ29" s="3" t="s">
        <v>169</v>
      </c>
      <c r="VBA29" s="3" t="s">
        <v>168</v>
      </c>
      <c r="VBB29" s="3" t="s">
        <v>169</v>
      </c>
      <c r="VBC29" s="3" t="s">
        <v>168</v>
      </c>
      <c r="VBD29" s="3" t="s">
        <v>169</v>
      </c>
      <c r="VBE29" s="3" t="s">
        <v>168</v>
      </c>
      <c r="VBF29" s="3" t="s">
        <v>169</v>
      </c>
      <c r="VBG29" s="3" t="s">
        <v>168</v>
      </c>
      <c r="VBH29" s="3" t="s">
        <v>169</v>
      </c>
      <c r="VBI29" s="3" t="s">
        <v>168</v>
      </c>
      <c r="VBJ29" s="3" t="s">
        <v>169</v>
      </c>
      <c r="VBK29" s="3" t="s">
        <v>168</v>
      </c>
      <c r="VBL29" s="3" t="s">
        <v>169</v>
      </c>
      <c r="VBM29" s="3" t="s">
        <v>168</v>
      </c>
      <c r="VBN29" s="3" t="s">
        <v>169</v>
      </c>
      <c r="VBO29" s="3" t="s">
        <v>168</v>
      </c>
      <c r="VBP29" s="3" t="s">
        <v>169</v>
      </c>
      <c r="VBQ29" s="3" t="s">
        <v>168</v>
      </c>
      <c r="VBR29" s="3" t="s">
        <v>169</v>
      </c>
      <c r="VBS29" s="3" t="s">
        <v>168</v>
      </c>
      <c r="VBT29" s="3" t="s">
        <v>169</v>
      </c>
      <c r="VBU29" s="3" t="s">
        <v>168</v>
      </c>
      <c r="VBV29" s="3" t="s">
        <v>169</v>
      </c>
      <c r="VBW29" s="3" t="s">
        <v>168</v>
      </c>
      <c r="VBX29" s="3" t="s">
        <v>169</v>
      </c>
      <c r="VBY29" s="3" t="s">
        <v>168</v>
      </c>
      <c r="VBZ29" s="3" t="s">
        <v>169</v>
      </c>
      <c r="VCA29" s="3" t="s">
        <v>168</v>
      </c>
      <c r="VCB29" s="3" t="s">
        <v>169</v>
      </c>
      <c r="VCC29" s="3" t="s">
        <v>168</v>
      </c>
      <c r="VCD29" s="3" t="s">
        <v>169</v>
      </c>
      <c r="VCE29" s="3" t="s">
        <v>168</v>
      </c>
      <c r="VCF29" s="3" t="s">
        <v>169</v>
      </c>
      <c r="VCG29" s="3" t="s">
        <v>168</v>
      </c>
      <c r="VCH29" s="3" t="s">
        <v>169</v>
      </c>
      <c r="VCI29" s="3" t="s">
        <v>168</v>
      </c>
      <c r="VCJ29" s="3" t="s">
        <v>169</v>
      </c>
      <c r="VCK29" s="3" t="s">
        <v>168</v>
      </c>
      <c r="VCL29" s="3" t="s">
        <v>169</v>
      </c>
      <c r="VCM29" s="3" t="s">
        <v>168</v>
      </c>
      <c r="VCN29" s="3" t="s">
        <v>169</v>
      </c>
      <c r="VCO29" s="3" t="s">
        <v>168</v>
      </c>
      <c r="VCP29" s="3" t="s">
        <v>169</v>
      </c>
      <c r="VCQ29" s="3" t="s">
        <v>168</v>
      </c>
      <c r="VCR29" s="3" t="s">
        <v>169</v>
      </c>
      <c r="VCS29" s="3" t="s">
        <v>168</v>
      </c>
      <c r="VCT29" s="3" t="s">
        <v>169</v>
      </c>
      <c r="VCU29" s="3" t="s">
        <v>168</v>
      </c>
      <c r="VCV29" s="3" t="s">
        <v>169</v>
      </c>
      <c r="VCW29" s="3" t="s">
        <v>168</v>
      </c>
      <c r="VCX29" s="3" t="s">
        <v>169</v>
      </c>
      <c r="VCY29" s="3" t="s">
        <v>168</v>
      </c>
      <c r="VCZ29" s="3" t="s">
        <v>169</v>
      </c>
      <c r="VDA29" s="3" t="s">
        <v>168</v>
      </c>
      <c r="VDB29" s="3" t="s">
        <v>169</v>
      </c>
      <c r="VDC29" s="3" t="s">
        <v>168</v>
      </c>
      <c r="VDD29" s="3" t="s">
        <v>169</v>
      </c>
      <c r="VDE29" s="3" t="s">
        <v>168</v>
      </c>
      <c r="VDF29" s="3" t="s">
        <v>169</v>
      </c>
      <c r="VDG29" s="3" t="s">
        <v>168</v>
      </c>
      <c r="VDH29" s="3" t="s">
        <v>169</v>
      </c>
      <c r="VDI29" s="3" t="s">
        <v>168</v>
      </c>
      <c r="VDJ29" s="3" t="s">
        <v>169</v>
      </c>
      <c r="VDK29" s="3" t="s">
        <v>168</v>
      </c>
      <c r="VDL29" s="3" t="s">
        <v>169</v>
      </c>
      <c r="VDM29" s="3" t="s">
        <v>168</v>
      </c>
      <c r="VDN29" s="3" t="s">
        <v>169</v>
      </c>
      <c r="VDO29" s="3" t="s">
        <v>168</v>
      </c>
      <c r="VDP29" s="3" t="s">
        <v>169</v>
      </c>
      <c r="VDQ29" s="3" t="s">
        <v>168</v>
      </c>
      <c r="VDR29" s="3" t="s">
        <v>169</v>
      </c>
      <c r="VDS29" s="3" t="s">
        <v>168</v>
      </c>
      <c r="VDT29" s="3" t="s">
        <v>169</v>
      </c>
      <c r="VDU29" s="3" t="s">
        <v>168</v>
      </c>
      <c r="VDV29" s="3" t="s">
        <v>169</v>
      </c>
      <c r="VDW29" s="3" t="s">
        <v>168</v>
      </c>
      <c r="VDX29" s="3" t="s">
        <v>169</v>
      </c>
      <c r="VDY29" s="3" t="s">
        <v>168</v>
      </c>
      <c r="VDZ29" s="3" t="s">
        <v>169</v>
      </c>
      <c r="VEA29" s="3" t="s">
        <v>168</v>
      </c>
      <c r="VEB29" s="3" t="s">
        <v>169</v>
      </c>
      <c r="VEC29" s="3" t="s">
        <v>168</v>
      </c>
      <c r="VED29" s="3" t="s">
        <v>169</v>
      </c>
      <c r="VEE29" s="3" t="s">
        <v>168</v>
      </c>
      <c r="VEF29" s="3" t="s">
        <v>169</v>
      </c>
      <c r="VEG29" s="3" t="s">
        <v>168</v>
      </c>
      <c r="VEH29" s="3" t="s">
        <v>169</v>
      </c>
      <c r="VEI29" s="3" t="s">
        <v>168</v>
      </c>
      <c r="VEJ29" s="3" t="s">
        <v>169</v>
      </c>
      <c r="VEK29" s="3" t="s">
        <v>168</v>
      </c>
      <c r="VEL29" s="3" t="s">
        <v>169</v>
      </c>
      <c r="VEM29" s="3" t="s">
        <v>168</v>
      </c>
      <c r="VEN29" s="3" t="s">
        <v>169</v>
      </c>
      <c r="VEO29" s="3" t="s">
        <v>168</v>
      </c>
      <c r="VEP29" s="3" t="s">
        <v>169</v>
      </c>
      <c r="VEQ29" s="3" t="s">
        <v>168</v>
      </c>
      <c r="VER29" s="3" t="s">
        <v>169</v>
      </c>
      <c r="VES29" s="3" t="s">
        <v>168</v>
      </c>
      <c r="VET29" s="3" t="s">
        <v>169</v>
      </c>
      <c r="VEU29" s="3" t="s">
        <v>168</v>
      </c>
      <c r="VEV29" s="3" t="s">
        <v>169</v>
      </c>
      <c r="VEW29" s="3" t="s">
        <v>168</v>
      </c>
      <c r="VEX29" s="3" t="s">
        <v>169</v>
      </c>
      <c r="VEY29" s="3" t="s">
        <v>168</v>
      </c>
      <c r="VEZ29" s="3" t="s">
        <v>169</v>
      </c>
      <c r="VFA29" s="3" t="s">
        <v>168</v>
      </c>
      <c r="VFB29" s="3" t="s">
        <v>169</v>
      </c>
      <c r="VFC29" s="3" t="s">
        <v>168</v>
      </c>
      <c r="VFD29" s="3" t="s">
        <v>169</v>
      </c>
      <c r="VFE29" s="3" t="s">
        <v>168</v>
      </c>
      <c r="VFF29" s="3" t="s">
        <v>169</v>
      </c>
      <c r="VFG29" s="3" t="s">
        <v>168</v>
      </c>
      <c r="VFH29" s="3" t="s">
        <v>169</v>
      </c>
      <c r="VFI29" s="3" t="s">
        <v>168</v>
      </c>
      <c r="VFJ29" s="3" t="s">
        <v>169</v>
      </c>
      <c r="VFK29" s="3" t="s">
        <v>168</v>
      </c>
      <c r="VFL29" s="3" t="s">
        <v>169</v>
      </c>
      <c r="VFM29" s="3" t="s">
        <v>168</v>
      </c>
      <c r="VFN29" s="3" t="s">
        <v>169</v>
      </c>
      <c r="VFO29" s="3" t="s">
        <v>168</v>
      </c>
      <c r="VFP29" s="3" t="s">
        <v>169</v>
      </c>
      <c r="VFQ29" s="3" t="s">
        <v>168</v>
      </c>
      <c r="VFR29" s="3" t="s">
        <v>169</v>
      </c>
      <c r="VFS29" s="3" t="s">
        <v>168</v>
      </c>
      <c r="VFT29" s="3" t="s">
        <v>169</v>
      </c>
      <c r="VFU29" s="3" t="s">
        <v>168</v>
      </c>
      <c r="VFV29" s="3" t="s">
        <v>169</v>
      </c>
      <c r="VFW29" s="3" t="s">
        <v>168</v>
      </c>
      <c r="VFX29" s="3" t="s">
        <v>169</v>
      </c>
      <c r="VFY29" s="3" t="s">
        <v>168</v>
      </c>
      <c r="VFZ29" s="3" t="s">
        <v>169</v>
      </c>
      <c r="VGA29" s="3" t="s">
        <v>168</v>
      </c>
      <c r="VGB29" s="3" t="s">
        <v>169</v>
      </c>
      <c r="VGC29" s="3" t="s">
        <v>168</v>
      </c>
      <c r="VGD29" s="3" t="s">
        <v>169</v>
      </c>
      <c r="VGE29" s="3" t="s">
        <v>168</v>
      </c>
      <c r="VGF29" s="3" t="s">
        <v>169</v>
      </c>
      <c r="VGG29" s="3" t="s">
        <v>168</v>
      </c>
      <c r="VGH29" s="3" t="s">
        <v>169</v>
      </c>
      <c r="VGI29" s="3" t="s">
        <v>168</v>
      </c>
      <c r="VGJ29" s="3" t="s">
        <v>169</v>
      </c>
      <c r="VGK29" s="3" t="s">
        <v>168</v>
      </c>
      <c r="VGL29" s="3" t="s">
        <v>169</v>
      </c>
      <c r="VGM29" s="3" t="s">
        <v>168</v>
      </c>
      <c r="VGN29" s="3" t="s">
        <v>169</v>
      </c>
      <c r="VGO29" s="3" t="s">
        <v>168</v>
      </c>
      <c r="VGP29" s="3" t="s">
        <v>169</v>
      </c>
      <c r="VGQ29" s="3" t="s">
        <v>168</v>
      </c>
      <c r="VGR29" s="3" t="s">
        <v>169</v>
      </c>
      <c r="VGS29" s="3" t="s">
        <v>168</v>
      </c>
      <c r="VGT29" s="3" t="s">
        <v>169</v>
      </c>
      <c r="VGU29" s="3" t="s">
        <v>168</v>
      </c>
      <c r="VGV29" s="3" t="s">
        <v>169</v>
      </c>
      <c r="VGW29" s="3" t="s">
        <v>168</v>
      </c>
      <c r="VGX29" s="3" t="s">
        <v>169</v>
      </c>
      <c r="VGY29" s="3" t="s">
        <v>168</v>
      </c>
      <c r="VGZ29" s="3" t="s">
        <v>169</v>
      </c>
      <c r="VHA29" s="3" t="s">
        <v>168</v>
      </c>
      <c r="VHB29" s="3" t="s">
        <v>169</v>
      </c>
      <c r="VHC29" s="3" t="s">
        <v>168</v>
      </c>
      <c r="VHD29" s="3" t="s">
        <v>169</v>
      </c>
      <c r="VHE29" s="3" t="s">
        <v>168</v>
      </c>
      <c r="VHF29" s="3" t="s">
        <v>169</v>
      </c>
      <c r="VHG29" s="3" t="s">
        <v>168</v>
      </c>
      <c r="VHH29" s="3" t="s">
        <v>169</v>
      </c>
      <c r="VHI29" s="3" t="s">
        <v>168</v>
      </c>
      <c r="VHJ29" s="3" t="s">
        <v>169</v>
      </c>
      <c r="VHK29" s="3" t="s">
        <v>168</v>
      </c>
      <c r="VHL29" s="3" t="s">
        <v>169</v>
      </c>
      <c r="VHM29" s="3" t="s">
        <v>168</v>
      </c>
      <c r="VHN29" s="3" t="s">
        <v>169</v>
      </c>
      <c r="VHO29" s="3" t="s">
        <v>168</v>
      </c>
      <c r="VHP29" s="3" t="s">
        <v>169</v>
      </c>
      <c r="VHQ29" s="3" t="s">
        <v>168</v>
      </c>
      <c r="VHR29" s="3" t="s">
        <v>169</v>
      </c>
      <c r="VHS29" s="3" t="s">
        <v>168</v>
      </c>
      <c r="VHT29" s="3" t="s">
        <v>169</v>
      </c>
      <c r="VHU29" s="3" t="s">
        <v>168</v>
      </c>
      <c r="VHV29" s="3" t="s">
        <v>169</v>
      </c>
      <c r="VHW29" s="3" t="s">
        <v>168</v>
      </c>
      <c r="VHX29" s="3" t="s">
        <v>169</v>
      </c>
      <c r="VHY29" s="3" t="s">
        <v>168</v>
      </c>
      <c r="VHZ29" s="3" t="s">
        <v>169</v>
      </c>
      <c r="VIA29" s="3" t="s">
        <v>168</v>
      </c>
      <c r="VIB29" s="3" t="s">
        <v>169</v>
      </c>
      <c r="VIC29" s="3" t="s">
        <v>168</v>
      </c>
      <c r="VID29" s="3" t="s">
        <v>169</v>
      </c>
      <c r="VIE29" s="3" t="s">
        <v>168</v>
      </c>
      <c r="VIF29" s="3" t="s">
        <v>169</v>
      </c>
      <c r="VIG29" s="3" t="s">
        <v>168</v>
      </c>
      <c r="VIH29" s="3" t="s">
        <v>169</v>
      </c>
      <c r="VII29" s="3" t="s">
        <v>168</v>
      </c>
      <c r="VIJ29" s="3" t="s">
        <v>169</v>
      </c>
      <c r="VIK29" s="3" t="s">
        <v>168</v>
      </c>
      <c r="VIL29" s="3" t="s">
        <v>169</v>
      </c>
      <c r="VIM29" s="3" t="s">
        <v>168</v>
      </c>
      <c r="VIN29" s="3" t="s">
        <v>169</v>
      </c>
      <c r="VIO29" s="3" t="s">
        <v>168</v>
      </c>
      <c r="VIP29" s="3" t="s">
        <v>169</v>
      </c>
      <c r="VIQ29" s="3" t="s">
        <v>168</v>
      </c>
      <c r="VIR29" s="3" t="s">
        <v>169</v>
      </c>
      <c r="VIS29" s="3" t="s">
        <v>168</v>
      </c>
      <c r="VIT29" s="3" t="s">
        <v>169</v>
      </c>
      <c r="VIU29" s="3" t="s">
        <v>168</v>
      </c>
      <c r="VIV29" s="3" t="s">
        <v>169</v>
      </c>
      <c r="VIW29" s="3" t="s">
        <v>168</v>
      </c>
      <c r="VIX29" s="3" t="s">
        <v>169</v>
      </c>
      <c r="VIY29" s="3" t="s">
        <v>168</v>
      </c>
      <c r="VIZ29" s="3" t="s">
        <v>169</v>
      </c>
      <c r="VJA29" s="3" t="s">
        <v>168</v>
      </c>
      <c r="VJB29" s="3" t="s">
        <v>169</v>
      </c>
      <c r="VJC29" s="3" t="s">
        <v>168</v>
      </c>
      <c r="VJD29" s="3" t="s">
        <v>169</v>
      </c>
      <c r="VJE29" s="3" t="s">
        <v>168</v>
      </c>
      <c r="VJF29" s="3" t="s">
        <v>169</v>
      </c>
      <c r="VJG29" s="3" t="s">
        <v>168</v>
      </c>
      <c r="VJH29" s="3" t="s">
        <v>169</v>
      </c>
      <c r="VJI29" s="3" t="s">
        <v>168</v>
      </c>
      <c r="VJJ29" s="3" t="s">
        <v>169</v>
      </c>
      <c r="VJK29" s="3" t="s">
        <v>168</v>
      </c>
      <c r="VJL29" s="3" t="s">
        <v>169</v>
      </c>
      <c r="VJM29" s="3" t="s">
        <v>168</v>
      </c>
      <c r="VJN29" s="3" t="s">
        <v>169</v>
      </c>
      <c r="VJO29" s="3" t="s">
        <v>168</v>
      </c>
      <c r="VJP29" s="3" t="s">
        <v>169</v>
      </c>
      <c r="VJQ29" s="3" t="s">
        <v>168</v>
      </c>
      <c r="VJR29" s="3" t="s">
        <v>169</v>
      </c>
      <c r="VJS29" s="3" t="s">
        <v>168</v>
      </c>
      <c r="VJT29" s="3" t="s">
        <v>169</v>
      </c>
      <c r="VJU29" s="3" t="s">
        <v>168</v>
      </c>
      <c r="VJV29" s="3" t="s">
        <v>169</v>
      </c>
      <c r="VJW29" s="3" t="s">
        <v>168</v>
      </c>
      <c r="VJX29" s="3" t="s">
        <v>169</v>
      </c>
      <c r="VJY29" s="3" t="s">
        <v>168</v>
      </c>
      <c r="VJZ29" s="3" t="s">
        <v>169</v>
      </c>
      <c r="VKA29" s="3" t="s">
        <v>168</v>
      </c>
      <c r="VKB29" s="3" t="s">
        <v>169</v>
      </c>
      <c r="VKC29" s="3" t="s">
        <v>168</v>
      </c>
      <c r="VKD29" s="3" t="s">
        <v>169</v>
      </c>
      <c r="VKE29" s="3" t="s">
        <v>168</v>
      </c>
      <c r="VKF29" s="3" t="s">
        <v>169</v>
      </c>
      <c r="VKG29" s="3" t="s">
        <v>168</v>
      </c>
      <c r="VKH29" s="3" t="s">
        <v>169</v>
      </c>
      <c r="VKI29" s="3" t="s">
        <v>168</v>
      </c>
      <c r="VKJ29" s="3" t="s">
        <v>169</v>
      </c>
      <c r="VKK29" s="3" t="s">
        <v>168</v>
      </c>
      <c r="VKL29" s="3" t="s">
        <v>169</v>
      </c>
      <c r="VKM29" s="3" t="s">
        <v>168</v>
      </c>
      <c r="VKN29" s="3" t="s">
        <v>169</v>
      </c>
      <c r="VKO29" s="3" t="s">
        <v>168</v>
      </c>
      <c r="VKP29" s="3" t="s">
        <v>169</v>
      </c>
      <c r="VKQ29" s="3" t="s">
        <v>168</v>
      </c>
      <c r="VKR29" s="3" t="s">
        <v>169</v>
      </c>
      <c r="VKS29" s="3" t="s">
        <v>168</v>
      </c>
      <c r="VKT29" s="3" t="s">
        <v>169</v>
      </c>
      <c r="VKU29" s="3" t="s">
        <v>168</v>
      </c>
      <c r="VKV29" s="3" t="s">
        <v>169</v>
      </c>
      <c r="VKW29" s="3" t="s">
        <v>168</v>
      </c>
      <c r="VKX29" s="3" t="s">
        <v>169</v>
      </c>
      <c r="VKY29" s="3" t="s">
        <v>168</v>
      </c>
      <c r="VKZ29" s="3" t="s">
        <v>169</v>
      </c>
      <c r="VLA29" s="3" t="s">
        <v>168</v>
      </c>
      <c r="VLB29" s="3" t="s">
        <v>169</v>
      </c>
      <c r="VLC29" s="3" t="s">
        <v>168</v>
      </c>
      <c r="VLD29" s="3" t="s">
        <v>169</v>
      </c>
      <c r="VLE29" s="3" t="s">
        <v>168</v>
      </c>
      <c r="VLF29" s="3" t="s">
        <v>169</v>
      </c>
      <c r="VLG29" s="3" t="s">
        <v>168</v>
      </c>
      <c r="VLH29" s="3" t="s">
        <v>169</v>
      </c>
      <c r="VLI29" s="3" t="s">
        <v>168</v>
      </c>
      <c r="VLJ29" s="3" t="s">
        <v>169</v>
      </c>
      <c r="VLK29" s="3" t="s">
        <v>168</v>
      </c>
      <c r="VLL29" s="3" t="s">
        <v>169</v>
      </c>
      <c r="VLM29" s="3" t="s">
        <v>168</v>
      </c>
      <c r="VLN29" s="3" t="s">
        <v>169</v>
      </c>
      <c r="VLO29" s="3" t="s">
        <v>168</v>
      </c>
      <c r="VLP29" s="3" t="s">
        <v>169</v>
      </c>
      <c r="VLQ29" s="3" t="s">
        <v>168</v>
      </c>
      <c r="VLR29" s="3" t="s">
        <v>169</v>
      </c>
      <c r="VLS29" s="3" t="s">
        <v>168</v>
      </c>
      <c r="VLT29" s="3" t="s">
        <v>169</v>
      </c>
      <c r="VLU29" s="3" t="s">
        <v>168</v>
      </c>
      <c r="VLV29" s="3" t="s">
        <v>169</v>
      </c>
      <c r="VLW29" s="3" t="s">
        <v>168</v>
      </c>
      <c r="VLX29" s="3" t="s">
        <v>169</v>
      </c>
      <c r="VLY29" s="3" t="s">
        <v>168</v>
      </c>
      <c r="VLZ29" s="3" t="s">
        <v>169</v>
      </c>
      <c r="VMA29" s="3" t="s">
        <v>168</v>
      </c>
      <c r="VMB29" s="3" t="s">
        <v>169</v>
      </c>
      <c r="VMC29" s="3" t="s">
        <v>168</v>
      </c>
      <c r="VMD29" s="3" t="s">
        <v>169</v>
      </c>
      <c r="VME29" s="3" t="s">
        <v>168</v>
      </c>
      <c r="VMF29" s="3" t="s">
        <v>169</v>
      </c>
      <c r="VMG29" s="3" t="s">
        <v>168</v>
      </c>
      <c r="VMH29" s="3" t="s">
        <v>169</v>
      </c>
      <c r="VMI29" s="3" t="s">
        <v>168</v>
      </c>
      <c r="VMJ29" s="3" t="s">
        <v>169</v>
      </c>
      <c r="VMK29" s="3" t="s">
        <v>168</v>
      </c>
      <c r="VML29" s="3" t="s">
        <v>169</v>
      </c>
      <c r="VMM29" s="3" t="s">
        <v>168</v>
      </c>
      <c r="VMN29" s="3" t="s">
        <v>169</v>
      </c>
      <c r="VMO29" s="3" t="s">
        <v>168</v>
      </c>
      <c r="VMP29" s="3" t="s">
        <v>169</v>
      </c>
      <c r="VMQ29" s="3" t="s">
        <v>168</v>
      </c>
      <c r="VMR29" s="3" t="s">
        <v>169</v>
      </c>
      <c r="VMS29" s="3" t="s">
        <v>168</v>
      </c>
      <c r="VMT29" s="3" t="s">
        <v>169</v>
      </c>
      <c r="VMU29" s="3" t="s">
        <v>168</v>
      </c>
      <c r="VMV29" s="3" t="s">
        <v>169</v>
      </c>
      <c r="VMW29" s="3" t="s">
        <v>168</v>
      </c>
      <c r="VMX29" s="3" t="s">
        <v>169</v>
      </c>
      <c r="VMY29" s="3" t="s">
        <v>168</v>
      </c>
      <c r="VMZ29" s="3" t="s">
        <v>169</v>
      </c>
      <c r="VNA29" s="3" t="s">
        <v>168</v>
      </c>
      <c r="VNB29" s="3" t="s">
        <v>169</v>
      </c>
      <c r="VNC29" s="3" t="s">
        <v>168</v>
      </c>
      <c r="VND29" s="3" t="s">
        <v>169</v>
      </c>
      <c r="VNE29" s="3" t="s">
        <v>168</v>
      </c>
      <c r="VNF29" s="3" t="s">
        <v>169</v>
      </c>
      <c r="VNG29" s="3" t="s">
        <v>168</v>
      </c>
      <c r="VNH29" s="3" t="s">
        <v>169</v>
      </c>
      <c r="VNI29" s="3" t="s">
        <v>168</v>
      </c>
      <c r="VNJ29" s="3" t="s">
        <v>169</v>
      </c>
      <c r="VNK29" s="3" t="s">
        <v>168</v>
      </c>
      <c r="VNL29" s="3" t="s">
        <v>169</v>
      </c>
      <c r="VNM29" s="3" t="s">
        <v>168</v>
      </c>
      <c r="VNN29" s="3" t="s">
        <v>169</v>
      </c>
      <c r="VNO29" s="3" t="s">
        <v>168</v>
      </c>
      <c r="VNP29" s="3" t="s">
        <v>169</v>
      </c>
      <c r="VNQ29" s="3" t="s">
        <v>168</v>
      </c>
      <c r="VNR29" s="3" t="s">
        <v>169</v>
      </c>
      <c r="VNS29" s="3" t="s">
        <v>168</v>
      </c>
      <c r="VNT29" s="3" t="s">
        <v>169</v>
      </c>
      <c r="VNU29" s="3" t="s">
        <v>168</v>
      </c>
      <c r="VNV29" s="3" t="s">
        <v>169</v>
      </c>
      <c r="VNW29" s="3" t="s">
        <v>168</v>
      </c>
      <c r="VNX29" s="3" t="s">
        <v>169</v>
      </c>
      <c r="VNY29" s="3" t="s">
        <v>168</v>
      </c>
      <c r="VNZ29" s="3" t="s">
        <v>169</v>
      </c>
      <c r="VOA29" s="3" t="s">
        <v>168</v>
      </c>
      <c r="VOB29" s="3" t="s">
        <v>169</v>
      </c>
      <c r="VOC29" s="3" t="s">
        <v>168</v>
      </c>
      <c r="VOD29" s="3" t="s">
        <v>169</v>
      </c>
      <c r="VOE29" s="3" t="s">
        <v>168</v>
      </c>
      <c r="VOF29" s="3" t="s">
        <v>169</v>
      </c>
      <c r="VOG29" s="3" t="s">
        <v>168</v>
      </c>
      <c r="VOH29" s="3" t="s">
        <v>169</v>
      </c>
      <c r="VOI29" s="3" t="s">
        <v>168</v>
      </c>
      <c r="VOJ29" s="3" t="s">
        <v>169</v>
      </c>
      <c r="VOK29" s="3" t="s">
        <v>168</v>
      </c>
      <c r="VOL29" s="3" t="s">
        <v>169</v>
      </c>
      <c r="VOM29" s="3" t="s">
        <v>168</v>
      </c>
      <c r="VON29" s="3" t="s">
        <v>169</v>
      </c>
      <c r="VOO29" s="3" t="s">
        <v>168</v>
      </c>
      <c r="VOP29" s="3" t="s">
        <v>169</v>
      </c>
      <c r="VOQ29" s="3" t="s">
        <v>168</v>
      </c>
      <c r="VOR29" s="3" t="s">
        <v>169</v>
      </c>
      <c r="VOS29" s="3" t="s">
        <v>168</v>
      </c>
      <c r="VOT29" s="3" t="s">
        <v>169</v>
      </c>
      <c r="VOU29" s="3" t="s">
        <v>168</v>
      </c>
      <c r="VOV29" s="3" t="s">
        <v>169</v>
      </c>
      <c r="VOW29" s="3" t="s">
        <v>168</v>
      </c>
      <c r="VOX29" s="3" t="s">
        <v>169</v>
      </c>
      <c r="VOY29" s="3" t="s">
        <v>168</v>
      </c>
      <c r="VOZ29" s="3" t="s">
        <v>169</v>
      </c>
      <c r="VPA29" s="3" t="s">
        <v>168</v>
      </c>
      <c r="VPB29" s="3" t="s">
        <v>169</v>
      </c>
      <c r="VPC29" s="3" t="s">
        <v>168</v>
      </c>
      <c r="VPD29" s="3" t="s">
        <v>169</v>
      </c>
      <c r="VPE29" s="3" t="s">
        <v>168</v>
      </c>
      <c r="VPF29" s="3" t="s">
        <v>169</v>
      </c>
      <c r="VPG29" s="3" t="s">
        <v>168</v>
      </c>
      <c r="VPH29" s="3" t="s">
        <v>169</v>
      </c>
      <c r="VPI29" s="3" t="s">
        <v>168</v>
      </c>
      <c r="VPJ29" s="3" t="s">
        <v>169</v>
      </c>
      <c r="VPK29" s="3" t="s">
        <v>168</v>
      </c>
      <c r="VPL29" s="3" t="s">
        <v>169</v>
      </c>
      <c r="VPM29" s="3" t="s">
        <v>168</v>
      </c>
      <c r="VPN29" s="3" t="s">
        <v>169</v>
      </c>
      <c r="VPO29" s="3" t="s">
        <v>168</v>
      </c>
      <c r="VPP29" s="3" t="s">
        <v>169</v>
      </c>
      <c r="VPQ29" s="3" t="s">
        <v>168</v>
      </c>
      <c r="VPR29" s="3" t="s">
        <v>169</v>
      </c>
      <c r="VPS29" s="3" t="s">
        <v>168</v>
      </c>
      <c r="VPT29" s="3" t="s">
        <v>169</v>
      </c>
      <c r="VPU29" s="3" t="s">
        <v>168</v>
      </c>
      <c r="VPV29" s="3" t="s">
        <v>169</v>
      </c>
      <c r="VPW29" s="3" t="s">
        <v>168</v>
      </c>
      <c r="VPX29" s="3" t="s">
        <v>169</v>
      </c>
      <c r="VPY29" s="3" t="s">
        <v>168</v>
      </c>
      <c r="VPZ29" s="3" t="s">
        <v>169</v>
      </c>
      <c r="VQA29" s="3" t="s">
        <v>168</v>
      </c>
      <c r="VQB29" s="3" t="s">
        <v>169</v>
      </c>
      <c r="VQC29" s="3" t="s">
        <v>168</v>
      </c>
      <c r="VQD29" s="3" t="s">
        <v>169</v>
      </c>
      <c r="VQE29" s="3" t="s">
        <v>168</v>
      </c>
      <c r="VQF29" s="3" t="s">
        <v>169</v>
      </c>
      <c r="VQG29" s="3" t="s">
        <v>168</v>
      </c>
      <c r="VQH29" s="3" t="s">
        <v>169</v>
      </c>
      <c r="VQI29" s="3" t="s">
        <v>168</v>
      </c>
      <c r="VQJ29" s="3" t="s">
        <v>169</v>
      </c>
      <c r="VQK29" s="3" t="s">
        <v>168</v>
      </c>
      <c r="VQL29" s="3" t="s">
        <v>169</v>
      </c>
      <c r="VQM29" s="3" t="s">
        <v>168</v>
      </c>
      <c r="VQN29" s="3" t="s">
        <v>169</v>
      </c>
      <c r="VQO29" s="3" t="s">
        <v>168</v>
      </c>
      <c r="VQP29" s="3" t="s">
        <v>169</v>
      </c>
      <c r="VQQ29" s="3" t="s">
        <v>168</v>
      </c>
      <c r="VQR29" s="3" t="s">
        <v>169</v>
      </c>
      <c r="VQS29" s="3" t="s">
        <v>168</v>
      </c>
      <c r="VQT29" s="3" t="s">
        <v>169</v>
      </c>
      <c r="VQU29" s="3" t="s">
        <v>168</v>
      </c>
      <c r="VQV29" s="3" t="s">
        <v>169</v>
      </c>
      <c r="VQW29" s="3" t="s">
        <v>168</v>
      </c>
      <c r="VQX29" s="3" t="s">
        <v>169</v>
      </c>
      <c r="VQY29" s="3" t="s">
        <v>168</v>
      </c>
      <c r="VQZ29" s="3" t="s">
        <v>169</v>
      </c>
      <c r="VRA29" s="3" t="s">
        <v>168</v>
      </c>
      <c r="VRB29" s="3" t="s">
        <v>169</v>
      </c>
      <c r="VRC29" s="3" t="s">
        <v>168</v>
      </c>
      <c r="VRD29" s="3" t="s">
        <v>169</v>
      </c>
      <c r="VRE29" s="3" t="s">
        <v>168</v>
      </c>
      <c r="VRF29" s="3" t="s">
        <v>169</v>
      </c>
      <c r="VRG29" s="3" t="s">
        <v>168</v>
      </c>
      <c r="VRH29" s="3" t="s">
        <v>169</v>
      </c>
      <c r="VRI29" s="3" t="s">
        <v>168</v>
      </c>
      <c r="VRJ29" s="3" t="s">
        <v>169</v>
      </c>
      <c r="VRK29" s="3" t="s">
        <v>168</v>
      </c>
      <c r="VRL29" s="3" t="s">
        <v>169</v>
      </c>
      <c r="VRM29" s="3" t="s">
        <v>168</v>
      </c>
      <c r="VRN29" s="3" t="s">
        <v>169</v>
      </c>
      <c r="VRO29" s="3" t="s">
        <v>168</v>
      </c>
      <c r="VRP29" s="3" t="s">
        <v>169</v>
      </c>
      <c r="VRQ29" s="3" t="s">
        <v>168</v>
      </c>
      <c r="VRR29" s="3" t="s">
        <v>169</v>
      </c>
      <c r="VRS29" s="3" t="s">
        <v>168</v>
      </c>
      <c r="VRT29" s="3" t="s">
        <v>169</v>
      </c>
      <c r="VRU29" s="3" t="s">
        <v>168</v>
      </c>
      <c r="VRV29" s="3" t="s">
        <v>169</v>
      </c>
      <c r="VRW29" s="3" t="s">
        <v>168</v>
      </c>
      <c r="VRX29" s="3" t="s">
        <v>169</v>
      </c>
      <c r="VRY29" s="3" t="s">
        <v>168</v>
      </c>
      <c r="VRZ29" s="3" t="s">
        <v>169</v>
      </c>
      <c r="VSA29" s="3" t="s">
        <v>168</v>
      </c>
      <c r="VSB29" s="3" t="s">
        <v>169</v>
      </c>
      <c r="VSC29" s="3" t="s">
        <v>168</v>
      </c>
      <c r="VSD29" s="3" t="s">
        <v>169</v>
      </c>
      <c r="VSE29" s="3" t="s">
        <v>168</v>
      </c>
      <c r="VSF29" s="3" t="s">
        <v>169</v>
      </c>
      <c r="VSG29" s="3" t="s">
        <v>168</v>
      </c>
      <c r="VSH29" s="3" t="s">
        <v>169</v>
      </c>
      <c r="VSI29" s="3" t="s">
        <v>168</v>
      </c>
      <c r="VSJ29" s="3" t="s">
        <v>169</v>
      </c>
      <c r="VSK29" s="3" t="s">
        <v>168</v>
      </c>
      <c r="VSL29" s="3" t="s">
        <v>169</v>
      </c>
      <c r="VSM29" s="3" t="s">
        <v>168</v>
      </c>
      <c r="VSN29" s="3" t="s">
        <v>169</v>
      </c>
      <c r="VSO29" s="3" t="s">
        <v>168</v>
      </c>
      <c r="VSP29" s="3" t="s">
        <v>169</v>
      </c>
      <c r="VSQ29" s="3" t="s">
        <v>168</v>
      </c>
      <c r="VSR29" s="3" t="s">
        <v>169</v>
      </c>
      <c r="VSS29" s="3" t="s">
        <v>168</v>
      </c>
      <c r="VST29" s="3" t="s">
        <v>169</v>
      </c>
      <c r="VSU29" s="3" t="s">
        <v>168</v>
      </c>
      <c r="VSV29" s="3" t="s">
        <v>169</v>
      </c>
      <c r="VSW29" s="3" t="s">
        <v>168</v>
      </c>
      <c r="VSX29" s="3" t="s">
        <v>169</v>
      </c>
      <c r="VSY29" s="3" t="s">
        <v>168</v>
      </c>
      <c r="VSZ29" s="3" t="s">
        <v>169</v>
      </c>
      <c r="VTA29" s="3" t="s">
        <v>168</v>
      </c>
      <c r="VTB29" s="3" t="s">
        <v>169</v>
      </c>
      <c r="VTC29" s="3" t="s">
        <v>168</v>
      </c>
      <c r="VTD29" s="3" t="s">
        <v>169</v>
      </c>
      <c r="VTE29" s="3" t="s">
        <v>168</v>
      </c>
      <c r="VTF29" s="3" t="s">
        <v>169</v>
      </c>
      <c r="VTG29" s="3" t="s">
        <v>168</v>
      </c>
      <c r="VTH29" s="3" t="s">
        <v>169</v>
      </c>
      <c r="VTI29" s="3" t="s">
        <v>168</v>
      </c>
      <c r="VTJ29" s="3" t="s">
        <v>169</v>
      </c>
      <c r="VTK29" s="3" t="s">
        <v>168</v>
      </c>
      <c r="VTL29" s="3" t="s">
        <v>169</v>
      </c>
      <c r="VTM29" s="3" t="s">
        <v>168</v>
      </c>
      <c r="VTN29" s="3" t="s">
        <v>169</v>
      </c>
      <c r="VTO29" s="3" t="s">
        <v>168</v>
      </c>
      <c r="VTP29" s="3" t="s">
        <v>169</v>
      </c>
      <c r="VTQ29" s="3" t="s">
        <v>168</v>
      </c>
      <c r="VTR29" s="3" t="s">
        <v>169</v>
      </c>
      <c r="VTS29" s="3" t="s">
        <v>168</v>
      </c>
      <c r="VTT29" s="3" t="s">
        <v>169</v>
      </c>
      <c r="VTU29" s="3" t="s">
        <v>168</v>
      </c>
      <c r="VTV29" s="3" t="s">
        <v>169</v>
      </c>
      <c r="VTW29" s="3" t="s">
        <v>168</v>
      </c>
      <c r="VTX29" s="3" t="s">
        <v>169</v>
      </c>
      <c r="VTY29" s="3" t="s">
        <v>168</v>
      </c>
      <c r="VTZ29" s="3" t="s">
        <v>169</v>
      </c>
      <c r="VUA29" s="3" t="s">
        <v>168</v>
      </c>
      <c r="VUB29" s="3" t="s">
        <v>169</v>
      </c>
      <c r="VUC29" s="3" t="s">
        <v>168</v>
      </c>
      <c r="VUD29" s="3" t="s">
        <v>169</v>
      </c>
      <c r="VUE29" s="3" t="s">
        <v>168</v>
      </c>
      <c r="VUF29" s="3" t="s">
        <v>169</v>
      </c>
      <c r="VUG29" s="3" t="s">
        <v>168</v>
      </c>
      <c r="VUH29" s="3" t="s">
        <v>169</v>
      </c>
      <c r="VUI29" s="3" t="s">
        <v>168</v>
      </c>
      <c r="VUJ29" s="3" t="s">
        <v>169</v>
      </c>
      <c r="VUK29" s="3" t="s">
        <v>168</v>
      </c>
      <c r="VUL29" s="3" t="s">
        <v>169</v>
      </c>
      <c r="VUM29" s="3" t="s">
        <v>168</v>
      </c>
      <c r="VUN29" s="3" t="s">
        <v>169</v>
      </c>
      <c r="VUO29" s="3" t="s">
        <v>168</v>
      </c>
      <c r="VUP29" s="3" t="s">
        <v>169</v>
      </c>
      <c r="VUQ29" s="3" t="s">
        <v>168</v>
      </c>
      <c r="VUR29" s="3" t="s">
        <v>169</v>
      </c>
      <c r="VUS29" s="3" t="s">
        <v>168</v>
      </c>
      <c r="VUT29" s="3" t="s">
        <v>169</v>
      </c>
      <c r="VUU29" s="3" t="s">
        <v>168</v>
      </c>
      <c r="VUV29" s="3" t="s">
        <v>169</v>
      </c>
      <c r="VUW29" s="3" t="s">
        <v>168</v>
      </c>
      <c r="VUX29" s="3" t="s">
        <v>169</v>
      </c>
      <c r="VUY29" s="3" t="s">
        <v>168</v>
      </c>
      <c r="VUZ29" s="3" t="s">
        <v>169</v>
      </c>
      <c r="VVA29" s="3" t="s">
        <v>168</v>
      </c>
      <c r="VVB29" s="3" t="s">
        <v>169</v>
      </c>
      <c r="VVC29" s="3" t="s">
        <v>168</v>
      </c>
      <c r="VVD29" s="3" t="s">
        <v>169</v>
      </c>
      <c r="VVE29" s="3" t="s">
        <v>168</v>
      </c>
      <c r="VVF29" s="3" t="s">
        <v>169</v>
      </c>
      <c r="VVG29" s="3" t="s">
        <v>168</v>
      </c>
      <c r="VVH29" s="3" t="s">
        <v>169</v>
      </c>
      <c r="VVI29" s="3" t="s">
        <v>168</v>
      </c>
      <c r="VVJ29" s="3" t="s">
        <v>169</v>
      </c>
      <c r="VVK29" s="3" t="s">
        <v>168</v>
      </c>
      <c r="VVL29" s="3" t="s">
        <v>169</v>
      </c>
      <c r="VVM29" s="3" t="s">
        <v>168</v>
      </c>
      <c r="VVN29" s="3" t="s">
        <v>169</v>
      </c>
      <c r="VVO29" s="3" t="s">
        <v>168</v>
      </c>
      <c r="VVP29" s="3" t="s">
        <v>169</v>
      </c>
      <c r="VVQ29" s="3" t="s">
        <v>168</v>
      </c>
      <c r="VVR29" s="3" t="s">
        <v>169</v>
      </c>
      <c r="VVS29" s="3" t="s">
        <v>168</v>
      </c>
      <c r="VVT29" s="3" t="s">
        <v>169</v>
      </c>
      <c r="VVU29" s="3" t="s">
        <v>168</v>
      </c>
      <c r="VVV29" s="3" t="s">
        <v>169</v>
      </c>
      <c r="VVW29" s="3" t="s">
        <v>168</v>
      </c>
      <c r="VVX29" s="3" t="s">
        <v>169</v>
      </c>
      <c r="VVY29" s="3" t="s">
        <v>168</v>
      </c>
      <c r="VVZ29" s="3" t="s">
        <v>169</v>
      </c>
      <c r="VWA29" s="3" t="s">
        <v>168</v>
      </c>
      <c r="VWB29" s="3" t="s">
        <v>169</v>
      </c>
      <c r="VWC29" s="3" t="s">
        <v>168</v>
      </c>
      <c r="VWD29" s="3" t="s">
        <v>169</v>
      </c>
      <c r="VWE29" s="3" t="s">
        <v>168</v>
      </c>
      <c r="VWF29" s="3" t="s">
        <v>169</v>
      </c>
      <c r="VWG29" s="3" t="s">
        <v>168</v>
      </c>
      <c r="VWH29" s="3" t="s">
        <v>169</v>
      </c>
      <c r="VWI29" s="3" t="s">
        <v>168</v>
      </c>
      <c r="VWJ29" s="3" t="s">
        <v>169</v>
      </c>
      <c r="VWK29" s="3" t="s">
        <v>168</v>
      </c>
      <c r="VWL29" s="3" t="s">
        <v>169</v>
      </c>
      <c r="VWM29" s="3" t="s">
        <v>168</v>
      </c>
      <c r="VWN29" s="3" t="s">
        <v>169</v>
      </c>
      <c r="VWO29" s="3" t="s">
        <v>168</v>
      </c>
      <c r="VWP29" s="3" t="s">
        <v>169</v>
      </c>
      <c r="VWQ29" s="3" t="s">
        <v>168</v>
      </c>
      <c r="VWR29" s="3" t="s">
        <v>169</v>
      </c>
      <c r="VWS29" s="3" t="s">
        <v>168</v>
      </c>
      <c r="VWT29" s="3" t="s">
        <v>169</v>
      </c>
      <c r="VWU29" s="3" t="s">
        <v>168</v>
      </c>
      <c r="VWV29" s="3" t="s">
        <v>169</v>
      </c>
      <c r="VWW29" s="3" t="s">
        <v>168</v>
      </c>
      <c r="VWX29" s="3" t="s">
        <v>169</v>
      </c>
      <c r="VWY29" s="3" t="s">
        <v>168</v>
      </c>
      <c r="VWZ29" s="3" t="s">
        <v>169</v>
      </c>
      <c r="VXA29" s="3" t="s">
        <v>168</v>
      </c>
      <c r="VXB29" s="3" t="s">
        <v>169</v>
      </c>
      <c r="VXC29" s="3" t="s">
        <v>168</v>
      </c>
      <c r="VXD29" s="3" t="s">
        <v>169</v>
      </c>
      <c r="VXE29" s="3" t="s">
        <v>168</v>
      </c>
      <c r="VXF29" s="3" t="s">
        <v>169</v>
      </c>
      <c r="VXG29" s="3" t="s">
        <v>168</v>
      </c>
      <c r="VXH29" s="3" t="s">
        <v>169</v>
      </c>
      <c r="VXI29" s="3" t="s">
        <v>168</v>
      </c>
      <c r="VXJ29" s="3" t="s">
        <v>169</v>
      </c>
      <c r="VXK29" s="3" t="s">
        <v>168</v>
      </c>
      <c r="VXL29" s="3" t="s">
        <v>169</v>
      </c>
      <c r="VXM29" s="3" t="s">
        <v>168</v>
      </c>
      <c r="VXN29" s="3" t="s">
        <v>169</v>
      </c>
      <c r="VXO29" s="3" t="s">
        <v>168</v>
      </c>
      <c r="VXP29" s="3" t="s">
        <v>169</v>
      </c>
      <c r="VXQ29" s="3" t="s">
        <v>168</v>
      </c>
      <c r="VXR29" s="3" t="s">
        <v>169</v>
      </c>
      <c r="VXS29" s="3" t="s">
        <v>168</v>
      </c>
      <c r="VXT29" s="3" t="s">
        <v>169</v>
      </c>
      <c r="VXU29" s="3" t="s">
        <v>168</v>
      </c>
      <c r="VXV29" s="3" t="s">
        <v>169</v>
      </c>
      <c r="VXW29" s="3" t="s">
        <v>168</v>
      </c>
      <c r="VXX29" s="3" t="s">
        <v>169</v>
      </c>
      <c r="VXY29" s="3" t="s">
        <v>168</v>
      </c>
      <c r="VXZ29" s="3" t="s">
        <v>169</v>
      </c>
      <c r="VYA29" s="3" t="s">
        <v>168</v>
      </c>
      <c r="VYB29" s="3" t="s">
        <v>169</v>
      </c>
      <c r="VYC29" s="3" t="s">
        <v>168</v>
      </c>
      <c r="VYD29" s="3" t="s">
        <v>169</v>
      </c>
      <c r="VYE29" s="3" t="s">
        <v>168</v>
      </c>
      <c r="VYF29" s="3" t="s">
        <v>169</v>
      </c>
      <c r="VYG29" s="3" t="s">
        <v>168</v>
      </c>
      <c r="VYH29" s="3" t="s">
        <v>169</v>
      </c>
      <c r="VYI29" s="3" t="s">
        <v>168</v>
      </c>
      <c r="VYJ29" s="3" t="s">
        <v>169</v>
      </c>
      <c r="VYK29" s="3" t="s">
        <v>168</v>
      </c>
      <c r="VYL29" s="3" t="s">
        <v>169</v>
      </c>
      <c r="VYM29" s="3" t="s">
        <v>168</v>
      </c>
      <c r="VYN29" s="3" t="s">
        <v>169</v>
      </c>
      <c r="VYO29" s="3" t="s">
        <v>168</v>
      </c>
      <c r="VYP29" s="3" t="s">
        <v>169</v>
      </c>
      <c r="VYQ29" s="3" t="s">
        <v>168</v>
      </c>
      <c r="VYR29" s="3" t="s">
        <v>169</v>
      </c>
      <c r="VYS29" s="3" t="s">
        <v>168</v>
      </c>
      <c r="VYT29" s="3" t="s">
        <v>169</v>
      </c>
      <c r="VYU29" s="3" t="s">
        <v>168</v>
      </c>
      <c r="VYV29" s="3" t="s">
        <v>169</v>
      </c>
      <c r="VYW29" s="3" t="s">
        <v>168</v>
      </c>
      <c r="VYX29" s="3" t="s">
        <v>169</v>
      </c>
      <c r="VYY29" s="3" t="s">
        <v>168</v>
      </c>
      <c r="VYZ29" s="3" t="s">
        <v>169</v>
      </c>
      <c r="VZA29" s="3" t="s">
        <v>168</v>
      </c>
      <c r="VZB29" s="3" t="s">
        <v>169</v>
      </c>
      <c r="VZC29" s="3" t="s">
        <v>168</v>
      </c>
      <c r="VZD29" s="3" t="s">
        <v>169</v>
      </c>
      <c r="VZE29" s="3" t="s">
        <v>168</v>
      </c>
      <c r="VZF29" s="3" t="s">
        <v>169</v>
      </c>
      <c r="VZG29" s="3" t="s">
        <v>168</v>
      </c>
      <c r="VZH29" s="3" t="s">
        <v>169</v>
      </c>
      <c r="VZI29" s="3" t="s">
        <v>168</v>
      </c>
      <c r="VZJ29" s="3" t="s">
        <v>169</v>
      </c>
      <c r="VZK29" s="3" t="s">
        <v>168</v>
      </c>
      <c r="VZL29" s="3" t="s">
        <v>169</v>
      </c>
      <c r="VZM29" s="3" t="s">
        <v>168</v>
      </c>
      <c r="VZN29" s="3" t="s">
        <v>169</v>
      </c>
      <c r="VZO29" s="3" t="s">
        <v>168</v>
      </c>
      <c r="VZP29" s="3" t="s">
        <v>169</v>
      </c>
      <c r="VZQ29" s="3" t="s">
        <v>168</v>
      </c>
      <c r="VZR29" s="3" t="s">
        <v>169</v>
      </c>
      <c r="VZS29" s="3" t="s">
        <v>168</v>
      </c>
      <c r="VZT29" s="3" t="s">
        <v>169</v>
      </c>
      <c r="VZU29" s="3" t="s">
        <v>168</v>
      </c>
      <c r="VZV29" s="3" t="s">
        <v>169</v>
      </c>
      <c r="VZW29" s="3" t="s">
        <v>168</v>
      </c>
      <c r="VZX29" s="3" t="s">
        <v>169</v>
      </c>
      <c r="VZY29" s="3" t="s">
        <v>168</v>
      </c>
      <c r="VZZ29" s="3" t="s">
        <v>169</v>
      </c>
      <c r="WAA29" s="3" t="s">
        <v>168</v>
      </c>
      <c r="WAB29" s="3" t="s">
        <v>169</v>
      </c>
      <c r="WAC29" s="3" t="s">
        <v>168</v>
      </c>
      <c r="WAD29" s="3" t="s">
        <v>169</v>
      </c>
      <c r="WAE29" s="3" t="s">
        <v>168</v>
      </c>
      <c r="WAF29" s="3" t="s">
        <v>169</v>
      </c>
      <c r="WAG29" s="3" t="s">
        <v>168</v>
      </c>
      <c r="WAH29" s="3" t="s">
        <v>169</v>
      </c>
      <c r="WAI29" s="3" t="s">
        <v>168</v>
      </c>
      <c r="WAJ29" s="3" t="s">
        <v>169</v>
      </c>
      <c r="WAK29" s="3" t="s">
        <v>168</v>
      </c>
      <c r="WAL29" s="3" t="s">
        <v>169</v>
      </c>
      <c r="WAM29" s="3" t="s">
        <v>168</v>
      </c>
      <c r="WAN29" s="3" t="s">
        <v>169</v>
      </c>
      <c r="WAO29" s="3" t="s">
        <v>168</v>
      </c>
      <c r="WAP29" s="3" t="s">
        <v>169</v>
      </c>
      <c r="WAQ29" s="3" t="s">
        <v>168</v>
      </c>
      <c r="WAR29" s="3" t="s">
        <v>169</v>
      </c>
      <c r="WAS29" s="3" t="s">
        <v>168</v>
      </c>
      <c r="WAT29" s="3" t="s">
        <v>169</v>
      </c>
      <c r="WAU29" s="3" t="s">
        <v>168</v>
      </c>
      <c r="WAV29" s="3" t="s">
        <v>169</v>
      </c>
      <c r="WAW29" s="3" t="s">
        <v>168</v>
      </c>
      <c r="WAX29" s="3" t="s">
        <v>169</v>
      </c>
      <c r="WAY29" s="3" t="s">
        <v>168</v>
      </c>
      <c r="WAZ29" s="3" t="s">
        <v>169</v>
      </c>
      <c r="WBA29" s="3" t="s">
        <v>168</v>
      </c>
      <c r="WBB29" s="3" t="s">
        <v>169</v>
      </c>
      <c r="WBC29" s="3" t="s">
        <v>168</v>
      </c>
      <c r="WBD29" s="3" t="s">
        <v>169</v>
      </c>
      <c r="WBE29" s="3" t="s">
        <v>168</v>
      </c>
      <c r="WBF29" s="3" t="s">
        <v>169</v>
      </c>
      <c r="WBG29" s="3" t="s">
        <v>168</v>
      </c>
      <c r="WBH29" s="3" t="s">
        <v>169</v>
      </c>
      <c r="WBI29" s="3" t="s">
        <v>168</v>
      </c>
      <c r="WBJ29" s="3" t="s">
        <v>169</v>
      </c>
      <c r="WBK29" s="3" t="s">
        <v>168</v>
      </c>
      <c r="WBL29" s="3" t="s">
        <v>169</v>
      </c>
      <c r="WBM29" s="3" t="s">
        <v>168</v>
      </c>
      <c r="WBN29" s="3" t="s">
        <v>169</v>
      </c>
      <c r="WBO29" s="3" t="s">
        <v>168</v>
      </c>
      <c r="WBP29" s="3" t="s">
        <v>169</v>
      </c>
      <c r="WBQ29" s="3" t="s">
        <v>168</v>
      </c>
      <c r="WBR29" s="3" t="s">
        <v>169</v>
      </c>
      <c r="WBS29" s="3" t="s">
        <v>168</v>
      </c>
      <c r="WBT29" s="3" t="s">
        <v>169</v>
      </c>
      <c r="WBU29" s="3" t="s">
        <v>168</v>
      </c>
      <c r="WBV29" s="3" t="s">
        <v>169</v>
      </c>
      <c r="WBW29" s="3" t="s">
        <v>168</v>
      </c>
      <c r="WBX29" s="3" t="s">
        <v>169</v>
      </c>
      <c r="WBY29" s="3" t="s">
        <v>168</v>
      </c>
      <c r="WBZ29" s="3" t="s">
        <v>169</v>
      </c>
      <c r="WCA29" s="3" t="s">
        <v>168</v>
      </c>
      <c r="WCB29" s="3" t="s">
        <v>169</v>
      </c>
      <c r="WCC29" s="3" t="s">
        <v>168</v>
      </c>
      <c r="WCD29" s="3" t="s">
        <v>169</v>
      </c>
      <c r="WCE29" s="3" t="s">
        <v>168</v>
      </c>
      <c r="WCF29" s="3" t="s">
        <v>169</v>
      </c>
      <c r="WCG29" s="3" t="s">
        <v>168</v>
      </c>
      <c r="WCH29" s="3" t="s">
        <v>169</v>
      </c>
      <c r="WCI29" s="3" t="s">
        <v>168</v>
      </c>
      <c r="WCJ29" s="3" t="s">
        <v>169</v>
      </c>
      <c r="WCK29" s="3" t="s">
        <v>168</v>
      </c>
      <c r="WCL29" s="3" t="s">
        <v>169</v>
      </c>
      <c r="WCM29" s="3" t="s">
        <v>168</v>
      </c>
      <c r="WCN29" s="3" t="s">
        <v>169</v>
      </c>
      <c r="WCO29" s="3" t="s">
        <v>168</v>
      </c>
      <c r="WCP29" s="3" t="s">
        <v>169</v>
      </c>
      <c r="WCQ29" s="3" t="s">
        <v>168</v>
      </c>
      <c r="WCR29" s="3" t="s">
        <v>169</v>
      </c>
      <c r="WCS29" s="3" t="s">
        <v>168</v>
      </c>
      <c r="WCT29" s="3" t="s">
        <v>169</v>
      </c>
      <c r="WCU29" s="3" t="s">
        <v>168</v>
      </c>
      <c r="WCV29" s="3" t="s">
        <v>169</v>
      </c>
      <c r="WCW29" s="3" t="s">
        <v>168</v>
      </c>
      <c r="WCX29" s="3" t="s">
        <v>169</v>
      </c>
      <c r="WCY29" s="3" t="s">
        <v>168</v>
      </c>
      <c r="WCZ29" s="3" t="s">
        <v>169</v>
      </c>
      <c r="WDA29" s="3" t="s">
        <v>168</v>
      </c>
      <c r="WDB29" s="3" t="s">
        <v>169</v>
      </c>
      <c r="WDC29" s="3" t="s">
        <v>168</v>
      </c>
      <c r="WDD29" s="3" t="s">
        <v>169</v>
      </c>
      <c r="WDE29" s="3" t="s">
        <v>168</v>
      </c>
      <c r="WDF29" s="3" t="s">
        <v>169</v>
      </c>
      <c r="WDG29" s="3" t="s">
        <v>168</v>
      </c>
      <c r="WDH29" s="3" t="s">
        <v>169</v>
      </c>
      <c r="WDI29" s="3" t="s">
        <v>168</v>
      </c>
      <c r="WDJ29" s="3" t="s">
        <v>169</v>
      </c>
      <c r="WDK29" s="3" t="s">
        <v>168</v>
      </c>
      <c r="WDL29" s="3" t="s">
        <v>169</v>
      </c>
      <c r="WDM29" s="3" t="s">
        <v>168</v>
      </c>
      <c r="WDN29" s="3" t="s">
        <v>169</v>
      </c>
      <c r="WDO29" s="3" t="s">
        <v>168</v>
      </c>
      <c r="WDP29" s="3" t="s">
        <v>169</v>
      </c>
      <c r="WDQ29" s="3" t="s">
        <v>168</v>
      </c>
      <c r="WDR29" s="3" t="s">
        <v>169</v>
      </c>
      <c r="WDS29" s="3" t="s">
        <v>168</v>
      </c>
      <c r="WDT29" s="3" t="s">
        <v>169</v>
      </c>
      <c r="WDU29" s="3" t="s">
        <v>168</v>
      </c>
      <c r="WDV29" s="3" t="s">
        <v>169</v>
      </c>
      <c r="WDW29" s="3" t="s">
        <v>168</v>
      </c>
      <c r="WDX29" s="3" t="s">
        <v>169</v>
      </c>
      <c r="WDY29" s="3" t="s">
        <v>168</v>
      </c>
      <c r="WDZ29" s="3" t="s">
        <v>169</v>
      </c>
      <c r="WEA29" s="3" t="s">
        <v>168</v>
      </c>
      <c r="WEB29" s="3" t="s">
        <v>169</v>
      </c>
      <c r="WEC29" s="3" t="s">
        <v>168</v>
      </c>
      <c r="WED29" s="3" t="s">
        <v>169</v>
      </c>
      <c r="WEE29" s="3" t="s">
        <v>168</v>
      </c>
      <c r="WEF29" s="3" t="s">
        <v>169</v>
      </c>
      <c r="WEG29" s="3" t="s">
        <v>168</v>
      </c>
      <c r="WEH29" s="3" t="s">
        <v>169</v>
      </c>
      <c r="WEI29" s="3" t="s">
        <v>168</v>
      </c>
      <c r="WEJ29" s="3" t="s">
        <v>169</v>
      </c>
      <c r="WEK29" s="3" t="s">
        <v>168</v>
      </c>
      <c r="WEL29" s="3" t="s">
        <v>169</v>
      </c>
      <c r="WEM29" s="3" t="s">
        <v>168</v>
      </c>
      <c r="WEN29" s="3" t="s">
        <v>169</v>
      </c>
      <c r="WEO29" s="3" t="s">
        <v>168</v>
      </c>
      <c r="WEP29" s="3" t="s">
        <v>169</v>
      </c>
      <c r="WEQ29" s="3" t="s">
        <v>168</v>
      </c>
      <c r="WER29" s="3" t="s">
        <v>169</v>
      </c>
      <c r="WES29" s="3" t="s">
        <v>168</v>
      </c>
      <c r="WET29" s="3" t="s">
        <v>169</v>
      </c>
      <c r="WEU29" s="3" t="s">
        <v>168</v>
      </c>
      <c r="WEV29" s="3" t="s">
        <v>169</v>
      </c>
      <c r="WEW29" s="3" t="s">
        <v>168</v>
      </c>
      <c r="WEX29" s="3" t="s">
        <v>169</v>
      </c>
      <c r="WEY29" s="3" t="s">
        <v>168</v>
      </c>
      <c r="WEZ29" s="3" t="s">
        <v>169</v>
      </c>
      <c r="WFA29" s="3" t="s">
        <v>168</v>
      </c>
      <c r="WFB29" s="3" t="s">
        <v>169</v>
      </c>
      <c r="WFC29" s="3" t="s">
        <v>168</v>
      </c>
      <c r="WFD29" s="3" t="s">
        <v>169</v>
      </c>
      <c r="WFE29" s="3" t="s">
        <v>168</v>
      </c>
      <c r="WFF29" s="3" t="s">
        <v>169</v>
      </c>
      <c r="WFG29" s="3" t="s">
        <v>168</v>
      </c>
      <c r="WFH29" s="3" t="s">
        <v>169</v>
      </c>
      <c r="WFI29" s="3" t="s">
        <v>168</v>
      </c>
      <c r="WFJ29" s="3" t="s">
        <v>169</v>
      </c>
      <c r="WFK29" s="3" t="s">
        <v>168</v>
      </c>
      <c r="WFL29" s="3" t="s">
        <v>169</v>
      </c>
      <c r="WFM29" s="3" t="s">
        <v>168</v>
      </c>
      <c r="WFN29" s="3" t="s">
        <v>169</v>
      </c>
      <c r="WFO29" s="3" t="s">
        <v>168</v>
      </c>
      <c r="WFP29" s="3" t="s">
        <v>169</v>
      </c>
      <c r="WFQ29" s="3" t="s">
        <v>168</v>
      </c>
      <c r="WFR29" s="3" t="s">
        <v>169</v>
      </c>
      <c r="WFS29" s="3" t="s">
        <v>168</v>
      </c>
      <c r="WFT29" s="3" t="s">
        <v>169</v>
      </c>
      <c r="WFU29" s="3" t="s">
        <v>168</v>
      </c>
      <c r="WFV29" s="3" t="s">
        <v>169</v>
      </c>
      <c r="WFW29" s="3" t="s">
        <v>168</v>
      </c>
      <c r="WFX29" s="3" t="s">
        <v>169</v>
      </c>
      <c r="WFY29" s="3" t="s">
        <v>168</v>
      </c>
      <c r="WFZ29" s="3" t="s">
        <v>169</v>
      </c>
      <c r="WGA29" s="3" t="s">
        <v>168</v>
      </c>
      <c r="WGB29" s="3" t="s">
        <v>169</v>
      </c>
      <c r="WGC29" s="3" t="s">
        <v>168</v>
      </c>
      <c r="WGD29" s="3" t="s">
        <v>169</v>
      </c>
      <c r="WGE29" s="3" t="s">
        <v>168</v>
      </c>
      <c r="WGF29" s="3" t="s">
        <v>169</v>
      </c>
      <c r="WGG29" s="3" t="s">
        <v>168</v>
      </c>
      <c r="WGH29" s="3" t="s">
        <v>169</v>
      </c>
      <c r="WGI29" s="3" t="s">
        <v>168</v>
      </c>
      <c r="WGJ29" s="3" t="s">
        <v>169</v>
      </c>
      <c r="WGK29" s="3" t="s">
        <v>168</v>
      </c>
      <c r="WGL29" s="3" t="s">
        <v>169</v>
      </c>
      <c r="WGM29" s="3" t="s">
        <v>168</v>
      </c>
      <c r="WGN29" s="3" t="s">
        <v>169</v>
      </c>
      <c r="WGO29" s="3" t="s">
        <v>168</v>
      </c>
      <c r="WGP29" s="3" t="s">
        <v>169</v>
      </c>
      <c r="WGQ29" s="3" t="s">
        <v>168</v>
      </c>
      <c r="WGR29" s="3" t="s">
        <v>169</v>
      </c>
      <c r="WGS29" s="3" t="s">
        <v>168</v>
      </c>
      <c r="WGT29" s="3" t="s">
        <v>169</v>
      </c>
      <c r="WGU29" s="3" t="s">
        <v>168</v>
      </c>
      <c r="WGV29" s="3" t="s">
        <v>169</v>
      </c>
      <c r="WGW29" s="3" t="s">
        <v>168</v>
      </c>
      <c r="WGX29" s="3" t="s">
        <v>169</v>
      </c>
      <c r="WGY29" s="3" t="s">
        <v>168</v>
      </c>
      <c r="WGZ29" s="3" t="s">
        <v>169</v>
      </c>
      <c r="WHA29" s="3" t="s">
        <v>168</v>
      </c>
      <c r="WHB29" s="3" t="s">
        <v>169</v>
      </c>
      <c r="WHC29" s="3" t="s">
        <v>168</v>
      </c>
      <c r="WHD29" s="3" t="s">
        <v>169</v>
      </c>
      <c r="WHE29" s="3" t="s">
        <v>168</v>
      </c>
      <c r="WHF29" s="3" t="s">
        <v>169</v>
      </c>
      <c r="WHG29" s="3" t="s">
        <v>168</v>
      </c>
      <c r="WHH29" s="3" t="s">
        <v>169</v>
      </c>
      <c r="WHI29" s="3" t="s">
        <v>168</v>
      </c>
      <c r="WHJ29" s="3" t="s">
        <v>169</v>
      </c>
      <c r="WHK29" s="3" t="s">
        <v>168</v>
      </c>
      <c r="WHL29" s="3" t="s">
        <v>169</v>
      </c>
      <c r="WHM29" s="3" t="s">
        <v>168</v>
      </c>
      <c r="WHN29" s="3" t="s">
        <v>169</v>
      </c>
      <c r="WHO29" s="3" t="s">
        <v>168</v>
      </c>
      <c r="WHP29" s="3" t="s">
        <v>169</v>
      </c>
      <c r="WHQ29" s="3" t="s">
        <v>168</v>
      </c>
      <c r="WHR29" s="3" t="s">
        <v>169</v>
      </c>
      <c r="WHS29" s="3" t="s">
        <v>168</v>
      </c>
      <c r="WHT29" s="3" t="s">
        <v>169</v>
      </c>
      <c r="WHU29" s="3" t="s">
        <v>168</v>
      </c>
      <c r="WHV29" s="3" t="s">
        <v>169</v>
      </c>
      <c r="WHW29" s="3" t="s">
        <v>168</v>
      </c>
      <c r="WHX29" s="3" t="s">
        <v>169</v>
      </c>
      <c r="WHY29" s="3" t="s">
        <v>168</v>
      </c>
      <c r="WHZ29" s="3" t="s">
        <v>169</v>
      </c>
      <c r="WIA29" s="3" t="s">
        <v>168</v>
      </c>
      <c r="WIB29" s="3" t="s">
        <v>169</v>
      </c>
      <c r="WIC29" s="3" t="s">
        <v>168</v>
      </c>
      <c r="WID29" s="3" t="s">
        <v>169</v>
      </c>
      <c r="WIE29" s="3" t="s">
        <v>168</v>
      </c>
      <c r="WIF29" s="3" t="s">
        <v>169</v>
      </c>
      <c r="WIG29" s="3" t="s">
        <v>168</v>
      </c>
      <c r="WIH29" s="3" t="s">
        <v>169</v>
      </c>
      <c r="WII29" s="3" t="s">
        <v>168</v>
      </c>
      <c r="WIJ29" s="3" t="s">
        <v>169</v>
      </c>
      <c r="WIK29" s="3" t="s">
        <v>168</v>
      </c>
      <c r="WIL29" s="3" t="s">
        <v>169</v>
      </c>
      <c r="WIM29" s="3" t="s">
        <v>168</v>
      </c>
      <c r="WIN29" s="3" t="s">
        <v>169</v>
      </c>
      <c r="WIO29" s="3" t="s">
        <v>168</v>
      </c>
      <c r="WIP29" s="3" t="s">
        <v>169</v>
      </c>
      <c r="WIQ29" s="3" t="s">
        <v>168</v>
      </c>
      <c r="WIR29" s="3" t="s">
        <v>169</v>
      </c>
      <c r="WIS29" s="3" t="s">
        <v>168</v>
      </c>
      <c r="WIT29" s="3" t="s">
        <v>169</v>
      </c>
      <c r="WIU29" s="3" t="s">
        <v>168</v>
      </c>
      <c r="WIV29" s="3" t="s">
        <v>169</v>
      </c>
      <c r="WIW29" s="3" t="s">
        <v>168</v>
      </c>
      <c r="WIX29" s="3" t="s">
        <v>169</v>
      </c>
      <c r="WIY29" s="3" t="s">
        <v>168</v>
      </c>
      <c r="WIZ29" s="3" t="s">
        <v>169</v>
      </c>
      <c r="WJA29" s="3" t="s">
        <v>168</v>
      </c>
      <c r="WJB29" s="3" t="s">
        <v>169</v>
      </c>
      <c r="WJC29" s="3" t="s">
        <v>168</v>
      </c>
      <c r="WJD29" s="3" t="s">
        <v>169</v>
      </c>
      <c r="WJE29" s="3" t="s">
        <v>168</v>
      </c>
      <c r="WJF29" s="3" t="s">
        <v>169</v>
      </c>
      <c r="WJG29" s="3" t="s">
        <v>168</v>
      </c>
      <c r="WJH29" s="3" t="s">
        <v>169</v>
      </c>
      <c r="WJI29" s="3" t="s">
        <v>168</v>
      </c>
      <c r="WJJ29" s="3" t="s">
        <v>169</v>
      </c>
      <c r="WJK29" s="3" t="s">
        <v>168</v>
      </c>
      <c r="WJL29" s="3" t="s">
        <v>169</v>
      </c>
      <c r="WJM29" s="3" t="s">
        <v>168</v>
      </c>
      <c r="WJN29" s="3" t="s">
        <v>169</v>
      </c>
      <c r="WJO29" s="3" t="s">
        <v>168</v>
      </c>
      <c r="WJP29" s="3" t="s">
        <v>169</v>
      </c>
      <c r="WJQ29" s="3" t="s">
        <v>168</v>
      </c>
      <c r="WJR29" s="3" t="s">
        <v>169</v>
      </c>
      <c r="WJS29" s="3" t="s">
        <v>168</v>
      </c>
      <c r="WJT29" s="3" t="s">
        <v>169</v>
      </c>
      <c r="WJU29" s="3" t="s">
        <v>168</v>
      </c>
      <c r="WJV29" s="3" t="s">
        <v>169</v>
      </c>
      <c r="WJW29" s="3" t="s">
        <v>168</v>
      </c>
      <c r="WJX29" s="3" t="s">
        <v>169</v>
      </c>
      <c r="WJY29" s="3" t="s">
        <v>168</v>
      </c>
      <c r="WJZ29" s="3" t="s">
        <v>169</v>
      </c>
      <c r="WKA29" s="3" t="s">
        <v>168</v>
      </c>
      <c r="WKB29" s="3" t="s">
        <v>169</v>
      </c>
      <c r="WKC29" s="3" t="s">
        <v>168</v>
      </c>
      <c r="WKD29" s="3" t="s">
        <v>169</v>
      </c>
      <c r="WKE29" s="3" t="s">
        <v>168</v>
      </c>
      <c r="WKF29" s="3" t="s">
        <v>169</v>
      </c>
      <c r="WKG29" s="3" t="s">
        <v>168</v>
      </c>
      <c r="WKH29" s="3" t="s">
        <v>169</v>
      </c>
      <c r="WKI29" s="3" t="s">
        <v>168</v>
      </c>
      <c r="WKJ29" s="3" t="s">
        <v>169</v>
      </c>
      <c r="WKK29" s="3" t="s">
        <v>168</v>
      </c>
      <c r="WKL29" s="3" t="s">
        <v>169</v>
      </c>
      <c r="WKM29" s="3" t="s">
        <v>168</v>
      </c>
      <c r="WKN29" s="3" t="s">
        <v>169</v>
      </c>
      <c r="WKO29" s="3" t="s">
        <v>168</v>
      </c>
      <c r="WKP29" s="3" t="s">
        <v>169</v>
      </c>
      <c r="WKQ29" s="3" t="s">
        <v>168</v>
      </c>
      <c r="WKR29" s="3" t="s">
        <v>169</v>
      </c>
      <c r="WKS29" s="3" t="s">
        <v>168</v>
      </c>
      <c r="WKT29" s="3" t="s">
        <v>169</v>
      </c>
      <c r="WKU29" s="3" t="s">
        <v>168</v>
      </c>
      <c r="WKV29" s="3" t="s">
        <v>169</v>
      </c>
      <c r="WKW29" s="3" t="s">
        <v>168</v>
      </c>
      <c r="WKX29" s="3" t="s">
        <v>169</v>
      </c>
      <c r="WKY29" s="3" t="s">
        <v>168</v>
      </c>
      <c r="WKZ29" s="3" t="s">
        <v>169</v>
      </c>
      <c r="WLA29" s="3" t="s">
        <v>168</v>
      </c>
      <c r="WLB29" s="3" t="s">
        <v>169</v>
      </c>
      <c r="WLC29" s="3" t="s">
        <v>168</v>
      </c>
      <c r="WLD29" s="3" t="s">
        <v>169</v>
      </c>
      <c r="WLE29" s="3" t="s">
        <v>168</v>
      </c>
      <c r="WLF29" s="3" t="s">
        <v>169</v>
      </c>
      <c r="WLG29" s="3" t="s">
        <v>168</v>
      </c>
      <c r="WLH29" s="3" t="s">
        <v>169</v>
      </c>
      <c r="WLI29" s="3" t="s">
        <v>168</v>
      </c>
      <c r="WLJ29" s="3" t="s">
        <v>169</v>
      </c>
      <c r="WLK29" s="3" t="s">
        <v>168</v>
      </c>
      <c r="WLL29" s="3" t="s">
        <v>169</v>
      </c>
      <c r="WLM29" s="3" t="s">
        <v>168</v>
      </c>
      <c r="WLN29" s="3" t="s">
        <v>169</v>
      </c>
      <c r="WLO29" s="3" t="s">
        <v>168</v>
      </c>
      <c r="WLP29" s="3" t="s">
        <v>169</v>
      </c>
      <c r="WLQ29" s="3" t="s">
        <v>168</v>
      </c>
      <c r="WLR29" s="3" t="s">
        <v>169</v>
      </c>
      <c r="WLS29" s="3" t="s">
        <v>168</v>
      </c>
      <c r="WLT29" s="3" t="s">
        <v>169</v>
      </c>
      <c r="WLU29" s="3" t="s">
        <v>168</v>
      </c>
      <c r="WLV29" s="3" t="s">
        <v>169</v>
      </c>
      <c r="WLW29" s="3" t="s">
        <v>168</v>
      </c>
      <c r="WLX29" s="3" t="s">
        <v>169</v>
      </c>
      <c r="WLY29" s="3" t="s">
        <v>168</v>
      </c>
      <c r="WLZ29" s="3" t="s">
        <v>169</v>
      </c>
      <c r="WMA29" s="3" t="s">
        <v>168</v>
      </c>
      <c r="WMB29" s="3" t="s">
        <v>169</v>
      </c>
      <c r="WMC29" s="3" t="s">
        <v>168</v>
      </c>
      <c r="WMD29" s="3" t="s">
        <v>169</v>
      </c>
      <c r="WME29" s="3" t="s">
        <v>168</v>
      </c>
      <c r="WMF29" s="3" t="s">
        <v>169</v>
      </c>
      <c r="WMG29" s="3" t="s">
        <v>168</v>
      </c>
      <c r="WMH29" s="3" t="s">
        <v>169</v>
      </c>
      <c r="WMI29" s="3" t="s">
        <v>168</v>
      </c>
      <c r="WMJ29" s="3" t="s">
        <v>169</v>
      </c>
      <c r="WMK29" s="3" t="s">
        <v>168</v>
      </c>
      <c r="WML29" s="3" t="s">
        <v>169</v>
      </c>
      <c r="WMM29" s="3" t="s">
        <v>168</v>
      </c>
      <c r="WMN29" s="3" t="s">
        <v>169</v>
      </c>
      <c r="WMO29" s="3" t="s">
        <v>168</v>
      </c>
      <c r="WMP29" s="3" t="s">
        <v>169</v>
      </c>
      <c r="WMQ29" s="3" t="s">
        <v>168</v>
      </c>
      <c r="WMR29" s="3" t="s">
        <v>169</v>
      </c>
      <c r="WMS29" s="3" t="s">
        <v>168</v>
      </c>
      <c r="WMT29" s="3" t="s">
        <v>169</v>
      </c>
      <c r="WMU29" s="3" t="s">
        <v>168</v>
      </c>
      <c r="WMV29" s="3" t="s">
        <v>169</v>
      </c>
      <c r="WMW29" s="3" t="s">
        <v>168</v>
      </c>
      <c r="WMX29" s="3" t="s">
        <v>169</v>
      </c>
      <c r="WMY29" s="3" t="s">
        <v>168</v>
      </c>
      <c r="WMZ29" s="3" t="s">
        <v>169</v>
      </c>
      <c r="WNA29" s="3" t="s">
        <v>168</v>
      </c>
      <c r="WNB29" s="3" t="s">
        <v>169</v>
      </c>
      <c r="WNC29" s="3" t="s">
        <v>168</v>
      </c>
      <c r="WND29" s="3" t="s">
        <v>169</v>
      </c>
      <c r="WNE29" s="3" t="s">
        <v>168</v>
      </c>
      <c r="WNF29" s="3" t="s">
        <v>169</v>
      </c>
      <c r="WNG29" s="3" t="s">
        <v>168</v>
      </c>
      <c r="WNH29" s="3" t="s">
        <v>169</v>
      </c>
      <c r="WNI29" s="3" t="s">
        <v>168</v>
      </c>
      <c r="WNJ29" s="3" t="s">
        <v>169</v>
      </c>
      <c r="WNK29" s="3" t="s">
        <v>168</v>
      </c>
      <c r="WNL29" s="3" t="s">
        <v>169</v>
      </c>
      <c r="WNM29" s="3" t="s">
        <v>168</v>
      </c>
      <c r="WNN29" s="3" t="s">
        <v>169</v>
      </c>
      <c r="WNO29" s="3" t="s">
        <v>168</v>
      </c>
      <c r="WNP29" s="3" t="s">
        <v>169</v>
      </c>
      <c r="WNQ29" s="3" t="s">
        <v>168</v>
      </c>
      <c r="WNR29" s="3" t="s">
        <v>169</v>
      </c>
      <c r="WNS29" s="3" t="s">
        <v>168</v>
      </c>
      <c r="WNT29" s="3" t="s">
        <v>169</v>
      </c>
      <c r="WNU29" s="3" t="s">
        <v>168</v>
      </c>
      <c r="WNV29" s="3" t="s">
        <v>169</v>
      </c>
      <c r="WNW29" s="3" t="s">
        <v>168</v>
      </c>
      <c r="WNX29" s="3" t="s">
        <v>169</v>
      </c>
      <c r="WNY29" s="3" t="s">
        <v>168</v>
      </c>
      <c r="WNZ29" s="3" t="s">
        <v>169</v>
      </c>
      <c r="WOA29" s="3" t="s">
        <v>168</v>
      </c>
      <c r="WOB29" s="3" t="s">
        <v>169</v>
      </c>
      <c r="WOC29" s="3" t="s">
        <v>168</v>
      </c>
      <c r="WOD29" s="3" t="s">
        <v>169</v>
      </c>
      <c r="WOE29" s="3" t="s">
        <v>168</v>
      </c>
      <c r="WOF29" s="3" t="s">
        <v>169</v>
      </c>
      <c r="WOG29" s="3" t="s">
        <v>168</v>
      </c>
      <c r="WOH29" s="3" t="s">
        <v>169</v>
      </c>
      <c r="WOI29" s="3" t="s">
        <v>168</v>
      </c>
      <c r="WOJ29" s="3" t="s">
        <v>169</v>
      </c>
      <c r="WOK29" s="3" t="s">
        <v>168</v>
      </c>
      <c r="WOL29" s="3" t="s">
        <v>169</v>
      </c>
      <c r="WOM29" s="3" t="s">
        <v>168</v>
      </c>
      <c r="WON29" s="3" t="s">
        <v>169</v>
      </c>
      <c r="WOO29" s="3" t="s">
        <v>168</v>
      </c>
      <c r="WOP29" s="3" t="s">
        <v>169</v>
      </c>
      <c r="WOQ29" s="3" t="s">
        <v>168</v>
      </c>
      <c r="WOR29" s="3" t="s">
        <v>169</v>
      </c>
      <c r="WOS29" s="3" t="s">
        <v>168</v>
      </c>
      <c r="WOT29" s="3" t="s">
        <v>169</v>
      </c>
      <c r="WOU29" s="3" t="s">
        <v>168</v>
      </c>
      <c r="WOV29" s="3" t="s">
        <v>169</v>
      </c>
      <c r="WOW29" s="3" t="s">
        <v>168</v>
      </c>
      <c r="WOX29" s="3" t="s">
        <v>169</v>
      </c>
      <c r="WOY29" s="3" t="s">
        <v>168</v>
      </c>
      <c r="WOZ29" s="3" t="s">
        <v>169</v>
      </c>
      <c r="WPA29" s="3" t="s">
        <v>168</v>
      </c>
      <c r="WPB29" s="3" t="s">
        <v>169</v>
      </c>
      <c r="WPC29" s="3" t="s">
        <v>168</v>
      </c>
      <c r="WPD29" s="3" t="s">
        <v>169</v>
      </c>
      <c r="WPE29" s="3" t="s">
        <v>168</v>
      </c>
      <c r="WPF29" s="3" t="s">
        <v>169</v>
      </c>
      <c r="WPG29" s="3" t="s">
        <v>168</v>
      </c>
      <c r="WPH29" s="3" t="s">
        <v>169</v>
      </c>
      <c r="WPI29" s="3" t="s">
        <v>168</v>
      </c>
      <c r="WPJ29" s="3" t="s">
        <v>169</v>
      </c>
      <c r="WPK29" s="3" t="s">
        <v>168</v>
      </c>
      <c r="WPL29" s="3" t="s">
        <v>169</v>
      </c>
      <c r="WPM29" s="3" t="s">
        <v>168</v>
      </c>
      <c r="WPN29" s="3" t="s">
        <v>169</v>
      </c>
      <c r="WPO29" s="3" t="s">
        <v>168</v>
      </c>
      <c r="WPP29" s="3" t="s">
        <v>169</v>
      </c>
      <c r="WPQ29" s="3" t="s">
        <v>168</v>
      </c>
      <c r="WPR29" s="3" t="s">
        <v>169</v>
      </c>
      <c r="WPS29" s="3" t="s">
        <v>168</v>
      </c>
      <c r="WPT29" s="3" t="s">
        <v>169</v>
      </c>
      <c r="WPU29" s="3" t="s">
        <v>168</v>
      </c>
      <c r="WPV29" s="3" t="s">
        <v>169</v>
      </c>
      <c r="WPW29" s="3" t="s">
        <v>168</v>
      </c>
      <c r="WPX29" s="3" t="s">
        <v>169</v>
      </c>
      <c r="WPY29" s="3" t="s">
        <v>168</v>
      </c>
      <c r="WPZ29" s="3" t="s">
        <v>169</v>
      </c>
      <c r="WQA29" s="3" t="s">
        <v>168</v>
      </c>
      <c r="WQB29" s="3" t="s">
        <v>169</v>
      </c>
      <c r="WQC29" s="3" t="s">
        <v>168</v>
      </c>
      <c r="WQD29" s="3" t="s">
        <v>169</v>
      </c>
      <c r="WQE29" s="3" t="s">
        <v>168</v>
      </c>
      <c r="WQF29" s="3" t="s">
        <v>169</v>
      </c>
      <c r="WQG29" s="3" t="s">
        <v>168</v>
      </c>
      <c r="WQH29" s="3" t="s">
        <v>169</v>
      </c>
      <c r="WQI29" s="3" t="s">
        <v>168</v>
      </c>
      <c r="WQJ29" s="3" t="s">
        <v>169</v>
      </c>
      <c r="WQK29" s="3" t="s">
        <v>168</v>
      </c>
      <c r="WQL29" s="3" t="s">
        <v>169</v>
      </c>
      <c r="WQM29" s="3" t="s">
        <v>168</v>
      </c>
      <c r="WQN29" s="3" t="s">
        <v>169</v>
      </c>
      <c r="WQO29" s="3" t="s">
        <v>168</v>
      </c>
      <c r="WQP29" s="3" t="s">
        <v>169</v>
      </c>
      <c r="WQQ29" s="3" t="s">
        <v>168</v>
      </c>
      <c r="WQR29" s="3" t="s">
        <v>169</v>
      </c>
      <c r="WQS29" s="3" t="s">
        <v>168</v>
      </c>
      <c r="WQT29" s="3" t="s">
        <v>169</v>
      </c>
      <c r="WQU29" s="3" t="s">
        <v>168</v>
      </c>
      <c r="WQV29" s="3" t="s">
        <v>169</v>
      </c>
      <c r="WQW29" s="3" t="s">
        <v>168</v>
      </c>
      <c r="WQX29" s="3" t="s">
        <v>169</v>
      </c>
      <c r="WQY29" s="3" t="s">
        <v>168</v>
      </c>
      <c r="WQZ29" s="3" t="s">
        <v>169</v>
      </c>
      <c r="WRA29" s="3" t="s">
        <v>168</v>
      </c>
      <c r="WRB29" s="3" t="s">
        <v>169</v>
      </c>
      <c r="WRC29" s="3" t="s">
        <v>168</v>
      </c>
      <c r="WRD29" s="3" t="s">
        <v>169</v>
      </c>
      <c r="WRE29" s="3" t="s">
        <v>168</v>
      </c>
      <c r="WRF29" s="3" t="s">
        <v>169</v>
      </c>
      <c r="WRG29" s="3" t="s">
        <v>168</v>
      </c>
      <c r="WRH29" s="3" t="s">
        <v>169</v>
      </c>
      <c r="WRI29" s="3" t="s">
        <v>168</v>
      </c>
      <c r="WRJ29" s="3" t="s">
        <v>169</v>
      </c>
      <c r="WRK29" s="3" t="s">
        <v>168</v>
      </c>
      <c r="WRL29" s="3" t="s">
        <v>169</v>
      </c>
      <c r="WRM29" s="3" t="s">
        <v>168</v>
      </c>
      <c r="WRN29" s="3" t="s">
        <v>169</v>
      </c>
      <c r="WRO29" s="3" t="s">
        <v>168</v>
      </c>
      <c r="WRP29" s="3" t="s">
        <v>169</v>
      </c>
      <c r="WRQ29" s="3" t="s">
        <v>168</v>
      </c>
      <c r="WRR29" s="3" t="s">
        <v>169</v>
      </c>
      <c r="WRS29" s="3" t="s">
        <v>168</v>
      </c>
      <c r="WRT29" s="3" t="s">
        <v>169</v>
      </c>
      <c r="WRU29" s="3" t="s">
        <v>168</v>
      </c>
      <c r="WRV29" s="3" t="s">
        <v>169</v>
      </c>
      <c r="WRW29" s="3" t="s">
        <v>168</v>
      </c>
      <c r="WRX29" s="3" t="s">
        <v>169</v>
      </c>
      <c r="WRY29" s="3" t="s">
        <v>168</v>
      </c>
      <c r="WRZ29" s="3" t="s">
        <v>169</v>
      </c>
      <c r="WSA29" s="3" t="s">
        <v>168</v>
      </c>
      <c r="WSB29" s="3" t="s">
        <v>169</v>
      </c>
      <c r="WSC29" s="3" t="s">
        <v>168</v>
      </c>
      <c r="WSD29" s="3" t="s">
        <v>169</v>
      </c>
      <c r="WSE29" s="3" t="s">
        <v>168</v>
      </c>
      <c r="WSF29" s="3" t="s">
        <v>169</v>
      </c>
      <c r="WSG29" s="3" t="s">
        <v>168</v>
      </c>
      <c r="WSH29" s="3" t="s">
        <v>169</v>
      </c>
      <c r="WSI29" s="3" t="s">
        <v>168</v>
      </c>
      <c r="WSJ29" s="3" t="s">
        <v>169</v>
      </c>
      <c r="WSK29" s="3" t="s">
        <v>168</v>
      </c>
      <c r="WSL29" s="3" t="s">
        <v>169</v>
      </c>
      <c r="WSM29" s="3" t="s">
        <v>168</v>
      </c>
      <c r="WSN29" s="3" t="s">
        <v>169</v>
      </c>
      <c r="WSO29" s="3" t="s">
        <v>168</v>
      </c>
      <c r="WSP29" s="3" t="s">
        <v>169</v>
      </c>
      <c r="WSQ29" s="3" t="s">
        <v>168</v>
      </c>
      <c r="WSR29" s="3" t="s">
        <v>169</v>
      </c>
      <c r="WSS29" s="3" t="s">
        <v>168</v>
      </c>
      <c r="WST29" s="3" t="s">
        <v>169</v>
      </c>
      <c r="WSU29" s="3" t="s">
        <v>168</v>
      </c>
      <c r="WSV29" s="3" t="s">
        <v>169</v>
      </c>
      <c r="WSW29" s="3" t="s">
        <v>168</v>
      </c>
      <c r="WSX29" s="3" t="s">
        <v>169</v>
      </c>
      <c r="WSY29" s="3" t="s">
        <v>168</v>
      </c>
      <c r="WSZ29" s="3" t="s">
        <v>169</v>
      </c>
      <c r="WTA29" s="3" t="s">
        <v>168</v>
      </c>
      <c r="WTB29" s="3" t="s">
        <v>169</v>
      </c>
      <c r="WTC29" s="3" t="s">
        <v>168</v>
      </c>
      <c r="WTD29" s="3" t="s">
        <v>169</v>
      </c>
      <c r="WTE29" s="3" t="s">
        <v>168</v>
      </c>
      <c r="WTF29" s="3" t="s">
        <v>169</v>
      </c>
      <c r="WTG29" s="3" t="s">
        <v>168</v>
      </c>
      <c r="WTH29" s="3" t="s">
        <v>169</v>
      </c>
      <c r="WTI29" s="3" t="s">
        <v>168</v>
      </c>
      <c r="WTJ29" s="3" t="s">
        <v>169</v>
      </c>
      <c r="WTK29" s="3" t="s">
        <v>168</v>
      </c>
      <c r="WTL29" s="3" t="s">
        <v>169</v>
      </c>
      <c r="WTM29" s="3" t="s">
        <v>168</v>
      </c>
      <c r="WTN29" s="3" t="s">
        <v>169</v>
      </c>
      <c r="WTO29" s="3" t="s">
        <v>168</v>
      </c>
      <c r="WTP29" s="3" t="s">
        <v>169</v>
      </c>
      <c r="WTQ29" s="3" t="s">
        <v>168</v>
      </c>
      <c r="WTR29" s="3" t="s">
        <v>169</v>
      </c>
      <c r="WTS29" s="3" t="s">
        <v>168</v>
      </c>
      <c r="WTT29" s="3" t="s">
        <v>169</v>
      </c>
      <c r="WTU29" s="3" t="s">
        <v>168</v>
      </c>
      <c r="WTV29" s="3" t="s">
        <v>169</v>
      </c>
      <c r="WTW29" s="3" t="s">
        <v>168</v>
      </c>
      <c r="WTX29" s="3" t="s">
        <v>169</v>
      </c>
      <c r="WTY29" s="3" t="s">
        <v>168</v>
      </c>
      <c r="WTZ29" s="3" t="s">
        <v>169</v>
      </c>
      <c r="WUA29" s="3" t="s">
        <v>168</v>
      </c>
      <c r="WUB29" s="3" t="s">
        <v>169</v>
      </c>
      <c r="WUC29" s="3" t="s">
        <v>168</v>
      </c>
      <c r="WUD29" s="3" t="s">
        <v>169</v>
      </c>
      <c r="WUE29" s="3" t="s">
        <v>168</v>
      </c>
      <c r="WUF29" s="3" t="s">
        <v>169</v>
      </c>
      <c r="WUG29" s="3" t="s">
        <v>168</v>
      </c>
      <c r="WUH29" s="3" t="s">
        <v>169</v>
      </c>
      <c r="WUI29" s="3" t="s">
        <v>168</v>
      </c>
      <c r="WUJ29" s="3" t="s">
        <v>169</v>
      </c>
      <c r="WUK29" s="3" t="s">
        <v>168</v>
      </c>
      <c r="WUL29" s="3" t="s">
        <v>169</v>
      </c>
      <c r="WUM29" s="3" t="s">
        <v>168</v>
      </c>
      <c r="WUN29" s="3" t="s">
        <v>169</v>
      </c>
      <c r="WUO29" s="3" t="s">
        <v>168</v>
      </c>
      <c r="WUP29" s="3" t="s">
        <v>169</v>
      </c>
      <c r="WUQ29" s="3" t="s">
        <v>168</v>
      </c>
      <c r="WUR29" s="3" t="s">
        <v>169</v>
      </c>
      <c r="WUS29" s="3" t="s">
        <v>168</v>
      </c>
      <c r="WUT29" s="3" t="s">
        <v>169</v>
      </c>
      <c r="WUU29" s="3" t="s">
        <v>168</v>
      </c>
      <c r="WUV29" s="3" t="s">
        <v>169</v>
      </c>
      <c r="WUW29" s="3" t="s">
        <v>168</v>
      </c>
      <c r="WUX29" s="3" t="s">
        <v>169</v>
      </c>
      <c r="WUY29" s="3" t="s">
        <v>168</v>
      </c>
      <c r="WUZ29" s="3" t="s">
        <v>169</v>
      </c>
      <c r="WVA29" s="3" t="s">
        <v>168</v>
      </c>
      <c r="WVB29" s="3" t="s">
        <v>169</v>
      </c>
      <c r="WVC29" s="3" t="s">
        <v>168</v>
      </c>
      <c r="WVD29" s="3" t="s">
        <v>169</v>
      </c>
      <c r="WVE29" s="3" t="s">
        <v>168</v>
      </c>
      <c r="WVF29" s="3" t="s">
        <v>169</v>
      </c>
      <c r="WVG29" s="3" t="s">
        <v>168</v>
      </c>
      <c r="WVH29" s="3" t="s">
        <v>169</v>
      </c>
      <c r="WVI29" s="3" t="s">
        <v>168</v>
      </c>
      <c r="WVJ29" s="3" t="s">
        <v>169</v>
      </c>
      <c r="WVK29" s="3" t="s">
        <v>168</v>
      </c>
      <c r="WVL29" s="3" t="s">
        <v>169</v>
      </c>
      <c r="WVM29" s="3" t="s">
        <v>168</v>
      </c>
      <c r="WVN29" s="3" t="s">
        <v>169</v>
      </c>
      <c r="WVO29" s="3" t="s">
        <v>168</v>
      </c>
      <c r="WVP29" s="3" t="s">
        <v>169</v>
      </c>
      <c r="WVQ29" s="3" t="s">
        <v>168</v>
      </c>
      <c r="WVR29" s="3" t="s">
        <v>169</v>
      </c>
      <c r="WVS29" s="3" t="s">
        <v>168</v>
      </c>
      <c r="WVT29" s="3" t="s">
        <v>169</v>
      </c>
      <c r="WVU29" s="3" t="s">
        <v>168</v>
      </c>
      <c r="WVV29" s="3" t="s">
        <v>169</v>
      </c>
      <c r="WVW29" s="3" t="s">
        <v>168</v>
      </c>
      <c r="WVX29" s="3" t="s">
        <v>169</v>
      </c>
      <c r="WVY29" s="3" t="s">
        <v>168</v>
      </c>
      <c r="WVZ29" s="3" t="s">
        <v>169</v>
      </c>
      <c r="WWA29" s="3" t="s">
        <v>168</v>
      </c>
      <c r="WWB29" s="3" t="s">
        <v>169</v>
      </c>
      <c r="WWC29" s="3" t="s">
        <v>168</v>
      </c>
      <c r="WWD29" s="3" t="s">
        <v>169</v>
      </c>
      <c r="WWE29" s="3" t="s">
        <v>168</v>
      </c>
      <c r="WWF29" s="3" t="s">
        <v>169</v>
      </c>
      <c r="WWG29" s="3" t="s">
        <v>168</v>
      </c>
      <c r="WWH29" s="3" t="s">
        <v>169</v>
      </c>
      <c r="WWI29" s="3" t="s">
        <v>168</v>
      </c>
      <c r="WWJ29" s="3" t="s">
        <v>169</v>
      </c>
      <c r="WWK29" s="3" t="s">
        <v>168</v>
      </c>
      <c r="WWL29" s="3" t="s">
        <v>169</v>
      </c>
      <c r="WWM29" s="3" t="s">
        <v>168</v>
      </c>
      <c r="WWN29" s="3" t="s">
        <v>169</v>
      </c>
      <c r="WWO29" s="3" t="s">
        <v>168</v>
      </c>
      <c r="WWP29" s="3" t="s">
        <v>169</v>
      </c>
      <c r="WWQ29" s="3" t="s">
        <v>168</v>
      </c>
      <c r="WWR29" s="3" t="s">
        <v>169</v>
      </c>
      <c r="WWS29" s="3" t="s">
        <v>168</v>
      </c>
      <c r="WWT29" s="3" t="s">
        <v>169</v>
      </c>
      <c r="WWU29" s="3" t="s">
        <v>168</v>
      </c>
      <c r="WWV29" s="3" t="s">
        <v>169</v>
      </c>
      <c r="WWW29" s="3" t="s">
        <v>168</v>
      </c>
      <c r="WWX29" s="3" t="s">
        <v>169</v>
      </c>
      <c r="WWY29" s="3" t="s">
        <v>168</v>
      </c>
      <c r="WWZ29" s="3" t="s">
        <v>169</v>
      </c>
      <c r="WXA29" s="3" t="s">
        <v>168</v>
      </c>
      <c r="WXB29" s="3" t="s">
        <v>169</v>
      </c>
      <c r="WXC29" s="3" t="s">
        <v>168</v>
      </c>
      <c r="WXD29" s="3" t="s">
        <v>169</v>
      </c>
      <c r="WXE29" s="3" t="s">
        <v>168</v>
      </c>
      <c r="WXF29" s="3" t="s">
        <v>169</v>
      </c>
      <c r="WXG29" s="3" t="s">
        <v>168</v>
      </c>
      <c r="WXH29" s="3" t="s">
        <v>169</v>
      </c>
      <c r="WXI29" s="3" t="s">
        <v>168</v>
      </c>
      <c r="WXJ29" s="3" t="s">
        <v>169</v>
      </c>
      <c r="WXK29" s="3" t="s">
        <v>168</v>
      </c>
      <c r="WXL29" s="3" t="s">
        <v>169</v>
      </c>
      <c r="WXM29" s="3" t="s">
        <v>168</v>
      </c>
      <c r="WXN29" s="3" t="s">
        <v>169</v>
      </c>
      <c r="WXO29" s="3" t="s">
        <v>168</v>
      </c>
      <c r="WXP29" s="3" t="s">
        <v>169</v>
      </c>
      <c r="WXQ29" s="3" t="s">
        <v>168</v>
      </c>
      <c r="WXR29" s="3" t="s">
        <v>169</v>
      </c>
      <c r="WXS29" s="3" t="s">
        <v>168</v>
      </c>
      <c r="WXT29" s="3" t="s">
        <v>169</v>
      </c>
      <c r="WXU29" s="3" t="s">
        <v>168</v>
      </c>
      <c r="WXV29" s="3" t="s">
        <v>169</v>
      </c>
      <c r="WXW29" s="3" t="s">
        <v>168</v>
      </c>
      <c r="WXX29" s="3" t="s">
        <v>169</v>
      </c>
      <c r="WXY29" s="3" t="s">
        <v>168</v>
      </c>
      <c r="WXZ29" s="3" t="s">
        <v>169</v>
      </c>
      <c r="WYA29" s="3" t="s">
        <v>168</v>
      </c>
      <c r="WYB29" s="3" t="s">
        <v>169</v>
      </c>
      <c r="WYC29" s="3" t="s">
        <v>168</v>
      </c>
      <c r="WYD29" s="3" t="s">
        <v>169</v>
      </c>
      <c r="WYE29" s="3" t="s">
        <v>168</v>
      </c>
      <c r="WYF29" s="3" t="s">
        <v>169</v>
      </c>
      <c r="WYG29" s="3" t="s">
        <v>168</v>
      </c>
      <c r="WYH29" s="3" t="s">
        <v>169</v>
      </c>
      <c r="WYI29" s="3" t="s">
        <v>168</v>
      </c>
      <c r="WYJ29" s="3" t="s">
        <v>169</v>
      </c>
      <c r="WYK29" s="3" t="s">
        <v>168</v>
      </c>
      <c r="WYL29" s="3" t="s">
        <v>169</v>
      </c>
      <c r="WYM29" s="3" t="s">
        <v>168</v>
      </c>
      <c r="WYN29" s="3" t="s">
        <v>169</v>
      </c>
      <c r="WYO29" s="3" t="s">
        <v>168</v>
      </c>
      <c r="WYP29" s="3" t="s">
        <v>169</v>
      </c>
      <c r="WYQ29" s="3" t="s">
        <v>168</v>
      </c>
      <c r="WYR29" s="3" t="s">
        <v>169</v>
      </c>
      <c r="WYS29" s="3" t="s">
        <v>168</v>
      </c>
      <c r="WYT29" s="3" t="s">
        <v>169</v>
      </c>
      <c r="WYU29" s="3" t="s">
        <v>168</v>
      </c>
      <c r="WYV29" s="3" t="s">
        <v>169</v>
      </c>
      <c r="WYW29" s="3" t="s">
        <v>168</v>
      </c>
      <c r="WYX29" s="3" t="s">
        <v>169</v>
      </c>
      <c r="WYY29" s="3" t="s">
        <v>168</v>
      </c>
      <c r="WYZ29" s="3" t="s">
        <v>169</v>
      </c>
      <c r="WZA29" s="3" t="s">
        <v>168</v>
      </c>
      <c r="WZB29" s="3" t="s">
        <v>169</v>
      </c>
      <c r="WZC29" s="3" t="s">
        <v>168</v>
      </c>
      <c r="WZD29" s="3" t="s">
        <v>169</v>
      </c>
      <c r="WZE29" s="3" t="s">
        <v>168</v>
      </c>
      <c r="WZF29" s="3" t="s">
        <v>169</v>
      </c>
      <c r="WZG29" s="3" t="s">
        <v>168</v>
      </c>
      <c r="WZH29" s="3" t="s">
        <v>169</v>
      </c>
      <c r="WZI29" s="3" t="s">
        <v>168</v>
      </c>
      <c r="WZJ29" s="3" t="s">
        <v>169</v>
      </c>
      <c r="WZK29" s="3" t="s">
        <v>168</v>
      </c>
      <c r="WZL29" s="3" t="s">
        <v>169</v>
      </c>
      <c r="WZM29" s="3" t="s">
        <v>168</v>
      </c>
      <c r="WZN29" s="3" t="s">
        <v>169</v>
      </c>
      <c r="WZO29" s="3" t="s">
        <v>168</v>
      </c>
      <c r="WZP29" s="3" t="s">
        <v>169</v>
      </c>
      <c r="WZQ29" s="3" t="s">
        <v>168</v>
      </c>
      <c r="WZR29" s="3" t="s">
        <v>169</v>
      </c>
      <c r="WZS29" s="3" t="s">
        <v>168</v>
      </c>
      <c r="WZT29" s="3" t="s">
        <v>169</v>
      </c>
      <c r="WZU29" s="3" t="s">
        <v>168</v>
      </c>
      <c r="WZV29" s="3" t="s">
        <v>169</v>
      </c>
      <c r="WZW29" s="3" t="s">
        <v>168</v>
      </c>
      <c r="WZX29" s="3" t="s">
        <v>169</v>
      </c>
      <c r="WZY29" s="3" t="s">
        <v>168</v>
      </c>
      <c r="WZZ29" s="3" t="s">
        <v>169</v>
      </c>
      <c r="XAA29" s="3" t="s">
        <v>168</v>
      </c>
      <c r="XAB29" s="3" t="s">
        <v>169</v>
      </c>
      <c r="XAC29" s="3" t="s">
        <v>168</v>
      </c>
      <c r="XAD29" s="3" t="s">
        <v>169</v>
      </c>
      <c r="XAE29" s="3" t="s">
        <v>168</v>
      </c>
      <c r="XAF29" s="3" t="s">
        <v>169</v>
      </c>
      <c r="XAG29" s="3" t="s">
        <v>168</v>
      </c>
      <c r="XAH29" s="3" t="s">
        <v>169</v>
      </c>
      <c r="XAI29" s="3" t="s">
        <v>168</v>
      </c>
      <c r="XAJ29" s="3" t="s">
        <v>169</v>
      </c>
      <c r="XAK29" s="3" t="s">
        <v>168</v>
      </c>
      <c r="XAL29" s="3" t="s">
        <v>169</v>
      </c>
      <c r="XAM29" s="3" t="s">
        <v>168</v>
      </c>
      <c r="XAN29" s="3" t="s">
        <v>169</v>
      </c>
      <c r="XAO29" s="3" t="s">
        <v>168</v>
      </c>
      <c r="XAP29" s="3" t="s">
        <v>169</v>
      </c>
      <c r="XAQ29" s="3" t="s">
        <v>168</v>
      </c>
      <c r="XAR29" s="3" t="s">
        <v>169</v>
      </c>
      <c r="XAS29" s="3" t="s">
        <v>168</v>
      </c>
      <c r="XAT29" s="3" t="s">
        <v>169</v>
      </c>
      <c r="XAU29" s="3" t="s">
        <v>168</v>
      </c>
      <c r="XAV29" s="3" t="s">
        <v>169</v>
      </c>
      <c r="XAW29" s="3" t="s">
        <v>168</v>
      </c>
      <c r="XAX29" s="3" t="s">
        <v>169</v>
      </c>
      <c r="XAY29" s="3" t="s">
        <v>168</v>
      </c>
      <c r="XAZ29" s="3" t="s">
        <v>169</v>
      </c>
      <c r="XBA29" s="3" t="s">
        <v>168</v>
      </c>
      <c r="XBB29" s="3" t="s">
        <v>169</v>
      </c>
      <c r="XBC29" s="3" t="s">
        <v>168</v>
      </c>
      <c r="XBD29" s="3" t="s">
        <v>169</v>
      </c>
      <c r="XBE29" s="3" t="s">
        <v>168</v>
      </c>
      <c r="XBF29" s="3" t="s">
        <v>169</v>
      </c>
      <c r="XBG29" s="3" t="s">
        <v>168</v>
      </c>
      <c r="XBH29" s="3" t="s">
        <v>169</v>
      </c>
      <c r="XBI29" s="3" t="s">
        <v>168</v>
      </c>
      <c r="XBJ29" s="3" t="s">
        <v>169</v>
      </c>
      <c r="XBK29" s="3" t="s">
        <v>168</v>
      </c>
      <c r="XBL29" s="3" t="s">
        <v>169</v>
      </c>
      <c r="XBM29" s="3" t="s">
        <v>168</v>
      </c>
      <c r="XBN29" s="3" t="s">
        <v>169</v>
      </c>
      <c r="XBO29" s="3" t="s">
        <v>168</v>
      </c>
      <c r="XBP29" s="3" t="s">
        <v>169</v>
      </c>
      <c r="XBQ29" s="3" t="s">
        <v>168</v>
      </c>
      <c r="XBR29" s="3" t="s">
        <v>169</v>
      </c>
      <c r="XBS29" s="3" t="s">
        <v>168</v>
      </c>
      <c r="XBT29" s="3" t="s">
        <v>169</v>
      </c>
      <c r="XBU29" s="3" t="s">
        <v>168</v>
      </c>
      <c r="XBV29" s="3" t="s">
        <v>169</v>
      </c>
      <c r="XBW29" s="3" t="s">
        <v>168</v>
      </c>
      <c r="XBX29" s="3" t="s">
        <v>169</v>
      </c>
      <c r="XBY29" s="3" t="s">
        <v>168</v>
      </c>
      <c r="XBZ29" s="3" t="s">
        <v>169</v>
      </c>
      <c r="XCA29" s="3" t="s">
        <v>168</v>
      </c>
      <c r="XCB29" s="3" t="s">
        <v>169</v>
      </c>
      <c r="XCC29" s="3" t="s">
        <v>168</v>
      </c>
      <c r="XCD29" s="3" t="s">
        <v>169</v>
      </c>
      <c r="XCE29" s="3" t="s">
        <v>168</v>
      </c>
      <c r="XCF29" s="3" t="s">
        <v>169</v>
      </c>
      <c r="XCG29" s="3" t="s">
        <v>168</v>
      </c>
      <c r="XCH29" s="3" t="s">
        <v>169</v>
      </c>
      <c r="XCI29" s="3" t="s">
        <v>168</v>
      </c>
      <c r="XCJ29" s="3" t="s">
        <v>169</v>
      </c>
      <c r="XCK29" s="3" t="s">
        <v>168</v>
      </c>
      <c r="XCL29" s="3" t="s">
        <v>169</v>
      </c>
      <c r="XCM29" s="3" t="s">
        <v>168</v>
      </c>
      <c r="XCN29" s="3" t="s">
        <v>169</v>
      </c>
      <c r="XCO29" s="3" t="s">
        <v>168</v>
      </c>
      <c r="XCP29" s="3" t="s">
        <v>169</v>
      </c>
      <c r="XCQ29" s="3" t="s">
        <v>168</v>
      </c>
      <c r="XCR29" s="3" t="s">
        <v>169</v>
      </c>
      <c r="XCS29" s="3" t="s">
        <v>168</v>
      </c>
      <c r="XCT29" s="3" t="s">
        <v>169</v>
      </c>
      <c r="XCU29" s="3" t="s">
        <v>168</v>
      </c>
      <c r="XCV29" s="3" t="s">
        <v>169</v>
      </c>
      <c r="XCW29" s="3" t="s">
        <v>168</v>
      </c>
      <c r="XCX29" s="3" t="s">
        <v>169</v>
      </c>
      <c r="XCY29" s="3" t="s">
        <v>168</v>
      </c>
      <c r="XCZ29" s="3" t="s">
        <v>169</v>
      </c>
      <c r="XDA29" s="3" t="s">
        <v>168</v>
      </c>
      <c r="XDB29" s="3" t="s">
        <v>169</v>
      </c>
      <c r="XDC29" s="3" t="s">
        <v>168</v>
      </c>
      <c r="XDD29" s="3" t="s">
        <v>169</v>
      </c>
      <c r="XDE29" s="3" t="s">
        <v>168</v>
      </c>
      <c r="XDF29" s="3" t="s">
        <v>169</v>
      </c>
      <c r="XDG29" s="3" t="s">
        <v>168</v>
      </c>
      <c r="XDH29" s="3" t="s">
        <v>169</v>
      </c>
      <c r="XDI29" s="3" t="s">
        <v>168</v>
      </c>
      <c r="XDJ29" s="3" t="s">
        <v>169</v>
      </c>
      <c r="XDK29" s="3" t="s">
        <v>168</v>
      </c>
      <c r="XDL29" s="3" t="s">
        <v>169</v>
      </c>
      <c r="XDM29" s="3" t="s">
        <v>168</v>
      </c>
      <c r="XDN29" s="3" t="s">
        <v>169</v>
      </c>
      <c r="XDO29" s="3" t="s">
        <v>168</v>
      </c>
      <c r="XDP29" s="3" t="s">
        <v>169</v>
      </c>
      <c r="XDQ29" s="3" t="s">
        <v>168</v>
      </c>
      <c r="XDR29" s="3" t="s">
        <v>169</v>
      </c>
      <c r="XDS29" s="3" t="s">
        <v>168</v>
      </c>
      <c r="XDT29" s="3" t="s">
        <v>169</v>
      </c>
      <c r="XDU29" s="3" t="s">
        <v>168</v>
      </c>
      <c r="XDV29" s="3" t="s">
        <v>169</v>
      </c>
      <c r="XDW29" s="3" t="s">
        <v>168</v>
      </c>
      <c r="XDX29" s="3" t="s">
        <v>169</v>
      </c>
      <c r="XDY29" s="3" t="s">
        <v>168</v>
      </c>
      <c r="XDZ29" s="3" t="s">
        <v>169</v>
      </c>
      <c r="XEA29" s="3" t="s">
        <v>168</v>
      </c>
      <c r="XEB29" s="3" t="s">
        <v>169</v>
      </c>
      <c r="XEC29" s="3" t="s">
        <v>168</v>
      </c>
      <c r="XED29" s="3" t="s">
        <v>169</v>
      </c>
      <c r="XEE29" s="3" t="s">
        <v>168</v>
      </c>
      <c r="XEF29" s="3" t="s">
        <v>169</v>
      </c>
      <c r="XEG29" s="3" t="s">
        <v>168</v>
      </c>
      <c r="XEH29" s="3" t="s">
        <v>169</v>
      </c>
      <c r="XEI29" s="3" t="s">
        <v>168</v>
      </c>
      <c r="XEJ29" s="3" t="s">
        <v>169</v>
      </c>
      <c r="XEK29" s="3" t="s">
        <v>168</v>
      </c>
      <c r="XEL29" s="3" t="s">
        <v>169</v>
      </c>
      <c r="XEM29" s="3" t="s">
        <v>168</v>
      </c>
      <c r="XEN29" s="3" t="s">
        <v>169</v>
      </c>
      <c r="XEO29" s="3" t="s">
        <v>168</v>
      </c>
      <c r="XEP29" s="3" t="s">
        <v>169</v>
      </c>
      <c r="XEQ29" s="3" t="s">
        <v>168</v>
      </c>
      <c r="XER29" s="3" t="s">
        <v>169</v>
      </c>
      <c r="XES29" s="3" t="s">
        <v>168</v>
      </c>
      <c r="XET29" s="3" t="s">
        <v>169</v>
      </c>
      <c r="XEU29" s="3" t="s">
        <v>168</v>
      </c>
      <c r="XEV29" s="3" t="s">
        <v>169</v>
      </c>
      <c r="XEW29" s="3" t="s">
        <v>168</v>
      </c>
      <c r="XEX29" s="3" t="s">
        <v>169</v>
      </c>
      <c r="XEY29" s="3" t="s">
        <v>168</v>
      </c>
      <c r="XEZ29" s="3" t="s">
        <v>169</v>
      </c>
      <c r="XFA29" s="3" t="s">
        <v>168</v>
      </c>
      <c r="XFB29" s="3" t="s">
        <v>169</v>
      </c>
      <c r="XFC29" s="3" t="s">
        <v>168</v>
      </c>
      <c r="XFD29" s="3" t="s">
        <v>169</v>
      </c>
    </row>
    <row r="30" spans="1:16384" x14ac:dyDescent="0.25">
      <c r="A30" s="2" t="s">
        <v>174</v>
      </c>
      <c r="B30" s="10" t="s">
        <v>175</v>
      </c>
    </row>
    <row r="31" spans="1:16384" s="3" customFormat="1" x14ac:dyDescent="0.25">
      <c r="A31" s="2" t="s">
        <v>382</v>
      </c>
      <c r="B31" s="3" t="s">
        <v>383</v>
      </c>
      <c r="BF31" s="3" t="s">
        <v>383</v>
      </c>
      <c r="BG31" s="3" t="s">
        <v>382</v>
      </c>
      <c r="BH31" s="3" t="s">
        <v>383</v>
      </c>
      <c r="BI31" s="3" t="s">
        <v>382</v>
      </c>
      <c r="BJ31" s="3" t="s">
        <v>383</v>
      </c>
      <c r="BK31" s="3" t="s">
        <v>382</v>
      </c>
      <c r="BL31" s="3" t="s">
        <v>383</v>
      </c>
      <c r="BM31" s="3" t="s">
        <v>382</v>
      </c>
      <c r="BN31" s="3" t="s">
        <v>383</v>
      </c>
      <c r="BO31" s="3" t="s">
        <v>382</v>
      </c>
      <c r="BP31" s="3" t="s">
        <v>383</v>
      </c>
      <c r="BQ31" s="3" t="s">
        <v>382</v>
      </c>
      <c r="BR31" s="3" t="s">
        <v>383</v>
      </c>
      <c r="BS31" s="3" t="s">
        <v>382</v>
      </c>
      <c r="BT31" s="3" t="s">
        <v>383</v>
      </c>
      <c r="BU31" s="3" t="s">
        <v>382</v>
      </c>
      <c r="BV31" s="3" t="s">
        <v>383</v>
      </c>
      <c r="BW31" s="3" t="s">
        <v>382</v>
      </c>
      <c r="BX31" s="3" t="s">
        <v>383</v>
      </c>
      <c r="BY31" s="3" t="s">
        <v>382</v>
      </c>
      <c r="BZ31" s="3" t="s">
        <v>383</v>
      </c>
      <c r="CA31" s="3" t="s">
        <v>382</v>
      </c>
      <c r="CB31" s="3" t="s">
        <v>383</v>
      </c>
      <c r="CC31" s="3" t="s">
        <v>382</v>
      </c>
      <c r="CD31" s="3" t="s">
        <v>383</v>
      </c>
      <c r="CE31" s="3" t="s">
        <v>382</v>
      </c>
      <c r="CF31" s="3" t="s">
        <v>383</v>
      </c>
      <c r="CG31" s="3" t="s">
        <v>382</v>
      </c>
      <c r="CH31" s="3" t="s">
        <v>383</v>
      </c>
      <c r="CI31" s="3" t="s">
        <v>382</v>
      </c>
      <c r="CJ31" s="3" t="s">
        <v>383</v>
      </c>
      <c r="CK31" s="3" t="s">
        <v>382</v>
      </c>
      <c r="CL31" s="3" t="s">
        <v>383</v>
      </c>
      <c r="CM31" s="3" t="s">
        <v>382</v>
      </c>
      <c r="CN31" s="3" t="s">
        <v>383</v>
      </c>
      <c r="CO31" s="3" t="s">
        <v>382</v>
      </c>
      <c r="CP31" s="3" t="s">
        <v>383</v>
      </c>
      <c r="CQ31" s="3" t="s">
        <v>382</v>
      </c>
      <c r="CR31" s="3" t="s">
        <v>383</v>
      </c>
      <c r="CS31" s="3" t="s">
        <v>382</v>
      </c>
      <c r="CT31" s="3" t="s">
        <v>383</v>
      </c>
      <c r="CU31" s="3" t="s">
        <v>382</v>
      </c>
      <c r="CV31" s="3" t="s">
        <v>383</v>
      </c>
      <c r="CW31" s="3" t="s">
        <v>382</v>
      </c>
      <c r="CX31" s="3" t="s">
        <v>383</v>
      </c>
      <c r="CY31" s="3" t="s">
        <v>382</v>
      </c>
      <c r="CZ31" s="3" t="s">
        <v>383</v>
      </c>
      <c r="DA31" s="3" t="s">
        <v>382</v>
      </c>
      <c r="DB31" s="3" t="s">
        <v>383</v>
      </c>
      <c r="DC31" s="3" t="s">
        <v>382</v>
      </c>
      <c r="DD31" s="3" t="s">
        <v>383</v>
      </c>
      <c r="DE31" s="3" t="s">
        <v>382</v>
      </c>
      <c r="DF31" s="3" t="s">
        <v>383</v>
      </c>
      <c r="DG31" s="3" t="s">
        <v>382</v>
      </c>
      <c r="DH31" s="3" t="s">
        <v>383</v>
      </c>
      <c r="DI31" s="3" t="s">
        <v>382</v>
      </c>
      <c r="DJ31" s="3" t="s">
        <v>383</v>
      </c>
      <c r="DK31" s="3" t="s">
        <v>382</v>
      </c>
      <c r="DL31" s="3" t="s">
        <v>383</v>
      </c>
      <c r="DM31" s="3" t="s">
        <v>382</v>
      </c>
      <c r="DN31" s="3" t="s">
        <v>383</v>
      </c>
      <c r="DO31" s="3" t="s">
        <v>382</v>
      </c>
      <c r="DP31" s="3" t="s">
        <v>383</v>
      </c>
      <c r="DQ31" s="3" t="s">
        <v>382</v>
      </c>
      <c r="DR31" s="3" t="s">
        <v>383</v>
      </c>
      <c r="DS31" s="3" t="s">
        <v>382</v>
      </c>
      <c r="DT31" s="3" t="s">
        <v>383</v>
      </c>
      <c r="DU31" s="3" t="s">
        <v>382</v>
      </c>
      <c r="DV31" s="3" t="s">
        <v>383</v>
      </c>
      <c r="DW31" s="3" t="s">
        <v>382</v>
      </c>
      <c r="DX31" s="3" t="s">
        <v>383</v>
      </c>
      <c r="DY31" s="3" t="s">
        <v>382</v>
      </c>
      <c r="DZ31" s="3" t="s">
        <v>383</v>
      </c>
      <c r="EA31" s="3" t="s">
        <v>382</v>
      </c>
      <c r="EB31" s="3" t="s">
        <v>383</v>
      </c>
      <c r="EC31" s="3" t="s">
        <v>382</v>
      </c>
      <c r="ED31" s="3" t="s">
        <v>383</v>
      </c>
      <c r="EE31" s="3" t="s">
        <v>382</v>
      </c>
      <c r="EF31" s="3" t="s">
        <v>383</v>
      </c>
      <c r="EG31" s="3" t="s">
        <v>382</v>
      </c>
      <c r="EH31" s="3" t="s">
        <v>383</v>
      </c>
      <c r="EI31" s="3" t="s">
        <v>382</v>
      </c>
      <c r="EJ31" s="3" t="s">
        <v>383</v>
      </c>
      <c r="EK31" s="3" t="s">
        <v>382</v>
      </c>
      <c r="EL31" s="3" t="s">
        <v>383</v>
      </c>
      <c r="EM31" s="3" t="s">
        <v>382</v>
      </c>
      <c r="EN31" s="3" t="s">
        <v>383</v>
      </c>
      <c r="EO31" s="3" t="s">
        <v>382</v>
      </c>
      <c r="EP31" s="3" t="s">
        <v>383</v>
      </c>
      <c r="EQ31" s="3" t="s">
        <v>382</v>
      </c>
      <c r="ER31" s="3" t="s">
        <v>383</v>
      </c>
      <c r="ES31" s="3" t="s">
        <v>382</v>
      </c>
      <c r="ET31" s="3" t="s">
        <v>383</v>
      </c>
      <c r="EU31" s="3" t="s">
        <v>382</v>
      </c>
      <c r="EV31" s="3" t="s">
        <v>383</v>
      </c>
      <c r="EW31" s="3" t="s">
        <v>382</v>
      </c>
      <c r="EX31" s="3" t="s">
        <v>383</v>
      </c>
      <c r="EY31" s="3" t="s">
        <v>382</v>
      </c>
      <c r="EZ31" s="3" t="s">
        <v>383</v>
      </c>
      <c r="FA31" s="3" t="s">
        <v>382</v>
      </c>
      <c r="FB31" s="3" t="s">
        <v>383</v>
      </c>
      <c r="FC31" s="3" t="s">
        <v>382</v>
      </c>
      <c r="FD31" s="3" t="s">
        <v>383</v>
      </c>
      <c r="FE31" s="3" t="s">
        <v>382</v>
      </c>
      <c r="FF31" s="3" t="s">
        <v>383</v>
      </c>
      <c r="FG31" s="3" t="s">
        <v>382</v>
      </c>
      <c r="FH31" s="3" t="s">
        <v>383</v>
      </c>
      <c r="FI31" s="3" t="s">
        <v>382</v>
      </c>
      <c r="FJ31" s="3" t="s">
        <v>383</v>
      </c>
      <c r="FK31" s="3" t="s">
        <v>382</v>
      </c>
      <c r="FL31" s="3" t="s">
        <v>383</v>
      </c>
      <c r="FM31" s="3" t="s">
        <v>382</v>
      </c>
      <c r="FN31" s="3" t="s">
        <v>383</v>
      </c>
      <c r="FO31" s="3" t="s">
        <v>382</v>
      </c>
      <c r="FP31" s="3" t="s">
        <v>383</v>
      </c>
      <c r="FQ31" s="3" t="s">
        <v>382</v>
      </c>
      <c r="FR31" s="3" t="s">
        <v>383</v>
      </c>
      <c r="FS31" s="3" t="s">
        <v>382</v>
      </c>
      <c r="FT31" s="3" t="s">
        <v>383</v>
      </c>
      <c r="FU31" s="3" t="s">
        <v>382</v>
      </c>
      <c r="FV31" s="3" t="s">
        <v>383</v>
      </c>
      <c r="FW31" s="3" t="s">
        <v>382</v>
      </c>
      <c r="FX31" s="3" t="s">
        <v>383</v>
      </c>
      <c r="FY31" s="3" t="s">
        <v>382</v>
      </c>
      <c r="FZ31" s="3" t="s">
        <v>383</v>
      </c>
      <c r="GA31" s="3" t="s">
        <v>382</v>
      </c>
      <c r="GB31" s="3" t="s">
        <v>383</v>
      </c>
      <c r="GC31" s="3" t="s">
        <v>382</v>
      </c>
      <c r="GD31" s="3" t="s">
        <v>383</v>
      </c>
      <c r="GE31" s="3" t="s">
        <v>382</v>
      </c>
      <c r="GF31" s="3" t="s">
        <v>383</v>
      </c>
      <c r="GG31" s="3" t="s">
        <v>382</v>
      </c>
      <c r="GH31" s="3" t="s">
        <v>383</v>
      </c>
      <c r="GI31" s="3" t="s">
        <v>382</v>
      </c>
      <c r="GJ31" s="3" t="s">
        <v>383</v>
      </c>
      <c r="GK31" s="3" t="s">
        <v>382</v>
      </c>
      <c r="GL31" s="3" t="s">
        <v>383</v>
      </c>
      <c r="GM31" s="3" t="s">
        <v>382</v>
      </c>
      <c r="GN31" s="3" t="s">
        <v>383</v>
      </c>
      <c r="GO31" s="3" t="s">
        <v>382</v>
      </c>
      <c r="GP31" s="3" t="s">
        <v>383</v>
      </c>
      <c r="GQ31" s="3" t="s">
        <v>382</v>
      </c>
      <c r="GR31" s="3" t="s">
        <v>383</v>
      </c>
      <c r="GS31" s="3" t="s">
        <v>382</v>
      </c>
      <c r="GT31" s="3" t="s">
        <v>383</v>
      </c>
      <c r="GU31" s="3" t="s">
        <v>382</v>
      </c>
      <c r="GV31" s="3" t="s">
        <v>383</v>
      </c>
      <c r="GW31" s="3" t="s">
        <v>382</v>
      </c>
      <c r="GX31" s="3" t="s">
        <v>383</v>
      </c>
      <c r="GY31" s="3" t="s">
        <v>382</v>
      </c>
      <c r="GZ31" s="3" t="s">
        <v>383</v>
      </c>
      <c r="HA31" s="3" t="s">
        <v>382</v>
      </c>
      <c r="HB31" s="3" t="s">
        <v>383</v>
      </c>
      <c r="HC31" s="3" t="s">
        <v>382</v>
      </c>
      <c r="HD31" s="3" t="s">
        <v>383</v>
      </c>
      <c r="HE31" s="3" t="s">
        <v>382</v>
      </c>
      <c r="HF31" s="3" t="s">
        <v>383</v>
      </c>
      <c r="HG31" s="3" t="s">
        <v>382</v>
      </c>
      <c r="HH31" s="3" t="s">
        <v>383</v>
      </c>
      <c r="HI31" s="3" t="s">
        <v>382</v>
      </c>
      <c r="HJ31" s="3" t="s">
        <v>383</v>
      </c>
      <c r="HK31" s="3" t="s">
        <v>382</v>
      </c>
      <c r="HL31" s="3" t="s">
        <v>383</v>
      </c>
      <c r="HM31" s="3" t="s">
        <v>382</v>
      </c>
      <c r="HN31" s="3" t="s">
        <v>383</v>
      </c>
      <c r="HO31" s="3" t="s">
        <v>382</v>
      </c>
      <c r="HP31" s="3" t="s">
        <v>383</v>
      </c>
      <c r="HQ31" s="3" t="s">
        <v>382</v>
      </c>
      <c r="HR31" s="3" t="s">
        <v>383</v>
      </c>
      <c r="HS31" s="3" t="s">
        <v>382</v>
      </c>
      <c r="HT31" s="3" t="s">
        <v>383</v>
      </c>
      <c r="HU31" s="3" t="s">
        <v>382</v>
      </c>
      <c r="HV31" s="3" t="s">
        <v>383</v>
      </c>
      <c r="HW31" s="3" t="s">
        <v>382</v>
      </c>
      <c r="HX31" s="3" t="s">
        <v>383</v>
      </c>
      <c r="HY31" s="3" t="s">
        <v>382</v>
      </c>
      <c r="HZ31" s="3" t="s">
        <v>383</v>
      </c>
      <c r="IA31" s="3" t="s">
        <v>382</v>
      </c>
      <c r="IB31" s="3" t="s">
        <v>383</v>
      </c>
      <c r="IC31" s="3" t="s">
        <v>382</v>
      </c>
      <c r="ID31" s="3" t="s">
        <v>383</v>
      </c>
      <c r="IE31" s="3" t="s">
        <v>382</v>
      </c>
      <c r="IF31" s="3" t="s">
        <v>383</v>
      </c>
      <c r="IG31" s="3" t="s">
        <v>382</v>
      </c>
      <c r="IH31" s="3" t="s">
        <v>383</v>
      </c>
      <c r="II31" s="3" t="s">
        <v>382</v>
      </c>
      <c r="IJ31" s="3" t="s">
        <v>383</v>
      </c>
      <c r="IK31" s="3" t="s">
        <v>382</v>
      </c>
      <c r="IL31" s="3" t="s">
        <v>383</v>
      </c>
      <c r="IM31" s="3" t="s">
        <v>382</v>
      </c>
      <c r="IN31" s="3" t="s">
        <v>383</v>
      </c>
      <c r="IO31" s="3" t="s">
        <v>382</v>
      </c>
      <c r="IP31" s="3" t="s">
        <v>383</v>
      </c>
      <c r="IQ31" s="3" t="s">
        <v>382</v>
      </c>
      <c r="IR31" s="3" t="s">
        <v>383</v>
      </c>
      <c r="IS31" s="3" t="s">
        <v>382</v>
      </c>
      <c r="IT31" s="3" t="s">
        <v>383</v>
      </c>
      <c r="IU31" s="3" t="s">
        <v>382</v>
      </c>
      <c r="IV31" s="3" t="s">
        <v>383</v>
      </c>
      <c r="IW31" s="3" t="s">
        <v>382</v>
      </c>
      <c r="IX31" s="3" t="s">
        <v>383</v>
      </c>
      <c r="IY31" s="3" t="s">
        <v>382</v>
      </c>
      <c r="IZ31" s="3" t="s">
        <v>383</v>
      </c>
      <c r="JA31" s="3" t="s">
        <v>382</v>
      </c>
      <c r="JB31" s="3" t="s">
        <v>383</v>
      </c>
      <c r="JC31" s="3" t="s">
        <v>382</v>
      </c>
      <c r="JD31" s="3" t="s">
        <v>383</v>
      </c>
      <c r="JE31" s="3" t="s">
        <v>382</v>
      </c>
      <c r="JF31" s="3" t="s">
        <v>383</v>
      </c>
      <c r="JG31" s="3" t="s">
        <v>382</v>
      </c>
      <c r="JH31" s="3" t="s">
        <v>383</v>
      </c>
      <c r="JI31" s="3" t="s">
        <v>382</v>
      </c>
      <c r="JJ31" s="3" t="s">
        <v>383</v>
      </c>
      <c r="JK31" s="3" t="s">
        <v>382</v>
      </c>
      <c r="JL31" s="3" t="s">
        <v>383</v>
      </c>
      <c r="JM31" s="3" t="s">
        <v>382</v>
      </c>
      <c r="JN31" s="3" t="s">
        <v>383</v>
      </c>
      <c r="JO31" s="3" t="s">
        <v>382</v>
      </c>
      <c r="JP31" s="3" t="s">
        <v>383</v>
      </c>
      <c r="JQ31" s="3" t="s">
        <v>382</v>
      </c>
      <c r="JR31" s="3" t="s">
        <v>383</v>
      </c>
      <c r="JS31" s="3" t="s">
        <v>382</v>
      </c>
      <c r="JT31" s="3" t="s">
        <v>383</v>
      </c>
      <c r="JU31" s="3" t="s">
        <v>382</v>
      </c>
      <c r="JV31" s="3" t="s">
        <v>383</v>
      </c>
      <c r="JW31" s="3" t="s">
        <v>382</v>
      </c>
      <c r="JX31" s="3" t="s">
        <v>383</v>
      </c>
      <c r="JY31" s="3" t="s">
        <v>382</v>
      </c>
      <c r="JZ31" s="3" t="s">
        <v>383</v>
      </c>
      <c r="KA31" s="3" t="s">
        <v>382</v>
      </c>
      <c r="KB31" s="3" t="s">
        <v>383</v>
      </c>
      <c r="KC31" s="3" t="s">
        <v>382</v>
      </c>
      <c r="KD31" s="3" t="s">
        <v>383</v>
      </c>
      <c r="KE31" s="3" t="s">
        <v>382</v>
      </c>
      <c r="KF31" s="3" t="s">
        <v>383</v>
      </c>
      <c r="KG31" s="3" t="s">
        <v>382</v>
      </c>
      <c r="KH31" s="3" t="s">
        <v>383</v>
      </c>
      <c r="KI31" s="3" t="s">
        <v>382</v>
      </c>
      <c r="KJ31" s="3" t="s">
        <v>383</v>
      </c>
      <c r="KK31" s="3" t="s">
        <v>382</v>
      </c>
      <c r="KL31" s="3" t="s">
        <v>383</v>
      </c>
      <c r="KM31" s="3" t="s">
        <v>382</v>
      </c>
      <c r="KN31" s="3" t="s">
        <v>383</v>
      </c>
      <c r="KO31" s="3" t="s">
        <v>382</v>
      </c>
      <c r="KP31" s="3" t="s">
        <v>383</v>
      </c>
      <c r="KQ31" s="3" t="s">
        <v>382</v>
      </c>
      <c r="KR31" s="3" t="s">
        <v>383</v>
      </c>
      <c r="KS31" s="3" t="s">
        <v>382</v>
      </c>
      <c r="KT31" s="3" t="s">
        <v>383</v>
      </c>
      <c r="KU31" s="3" t="s">
        <v>382</v>
      </c>
      <c r="KV31" s="3" t="s">
        <v>383</v>
      </c>
      <c r="KW31" s="3" t="s">
        <v>382</v>
      </c>
      <c r="KX31" s="3" t="s">
        <v>383</v>
      </c>
      <c r="KY31" s="3" t="s">
        <v>382</v>
      </c>
      <c r="KZ31" s="3" t="s">
        <v>383</v>
      </c>
      <c r="LA31" s="3" t="s">
        <v>382</v>
      </c>
      <c r="LB31" s="3" t="s">
        <v>383</v>
      </c>
      <c r="LC31" s="3" t="s">
        <v>382</v>
      </c>
      <c r="LD31" s="3" t="s">
        <v>383</v>
      </c>
      <c r="LE31" s="3" t="s">
        <v>382</v>
      </c>
      <c r="LF31" s="3" t="s">
        <v>383</v>
      </c>
      <c r="LG31" s="3" t="s">
        <v>382</v>
      </c>
      <c r="LH31" s="3" t="s">
        <v>383</v>
      </c>
      <c r="LI31" s="3" t="s">
        <v>382</v>
      </c>
      <c r="LJ31" s="3" t="s">
        <v>383</v>
      </c>
      <c r="LK31" s="3" t="s">
        <v>382</v>
      </c>
      <c r="LL31" s="3" t="s">
        <v>383</v>
      </c>
      <c r="LM31" s="3" t="s">
        <v>382</v>
      </c>
      <c r="LN31" s="3" t="s">
        <v>383</v>
      </c>
      <c r="LO31" s="3" t="s">
        <v>382</v>
      </c>
      <c r="LP31" s="3" t="s">
        <v>383</v>
      </c>
      <c r="LQ31" s="3" t="s">
        <v>382</v>
      </c>
      <c r="LR31" s="3" t="s">
        <v>383</v>
      </c>
      <c r="LS31" s="3" t="s">
        <v>382</v>
      </c>
      <c r="LT31" s="3" t="s">
        <v>383</v>
      </c>
      <c r="LU31" s="3" t="s">
        <v>382</v>
      </c>
      <c r="LV31" s="3" t="s">
        <v>383</v>
      </c>
      <c r="LW31" s="3" t="s">
        <v>382</v>
      </c>
      <c r="LX31" s="3" t="s">
        <v>383</v>
      </c>
      <c r="LY31" s="3" t="s">
        <v>382</v>
      </c>
      <c r="LZ31" s="3" t="s">
        <v>383</v>
      </c>
      <c r="MA31" s="3" t="s">
        <v>382</v>
      </c>
      <c r="MB31" s="3" t="s">
        <v>383</v>
      </c>
      <c r="MC31" s="3" t="s">
        <v>382</v>
      </c>
      <c r="MD31" s="3" t="s">
        <v>383</v>
      </c>
      <c r="ME31" s="3" t="s">
        <v>382</v>
      </c>
      <c r="MF31" s="3" t="s">
        <v>383</v>
      </c>
      <c r="MG31" s="3" t="s">
        <v>382</v>
      </c>
      <c r="MH31" s="3" t="s">
        <v>383</v>
      </c>
      <c r="MI31" s="3" t="s">
        <v>382</v>
      </c>
      <c r="MJ31" s="3" t="s">
        <v>383</v>
      </c>
      <c r="MK31" s="3" t="s">
        <v>382</v>
      </c>
      <c r="ML31" s="3" t="s">
        <v>383</v>
      </c>
      <c r="MM31" s="3" t="s">
        <v>382</v>
      </c>
      <c r="MN31" s="3" t="s">
        <v>383</v>
      </c>
      <c r="MO31" s="3" t="s">
        <v>382</v>
      </c>
      <c r="MP31" s="3" t="s">
        <v>383</v>
      </c>
      <c r="MQ31" s="3" t="s">
        <v>382</v>
      </c>
      <c r="MR31" s="3" t="s">
        <v>383</v>
      </c>
      <c r="MS31" s="3" t="s">
        <v>382</v>
      </c>
      <c r="MT31" s="3" t="s">
        <v>383</v>
      </c>
      <c r="MU31" s="3" t="s">
        <v>382</v>
      </c>
      <c r="MV31" s="3" t="s">
        <v>383</v>
      </c>
      <c r="MW31" s="3" t="s">
        <v>382</v>
      </c>
      <c r="MX31" s="3" t="s">
        <v>383</v>
      </c>
      <c r="MY31" s="3" t="s">
        <v>382</v>
      </c>
      <c r="MZ31" s="3" t="s">
        <v>383</v>
      </c>
      <c r="NA31" s="3" t="s">
        <v>382</v>
      </c>
      <c r="NB31" s="3" t="s">
        <v>383</v>
      </c>
      <c r="NC31" s="3" t="s">
        <v>382</v>
      </c>
      <c r="ND31" s="3" t="s">
        <v>383</v>
      </c>
      <c r="NE31" s="3" t="s">
        <v>382</v>
      </c>
      <c r="NF31" s="3" t="s">
        <v>383</v>
      </c>
      <c r="NG31" s="3" t="s">
        <v>382</v>
      </c>
      <c r="NH31" s="3" t="s">
        <v>383</v>
      </c>
      <c r="NI31" s="3" t="s">
        <v>382</v>
      </c>
      <c r="NJ31" s="3" t="s">
        <v>383</v>
      </c>
      <c r="NK31" s="3" t="s">
        <v>382</v>
      </c>
      <c r="NL31" s="3" t="s">
        <v>383</v>
      </c>
      <c r="NM31" s="3" t="s">
        <v>382</v>
      </c>
      <c r="NN31" s="3" t="s">
        <v>383</v>
      </c>
      <c r="NO31" s="3" t="s">
        <v>382</v>
      </c>
      <c r="NP31" s="3" t="s">
        <v>383</v>
      </c>
      <c r="NQ31" s="3" t="s">
        <v>382</v>
      </c>
      <c r="NR31" s="3" t="s">
        <v>383</v>
      </c>
      <c r="NS31" s="3" t="s">
        <v>382</v>
      </c>
      <c r="NT31" s="3" t="s">
        <v>383</v>
      </c>
      <c r="NU31" s="3" t="s">
        <v>382</v>
      </c>
      <c r="NV31" s="3" t="s">
        <v>383</v>
      </c>
      <c r="NW31" s="3" t="s">
        <v>382</v>
      </c>
      <c r="NX31" s="3" t="s">
        <v>383</v>
      </c>
      <c r="NY31" s="3" t="s">
        <v>382</v>
      </c>
      <c r="NZ31" s="3" t="s">
        <v>383</v>
      </c>
      <c r="OA31" s="3" t="s">
        <v>382</v>
      </c>
      <c r="OB31" s="3" t="s">
        <v>383</v>
      </c>
      <c r="OC31" s="3" t="s">
        <v>382</v>
      </c>
      <c r="OD31" s="3" t="s">
        <v>383</v>
      </c>
      <c r="OE31" s="3" t="s">
        <v>382</v>
      </c>
      <c r="OF31" s="3" t="s">
        <v>383</v>
      </c>
      <c r="OG31" s="3" t="s">
        <v>382</v>
      </c>
      <c r="OH31" s="3" t="s">
        <v>383</v>
      </c>
      <c r="OI31" s="3" t="s">
        <v>382</v>
      </c>
      <c r="OJ31" s="3" t="s">
        <v>383</v>
      </c>
      <c r="OK31" s="3" t="s">
        <v>382</v>
      </c>
      <c r="OL31" s="3" t="s">
        <v>383</v>
      </c>
      <c r="OM31" s="3" t="s">
        <v>382</v>
      </c>
      <c r="ON31" s="3" t="s">
        <v>383</v>
      </c>
      <c r="OO31" s="3" t="s">
        <v>382</v>
      </c>
      <c r="OP31" s="3" t="s">
        <v>383</v>
      </c>
      <c r="OQ31" s="3" t="s">
        <v>382</v>
      </c>
      <c r="OR31" s="3" t="s">
        <v>383</v>
      </c>
      <c r="OS31" s="3" t="s">
        <v>382</v>
      </c>
      <c r="OT31" s="3" t="s">
        <v>383</v>
      </c>
      <c r="OU31" s="3" t="s">
        <v>382</v>
      </c>
      <c r="OV31" s="3" t="s">
        <v>383</v>
      </c>
      <c r="OW31" s="3" t="s">
        <v>382</v>
      </c>
      <c r="OX31" s="3" t="s">
        <v>383</v>
      </c>
      <c r="OY31" s="3" t="s">
        <v>382</v>
      </c>
      <c r="OZ31" s="3" t="s">
        <v>383</v>
      </c>
      <c r="PA31" s="3" t="s">
        <v>382</v>
      </c>
      <c r="PB31" s="3" t="s">
        <v>383</v>
      </c>
      <c r="PC31" s="3" t="s">
        <v>382</v>
      </c>
      <c r="PD31" s="3" t="s">
        <v>383</v>
      </c>
      <c r="PE31" s="3" t="s">
        <v>382</v>
      </c>
      <c r="PF31" s="3" t="s">
        <v>383</v>
      </c>
      <c r="PG31" s="3" t="s">
        <v>382</v>
      </c>
      <c r="PH31" s="3" t="s">
        <v>383</v>
      </c>
      <c r="PI31" s="3" t="s">
        <v>382</v>
      </c>
      <c r="PJ31" s="3" t="s">
        <v>383</v>
      </c>
      <c r="PK31" s="3" t="s">
        <v>382</v>
      </c>
      <c r="PL31" s="3" t="s">
        <v>383</v>
      </c>
      <c r="PM31" s="3" t="s">
        <v>382</v>
      </c>
      <c r="PN31" s="3" t="s">
        <v>383</v>
      </c>
      <c r="PO31" s="3" t="s">
        <v>382</v>
      </c>
      <c r="PP31" s="3" t="s">
        <v>383</v>
      </c>
      <c r="PQ31" s="3" t="s">
        <v>382</v>
      </c>
      <c r="PR31" s="3" t="s">
        <v>383</v>
      </c>
      <c r="PS31" s="3" t="s">
        <v>382</v>
      </c>
      <c r="PT31" s="3" t="s">
        <v>383</v>
      </c>
      <c r="PU31" s="3" t="s">
        <v>382</v>
      </c>
      <c r="PV31" s="3" t="s">
        <v>383</v>
      </c>
      <c r="PW31" s="3" t="s">
        <v>382</v>
      </c>
      <c r="PX31" s="3" t="s">
        <v>383</v>
      </c>
      <c r="PY31" s="3" t="s">
        <v>382</v>
      </c>
      <c r="PZ31" s="3" t="s">
        <v>383</v>
      </c>
      <c r="QA31" s="3" t="s">
        <v>382</v>
      </c>
      <c r="QB31" s="3" t="s">
        <v>383</v>
      </c>
      <c r="QC31" s="3" t="s">
        <v>382</v>
      </c>
      <c r="QD31" s="3" t="s">
        <v>383</v>
      </c>
      <c r="QE31" s="3" t="s">
        <v>382</v>
      </c>
      <c r="QF31" s="3" t="s">
        <v>383</v>
      </c>
      <c r="QG31" s="3" t="s">
        <v>382</v>
      </c>
      <c r="QH31" s="3" t="s">
        <v>383</v>
      </c>
      <c r="QI31" s="3" t="s">
        <v>382</v>
      </c>
      <c r="QJ31" s="3" t="s">
        <v>383</v>
      </c>
      <c r="QK31" s="3" t="s">
        <v>382</v>
      </c>
      <c r="QL31" s="3" t="s">
        <v>383</v>
      </c>
      <c r="QM31" s="3" t="s">
        <v>382</v>
      </c>
      <c r="QN31" s="3" t="s">
        <v>383</v>
      </c>
      <c r="QO31" s="3" t="s">
        <v>382</v>
      </c>
      <c r="QP31" s="3" t="s">
        <v>383</v>
      </c>
      <c r="QQ31" s="3" t="s">
        <v>382</v>
      </c>
      <c r="QR31" s="3" t="s">
        <v>383</v>
      </c>
      <c r="QS31" s="3" t="s">
        <v>382</v>
      </c>
      <c r="QT31" s="3" t="s">
        <v>383</v>
      </c>
      <c r="QU31" s="3" t="s">
        <v>382</v>
      </c>
      <c r="QV31" s="3" t="s">
        <v>383</v>
      </c>
      <c r="QW31" s="3" t="s">
        <v>382</v>
      </c>
      <c r="QX31" s="3" t="s">
        <v>383</v>
      </c>
      <c r="QY31" s="3" t="s">
        <v>382</v>
      </c>
      <c r="QZ31" s="3" t="s">
        <v>383</v>
      </c>
      <c r="RA31" s="3" t="s">
        <v>382</v>
      </c>
      <c r="RB31" s="3" t="s">
        <v>383</v>
      </c>
      <c r="RC31" s="3" t="s">
        <v>382</v>
      </c>
      <c r="RD31" s="3" t="s">
        <v>383</v>
      </c>
      <c r="RE31" s="3" t="s">
        <v>382</v>
      </c>
      <c r="RF31" s="3" t="s">
        <v>383</v>
      </c>
      <c r="RG31" s="3" t="s">
        <v>382</v>
      </c>
      <c r="RH31" s="3" t="s">
        <v>383</v>
      </c>
      <c r="RI31" s="3" t="s">
        <v>382</v>
      </c>
      <c r="RJ31" s="3" t="s">
        <v>383</v>
      </c>
      <c r="RK31" s="3" t="s">
        <v>382</v>
      </c>
      <c r="RL31" s="3" t="s">
        <v>383</v>
      </c>
      <c r="RM31" s="3" t="s">
        <v>382</v>
      </c>
      <c r="RN31" s="3" t="s">
        <v>383</v>
      </c>
      <c r="RO31" s="3" t="s">
        <v>382</v>
      </c>
      <c r="RP31" s="3" t="s">
        <v>383</v>
      </c>
      <c r="RQ31" s="3" t="s">
        <v>382</v>
      </c>
      <c r="RR31" s="3" t="s">
        <v>383</v>
      </c>
      <c r="RS31" s="3" t="s">
        <v>382</v>
      </c>
      <c r="RT31" s="3" t="s">
        <v>383</v>
      </c>
      <c r="RU31" s="3" t="s">
        <v>382</v>
      </c>
      <c r="RV31" s="3" t="s">
        <v>383</v>
      </c>
      <c r="RW31" s="3" t="s">
        <v>382</v>
      </c>
      <c r="RX31" s="3" t="s">
        <v>383</v>
      </c>
      <c r="RY31" s="3" t="s">
        <v>382</v>
      </c>
      <c r="RZ31" s="3" t="s">
        <v>383</v>
      </c>
      <c r="SA31" s="3" t="s">
        <v>382</v>
      </c>
      <c r="SB31" s="3" t="s">
        <v>383</v>
      </c>
      <c r="SC31" s="3" t="s">
        <v>382</v>
      </c>
      <c r="SD31" s="3" t="s">
        <v>383</v>
      </c>
      <c r="SE31" s="3" t="s">
        <v>382</v>
      </c>
      <c r="SF31" s="3" t="s">
        <v>383</v>
      </c>
      <c r="SG31" s="3" t="s">
        <v>382</v>
      </c>
      <c r="SH31" s="3" t="s">
        <v>383</v>
      </c>
      <c r="SI31" s="3" t="s">
        <v>382</v>
      </c>
      <c r="SJ31" s="3" t="s">
        <v>383</v>
      </c>
      <c r="SK31" s="3" t="s">
        <v>382</v>
      </c>
      <c r="SL31" s="3" t="s">
        <v>383</v>
      </c>
      <c r="SM31" s="3" t="s">
        <v>382</v>
      </c>
      <c r="SN31" s="3" t="s">
        <v>383</v>
      </c>
      <c r="SO31" s="3" t="s">
        <v>382</v>
      </c>
      <c r="SP31" s="3" t="s">
        <v>383</v>
      </c>
      <c r="SQ31" s="3" t="s">
        <v>382</v>
      </c>
      <c r="SR31" s="3" t="s">
        <v>383</v>
      </c>
      <c r="SS31" s="3" t="s">
        <v>382</v>
      </c>
      <c r="ST31" s="3" t="s">
        <v>383</v>
      </c>
      <c r="SU31" s="3" t="s">
        <v>382</v>
      </c>
      <c r="SV31" s="3" t="s">
        <v>383</v>
      </c>
      <c r="SW31" s="3" t="s">
        <v>382</v>
      </c>
      <c r="SX31" s="3" t="s">
        <v>383</v>
      </c>
      <c r="SY31" s="3" t="s">
        <v>382</v>
      </c>
      <c r="SZ31" s="3" t="s">
        <v>383</v>
      </c>
      <c r="TA31" s="3" t="s">
        <v>382</v>
      </c>
      <c r="TB31" s="3" t="s">
        <v>383</v>
      </c>
      <c r="TC31" s="3" t="s">
        <v>382</v>
      </c>
      <c r="TD31" s="3" t="s">
        <v>383</v>
      </c>
      <c r="TE31" s="3" t="s">
        <v>382</v>
      </c>
      <c r="TF31" s="3" t="s">
        <v>383</v>
      </c>
      <c r="TG31" s="3" t="s">
        <v>382</v>
      </c>
      <c r="TH31" s="3" t="s">
        <v>383</v>
      </c>
      <c r="TI31" s="3" t="s">
        <v>382</v>
      </c>
      <c r="TJ31" s="3" t="s">
        <v>383</v>
      </c>
      <c r="TK31" s="3" t="s">
        <v>382</v>
      </c>
      <c r="TL31" s="3" t="s">
        <v>383</v>
      </c>
      <c r="TM31" s="3" t="s">
        <v>382</v>
      </c>
      <c r="TN31" s="3" t="s">
        <v>383</v>
      </c>
      <c r="TO31" s="3" t="s">
        <v>382</v>
      </c>
      <c r="TP31" s="3" t="s">
        <v>383</v>
      </c>
      <c r="TQ31" s="3" t="s">
        <v>382</v>
      </c>
      <c r="TR31" s="3" t="s">
        <v>383</v>
      </c>
      <c r="TS31" s="3" t="s">
        <v>382</v>
      </c>
      <c r="TT31" s="3" t="s">
        <v>383</v>
      </c>
      <c r="TU31" s="3" t="s">
        <v>382</v>
      </c>
      <c r="TV31" s="3" t="s">
        <v>383</v>
      </c>
      <c r="TW31" s="3" t="s">
        <v>382</v>
      </c>
      <c r="TX31" s="3" t="s">
        <v>383</v>
      </c>
      <c r="TY31" s="3" t="s">
        <v>382</v>
      </c>
      <c r="TZ31" s="3" t="s">
        <v>383</v>
      </c>
      <c r="UA31" s="3" t="s">
        <v>382</v>
      </c>
      <c r="UB31" s="3" t="s">
        <v>383</v>
      </c>
      <c r="UC31" s="3" t="s">
        <v>382</v>
      </c>
      <c r="UD31" s="3" t="s">
        <v>383</v>
      </c>
      <c r="UE31" s="3" t="s">
        <v>382</v>
      </c>
      <c r="UF31" s="3" t="s">
        <v>383</v>
      </c>
      <c r="UG31" s="3" t="s">
        <v>382</v>
      </c>
      <c r="UH31" s="3" t="s">
        <v>383</v>
      </c>
      <c r="UI31" s="3" t="s">
        <v>382</v>
      </c>
      <c r="UJ31" s="3" t="s">
        <v>383</v>
      </c>
      <c r="UK31" s="3" t="s">
        <v>382</v>
      </c>
      <c r="UL31" s="3" t="s">
        <v>383</v>
      </c>
      <c r="UM31" s="3" t="s">
        <v>382</v>
      </c>
      <c r="UN31" s="3" t="s">
        <v>383</v>
      </c>
      <c r="UO31" s="3" t="s">
        <v>382</v>
      </c>
      <c r="UP31" s="3" t="s">
        <v>383</v>
      </c>
      <c r="UQ31" s="3" t="s">
        <v>382</v>
      </c>
      <c r="UR31" s="3" t="s">
        <v>383</v>
      </c>
      <c r="US31" s="3" t="s">
        <v>382</v>
      </c>
      <c r="UT31" s="3" t="s">
        <v>383</v>
      </c>
      <c r="UU31" s="3" t="s">
        <v>382</v>
      </c>
      <c r="UV31" s="3" t="s">
        <v>383</v>
      </c>
      <c r="UW31" s="3" t="s">
        <v>382</v>
      </c>
      <c r="UX31" s="3" t="s">
        <v>383</v>
      </c>
      <c r="UY31" s="3" t="s">
        <v>382</v>
      </c>
      <c r="UZ31" s="3" t="s">
        <v>383</v>
      </c>
      <c r="VA31" s="3" t="s">
        <v>382</v>
      </c>
      <c r="VB31" s="3" t="s">
        <v>383</v>
      </c>
      <c r="VC31" s="3" t="s">
        <v>382</v>
      </c>
      <c r="VD31" s="3" t="s">
        <v>383</v>
      </c>
      <c r="VE31" s="3" t="s">
        <v>382</v>
      </c>
      <c r="VF31" s="3" t="s">
        <v>383</v>
      </c>
      <c r="VG31" s="3" t="s">
        <v>382</v>
      </c>
      <c r="VH31" s="3" t="s">
        <v>383</v>
      </c>
      <c r="VI31" s="3" t="s">
        <v>382</v>
      </c>
      <c r="VJ31" s="3" t="s">
        <v>383</v>
      </c>
      <c r="VK31" s="3" t="s">
        <v>382</v>
      </c>
      <c r="VL31" s="3" t="s">
        <v>383</v>
      </c>
      <c r="VM31" s="3" t="s">
        <v>382</v>
      </c>
      <c r="VN31" s="3" t="s">
        <v>383</v>
      </c>
      <c r="VO31" s="3" t="s">
        <v>382</v>
      </c>
      <c r="VP31" s="3" t="s">
        <v>383</v>
      </c>
      <c r="VQ31" s="3" t="s">
        <v>382</v>
      </c>
      <c r="VR31" s="3" t="s">
        <v>383</v>
      </c>
      <c r="VS31" s="3" t="s">
        <v>382</v>
      </c>
      <c r="VT31" s="3" t="s">
        <v>383</v>
      </c>
      <c r="VU31" s="3" t="s">
        <v>382</v>
      </c>
      <c r="VV31" s="3" t="s">
        <v>383</v>
      </c>
      <c r="VW31" s="3" t="s">
        <v>382</v>
      </c>
      <c r="VX31" s="3" t="s">
        <v>383</v>
      </c>
      <c r="VY31" s="3" t="s">
        <v>382</v>
      </c>
      <c r="VZ31" s="3" t="s">
        <v>383</v>
      </c>
      <c r="WA31" s="3" t="s">
        <v>382</v>
      </c>
      <c r="WB31" s="3" t="s">
        <v>383</v>
      </c>
      <c r="WC31" s="3" t="s">
        <v>382</v>
      </c>
      <c r="WD31" s="3" t="s">
        <v>383</v>
      </c>
      <c r="WE31" s="3" t="s">
        <v>382</v>
      </c>
      <c r="WF31" s="3" t="s">
        <v>383</v>
      </c>
      <c r="WG31" s="3" t="s">
        <v>382</v>
      </c>
      <c r="WH31" s="3" t="s">
        <v>383</v>
      </c>
      <c r="WI31" s="3" t="s">
        <v>382</v>
      </c>
      <c r="WJ31" s="3" t="s">
        <v>383</v>
      </c>
      <c r="WK31" s="3" t="s">
        <v>382</v>
      </c>
      <c r="WL31" s="3" t="s">
        <v>383</v>
      </c>
      <c r="WM31" s="3" t="s">
        <v>382</v>
      </c>
      <c r="WN31" s="3" t="s">
        <v>383</v>
      </c>
      <c r="WO31" s="3" t="s">
        <v>382</v>
      </c>
      <c r="WP31" s="3" t="s">
        <v>383</v>
      </c>
      <c r="WQ31" s="3" t="s">
        <v>382</v>
      </c>
      <c r="WR31" s="3" t="s">
        <v>383</v>
      </c>
      <c r="WS31" s="3" t="s">
        <v>382</v>
      </c>
      <c r="WT31" s="3" t="s">
        <v>383</v>
      </c>
      <c r="WU31" s="3" t="s">
        <v>382</v>
      </c>
      <c r="WV31" s="3" t="s">
        <v>383</v>
      </c>
      <c r="WW31" s="3" t="s">
        <v>382</v>
      </c>
      <c r="WX31" s="3" t="s">
        <v>383</v>
      </c>
      <c r="WY31" s="3" t="s">
        <v>382</v>
      </c>
      <c r="WZ31" s="3" t="s">
        <v>383</v>
      </c>
      <c r="XA31" s="3" t="s">
        <v>382</v>
      </c>
      <c r="XB31" s="3" t="s">
        <v>383</v>
      </c>
      <c r="XC31" s="3" t="s">
        <v>382</v>
      </c>
      <c r="XD31" s="3" t="s">
        <v>383</v>
      </c>
      <c r="XE31" s="3" t="s">
        <v>382</v>
      </c>
      <c r="XF31" s="3" t="s">
        <v>383</v>
      </c>
      <c r="XG31" s="3" t="s">
        <v>382</v>
      </c>
      <c r="XH31" s="3" t="s">
        <v>383</v>
      </c>
      <c r="XI31" s="3" t="s">
        <v>382</v>
      </c>
      <c r="XJ31" s="3" t="s">
        <v>383</v>
      </c>
      <c r="XK31" s="3" t="s">
        <v>382</v>
      </c>
      <c r="XL31" s="3" t="s">
        <v>383</v>
      </c>
      <c r="XM31" s="3" t="s">
        <v>382</v>
      </c>
      <c r="XN31" s="3" t="s">
        <v>383</v>
      </c>
      <c r="XO31" s="3" t="s">
        <v>382</v>
      </c>
      <c r="XP31" s="3" t="s">
        <v>383</v>
      </c>
      <c r="XQ31" s="3" t="s">
        <v>382</v>
      </c>
      <c r="XR31" s="3" t="s">
        <v>383</v>
      </c>
      <c r="XS31" s="3" t="s">
        <v>382</v>
      </c>
      <c r="XT31" s="3" t="s">
        <v>383</v>
      </c>
      <c r="XU31" s="3" t="s">
        <v>382</v>
      </c>
      <c r="XV31" s="3" t="s">
        <v>383</v>
      </c>
      <c r="XW31" s="3" t="s">
        <v>382</v>
      </c>
      <c r="XX31" s="3" t="s">
        <v>383</v>
      </c>
      <c r="XY31" s="3" t="s">
        <v>382</v>
      </c>
      <c r="XZ31" s="3" t="s">
        <v>383</v>
      </c>
      <c r="YA31" s="3" t="s">
        <v>382</v>
      </c>
      <c r="YB31" s="3" t="s">
        <v>383</v>
      </c>
      <c r="YC31" s="3" t="s">
        <v>382</v>
      </c>
      <c r="YD31" s="3" t="s">
        <v>383</v>
      </c>
      <c r="YE31" s="3" t="s">
        <v>382</v>
      </c>
      <c r="YF31" s="3" t="s">
        <v>383</v>
      </c>
      <c r="YG31" s="3" t="s">
        <v>382</v>
      </c>
      <c r="YH31" s="3" t="s">
        <v>383</v>
      </c>
      <c r="YI31" s="3" t="s">
        <v>382</v>
      </c>
      <c r="YJ31" s="3" t="s">
        <v>383</v>
      </c>
      <c r="YK31" s="3" t="s">
        <v>382</v>
      </c>
      <c r="YL31" s="3" t="s">
        <v>383</v>
      </c>
      <c r="YM31" s="3" t="s">
        <v>382</v>
      </c>
      <c r="YN31" s="3" t="s">
        <v>383</v>
      </c>
      <c r="YO31" s="3" t="s">
        <v>382</v>
      </c>
      <c r="YP31" s="3" t="s">
        <v>383</v>
      </c>
      <c r="YQ31" s="3" t="s">
        <v>382</v>
      </c>
      <c r="YR31" s="3" t="s">
        <v>383</v>
      </c>
      <c r="YS31" s="3" t="s">
        <v>382</v>
      </c>
      <c r="YT31" s="3" t="s">
        <v>383</v>
      </c>
      <c r="YU31" s="3" t="s">
        <v>382</v>
      </c>
      <c r="YV31" s="3" t="s">
        <v>383</v>
      </c>
      <c r="YW31" s="3" t="s">
        <v>382</v>
      </c>
      <c r="YX31" s="3" t="s">
        <v>383</v>
      </c>
      <c r="YY31" s="3" t="s">
        <v>382</v>
      </c>
      <c r="YZ31" s="3" t="s">
        <v>383</v>
      </c>
      <c r="ZA31" s="3" t="s">
        <v>382</v>
      </c>
      <c r="ZB31" s="3" t="s">
        <v>383</v>
      </c>
      <c r="ZC31" s="3" t="s">
        <v>382</v>
      </c>
      <c r="ZD31" s="3" t="s">
        <v>383</v>
      </c>
      <c r="ZE31" s="3" t="s">
        <v>382</v>
      </c>
      <c r="ZF31" s="3" t="s">
        <v>383</v>
      </c>
      <c r="ZG31" s="3" t="s">
        <v>382</v>
      </c>
      <c r="ZH31" s="3" t="s">
        <v>383</v>
      </c>
      <c r="ZI31" s="3" t="s">
        <v>382</v>
      </c>
      <c r="ZJ31" s="3" t="s">
        <v>383</v>
      </c>
      <c r="ZK31" s="3" t="s">
        <v>382</v>
      </c>
      <c r="ZL31" s="3" t="s">
        <v>383</v>
      </c>
      <c r="ZM31" s="3" t="s">
        <v>382</v>
      </c>
      <c r="ZN31" s="3" t="s">
        <v>383</v>
      </c>
      <c r="ZO31" s="3" t="s">
        <v>382</v>
      </c>
      <c r="ZP31" s="3" t="s">
        <v>383</v>
      </c>
      <c r="ZQ31" s="3" t="s">
        <v>382</v>
      </c>
      <c r="ZR31" s="3" t="s">
        <v>383</v>
      </c>
      <c r="ZS31" s="3" t="s">
        <v>382</v>
      </c>
      <c r="ZT31" s="3" t="s">
        <v>383</v>
      </c>
      <c r="ZU31" s="3" t="s">
        <v>382</v>
      </c>
      <c r="ZV31" s="3" t="s">
        <v>383</v>
      </c>
      <c r="ZW31" s="3" t="s">
        <v>382</v>
      </c>
      <c r="ZX31" s="3" t="s">
        <v>383</v>
      </c>
      <c r="ZY31" s="3" t="s">
        <v>382</v>
      </c>
      <c r="ZZ31" s="3" t="s">
        <v>383</v>
      </c>
      <c r="AAA31" s="3" t="s">
        <v>382</v>
      </c>
      <c r="AAB31" s="3" t="s">
        <v>383</v>
      </c>
      <c r="AAC31" s="3" t="s">
        <v>382</v>
      </c>
      <c r="AAD31" s="3" t="s">
        <v>383</v>
      </c>
      <c r="AAE31" s="3" t="s">
        <v>382</v>
      </c>
      <c r="AAF31" s="3" t="s">
        <v>383</v>
      </c>
      <c r="AAG31" s="3" t="s">
        <v>382</v>
      </c>
      <c r="AAH31" s="3" t="s">
        <v>383</v>
      </c>
      <c r="AAI31" s="3" t="s">
        <v>382</v>
      </c>
      <c r="AAJ31" s="3" t="s">
        <v>383</v>
      </c>
      <c r="AAK31" s="3" t="s">
        <v>382</v>
      </c>
      <c r="AAL31" s="3" t="s">
        <v>383</v>
      </c>
      <c r="AAM31" s="3" t="s">
        <v>382</v>
      </c>
      <c r="AAN31" s="3" t="s">
        <v>383</v>
      </c>
      <c r="AAO31" s="3" t="s">
        <v>382</v>
      </c>
      <c r="AAP31" s="3" t="s">
        <v>383</v>
      </c>
      <c r="AAQ31" s="3" t="s">
        <v>382</v>
      </c>
      <c r="AAR31" s="3" t="s">
        <v>383</v>
      </c>
      <c r="AAS31" s="3" t="s">
        <v>382</v>
      </c>
      <c r="AAT31" s="3" t="s">
        <v>383</v>
      </c>
      <c r="AAU31" s="3" t="s">
        <v>382</v>
      </c>
      <c r="AAV31" s="3" t="s">
        <v>383</v>
      </c>
      <c r="AAW31" s="3" t="s">
        <v>382</v>
      </c>
      <c r="AAX31" s="3" t="s">
        <v>383</v>
      </c>
      <c r="AAY31" s="3" t="s">
        <v>382</v>
      </c>
      <c r="AAZ31" s="3" t="s">
        <v>383</v>
      </c>
      <c r="ABA31" s="3" t="s">
        <v>382</v>
      </c>
      <c r="ABB31" s="3" t="s">
        <v>383</v>
      </c>
      <c r="ABC31" s="3" t="s">
        <v>382</v>
      </c>
      <c r="ABD31" s="3" t="s">
        <v>383</v>
      </c>
      <c r="ABE31" s="3" t="s">
        <v>382</v>
      </c>
      <c r="ABF31" s="3" t="s">
        <v>383</v>
      </c>
      <c r="ABG31" s="3" t="s">
        <v>382</v>
      </c>
      <c r="ABH31" s="3" t="s">
        <v>383</v>
      </c>
      <c r="ABI31" s="3" t="s">
        <v>382</v>
      </c>
      <c r="ABJ31" s="3" t="s">
        <v>383</v>
      </c>
      <c r="ABK31" s="3" t="s">
        <v>382</v>
      </c>
      <c r="ABL31" s="3" t="s">
        <v>383</v>
      </c>
      <c r="ABM31" s="3" t="s">
        <v>382</v>
      </c>
      <c r="ABN31" s="3" t="s">
        <v>383</v>
      </c>
      <c r="ABO31" s="3" t="s">
        <v>382</v>
      </c>
      <c r="ABP31" s="3" t="s">
        <v>383</v>
      </c>
      <c r="ABQ31" s="3" t="s">
        <v>382</v>
      </c>
      <c r="ABR31" s="3" t="s">
        <v>383</v>
      </c>
      <c r="ABS31" s="3" t="s">
        <v>382</v>
      </c>
      <c r="ABT31" s="3" t="s">
        <v>383</v>
      </c>
      <c r="ABU31" s="3" t="s">
        <v>382</v>
      </c>
      <c r="ABV31" s="3" t="s">
        <v>383</v>
      </c>
      <c r="ABW31" s="3" t="s">
        <v>382</v>
      </c>
      <c r="ABX31" s="3" t="s">
        <v>383</v>
      </c>
      <c r="ABY31" s="3" t="s">
        <v>382</v>
      </c>
      <c r="ABZ31" s="3" t="s">
        <v>383</v>
      </c>
      <c r="ACA31" s="3" t="s">
        <v>382</v>
      </c>
      <c r="ACB31" s="3" t="s">
        <v>383</v>
      </c>
      <c r="ACC31" s="3" t="s">
        <v>382</v>
      </c>
      <c r="ACD31" s="3" t="s">
        <v>383</v>
      </c>
      <c r="ACE31" s="3" t="s">
        <v>382</v>
      </c>
      <c r="ACF31" s="3" t="s">
        <v>383</v>
      </c>
      <c r="ACG31" s="3" t="s">
        <v>382</v>
      </c>
      <c r="ACH31" s="3" t="s">
        <v>383</v>
      </c>
      <c r="ACI31" s="3" t="s">
        <v>382</v>
      </c>
      <c r="ACJ31" s="3" t="s">
        <v>383</v>
      </c>
      <c r="ACK31" s="3" t="s">
        <v>382</v>
      </c>
      <c r="ACL31" s="3" t="s">
        <v>383</v>
      </c>
      <c r="ACM31" s="3" t="s">
        <v>382</v>
      </c>
      <c r="ACN31" s="3" t="s">
        <v>383</v>
      </c>
      <c r="ACO31" s="3" t="s">
        <v>382</v>
      </c>
      <c r="ACP31" s="3" t="s">
        <v>383</v>
      </c>
      <c r="ACQ31" s="3" t="s">
        <v>382</v>
      </c>
      <c r="ACR31" s="3" t="s">
        <v>383</v>
      </c>
      <c r="ACS31" s="3" t="s">
        <v>382</v>
      </c>
      <c r="ACT31" s="3" t="s">
        <v>383</v>
      </c>
      <c r="ACU31" s="3" t="s">
        <v>382</v>
      </c>
      <c r="ACV31" s="3" t="s">
        <v>383</v>
      </c>
      <c r="ACW31" s="3" t="s">
        <v>382</v>
      </c>
      <c r="ACX31" s="3" t="s">
        <v>383</v>
      </c>
      <c r="ACY31" s="3" t="s">
        <v>382</v>
      </c>
      <c r="ACZ31" s="3" t="s">
        <v>383</v>
      </c>
      <c r="ADA31" s="3" t="s">
        <v>382</v>
      </c>
      <c r="ADB31" s="3" t="s">
        <v>383</v>
      </c>
      <c r="ADC31" s="3" t="s">
        <v>382</v>
      </c>
      <c r="ADD31" s="3" t="s">
        <v>383</v>
      </c>
      <c r="ADE31" s="3" t="s">
        <v>382</v>
      </c>
      <c r="ADF31" s="3" t="s">
        <v>383</v>
      </c>
      <c r="ADG31" s="3" t="s">
        <v>382</v>
      </c>
      <c r="ADH31" s="3" t="s">
        <v>383</v>
      </c>
      <c r="ADI31" s="3" t="s">
        <v>382</v>
      </c>
      <c r="ADJ31" s="3" t="s">
        <v>383</v>
      </c>
      <c r="ADK31" s="3" t="s">
        <v>382</v>
      </c>
      <c r="ADL31" s="3" t="s">
        <v>383</v>
      </c>
      <c r="ADM31" s="3" t="s">
        <v>382</v>
      </c>
      <c r="ADN31" s="3" t="s">
        <v>383</v>
      </c>
      <c r="ADO31" s="3" t="s">
        <v>382</v>
      </c>
      <c r="ADP31" s="3" t="s">
        <v>383</v>
      </c>
      <c r="ADQ31" s="3" t="s">
        <v>382</v>
      </c>
      <c r="ADR31" s="3" t="s">
        <v>383</v>
      </c>
      <c r="ADS31" s="3" t="s">
        <v>382</v>
      </c>
      <c r="ADT31" s="3" t="s">
        <v>383</v>
      </c>
      <c r="ADU31" s="3" t="s">
        <v>382</v>
      </c>
      <c r="ADV31" s="3" t="s">
        <v>383</v>
      </c>
      <c r="ADW31" s="3" t="s">
        <v>382</v>
      </c>
      <c r="ADX31" s="3" t="s">
        <v>383</v>
      </c>
      <c r="ADY31" s="3" t="s">
        <v>382</v>
      </c>
      <c r="ADZ31" s="3" t="s">
        <v>383</v>
      </c>
      <c r="AEA31" s="3" t="s">
        <v>382</v>
      </c>
      <c r="AEB31" s="3" t="s">
        <v>383</v>
      </c>
      <c r="AEC31" s="3" t="s">
        <v>382</v>
      </c>
      <c r="AED31" s="3" t="s">
        <v>383</v>
      </c>
      <c r="AEE31" s="3" t="s">
        <v>382</v>
      </c>
      <c r="AEF31" s="3" t="s">
        <v>383</v>
      </c>
      <c r="AEG31" s="3" t="s">
        <v>382</v>
      </c>
      <c r="AEH31" s="3" t="s">
        <v>383</v>
      </c>
      <c r="AEI31" s="3" t="s">
        <v>382</v>
      </c>
      <c r="AEJ31" s="3" t="s">
        <v>383</v>
      </c>
      <c r="AEK31" s="3" t="s">
        <v>382</v>
      </c>
      <c r="AEL31" s="3" t="s">
        <v>383</v>
      </c>
      <c r="AEM31" s="3" t="s">
        <v>382</v>
      </c>
      <c r="AEN31" s="3" t="s">
        <v>383</v>
      </c>
      <c r="AEO31" s="3" t="s">
        <v>382</v>
      </c>
      <c r="AEP31" s="3" t="s">
        <v>383</v>
      </c>
      <c r="AEQ31" s="3" t="s">
        <v>382</v>
      </c>
      <c r="AER31" s="3" t="s">
        <v>383</v>
      </c>
      <c r="AES31" s="3" t="s">
        <v>382</v>
      </c>
      <c r="AET31" s="3" t="s">
        <v>383</v>
      </c>
      <c r="AEU31" s="3" t="s">
        <v>382</v>
      </c>
      <c r="AEV31" s="3" t="s">
        <v>383</v>
      </c>
      <c r="AEW31" s="3" t="s">
        <v>382</v>
      </c>
      <c r="AEX31" s="3" t="s">
        <v>383</v>
      </c>
      <c r="AEY31" s="3" t="s">
        <v>382</v>
      </c>
      <c r="AEZ31" s="3" t="s">
        <v>383</v>
      </c>
      <c r="AFA31" s="3" t="s">
        <v>382</v>
      </c>
      <c r="AFB31" s="3" t="s">
        <v>383</v>
      </c>
      <c r="AFC31" s="3" t="s">
        <v>382</v>
      </c>
      <c r="AFD31" s="3" t="s">
        <v>383</v>
      </c>
      <c r="AFE31" s="3" t="s">
        <v>382</v>
      </c>
      <c r="AFF31" s="3" t="s">
        <v>383</v>
      </c>
      <c r="AFG31" s="3" t="s">
        <v>382</v>
      </c>
      <c r="AFH31" s="3" t="s">
        <v>383</v>
      </c>
      <c r="AFI31" s="3" t="s">
        <v>382</v>
      </c>
      <c r="AFJ31" s="3" t="s">
        <v>383</v>
      </c>
      <c r="AFK31" s="3" t="s">
        <v>382</v>
      </c>
      <c r="AFL31" s="3" t="s">
        <v>383</v>
      </c>
      <c r="AFM31" s="3" t="s">
        <v>382</v>
      </c>
      <c r="AFN31" s="3" t="s">
        <v>383</v>
      </c>
      <c r="AFO31" s="3" t="s">
        <v>382</v>
      </c>
      <c r="AFP31" s="3" t="s">
        <v>383</v>
      </c>
      <c r="AFQ31" s="3" t="s">
        <v>382</v>
      </c>
      <c r="AFR31" s="3" t="s">
        <v>383</v>
      </c>
      <c r="AFS31" s="3" t="s">
        <v>382</v>
      </c>
      <c r="AFT31" s="3" t="s">
        <v>383</v>
      </c>
      <c r="AFU31" s="3" t="s">
        <v>382</v>
      </c>
      <c r="AFV31" s="3" t="s">
        <v>383</v>
      </c>
      <c r="AFW31" s="3" t="s">
        <v>382</v>
      </c>
      <c r="AFX31" s="3" t="s">
        <v>383</v>
      </c>
      <c r="AFY31" s="3" t="s">
        <v>382</v>
      </c>
      <c r="AFZ31" s="3" t="s">
        <v>383</v>
      </c>
      <c r="AGA31" s="3" t="s">
        <v>382</v>
      </c>
      <c r="AGB31" s="3" t="s">
        <v>383</v>
      </c>
      <c r="AGC31" s="3" t="s">
        <v>382</v>
      </c>
      <c r="AGD31" s="3" t="s">
        <v>383</v>
      </c>
      <c r="AGE31" s="3" t="s">
        <v>382</v>
      </c>
      <c r="AGF31" s="3" t="s">
        <v>383</v>
      </c>
      <c r="AGG31" s="3" t="s">
        <v>382</v>
      </c>
      <c r="AGH31" s="3" t="s">
        <v>383</v>
      </c>
      <c r="AGI31" s="3" t="s">
        <v>382</v>
      </c>
      <c r="AGJ31" s="3" t="s">
        <v>383</v>
      </c>
      <c r="AGK31" s="3" t="s">
        <v>382</v>
      </c>
      <c r="AGL31" s="3" t="s">
        <v>383</v>
      </c>
      <c r="AGM31" s="3" t="s">
        <v>382</v>
      </c>
      <c r="AGN31" s="3" t="s">
        <v>383</v>
      </c>
      <c r="AGO31" s="3" t="s">
        <v>382</v>
      </c>
      <c r="AGP31" s="3" t="s">
        <v>383</v>
      </c>
      <c r="AGQ31" s="3" t="s">
        <v>382</v>
      </c>
      <c r="AGR31" s="3" t="s">
        <v>383</v>
      </c>
      <c r="AGS31" s="3" t="s">
        <v>382</v>
      </c>
      <c r="AGT31" s="3" t="s">
        <v>383</v>
      </c>
      <c r="AGU31" s="3" t="s">
        <v>382</v>
      </c>
      <c r="AGV31" s="3" t="s">
        <v>383</v>
      </c>
      <c r="AGW31" s="3" t="s">
        <v>382</v>
      </c>
      <c r="AGX31" s="3" t="s">
        <v>383</v>
      </c>
      <c r="AGY31" s="3" t="s">
        <v>382</v>
      </c>
      <c r="AGZ31" s="3" t="s">
        <v>383</v>
      </c>
      <c r="AHA31" s="3" t="s">
        <v>382</v>
      </c>
      <c r="AHB31" s="3" t="s">
        <v>383</v>
      </c>
      <c r="AHC31" s="3" t="s">
        <v>382</v>
      </c>
      <c r="AHD31" s="3" t="s">
        <v>383</v>
      </c>
      <c r="AHE31" s="3" t="s">
        <v>382</v>
      </c>
      <c r="AHF31" s="3" t="s">
        <v>383</v>
      </c>
      <c r="AHG31" s="3" t="s">
        <v>382</v>
      </c>
      <c r="AHH31" s="3" t="s">
        <v>383</v>
      </c>
      <c r="AHI31" s="3" t="s">
        <v>382</v>
      </c>
      <c r="AHJ31" s="3" t="s">
        <v>383</v>
      </c>
      <c r="AHK31" s="3" t="s">
        <v>382</v>
      </c>
      <c r="AHL31" s="3" t="s">
        <v>383</v>
      </c>
      <c r="AHM31" s="3" t="s">
        <v>382</v>
      </c>
      <c r="AHN31" s="3" t="s">
        <v>383</v>
      </c>
      <c r="AHO31" s="3" t="s">
        <v>382</v>
      </c>
      <c r="AHP31" s="3" t="s">
        <v>383</v>
      </c>
      <c r="AHQ31" s="3" t="s">
        <v>382</v>
      </c>
      <c r="AHR31" s="3" t="s">
        <v>383</v>
      </c>
      <c r="AHS31" s="3" t="s">
        <v>382</v>
      </c>
      <c r="AHT31" s="3" t="s">
        <v>383</v>
      </c>
      <c r="AHU31" s="3" t="s">
        <v>382</v>
      </c>
      <c r="AHV31" s="3" t="s">
        <v>383</v>
      </c>
      <c r="AHW31" s="3" t="s">
        <v>382</v>
      </c>
      <c r="AHX31" s="3" t="s">
        <v>383</v>
      </c>
      <c r="AHY31" s="3" t="s">
        <v>382</v>
      </c>
      <c r="AHZ31" s="3" t="s">
        <v>383</v>
      </c>
      <c r="AIA31" s="3" t="s">
        <v>382</v>
      </c>
      <c r="AIB31" s="3" t="s">
        <v>383</v>
      </c>
      <c r="AIC31" s="3" t="s">
        <v>382</v>
      </c>
      <c r="AID31" s="3" t="s">
        <v>383</v>
      </c>
      <c r="AIE31" s="3" t="s">
        <v>382</v>
      </c>
      <c r="AIF31" s="3" t="s">
        <v>383</v>
      </c>
      <c r="AIG31" s="3" t="s">
        <v>382</v>
      </c>
      <c r="AIH31" s="3" t="s">
        <v>383</v>
      </c>
      <c r="AII31" s="3" t="s">
        <v>382</v>
      </c>
      <c r="AIJ31" s="3" t="s">
        <v>383</v>
      </c>
      <c r="AIK31" s="3" t="s">
        <v>382</v>
      </c>
      <c r="AIL31" s="3" t="s">
        <v>383</v>
      </c>
      <c r="AIM31" s="3" t="s">
        <v>382</v>
      </c>
      <c r="AIN31" s="3" t="s">
        <v>383</v>
      </c>
      <c r="AIO31" s="3" t="s">
        <v>382</v>
      </c>
      <c r="AIP31" s="3" t="s">
        <v>383</v>
      </c>
      <c r="AIQ31" s="3" t="s">
        <v>382</v>
      </c>
      <c r="AIR31" s="3" t="s">
        <v>383</v>
      </c>
      <c r="AIS31" s="3" t="s">
        <v>382</v>
      </c>
      <c r="AIT31" s="3" t="s">
        <v>383</v>
      </c>
      <c r="AIU31" s="3" t="s">
        <v>382</v>
      </c>
      <c r="AIV31" s="3" t="s">
        <v>383</v>
      </c>
      <c r="AIW31" s="3" t="s">
        <v>382</v>
      </c>
      <c r="AIX31" s="3" t="s">
        <v>383</v>
      </c>
      <c r="AIY31" s="3" t="s">
        <v>382</v>
      </c>
      <c r="AIZ31" s="3" t="s">
        <v>383</v>
      </c>
      <c r="AJA31" s="3" t="s">
        <v>382</v>
      </c>
      <c r="AJB31" s="3" t="s">
        <v>383</v>
      </c>
      <c r="AJC31" s="3" t="s">
        <v>382</v>
      </c>
      <c r="AJD31" s="3" t="s">
        <v>383</v>
      </c>
      <c r="AJE31" s="3" t="s">
        <v>382</v>
      </c>
      <c r="AJF31" s="3" t="s">
        <v>383</v>
      </c>
      <c r="AJG31" s="3" t="s">
        <v>382</v>
      </c>
      <c r="AJH31" s="3" t="s">
        <v>383</v>
      </c>
      <c r="AJI31" s="3" t="s">
        <v>382</v>
      </c>
      <c r="AJJ31" s="3" t="s">
        <v>383</v>
      </c>
      <c r="AJK31" s="3" t="s">
        <v>382</v>
      </c>
      <c r="AJL31" s="3" t="s">
        <v>383</v>
      </c>
      <c r="AJM31" s="3" t="s">
        <v>382</v>
      </c>
      <c r="AJN31" s="3" t="s">
        <v>383</v>
      </c>
      <c r="AJO31" s="3" t="s">
        <v>382</v>
      </c>
      <c r="AJP31" s="3" t="s">
        <v>383</v>
      </c>
      <c r="AJQ31" s="3" t="s">
        <v>382</v>
      </c>
      <c r="AJR31" s="3" t="s">
        <v>383</v>
      </c>
      <c r="AJS31" s="3" t="s">
        <v>382</v>
      </c>
      <c r="AJT31" s="3" t="s">
        <v>383</v>
      </c>
      <c r="AJU31" s="3" t="s">
        <v>382</v>
      </c>
      <c r="AJV31" s="3" t="s">
        <v>383</v>
      </c>
      <c r="AJW31" s="3" t="s">
        <v>382</v>
      </c>
      <c r="AJX31" s="3" t="s">
        <v>383</v>
      </c>
      <c r="AJY31" s="3" t="s">
        <v>382</v>
      </c>
      <c r="AJZ31" s="3" t="s">
        <v>383</v>
      </c>
      <c r="AKA31" s="3" t="s">
        <v>382</v>
      </c>
      <c r="AKB31" s="3" t="s">
        <v>383</v>
      </c>
      <c r="AKC31" s="3" t="s">
        <v>382</v>
      </c>
      <c r="AKD31" s="3" t="s">
        <v>383</v>
      </c>
      <c r="AKE31" s="3" t="s">
        <v>382</v>
      </c>
      <c r="AKF31" s="3" t="s">
        <v>383</v>
      </c>
      <c r="AKG31" s="3" t="s">
        <v>382</v>
      </c>
      <c r="AKH31" s="3" t="s">
        <v>383</v>
      </c>
      <c r="AKI31" s="3" t="s">
        <v>382</v>
      </c>
      <c r="AKJ31" s="3" t="s">
        <v>383</v>
      </c>
      <c r="AKK31" s="3" t="s">
        <v>382</v>
      </c>
      <c r="AKL31" s="3" t="s">
        <v>383</v>
      </c>
      <c r="AKM31" s="3" t="s">
        <v>382</v>
      </c>
      <c r="AKN31" s="3" t="s">
        <v>383</v>
      </c>
      <c r="AKO31" s="3" t="s">
        <v>382</v>
      </c>
      <c r="AKP31" s="3" t="s">
        <v>383</v>
      </c>
      <c r="AKQ31" s="3" t="s">
        <v>382</v>
      </c>
      <c r="AKR31" s="3" t="s">
        <v>383</v>
      </c>
      <c r="AKS31" s="3" t="s">
        <v>382</v>
      </c>
      <c r="AKT31" s="3" t="s">
        <v>383</v>
      </c>
      <c r="AKU31" s="3" t="s">
        <v>382</v>
      </c>
      <c r="AKV31" s="3" t="s">
        <v>383</v>
      </c>
      <c r="AKW31" s="3" t="s">
        <v>382</v>
      </c>
      <c r="AKX31" s="3" t="s">
        <v>383</v>
      </c>
      <c r="AKY31" s="3" t="s">
        <v>382</v>
      </c>
      <c r="AKZ31" s="3" t="s">
        <v>383</v>
      </c>
      <c r="ALA31" s="3" t="s">
        <v>382</v>
      </c>
      <c r="ALB31" s="3" t="s">
        <v>383</v>
      </c>
      <c r="ALC31" s="3" t="s">
        <v>382</v>
      </c>
      <c r="ALD31" s="3" t="s">
        <v>383</v>
      </c>
      <c r="ALE31" s="3" t="s">
        <v>382</v>
      </c>
      <c r="ALF31" s="3" t="s">
        <v>383</v>
      </c>
      <c r="ALG31" s="3" t="s">
        <v>382</v>
      </c>
      <c r="ALH31" s="3" t="s">
        <v>383</v>
      </c>
      <c r="ALI31" s="3" t="s">
        <v>382</v>
      </c>
      <c r="ALJ31" s="3" t="s">
        <v>383</v>
      </c>
      <c r="ALK31" s="3" t="s">
        <v>382</v>
      </c>
      <c r="ALL31" s="3" t="s">
        <v>383</v>
      </c>
      <c r="ALM31" s="3" t="s">
        <v>382</v>
      </c>
      <c r="ALN31" s="3" t="s">
        <v>383</v>
      </c>
      <c r="ALO31" s="3" t="s">
        <v>382</v>
      </c>
      <c r="ALP31" s="3" t="s">
        <v>383</v>
      </c>
      <c r="ALQ31" s="3" t="s">
        <v>382</v>
      </c>
      <c r="ALR31" s="3" t="s">
        <v>383</v>
      </c>
      <c r="ALS31" s="3" t="s">
        <v>382</v>
      </c>
      <c r="ALT31" s="3" t="s">
        <v>383</v>
      </c>
      <c r="ALU31" s="3" t="s">
        <v>382</v>
      </c>
      <c r="ALV31" s="3" t="s">
        <v>383</v>
      </c>
      <c r="ALW31" s="3" t="s">
        <v>382</v>
      </c>
      <c r="ALX31" s="3" t="s">
        <v>383</v>
      </c>
      <c r="ALY31" s="3" t="s">
        <v>382</v>
      </c>
      <c r="ALZ31" s="3" t="s">
        <v>383</v>
      </c>
      <c r="AMA31" s="3" t="s">
        <v>382</v>
      </c>
      <c r="AMB31" s="3" t="s">
        <v>383</v>
      </c>
      <c r="AMC31" s="3" t="s">
        <v>382</v>
      </c>
      <c r="AMD31" s="3" t="s">
        <v>383</v>
      </c>
      <c r="AME31" s="3" t="s">
        <v>382</v>
      </c>
      <c r="AMF31" s="3" t="s">
        <v>383</v>
      </c>
      <c r="AMG31" s="3" t="s">
        <v>382</v>
      </c>
      <c r="AMH31" s="3" t="s">
        <v>383</v>
      </c>
      <c r="AMI31" s="3" t="s">
        <v>382</v>
      </c>
      <c r="AMJ31" s="3" t="s">
        <v>383</v>
      </c>
      <c r="AMK31" s="3" t="s">
        <v>382</v>
      </c>
      <c r="AML31" s="3" t="s">
        <v>383</v>
      </c>
      <c r="AMM31" s="3" t="s">
        <v>382</v>
      </c>
      <c r="AMN31" s="3" t="s">
        <v>383</v>
      </c>
      <c r="AMO31" s="3" t="s">
        <v>382</v>
      </c>
      <c r="AMP31" s="3" t="s">
        <v>383</v>
      </c>
      <c r="AMQ31" s="3" t="s">
        <v>382</v>
      </c>
      <c r="AMR31" s="3" t="s">
        <v>383</v>
      </c>
      <c r="AMS31" s="3" t="s">
        <v>382</v>
      </c>
      <c r="AMT31" s="3" t="s">
        <v>383</v>
      </c>
      <c r="AMU31" s="3" t="s">
        <v>382</v>
      </c>
      <c r="AMV31" s="3" t="s">
        <v>383</v>
      </c>
      <c r="AMW31" s="3" t="s">
        <v>382</v>
      </c>
      <c r="AMX31" s="3" t="s">
        <v>383</v>
      </c>
      <c r="AMY31" s="3" t="s">
        <v>382</v>
      </c>
      <c r="AMZ31" s="3" t="s">
        <v>383</v>
      </c>
      <c r="ANA31" s="3" t="s">
        <v>382</v>
      </c>
      <c r="ANB31" s="3" t="s">
        <v>383</v>
      </c>
      <c r="ANC31" s="3" t="s">
        <v>382</v>
      </c>
      <c r="AND31" s="3" t="s">
        <v>383</v>
      </c>
      <c r="ANE31" s="3" t="s">
        <v>382</v>
      </c>
      <c r="ANF31" s="3" t="s">
        <v>383</v>
      </c>
      <c r="ANG31" s="3" t="s">
        <v>382</v>
      </c>
      <c r="ANH31" s="3" t="s">
        <v>383</v>
      </c>
      <c r="ANI31" s="3" t="s">
        <v>382</v>
      </c>
      <c r="ANJ31" s="3" t="s">
        <v>383</v>
      </c>
      <c r="ANK31" s="3" t="s">
        <v>382</v>
      </c>
      <c r="ANL31" s="3" t="s">
        <v>383</v>
      </c>
      <c r="ANM31" s="3" t="s">
        <v>382</v>
      </c>
      <c r="ANN31" s="3" t="s">
        <v>383</v>
      </c>
      <c r="ANO31" s="3" t="s">
        <v>382</v>
      </c>
      <c r="ANP31" s="3" t="s">
        <v>383</v>
      </c>
      <c r="ANQ31" s="3" t="s">
        <v>382</v>
      </c>
      <c r="ANR31" s="3" t="s">
        <v>383</v>
      </c>
      <c r="ANS31" s="3" t="s">
        <v>382</v>
      </c>
      <c r="ANT31" s="3" t="s">
        <v>383</v>
      </c>
      <c r="ANU31" s="3" t="s">
        <v>382</v>
      </c>
      <c r="ANV31" s="3" t="s">
        <v>383</v>
      </c>
      <c r="ANW31" s="3" t="s">
        <v>382</v>
      </c>
      <c r="ANX31" s="3" t="s">
        <v>383</v>
      </c>
      <c r="ANY31" s="3" t="s">
        <v>382</v>
      </c>
      <c r="ANZ31" s="3" t="s">
        <v>383</v>
      </c>
      <c r="AOA31" s="3" t="s">
        <v>382</v>
      </c>
      <c r="AOB31" s="3" t="s">
        <v>383</v>
      </c>
      <c r="AOC31" s="3" t="s">
        <v>382</v>
      </c>
      <c r="AOD31" s="3" t="s">
        <v>383</v>
      </c>
      <c r="AOE31" s="3" t="s">
        <v>382</v>
      </c>
      <c r="AOF31" s="3" t="s">
        <v>383</v>
      </c>
      <c r="AOG31" s="3" t="s">
        <v>382</v>
      </c>
      <c r="AOH31" s="3" t="s">
        <v>383</v>
      </c>
      <c r="AOI31" s="3" t="s">
        <v>382</v>
      </c>
      <c r="AOJ31" s="3" t="s">
        <v>383</v>
      </c>
      <c r="AOK31" s="3" t="s">
        <v>382</v>
      </c>
      <c r="AOL31" s="3" t="s">
        <v>383</v>
      </c>
      <c r="AOM31" s="3" t="s">
        <v>382</v>
      </c>
      <c r="AON31" s="3" t="s">
        <v>383</v>
      </c>
      <c r="AOO31" s="3" t="s">
        <v>382</v>
      </c>
      <c r="AOP31" s="3" t="s">
        <v>383</v>
      </c>
      <c r="AOQ31" s="3" t="s">
        <v>382</v>
      </c>
      <c r="AOR31" s="3" t="s">
        <v>383</v>
      </c>
      <c r="AOS31" s="3" t="s">
        <v>382</v>
      </c>
      <c r="AOT31" s="3" t="s">
        <v>383</v>
      </c>
      <c r="AOU31" s="3" t="s">
        <v>382</v>
      </c>
      <c r="AOV31" s="3" t="s">
        <v>383</v>
      </c>
      <c r="AOW31" s="3" t="s">
        <v>382</v>
      </c>
      <c r="AOX31" s="3" t="s">
        <v>383</v>
      </c>
      <c r="AOY31" s="3" t="s">
        <v>382</v>
      </c>
      <c r="AOZ31" s="3" t="s">
        <v>383</v>
      </c>
      <c r="APA31" s="3" t="s">
        <v>382</v>
      </c>
      <c r="APB31" s="3" t="s">
        <v>383</v>
      </c>
      <c r="APC31" s="3" t="s">
        <v>382</v>
      </c>
      <c r="APD31" s="3" t="s">
        <v>383</v>
      </c>
      <c r="APE31" s="3" t="s">
        <v>382</v>
      </c>
      <c r="APF31" s="3" t="s">
        <v>383</v>
      </c>
      <c r="APG31" s="3" t="s">
        <v>382</v>
      </c>
      <c r="APH31" s="3" t="s">
        <v>383</v>
      </c>
      <c r="API31" s="3" t="s">
        <v>382</v>
      </c>
      <c r="APJ31" s="3" t="s">
        <v>383</v>
      </c>
      <c r="APK31" s="3" t="s">
        <v>382</v>
      </c>
      <c r="APL31" s="3" t="s">
        <v>383</v>
      </c>
      <c r="APM31" s="3" t="s">
        <v>382</v>
      </c>
      <c r="APN31" s="3" t="s">
        <v>383</v>
      </c>
      <c r="APO31" s="3" t="s">
        <v>382</v>
      </c>
      <c r="APP31" s="3" t="s">
        <v>383</v>
      </c>
      <c r="APQ31" s="3" t="s">
        <v>382</v>
      </c>
      <c r="APR31" s="3" t="s">
        <v>383</v>
      </c>
      <c r="APS31" s="3" t="s">
        <v>382</v>
      </c>
      <c r="APT31" s="3" t="s">
        <v>383</v>
      </c>
      <c r="APU31" s="3" t="s">
        <v>382</v>
      </c>
      <c r="APV31" s="3" t="s">
        <v>383</v>
      </c>
      <c r="APW31" s="3" t="s">
        <v>382</v>
      </c>
      <c r="APX31" s="3" t="s">
        <v>383</v>
      </c>
      <c r="APY31" s="3" t="s">
        <v>382</v>
      </c>
      <c r="APZ31" s="3" t="s">
        <v>383</v>
      </c>
      <c r="AQA31" s="3" t="s">
        <v>382</v>
      </c>
      <c r="AQB31" s="3" t="s">
        <v>383</v>
      </c>
      <c r="AQC31" s="3" t="s">
        <v>382</v>
      </c>
      <c r="AQD31" s="3" t="s">
        <v>383</v>
      </c>
      <c r="AQE31" s="3" t="s">
        <v>382</v>
      </c>
      <c r="AQF31" s="3" t="s">
        <v>383</v>
      </c>
      <c r="AQG31" s="3" t="s">
        <v>382</v>
      </c>
      <c r="AQH31" s="3" t="s">
        <v>383</v>
      </c>
      <c r="AQI31" s="3" t="s">
        <v>382</v>
      </c>
      <c r="AQJ31" s="3" t="s">
        <v>383</v>
      </c>
      <c r="AQK31" s="3" t="s">
        <v>382</v>
      </c>
      <c r="AQL31" s="3" t="s">
        <v>383</v>
      </c>
      <c r="AQM31" s="3" t="s">
        <v>382</v>
      </c>
      <c r="AQN31" s="3" t="s">
        <v>383</v>
      </c>
      <c r="AQO31" s="3" t="s">
        <v>382</v>
      </c>
      <c r="AQP31" s="3" t="s">
        <v>383</v>
      </c>
      <c r="AQQ31" s="3" t="s">
        <v>382</v>
      </c>
      <c r="AQR31" s="3" t="s">
        <v>383</v>
      </c>
      <c r="AQS31" s="3" t="s">
        <v>382</v>
      </c>
      <c r="AQT31" s="3" t="s">
        <v>383</v>
      </c>
      <c r="AQU31" s="3" t="s">
        <v>382</v>
      </c>
      <c r="AQV31" s="3" t="s">
        <v>383</v>
      </c>
      <c r="AQW31" s="3" t="s">
        <v>382</v>
      </c>
      <c r="AQX31" s="3" t="s">
        <v>383</v>
      </c>
      <c r="AQY31" s="3" t="s">
        <v>382</v>
      </c>
      <c r="AQZ31" s="3" t="s">
        <v>383</v>
      </c>
      <c r="ARA31" s="3" t="s">
        <v>382</v>
      </c>
      <c r="ARB31" s="3" t="s">
        <v>383</v>
      </c>
      <c r="ARC31" s="3" t="s">
        <v>382</v>
      </c>
      <c r="ARD31" s="3" t="s">
        <v>383</v>
      </c>
      <c r="ARE31" s="3" t="s">
        <v>382</v>
      </c>
      <c r="ARF31" s="3" t="s">
        <v>383</v>
      </c>
      <c r="ARG31" s="3" t="s">
        <v>382</v>
      </c>
      <c r="ARH31" s="3" t="s">
        <v>383</v>
      </c>
      <c r="ARI31" s="3" t="s">
        <v>382</v>
      </c>
      <c r="ARJ31" s="3" t="s">
        <v>383</v>
      </c>
      <c r="ARK31" s="3" t="s">
        <v>382</v>
      </c>
      <c r="ARL31" s="3" t="s">
        <v>383</v>
      </c>
      <c r="ARM31" s="3" t="s">
        <v>382</v>
      </c>
      <c r="ARN31" s="3" t="s">
        <v>383</v>
      </c>
      <c r="ARO31" s="3" t="s">
        <v>382</v>
      </c>
      <c r="ARP31" s="3" t="s">
        <v>383</v>
      </c>
      <c r="ARQ31" s="3" t="s">
        <v>382</v>
      </c>
      <c r="ARR31" s="3" t="s">
        <v>383</v>
      </c>
      <c r="ARS31" s="3" t="s">
        <v>382</v>
      </c>
      <c r="ART31" s="3" t="s">
        <v>383</v>
      </c>
      <c r="ARU31" s="3" t="s">
        <v>382</v>
      </c>
      <c r="ARV31" s="3" t="s">
        <v>383</v>
      </c>
      <c r="ARW31" s="3" t="s">
        <v>382</v>
      </c>
      <c r="ARX31" s="3" t="s">
        <v>383</v>
      </c>
      <c r="ARY31" s="3" t="s">
        <v>382</v>
      </c>
      <c r="ARZ31" s="3" t="s">
        <v>383</v>
      </c>
      <c r="ASA31" s="3" t="s">
        <v>382</v>
      </c>
      <c r="ASB31" s="3" t="s">
        <v>383</v>
      </c>
      <c r="ASC31" s="3" t="s">
        <v>382</v>
      </c>
      <c r="ASD31" s="3" t="s">
        <v>383</v>
      </c>
      <c r="ASE31" s="3" t="s">
        <v>382</v>
      </c>
      <c r="ASF31" s="3" t="s">
        <v>383</v>
      </c>
      <c r="ASG31" s="3" t="s">
        <v>382</v>
      </c>
      <c r="ASH31" s="3" t="s">
        <v>383</v>
      </c>
      <c r="ASI31" s="3" t="s">
        <v>382</v>
      </c>
      <c r="ASJ31" s="3" t="s">
        <v>383</v>
      </c>
      <c r="ASK31" s="3" t="s">
        <v>382</v>
      </c>
      <c r="ASL31" s="3" t="s">
        <v>383</v>
      </c>
      <c r="ASM31" s="3" t="s">
        <v>382</v>
      </c>
      <c r="ASN31" s="3" t="s">
        <v>383</v>
      </c>
      <c r="ASO31" s="3" t="s">
        <v>382</v>
      </c>
      <c r="ASP31" s="3" t="s">
        <v>383</v>
      </c>
      <c r="ASQ31" s="3" t="s">
        <v>382</v>
      </c>
      <c r="ASR31" s="3" t="s">
        <v>383</v>
      </c>
      <c r="ASS31" s="3" t="s">
        <v>382</v>
      </c>
      <c r="AST31" s="3" t="s">
        <v>383</v>
      </c>
      <c r="ASU31" s="3" t="s">
        <v>382</v>
      </c>
      <c r="ASV31" s="3" t="s">
        <v>383</v>
      </c>
      <c r="ASW31" s="3" t="s">
        <v>382</v>
      </c>
      <c r="ASX31" s="3" t="s">
        <v>383</v>
      </c>
      <c r="ASY31" s="3" t="s">
        <v>382</v>
      </c>
      <c r="ASZ31" s="3" t="s">
        <v>383</v>
      </c>
      <c r="ATA31" s="3" t="s">
        <v>382</v>
      </c>
      <c r="ATB31" s="3" t="s">
        <v>383</v>
      </c>
      <c r="ATC31" s="3" t="s">
        <v>382</v>
      </c>
      <c r="ATD31" s="3" t="s">
        <v>383</v>
      </c>
      <c r="ATE31" s="3" t="s">
        <v>382</v>
      </c>
      <c r="ATF31" s="3" t="s">
        <v>383</v>
      </c>
      <c r="ATG31" s="3" t="s">
        <v>382</v>
      </c>
      <c r="ATH31" s="3" t="s">
        <v>383</v>
      </c>
      <c r="ATI31" s="3" t="s">
        <v>382</v>
      </c>
      <c r="ATJ31" s="3" t="s">
        <v>383</v>
      </c>
      <c r="ATK31" s="3" t="s">
        <v>382</v>
      </c>
      <c r="ATL31" s="3" t="s">
        <v>383</v>
      </c>
      <c r="ATM31" s="3" t="s">
        <v>382</v>
      </c>
      <c r="ATN31" s="3" t="s">
        <v>383</v>
      </c>
      <c r="ATO31" s="3" t="s">
        <v>382</v>
      </c>
      <c r="ATP31" s="3" t="s">
        <v>383</v>
      </c>
      <c r="ATQ31" s="3" t="s">
        <v>382</v>
      </c>
      <c r="ATR31" s="3" t="s">
        <v>383</v>
      </c>
      <c r="ATS31" s="3" t="s">
        <v>382</v>
      </c>
      <c r="ATT31" s="3" t="s">
        <v>383</v>
      </c>
      <c r="ATU31" s="3" t="s">
        <v>382</v>
      </c>
      <c r="ATV31" s="3" t="s">
        <v>383</v>
      </c>
      <c r="ATW31" s="3" t="s">
        <v>382</v>
      </c>
      <c r="ATX31" s="3" t="s">
        <v>383</v>
      </c>
      <c r="ATY31" s="3" t="s">
        <v>382</v>
      </c>
      <c r="ATZ31" s="3" t="s">
        <v>383</v>
      </c>
      <c r="AUA31" s="3" t="s">
        <v>382</v>
      </c>
      <c r="AUB31" s="3" t="s">
        <v>383</v>
      </c>
      <c r="AUC31" s="3" t="s">
        <v>382</v>
      </c>
      <c r="AUD31" s="3" t="s">
        <v>383</v>
      </c>
      <c r="AUE31" s="3" t="s">
        <v>382</v>
      </c>
      <c r="AUF31" s="3" t="s">
        <v>383</v>
      </c>
      <c r="AUG31" s="3" t="s">
        <v>382</v>
      </c>
      <c r="AUH31" s="3" t="s">
        <v>383</v>
      </c>
      <c r="AUI31" s="3" t="s">
        <v>382</v>
      </c>
      <c r="AUJ31" s="3" t="s">
        <v>383</v>
      </c>
      <c r="AUK31" s="3" t="s">
        <v>382</v>
      </c>
      <c r="AUL31" s="3" t="s">
        <v>383</v>
      </c>
      <c r="AUM31" s="3" t="s">
        <v>382</v>
      </c>
      <c r="AUN31" s="3" t="s">
        <v>383</v>
      </c>
      <c r="AUO31" s="3" t="s">
        <v>382</v>
      </c>
      <c r="AUP31" s="3" t="s">
        <v>383</v>
      </c>
      <c r="AUQ31" s="3" t="s">
        <v>382</v>
      </c>
      <c r="AUR31" s="3" t="s">
        <v>383</v>
      </c>
      <c r="AUS31" s="3" t="s">
        <v>382</v>
      </c>
      <c r="AUT31" s="3" t="s">
        <v>383</v>
      </c>
      <c r="AUU31" s="3" t="s">
        <v>382</v>
      </c>
      <c r="AUV31" s="3" t="s">
        <v>383</v>
      </c>
      <c r="AUW31" s="3" t="s">
        <v>382</v>
      </c>
      <c r="AUX31" s="3" t="s">
        <v>383</v>
      </c>
      <c r="AUY31" s="3" t="s">
        <v>382</v>
      </c>
      <c r="AUZ31" s="3" t="s">
        <v>383</v>
      </c>
      <c r="AVA31" s="3" t="s">
        <v>382</v>
      </c>
      <c r="AVB31" s="3" t="s">
        <v>383</v>
      </c>
      <c r="AVC31" s="3" t="s">
        <v>382</v>
      </c>
      <c r="AVD31" s="3" t="s">
        <v>383</v>
      </c>
      <c r="AVE31" s="3" t="s">
        <v>382</v>
      </c>
      <c r="AVF31" s="3" t="s">
        <v>383</v>
      </c>
      <c r="AVG31" s="3" t="s">
        <v>382</v>
      </c>
      <c r="AVH31" s="3" t="s">
        <v>383</v>
      </c>
      <c r="AVI31" s="3" t="s">
        <v>382</v>
      </c>
      <c r="AVJ31" s="3" t="s">
        <v>383</v>
      </c>
      <c r="AVK31" s="3" t="s">
        <v>382</v>
      </c>
      <c r="AVL31" s="3" t="s">
        <v>383</v>
      </c>
      <c r="AVM31" s="3" t="s">
        <v>382</v>
      </c>
      <c r="AVN31" s="3" t="s">
        <v>383</v>
      </c>
      <c r="AVO31" s="3" t="s">
        <v>382</v>
      </c>
      <c r="AVP31" s="3" t="s">
        <v>383</v>
      </c>
      <c r="AVQ31" s="3" t="s">
        <v>382</v>
      </c>
      <c r="AVR31" s="3" t="s">
        <v>383</v>
      </c>
      <c r="AVS31" s="3" t="s">
        <v>382</v>
      </c>
      <c r="AVT31" s="3" t="s">
        <v>383</v>
      </c>
      <c r="AVU31" s="3" t="s">
        <v>382</v>
      </c>
      <c r="AVV31" s="3" t="s">
        <v>383</v>
      </c>
      <c r="AVW31" s="3" t="s">
        <v>382</v>
      </c>
      <c r="AVX31" s="3" t="s">
        <v>383</v>
      </c>
      <c r="AVY31" s="3" t="s">
        <v>382</v>
      </c>
      <c r="AVZ31" s="3" t="s">
        <v>383</v>
      </c>
      <c r="AWA31" s="3" t="s">
        <v>382</v>
      </c>
      <c r="AWB31" s="3" t="s">
        <v>383</v>
      </c>
      <c r="AWC31" s="3" t="s">
        <v>382</v>
      </c>
      <c r="AWD31" s="3" t="s">
        <v>383</v>
      </c>
      <c r="AWE31" s="3" t="s">
        <v>382</v>
      </c>
      <c r="AWF31" s="3" t="s">
        <v>383</v>
      </c>
      <c r="AWG31" s="3" t="s">
        <v>382</v>
      </c>
      <c r="AWH31" s="3" t="s">
        <v>383</v>
      </c>
      <c r="AWI31" s="3" t="s">
        <v>382</v>
      </c>
      <c r="AWJ31" s="3" t="s">
        <v>383</v>
      </c>
      <c r="AWK31" s="3" t="s">
        <v>382</v>
      </c>
      <c r="AWL31" s="3" t="s">
        <v>383</v>
      </c>
      <c r="AWM31" s="3" t="s">
        <v>382</v>
      </c>
      <c r="AWN31" s="3" t="s">
        <v>383</v>
      </c>
      <c r="AWO31" s="3" t="s">
        <v>382</v>
      </c>
      <c r="AWP31" s="3" t="s">
        <v>383</v>
      </c>
      <c r="AWQ31" s="3" t="s">
        <v>382</v>
      </c>
      <c r="AWR31" s="3" t="s">
        <v>383</v>
      </c>
      <c r="AWS31" s="3" t="s">
        <v>382</v>
      </c>
      <c r="AWT31" s="3" t="s">
        <v>383</v>
      </c>
      <c r="AWU31" s="3" t="s">
        <v>382</v>
      </c>
      <c r="AWV31" s="3" t="s">
        <v>383</v>
      </c>
      <c r="AWW31" s="3" t="s">
        <v>382</v>
      </c>
      <c r="AWX31" s="3" t="s">
        <v>383</v>
      </c>
      <c r="AWY31" s="3" t="s">
        <v>382</v>
      </c>
      <c r="AWZ31" s="3" t="s">
        <v>383</v>
      </c>
      <c r="AXA31" s="3" t="s">
        <v>382</v>
      </c>
      <c r="AXB31" s="3" t="s">
        <v>383</v>
      </c>
      <c r="AXC31" s="3" t="s">
        <v>382</v>
      </c>
      <c r="AXD31" s="3" t="s">
        <v>383</v>
      </c>
      <c r="AXE31" s="3" t="s">
        <v>382</v>
      </c>
      <c r="AXF31" s="3" t="s">
        <v>383</v>
      </c>
      <c r="AXG31" s="3" t="s">
        <v>382</v>
      </c>
      <c r="AXH31" s="3" t="s">
        <v>383</v>
      </c>
      <c r="AXI31" s="3" t="s">
        <v>382</v>
      </c>
      <c r="AXJ31" s="3" t="s">
        <v>383</v>
      </c>
      <c r="AXK31" s="3" t="s">
        <v>382</v>
      </c>
      <c r="AXL31" s="3" t="s">
        <v>383</v>
      </c>
      <c r="AXM31" s="3" t="s">
        <v>382</v>
      </c>
      <c r="AXN31" s="3" t="s">
        <v>383</v>
      </c>
      <c r="AXO31" s="3" t="s">
        <v>382</v>
      </c>
      <c r="AXP31" s="3" t="s">
        <v>383</v>
      </c>
      <c r="AXQ31" s="3" t="s">
        <v>382</v>
      </c>
      <c r="AXR31" s="3" t="s">
        <v>383</v>
      </c>
      <c r="AXS31" s="3" t="s">
        <v>382</v>
      </c>
      <c r="AXT31" s="3" t="s">
        <v>383</v>
      </c>
      <c r="AXU31" s="3" t="s">
        <v>382</v>
      </c>
      <c r="AXV31" s="3" t="s">
        <v>383</v>
      </c>
      <c r="AXW31" s="3" t="s">
        <v>382</v>
      </c>
      <c r="AXX31" s="3" t="s">
        <v>383</v>
      </c>
      <c r="AXY31" s="3" t="s">
        <v>382</v>
      </c>
      <c r="AXZ31" s="3" t="s">
        <v>383</v>
      </c>
      <c r="AYA31" s="3" t="s">
        <v>382</v>
      </c>
      <c r="AYB31" s="3" t="s">
        <v>383</v>
      </c>
      <c r="AYC31" s="3" t="s">
        <v>382</v>
      </c>
      <c r="AYD31" s="3" t="s">
        <v>383</v>
      </c>
      <c r="AYE31" s="3" t="s">
        <v>382</v>
      </c>
      <c r="AYF31" s="3" t="s">
        <v>383</v>
      </c>
      <c r="AYG31" s="3" t="s">
        <v>382</v>
      </c>
      <c r="AYH31" s="3" t="s">
        <v>383</v>
      </c>
      <c r="AYI31" s="3" t="s">
        <v>382</v>
      </c>
      <c r="AYJ31" s="3" t="s">
        <v>383</v>
      </c>
      <c r="AYK31" s="3" t="s">
        <v>382</v>
      </c>
      <c r="AYL31" s="3" t="s">
        <v>383</v>
      </c>
      <c r="AYM31" s="3" t="s">
        <v>382</v>
      </c>
      <c r="AYN31" s="3" t="s">
        <v>383</v>
      </c>
      <c r="AYO31" s="3" t="s">
        <v>382</v>
      </c>
      <c r="AYP31" s="3" t="s">
        <v>383</v>
      </c>
      <c r="AYQ31" s="3" t="s">
        <v>382</v>
      </c>
      <c r="AYR31" s="3" t="s">
        <v>383</v>
      </c>
      <c r="AYS31" s="3" t="s">
        <v>382</v>
      </c>
      <c r="AYT31" s="3" t="s">
        <v>383</v>
      </c>
      <c r="AYU31" s="3" t="s">
        <v>382</v>
      </c>
      <c r="AYV31" s="3" t="s">
        <v>383</v>
      </c>
      <c r="AYW31" s="3" t="s">
        <v>382</v>
      </c>
      <c r="AYX31" s="3" t="s">
        <v>383</v>
      </c>
      <c r="AYY31" s="3" t="s">
        <v>382</v>
      </c>
      <c r="AYZ31" s="3" t="s">
        <v>383</v>
      </c>
      <c r="AZA31" s="3" t="s">
        <v>382</v>
      </c>
      <c r="AZB31" s="3" t="s">
        <v>383</v>
      </c>
      <c r="AZC31" s="3" t="s">
        <v>382</v>
      </c>
      <c r="AZD31" s="3" t="s">
        <v>383</v>
      </c>
      <c r="AZE31" s="3" t="s">
        <v>382</v>
      </c>
      <c r="AZF31" s="3" t="s">
        <v>383</v>
      </c>
      <c r="AZG31" s="3" t="s">
        <v>382</v>
      </c>
      <c r="AZH31" s="3" t="s">
        <v>383</v>
      </c>
      <c r="AZI31" s="3" t="s">
        <v>382</v>
      </c>
      <c r="AZJ31" s="3" t="s">
        <v>383</v>
      </c>
      <c r="AZK31" s="3" t="s">
        <v>382</v>
      </c>
      <c r="AZL31" s="3" t="s">
        <v>383</v>
      </c>
      <c r="AZM31" s="3" t="s">
        <v>382</v>
      </c>
      <c r="AZN31" s="3" t="s">
        <v>383</v>
      </c>
      <c r="AZO31" s="3" t="s">
        <v>382</v>
      </c>
      <c r="AZP31" s="3" t="s">
        <v>383</v>
      </c>
      <c r="AZQ31" s="3" t="s">
        <v>382</v>
      </c>
      <c r="AZR31" s="3" t="s">
        <v>383</v>
      </c>
      <c r="AZS31" s="3" t="s">
        <v>382</v>
      </c>
      <c r="AZT31" s="3" t="s">
        <v>383</v>
      </c>
      <c r="AZU31" s="3" t="s">
        <v>382</v>
      </c>
      <c r="AZV31" s="3" t="s">
        <v>383</v>
      </c>
      <c r="AZW31" s="3" t="s">
        <v>382</v>
      </c>
      <c r="AZX31" s="3" t="s">
        <v>383</v>
      </c>
      <c r="AZY31" s="3" t="s">
        <v>382</v>
      </c>
      <c r="AZZ31" s="3" t="s">
        <v>383</v>
      </c>
      <c r="BAA31" s="3" t="s">
        <v>382</v>
      </c>
      <c r="BAB31" s="3" t="s">
        <v>383</v>
      </c>
      <c r="BAC31" s="3" t="s">
        <v>382</v>
      </c>
      <c r="BAD31" s="3" t="s">
        <v>383</v>
      </c>
      <c r="BAE31" s="3" t="s">
        <v>382</v>
      </c>
      <c r="BAF31" s="3" t="s">
        <v>383</v>
      </c>
      <c r="BAG31" s="3" t="s">
        <v>382</v>
      </c>
      <c r="BAH31" s="3" t="s">
        <v>383</v>
      </c>
      <c r="BAI31" s="3" t="s">
        <v>382</v>
      </c>
      <c r="BAJ31" s="3" t="s">
        <v>383</v>
      </c>
      <c r="BAK31" s="3" t="s">
        <v>382</v>
      </c>
      <c r="BAL31" s="3" t="s">
        <v>383</v>
      </c>
      <c r="BAM31" s="3" t="s">
        <v>382</v>
      </c>
      <c r="BAN31" s="3" t="s">
        <v>383</v>
      </c>
      <c r="BAO31" s="3" t="s">
        <v>382</v>
      </c>
      <c r="BAP31" s="3" t="s">
        <v>383</v>
      </c>
      <c r="BAQ31" s="3" t="s">
        <v>382</v>
      </c>
      <c r="BAR31" s="3" t="s">
        <v>383</v>
      </c>
      <c r="BAS31" s="3" t="s">
        <v>382</v>
      </c>
      <c r="BAT31" s="3" t="s">
        <v>383</v>
      </c>
      <c r="BAU31" s="3" t="s">
        <v>382</v>
      </c>
      <c r="BAV31" s="3" t="s">
        <v>383</v>
      </c>
      <c r="BAW31" s="3" t="s">
        <v>382</v>
      </c>
      <c r="BAX31" s="3" t="s">
        <v>383</v>
      </c>
      <c r="BAY31" s="3" t="s">
        <v>382</v>
      </c>
      <c r="BAZ31" s="3" t="s">
        <v>383</v>
      </c>
      <c r="BBA31" s="3" t="s">
        <v>382</v>
      </c>
      <c r="BBB31" s="3" t="s">
        <v>383</v>
      </c>
      <c r="BBC31" s="3" t="s">
        <v>382</v>
      </c>
      <c r="BBD31" s="3" t="s">
        <v>383</v>
      </c>
      <c r="BBE31" s="3" t="s">
        <v>382</v>
      </c>
      <c r="BBF31" s="3" t="s">
        <v>383</v>
      </c>
      <c r="BBG31" s="3" t="s">
        <v>382</v>
      </c>
      <c r="BBH31" s="3" t="s">
        <v>383</v>
      </c>
      <c r="BBI31" s="3" t="s">
        <v>382</v>
      </c>
      <c r="BBJ31" s="3" t="s">
        <v>383</v>
      </c>
      <c r="BBK31" s="3" t="s">
        <v>382</v>
      </c>
      <c r="BBL31" s="3" t="s">
        <v>383</v>
      </c>
      <c r="BBM31" s="3" t="s">
        <v>382</v>
      </c>
      <c r="BBN31" s="3" t="s">
        <v>383</v>
      </c>
      <c r="BBO31" s="3" t="s">
        <v>382</v>
      </c>
      <c r="BBP31" s="3" t="s">
        <v>383</v>
      </c>
      <c r="BBQ31" s="3" t="s">
        <v>382</v>
      </c>
      <c r="BBR31" s="3" t="s">
        <v>383</v>
      </c>
      <c r="BBS31" s="3" t="s">
        <v>382</v>
      </c>
      <c r="BBT31" s="3" t="s">
        <v>383</v>
      </c>
      <c r="BBU31" s="3" t="s">
        <v>382</v>
      </c>
      <c r="BBV31" s="3" t="s">
        <v>383</v>
      </c>
      <c r="BBW31" s="3" t="s">
        <v>382</v>
      </c>
      <c r="BBX31" s="3" t="s">
        <v>383</v>
      </c>
      <c r="BBY31" s="3" t="s">
        <v>382</v>
      </c>
      <c r="BBZ31" s="3" t="s">
        <v>383</v>
      </c>
      <c r="BCA31" s="3" t="s">
        <v>382</v>
      </c>
      <c r="BCB31" s="3" t="s">
        <v>383</v>
      </c>
      <c r="BCC31" s="3" t="s">
        <v>382</v>
      </c>
      <c r="BCD31" s="3" t="s">
        <v>383</v>
      </c>
      <c r="BCE31" s="3" t="s">
        <v>382</v>
      </c>
      <c r="BCF31" s="3" t="s">
        <v>383</v>
      </c>
      <c r="BCG31" s="3" t="s">
        <v>382</v>
      </c>
      <c r="BCH31" s="3" t="s">
        <v>383</v>
      </c>
      <c r="BCI31" s="3" t="s">
        <v>382</v>
      </c>
      <c r="BCJ31" s="3" t="s">
        <v>383</v>
      </c>
      <c r="BCK31" s="3" t="s">
        <v>382</v>
      </c>
      <c r="BCL31" s="3" t="s">
        <v>383</v>
      </c>
      <c r="BCM31" s="3" t="s">
        <v>382</v>
      </c>
      <c r="BCN31" s="3" t="s">
        <v>383</v>
      </c>
      <c r="BCO31" s="3" t="s">
        <v>382</v>
      </c>
      <c r="BCP31" s="3" t="s">
        <v>383</v>
      </c>
      <c r="BCQ31" s="3" t="s">
        <v>382</v>
      </c>
      <c r="BCR31" s="3" t="s">
        <v>383</v>
      </c>
      <c r="BCS31" s="3" t="s">
        <v>382</v>
      </c>
      <c r="BCT31" s="3" t="s">
        <v>383</v>
      </c>
      <c r="BCU31" s="3" t="s">
        <v>382</v>
      </c>
      <c r="BCV31" s="3" t="s">
        <v>383</v>
      </c>
      <c r="BCW31" s="3" t="s">
        <v>382</v>
      </c>
      <c r="BCX31" s="3" t="s">
        <v>383</v>
      </c>
      <c r="BCY31" s="3" t="s">
        <v>382</v>
      </c>
      <c r="BCZ31" s="3" t="s">
        <v>383</v>
      </c>
      <c r="BDA31" s="3" t="s">
        <v>382</v>
      </c>
      <c r="BDB31" s="3" t="s">
        <v>383</v>
      </c>
      <c r="BDC31" s="3" t="s">
        <v>382</v>
      </c>
      <c r="BDD31" s="3" t="s">
        <v>383</v>
      </c>
      <c r="BDE31" s="3" t="s">
        <v>382</v>
      </c>
      <c r="BDF31" s="3" t="s">
        <v>383</v>
      </c>
      <c r="BDG31" s="3" t="s">
        <v>382</v>
      </c>
      <c r="BDH31" s="3" t="s">
        <v>383</v>
      </c>
      <c r="BDI31" s="3" t="s">
        <v>382</v>
      </c>
      <c r="BDJ31" s="3" t="s">
        <v>383</v>
      </c>
      <c r="BDK31" s="3" t="s">
        <v>382</v>
      </c>
      <c r="BDL31" s="3" t="s">
        <v>383</v>
      </c>
      <c r="BDM31" s="3" t="s">
        <v>382</v>
      </c>
      <c r="BDN31" s="3" t="s">
        <v>383</v>
      </c>
      <c r="BDO31" s="3" t="s">
        <v>382</v>
      </c>
      <c r="BDP31" s="3" t="s">
        <v>383</v>
      </c>
      <c r="BDQ31" s="3" t="s">
        <v>382</v>
      </c>
      <c r="BDR31" s="3" t="s">
        <v>383</v>
      </c>
      <c r="BDS31" s="3" t="s">
        <v>382</v>
      </c>
      <c r="BDT31" s="3" t="s">
        <v>383</v>
      </c>
      <c r="BDU31" s="3" t="s">
        <v>382</v>
      </c>
      <c r="BDV31" s="3" t="s">
        <v>383</v>
      </c>
      <c r="BDW31" s="3" t="s">
        <v>382</v>
      </c>
      <c r="BDX31" s="3" t="s">
        <v>383</v>
      </c>
      <c r="BDY31" s="3" t="s">
        <v>382</v>
      </c>
      <c r="BDZ31" s="3" t="s">
        <v>383</v>
      </c>
      <c r="BEA31" s="3" t="s">
        <v>382</v>
      </c>
      <c r="BEB31" s="3" t="s">
        <v>383</v>
      </c>
      <c r="BEC31" s="3" t="s">
        <v>382</v>
      </c>
      <c r="BED31" s="3" t="s">
        <v>383</v>
      </c>
      <c r="BEE31" s="3" t="s">
        <v>382</v>
      </c>
      <c r="BEF31" s="3" t="s">
        <v>383</v>
      </c>
      <c r="BEG31" s="3" t="s">
        <v>382</v>
      </c>
      <c r="BEH31" s="3" t="s">
        <v>383</v>
      </c>
      <c r="BEI31" s="3" t="s">
        <v>382</v>
      </c>
      <c r="BEJ31" s="3" t="s">
        <v>383</v>
      </c>
      <c r="BEK31" s="3" t="s">
        <v>382</v>
      </c>
      <c r="BEL31" s="3" t="s">
        <v>383</v>
      </c>
      <c r="BEM31" s="3" t="s">
        <v>382</v>
      </c>
      <c r="BEN31" s="3" t="s">
        <v>383</v>
      </c>
      <c r="BEO31" s="3" t="s">
        <v>382</v>
      </c>
      <c r="BEP31" s="3" t="s">
        <v>383</v>
      </c>
      <c r="BEQ31" s="3" t="s">
        <v>382</v>
      </c>
      <c r="BER31" s="3" t="s">
        <v>383</v>
      </c>
      <c r="BES31" s="3" t="s">
        <v>382</v>
      </c>
      <c r="BET31" s="3" t="s">
        <v>383</v>
      </c>
      <c r="BEU31" s="3" t="s">
        <v>382</v>
      </c>
      <c r="BEV31" s="3" t="s">
        <v>383</v>
      </c>
      <c r="BEW31" s="3" t="s">
        <v>382</v>
      </c>
      <c r="BEX31" s="3" t="s">
        <v>383</v>
      </c>
      <c r="BEY31" s="3" t="s">
        <v>382</v>
      </c>
      <c r="BEZ31" s="3" t="s">
        <v>383</v>
      </c>
      <c r="BFA31" s="3" t="s">
        <v>382</v>
      </c>
      <c r="BFB31" s="3" t="s">
        <v>383</v>
      </c>
      <c r="BFC31" s="3" t="s">
        <v>382</v>
      </c>
      <c r="BFD31" s="3" t="s">
        <v>383</v>
      </c>
      <c r="BFE31" s="3" t="s">
        <v>382</v>
      </c>
      <c r="BFF31" s="3" t="s">
        <v>383</v>
      </c>
      <c r="BFG31" s="3" t="s">
        <v>382</v>
      </c>
      <c r="BFH31" s="3" t="s">
        <v>383</v>
      </c>
      <c r="BFI31" s="3" t="s">
        <v>382</v>
      </c>
      <c r="BFJ31" s="3" t="s">
        <v>383</v>
      </c>
      <c r="BFK31" s="3" t="s">
        <v>382</v>
      </c>
      <c r="BFL31" s="3" t="s">
        <v>383</v>
      </c>
      <c r="BFM31" s="3" t="s">
        <v>382</v>
      </c>
      <c r="BFN31" s="3" t="s">
        <v>383</v>
      </c>
      <c r="BFO31" s="3" t="s">
        <v>382</v>
      </c>
      <c r="BFP31" s="3" t="s">
        <v>383</v>
      </c>
      <c r="BFQ31" s="3" t="s">
        <v>382</v>
      </c>
      <c r="BFR31" s="3" t="s">
        <v>383</v>
      </c>
      <c r="BFS31" s="3" t="s">
        <v>382</v>
      </c>
      <c r="BFT31" s="3" t="s">
        <v>383</v>
      </c>
      <c r="BFU31" s="3" t="s">
        <v>382</v>
      </c>
      <c r="BFV31" s="3" t="s">
        <v>383</v>
      </c>
      <c r="BFW31" s="3" t="s">
        <v>382</v>
      </c>
      <c r="BFX31" s="3" t="s">
        <v>383</v>
      </c>
      <c r="BFY31" s="3" t="s">
        <v>382</v>
      </c>
      <c r="BFZ31" s="3" t="s">
        <v>383</v>
      </c>
      <c r="BGA31" s="3" t="s">
        <v>382</v>
      </c>
      <c r="BGB31" s="3" t="s">
        <v>383</v>
      </c>
      <c r="BGC31" s="3" t="s">
        <v>382</v>
      </c>
      <c r="BGD31" s="3" t="s">
        <v>383</v>
      </c>
      <c r="BGE31" s="3" t="s">
        <v>382</v>
      </c>
      <c r="BGF31" s="3" t="s">
        <v>383</v>
      </c>
      <c r="BGG31" s="3" t="s">
        <v>382</v>
      </c>
      <c r="BGH31" s="3" t="s">
        <v>383</v>
      </c>
      <c r="BGI31" s="3" t="s">
        <v>382</v>
      </c>
      <c r="BGJ31" s="3" t="s">
        <v>383</v>
      </c>
      <c r="BGK31" s="3" t="s">
        <v>382</v>
      </c>
      <c r="BGL31" s="3" t="s">
        <v>383</v>
      </c>
      <c r="BGM31" s="3" t="s">
        <v>382</v>
      </c>
      <c r="BGN31" s="3" t="s">
        <v>383</v>
      </c>
      <c r="BGO31" s="3" t="s">
        <v>382</v>
      </c>
      <c r="BGP31" s="3" t="s">
        <v>383</v>
      </c>
      <c r="BGQ31" s="3" t="s">
        <v>382</v>
      </c>
      <c r="BGR31" s="3" t="s">
        <v>383</v>
      </c>
      <c r="BGS31" s="3" t="s">
        <v>382</v>
      </c>
      <c r="BGT31" s="3" t="s">
        <v>383</v>
      </c>
      <c r="BGU31" s="3" t="s">
        <v>382</v>
      </c>
      <c r="BGV31" s="3" t="s">
        <v>383</v>
      </c>
      <c r="BGW31" s="3" t="s">
        <v>382</v>
      </c>
      <c r="BGX31" s="3" t="s">
        <v>383</v>
      </c>
      <c r="BGY31" s="3" t="s">
        <v>382</v>
      </c>
      <c r="BGZ31" s="3" t="s">
        <v>383</v>
      </c>
      <c r="BHA31" s="3" t="s">
        <v>382</v>
      </c>
      <c r="BHB31" s="3" t="s">
        <v>383</v>
      </c>
      <c r="BHC31" s="3" t="s">
        <v>382</v>
      </c>
      <c r="BHD31" s="3" t="s">
        <v>383</v>
      </c>
      <c r="BHE31" s="3" t="s">
        <v>382</v>
      </c>
      <c r="BHF31" s="3" t="s">
        <v>383</v>
      </c>
      <c r="BHG31" s="3" t="s">
        <v>382</v>
      </c>
      <c r="BHH31" s="3" t="s">
        <v>383</v>
      </c>
      <c r="BHI31" s="3" t="s">
        <v>382</v>
      </c>
      <c r="BHJ31" s="3" t="s">
        <v>383</v>
      </c>
      <c r="BHK31" s="3" t="s">
        <v>382</v>
      </c>
      <c r="BHL31" s="3" t="s">
        <v>383</v>
      </c>
      <c r="BHM31" s="3" t="s">
        <v>382</v>
      </c>
      <c r="BHN31" s="3" t="s">
        <v>383</v>
      </c>
      <c r="BHO31" s="3" t="s">
        <v>382</v>
      </c>
      <c r="BHP31" s="3" t="s">
        <v>383</v>
      </c>
      <c r="BHQ31" s="3" t="s">
        <v>382</v>
      </c>
      <c r="BHR31" s="3" t="s">
        <v>383</v>
      </c>
      <c r="BHS31" s="3" t="s">
        <v>382</v>
      </c>
      <c r="BHT31" s="3" t="s">
        <v>383</v>
      </c>
      <c r="BHU31" s="3" t="s">
        <v>382</v>
      </c>
      <c r="BHV31" s="3" t="s">
        <v>383</v>
      </c>
      <c r="BHW31" s="3" t="s">
        <v>382</v>
      </c>
      <c r="BHX31" s="3" t="s">
        <v>383</v>
      </c>
      <c r="BHY31" s="3" t="s">
        <v>382</v>
      </c>
      <c r="BHZ31" s="3" t="s">
        <v>383</v>
      </c>
      <c r="BIA31" s="3" t="s">
        <v>382</v>
      </c>
      <c r="BIB31" s="3" t="s">
        <v>383</v>
      </c>
      <c r="BIC31" s="3" t="s">
        <v>382</v>
      </c>
      <c r="BID31" s="3" t="s">
        <v>383</v>
      </c>
      <c r="BIE31" s="3" t="s">
        <v>382</v>
      </c>
      <c r="BIF31" s="3" t="s">
        <v>383</v>
      </c>
      <c r="BIG31" s="3" t="s">
        <v>382</v>
      </c>
      <c r="BIH31" s="3" t="s">
        <v>383</v>
      </c>
      <c r="BII31" s="3" t="s">
        <v>382</v>
      </c>
      <c r="BIJ31" s="3" t="s">
        <v>383</v>
      </c>
      <c r="BIK31" s="3" t="s">
        <v>382</v>
      </c>
      <c r="BIL31" s="3" t="s">
        <v>383</v>
      </c>
      <c r="BIM31" s="3" t="s">
        <v>382</v>
      </c>
      <c r="BIN31" s="3" t="s">
        <v>383</v>
      </c>
      <c r="BIO31" s="3" t="s">
        <v>382</v>
      </c>
      <c r="BIP31" s="3" t="s">
        <v>383</v>
      </c>
      <c r="BIQ31" s="3" t="s">
        <v>382</v>
      </c>
      <c r="BIR31" s="3" t="s">
        <v>383</v>
      </c>
      <c r="BIS31" s="3" t="s">
        <v>382</v>
      </c>
      <c r="BIT31" s="3" t="s">
        <v>383</v>
      </c>
      <c r="BIU31" s="3" t="s">
        <v>382</v>
      </c>
      <c r="BIV31" s="3" t="s">
        <v>383</v>
      </c>
      <c r="BIW31" s="3" t="s">
        <v>382</v>
      </c>
      <c r="BIX31" s="3" t="s">
        <v>383</v>
      </c>
      <c r="BIY31" s="3" t="s">
        <v>382</v>
      </c>
      <c r="BIZ31" s="3" t="s">
        <v>383</v>
      </c>
      <c r="BJA31" s="3" t="s">
        <v>382</v>
      </c>
      <c r="BJB31" s="3" t="s">
        <v>383</v>
      </c>
      <c r="BJC31" s="3" t="s">
        <v>382</v>
      </c>
      <c r="BJD31" s="3" t="s">
        <v>383</v>
      </c>
      <c r="BJE31" s="3" t="s">
        <v>382</v>
      </c>
      <c r="BJF31" s="3" t="s">
        <v>383</v>
      </c>
      <c r="BJG31" s="3" t="s">
        <v>382</v>
      </c>
      <c r="BJH31" s="3" t="s">
        <v>383</v>
      </c>
      <c r="BJI31" s="3" t="s">
        <v>382</v>
      </c>
      <c r="BJJ31" s="3" t="s">
        <v>383</v>
      </c>
      <c r="BJK31" s="3" t="s">
        <v>382</v>
      </c>
      <c r="BJL31" s="3" t="s">
        <v>383</v>
      </c>
      <c r="BJM31" s="3" t="s">
        <v>382</v>
      </c>
      <c r="BJN31" s="3" t="s">
        <v>383</v>
      </c>
      <c r="BJO31" s="3" t="s">
        <v>382</v>
      </c>
      <c r="BJP31" s="3" t="s">
        <v>383</v>
      </c>
      <c r="BJQ31" s="3" t="s">
        <v>382</v>
      </c>
      <c r="BJR31" s="3" t="s">
        <v>383</v>
      </c>
      <c r="BJS31" s="3" t="s">
        <v>382</v>
      </c>
      <c r="BJT31" s="3" t="s">
        <v>383</v>
      </c>
      <c r="BJU31" s="3" t="s">
        <v>382</v>
      </c>
      <c r="BJV31" s="3" t="s">
        <v>383</v>
      </c>
      <c r="BJW31" s="3" t="s">
        <v>382</v>
      </c>
      <c r="BJX31" s="3" t="s">
        <v>383</v>
      </c>
      <c r="BJY31" s="3" t="s">
        <v>382</v>
      </c>
      <c r="BJZ31" s="3" t="s">
        <v>383</v>
      </c>
      <c r="BKA31" s="3" t="s">
        <v>382</v>
      </c>
      <c r="BKB31" s="3" t="s">
        <v>383</v>
      </c>
      <c r="BKC31" s="3" t="s">
        <v>382</v>
      </c>
      <c r="BKD31" s="3" t="s">
        <v>383</v>
      </c>
      <c r="BKE31" s="3" t="s">
        <v>382</v>
      </c>
      <c r="BKF31" s="3" t="s">
        <v>383</v>
      </c>
      <c r="BKG31" s="3" t="s">
        <v>382</v>
      </c>
      <c r="BKH31" s="3" t="s">
        <v>383</v>
      </c>
      <c r="BKI31" s="3" t="s">
        <v>382</v>
      </c>
      <c r="BKJ31" s="3" t="s">
        <v>383</v>
      </c>
      <c r="BKK31" s="3" t="s">
        <v>382</v>
      </c>
      <c r="BKL31" s="3" t="s">
        <v>383</v>
      </c>
      <c r="BKM31" s="3" t="s">
        <v>382</v>
      </c>
      <c r="BKN31" s="3" t="s">
        <v>383</v>
      </c>
      <c r="BKO31" s="3" t="s">
        <v>382</v>
      </c>
      <c r="BKP31" s="3" t="s">
        <v>383</v>
      </c>
      <c r="BKQ31" s="3" t="s">
        <v>382</v>
      </c>
      <c r="BKR31" s="3" t="s">
        <v>383</v>
      </c>
      <c r="BKS31" s="3" t="s">
        <v>382</v>
      </c>
      <c r="BKT31" s="3" t="s">
        <v>383</v>
      </c>
      <c r="BKU31" s="3" t="s">
        <v>382</v>
      </c>
      <c r="BKV31" s="3" t="s">
        <v>383</v>
      </c>
      <c r="BKW31" s="3" t="s">
        <v>382</v>
      </c>
      <c r="BKX31" s="3" t="s">
        <v>383</v>
      </c>
      <c r="BKY31" s="3" t="s">
        <v>382</v>
      </c>
      <c r="BKZ31" s="3" t="s">
        <v>383</v>
      </c>
      <c r="BLA31" s="3" t="s">
        <v>382</v>
      </c>
      <c r="BLB31" s="3" t="s">
        <v>383</v>
      </c>
      <c r="BLC31" s="3" t="s">
        <v>382</v>
      </c>
      <c r="BLD31" s="3" t="s">
        <v>383</v>
      </c>
      <c r="BLE31" s="3" t="s">
        <v>382</v>
      </c>
      <c r="BLF31" s="3" t="s">
        <v>383</v>
      </c>
      <c r="BLG31" s="3" t="s">
        <v>382</v>
      </c>
      <c r="BLH31" s="3" t="s">
        <v>383</v>
      </c>
      <c r="BLI31" s="3" t="s">
        <v>382</v>
      </c>
      <c r="BLJ31" s="3" t="s">
        <v>383</v>
      </c>
      <c r="BLK31" s="3" t="s">
        <v>382</v>
      </c>
      <c r="BLL31" s="3" t="s">
        <v>383</v>
      </c>
      <c r="BLM31" s="3" t="s">
        <v>382</v>
      </c>
      <c r="BLN31" s="3" t="s">
        <v>383</v>
      </c>
      <c r="BLO31" s="3" t="s">
        <v>382</v>
      </c>
      <c r="BLP31" s="3" t="s">
        <v>383</v>
      </c>
      <c r="BLQ31" s="3" t="s">
        <v>382</v>
      </c>
      <c r="BLR31" s="3" t="s">
        <v>383</v>
      </c>
      <c r="BLS31" s="3" t="s">
        <v>382</v>
      </c>
      <c r="BLT31" s="3" t="s">
        <v>383</v>
      </c>
      <c r="BLU31" s="3" t="s">
        <v>382</v>
      </c>
      <c r="BLV31" s="3" t="s">
        <v>383</v>
      </c>
      <c r="BLW31" s="3" t="s">
        <v>382</v>
      </c>
      <c r="BLX31" s="3" t="s">
        <v>383</v>
      </c>
      <c r="BLY31" s="3" t="s">
        <v>382</v>
      </c>
      <c r="BLZ31" s="3" t="s">
        <v>383</v>
      </c>
      <c r="BMA31" s="3" t="s">
        <v>382</v>
      </c>
      <c r="BMB31" s="3" t="s">
        <v>383</v>
      </c>
      <c r="BMC31" s="3" t="s">
        <v>382</v>
      </c>
      <c r="BMD31" s="3" t="s">
        <v>383</v>
      </c>
      <c r="BME31" s="3" t="s">
        <v>382</v>
      </c>
      <c r="BMF31" s="3" t="s">
        <v>383</v>
      </c>
      <c r="BMG31" s="3" t="s">
        <v>382</v>
      </c>
      <c r="BMH31" s="3" t="s">
        <v>383</v>
      </c>
      <c r="BMI31" s="3" t="s">
        <v>382</v>
      </c>
      <c r="BMJ31" s="3" t="s">
        <v>383</v>
      </c>
      <c r="BMK31" s="3" t="s">
        <v>382</v>
      </c>
      <c r="BML31" s="3" t="s">
        <v>383</v>
      </c>
      <c r="BMM31" s="3" t="s">
        <v>382</v>
      </c>
      <c r="BMN31" s="3" t="s">
        <v>383</v>
      </c>
      <c r="BMO31" s="3" t="s">
        <v>382</v>
      </c>
      <c r="BMP31" s="3" t="s">
        <v>383</v>
      </c>
      <c r="BMQ31" s="3" t="s">
        <v>382</v>
      </c>
      <c r="BMR31" s="3" t="s">
        <v>383</v>
      </c>
      <c r="BMS31" s="3" t="s">
        <v>382</v>
      </c>
      <c r="BMT31" s="3" t="s">
        <v>383</v>
      </c>
      <c r="BMU31" s="3" t="s">
        <v>382</v>
      </c>
      <c r="BMV31" s="3" t="s">
        <v>383</v>
      </c>
      <c r="BMW31" s="3" t="s">
        <v>382</v>
      </c>
      <c r="BMX31" s="3" t="s">
        <v>383</v>
      </c>
      <c r="BMY31" s="3" t="s">
        <v>382</v>
      </c>
      <c r="BMZ31" s="3" t="s">
        <v>383</v>
      </c>
      <c r="BNA31" s="3" t="s">
        <v>382</v>
      </c>
      <c r="BNB31" s="3" t="s">
        <v>383</v>
      </c>
      <c r="BNC31" s="3" t="s">
        <v>382</v>
      </c>
      <c r="BND31" s="3" t="s">
        <v>383</v>
      </c>
      <c r="BNE31" s="3" t="s">
        <v>382</v>
      </c>
      <c r="BNF31" s="3" t="s">
        <v>383</v>
      </c>
      <c r="BNG31" s="3" t="s">
        <v>382</v>
      </c>
      <c r="BNH31" s="3" t="s">
        <v>383</v>
      </c>
      <c r="BNI31" s="3" t="s">
        <v>382</v>
      </c>
      <c r="BNJ31" s="3" t="s">
        <v>383</v>
      </c>
      <c r="BNK31" s="3" t="s">
        <v>382</v>
      </c>
      <c r="BNL31" s="3" t="s">
        <v>383</v>
      </c>
      <c r="BNM31" s="3" t="s">
        <v>382</v>
      </c>
      <c r="BNN31" s="3" t="s">
        <v>383</v>
      </c>
      <c r="BNO31" s="3" t="s">
        <v>382</v>
      </c>
      <c r="BNP31" s="3" t="s">
        <v>383</v>
      </c>
      <c r="BNQ31" s="3" t="s">
        <v>382</v>
      </c>
      <c r="BNR31" s="3" t="s">
        <v>383</v>
      </c>
      <c r="BNS31" s="3" t="s">
        <v>382</v>
      </c>
      <c r="BNT31" s="3" t="s">
        <v>383</v>
      </c>
      <c r="BNU31" s="3" t="s">
        <v>382</v>
      </c>
      <c r="BNV31" s="3" t="s">
        <v>383</v>
      </c>
      <c r="BNW31" s="3" t="s">
        <v>382</v>
      </c>
      <c r="BNX31" s="3" t="s">
        <v>383</v>
      </c>
      <c r="BNY31" s="3" t="s">
        <v>382</v>
      </c>
      <c r="BNZ31" s="3" t="s">
        <v>383</v>
      </c>
      <c r="BOA31" s="3" t="s">
        <v>382</v>
      </c>
      <c r="BOB31" s="3" t="s">
        <v>383</v>
      </c>
      <c r="BOC31" s="3" t="s">
        <v>382</v>
      </c>
      <c r="BOD31" s="3" t="s">
        <v>383</v>
      </c>
      <c r="BOE31" s="3" t="s">
        <v>382</v>
      </c>
      <c r="BOF31" s="3" t="s">
        <v>383</v>
      </c>
      <c r="BOG31" s="3" t="s">
        <v>382</v>
      </c>
      <c r="BOH31" s="3" t="s">
        <v>383</v>
      </c>
      <c r="BOI31" s="3" t="s">
        <v>382</v>
      </c>
      <c r="BOJ31" s="3" t="s">
        <v>383</v>
      </c>
      <c r="BOK31" s="3" t="s">
        <v>382</v>
      </c>
      <c r="BOL31" s="3" t="s">
        <v>383</v>
      </c>
      <c r="BOM31" s="3" t="s">
        <v>382</v>
      </c>
      <c r="BON31" s="3" t="s">
        <v>383</v>
      </c>
      <c r="BOO31" s="3" t="s">
        <v>382</v>
      </c>
      <c r="BOP31" s="3" t="s">
        <v>383</v>
      </c>
      <c r="BOQ31" s="3" t="s">
        <v>382</v>
      </c>
      <c r="BOR31" s="3" t="s">
        <v>383</v>
      </c>
      <c r="BOS31" s="3" t="s">
        <v>382</v>
      </c>
      <c r="BOT31" s="3" t="s">
        <v>383</v>
      </c>
      <c r="BOU31" s="3" t="s">
        <v>382</v>
      </c>
      <c r="BOV31" s="3" t="s">
        <v>383</v>
      </c>
      <c r="BOW31" s="3" t="s">
        <v>382</v>
      </c>
      <c r="BOX31" s="3" t="s">
        <v>383</v>
      </c>
      <c r="BOY31" s="3" t="s">
        <v>382</v>
      </c>
      <c r="BOZ31" s="3" t="s">
        <v>383</v>
      </c>
      <c r="BPA31" s="3" t="s">
        <v>382</v>
      </c>
      <c r="BPB31" s="3" t="s">
        <v>383</v>
      </c>
      <c r="BPC31" s="3" t="s">
        <v>382</v>
      </c>
      <c r="BPD31" s="3" t="s">
        <v>383</v>
      </c>
      <c r="BPE31" s="3" t="s">
        <v>382</v>
      </c>
      <c r="BPF31" s="3" t="s">
        <v>383</v>
      </c>
      <c r="BPG31" s="3" t="s">
        <v>382</v>
      </c>
      <c r="BPH31" s="3" t="s">
        <v>383</v>
      </c>
      <c r="BPI31" s="3" t="s">
        <v>382</v>
      </c>
      <c r="BPJ31" s="3" t="s">
        <v>383</v>
      </c>
      <c r="BPK31" s="3" t="s">
        <v>382</v>
      </c>
      <c r="BPL31" s="3" t="s">
        <v>383</v>
      </c>
      <c r="BPM31" s="3" t="s">
        <v>382</v>
      </c>
      <c r="BPN31" s="3" t="s">
        <v>383</v>
      </c>
      <c r="BPO31" s="3" t="s">
        <v>382</v>
      </c>
      <c r="BPP31" s="3" t="s">
        <v>383</v>
      </c>
      <c r="BPQ31" s="3" t="s">
        <v>382</v>
      </c>
      <c r="BPR31" s="3" t="s">
        <v>383</v>
      </c>
      <c r="BPS31" s="3" t="s">
        <v>382</v>
      </c>
      <c r="BPT31" s="3" t="s">
        <v>383</v>
      </c>
      <c r="BPU31" s="3" t="s">
        <v>382</v>
      </c>
      <c r="BPV31" s="3" t="s">
        <v>383</v>
      </c>
      <c r="BPW31" s="3" t="s">
        <v>382</v>
      </c>
      <c r="BPX31" s="3" t="s">
        <v>383</v>
      </c>
      <c r="BPY31" s="3" t="s">
        <v>382</v>
      </c>
      <c r="BPZ31" s="3" t="s">
        <v>383</v>
      </c>
      <c r="BQA31" s="3" t="s">
        <v>382</v>
      </c>
      <c r="BQB31" s="3" t="s">
        <v>383</v>
      </c>
      <c r="BQC31" s="3" t="s">
        <v>382</v>
      </c>
      <c r="BQD31" s="3" t="s">
        <v>383</v>
      </c>
      <c r="BQE31" s="3" t="s">
        <v>382</v>
      </c>
      <c r="BQF31" s="3" t="s">
        <v>383</v>
      </c>
      <c r="BQG31" s="3" t="s">
        <v>382</v>
      </c>
      <c r="BQH31" s="3" t="s">
        <v>383</v>
      </c>
      <c r="BQI31" s="3" t="s">
        <v>382</v>
      </c>
      <c r="BQJ31" s="3" t="s">
        <v>383</v>
      </c>
      <c r="BQK31" s="3" t="s">
        <v>382</v>
      </c>
      <c r="BQL31" s="3" t="s">
        <v>383</v>
      </c>
      <c r="BQM31" s="3" t="s">
        <v>382</v>
      </c>
      <c r="BQN31" s="3" t="s">
        <v>383</v>
      </c>
      <c r="BQO31" s="3" t="s">
        <v>382</v>
      </c>
      <c r="BQP31" s="3" t="s">
        <v>383</v>
      </c>
      <c r="BQQ31" s="3" t="s">
        <v>382</v>
      </c>
      <c r="BQR31" s="3" t="s">
        <v>383</v>
      </c>
      <c r="BQS31" s="3" t="s">
        <v>382</v>
      </c>
      <c r="BQT31" s="3" t="s">
        <v>383</v>
      </c>
      <c r="BQU31" s="3" t="s">
        <v>382</v>
      </c>
      <c r="BQV31" s="3" t="s">
        <v>383</v>
      </c>
      <c r="BQW31" s="3" t="s">
        <v>382</v>
      </c>
      <c r="BQX31" s="3" t="s">
        <v>383</v>
      </c>
      <c r="BQY31" s="3" t="s">
        <v>382</v>
      </c>
      <c r="BQZ31" s="3" t="s">
        <v>383</v>
      </c>
      <c r="BRA31" s="3" t="s">
        <v>382</v>
      </c>
      <c r="BRB31" s="3" t="s">
        <v>383</v>
      </c>
      <c r="BRC31" s="3" t="s">
        <v>382</v>
      </c>
      <c r="BRD31" s="3" t="s">
        <v>383</v>
      </c>
      <c r="BRE31" s="3" t="s">
        <v>382</v>
      </c>
      <c r="BRF31" s="3" t="s">
        <v>383</v>
      </c>
      <c r="BRG31" s="3" t="s">
        <v>382</v>
      </c>
      <c r="BRH31" s="3" t="s">
        <v>383</v>
      </c>
      <c r="BRI31" s="3" t="s">
        <v>382</v>
      </c>
      <c r="BRJ31" s="3" t="s">
        <v>383</v>
      </c>
      <c r="BRK31" s="3" t="s">
        <v>382</v>
      </c>
      <c r="BRL31" s="3" t="s">
        <v>383</v>
      </c>
      <c r="BRM31" s="3" t="s">
        <v>382</v>
      </c>
      <c r="BRN31" s="3" t="s">
        <v>383</v>
      </c>
      <c r="BRO31" s="3" t="s">
        <v>382</v>
      </c>
      <c r="BRP31" s="3" t="s">
        <v>383</v>
      </c>
      <c r="BRQ31" s="3" t="s">
        <v>382</v>
      </c>
      <c r="BRR31" s="3" t="s">
        <v>383</v>
      </c>
      <c r="BRS31" s="3" t="s">
        <v>382</v>
      </c>
      <c r="BRT31" s="3" t="s">
        <v>383</v>
      </c>
      <c r="BRU31" s="3" t="s">
        <v>382</v>
      </c>
      <c r="BRV31" s="3" t="s">
        <v>383</v>
      </c>
      <c r="BRW31" s="3" t="s">
        <v>382</v>
      </c>
      <c r="BRX31" s="3" t="s">
        <v>383</v>
      </c>
      <c r="BRY31" s="3" t="s">
        <v>382</v>
      </c>
      <c r="BRZ31" s="3" t="s">
        <v>383</v>
      </c>
      <c r="BSA31" s="3" t="s">
        <v>382</v>
      </c>
      <c r="BSB31" s="3" t="s">
        <v>383</v>
      </c>
      <c r="BSC31" s="3" t="s">
        <v>382</v>
      </c>
      <c r="BSD31" s="3" t="s">
        <v>383</v>
      </c>
      <c r="BSE31" s="3" t="s">
        <v>382</v>
      </c>
      <c r="BSF31" s="3" t="s">
        <v>383</v>
      </c>
      <c r="BSG31" s="3" t="s">
        <v>382</v>
      </c>
      <c r="BSH31" s="3" t="s">
        <v>383</v>
      </c>
      <c r="BSI31" s="3" t="s">
        <v>382</v>
      </c>
      <c r="BSJ31" s="3" t="s">
        <v>383</v>
      </c>
      <c r="BSK31" s="3" t="s">
        <v>382</v>
      </c>
      <c r="BSL31" s="3" t="s">
        <v>383</v>
      </c>
      <c r="BSM31" s="3" t="s">
        <v>382</v>
      </c>
      <c r="BSN31" s="3" t="s">
        <v>383</v>
      </c>
      <c r="BSO31" s="3" t="s">
        <v>382</v>
      </c>
      <c r="BSP31" s="3" t="s">
        <v>383</v>
      </c>
      <c r="BSQ31" s="3" t="s">
        <v>382</v>
      </c>
      <c r="BSR31" s="3" t="s">
        <v>383</v>
      </c>
      <c r="BSS31" s="3" t="s">
        <v>382</v>
      </c>
      <c r="BST31" s="3" t="s">
        <v>383</v>
      </c>
      <c r="BSU31" s="3" t="s">
        <v>382</v>
      </c>
      <c r="BSV31" s="3" t="s">
        <v>383</v>
      </c>
      <c r="BSW31" s="3" t="s">
        <v>382</v>
      </c>
      <c r="BSX31" s="3" t="s">
        <v>383</v>
      </c>
      <c r="BSY31" s="3" t="s">
        <v>382</v>
      </c>
      <c r="BSZ31" s="3" t="s">
        <v>383</v>
      </c>
      <c r="BTA31" s="3" t="s">
        <v>382</v>
      </c>
      <c r="BTB31" s="3" t="s">
        <v>383</v>
      </c>
      <c r="BTC31" s="3" t="s">
        <v>382</v>
      </c>
      <c r="BTD31" s="3" t="s">
        <v>383</v>
      </c>
      <c r="BTE31" s="3" t="s">
        <v>382</v>
      </c>
      <c r="BTF31" s="3" t="s">
        <v>383</v>
      </c>
      <c r="BTG31" s="3" t="s">
        <v>382</v>
      </c>
      <c r="BTH31" s="3" t="s">
        <v>383</v>
      </c>
      <c r="BTI31" s="3" t="s">
        <v>382</v>
      </c>
      <c r="BTJ31" s="3" t="s">
        <v>383</v>
      </c>
      <c r="BTK31" s="3" t="s">
        <v>382</v>
      </c>
      <c r="BTL31" s="3" t="s">
        <v>383</v>
      </c>
      <c r="BTM31" s="3" t="s">
        <v>382</v>
      </c>
      <c r="BTN31" s="3" t="s">
        <v>383</v>
      </c>
      <c r="BTO31" s="3" t="s">
        <v>382</v>
      </c>
      <c r="BTP31" s="3" t="s">
        <v>383</v>
      </c>
      <c r="BTQ31" s="3" t="s">
        <v>382</v>
      </c>
      <c r="BTR31" s="3" t="s">
        <v>383</v>
      </c>
      <c r="BTS31" s="3" t="s">
        <v>382</v>
      </c>
      <c r="BTT31" s="3" t="s">
        <v>383</v>
      </c>
      <c r="BTU31" s="3" t="s">
        <v>382</v>
      </c>
      <c r="BTV31" s="3" t="s">
        <v>383</v>
      </c>
      <c r="BTW31" s="3" t="s">
        <v>382</v>
      </c>
      <c r="BTX31" s="3" t="s">
        <v>383</v>
      </c>
      <c r="BTY31" s="3" t="s">
        <v>382</v>
      </c>
      <c r="BTZ31" s="3" t="s">
        <v>383</v>
      </c>
      <c r="BUA31" s="3" t="s">
        <v>382</v>
      </c>
      <c r="BUB31" s="3" t="s">
        <v>383</v>
      </c>
      <c r="BUC31" s="3" t="s">
        <v>382</v>
      </c>
      <c r="BUD31" s="3" t="s">
        <v>383</v>
      </c>
      <c r="BUE31" s="3" t="s">
        <v>382</v>
      </c>
      <c r="BUF31" s="3" t="s">
        <v>383</v>
      </c>
      <c r="BUG31" s="3" t="s">
        <v>382</v>
      </c>
      <c r="BUH31" s="3" t="s">
        <v>383</v>
      </c>
      <c r="BUI31" s="3" t="s">
        <v>382</v>
      </c>
      <c r="BUJ31" s="3" t="s">
        <v>383</v>
      </c>
      <c r="BUK31" s="3" t="s">
        <v>382</v>
      </c>
      <c r="BUL31" s="3" t="s">
        <v>383</v>
      </c>
      <c r="BUM31" s="3" t="s">
        <v>382</v>
      </c>
      <c r="BUN31" s="3" t="s">
        <v>383</v>
      </c>
      <c r="BUO31" s="3" t="s">
        <v>382</v>
      </c>
      <c r="BUP31" s="3" t="s">
        <v>383</v>
      </c>
      <c r="BUQ31" s="3" t="s">
        <v>382</v>
      </c>
      <c r="BUR31" s="3" t="s">
        <v>383</v>
      </c>
      <c r="BUS31" s="3" t="s">
        <v>382</v>
      </c>
      <c r="BUT31" s="3" t="s">
        <v>383</v>
      </c>
      <c r="BUU31" s="3" t="s">
        <v>382</v>
      </c>
      <c r="BUV31" s="3" t="s">
        <v>383</v>
      </c>
      <c r="BUW31" s="3" t="s">
        <v>382</v>
      </c>
      <c r="BUX31" s="3" t="s">
        <v>383</v>
      </c>
      <c r="BUY31" s="3" t="s">
        <v>382</v>
      </c>
      <c r="BUZ31" s="3" t="s">
        <v>383</v>
      </c>
      <c r="BVA31" s="3" t="s">
        <v>382</v>
      </c>
      <c r="BVB31" s="3" t="s">
        <v>383</v>
      </c>
      <c r="BVC31" s="3" t="s">
        <v>382</v>
      </c>
      <c r="BVD31" s="3" t="s">
        <v>383</v>
      </c>
      <c r="BVE31" s="3" t="s">
        <v>382</v>
      </c>
      <c r="BVF31" s="3" t="s">
        <v>383</v>
      </c>
      <c r="BVG31" s="3" t="s">
        <v>382</v>
      </c>
      <c r="BVH31" s="3" t="s">
        <v>383</v>
      </c>
      <c r="BVI31" s="3" t="s">
        <v>382</v>
      </c>
      <c r="BVJ31" s="3" t="s">
        <v>383</v>
      </c>
      <c r="BVK31" s="3" t="s">
        <v>382</v>
      </c>
      <c r="BVL31" s="3" t="s">
        <v>383</v>
      </c>
      <c r="BVM31" s="3" t="s">
        <v>382</v>
      </c>
      <c r="BVN31" s="3" t="s">
        <v>383</v>
      </c>
      <c r="BVO31" s="3" t="s">
        <v>382</v>
      </c>
      <c r="BVP31" s="3" t="s">
        <v>383</v>
      </c>
      <c r="BVQ31" s="3" t="s">
        <v>382</v>
      </c>
      <c r="BVR31" s="3" t="s">
        <v>383</v>
      </c>
      <c r="BVS31" s="3" t="s">
        <v>382</v>
      </c>
      <c r="BVT31" s="3" t="s">
        <v>383</v>
      </c>
      <c r="BVU31" s="3" t="s">
        <v>382</v>
      </c>
      <c r="BVV31" s="3" t="s">
        <v>383</v>
      </c>
      <c r="BVW31" s="3" t="s">
        <v>382</v>
      </c>
      <c r="BVX31" s="3" t="s">
        <v>383</v>
      </c>
      <c r="BVY31" s="3" t="s">
        <v>382</v>
      </c>
      <c r="BVZ31" s="3" t="s">
        <v>383</v>
      </c>
      <c r="BWA31" s="3" t="s">
        <v>382</v>
      </c>
      <c r="BWB31" s="3" t="s">
        <v>383</v>
      </c>
      <c r="BWC31" s="3" t="s">
        <v>382</v>
      </c>
      <c r="BWD31" s="3" t="s">
        <v>383</v>
      </c>
      <c r="BWE31" s="3" t="s">
        <v>382</v>
      </c>
      <c r="BWF31" s="3" t="s">
        <v>383</v>
      </c>
      <c r="BWG31" s="3" t="s">
        <v>382</v>
      </c>
      <c r="BWH31" s="3" t="s">
        <v>383</v>
      </c>
      <c r="BWI31" s="3" t="s">
        <v>382</v>
      </c>
      <c r="BWJ31" s="3" t="s">
        <v>383</v>
      </c>
      <c r="BWK31" s="3" t="s">
        <v>382</v>
      </c>
      <c r="BWL31" s="3" t="s">
        <v>383</v>
      </c>
      <c r="BWM31" s="3" t="s">
        <v>382</v>
      </c>
      <c r="BWN31" s="3" t="s">
        <v>383</v>
      </c>
      <c r="BWO31" s="3" t="s">
        <v>382</v>
      </c>
      <c r="BWP31" s="3" t="s">
        <v>383</v>
      </c>
      <c r="BWQ31" s="3" t="s">
        <v>382</v>
      </c>
      <c r="BWR31" s="3" t="s">
        <v>383</v>
      </c>
      <c r="BWS31" s="3" t="s">
        <v>382</v>
      </c>
      <c r="BWT31" s="3" t="s">
        <v>383</v>
      </c>
      <c r="BWU31" s="3" t="s">
        <v>382</v>
      </c>
      <c r="BWV31" s="3" t="s">
        <v>383</v>
      </c>
      <c r="BWW31" s="3" t="s">
        <v>382</v>
      </c>
      <c r="BWX31" s="3" t="s">
        <v>383</v>
      </c>
      <c r="BWY31" s="3" t="s">
        <v>382</v>
      </c>
      <c r="BWZ31" s="3" t="s">
        <v>383</v>
      </c>
      <c r="BXA31" s="3" t="s">
        <v>382</v>
      </c>
      <c r="BXB31" s="3" t="s">
        <v>383</v>
      </c>
      <c r="BXC31" s="3" t="s">
        <v>382</v>
      </c>
      <c r="BXD31" s="3" t="s">
        <v>383</v>
      </c>
      <c r="BXE31" s="3" t="s">
        <v>382</v>
      </c>
      <c r="BXF31" s="3" t="s">
        <v>383</v>
      </c>
      <c r="BXG31" s="3" t="s">
        <v>382</v>
      </c>
      <c r="BXH31" s="3" t="s">
        <v>383</v>
      </c>
      <c r="BXI31" s="3" t="s">
        <v>382</v>
      </c>
      <c r="BXJ31" s="3" t="s">
        <v>383</v>
      </c>
      <c r="BXK31" s="3" t="s">
        <v>382</v>
      </c>
      <c r="BXL31" s="3" t="s">
        <v>383</v>
      </c>
      <c r="BXM31" s="3" t="s">
        <v>382</v>
      </c>
      <c r="BXN31" s="3" t="s">
        <v>383</v>
      </c>
      <c r="BXO31" s="3" t="s">
        <v>382</v>
      </c>
      <c r="BXP31" s="3" t="s">
        <v>383</v>
      </c>
      <c r="BXQ31" s="3" t="s">
        <v>382</v>
      </c>
      <c r="BXR31" s="3" t="s">
        <v>383</v>
      </c>
      <c r="BXS31" s="3" t="s">
        <v>382</v>
      </c>
      <c r="BXT31" s="3" t="s">
        <v>383</v>
      </c>
      <c r="BXU31" s="3" t="s">
        <v>382</v>
      </c>
      <c r="BXV31" s="3" t="s">
        <v>383</v>
      </c>
      <c r="BXW31" s="3" t="s">
        <v>382</v>
      </c>
      <c r="BXX31" s="3" t="s">
        <v>383</v>
      </c>
      <c r="BXY31" s="3" t="s">
        <v>382</v>
      </c>
      <c r="BXZ31" s="3" t="s">
        <v>383</v>
      </c>
      <c r="BYA31" s="3" t="s">
        <v>382</v>
      </c>
      <c r="BYB31" s="3" t="s">
        <v>383</v>
      </c>
      <c r="BYC31" s="3" t="s">
        <v>382</v>
      </c>
      <c r="BYD31" s="3" t="s">
        <v>383</v>
      </c>
      <c r="BYE31" s="3" t="s">
        <v>382</v>
      </c>
      <c r="BYF31" s="3" t="s">
        <v>383</v>
      </c>
      <c r="BYG31" s="3" t="s">
        <v>382</v>
      </c>
      <c r="BYH31" s="3" t="s">
        <v>383</v>
      </c>
      <c r="BYI31" s="3" t="s">
        <v>382</v>
      </c>
      <c r="BYJ31" s="3" t="s">
        <v>383</v>
      </c>
      <c r="BYK31" s="3" t="s">
        <v>382</v>
      </c>
      <c r="BYL31" s="3" t="s">
        <v>383</v>
      </c>
      <c r="BYM31" s="3" t="s">
        <v>382</v>
      </c>
      <c r="BYN31" s="3" t="s">
        <v>383</v>
      </c>
      <c r="BYO31" s="3" t="s">
        <v>382</v>
      </c>
      <c r="BYP31" s="3" t="s">
        <v>383</v>
      </c>
      <c r="BYQ31" s="3" t="s">
        <v>382</v>
      </c>
      <c r="BYR31" s="3" t="s">
        <v>383</v>
      </c>
      <c r="BYS31" s="3" t="s">
        <v>382</v>
      </c>
      <c r="BYT31" s="3" t="s">
        <v>383</v>
      </c>
      <c r="BYU31" s="3" t="s">
        <v>382</v>
      </c>
      <c r="BYV31" s="3" t="s">
        <v>383</v>
      </c>
      <c r="BYW31" s="3" t="s">
        <v>382</v>
      </c>
      <c r="BYX31" s="3" t="s">
        <v>383</v>
      </c>
      <c r="BYY31" s="3" t="s">
        <v>382</v>
      </c>
      <c r="BYZ31" s="3" t="s">
        <v>383</v>
      </c>
      <c r="BZA31" s="3" t="s">
        <v>382</v>
      </c>
      <c r="BZB31" s="3" t="s">
        <v>383</v>
      </c>
      <c r="BZC31" s="3" t="s">
        <v>382</v>
      </c>
      <c r="BZD31" s="3" t="s">
        <v>383</v>
      </c>
      <c r="BZE31" s="3" t="s">
        <v>382</v>
      </c>
      <c r="BZF31" s="3" t="s">
        <v>383</v>
      </c>
      <c r="BZG31" s="3" t="s">
        <v>382</v>
      </c>
      <c r="BZH31" s="3" t="s">
        <v>383</v>
      </c>
      <c r="BZI31" s="3" t="s">
        <v>382</v>
      </c>
      <c r="BZJ31" s="3" t="s">
        <v>383</v>
      </c>
      <c r="BZK31" s="3" t="s">
        <v>382</v>
      </c>
      <c r="BZL31" s="3" t="s">
        <v>383</v>
      </c>
      <c r="BZM31" s="3" t="s">
        <v>382</v>
      </c>
      <c r="BZN31" s="3" t="s">
        <v>383</v>
      </c>
      <c r="BZO31" s="3" t="s">
        <v>382</v>
      </c>
      <c r="BZP31" s="3" t="s">
        <v>383</v>
      </c>
      <c r="BZQ31" s="3" t="s">
        <v>382</v>
      </c>
      <c r="BZR31" s="3" t="s">
        <v>383</v>
      </c>
      <c r="BZS31" s="3" t="s">
        <v>382</v>
      </c>
      <c r="BZT31" s="3" t="s">
        <v>383</v>
      </c>
      <c r="BZU31" s="3" t="s">
        <v>382</v>
      </c>
      <c r="BZV31" s="3" t="s">
        <v>383</v>
      </c>
      <c r="BZW31" s="3" t="s">
        <v>382</v>
      </c>
      <c r="BZX31" s="3" t="s">
        <v>383</v>
      </c>
      <c r="BZY31" s="3" t="s">
        <v>382</v>
      </c>
      <c r="BZZ31" s="3" t="s">
        <v>383</v>
      </c>
      <c r="CAA31" s="3" t="s">
        <v>382</v>
      </c>
      <c r="CAB31" s="3" t="s">
        <v>383</v>
      </c>
      <c r="CAC31" s="3" t="s">
        <v>382</v>
      </c>
      <c r="CAD31" s="3" t="s">
        <v>383</v>
      </c>
      <c r="CAE31" s="3" t="s">
        <v>382</v>
      </c>
      <c r="CAF31" s="3" t="s">
        <v>383</v>
      </c>
      <c r="CAG31" s="3" t="s">
        <v>382</v>
      </c>
      <c r="CAH31" s="3" t="s">
        <v>383</v>
      </c>
      <c r="CAI31" s="3" t="s">
        <v>382</v>
      </c>
      <c r="CAJ31" s="3" t="s">
        <v>383</v>
      </c>
      <c r="CAK31" s="3" t="s">
        <v>382</v>
      </c>
      <c r="CAL31" s="3" t="s">
        <v>383</v>
      </c>
      <c r="CAM31" s="3" t="s">
        <v>382</v>
      </c>
      <c r="CAN31" s="3" t="s">
        <v>383</v>
      </c>
      <c r="CAO31" s="3" t="s">
        <v>382</v>
      </c>
      <c r="CAP31" s="3" t="s">
        <v>383</v>
      </c>
      <c r="CAQ31" s="3" t="s">
        <v>382</v>
      </c>
      <c r="CAR31" s="3" t="s">
        <v>383</v>
      </c>
      <c r="CAS31" s="3" t="s">
        <v>382</v>
      </c>
      <c r="CAT31" s="3" t="s">
        <v>383</v>
      </c>
      <c r="CAU31" s="3" t="s">
        <v>382</v>
      </c>
      <c r="CAV31" s="3" t="s">
        <v>383</v>
      </c>
      <c r="CAW31" s="3" t="s">
        <v>382</v>
      </c>
      <c r="CAX31" s="3" t="s">
        <v>383</v>
      </c>
      <c r="CAY31" s="3" t="s">
        <v>382</v>
      </c>
      <c r="CAZ31" s="3" t="s">
        <v>383</v>
      </c>
      <c r="CBA31" s="3" t="s">
        <v>382</v>
      </c>
      <c r="CBB31" s="3" t="s">
        <v>383</v>
      </c>
      <c r="CBC31" s="3" t="s">
        <v>382</v>
      </c>
      <c r="CBD31" s="3" t="s">
        <v>383</v>
      </c>
      <c r="CBE31" s="3" t="s">
        <v>382</v>
      </c>
      <c r="CBF31" s="3" t="s">
        <v>383</v>
      </c>
      <c r="CBG31" s="3" t="s">
        <v>382</v>
      </c>
      <c r="CBH31" s="3" t="s">
        <v>383</v>
      </c>
      <c r="CBI31" s="3" t="s">
        <v>382</v>
      </c>
      <c r="CBJ31" s="3" t="s">
        <v>383</v>
      </c>
      <c r="CBK31" s="3" t="s">
        <v>382</v>
      </c>
      <c r="CBL31" s="3" t="s">
        <v>383</v>
      </c>
      <c r="CBM31" s="3" t="s">
        <v>382</v>
      </c>
      <c r="CBN31" s="3" t="s">
        <v>383</v>
      </c>
      <c r="CBO31" s="3" t="s">
        <v>382</v>
      </c>
      <c r="CBP31" s="3" t="s">
        <v>383</v>
      </c>
      <c r="CBQ31" s="3" t="s">
        <v>382</v>
      </c>
      <c r="CBR31" s="3" t="s">
        <v>383</v>
      </c>
      <c r="CBS31" s="3" t="s">
        <v>382</v>
      </c>
      <c r="CBT31" s="3" t="s">
        <v>383</v>
      </c>
      <c r="CBU31" s="3" t="s">
        <v>382</v>
      </c>
      <c r="CBV31" s="3" t="s">
        <v>383</v>
      </c>
      <c r="CBW31" s="3" t="s">
        <v>382</v>
      </c>
      <c r="CBX31" s="3" t="s">
        <v>383</v>
      </c>
      <c r="CBY31" s="3" t="s">
        <v>382</v>
      </c>
      <c r="CBZ31" s="3" t="s">
        <v>383</v>
      </c>
      <c r="CCA31" s="3" t="s">
        <v>382</v>
      </c>
      <c r="CCB31" s="3" t="s">
        <v>383</v>
      </c>
      <c r="CCC31" s="3" t="s">
        <v>382</v>
      </c>
      <c r="CCD31" s="3" t="s">
        <v>383</v>
      </c>
      <c r="CCE31" s="3" t="s">
        <v>382</v>
      </c>
      <c r="CCF31" s="3" t="s">
        <v>383</v>
      </c>
      <c r="CCG31" s="3" t="s">
        <v>382</v>
      </c>
      <c r="CCH31" s="3" t="s">
        <v>383</v>
      </c>
      <c r="CCI31" s="3" t="s">
        <v>382</v>
      </c>
      <c r="CCJ31" s="3" t="s">
        <v>383</v>
      </c>
      <c r="CCK31" s="3" t="s">
        <v>382</v>
      </c>
      <c r="CCL31" s="3" t="s">
        <v>383</v>
      </c>
      <c r="CCM31" s="3" t="s">
        <v>382</v>
      </c>
      <c r="CCN31" s="3" t="s">
        <v>383</v>
      </c>
      <c r="CCO31" s="3" t="s">
        <v>382</v>
      </c>
      <c r="CCP31" s="3" t="s">
        <v>383</v>
      </c>
      <c r="CCQ31" s="3" t="s">
        <v>382</v>
      </c>
      <c r="CCR31" s="3" t="s">
        <v>383</v>
      </c>
      <c r="CCS31" s="3" t="s">
        <v>382</v>
      </c>
      <c r="CCT31" s="3" t="s">
        <v>383</v>
      </c>
      <c r="CCU31" s="3" t="s">
        <v>382</v>
      </c>
      <c r="CCV31" s="3" t="s">
        <v>383</v>
      </c>
      <c r="CCW31" s="3" t="s">
        <v>382</v>
      </c>
      <c r="CCX31" s="3" t="s">
        <v>383</v>
      </c>
      <c r="CCY31" s="3" t="s">
        <v>382</v>
      </c>
      <c r="CCZ31" s="3" t="s">
        <v>383</v>
      </c>
      <c r="CDA31" s="3" t="s">
        <v>382</v>
      </c>
      <c r="CDB31" s="3" t="s">
        <v>383</v>
      </c>
      <c r="CDC31" s="3" t="s">
        <v>382</v>
      </c>
      <c r="CDD31" s="3" t="s">
        <v>383</v>
      </c>
      <c r="CDE31" s="3" t="s">
        <v>382</v>
      </c>
      <c r="CDF31" s="3" t="s">
        <v>383</v>
      </c>
      <c r="CDG31" s="3" t="s">
        <v>382</v>
      </c>
      <c r="CDH31" s="3" t="s">
        <v>383</v>
      </c>
      <c r="CDI31" s="3" t="s">
        <v>382</v>
      </c>
      <c r="CDJ31" s="3" t="s">
        <v>383</v>
      </c>
      <c r="CDK31" s="3" t="s">
        <v>382</v>
      </c>
      <c r="CDL31" s="3" t="s">
        <v>383</v>
      </c>
      <c r="CDM31" s="3" t="s">
        <v>382</v>
      </c>
      <c r="CDN31" s="3" t="s">
        <v>383</v>
      </c>
      <c r="CDO31" s="3" t="s">
        <v>382</v>
      </c>
      <c r="CDP31" s="3" t="s">
        <v>383</v>
      </c>
      <c r="CDQ31" s="3" t="s">
        <v>382</v>
      </c>
      <c r="CDR31" s="3" t="s">
        <v>383</v>
      </c>
      <c r="CDS31" s="3" t="s">
        <v>382</v>
      </c>
      <c r="CDT31" s="3" t="s">
        <v>383</v>
      </c>
      <c r="CDU31" s="3" t="s">
        <v>382</v>
      </c>
      <c r="CDV31" s="3" t="s">
        <v>383</v>
      </c>
      <c r="CDW31" s="3" t="s">
        <v>382</v>
      </c>
      <c r="CDX31" s="3" t="s">
        <v>383</v>
      </c>
      <c r="CDY31" s="3" t="s">
        <v>382</v>
      </c>
      <c r="CDZ31" s="3" t="s">
        <v>383</v>
      </c>
      <c r="CEA31" s="3" t="s">
        <v>382</v>
      </c>
      <c r="CEB31" s="3" t="s">
        <v>383</v>
      </c>
      <c r="CEC31" s="3" t="s">
        <v>382</v>
      </c>
      <c r="CED31" s="3" t="s">
        <v>383</v>
      </c>
      <c r="CEE31" s="3" t="s">
        <v>382</v>
      </c>
      <c r="CEF31" s="3" t="s">
        <v>383</v>
      </c>
      <c r="CEG31" s="3" t="s">
        <v>382</v>
      </c>
      <c r="CEH31" s="3" t="s">
        <v>383</v>
      </c>
      <c r="CEI31" s="3" t="s">
        <v>382</v>
      </c>
      <c r="CEJ31" s="3" t="s">
        <v>383</v>
      </c>
      <c r="CEK31" s="3" t="s">
        <v>382</v>
      </c>
      <c r="CEL31" s="3" t="s">
        <v>383</v>
      </c>
      <c r="CEM31" s="3" t="s">
        <v>382</v>
      </c>
      <c r="CEN31" s="3" t="s">
        <v>383</v>
      </c>
      <c r="CEO31" s="3" t="s">
        <v>382</v>
      </c>
      <c r="CEP31" s="3" t="s">
        <v>383</v>
      </c>
      <c r="CEQ31" s="3" t="s">
        <v>382</v>
      </c>
      <c r="CER31" s="3" t="s">
        <v>383</v>
      </c>
      <c r="CES31" s="3" t="s">
        <v>382</v>
      </c>
      <c r="CET31" s="3" t="s">
        <v>383</v>
      </c>
      <c r="CEU31" s="3" t="s">
        <v>382</v>
      </c>
      <c r="CEV31" s="3" t="s">
        <v>383</v>
      </c>
      <c r="CEW31" s="3" t="s">
        <v>382</v>
      </c>
      <c r="CEX31" s="3" t="s">
        <v>383</v>
      </c>
      <c r="CEY31" s="3" t="s">
        <v>382</v>
      </c>
      <c r="CEZ31" s="3" t="s">
        <v>383</v>
      </c>
      <c r="CFA31" s="3" t="s">
        <v>382</v>
      </c>
      <c r="CFB31" s="3" t="s">
        <v>383</v>
      </c>
      <c r="CFC31" s="3" t="s">
        <v>382</v>
      </c>
      <c r="CFD31" s="3" t="s">
        <v>383</v>
      </c>
      <c r="CFE31" s="3" t="s">
        <v>382</v>
      </c>
      <c r="CFF31" s="3" t="s">
        <v>383</v>
      </c>
      <c r="CFG31" s="3" t="s">
        <v>382</v>
      </c>
      <c r="CFH31" s="3" t="s">
        <v>383</v>
      </c>
      <c r="CFI31" s="3" t="s">
        <v>382</v>
      </c>
      <c r="CFJ31" s="3" t="s">
        <v>383</v>
      </c>
      <c r="CFK31" s="3" t="s">
        <v>382</v>
      </c>
      <c r="CFL31" s="3" t="s">
        <v>383</v>
      </c>
      <c r="CFM31" s="3" t="s">
        <v>382</v>
      </c>
      <c r="CFN31" s="3" t="s">
        <v>383</v>
      </c>
      <c r="CFO31" s="3" t="s">
        <v>382</v>
      </c>
      <c r="CFP31" s="3" t="s">
        <v>383</v>
      </c>
      <c r="CFQ31" s="3" t="s">
        <v>382</v>
      </c>
      <c r="CFR31" s="3" t="s">
        <v>383</v>
      </c>
      <c r="CFS31" s="3" t="s">
        <v>382</v>
      </c>
      <c r="CFT31" s="3" t="s">
        <v>383</v>
      </c>
      <c r="CFU31" s="3" t="s">
        <v>382</v>
      </c>
      <c r="CFV31" s="3" t="s">
        <v>383</v>
      </c>
      <c r="CFW31" s="3" t="s">
        <v>382</v>
      </c>
      <c r="CFX31" s="3" t="s">
        <v>383</v>
      </c>
      <c r="CFY31" s="3" t="s">
        <v>382</v>
      </c>
      <c r="CFZ31" s="3" t="s">
        <v>383</v>
      </c>
      <c r="CGA31" s="3" t="s">
        <v>382</v>
      </c>
      <c r="CGB31" s="3" t="s">
        <v>383</v>
      </c>
      <c r="CGC31" s="3" t="s">
        <v>382</v>
      </c>
      <c r="CGD31" s="3" t="s">
        <v>383</v>
      </c>
      <c r="CGE31" s="3" t="s">
        <v>382</v>
      </c>
      <c r="CGF31" s="3" t="s">
        <v>383</v>
      </c>
      <c r="CGG31" s="3" t="s">
        <v>382</v>
      </c>
      <c r="CGH31" s="3" t="s">
        <v>383</v>
      </c>
      <c r="CGI31" s="3" t="s">
        <v>382</v>
      </c>
      <c r="CGJ31" s="3" t="s">
        <v>383</v>
      </c>
      <c r="CGK31" s="3" t="s">
        <v>382</v>
      </c>
      <c r="CGL31" s="3" t="s">
        <v>383</v>
      </c>
      <c r="CGM31" s="3" t="s">
        <v>382</v>
      </c>
      <c r="CGN31" s="3" t="s">
        <v>383</v>
      </c>
      <c r="CGO31" s="3" t="s">
        <v>382</v>
      </c>
      <c r="CGP31" s="3" t="s">
        <v>383</v>
      </c>
      <c r="CGQ31" s="3" t="s">
        <v>382</v>
      </c>
      <c r="CGR31" s="3" t="s">
        <v>383</v>
      </c>
      <c r="CGS31" s="3" t="s">
        <v>382</v>
      </c>
      <c r="CGT31" s="3" t="s">
        <v>383</v>
      </c>
      <c r="CGU31" s="3" t="s">
        <v>382</v>
      </c>
      <c r="CGV31" s="3" t="s">
        <v>383</v>
      </c>
      <c r="CGW31" s="3" t="s">
        <v>382</v>
      </c>
      <c r="CGX31" s="3" t="s">
        <v>383</v>
      </c>
      <c r="CGY31" s="3" t="s">
        <v>382</v>
      </c>
      <c r="CGZ31" s="3" t="s">
        <v>383</v>
      </c>
      <c r="CHA31" s="3" t="s">
        <v>382</v>
      </c>
      <c r="CHB31" s="3" t="s">
        <v>383</v>
      </c>
      <c r="CHC31" s="3" t="s">
        <v>382</v>
      </c>
      <c r="CHD31" s="3" t="s">
        <v>383</v>
      </c>
      <c r="CHE31" s="3" t="s">
        <v>382</v>
      </c>
      <c r="CHF31" s="3" t="s">
        <v>383</v>
      </c>
      <c r="CHG31" s="3" t="s">
        <v>382</v>
      </c>
      <c r="CHH31" s="3" t="s">
        <v>383</v>
      </c>
      <c r="CHI31" s="3" t="s">
        <v>382</v>
      </c>
      <c r="CHJ31" s="3" t="s">
        <v>383</v>
      </c>
      <c r="CHK31" s="3" t="s">
        <v>382</v>
      </c>
      <c r="CHL31" s="3" t="s">
        <v>383</v>
      </c>
      <c r="CHM31" s="3" t="s">
        <v>382</v>
      </c>
      <c r="CHN31" s="3" t="s">
        <v>383</v>
      </c>
      <c r="CHO31" s="3" t="s">
        <v>382</v>
      </c>
      <c r="CHP31" s="3" t="s">
        <v>383</v>
      </c>
      <c r="CHQ31" s="3" t="s">
        <v>382</v>
      </c>
      <c r="CHR31" s="3" t="s">
        <v>383</v>
      </c>
      <c r="CHS31" s="3" t="s">
        <v>382</v>
      </c>
      <c r="CHT31" s="3" t="s">
        <v>383</v>
      </c>
      <c r="CHU31" s="3" t="s">
        <v>382</v>
      </c>
      <c r="CHV31" s="3" t="s">
        <v>383</v>
      </c>
      <c r="CHW31" s="3" t="s">
        <v>382</v>
      </c>
      <c r="CHX31" s="3" t="s">
        <v>383</v>
      </c>
      <c r="CHY31" s="3" t="s">
        <v>382</v>
      </c>
      <c r="CHZ31" s="3" t="s">
        <v>383</v>
      </c>
      <c r="CIA31" s="3" t="s">
        <v>382</v>
      </c>
      <c r="CIB31" s="3" t="s">
        <v>383</v>
      </c>
      <c r="CIC31" s="3" t="s">
        <v>382</v>
      </c>
      <c r="CID31" s="3" t="s">
        <v>383</v>
      </c>
      <c r="CIE31" s="3" t="s">
        <v>382</v>
      </c>
      <c r="CIF31" s="3" t="s">
        <v>383</v>
      </c>
      <c r="CIG31" s="3" t="s">
        <v>382</v>
      </c>
      <c r="CIH31" s="3" t="s">
        <v>383</v>
      </c>
      <c r="CII31" s="3" t="s">
        <v>382</v>
      </c>
      <c r="CIJ31" s="3" t="s">
        <v>383</v>
      </c>
      <c r="CIK31" s="3" t="s">
        <v>382</v>
      </c>
      <c r="CIL31" s="3" t="s">
        <v>383</v>
      </c>
      <c r="CIM31" s="3" t="s">
        <v>382</v>
      </c>
      <c r="CIN31" s="3" t="s">
        <v>383</v>
      </c>
      <c r="CIO31" s="3" t="s">
        <v>382</v>
      </c>
      <c r="CIP31" s="3" t="s">
        <v>383</v>
      </c>
      <c r="CIQ31" s="3" t="s">
        <v>382</v>
      </c>
      <c r="CIR31" s="3" t="s">
        <v>383</v>
      </c>
      <c r="CIS31" s="3" t="s">
        <v>382</v>
      </c>
      <c r="CIT31" s="3" t="s">
        <v>383</v>
      </c>
      <c r="CIU31" s="3" t="s">
        <v>382</v>
      </c>
      <c r="CIV31" s="3" t="s">
        <v>383</v>
      </c>
      <c r="CIW31" s="3" t="s">
        <v>382</v>
      </c>
      <c r="CIX31" s="3" t="s">
        <v>383</v>
      </c>
      <c r="CIY31" s="3" t="s">
        <v>382</v>
      </c>
      <c r="CIZ31" s="3" t="s">
        <v>383</v>
      </c>
      <c r="CJA31" s="3" t="s">
        <v>382</v>
      </c>
      <c r="CJB31" s="3" t="s">
        <v>383</v>
      </c>
      <c r="CJC31" s="3" t="s">
        <v>382</v>
      </c>
      <c r="CJD31" s="3" t="s">
        <v>383</v>
      </c>
      <c r="CJE31" s="3" t="s">
        <v>382</v>
      </c>
      <c r="CJF31" s="3" t="s">
        <v>383</v>
      </c>
      <c r="CJG31" s="3" t="s">
        <v>382</v>
      </c>
      <c r="CJH31" s="3" t="s">
        <v>383</v>
      </c>
      <c r="CJI31" s="3" t="s">
        <v>382</v>
      </c>
      <c r="CJJ31" s="3" t="s">
        <v>383</v>
      </c>
      <c r="CJK31" s="3" t="s">
        <v>382</v>
      </c>
      <c r="CJL31" s="3" t="s">
        <v>383</v>
      </c>
      <c r="CJM31" s="3" t="s">
        <v>382</v>
      </c>
      <c r="CJN31" s="3" t="s">
        <v>383</v>
      </c>
      <c r="CJO31" s="3" t="s">
        <v>382</v>
      </c>
      <c r="CJP31" s="3" t="s">
        <v>383</v>
      </c>
      <c r="CJQ31" s="3" t="s">
        <v>382</v>
      </c>
      <c r="CJR31" s="3" t="s">
        <v>383</v>
      </c>
      <c r="CJS31" s="3" t="s">
        <v>382</v>
      </c>
      <c r="CJT31" s="3" t="s">
        <v>383</v>
      </c>
      <c r="CJU31" s="3" t="s">
        <v>382</v>
      </c>
      <c r="CJV31" s="3" t="s">
        <v>383</v>
      </c>
      <c r="CJW31" s="3" t="s">
        <v>382</v>
      </c>
      <c r="CJX31" s="3" t="s">
        <v>383</v>
      </c>
      <c r="CJY31" s="3" t="s">
        <v>382</v>
      </c>
      <c r="CJZ31" s="3" t="s">
        <v>383</v>
      </c>
      <c r="CKA31" s="3" t="s">
        <v>382</v>
      </c>
      <c r="CKB31" s="3" t="s">
        <v>383</v>
      </c>
      <c r="CKC31" s="3" t="s">
        <v>382</v>
      </c>
      <c r="CKD31" s="3" t="s">
        <v>383</v>
      </c>
      <c r="CKE31" s="3" t="s">
        <v>382</v>
      </c>
      <c r="CKF31" s="3" t="s">
        <v>383</v>
      </c>
      <c r="CKG31" s="3" t="s">
        <v>382</v>
      </c>
      <c r="CKH31" s="3" t="s">
        <v>383</v>
      </c>
      <c r="CKI31" s="3" t="s">
        <v>382</v>
      </c>
      <c r="CKJ31" s="3" t="s">
        <v>383</v>
      </c>
      <c r="CKK31" s="3" t="s">
        <v>382</v>
      </c>
      <c r="CKL31" s="3" t="s">
        <v>383</v>
      </c>
      <c r="CKM31" s="3" t="s">
        <v>382</v>
      </c>
      <c r="CKN31" s="3" t="s">
        <v>383</v>
      </c>
      <c r="CKO31" s="3" t="s">
        <v>382</v>
      </c>
      <c r="CKP31" s="3" t="s">
        <v>383</v>
      </c>
      <c r="CKQ31" s="3" t="s">
        <v>382</v>
      </c>
      <c r="CKR31" s="3" t="s">
        <v>383</v>
      </c>
      <c r="CKS31" s="3" t="s">
        <v>382</v>
      </c>
      <c r="CKT31" s="3" t="s">
        <v>383</v>
      </c>
      <c r="CKU31" s="3" t="s">
        <v>382</v>
      </c>
      <c r="CKV31" s="3" t="s">
        <v>383</v>
      </c>
      <c r="CKW31" s="3" t="s">
        <v>382</v>
      </c>
      <c r="CKX31" s="3" t="s">
        <v>383</v>
      </c>
      <c r="CKY31" s="3" t="s">
        <v>382</v>
      </c>
      <c r="CKZ31" s="3" t="s">
        <v>383</v>
      </c>
      <c r="CLA31" s="3" t="s">
        <v>382</v>
      </c>
      <c r="CLB31" s="3" t="s">
        <v>383</v>
      </c>
      <c r="CLC31" s="3" t="s">
        <v>382</v>
      </c>
      <c r="CLD31" s="3" t="s">
        <v>383</v>
      </c>
      <c r="CLE31" s="3" t="s">
        <v>382</v>
      </c>
      <c r="CLF31" s="3" t="s">
        <v>383</v>
      </c>
      <c r="CLG31" s="3" t="s">
        <v>382</v>
      </c>
      <c r="CLH31" s="3" t="s">
        <v>383</v>
      </c>
      <c r="CLI31" s="3" t="s">
        <v>382</v>
      </c>
      <c r="CLJ31" s="3" t="s">
        <v>383</v>
      </c>
      <c r="CLK31" s="3" t="s">
        <v>382</v>
      </c>
      <c r="CLL31" s="3" t="s">
        <v>383</v>
      </c>
      <c r="CLM31" s="3" t="s">
        <v>382</v>
      </c>
      <c r="CLN31" s="3" t="s">
        <v>383</v>
      </c>
      <c r="CLO31" s="3" t="s">
        <v>382</v>
      </c>
      <c r="CLP31" s="3" t="s">
        <v>383</v>
      </c>
      <c r="CLQ31" s="3" t="s">
        <v>382</v>
      </c>
      <c r="CLR31" s="3" t="s">
        <v>383</v>
      </c>
      <c r="CLS31" s="3" t="s">
        <v>382</v>
      </c>
      <c r="CLT31" s="3" t="s">
        <v>383</v>
      </c>
      <c r="CLU31" s="3" t="s">
        <v>382</v>
      </c>
      <c r="CLV31" s="3" t="s">
        <v>383</v>
      </c>
      <c r="CLW31" s="3" t="s">
        <v>382</v>
      </c>
      <c r="CLX31" s="3" t="s">
        <v>383</v>
      </c>
      <c r="CLY31" s="3" t="s">
        <v>382</v>
      </c>
      <c r="CLZ31" s="3" t="s">
        <v>383</v>
      </c>
      <c r="CMA31" s="3" t="s">
        <v>382</v>
      </c>
      <c r="CMB31" s="3" t="s">
        <v>383</v>
      </c>
      <c r="CMC31" s="3" t="s">
        <v>382</v>
      </c>
      <c r="CMD31" s="3" t="s">
        <v>383</v>
      </c>
      <c r="CME31" s="3" t="s">
        <v>382</v>
      </c>
      <c r="CMF31" s="3" t="s">
        <v>383</v>
      </c>
      <c r="CMG31" s="3" t="s">
        <v>382</v>
      </c>
      <c r="CMH31" s="3" t="s">
        <v>383</v>
      </c>
      <c r="CMI31" s="3" t="s">
        <v>382</v>
      </c>
      <c r="CMJ31" s="3" t="s">
        <v>383</v>
      </c>
      <c r="CMK31" s="3" t="s">
        <v>382</v>
      </c>
      <c r="CML31" s="3" t="s">
        <v>383</v>
      </c>
      <c r="CMM31" s="3" t="s">
        <v>382</v>
      </c>
      <c r="CMN31" s="3" t="s">
        <v>383</v>
      </c>
      <c r="CMO31" s="3" t="s">
        <v>382</v>
      </c>
      <c r="CMP31" s="3" t="s">
        <v>383</v>
      </c>
      <c r="CMQ31" s="3" t="s">
        <v>382</v>
      </c>
      <c r="CMR31" s="3" t="s">
        <v>383</v>
      </c>
      <c r="CMS31" s="3" t="s">
        <v>382</v>
      </c>
      <c r="CMT31" s="3" t="s">
        <v>383</v>
      </c>
      <c r="CMU31" s="3" t="s">
        <v>382</v>
      </c>
      <c r="CMV31" s="3" t="s">
        <v>383</v>
      </c>
      <c r="CMW31" s="3" t="s">
        <v>382</v>
      </c>
      <c r="CMX31" s="3" t="s">
        <v>383</v>
      </c>
      <c r="CMY31" s="3" t="s">
        <v>382</v>
      </c>
      <c r="CMZ31" s="3" t="s">
        <v>383</v>
      </c>
      <c r="CNA31" s="3" t="s">
        <v>382</v>
      </c>
      <c r="CNB31" s="3" t="s">
        <v>383</v>
      </c>
      <c r="CNC31" s="3" t="s">
        <v>382</v>
      </c>
      <c r="CND31" s="3" t="s">
        <v>383</v>
      </c>
      <c r="CNE31" s="3" t="s">
        <v>382</v>
      </c>
      <c r="CNF31" s="3" t="s">
        <v>383</v>
      </c>
      <c r="CNG31" s="3" t="s">
        <v>382</v>
      </c>
      <c r="CNH31" s="3" t="s">
        <v>383</v>
      </c>
      <c r="CNI31" s="3" t="s">
        <v>382</v>
      </c>
      <c r="CNJ31" s="3" t="s">
        <v>383</v>
      </c>
      <c r="CNK31" s="3" t="s">
        <v>382</v>
      </c>
      <c r="CNL31" s="3" t="s">
        <v>383</v>
      </c>
      <c r="CNM31" s="3" t="s">
        <v>382</v>
      </c>
      <c r="CNN31" s="3" t="s">
        <v>383</v>
      </c>
      <c r="CNO31" s="3" t="s">
        <v>382</v>
      </c>
      <c r="CNP31" s="3" t="s">
        <v>383</v>
      </c>
      <c r="CNQ31" s="3" t="s">
        <v>382</v>
      </c>
      <c r="CNR31" s="3" t="s">
        <v>383</v>
      </c>
      <c r="CNS31" s="3" t="s">
        <v>382</v>
      </c>
      <c r="CNT31" s="3" t="s">
        <v>383</v>
      </c>
      <c r="CNU31" s="3" t="s">
        <v>382</v>
      </c>
      <c r="CNV31" s="3" t="s">
        <v>383</v>
      </c>
      <c r="CNW31" s="3" t="s">
        <v>382</v>
      </c>
      <c r="CNX31" s="3" t="s">
        <v>383</v>
      </c>
      <c r="CNY31" s="3" t="s">
        <v>382</v>
      </c>
      <c r="CNZ31" s="3" t="s">
        <v>383</v>
      </c>
      <c r="COA31" s="3" t="s">
        <v>382</v>
      </c>
      <c r="COB31" s="3" t="s">
        <v>383</v>
      </c>
      <c r="COC31" s="3" t="s">
        <v>382</v>
      </c>
      <c r="COD31" s="3" t="s">
        <v>383</v>
      </c>
      <c r="COE31" s="3" t="s">
        <v>382</v>
      </c>
      <c r="COF31" s="3" t="s">
        <v>383</v>
      </c>
      <c r="COG31" s="3" t="s">
        <v>382</v>
      </c>
      <c r="COH31" s="3" t="s">
        <v>383</v>
      </c>
      <c r="COI31" s="3" t="s">
        <v>382</v>
      </c>
      <c r="COJ31" s="3" t="s">
        <v>383</v>
      </c>
      <c r="COK31" s="3" t="s">
        <v>382</v>
      </c>
      <c r="COL31" s="3" t="s">
        <v>383</v>
      </c>
      <c r="COM31" s="3" t="s">
        <v>382</v>
      </c>
      <c r="CON31" s="3" t="s">
        <v>383</v>
      </c>
      <c r="COO31" s="3" t="s">
        <v>382</v>
      </c>
      <c r="COP31" s="3" t="s">
        <v>383</v>
      </c>
      <c r="COQ31" s="3" t="s">
        <v>382</v>
      </c>
      <c r="COR31" s="3" t="s">
        <v>383</v>
      </c>
      <c r="COS31" s="3" t="s">
        <v>382</v>
      </c>
      <c r="COT31" s="3" t="s">
        <v>383</v>
      </c>
      <c r="COU31" s="3" t="s">
        <v>382</v>
      </c>
      <c r="COV31" s="3" t="s">
        <v>383</v>
      </c>
      <c r="COW31" s="3" t="s">
        <v>382</v>
      </c>
      <c r="COX31" s="3" t="s">
        <v>383</v>
      </c>
      <c r="COY31" s="3" t="s">
        <v>382</v>
      </c>
      <c r="COZ31" s="3" t="s">
        <v>383</v>
      </c>
      <c r="CPA31" s="3" t="s">
        <v>382</v>
      </c>
      <c r="CPB31" s="3" t="s">
        <v>383</v>
      </c>
      <c r="CPC31" s="3" t="s">
        <v>382</v>
      </c>
      <c r="CPD31" s="3" t="s">
        <v>383</v>
      </c>
      <c r="CPE31" s="3" t="s">
        <v>382</v>
      </c>
      <c r="CPF31" s="3" t="s">
        <v>383</v>
      </c>
      <c r="CPG31" s="3" t="s">
        <v>382</v>
      </c>
      <c r="CPH31" s="3" t="s">
        <v>383</v>
      </c>
      <c r="CPI31" s="3" t="s">
        <v>382</v>
      </c>
      <c r="CPJ31" s="3" t="s">
        <v>383</v>
      </c>
      <c r="CPK31" s="3" t="s">
        <v>382</v>
      </c>
      <c r="CPL31" s="3" t="s">
        <v>383</v>
      </c>
      <c r="CPM31" s="3" t="s">
        <v>382</v>
      </c>
      <c r="CPN31" s="3" t="s">
        <v>383</v>
      </c>
      <c r="CPO31" s="3" t="s">
        <v>382</v>
      </c>
      <c r="CPP31" s="3" t="s">
        <v>383</v>
      </c>
      <c r="CPQ31" s="3" t="s">
        <v>382</v>
      </c>
      <c r="CPR31" s="3" t="s">
        <v>383</v>
      </c>
      <c r="CPS31" s="3" t="s">
        <v>382</v>
      </c>
      <c r="CPT31" s="3" t="s">
        <v>383</v>
      </c>
      <c r="CPU31" s="3" t="s">
        <v>382</v>
      </c>
      <c r="CPV31" s="3" t="s">
        <v>383</v>
      </c>
      <c r="CPW31" s="3" t="s">
        <v>382</v>
      </c>
      <c r="CPX31" s="3" t="s">
        <v>383</v>
      </c>
      <c r="CPY31" s="3" t="s">
        <v>382</v>
      </c>
      <c r="CPZ31" s="3" t="s">
        <v>383</v>
      </c>
      <c r="CQA31" s="3" t="s">
        <v>382</v>
      </c>
      <c r="CQB31" s="3" t="s">
        <v>383</v>
      </c>
      <c r="CQC31" s="3" t="s">
        <v>382</v>
      </c>
      <c r="CQD31" s="3" t="s">
        <v>383</v>
      </c>
      <c r="CQE31" s="3" t="s">
        <v>382</v>
      </c>
      <c r="CQF31" s="3" t="s">
        <v>383</v>
      </c>
      <c r="CQG31" s="3" t="s">
        <v>382</v>
      </c>
      <c r="CQH31" s="3" t="s">
        <v>383</v>
      </c>
      <c r="CQI31" s="3" t="s">
        <v>382</v>
      </c>
      <c r="CQJ31" s="3" t="s">
        <v>383</v>
      </c>
      <c r="CQK31" s="3" t="s">
        <v>382</v>
      </c>
      <c r="CQL31" s="3" t="s">
        <v>383</v>
      </c>
      <c r="CQM31" s="3" t="s">
        <v>382</v>
      </c>
      <c r="CQN31" s="3" t="s">
        <v>383</v>
      </c>
      <c r="CQO31" s="3" t="s">
        <v>382</v>
      </c>
      <c r="CQP31" s="3" t="s">
        <v>383</v>
      </c>
      <c r="CQQ31" s="3" t="s">
        <v>382</v>
      </c>
      <c r="CQR31" s="3" t="s">
        <v>383</v>
      </c>
      <c r="CQS31" s="3" t="s">
        <v>382</v>
      </c>
      <c r="CQT31" s="3" t="s">
        <v>383</v>
      </c>
      <c r="CQU31" s="3" t="s">
        <v>382</v>
      </c>
      <c r="CQV31" s="3" t="s">
        <v>383</v>
      </c>
      <c r="CQW31" s="3" t="s">
        <v>382</v>
      </c>
      <c r="CQX31" s="3" t="s">
        <v>383</v>
      </c>
      <c r="CQY31" s="3" t="s">
        <v>382</v>
      </c>
      <c r="CQZ31" s="3" t="s">
        <v>383</v>
      </c>
      <c r="CRA31" s="3" t="s">
        <v>382</v>
      </c>
      <c r="CRB31" s="3" t="s">
        <v>383</v>
      </c>
      <c r="CRC31" s="3" t="s">
        <v>382</v>
      </c>
      <c r="CRD31" s="3" t="s">
        <v>383</v>
      </c>
      <c r="CRE31" s="3" t="s">
        <v>382</v>
      </c>
      <c r="CRF31" s="3" t="s">
        <v>383</v>
      </c>
      <c r="CRG31" s="3" t="s">
        <v>382</v>
      </c>
      <c r="CRH31" s="3" t="s">
        <v>383</v>
      </c>
      <c r="CRI31" s="3" t="s">
        <v>382</v>
      </c>
      <c r="CRJ31" s="3" t="s">
        <v>383</v>
      </c>
      <c r="CRK31" s="3" t="s">
        <v>382</v>
      </c>
      <c r="CRL31" s="3" t="s">
        <v>383</v>
      </c>
      <c r="CRM31" s="3" t="s">
        <v>382</v>
      </c>
      <c r="CRN31" s="3" t="s">
        <v>383</v>
      </c>
      <c r="CRO31" s="3" t="s">
        <v>382</v>
      </c>
      <c r="CRP31" s="3" t="s">
        <v>383</v>
      </c>
      <c r="CRQ31" s="3" t="s">
        <v>382</v>
      </c>
      <c r="CRR31" s="3" t="s">
        <v>383</v>
      </c>
      <c r="CRS31" s="3" t="s">
        <v>382</v>
      </c>
      <c r="CRT31" s="3" t="s">
        <v>383</v>
      </c>
      <c r="CRU31" s="3" t="s">
        <v>382</v>
      </c>
      <c r="CRV31" s="3" t="s">
        <v>383</v>
      </c>
      <c r="CRW31" s="3" t="s">
        <v>382</v>
      </c>
      <c r="CRX31" s="3" t="s">
        <v>383</v>
      </c>
      <c r="CRY31" s="3" t="s">
        <v>382</v>
      </c>
      <c r="CRZ31" s="3" t="s">
        <v>383</v>
      </c>
      <c r="CSA31" s="3" t="s">
        <v>382</v>
      </c>
      <c r="CSB31" s="3" t="s">
        <v>383</v>
      </c>
      <c r="CSC31" s="3" t="s">
        <v>382</v>
      </c>
      <c r="CSD31" s="3" t="s">
        <v>383</v>
      </c>
      <c r="CSE31" s="3" t="s">
        <v>382</v>
      </c>
      <c r="CSF31" s="3" t="s">
        <v>383</v>
      </c>
      <c r="CSG31" s="3" t="s">
        <v>382</v>
      </c>
      <c r="CSH31" s="3" t="s">
        <v>383</v>
      </c>
      <c r="CSI31" s="3" t="s">
        <v>382</v>
      </c>
      <c r="CSJ31" s="3" t="s">
        <v>383</v>
      </c>
      <c r="CSK31" s="3" t="s">
        <v>382</v>
      </c>
      <c r="CSL31" s="3" t="s">
        <v>383</v>
      </c>
      <c r="CSM31" s="3" t="s">
        <v>382</v>
      </c>
      <c r="CSN31" s="3" t="s">
        <v>383</v>
      </c>
      <c r="CSO31" s="3" t="s">
        <v>382</v>
      </c>
      <c r="CSP31" s="3" t="s">
        <v>383</v>
      </c>
      <c r="CSQ31" s="3" t="s">
        <v>382</v>
      </c>
      <c r="CSR31" s="3" t="s">
        <v>383</v>
      </c>
      <c r="CSS31" s="3" t="s">
        <v>382</v>
      </c>
      <c r="CST31" s="3" t="s">
        <v>383</v>
      </c>
      <c r="CSU31" s="3" t="s">
        <v>382</v>
      </c>
      <c r="CSV31" s="3" t="s">
        <v>383</v>
      </c>
      <c r="CSW31" s="3" t="s">
        <v>382</v>
      </c>
      <c r="CSX31" s="3" t="s">
        <v>383</v>
      </c>
      <c r="CSY31" s="3" t="s">
        <v>382</v>
      </c>
      <c r="CSZ31" s="3" t="s">
        <v>383</v>
      </c>
      <c r="CTA31" s="3" t="s">
        <v>382</v>
      </c>
      <c r="CTB31" s="3" t="s">
        <v>383</v>
      </c>
      <c r="CTC31" s="3" t="s">
        <v>382</v>
      </c>
      <c r="CTD31" s="3" t="s">
        <v>383</v>
      </c>
      <c r="CTE31" s="3" t="s">
        <v>382</v>
      </c>
      <c r="CTF31" s="3" t="s">
        <v>383</v>
      </c>
      <c r="CTG31" s="3" t="s">
        <v>382</v>
      </c>
      <c r="CTH31" s="3" t="s">
        <v>383</v>
      </c>
      <c r="CTI31" s="3" t="s">
        <v>382</v>
      </c>
      <c r="CTJ31" s="3" t="s">
        <v>383</v>
      </c>
      <c r="CTK31" s="3" t="s">
        <v>382</v>
      </c>
      <c r="CTL31" s="3" t="s">
        <v>383</v>
      </c>
      <c r="CTM31" s="3" t="s">
        <v>382</v>
      </c>
      <c r="CTN31" s="3" t="s">
        <v>383</v>
      </c>
      <c r="CTO31" s="3" t="s">
        <v>382</v>
      </c>
      <c r="CTP31" s="3" t="s">
        <v>383</v>
      </c>
      <c r="CTQ31" s="3" t="s">
        <v>382</v>
      </c>
      <c r="CTR31" s="3" t="s">
        <v>383</v>
      </c>
      <c r="CTS31" s="3" t="s">
        <v>382</v>
      </c>
      <c r="CTT31" s="3" t="s">
        <v>383</v>
      </c>
      <c r="CTU31" s="3" t="s">
        <v>382</v>
      </c>
      <c r="CTV31" s="3" t="s">
        <v>383</v>
      </c>
      <c r="CTW31" s="3" t="s">
        <v>382</v>
      </c>
      <c r="CTX31" s="3" t="s">
        <v>383</v>
      </c>
      <c r="CTY31" s="3" t="s">
        <v>382</v>
      </c>
      <c r="CTZ31" s="3" t="s">
        <v>383</v>
      </c>
      <c r="CUA31" s="3" t="s">
        <v>382</v>
      </c>
      <c r="CUB31" s="3" t="s">
        <v>383</v>
      </c>
      <c r="CUC31" s="3" t="s">
        <v>382</v>
      </c>
      <c r="CUD31" s="3" t="s">
        <v>383</v>
      </c>
      <c r="CUE31" s="3" t="s">
        <v>382</v>
      </c>
      <c r="CUF31" s="3" t="s">
        <v>383</v>
      </c>
      <c r="CUG31" s="3" t="s">
        <v>382</v>
      </c>
      <c r="CUH31" s="3" t="s">
        <v>383</v>
      </c>
      <c r="CUI31" s="3" t="s">
        <v>382</v>
      </c>
      <c r="CUJ31" s="3" t="s">
        <v>383</v>
      </c>
      <c r="CUK31" s="3" t="s">
        <v>382</v>
      </c>
      <c r="CUL31" s="3" t="s">
        <v>383</v>
      </c>
      <c r="CUM31" s="3" t="s">
        <v>382</v>
      </c>
      <c r="CUN31" s="3" t="s">
        <v>383</v>
      </c>
      <c r="CUO31" s="3" t="s">
        <v>382</v>
      </c>
      <c r="CUP31" s="3" t="s">
        <v>383</v>
      </c>
      <c r="CUQ31" s="3" t="s">
        <v>382</v>
      </c>
      <c r="CUR31" s="3" t="s">
        <v>383</v>
      </c>
      <c r="CUS31" s="3" t="s">
        <v>382</v>
      </c>
      <c r="CUT31" s="3" t="s">
        <v>383</v>
      </c>
      <c r="CUU31" s="3" t="s">
        <v>382</v>
      </c>
      <c r="CUV31" s="3" t="s">
        <v>383</v>
      </c>
      <c r="CUW31" s="3" t="s">
        <v>382</v>
      </c>
      <c r="CUX31" s="3" t="s">
        <v>383</v>
      </c>
      <c r="CUY31" s="3" t="s">
        <v>382</v>
      </c>
      <c r="CUZ31" s="3" t="s">
        <v>383</v>
      </c>
      <c r="CVA31" s="3" t="s">
        <v>382</v>
      </c>
      <c r="CVB31" s="3" t="s">
        <v>383</v>
      </c>
      <c r="CVC31" s="3" t="s">
        <v>382</v>
      </c>
      <c r="CVD31" s="3" t="s">
        <v>383</v>
      </c>
      <c r="CVE31" s="3" t="s">
        <v>382</v>
      </c>
      <c r="CVF31" s="3" t="s">
        <v>383</v>
      </c>
      <c r="CVG31" s="3" t="s">
        <v>382</v>
      </c>
      <c r="CVH31" s="3" t="s">
        <v>383</v>
      </c>
      <c r="CVI31" s="3" t="s">
        <v>382</v>
      </c>
      <c r="CVJ31" s="3" t="s">
        <v>383</v>
      </c>
      <c r="CVK31" s="3" t="s">
        <v>382</v>
      </c>
      <c r="CVL31" s="3" t="s">
        <v>383</v>
      </c>
      <c r="CVM31" s="3" t="s">
        <v>382</v>
      </c>
      <c r="CVN31" s="3" t="s">
        <v>383</v>
      </c>
      <c r="CVO31" s="3" t="s">
        <v>382</v>
      </c>
      <c r="CVP31" s="3" t="s">
        <v>383</v>
      </c>
      <c r="CVQ31" s="3" t="s">
        <v>382</v>
      </c>
      <c r="CVR31" s="3" t="s">
        <v>383</v>
      </c>
      <c r="CVS31" s="3" t="s">
        <v>382</v>
      </c>
      <c r="CVT31" s="3" t="s">
        <v>383</v>
      </c>
      <c r="CVU31" s="3" t="s">
        <v>382</v>
      </c>
      <c r="CVV31" s="3" t="s">
        <v>383</v>
      </c>
      <c r="CVW31" s="3" t="s">
        <v>382</v>
      </c>
      <c r="CVX31" s="3" t="s">
        <v>383</v>
      </c>
      <c r="CVY31" s="3" t="s">
        <v>382</v>
      </c>
      <c r="CVZ31" s="3" t="s">
        <v>383</v>
      </c>
      <c r="CWA31" s="3" t="s">
        <v>382</v>
      </c>
      <c r="CWB31" s="3" t="s">
        <v>383</v>
      </c>
      <c r="CWC31" s="3" t="s">
        <v>382</v>
      </c>
      <c r="CWD31" s="3" t="s">
        <v>383</v>
      </c>
      <c r="CWE31" s="3" t="s">
        <v>382</v>
      </c>
      <c r="CWF31" s="3" t="s">
        <v>383</v>
      </c>
      <c r="CWG31" s="3" t="s">
        <v>382</v>
      </c>
      <c r="CWH31" s="3" t="s">
        <v>383</v>
      </c>
      <c r="CWI31" s="3" t="s">
        <v>382</v>
      </c>
      <c r="CWJ31" s="3" t="s">
        <v>383</v>
      </c>
      <c r="CWK31" s="3" t="s">
        <v>382</v>
      </c>
      <c r="CWL31" s="3" t="s">
        <v>383</v>
      </c>
      <c r="CWM31" s="3" t="s">
        <v>382</v>
      </c>
      <c r="CWN31" s="3" t="s">
        <v>383</v>
      </c>
      <c r="CWO31" s="3" t="s">
        <v>382</v>
      </c>
      <c r="CWP31" s="3" t="s">
        <v>383</v>
      </c>
      <c r="CWQ31" s="3" t="s">
        <v>382</v>
      </c>
      <c r="CWR31" s="3" t="s">
        <v>383</v>
      </c>
      <c r="CWS31" s="3" t="s">
        <v>382</v>
      </c>
      <c r="CWT31" s="3" t="s">
        <v>383</v>
      </c>
      <c r="CWU31" s="3" t="s">
        <v>382</v>
      </c>
      <c r="CWV31" s="3" t="s">
        <v>383</v>
      </c>
      <c r="CWW31" s="3" t="s">
        <v>382</v>
      </c>
      <c r="CWX31" s="3" t="s">
        <v>383</v>
      </c>
      <c r="CWY31" s="3" t="s">
        <v>382</v>
      </c>
      <c r="CWZ31" s="3" t="s">
        <v>383</v>
      </c>
      <c r="CXA31" s="3" t="s">
        <v>382</v>
      </c>
      <c r="CXB31" s="3" t="s">
        <v>383</v>
      </c>
      <c r="CXC31" s="3" t="s">
        <v>382</v>
      </c>
      <c r="CXD31" s="3" t="s">
        <v>383</v>
      </c>
      <c r="CXE31" s="3" t="s">
        <v>382</v>
      </c>
      <c r="CXF31" s="3" t="s">
        <v>383</v>
      </c>
      <c r="CXG31" s="3" t="s">
        <v>382</v>
      </c>
      <c r="CXH31" s="3" t="s">
        <v>383</v>
      </c>
      <c r="CXI31" s="3" t="s">
        <v>382</v>
      </c>
      <c r="CXJ31" s="3" t="s">
        <v>383</v>
      </c>
      <c r="CXK31" s="3" t="s">
        <v>382</v>
      </c>
      <c r="CXL31" s="3" t="s">
        <v>383</v>
      </c>
      <c r="CXM31" s="3" t="s">
        <v>382</v>
      </c>
      <c r="CXN31" s="3" t="s">
        <v>383</v>
      </c>
      <c r="CXO31" s="3" t="s">
        <v>382</v>
      </c>
      <c r="CXP31" s="3" t="s">
        <v>383</v>
      </c>
      <c r="CXQ31" s="3" t="s">
        <v>382</v>
      </c>
      <c r="CXR31" s="3" t="s">
        <v>383</v>
      </c>
      <c r="CXS31" s="3" t="s">
        <v>382</v>
      </c>
      <c r="CXT31" s="3" t="s">
        <v>383</v>
      </c>
      <c r="CXU31" s="3" t="s">
        <v>382</v>
      </c>
      <c r="CXV31" s="3" t="s">
        <v>383</v>
      </c>
      <c r="CXW31" s="3" t="s">
        <v>382</v>
      </c>
      <c r="CXX31" s="3" t="s">
        <v>383</v>
      </c>
      <c r="CXY31" s="3" t="s">
        <v>382</v>
      </c>
      <c r="CXZ31" s="3" t="s">
        <v>383</v>
      </c>
      <c r="CYA31" s="3" t="s">
        <v>382</v>
      </c>
      <c r="CYB31" s="3" t="s">
        <v>383</v>
      </c>
      <c r="CYC31" s="3" t="s">
        <v>382</v>
      </c>
      <c r="CYD31" s="3" t="s">
        <v>383</v>
      </c>
      <c r="CYE31" s="3" t="s">
        <v>382</v>
      </c>
      <c r="CYF31" s="3" t="s">
        <v>383</v>
      </c>
      <c r="CYG31" s="3" t="s">
        <v>382</v>
      </c>
      <c r="CYH31" s="3" t="s">
        <v>383</v>
      </c>
      <c r="CYI31" s="3" t="s">
        <v>382</v>
      </c>
      <c r="CYJ31" s="3" t="s">
        <v>383</v>
      </c>
      <c r="CYK31" s="3" t="s">
        <v>382</v>
      </c>
      <c r="CYL31" s="3" t="s">
        <v>383</v>
      </c>
      <c r="CYM31" s="3" t="s">
        <v>382</v>
      </c>
      <c r="CYN31" s="3" t="s">
        <v>383</v>
      </c>
      <c r="CYO31" s="3" t="s">
        <v>382</v>
      </c>
      <c r="CYP31" s="3" t="s">
        <v>383</v>
      </c>
      <c r="CYQ31" s="3" t="s">
        <v>382</v>
      </c>
      <c r="CYR31" s="3" t="s">
        <v>383</v>
      </c>
      <c r="CYS31" s="3" t="s">
        <v>382</v>
      </c>
      <c r="CYT31" s="3" t="s">
        <v>383</v>
      </c>
      <c r="CYU31" s="3" t="s">
        <v>382</v>
      </c>
      <c r="CYV31" s="3" t="s">
        <v>383</v>
      </c>
      <c r="CYW31" s="3" t="s">
        <v>382</v>
      </c>
      <c r="CYX31" s="3" t="s">
        <v>383</v>
      </c>
      <c r="CYY31" s="3" t="s">
        <v>382</v>
      </c>
      <c r="CYZ31" s="3" t="s">
        <v>383</v>
      </c>
      <c r="CZA31" s="3" t="s">
        <v>382</v>
      </c>
      <c r="CZB31" s="3" t="s">
        <v>383</v>
      </c>
      <c r="CZC31" s="3" t="s">
        <v>382</v>
      </c>
      <c r="CZD31" s="3" t="s">
        <v>383</v>
      </c>
      <c r="CZE31" s="3" t="s">
        <v>382</v>
      </c>
      <c r="CZF31" s="3" t="s">
        <v>383</v>
      </c>
      <c r="CZG31" s="3" t="s">
        <v>382</v>
      </c>
      <c r="CZH31" s="3" t="s">
        <v>383</v>
      </c>
      <c r="CZI31" s="3" t="s">
        <v>382</v>
      </c>
      <c r="CZJ31" s="3" t="s">
        <v>383</v>
      </c>
      <c r="CZK31" s="3" t="s">
        <v>382</v>
      </c>
      <c r="CZL31" s="3" t="s">
        <v>383</v>
      </c>
      <c r="CZM31" s="3" t="s">
        <v>382</v>
      </c>
      <c r="CZN31" s="3" t="s">
        <v>383</v>
      </c>
      <c r="CZO31" s="3" t="s">
        <v>382</v>
      </c>
      <c r="CZP31" s="3" t="s">
        <v>383</v>
      </c>
      <c r="CZQ31" s="3" t="s">
        <v>382</v>
      </c>
      <c r="CZR31" s="3" t="s">
        <v>383</v>
      </c>
      <c r="CZS31" s="3" t="s">
        <v>382</v>
      </c>
      <c r="CZT31" s="3" t="s">
        <v>383</v>
      </c>
      <c r="CZU31" s="3" t="s">
        <v>382</v>
      </c>
      <c r="CZV31" s="3" t="s">
        <v>383</v>
      </c>
      <c r="CZW31" s="3" t="s">
        <v>382</v>
      </c>
      <c r="CZX31" s="3" t="s">
        <v>383</v>
      </c>
      <c r="CZY31" s="3" t="s">
        <v>382</v>
      </c>
      <c r="CZZ31" s="3" t="s">
        <v>383</v>
      </c>
      <c r="DAA31" s="3" t="s">
        <v>382</v>
      </c>
      <c r="DAB31" s="3" t="s">
        <v>383</v>
      </c>
      <c r="DAC31" s="3" t="s">
        <v>382</v>
      </c>
      <c r="DAD31" s="3" t="s">
        <v>383</v>
      </c>
      <c r="DAE31" s="3" t="s">
        <v>382</v>
      </c>
      <c r="DAF31" s="3" t="s">
        <v>383</v>
      </c>
      <c r="DAG31" s="3" t="s">
        <v>382</v>
      </c>
      <c r="DAH31" s="3" t="s">
        <v>383</v>
      </c>
      <c r="DAI31" s="3" t="s">
        <v>382</v>
      </c>
      <c r="DAJ31" s="3" t="s">
        <v>383</v>
      </c>
      <c r="DAK31" s="3" t="s">
        <v>382</v>
      </c>
      <c r="DAL31" s="3" t="s">
        <v>383</v>
      </c>
      <c r="DAM31" s="3" t="s">
        <v>382</v>
      </c>
      <c r="DAN31" s="3" t="s">
        <v>383</v>
      </c>
      <c r="DAO31" s="3" t="s">
        <v>382</v>
      </c>
      <c r="DAP31" s="3" t="s">
        <v>383</v>
      </c>
      <c r="DAQ31" s="3" t="s">
        <v>382</v>
      </c>
      <c r="DAR31" s="3" t="s">
        <v>383</v>
      </c>
      <c r="DAS31" s="3" t="s">
        <v>382</v>
      </c>
      <c r="DAT31" s="3" t="s">
        <v>383</v>
      </c>
      <c r="DAU31" s="3" t="s">
        <v>382</v>
      </c>
      <c r="DAV31" s="3" t="s">
        <v>383</v>
      </c>
      <c r="DAW31" s="3" t="s">
        <v>382</v>
      </c>
      <c r="DAX31" s="3" t="s">
        <v>383</v>
      </c>
      <c r="DAY31" s="3" t="s">
        <v>382</v>
      </c>
      <c r="DAZ31" s="3" t="s">
        <v>383</v>
      </c>
      <c r="DBA31" s="3" t="s">
        <v>382</v>
      </c>
      <c r="DBB31" s="3" t="s">
        <v>383</v>
      </c>
      <c r="DBC31" s="3" t="s">
        <v>382</v>
      </c>
      <c r="DBD31" s="3" t="s">
        <v>383</v>
      </c>
      <c r="DBE31" s="3" t="s">
        <v>382</v>
      </c>
      <c r="DBF31" s="3" t="s">
        <v>383</v>
      </c>
      <c r="DBG31" s="3" t="s">
        <v>382</v>
      </c>
      <c r="DBH31" s="3" t="s">
        <v>383</v>
      </c>
      <c r="DBI31" s="3" t="s">
        <v>382</v>
      </c>
      <c r="DBJ31" s="3" t="s">
        <v>383</v>
      </c>
      <c r="DBK31" s="3" t="s">
        <v>382</v>
      </c>
      <c r="DBL31" s="3" t="s">
        <v>383</v>
      </c>
      <c r="DBM31" s="3" t="s">
        <v>382</v>
      </c>
      <c r="DBN31" s="3" t="s">
        <v>383</v>
      </c>
      <c r="DBO31" s="3" t="s">
        <v>382</v>
      </c>
      <c r="DBP31" s="3" t="s">
        <v>383</v>
      </c>
      <c r="DBQ31" s="3" t="s">
        <v>382</v>
      </c>
      <c r="DBR31" s="3" t="s">
        <v>383</v>
      </c>
      <c r="DBS31" s="3" t="s">
        <v>382</v>
      </c>
      <c r="DBT31" s="3" t="s">
        <v>383</v>
      </c>
      <c r="DBU31" s="3" t="s">
        <v>382</v>
      </c>
      <c r="DBV31" s="3" t="s">
        <v>383</v>
      </c>
      <c r="DBW31" s="3" t="s">
        <v>382</v>
      </c>
      <c r="DBX31" s="3" t="s">
        <v>383</v>
      </c>
      <c r="DBY31" s="3" t="s">
        <v>382</v>
      </c>
      <c r="DBZ31" s="3" t="s">
        <v>383</v>
      </c>
      <c r="DCA31" s="3" t="s">
        <v>382</v>
      </c>
      <c r="DCB31" s="3" t="s">
        <v>383</v>
      </c>
      <c r="DCC31" s="3" t="s">
        <v>382</v>
      </c>
      <c r="DCD31" s="3" t="s">
        <v>383</v>
      </c>
      <c r="DCE31" s="3" t="s">
        <v>382</v>
      </c>
      <c r="DCF31" s="3" t="s">
        <v>383</v>
      </c>
      <c r="DCG31" s="3" t="s">
        <v>382</v>
      </c>
      <c r="DCH31" s="3" t="s">
        <v>383</v>
      </c>
      <c r="DCI31" s="3" t="s">
        <v>382</v>
      </c>
      <c r="DCJ31" s="3" t="s">
        <v>383</v>
      </c>
      <c r="DCK31" s="3" t="s">
        <v>382</v>
      </c>
      <c r="DCL31" s="3" t="s">
        <v>383</v>
      </c>
      <c r="DCM31" s="3" t="s">
        <v>382</v>
      </c>
      <c r="DCN31" s="3" t="s">
        <v>383</v>
      </c>
      <c r="DCO31" s="3" t="s">
        <v>382</v>
      </c>
      <c r="DCP31" s="3" t="s">
        <v>383</v>
      </c>
      <c r="DCQ31" s="3" t="s">
        <v>382</v>
      </c>
      <c r="DCR31" s="3" t="s">
        <v>383</v>
      </c>
      <c r="DCS31" s="3" t="s">
        <v>382</v>
      </c>
      <c r="DCT31" s="3" t="s">
        <v>383</v>
      </c>
      <c r="DCU31" s="3" t="s">
        <v>382</v>
      </c>
      <c r="DCV31" s="3" t="s">
        <v>383</v>
      </c>
      <c r="DCW31" s="3" t="s">
        <v>382</v>
      </c>
      <c r="DCX31" s="3" t="s">
        <v>383</v>
      </c>
      <c r="DCY31" s="3" t="s">
        <v>382</v>
      </c>
      <c r="DCZ31" s="3" t="s">
        <v>383</v>
      </c>
      <c r="DDA31" s="3" t="s">
        <v>382</v>
      </c>
      <c r="DDB31" s="3" t="s">
        <v>383</v>
      </c>
      <c r="DDC31" s="3" t="s">
        <v>382</v>
      </c>
      <c r="DDD31" s="3" t="s">
        <v>383</v>
      </c>
      <c r="DDE31" s="3" t="s">
        <v>382</v>
      </c>
      <c r="DDF31" s="3" t="s">
        <v>383</v>
      </c>
      <c r="DDG31" s="3" t="s">
        <v>382</v>
      </c>
      <c r="DDH31" s="3" t="s">
        <v>383</v>
      </c>
      <c r="DDI31" s="3" t="s">
        <v>382</v>
      </c>
      <c r="DDJ31" s="3" t="s">
        <v>383</v>
      </c>
      <c r="DDK31" s="3" t="s">
        <v>382</v>
      </c>
      <c r="DDL31" s="3" t="s">
        <v>383</v>
      </c>
      <c r="DDM31" s="3" t="s">
        <v>382</v>
      </c>
      <c r="DDN31" s="3" t="s">
        <v>383</v>
      </c>
      <c r="DDO31" s="3" t="s">
        <v>382</v>
      </c>
      <c r="DDP31" s="3" t="s">
        <v>383</v>
      </c>
      <c r="DDQ31" s="3" t="s">
        <v>382</v>
      </c>
      <c r="DDR31" s="3" t="s">
        <v>383</v>
      </c>
      <c r="DDS31" s="3" t="s">
        <v>382</v>
      </c>
      <c r="DDT31" s="3" t="s">
        <v>383</v>
      </c>
      <c r="DDU31" s="3" t="s">
        <v>382</v>
      </c>
      <c r="DDV31" s="3" t="s">
        <v>383</v>
      </c>
      <c r="DDW31" s="3" t="s">
        <v>382</v>
      </c>
      <c r="DDX31" s="3" t="s">
        <v>383</v>
      </c>
      <c r="DDY31" s="3" t="s">
        <v>382</v>
      </c>
      <c r="DDZ31" s="3" t="s">
        <v>383</v>
      </c>
      <c r="DEA31" s="3" t="s">
        <v>382</v>
      </c>
      <c r="DEB31" s="3" t="s">
        <v>383</v>
      </c>
      <c r="DEC31" s="3" t="s">
        <v>382</v>
      </c>
      <c r="DED31" s="3" t="s">
        <v>383</v>
      </c>
      <c r="DEE31" s="3" t="s">
        <v>382</v>
      </c>
      <c r="DEF31" s="3" t="s">
        <v>383</v>
      </c>
      <c r="DEG31" s="3" t="s">
        <v>382</v>
      </c>
      <c r="DEH31" s="3" t="s">
        <v>383</v>
      </c>
      <c r="DEI31" s="3" t="s">
        <v>382</v>
      </c>
      <c r="DEJ31" s="3" t="s">
        <v>383</v>
      </c>
      <c r="DEK31" s="3" t="s">
        <v>382</v>
      </c>
      <c r="DEL31" s="3" t="s">
        <v>383</v>
      </c>
      <c r="DEM31" s="3" t="s">
        <v>382</v>
      </c>
      <c r="DEN31" s="3" t="s">
        <v>383</v>
      </c>
      <c r="DEO31" s="3" t="s">
        <v>382</v>
      </c>
      <c r="DEP31" s="3" t="s">
        <v>383</v>
      </c>
      <c r="DEQ31" s="3" t="s">
        <v>382</v>
      </c>
      <c r="DER31" s="3" t="s">
        <v>383</v>
      </c>
      <c r="DES31" s="3" t="s">
        <v>382</v>
      </c>
      <c r="DET31" s="3" t="s">
        <v>383</v>
      </c>
      <c r="DEU31" s="3" t="s">
        <v>382</v>
      </c>
      <c r="DEV31" s="3" t="s">
        <v>383</v>
      </c>
      <c r="DEW31" s="3" t="s">
        <v>382</v>
      </c>
      <c r="DEX31" s="3" t="s">
        <v>383</v>
      </c>
      <c r="DEY31" s="3" t="s">
        <v>382</v>
      </c>
      <c r="DEZ31" s="3" t="s">
        <v>383</v>
      </c>
      <c r="DFA31" s="3" t="s">
        <v>382</v>
      </c>
      <c r="DFB31" s="3" t="s">
        <v>383</v>
      </c>
      <c r="DFC31" s="3" t="s">
        <v>382</v>
      </c>
      <c r="DFD31" s="3" t="s">
        <v>383</v>
      </c>
      <c r="DFE31" s="3" t="s">
        <v>382</v>
      </c>
      <c r="DFF31" s="3" t="s">
        <v>383</v>
      </c>
      <c r="DFG31" s="3" t="s">
        <v>382</v>
      </c>
      <c r="DFH31" s="3" t="s">
        <v>383</v>
      </c>
      <c r="DFI31" s="3" t="s">
        <v>382</v>
      </c>
      <c r="DFJ31" s="3" t="s">
        <v>383</v>
      </c>
      <c r="DFK31" s="3" t="s">
        <v>382</v>
      </c>
      <c r="DFL31" s="3" t="s">
        <v>383</v>
      </c>
      <c r="DFM31" s="3" t="s">
        <v>382</v>
      </c>
      <c r="DFN31" s="3" t="s">
        <v>383</v>
      </c>
      <c r="DFO31" s="3" t="s">
        <v>382</v>
      </c>
      <c r="DFP31" s="3" t="s">
        <v>383</v>
      </c>
      <c r="DFQ31" s="3" t="s">
        <v>382</v>
      </c>
      <c r="DFR31" s="3" t="s">
        <v>383</v>
      </c>
      <c r="DFS31" s="3" t="s">
        <v>382</v>
      </c>
      <c r="DFT31" s="3" t="s">
        <v>383</v>
      </c>
      <c r="DFU31" s="3" t="s">
        <v>382</v>
      </c>
      <c r="DFV31" s="3" t="s">
        <v>383</v>
      </c>
      <c r="DFW31" s="3" t="s">
        <v>382</v>
      </c>
      <c r="DFX31" s="3" t="s">
        <v>383</v>
      </c>
      <c r="DFY31" s="3" t="s">
        <v>382</v>
      </c>
      <c r="DFZ31" s="3" t="s">
        <v>383</v>
      </c>
      <c r="DGA31" s="3" t="s">
        <v>382</v>
      </c>
      <c r="DGB31" s="3" t="s">
        <v>383</v>
      </c>
      <c r="DGC31" s="3" t="s">
        <v>382</v>
      </c>
      <c r="DGD31" s="3" t="s">
        <v>383</v>
      </c>
      <c r="DGE31" s="3" t="s">
        <v>382</v>
      </c>
      <c r="DGF31" s="3" t="s">
        <v>383</v>
      </c>
      <c r="DGG31" s="3" t="s">
        <v>382</v>
      </c>
      <c r="DGH31" s="3" t="s">
        <v>383</v>
      </c>
      <c r="DGI31" s="3" t="s">
        <v>382</v>
      </c>
      <c r="DGJ31" s="3" t="s">
        <v>383</v>
      </c>
      <c r="DGK31" s="3" t="s">
        <v>382</v>
      </c>
      <c r="DGL31" s="3" t="s">
        <v>383</v>
      </c>
      <c r="DGM31" s="3" t="s">
        <v>382</v>
      </c>
      <c r="DGN31" s="3" t="s">
        <v>383</v>
      </c>
      <c r="DGO31" s="3" t="s">
        <v>382</v>
      </c>
      <c r="DGP31" s="3" t="s">
        <v>383</v>
      </c>
      <c r="DGQ31" s="3" t="s">
        <v>382</v>
      </c>
      <c r="DGR31" s="3" t="s">
        <v>383</v>
      </c>
      <c r="DGS31" s="3" t="s">
        <v>382</v>
      </c>
      <c r="DGT31" s="3" t="s">
        <v>383</v>
      </c>
      <c r="DGU31" s="3" t="s">
        <v>382</v>
      </c>
      <c r="DGV31" s="3" t="s">
        <v>383</v>
      </c>
      <c r="DGW31" s="3" t="s">
        <v>382</v>
      </c>
      <c r="DGX31" s="3" t="s">
        <v>383</v>
      </c>
      <c r="DGY31" s="3" t="s">
        <v>382</v>
      </c>
      <c r="DGZ31" s="3" t="s">
        <v>383</v>
      </c>
      <c r="DHA31" s="3" t="s">
        <v>382</v>
      </c>
      <c r="DHB31" s="3" t="s">
        <v>383</v>
      </c>
      <c r="DHC31" s="3" t="s">
        <v>382</v>
      </c>
      <c r="DHD31" s="3" t="s">
        <v>383</v>
      </c>
      <c r="DHE31" s="3" t="s">
        <v>382</v>
      </c>
      <c r="DHF31" s="3" t="s">
        <v>383</v>
      </c>
      <c r="DHG31" s="3" t="s">
        <v>382</v>
      </c>
      <c r="DHH31" s="3" t="s">
        <v>383</v>
      </c>
      <c r="DHI31" s="3" t="s">
        <v>382</v>
      </c>
      <c r="DHJ31" s="3" t="s">
        <v>383</v>
      </c>
      <c r="DHK31" s="3" t="s">
        <v>382</v>
      </c>
      <c r="DHL31" s="3" t="s">
        <v>383</v>
      </c>
      <c r="DHM31" s="3" t="s">
        <v>382</v>
      </c>
      <c r="DHN31" s="3" t="s">
        <v>383</v>
      </c>
      <c r="DHO31" s="3" t="s">
        <v>382</v>
      </c>
      <c r="DHP31" s="3" t="s">
        <v>383</v>
      </c>
      <c r="DHQ31" s="3" t="s">
        <v>382</v>
      </c>
      <c r="DHR31" s="3" t="s">
        <v>383</v>
      </c>
      <c r="DHS31" s="3" t="s">
        <v>382</v>
      </c>
      <c r="DHT31" s="3" t="s">
        <v>383</v>
      </c>
      <c r="DHU31" s="3" t="s">
        <v>382</v>
      </c>
      <c r="DHV31" s="3" t="s">
        <v>383</v>
      </c>
      <c r="DHW31" s="3" t="s">
        <v>382</v>
      </c>
      <c r="DHX31" s="3" t="s">
        <v>383</v>
      </c>
      <c r="DHY31" s="3" t="s">
        <v>382</v>
      </c>
      <c r="DHZ31" s="3" t="s">
        <v>383</v>
      </c>
      <c r="DIA31" s="3" t="s">
        <v>382</v>
      </c>
      <c r="DIB31" s="3" t="s">
        <v>383</v>
      </c>
      <c r="DIC31" s="3" t="s">
        <v>382</v>
      </c>
      <c r="DID31" s="3" t="s">
        <v>383</v>
      </c>
      <c r="DIE31" s="3" t="s">
        <v>382</v>
      </c>
      <c r="DIF31" s="3" t="s">
        <v>383</v>
      </c>
      <c r="DIG31" s="3" t="s">
        <v>382</v>
      </c>
      <c r="DIH31" s="3" t="s">
        <v>383</v>
      </c>
      <c r="DII31" s="3" t="s">
        <v>382</v>
      </c>
      <c r="DIJ31" s="3" t="s">
        <v>383</v>
      </c>
      <c r="DIK31" s="3" t="s">
        <v>382</v>
      </c>
      <c r="DIL31" s="3" t="s">
        <v>383</v>
      </c>
      <c r="DIM31" s="3" t="s">
        <v>382</v>
      </c>
      <c r="DIN31" s="3" t="s">
        <v>383</v>
      </c>
      <c r="DIO31" s="3" t="s">
        <v>382</v>
      </c>
      <c r="DIP31" s="3" t="s">
        <v>383</v>
      </c>
      <c r="DIQ31" s="3" t="s">
        <v>382</v>
      </c>
      <c r="DIR31" s="3" t="s">
        <v>383</v>
      </c>
      <c r="DIS31" s="3" t="s">
        <v>382</v>
      </c>
      <c r="DIT31" s="3" t="s">
        <v>383</v>
      </c>
      <c r="DIU31" s="3" t="s">
        <v>382</v>
      </c>
      <c r="DIV31" s="3" t="s">
        <v>383</v>
      </c>
      <c r="DIW31" s="3" t="s">
        <v>382</v>
      </c>
      <c r="DIX31" s="3" t="s">
        <v>383</v>
      </c>
      <c r="DIY31" s="3" t="s">
        <v>382</v>
      </c>
      <c r="DIZ31" s="3" t="s">
        <v>383</v>
      </c>
      <c r="DJA31" s="3" t="s">
        <v>382</v>
      </c>
      <c r="DJB31" s="3" t="s">
        <v>383</v>
      </c>
      <c r="DJC31" s="3" t="s">
        <v>382</v>
      </c>
      <c r="DJD31" s="3" t="s">
        <v>383</v>
      </c>
      <c r="DJE31" s="3" t="s">
        <v>382</v>
      </c>
      <c r="DJF31" s="3" t="s">
        <v>383</v>
      </c>
      <c r="DJG31" s="3" t="s">
        <v>382</v>
      </c>
      <c r="DJH31" s="3" t="s">
        <v>383</v>
      </c>
      <c r="DJI31" s="3" t="s">
        <v>382</v>
      </c>
      <c r="DJJ31" s="3" t="s">
        <v>383</v>
      </c>
      <c r="DJK31" s="3" t="s">
        <v>382</v>
      </c>
      <c r="DJL31" s="3" t="s">
        <v>383</v>
      </c>
      <c r="DJM31" s="3" t="s">
        <v>382</v>
      </c>
      <c r="DJN31" s="3" t="s">
        <v>383</v>
      </c>
      <c r="DJO31" s="3" t="s">
        <v>382</v>
      </c>
      <c r="DJP31" s="3" t="s">
        <v>383</v>
      </c>
      <c r="DJQ31" s="3" t="s">
        <v>382</v>
      </c>
      <c r="DJR31" s="3" t="s">
        <v>383</v>
      </c>
      <c r="DJS31" s="3" t="s">
        <v>382</v>
      </c>
      <c r="DJT31" s="3" t="s">
        <v>383</v>
      </c>
      <c r="DJU31" s="3" t="s">
        <v>382</v>
      </c>
      <c r="DJV31" s="3" t="s">
        <v>383</v>
      </c>
      <c r="DJW31" s="3" t="s">
        <v>382</v>
      </c>
      <c r="DJX31" s="3" t="s">
        <v>383</v>
      </c>
      <c r="DJY31" s="3" t="s">
        <v>382</v>
      </c>
      <c r="DJZ31" s="3" t="s">
        <v>383</v>
      </c>
      <c r="DKA31" s="3" t="s">
        <v>382</v>
      </c>
      <c r="DKB31" s="3" t="s">
        <v>383</v>
      </c>
      <c r="DKC31" s="3" t="s">
        <v>382</v>
      </c>
      <c r="DKD31" s="3" t="s">
        <v>383</v>
      </c>
      <c r="DKE31" s="3" t="s">
        <v>382</v>
      </c>
      <c r="DKF31" s="3" t="s">
        <v>383</v>
      </c>
      <c r="DKG31" s="3" t="s">
        <v>382</v>
      </c>
      <c r="DKH31" s="3" t="s">
        <v>383</v>
      </c>
      <c r="DKI31" s="3" t="s">
        <v>382</v>
      </c>
      <c r="DKJ31" s="3" t="s">
        <v>383</v>
      </c>
      <c r="DKK31" s="3" t="s">
        <v>382</v>
      </c>
      <c r="DKL31" s="3" t="s">
        <v>383</v>
      </c>
      <c r="DKM31" s="3" t="s">
        <v>382</v>
      </c>
      <c r="DKN31" s="3" t="s">
        <v>383</v>
      </c>
      <c r="DKO31" s="3" t="s">
        <v>382</v>
      </c>
      <c r="DKP31" s="3" t="s">
        <v>383</v>
      </c>
      <c r="DKQ31" s="3" t="s">
        <v>382</v>
      </c>
      <c r="DKR31" s="3" t="s">
        <v>383</v>
      </c>
      <c r="DKS31" s="3" t="s">
        <v>382</v>
      </c>
      <c r="DKT31" s="3" t="s">
        <v>383</v>
      </c>
      <c r="DKU31" s="3" t="s">
        <v>382</v>
      </c>
      <c r="DKV31" s="3" t="s">
        <v>383</v>
      </c>
      <c r="DKW31" s="3" t="s">
        <v>382</v>
      </c>
      <c r="DKX31" s="3" t="s">
        <v>383</v>
      </c>
      <c r="DKY31" s="3" t="s">
        <v>382</v>
      </c>
      <c r="DKZ31" s="3" t="s">
        <v>383</v>
      </c>
      <c r="DLA31" s="3" t="s">
        <v>382</v>
      </c>
      <c r="DLB31" s="3" t="s">
        <v>383</v>
      </c>
      <c r="DLC31" s="3" t="s">
        <v>382</v>
      </c>
      <c r="DLD31" s="3" t="s">
        <v>383</v>
      </c>
      <c r="DLE31" s="3" t="s">
        <v>382</v>
      </c>
      <c r="DLF31" s="3" t="s">
        <v>383</v>
      </c>
      <c r="DLG31" s="3" t="s">
        <v>382</v>
      </c>
      <c r="DLH31" s="3" t="s">
        <v>383</v>
      </c>
      <c r="DLI31" s="3" t="s">
        <v>382</v>
      </c>
      <c r="DLJ31" s="3" t="s">
        <v>383</v>
      </c>
      <c r="DLK31" s="3" t="s">
        <v>382</v>
      </c>
      <c r="DLL31" s="3" t="s">
        <v>383</v>
      </c>
      <c r="DLM31" s="3" t="s">
        <v>382</v>
      </c>
      <c r="DLN31" s="3" t="s">
        <v>383</v>
      </c>
      <c r="DLO31" s="3" t="s">
        <v>382</v>
      </c>
      <c r="DLP31" s="3" t="s">
        <v>383</v>
      </c>
      <c r="DLQ31" s="3" t="s">
        <v>382</v>
      </c>
      <c r="DLR31" s="3" t="s">
        <v>383</v>
      </c>
      <c r="DLS31" s="3" t="s">
        <v>382</v>
      </c>
      <c r="DLT31" s="3" t="s">
        <v>383</v>
      </c>
      <c r="DLU31" s="3" t="s">
        <v>382</v>
      </c>
      <c r="DLV31" s="3" t="s">
        <v>383</v>
      </c>
      <c r="DLW31" s="3" t="s">
        <v>382</v>
      </c>
      <c r="DLX31" s="3" t="s">
        <v>383</v>
      </c>
      <c r="DLY31" s="3" t="s">
        <v>382</v>
      </c>
      <c r="DLZ31" s="3" t="s">
        <v>383</v>
      </c>
      <c r="DMA31" s="3" t="s">
        <v>382</v>
      </c>
      <c r="DMB31" s="3" t="s">
        <v>383</v>
      </c>
      <c r="DMC31" s="3" t="s">
        <v>382</v>
      </c>
      <c r="DMD31" s="3" t="s">
        <v>383</v>
      </c>
      <c r="DME31" s="3" t="s">
        <v>382</v>
      </c>
      <c r="DMF31" s="3" t="s">
        <v>383</v>
      </c>
      <c r="DMG31" s="3" t="s">
        <v>382</v>
      </c>
      <c r="DMH31" s="3" t="s">
        <v>383</v>
      </c>
      <c r="DMI31" s="3" t="s">
        <v>382</v>
      </c>
      <c r="DMJ31" s="3" t="s">
        <v>383</v>
      </c>
      <c r="DMK31" s="3" t="s">
        <v>382</v>
      </c>
      <c r="DML31" s="3" t="s">
        <v>383</v>
      </c>
      <c r="DMM31" s="3" t="s">
        <v>382</v>
      </c>
      <c r="DMN31" s="3" t="s">
        <v>383</v>
      </c>
      <c r="DMO31" s="3" t="s">
        <v>382</v>
      </c>
      <c r="DMP31" s="3" t="s">
        <v>383</v>
      </c>
      <c r="DMQ31" s="3" t="s">
        <v>382</v>
      </c>
      <c r="DMR31" s="3" t="s">
        <v>383</v>
      </c>
      <c r="DMS31" s="3" t="s">
        <v>382</v>
      </c>
      <c r="DMT31" s="3" t="s">
        <v>383</v>
      </c>
      <c r="DMU31" s="3" t="s">
        <v>382</v>
      </c>
      <c r="DMV31" s="3" t="s">
        <v>383</v>
      </c>
      <c r="DMW31" s="3" t="s">
        <v>382</v>
      </c>
      <c r="DMX31" s="3" t="s">
        <v>383</v>
      </c>
      <c r="DMY31" s="3" t="s">
        <v>382</v>
      </c>
      <c r="DMZ31" s="3" t="s">
        <v>383</v>
      </c>
      <c r="DNA31" s="3" t="s">
        <v>382</v>
      </c>
      <c r="DNB31" s="3" t="s">
        <v>383</v>
      </c>
      <c r="DNC31" s="3" t="s">
        <v>382</v>
      </c>
      <c r="DND31" s="3" t="s">
        <v>383</v>
      </c>
      <c r="DNE31" s="3" t="s">
        <v>382</v>
      </c>
      <c r="DNF31" s="3" t="s">
        <v>383</v>
      </c>
      <c r="DNG31" s="3" t="s">
        <v>382</v>
      </c>
      <c r="DNH31" s="3" t="s">
        <v>383</v>
      </c>
      <c r="DNI31" s="3" t="s">
        <v>382</v>
      </c>
      <c r="DNJ31" s="3" t="s">
        <v>383</v>
      </c>
      <c r="DNK31" s="3" t="s">
        <v>382</v>
      </c>
      <c r="DNL31" s="3" t="s">
        <v>383</v>
      </c>
      <c r="DNM31" s="3" t="s">
        <v>382</v>
      </c>
      <c r="DNN31" s="3" t="s">
        <v>383</v>
      </c>
      <c r="DNO31" s="3" t="s">
        <v>382</v>
      </c>
      <c r="DNP31" s="3" t="s">
        <v>383</v>
      </c>
      <c r="DNQ31" s="3" t="s">
        <v>382</v>
      </c>
      <c r="DNR31" s="3" t="s">
        <v>383</v>
      </c>
      <c r="DNS31" s="3" t="s">
        <v>382</v>
      </c>
      <c r="DNT31" s="3" t="s">
        <v>383</v>
      </c>
      <c r="DNU31" s="3" t="s">
        <v>382</v>
      </c>
      <c r="DNV31" s="3" t="s">
        <v>383</v>
      </c>
      <c r="DNW31" s="3" t="s">
        <v>382</v>
      </c>
      <c r="DNX31" s="3" t="s">
        <v>383</v>
      </c>
      <c r="DNY31" s="3" t="s">
        <v>382</v>
      </c>
      <c r="DNZ31" s="3" t="s">
        <v>383</v>
      </c>
      <c r="DOA31" s="3" t="s">
        <v>382</v>
      </c>
      <c r="DOB31" s="3" t="s">
        <v>383</v>
      </c>
      <c r="DOC31" s="3" t="s">
        <v>382</v>
      </c>
      <c r="DOD31" s="3" t="s">
        <v>383</v>
      </c>
      <c r="DOE31" s="3" t="s">
        <v>382</v>
      </c>
      <c r="DOF31" s="3" t="s">
        <v>383</v>
      </c>
      <c r="DOG31" s="3" t="s">
        <v>382</v>
      </c>
      <c r="DOH31" s="3" t="s">
        <v>383</v>
      </c>
      <c r="DOI31" s="3" t="s">
        <v>382</v>
      </c>
      <c r="DOJ31" s="3" t="s">
        <v>383</v>
      </c>
      <c r="DOK31" s="3" t="s">
        <v>382</v>
      </c>
      <c r="DOL31" s="3" t="s">
        <v>383</v>
      </c>
      <c r="DOM31" s="3" t="s">
        <v>382</v>
      </c>
      <c r="DON31" s="3" t="s">
        <v>383</v>
      </c>
      <c r="DOO31" s="3" t="s">
        <v>382</v>
      </c>
      <c r="DOP31" s="3" t="s">
        <v>383</v>
      </c>
      <c r="DOQ31" s="3" t="s">
        <v>382</v>
      </c>
      <c r="DOR31" s="3" t="s">
        <v>383</v>
      </c>
      <c r="DOS31" s="3" t="s">
        <v>382</v>
      </c>
      <c r="DOT31" s="3" t="s">
        <v>383</v>
      </c>
      <c r="DOU31" s="3" t="s">
        <v>382</v>
      </c>
      <c r="DOV31" s="3" t="s">
        <v>383</v>
      </c>
      <c r="DOW31" s="3" t="s">
        <v>382</v>
      </c>
      <c r="DOX31" s="3" t="s">
        <v>383</v>
      </c>
      <c r="DOY31" s="3" t="s">
        <v>382</v>
      </c>
      <c r="DOZ31" s="3" t="s">
        <v>383</v>
      </c>
      <c r="DPA31" s="3" t="s">
        <v>382</v>
      </c>
      <c r="DPB31" s="3" t="s">
        <v>383</v>
      </c>
      <c r="DPC31" s="3" t="s">
        <v>382</v>
      </c>
      <c r="DPD31" s="3" t="s">
        <v>383</v>
      </c>
      <c r="DPE31" s="3" t="s">
        <v>382</v>
      </c>
      <c r="DPF31" s="3" t="s">
        <v>383</v>
      </c>
      <c r="DPG31" s="3" t="s">
        <v>382</v>
      </c>
      <c r="DPH31" s="3" t="s">
        <v>383</v>
      </c>
      <c r="DPI31" s="3" t="s">
        <v>382</v>
      </c>
      <c r="DPJ31" s="3" t="s">
        <v>383</v>
      </c>
      <c r="DPK31" s="3" t="s">
        <v>382</v>
      </c>
      <c r="DPL31" s="3" t="s">
        <v>383</v>
      </c>
      <c r="DPM31" s="3" t="s">
        <v>382</v>
      </c>
      <c r="DPN31" s="3" t="s">
        <v>383</v>
      </c>
      <c r="DPO31" s="3" t="s">
        <v>382</v>
      </c>
      <c r="DPP31" s="3" t="s">
        <v>383</v>
      </c>
      <c r="DPQ31" s="3" t="s">
        <v>382</v>
      </c>
      <c r="DPR31" s="3" t="s">
        <v>383</v>
      </c>
      <c r="DPS31" s="3" t="s">
        <v>382</v>
      </c>
      <c r="DPT31" s="3" t="s">
        <v>383</v>
      </c>
      <c r="DPU31" s="3" t="s">
        <v>382</v>
      </c>
      <c r="DPV31" s="3" t="s">
        <v>383</v>
      </c>
      <c r="DPW31" s="3" t="s">
        <v>382</v>
      </c>
      <c r="DPX31" s="3" t="s">
        <v>383</v>
      </c>
      <c r="DPY31" s="3" t="s">
        <v>382</v>
      </c>
      <c r="DPZ31" s="3" t="s">
        <v>383</v>
      </c>
      <c r="DQA31" s="3" t="s">
        <v>382</v>
      </c>
      <c r="DQB31" s="3" t="s">
        <v>383</v>
      </c>
      <c r="DQC31" s="3" t="s">
        <v>382</v>
      </c>
      <c r="DQD31" s="3" t="s">
        <v>383</v>
      </c>
      <c r="DQE31" s="3" t="s">
        <v>382</v>
      </c>
      <c r="DQF31" s="3" t="s">
        <v>383</v>
      </c>
      <c r="DQG31" s="3" t="s">
        <v>382</v>
      </c>
      <c r="DQH31" s="3" t="s">
        <v>383</v>
      </c>
      <c r="DQI31" s="3" t="s">
        <v>382</v>
      </c>
      <c r="DQJ31" s="3" t="s">
        <v>383</v>
      </c>
      <c r="DQK31" s="3" t="s">
        <v>382</v>
      </c>
      <c r="DQL31" s="3" t="s">
        <v>383</v>
      </c>
      <c r="DQM31" s="3" t="s">
        <v>382</v>
      </c>
      <c r="DQN31" s="3" t="s">
        <v>383</v>
      </c>
      <c r="DQO31" s="3" t="s">
        <v>382</v>
      </c>
      <c r="DQP31" s="3" t="s">
        <v>383</v>
      </c>
      <c r="DQQ31" s="3" t="s">
        <v>382</v>
      </c>
      <c r="DQR31" s="3" t="s">
        <v>383</v>
      </c>
      <c r="DQS31" s="3" t="s">
        <v>382</v>
      </c>
      <c r="DQT31" s="3" t="s">
        <v>383</v>
      </c>
      <c r="DQU31" s="3" t="s">
        <v>382</v>
      </c>
      <c r="DQV31" s="3" t="s">
        <v>383</v>
      </c>
      <c r="DQW31" s="3" t="s">
        <v>382</v>
      </c>
      <c r="DQX31" s="3" t="s">
        <v>383</v>
      </c>
      <c r="DQY31" s="3" t="s">
        <v>382</v>
      </c>
      <c r="DQZ31" s="3" t="s">
        <v>383</v>
      </c>
      <c r="DRA31" s="3" t="s">
        <v>382</v>
      </c>
      <c r="DRB31" s="3" t="s">
        <v>383</v>
      </c>
      <c r="DRC31" s="3" t="s">
        <v>382</v>
      </c>
      <c r="DRD31" s="3" t="s">
        <v>383</v>
      </c>
      <c r="DRE31" s="3" t="s">
        <v>382</v>
      </c>
      <c r="DRF31" s="3" t="s">
        <v>383</v>
      </c>
      <c r="DRG31" s="3" t="s">
        <v>382</v>
      </c>
      <c r="DRH31" s="3" t="s">
        <v>383</v>
      </c>
      <c r="DRI31" s="3" t="s">
        <v>382</v>
      </c>
      <c r="DRJ31" s="3" t="s">
        <v>383</v>
      </c>
      <c r="DRK31" s="3" t="s">
        <v>382</v>
      </c>
      <c r="DRL31" s="3" t="s">
        <v>383</v>
      </c>
      <c r="DRM31" s="3" t="s">
        <v>382</v>
      </c>
      <c r="DRN31" s="3" t="s">
        <v>383</v>
      </c>
      <c r="DRO31" s="3" t="s">
        <v>382</v>
      </c>
      <c r="DRP31" s="3" t="s">
        <v>383</v>
      </c>
      <c r="DRQ31" s="3" t="s">
        <v>382</v>
      </c>
      <c r="DRR31" s="3" t="s">
        <v>383</v>
      </c>
      <c r="DRS31" s="3" t="s">
        <v>382</v>
      </c>
      <c r="DRT31" s="3" t="s">
        <v>383</v>
      </c>
      <c r="DRU31" s="3" t="s">
        <v>382</v>
      </c>
      <c r="DRV31" s="3" t="s">
        <v>383</v>
      </c>
      <c r="DRW31" s="3" t="s">
        <v>382</v>
      </c>
      <c r="DRX31" s="3" t="s">
        <v>383</v>
      </c>
      <c r="DRY31" s="3" t="s">
        <v>382</v>
      </c>
      <c r="DRZ31" s="3" t="s">
        <v>383</v>
      </c>
      <c r="DSA31" s="3" t="s">
        <v>382</v>
      </c>
      <c r="DSB31" s="3" t="s">
        <v>383</v>
      </c>
      <c r="DSC31" s="3" t="s">
        <v>382</v>
      </c>
      <c r="DSD31" s="3" t="s">
        <v>383</v>
      </c>
      <c r="DSE31" s="3" t="s">
        <v>382</v>
      </c>
      <c r="DSF31" s="3" t="s">
        <v>383</v>
      </c>
      <c r="DSG31" s="3" t="s">
        <v>382</v>
      </c>
      <c r="DSH31" s="3" t="s">
        <v>383</v>
      </c>
      <c r="DSI31" s="3" t="s">
        <v>382</v>
      </c>
      <c r="DSJ31" s="3" t="s">
        <v>383</v>
      </c>
      <c r="DSK31" s="3" t="s">
        <v>382</v>
      </c>
      <c r="DSL31" s="3" t="s">
        <v>383</v>
      </c>
      <c r="DSM31" s="3" t="s">
        <v>382</v>
      </c>
      <c r="DSN31" s="3" t="s">
        <v>383</v>
      </c>
      <c r="DSO31" s="3" t="s">
        <v>382</v>
      </c>
      <c r="DSP31" s="3" t="s">
        <v>383</v>
      </c>
      <c r="DSQ31" s="3" t="s">
        <v>382</v>
      </c>
      <c r="DSR31" s="3" t="s">
        <v>383</v>
      </c>
      <c r="DSS31" s="3" t="s">
        <v>382</v>
      </c>
      <c r="DST31" s="3" t="s">
        <v>383</v>
      </c>
      <c r="DSU31" s="3" t="s">
        <v>382</v>
      </c>
      <c r="DSV31" s="3" t="s">
        <v>383</v>
      </c>
      <c r="DSW31" s="3" t="s">
        <v>382</v>
      </c>
      <c r="DSX31" s="3" t="s">
        <v>383</v>
      </c>
      <c r="DSY31" s="3" t="s">
        <v>382</v>
      </c>
      <c r="DSZ31" s="3" t="s">
        <v>383</v>
      </c>
      <c r="DTA31" s="3" t="s">
        <v>382</v>
      </c>
      <c r="DTB31" s="3" t="s">
        <v>383</v>
      </c>
      <c r="DTC31" s="3" t="s">
        <v>382</v>
      </c>
      <c r="DTD31" s="3" t="s">
        <v>383</v>
      </c>
      <c r="DTE31" s="3" t="s">
        <v>382</v>
      </c>
      <c r="DTF31" s="3" t="s">
        <v>383</v>
      </c>
      <c r="DTG31" s="3" t="s">
        <v>382</v>
      </c>
      <c r="DTH31" s="3" t="s">
        <v>383</v>
      </c>
      <c r="DTI31" s="3" t="s">
        <v>382</v>
      </c>
      <c r="DTJ31" s="3" t="s">
        <v>383</v>
      </c>
      <c r="DTK31" s="3" t="s">
        <v>382</v>
      </c>
      <c r="DTL31" s="3" t="s">
        <v>383</v>
      </c>
      <c r="DTM31" s="3" t="s">
        <v>382</v>
      </c>
      <c r="DTN31" s="3" t="s">
        <v>383</v>
      </c>
      <c r="DTO31" s="3" t="s">
        <v>382</v>
      </c>
      <c r="DTP31" s="3" t="s">
        <v>383</v>
      </c>
      <c r="DTQ31" s="3" t="s">
        <v>382</v>
      </c>
      <c r="DTR31" s="3" t="s">
        <v>383</v>
      </c>
      <c r="DTS31" s="3" t="s">
        <v>382</v>
      </c>
      <c r="DTT31" s="3" t="s">
        <v>383</v>
      </c>
      <c r="DTU31" s="3" t="s">
        <v>382</v>
      </c>
      <c r="DTV31" s="3" t="s">
        <v>383</v>
      </c>
      <c r="DTW31" s="3" t="s">
        <v>382</v>
      </c>
      <c r="DTX31" s="3" t="s">
        <v>383</v>
      </c>
      <c r="DTY31" s="3" t="s">
        <v>382</v>
      </c>
      <c r="DTZ31" s="3" t="s">
        <v>383</v>
      </c>
      <c r="DUA31" s="3" t="s">
        <v>382</v>
      </c>
      <c r="DUB31" s="3" t="s">
        <v>383</v>
      </c>
      <c r="DUC31" s="3" t="s">
        <v>382</v>
      </c>
      <c r="DUD31" s="3" t="s">
        <v>383</v>
      </c>
      <c r="DUE31" s="3" t="s">
        <v>382</v>
      </c>
      <c r="DUF31" s="3" t="s">
        <v>383</v>
      </c>
      <c r="DUG31" s="3" t="s">
        <v>382</v>
      </c>
      <c r="DUH31" s="3" t="s">
        <v>383</v>
      </c>
      <c r="DUI31" s="3" t="s">
        <v>382</v>
      </c>
      <c r="DUJ31" s="3" t="s">
        <v>383</v>
      </c>
      <c r="DUK31" s="3" t="s">
        <v>382</v>
      </c>
      <c r="DUL31" s="3" t="s">
        <v>383</v>
      </c>
      <c r="DUM31" s="3" t="s">
        <v>382</v>
      </c>
      <c r="DUN31" s="3" t="s">
        <v>383</v>
      </c>
      <c r="DUO31" s="3" t="s">
        <v>382</v>
      </c>
      <c r="DUP31" s="3" t="s">
        <v>383</v>
      </c>
      <c r="DUQ31" s="3" t="s">
        <v>382</v>
      </c>
      <c r="DUR31" s="3" t="s">
        <v>383</v>
      </c>
      <c r="DUS31" s="3" t="s">
        <v>382</v>
      </c>
      <c r="DUT31" s="3" t="s">
        <v>383</v>
      </c>
      <c r="DUU31" s="3" t="s">
        <v>382</v>
      </c>
      <c r="DUV31" s="3" t="s">
        <v>383</v>
      </c>
      <c r="DUW31" s="3" t="s">
        <v>382</v>
      </c>
      <c r="DUX31" s="3" t="s">
        <v>383</v>
      </c>
      <c r="DUY31" s="3" t="s">
        <v>382</v>
      </c>
      <c r="DUZ31" s="3" t="s">
        <v>383</v>
      </c>
      <c r="DVA31" s="3" t="s">
        <v>382</v>
      </c>
      <c r="DVB31" s="3" t="s">
        <v>383</v>
      </c>
      <c r="DVC31" s="3" t="s">
        <v>382</v>
      </c>
      <c r="DVD31" s="3" t="s">
        <v>383</v>
      </c>
      <c r="DVE31" s="3" t="s">
        <v>382</v>
      </c>
      <c r="DVF31" s="3" t="s">
        <v>383</v>
      </c>
      <c r="DVG31" s="3" t="s">
        <v>382</v>
      </c>
      <c r="DVH31" s="3" t="s">
        <v>383</v>
      </c>
      <c r="DVI31" s="3" t="s">
        <v>382</v>
      </c>
      <c r="DVJ31" s="3" t="s">
        <v>383</v>
      </c>
      <c r="DVK31" s="3" t="s">
        <v>382</v>
      </c>
      <c r="DVL31" s="3" t="s">
        <v>383</v>
      </c>
      <c r="DVM31" s="3" t="s">
        <v>382</v>
      </c>
      <c r="DVN31" s="3" t="s">
        <v>383</v>
      </c>
      <c r="DVO31" s="3" t="s">
        <v>382</v>
      </c>
      <c r="DVP31" s="3" t="s">
        <v>383</v>
      </c>
      <c r="DVQ31" s="3" t="s">
        <v>382</v>
      </c>
      <c r="DVR31" s="3" t="s">
        <v>383</v>
      </c>
      <c r="DVS31" s="3" t="s">
        <v>382</v>
      </c>
      <c r="DVT31" s="3" t="s">
        <v>383</v>
      </c>
      <c r="DVU31" s="3" t="s">
        <v>382</v>
      </c>
      <c r="DVV31" s="3" t="s">
        <v>383</v>
      </c>
      <c r="DVW31" s="3" t="s">
        <v>382</v>
      </c>
      <c r="DVX31" s="3" t="s">
        <v>383</v>
      </c>
      <c r="DVY31" s="3" t="s">
        <v>382</v>
      </c>
      <c r="DVZ31" s="3" t="s">
        <v>383</v>
      </c>
      <c r="DWA31" s="3" t="s">
        <v>382</v>
      </c>
      <c r="DWB31" s="3" t="s">
        <v>383</v>
      </c>
      <c r="DWC31" s="3" t="s">
        <v>382</v>
      </c>
      <c r="DWD31" s="3" t="s">
        <v>383</v>
      </c>
      <c r="DWE31" s="3" t="s">
        <v>382</v>
      </c>
      <c r="DWF31" s="3" t="s">
        <v>383</v>
      </c>
      <c r="DWG31" s="3" t="s">
        <v>382</v>
      </c>
      <c r="DWH31" s="3" t="s">
        <v>383</v>
      </c>
      <c r="DWI31" s="3" t="s">
        <v>382</v>
      </c>
      <c r="DWJ31" s="3" t="s">
        <v>383</v>
      </c>
      <c r="DWK31" s="3" t="s">
        <v>382</v>
      </c>
      <c r="DWL31" s="3" t="s">
        <v>383</v>
      </c>
      <c r="DWM31" s="3" t="s">
        <v>382</v>
      </c>
      <c r="DWN31" s="3" t="s">
        <v>383</v>
      </c>
      <c r="DWO31" s="3" t="s">
        <v>382</v>
      </c>
      <c r="DWP31" s="3" t="s">
        <v>383</v>
      </c>
      <c r="DWQ31" s="3" t="s">
        <v>382</v>
      </c>
      <c r="DWR31" s="3" t="s">
        <v>383</v>
      </c>
      <c r="DWS31" s="3" t="s">
        <v>382</v>
      </c>
      <c r="DWT31" s="3" t="s">
        <v>383</v>
      </c>
      <c r="DWU31" s="3" t="s">
        <v>382</v>
      </c>
      <c r="DWV31" s="3" t="s">
        <v>383</v>
      </c>
      <c r="DWW31" s="3" t="s">
        <v>382</v>
      </c>
      <c r="DWX31" s="3" t="s">
        <v>383</v>
      </c>
      <c r="DWY31" s="3" t="s">
        <v>382</v>
      </c>
      <c r="DWZ31" s="3" t="s">
        <v>383</v>
      </c>
      <c r="DXA31" s="3" t="s">
        <v>382</v>
      </c>
      <c r="DXB31" s="3" t="s">
        <v>383</v>
      </c>
      <c r="DXC31" s="3" t="s">
        <v>382</v>
      </c>
      <c r="DXD31" s="3" t="s">
        <v>383</v>
      </c>
      <c r="DXE31" s="3" t="s">
        <v>382</v>
      </c>
      <c r="DXF31" s="3" t="s">
        <v>383</v>
      </c>
      <c r="DXG31" s="3" t="s">
        <v>382</v>
      </c>
      <c r="DXH31" s="3" t="s">
        <v>383</v>
      </c>
      <c r="DXI31" s="3" t="s">
        <v>382</v>
      </c>
      <c r="DXJ31" s="3" t="s">
        <v>383</v>
      </c>
      <c r="DXK31" s="3" t="s">
        <v>382</v>
      </c>
      <c r="DXL31" s="3" t="s">
        <v>383</v>
      </c>
      <c r="DXM31" s="3" t="s">
        <v>382</v>
      </c>
      <c r="DXN31" s="3" t="s">
        <v>383</v>
      </c>
      <c r="DXO31" s="3" t="s">
        <v>382</v>
      </c>
      <c r="DXP31" s="3" t="s">
        <v>383</v>
      </c>
      <c r="DXQ31" s="3" t="s">
        <v>382</v>
      </c>
      <c r="DXR31" s="3" t="s">
        <v>383</v>
      </c>
      <c r="DXS31" s="3" t="s">
        <v>382</v>
      </c>
      <c r="DXT31" s="3" t="s">
        <v>383</v>
      </c>
      <c r="DXU31" s="3" t="s">
        <v>382</v>
      </c>
      <c r="DXV31" s="3" t="s">
        <v>383</v>
      </c>
      <c r="DXW31" s="3" t="s">
        <v>382</v>
      </c>
      <c r="DXX31" s="3" t="s">
        <v>383</v>
      </c>
      <c r="DXY31" s="3" t="s">
        <v>382</v>
      </c>
      <c r="DXZ31" s="3" t="s">
        <v>383</v>
      </c>
      <c r="DYA31" s="3" t="s">
        <v>382</v>
      </c>
      <c r="DYB31" s="3" t="s">
        <v>383</v>
      </c>
      <c r="DYC31" s="3" t="s">
        <v>382</v>
      </c>
      <c r="DYD31" s="3" t="s">
        <v>383</v>
      </c>
      <c r="DYE31" s="3" t="s">
        <v>382</v>
      </c>
      <c r="DYF31" s="3" t="s">
        <v>383</v>
      </c>
      <c r="DYG31" s="3" t="s">
        <v>382</v>
      </c>
      <c r="DYH31" s="3" t="s">
        <v>383</v>
      </c>
      <c r="DYI31" s="3" t="s">
        <v>382</v>
      </c>
      <c r="DYJ31" s="3" t="s">
        <v>383</v>
      </c>
      <c r="DYK31" s="3" t="s">
        <v>382</v>
      </c>
      <c r="DYL31" s="3" t="s">
        <v>383</v>
      </c>
      <c r="DYM31" s="3" t="s">
        <v>382</v>
      </c>
      <c r="DYN31" s="3" t="s">
        <v>383</v>
      </c>
      <c r="DYO31" s="3" t="s">
        <v>382</v>
      </c>
      <c r="DYP31" s="3" t="s">
        <v>383</v>
      </c>
      <c r="DYQ31" s="3" t="s">
        <v>382</v>
      </c>
      <c r="DYR31" s="3" t="s">
        <v>383</v>
      </c>
      <c r="DYS31" s="3" t="s">
        <v>382</v>
      </c>
      <c r="DYT31" s="3" t="s">
        <v>383</v>
      </c>
      <c r="DYU31" s="3" t="s">
        <v>382</v>
      </c>
      <c r="DYV31" s="3" t="s">
        <v>383</v>
      </c>
      <c r="DYW31" s="3" t="s">
        <v>382</v>
      </c>
      <c r="DYX31" s="3" t="s">
        <v>383</v>
      </c>
      <c r="DYY31" s="3" t="s">
        <v>382</v>
      </c>
      <c r="DYZ31" s="3" t="s">
        <v>383</v>
      </c>
      <c r="DZA31" s="3" t="s">
        <v>382</v>
      </c>
      <c r="DZB31" s="3" t="s">
        <v>383</v>
      </c>
      <c r="DZC31" s="3" t="s">
        <v>382</v>
      </c>
      <c r="DZD31" s="3" t="s">
        <v>383</v>
      </c>
      <c r="DZE31" s="3" t="s">
        <v>382</v>
      </c>
      <c r="DZF31" s="3" t="s">
        <v>383</v>
      </c>
      <c r="DZG31" s="3" t="s">
        <v>382</v>
      </c>
      <c r="DZH31" s="3" t="s">
        <v>383</v>
      </c>
      <c r="DZI31" s="3" t="s">
        <v>382</v>
      </c>
      <c r="DZJ31" s="3" t="s">
        <v>383</v>
      </c>
      <c r="DZK31" s="3" t="s">
        <v>382</v>
      </c>
      <c r="DZL31" s="3" t="s">
        <v>383</v>
      </c>
      <c r="DZM31" s="3" t="s">
        <v>382</v>
      </c>
      <c r="DZN31" s="3" t="s">
        <v>383</v>
      </c>
      <c r="DZO31" s="3" t="s">
        <v>382</v>
      </c>
      <c r="DZP31" s="3" t="s">
        <v>383</v>
      </c>
      <c r="DZQ31" s="3" t="s">
        <v>382</v>
      </c>
      <c r="DZR31" s="3" t="s">
        <v>383</v>
      </c>
      <c r="DZS31" s="3" t="s">
        <v>382</v>
      </c>
      <c r="DZT31" s="3" t="s">
        <v>383</v>
      </c>
      <c r="DZU31" s="3" t="s">
        <v>382</v>
      </c>
      <c r="DZV31" s="3" t="s">
        <v>383</v>
      </c>
      <c r="DZW31" s="3" t="s">
        <v>382</v>
      </c>
      <c r="DZX31" s="3" t="s">
        <v>383</v>
      </c>
      <c r="DZY31" s="3" t="s">
        <v>382</v>
      </c>
      <c r="DZZ31" s="3" t="s">
        <v>383</v>
      </c>
      <c r="EAA31" s="3" t="s">
        <v>382</v>
      </c>
      <c r="EAB31" s="3" t="s">
        <v>383</v>
      </c>
      <c r="EAC31" s="3" t="s">
        <v>382</v>
      </c>
      <c r="EAD31" s="3" t="s">
        <v>383</v>
      </c>
      <c r="EAE31" s="3" t="s">
        <v>382</v>
      </c>
      <c r="EAF31" s="3" t="s">
        <v>383</v>
      </c>
      <c r="EAG31" s="3" t="s">
        <v>382</v>
      </c>
      <c r="EAH31" s="3" t="s">
        <v>383</v>
      </c>
      <c r="EAI31" s="3" t="s">
        <v>382</v>
      </c>
      <c r="EAJ31" s="3" t="s">
        <v>383</v>
      </c>
      <c r="EAK31" s="3" t="s">
        <v>382</v>
      </c>
      <c r="EAL31" s="3" t="s">
        <v>383</v>
      </c>
      <c r="EAM31" s="3" t="s">
        <v>382</v>
      </c>
      <c r="EAN31" s="3" t="s">
        <v>383</v>
      </c>
      <c r="EAO31" s="3" t="s">
        <v>382</v>
      </c>
      <c r="EAP31" s="3" t="s">
        <v>383</v>
      </c>
      <c r="EAQ31" s="3" t="s">
        <v>382</v>
      </c>
      <c r="EAR31" s="3" t="s">
        <v>383</v>
      </c>
      <c r="EAS31" s="3" t="s">
        <v>382</v>
      </c>
      <c r="EAT31" s="3" t="s">
        <v>383</v>
      </c>
      <c r="EAU31" s="3" t="s">
        <v>382</v>
      </c>
      <c r="EAV31" s="3" t="s">
        <v>383</v>
      </c>
      <c r="EAW31" s="3" t="s">
        <v>382</v>
      </c>
      <c r="EAX31" s="3" t="s">
        <v>383</v>
      </c>
      <c r="EAY31" s="3" t="s">
        <v>382</v>
      </c>
      <c r="EAZ31" s="3" t="s">
        <v>383</v>
      </c>
      <c r="EBA31" s="3" t="s">
        <v>382</v>
      </c>
      <c r="EBB31" s="3" t="s">
        <v>383</v>
      </c>
      <c r="EBC31" s="3" t="s">
        <v>382</v>
      </c>
      <c r="EBD31" s="3" t="s">
        <v>383</v>
      </c>
      <c r="EBE31" s="3" t="s">
        <v>382</v>
      </c>
      <c r="EBF31" s="3" t="s">
        <v>383</v>
      </c>
      <c r="EBG31" s="3" t="s">
        <v>382</v>
      </c>
      <c r="EBH31" s="3" t="s">
        <v>383</v>
      </c>
      <c r="EBI31" s="3" t="s">
        <v>382</v>
      </c>
      <c r="EBJ31" s="3" t="s">
        <v>383</v>
      </c>
      <c r="EBK31" s="3" t="s">
        <v>382</v>
      </c>
      <c r="EBL31" s="3" t="s">
        <v>383</v>
      </c>
      <c r="EBM31" s="3" t="s">
        <v>382</v>
      </c>
      <c r="EBN31" s="3" t="s">
        <v>383</v>
      </c>
      <c r="EBO31" s="3" t="s">
        <v>382</v>
      </c>
      <c r="EBP31" s="3" t="s">
        <v>383</v>
      </c>
      <c r="EBQ31" s="3" t="s">
        <v>382</v>
      </c>
      <c r="EBR31" s="3" t="s">
        <v>383</v>
      </c>
      <c r="EBS31" s="3" t="s">
        <v>382</v>
      </c>
      <c r="EBT31" s="3" t="s">
        <v>383</v>
      </c>
      <c r="EBU31" s="3" t="s">
        <v>382</v>
      </c>
      <c r="EBV31" s="3" t="s">
        <v>383</v>
      </c>
      <c r="EBW31" s="3" t="s">
        <v>382</v>
      </c>
      <c r="EBX31" s="3" t="s">
        <v>383</v>
      </c>
      <c r="EBY31" s="3" t="s">
        <v>382</v>
      </c>
      <c r="EBZ31" s="3" t="s">
        <v>383</v>
      </c>
      <c r="ECA31" s="3" t="s">
        <v>382</v>
      </c>
      <c r="ECB31" s="3" t="s">
        <v>383</v>
      </c>
      <c r="ECC31" s="3" t="s">
        <v>382</v>
      </c>
      <c r="ECD31" s="3" t="s">
        <v>383</v>
      </c>
      <c r="ECE31" s="3" t="s">
        <v>382</v>
      </c>
      <c r="ECF31" s="3" t="s">
        <v>383</v>
      </c>
      <c r="ECG31" s="3" t="s">
        <v>382</v>
      </c>
      <c r="ECH31" s="3" t="s">
        <v>383</v>
      </c>
      <c r="ECI31" s="3" t="s">
        <v>382</v>
      </c>
      <c r="ECJ31" s="3" t="s">
        <v>383</v>
      </c>
      <c r="ECK31" s="3" t="s">
        <v>382</v>
      </c>
      <c r="ECL31" s="3" t="s">
        <v>383</v>
      </c>
      <c r="ECM31" s="3" t="s">
        <v>382</v>
      </c>
      <c r="ECN31" s="3" t="s">
        <v>383</v>
      </c>
      <c r="ECO31" s="3" t="s">
        <v>382</v>
      </c>
      <c r="ECP31" s="3" t="s">
        <v>383</v>
      </c>
      <c r="ECQ31" s="3" t="s">
        <v>382</v>
      </c>
      <c r="ECR31" s="3" t="s">
        <v>383</v>
      </c>
      <c r="ECS31" s="3" t="s">
        <v>382</v>
      </c>
      <c r="ECT31" s="3" t="s">
        <v>383</v>
      </c>
      <c r="ECU31" s="3" t="s">
        <v>382</v>
      </c>
      <c r="ECV31" s="3" t="s">
        <v>383</v>
      </c>
      <c r="ECW31" s="3" t="s">
        <v>382</v>
      </c>
      <c r="ECX31" s="3" t="s">
        <v>383</v>
      </c>
      <c r="ECY31" s="3" t="s">
        <v>382</v>
      </c>
      <c r="ECZ31" s="3" t="s">
        <v>383</v>
      </c>
      <c r="EDA31" s="3" t="s">
        <v>382</v>
      </c>
      <c r="EDB31" s="3" t="s">
        <v>383</v>
      </c>
      <c r="EDC31" s="3" t="s">
        <v>382</v>
      </c>
      <c r="EDD31" s="3" t="s">
        <v>383</v>
      </c>
      <c r="EDE31" s="3" t="s">
        <v>382</v>
      </c>
      <c r="EDF31" s="3" t="s">
        <v>383</v>
      </c>
      <c r="EDG31" s="3" t="s">
        <v>382</v>
      </c>
      <c r="EDH31" s="3" t="s">
        <v>383</v>
      </c>
      <c r="EDI31" s="3" t="s">
        <v>382</v>
      </c>
      <c r="EDJ31" s="3" t="s">
        <v>383</v>
      </c>
      <c r="EDK31" s="3" t="s">
        <v>382</v>
      </c>
      <c r="EDL31" s="3" t="s">
        <v>383</v>
      </c>
      <c r="EDM31" s="3" t="s">
        <v>382</v>
      </c>
      <c r="EDN31" s="3" t="s">
        <v>383</v>
      </c>
      <c r="EDO31" s="3" t="s">
        <v>382</v>
      </c>
      <c r="EDP31" s="3" t="s">
        <v>383</v>
      </c>
      <c r="EDQ31" s="3" t="s">
        <v>382</v>
      </c>
      <c r="EDR31" s="3" t="s">
        <v>383</v>
      </c>
      <c r="EDS31" s="3" t="s">
        <v>382</v>
      </c>
      <c r="EDT31" s="3" t="s">
        <v>383</v>
      </c>
      <c r="EDU31" s="3" t="s">
        <v>382</v>
      </c>
      <c r="EDV31" s="3" t="s">
        <v>383</v>
      </c>
      <c r="EDW31" s="3" t="s">
        <v>382</v>
      </c>
      <c r="EDX31" s="3" t="s">
        <v>383</v>
      </c>
      <c r="EDY31" s="3" t="s">
        <v>382</v>
      </c>
      <c r="EDZ31" s="3" t="s">
        <v>383</v>
      </c>
      <c r="EEA31" s="3" t="s">
        <v>382</v>
      </c>
      <c r="EEB31" s="3" t="s">
        <v>383</v>
      </c>
      <c r="EEC31" s="3" t="s">
        <v>382</v>
      </c>
      <c r="EED31" s="3" t="s">
        <v>383</v>
      </c>
      <c r="EEE31" s="3" t="s">
        <v>382</v>
      </c>
      <c r="EEF31" s="3" t="s">
        <v>383</v>
      </c>
      <c r="EEG31" s="3" t="s">
        <v>382</v>
      </c>
      <c r="EEH31" s="3" t="s">
        <v>383</v>
      </c>
      <c r="EEI31" s="3" t="s">
        <v>382</v>
      </c>
      <c r="EEJ31" s="3" t="s">
        <v>383</v>
      </c>
      <c r="EEK31" s="3" t="s">
        <v>382</v>
      </c>
      <c r="EEL31" s="3" t="s">
        <v>383</v>
      </c>
      <c r="EEM31" s="3" t="s">
        <v>382</v>
      </c>
      <c r="EEN31" s="3" t="s">
        <v>383</v>
      </c>
      <c r="EEO31" s="3" t="s">
        <v>382</v>
      </c>
      <c r="EEP31" s="3" t="s">
        <v>383</v>
      </c>
      <c r="EEQ31" s="3" t="s">
        <v>382</v>
      </c>
      <c r="EER31" s="3" t="s">
        <v>383</v>
      </c>
      <c r="EES31" s="3" t="s">
        <v>382</v>
      </c>
      <c r="EET31" s="3" t="s">
        <v>383</v>
      </c>
      <c r="EEU31" s="3" t="s">
        <v>382</v>
      </c>
      <c r="EEV31" s="3" t="s">
        <v>383</v>
      </c>
      <c r="EEW31" s="3" t="s">
        <v>382</v>
      </c>
      <c r="EEX31" s="3" t="s">
        <v>383</v>
      </c>
      <c r="EEY31" s="3" t="s">
        <v>382</v>
      </c>
      <c r="EEZ31" s="3" t="s">
        <v>383</v>
      </c>
      <c r="EFA31" s="3" t="s">
        <v>382</v>
      </c>
      <c r="EFB31" s="3" t="s">
        <v>383</v>
      </c>
      <c r="EFC31" s="3" t="s">
        <v>382</v>
      </c>
      <c r="EFD31" s="3" t="s">
        <v>383</v>
      </c>
      <c r="EFE31" s="3" t="s">
        <v>382</v>
      </c>
      <c r="EFF31" s="3" t="s">
        <v>383</v>
      </c>
      <c r="EFG31" s="3" t="s">
        <v>382</v>
      </c>
      <c r="EFH31" s="3" t="s">
        <v>383</v>
      </c>
      <c r="EFI31" s="3" t="s">
        <v>382</v>
      </c>
      <c r="EFJ31" s="3" t="s">
        <v>383</v>
      </c>
      <c r="EFK31" s="3" t="s">
        <v>382</v>
      </c>
      <c r="EFL31" s="3" t="s">
        <v>383</v>
      </c>
      <c r="EFM31" s="3" t="s">
        <v>382</v>
      </c>
      <c r="EFN31" s="3" t="s">
        <v>383</v>
      </c>
      <c r="EFO31" s="3" t="s">
        <v>382</v>
      </c>
      <c r="EFP31" s="3" t="s">
        <v>383</v>
      </c>
      <c r="EFQ31" s="3" t="s">
        <v>382</v>
      </c>
      <c r="EFR31" s="3" t="s">
        <v>383</v>
      </c>
      <c r="EFS31" s="3" t="s">
        <v>382</v>
      </c>
      <c r="EFT31" s="3" t="s">
        <v>383</v>
      </c>
      <c r="EFU31" s="3" t="s">
        <v>382</v>
      </c>
      <c r="EFV31" s="3" t="s">
        <v>383</v>
      </c>
      <c r="EFW31" s="3" t="s">
        <v>382</v>
      </c>
      <c r="EFX31" s="3" t="s">
        <v>383</v>
      </c>
      <c r="EFY31" s="3" t="s">
        <v>382</v>
      </c>
      <c r="EFZ31" s="3" t="s">
        <v>383</v>
      </c>
      <c r="EGA31" s="3" t="s">
        <v>382</v>
      </c>
      <c r="EGB31" s="3" t="s">
        <v>383</v>
      </c>
      <c r="EGC31" s="3" t="s">
        <v>382</v>
      </c>
      <c r="EGD31" s="3" t="s">
        <v>383</v>
      </c>
      <c r="EGE31" s="3" t="s">
        <v>382</v>
      </c>
      <c r="EGF31" s="3" t="s">
        <v>383</v>
      </c>
      <c r="EGG31" s="3" t="s">
        <v>382</v>
      </c>
      <c r="EGH31" s="3" t="s">
        <v>383</v>
      </c>
      <c r="EGI31" s="3" t="s">
        <v>382</v>
      </c>
      <c r="EGJ31" s="3" t="s">
        <v>383</v>
      </c>
      <c r="EGK31" s="3" t="s">
        <v>382</v>
      </c>
      <c r="EGL31" s="3" t="s">
        <v>383</v>
      </c>
      <c r="EGM31" s="3" t="s">
        <v>382</v>
      </c>
      <c r="EGN31" s="3" t="s">
        <v>383</v>
      </c>
      <c r="EGO31" s="3" t="s">
        <v>382</v>
      </c>
      <c r="EGP31" s="3" t="s">
        <v>383</v>
      </c>
      <c r="EGQ31" s="3" t="s">
        <v>382</v>
      </c>
      <c r="EGR31" s="3" t="s">
        <v>383</v>
      </c>
      <c r="EGS31" s="3" t="s">
        <v>382</v>
      </c>
      <c r="EGT31" s="3" t="s">
        <v>383</v>
      </c>
      <c r="EGU31" s="3" t="s">
        <v>382</v>
      </c>
      <c r="EGV31" s="3" t="s">
        <v>383</v>
      </c>
      <c r="EGW31" s="3" t="s">
        <v>382</v>
      </c>
      <c r="EGX31" s="3" t="s">
        <v>383</v>
      </c>
      <c r="EGY31" s="3" t="s">
        <v>382</v>
      </c>
      <c r="EGZ31" s="3" t="s">
        <v>383</v>
      </c>
      <c r="EHA31" s="3" t="s">
        <v>382</v>
      </c>
      <c r="EHB31" s="3" t="s">
        <v>383</v>
      </c>
      <c r="EHC31" s="3" t="s">
        <v>382</v>
      </c>
      <c r="EHD31" s="3" t="s">
        <v>383</v>
      </c>
      <c r="EHE31" s="3" t="s">
        <v>382</v>
      </c>
      <c r="EHF31" s="3" t="s">
        <v>383</v>
      </c>
      <c r="EHG31" s="3" t="s">
        <v>382</v>
      </c>
      <c r="EHH31" s="3" t="s">
        <v>383</v>
      </c>
      <c r="EHI31" s="3" t="s">
        <v>382</v>
      </c>
      <c r="EHJ31" s="3" t="s">
        <v>383</v>
      </c>
      <c r="EHK31" s="3" t="s">
        <v>382</v>
      </c>
      <c r="EHL31" s="3" t="s">
        <v>383</v>
      </c>
      <c r="EHM31" s="3" t="s">
        <v>382</v>
      </c>
      <c r="EHN31" s="3" t="s">
        <v>383</v>
      </c>
      <c r="EHO31" s="3" t="s">
        <v>382</v>
      </c>
      <c r="EHP31" s="3" t="s">
        <v>383</v>
      </c>
      <c r="EHQ31" s="3" t="s">
        <v>382</v>
      </c>
      <c r="EHR31" s="3" t="s">
        <v>383</v>
      </c>
      <c r="EHS31" s="3" t="s">
        <v>382</v>
      </c>
      <c r="EHT31" s="3" t="s">
        <v>383</v>
      </c>
      <c r="EHU31" s="3" t="s">
        <v>382</v>
      </c>
      <c r="EHV31" s="3" t="s">
        <v>383</v>
      </c>
      <c r="EHW31" s="3" t="s">
        <v>382</v>
      </c>
      <c r="EHX31" s="3" t="s">
        <v>383</v>
      </c>
      <c r="EHY31" s="3" t="s">
        <v>382</v>
      </c>
      <c r="EHZ31" s="3" t="s">
        <v>383</v>
      </c>
      <c r="EIA31" s="3" t="s">
        <v>382</v>
      </c>
      <c r="EIB31" s="3" t="s">
        <v>383</v>
      </c>
      <c r="EIC31" s="3" t="s">
        <v>382</v>
      </c>
      <c r="EID31" s="3" t="s">
        <v>383</v>
      </c>
      <c r="EIE31" s="3" t="s">
        <v>382</v>
      </c>
      <c r="EIF31" s="3" t="s">
        <v>383</v>
      </c>
      <c r="EIG31" s="3" t="s">
        <v>382</v>
      </c>
      <c r="EIH31" s="3" t="s">
        <v>383</v>
      </c>
      <c r="EII31" s="3" t="s">
        <v>382</v>
      </c>
      <c r="EIJ31" s="3" t="s">
        <v>383</v>
      </c>
      <c r="EIK31" s="3" t="s">
        <v>382</v>
      </c>
      <c r="EIL31" s="3" t="s">
        <v>383</v>
      </c>
      <c r="EIM31" s="3" t="s">
        <v>382</v>
      </c>
      <c r="EIN31" s="3" t="s">
        <v>383</v>
      </c>
      <c r="EIO31" s="3" t="s">
        <v>382</v>
      </c>
      <c r="EIP31" s="3" t="s">
        <v>383</v>
      </c>
      <c r="EIQ31" s="3" t="s">
        <v>382</v>
      </c>
      <c r="EIR31" s="3" t="s">
        <v>383</v>
      </c>
      <c r="EIS31" s="3" t="s">
        <v>382</v>
      </c>
      <c r="EIT31" s="3" t="s">
        <v>383</v>
      </c>
      <c r="EIU31" s="3" t="s">
        <v>382</v>
      </c>
      <c r="EIV31" s="3" t="s">
        <v>383</v>
      </c>
      <c r="EIW31" s="3" t="s">
        <v>382</v>
      </c>
      <c r="EIX31" s="3" t="s">
        <v>383</v>
      </c>
      <c r="EIY31" s="3" t="s">
        <v>382</v>
      </c>
      <c r="EIZ31" s="3" t="s">
        <v>383</v>
      </c>
      <c r="EJA31" s="3" t="s">
        <v>382</v>
      </c>
      <c r="EJB31" s="3" t="s">
        <v>383</v>
      </c>
      <c r="EJC31" s="3" t="s">
        <v>382</v>
      </c>
      <c r="EJD31" s="3" t="s">
        <v>383</v>
      </c>
      <c r="EJE31" s="3" t="s">
        <v>382</v>
      </c>
      <c r="EJF31" s="3" t="s">
        <v>383</v>
      </c>
      <c r="EJG31" s="3" t="s">
        <v>382</v>
      </c>
      <c r="EJH31" s="3" t="s">
        <v>383</v>
      </c>
      <c r="EJI31" s="3" t="s">
        <v>382</v>
      </c>
      <c r="EJJ31" s="3" t="s">
        <v>383</v>
      </c>
      <c r="EJK31" s="3" t="s">
        <v>382</v>
      </c>
      <c r="EJL31" s="3" t="s">
        <v>383</v>
      </c>
      <c r="EJM31" s="3" t="s">
        <v>382</v>
      </c>
      <c r="EJN31" s="3" t="s">
        <v>383</v>
      </c>
      <c r="EJO31" s="3" t="s">
        <v>382</v>
      </c>
      <c r="EJP31" s="3" t="s">
        <v>383</v>
      </c>
      <c r="EJQ31" s="3" t="s">
        <v>382</v>
      </c>
      <c r="EJR31" s="3" t="s">
        <v>383</v>
      </c>
      <c r="EJS31" s="3" t="s">
        <v>382</v>
      </c>
      <c r="EJT31" s="3" t="s">
        <v>383</v>
      </c>
      <c r="EJU31" s="3" t="s">
        <v>382</v>
      </c>
      <c r="EJV31" s="3" t="s">
        <v>383</v>
      </c>
      <c r="EJW31" s="3" t="s">
        <v>382</v>
      </c>
      <c r="EJX31" s="3" t="s">
        <v>383</v>
      </c>
      <c r="EJY31" s="3" t="s">
        <v>382</v>
      </c>
      <c r="EJZ31" s="3" t="s">
        <v>383</v>
      </c>
      <c r="EKA31" s="3" t="s">
        <v>382</v>
      </c>
      <c r="EKB31" s="3" t="s">
        <v>383</v>
      </c>
      <c r="EKC31" s="3" t="s">
        <v>382</v>
      </c>
      <c r="EKD31" s="3" t="s">
        <v>383</v>
      </c>
      <c r="EKE31" s="3" t="s">
        <v>382</v>
      </c>
      <c r="EKF31" s="3" t="s">
        <v>383</v>
      </c>
      <c r="EKG31" s="3" t="s">
        <v>382</v>
      </c>
      <c r="EKH31" s="3" t="s">
        <v>383</v>
      </c>
      <c r="EKI31" s="3" t="s">
        <v>382</v>
      </c>
      <c r="EKJ31" s="3" t="s">
        <v>383</v>
      </c>
      <c r="EKK31" s="3" t="s">
        <v>382</v>
      </c>
      <c r="EKL31" s="3" t="s">
        <v>383</v>
      </c>
      <c r="EKM31" s="3" t="s">
        <v>382</v>
      </c>
      <c r="EKN31" s="3" t="s">
        <v>383</v>
      </c>
      <c r="EKO31" s="3" t="s">
        <v>382</v>
      </c>
      <c r="EKP31" s="3" t="s">
        <v>383</v>
      </c>
      <c r="EKQ31" s="3" t="s">
        <v>382</v>
      </c>
      <c r="EKR31" s="3" t="s">
        <v>383</v>
      </c>
      <c r="EKS31" s="3" t="s">
        <v>382</v>
      </c>
      <c r="EKT31" s="3" t="s">
        <v>383</v>
      </c>
      <c r="EKU31" s="3" t="s">
        <v>382</v>
      </c>
      <c r="EKV31" s="3" t="s">
        <v>383</v>
      </c>
      <c r="EKW31" s="3" t="s">
        <v>382</v>
      </c>
      <c r="EKX31" s="3" t="s">
        <v>383</v>
      </c>
      <c r="EKY31" s="3" t="s">
        <v>382</v>
      </c>
      <c r="EKZ31" s="3" t="s">
        <v>383</v>
      </c>
      <c r="ELA31" s="3" t="s">
        <v>382</v>
      </c>
      <c r="ELB31" s="3" t="s">
        <v>383</v>
      </c>
      <c r="ELC31" s="3" t="s">
        <v>382</v>
      </c>
      <c r="ELD31" s="3" t="s">
        <v>383</v>
      </c>
      <c r="ELE31" s="3" t="s">
        <v>382</v>
      </c>
      <c r="ELF31" s="3" t="s">
        <v>383</v>
      </c>
      <c r="ELG31" s="3" t="s">
        <v>382</v>
      </c>
      <c r="ELH31" s="3" t="s">
        <v>383</v>
      </c>
      <c r="ELI31" s="3" t="s">
        <v>382</v>
      </c>
      <c r="ELJ31" s="3" t="s">
        <v>383</v>
      </c>
      <c r="ELK31" s="3" t="s">
        <v>382</v>
      </c>
      <c r="ELL31" s="3" t="s">
        <v>383</v>
      </c>
      <c r="ELM31" s="3" t="s">
        <v>382</v>
      </c>
      <c r="ELN31" s="3" t="s">
        <v>383</v>
      </c>
      <c r="ELO31" s="3" t="s">
        <v>382</v>
      </c>
      <c r="ELP31" s="3" t="s">
        <v>383</v>
      </c>
      <c r="ELQ31" s="3" t="s">
        <v>382</v>
      </c>
      <c r="ELR31" s="3" t="s">
        <v>383</v>
      </c>
      <c r="ELS31" s="3" t="s">
        <v>382</v>
      </c>
      <c r="ELT31" s="3" t="s">
        <v>383</v>
      </c>
      <c r="ELU31" s="3" t="s">
        <v>382</v>
      </c>
      <c r="ELV31" s="3" t="s">
        <v>383</v>
      </c>
      <c r="ELW31" s="3" t="s">
        <v>382</v>
      </c>
      <c r="ELX31" s="3" t="s">
        <v>383</v>
      </c>
      <c r="ELY31" s="3" t="s">
        <v>382</v>
      </c>
      <c r="ELZ31" s="3" t="s">
        <v>383</v>
      </c>
      <c r="EMA31" s="3" t="s">
        <v>382</v>
      </c>
      <c r="EMB31" s="3" t="s">
        <v>383</v>
      </c>
      <c r="EMC31" s="3" t="s">
        <v>382</v>
      </c>
      <c r="EMD31" s="3" t="s">
        <v>383</v>
      </c>
      <c r="EME31" s="3" t="s">
        <v>382</v>
      </c>
      <c r="EMF31" s="3" t="s">
        <v>383</v>
      </c>
      <c r="EMG31" s="3" t="s">
        <v>382</v>
      </c>
      <c r="EMH31" s="3" t="s">
        <v>383</v>
      </c>
      <c r="EMI31" s="3" t="s">
        <v>382</v>
      </c>
      <c r="EMJ31" s="3" t="s">
        <v>383</v>
      </c>
      <c r="EMK31" s="3" t="s">
        <v>382</v>
      </c>
      <c r="EML31" s="3" t="s">
        <v>383</v>
      </c>
      <c r="EMM31" s="3" t="s">
        <v>382</v>
      </c>
      <c r="EMN31" s="3" t="s">
        <v>383</v>
      </c>
      <c r="EMO31" s="3" t="s">
        <v>382</v>
      </c>
      <c r="EMP31" s="3" t="s">
        <v>383</v>
      </c>
      <c r="EMQ31" s="3" t="s">
        <v>382</v>
      </c>
      <c r="EMR31" s="3" t="s">
        <v>383</v>
      </c>
      <c r="EMS31" s="3" t="s">
        <v>382</v>
      </c>
      <c r="EMT31" s="3" t="s">
        <v>383</v>
      </c>
      <c r="EMU31" s="3" t="s">
        <v>382</v>
      </c>
      <c r="EMV31" s="3" t="s">
        <v>383</v>
      </c>
      <c r="EMW31" s="3" t="s">
        <v>382</v>
      </c>
      <c r="EMX31" s="3" t="s">
        <v>383</v>
      </c>
      <c r="EMY31" s="3" t="s">
        <v>382</v>
      </c>
      <c r="EMZ31" s="3" t="s">
        <v>383</v>
      </c>
      <c r="ENA31" s="3" t="s">
        <v>382</v>
      </c>
      <c r="ENB31" s="3" t="s">
        <v>383</v>
      </c>
      <c r="ENC31" s="3" t="s">
        <v>382</v>
      </c>
      <c r="END31" s="3" t="s">
        <v>383</v>
      </c>
      <c r="ENE31" s="3" t="s">
        <v>382</v>
      </c>
      <c r="ENF31" s="3" t="s">
        <v>383</v>
      </c>
      <c r="ENG31" s="3" t="s">
        <v>382</v>
      </c>
      <c r="ENH31" s="3" t="s">
        <v>383</v>
      </c>
      <c r="ENI31" s="3" t="s">
        <v>382</v>
      </c>
      <c r="ENJ31" s="3" t="s">
        <v>383</v>
      </c>
      <c r="ENK31" s="3" t="s">
        <v>382</v>
      </c>
      <c r="ENL31" s="3" t="s">
        <v>383</v>
      </c>
      <c r="ENM31" s="3" t="s">
        <v>382</v>
      </c>
      <c r="ENN31" s="3" t="s">
        <v>383</v>
      </c>
      <c r="ENO31" s="3" t="s">
        <v>382</v>
      </c>
      <c r="ENP31" s="3" t="s">
        <v>383</v>
      </c>
      <c r="ENQ31" s="3" t="s">
        <v>382</v>
      </c>
      <c r="ENR31" s="3" t="s">
        <v>383</v>
      </c>
      <c r="ENS31" s="3" t="s">
        <v>382</v>
      </c>
      <c r="ENT31" s="3" t="s">
        <v>383</v>
      </c>
      <c r="ENU31" s="3" t="s">
        <v>382</v>
      </c>
      <c r="ENV31" s="3" t="s">
        <v>383</v>
      </c>
      <c r="ENW31" s="3" t="s">
        <v>382</v>
      </c>
      <c r="ENX31" s="3" t="s">
        <v>383</v>
      </c>
      <c r="ENY31" s="3" t="s">
        <v>382</v>
      </c>
      <c r="ENZ31" s="3" t="s">
        <v>383</v>
      </c>
      <c r="EOA31" s="3" t="s">
        <v>382</v>
      </c>
      <c r="EOB31" s="3" t="s">
        <v>383</v>
      </c>
      <c r="EOC31" s="3" t="s">
        <v>382</v>
      </c>
      <c r="EOD31" s="3" t="s">
        <v>383</v>
      </c>
      <c r="EOE31" s="3" t="s">
        <v>382</v>
      </c>
      <c r="EOF31" s="3" t="s">
        <v>383</v>
      </c>
      <c r="EOG31" s="3" t="s">
        <v>382</v>
      </c>
      <c r="EOH31" s="3" t="s">
        <v>383</v>
      </c>
      <c r="EOI31" s="3" t="s">
        <v>382</v>
      </c>
      <c r="EOJ31" s="3" t="s">
        <v>383</v>
      </c>
      <c r="EOK31" s="3" t="s">
        <v>382</v>
      </c>
      <c r="EOL31" s="3" t="s">
        <v>383</v>
      </c>
      <c r="EOM31" s="3" t="s">
        <v>382</v>
      </c>
      <c r="EON31" s="3" t="s">
        <v>383</v>
      </c>
      <c r="EOO31" s="3" t="s">
        <v>382</v>
      </c>
      <c r="EOP31" s="3" t="s">
        <v>383</v>
      </c>
      <c r="EOQ31" s="3" t="s">
        <v>382</v>
      </c>
      <c r="EOR31" s="3" t="s">
        <v>383</v>
      </c>
      <c r="EOS31" s="3" t="s">
        <v>382</v>
      </c>
      <c r="EOT31" s="3" t="s">
        <v>383</v>
      </c>
      <c r="EOU31" s="3" t="s">
        <v>382</v>
      </c>
      <c r="EOV31" s="3" t="s">
        <v>383</v>
      </c>
      <c r="EOW31" s="3" t="s">
        <v>382</v>
      </c>
      <c r="EOX31" s="3" t="s">
        <v>383</v>
      </c>
      <c r="EOY31" s="3" t="s">
        <v>382</v>
      </c>
      <c r="EOZ31" s="3" t="s">
        <v>383</v>
      </c>
      <c r="EPA31" s="3" t="s">
        <v>382</v>
      </c>
      <c r="EPB31" s="3" t="s">
        <v>383</v>
      </c>
      <c r="EPC31" s="3" t="s">
        <v>382</v>
      </c>
      <c r="EPD31" s="3" t="s">
        <v>383</v>
      </c>
      <c r="EPE31" s="3" t="s">
        <v>382</v>
      </c>
      <c r="EPF31" s="3" t="s">
        <v>383</v>
      </c>
      <c r="EPG31" s="3" t="s">
        <v>382</v>
      </c>
      <c r="EPH31" s="3" t="s">
        <v>383</v>
      </c>
      <c r="EPI31" s="3" t="s">
        <v>382</v>
      </c>
      <c r="EPJ31" s="3" t="s">
        <v>383</v>
      </c>
      <c r="EPK31" s="3" t="s">
        <v>382</v>
      </c>
      <c r="EPL31" s="3" t="s">
        <v>383</v>
      </c>
      <c r="EPM31" s="3" t="s">
        <v>382</v>
      </c>
      <c r="EPN31" s="3" t="s">
        <v>383</v>
      </c>
      <c r="EPO31" s="3" t="s">
        <v>382</v>
      </c>
      <c r="EPP31" s="3" t="s">
        <v>383</v>
      </c>
      <c r="EPQ31" s="3" t="s">
        <v>382</v>
      </c>
      <c r="EPR31" s="3" t="s">
        <v>383</v>
      </c>
      <c r="EPS31" s="3" t="s">
        <v>382</v>
      </c>
      <c r="EPT31" s="3" t="s">
        <v>383</v>
      </c>
      <c r="EPU31" s="3" t="s">
        <v>382</v>
      </c>
      <c r="EPV31" s="3" t="s">
        <v>383</v>
      </c>
      <c r="EPW31" s="3" t="s">
        <v>382</v>
      </c>
      <c r="EPX31" s="3" t="s">
        <v>383</v>
      </c>
      <c r="EPY31" s="3" t="s">
        <v>382</v>
      </c>
      <c r="EPZ31" s="3" t="s">
        <v>383</v>
      </c>
      <c r="EQA31" s="3" t="s">
        <v>382</v>
      </c>
      <c r="EQB31" s="3" t="s">
        <v>383</v>
      </c>
      <c r="EQC31" s="3" t="s">
        <v>382</v>
      </c>
      <c r="EQD31" s="3" t="s">
        <v>383</v>
      </c>
      <c r="EQE31" s="3" t="s">
        <v>382</v>
      </c>
      <c r="EQF31" s="3" t="s">
        <v>383</v>
      </c>
      <c r="EQG31" s="3" t="s">
        <v>382</v>
      </c>
      <c r="EQH31" s="3" t="s">
        <v>383</v>
      </c>
      <c r="EQI31" s="3" t="s">
        <v>382</v>
      </c>
      <c r="EQJ31" s="3" t="s">
        <v>383</v>
      </c>
      <c r="EQK31" s="3" t="s">
        <v>382</v>
      </c>
      <c r="EQL31" s="3" t="s">
        <v>383</v>
      </c>
      <c r="EQM31" s="3" t="s">
        <v>382</v>
      </c>
      <c r="EQN31" s="3" t="s">
        <v>383</v>
      </c>
      <c r="EQO31" s="3" t="s">
        <v>382</v>
      </c>
      <c r="EQP31" s="3" t="s">
        <v>383</v>
      </c>
      <c r="EQQ31" s="3" t="s">
        <v>382</v>
      </c>
      <c r="EQR31" s="3" t="s">
        <v>383</v>
      </c>
      <c r="EQS31" s="3" t="s">
        <v>382</v>
      </c>
      <c r="EQT31" s="3" t="s">
        <v>383</v>
      </c>
      <c r="EQU31" s="3" t="s">
        <v>382</v>
      </c>
      <c r="EQV31" s="3" t="s">
        <v>383</v>
      </c>
      <c r="EQW31" s="3" t="s">
        <v>382</v>
      </c>
      <c r="EQX31" s="3" t="s">
        <v>383</v>
      </c>
      <c r="EQY31" s="3" t="s">
        <v>382</v>
      </c>
      <c r="EQZ31" s="3" t="s">
        <v>383</v>
      </c>
      <c r="ERA31" s="3" t="s">
        <v>382</v>
      </c>
      <c r="ERB31" s="3" t="s">
        <v>383</v>
      </c>
      <c r="ERC31" s="3" t="s">
        <v>382</v>
      </c>
      <c r="ERD31" s="3" t="s">
        <v>383</v>
      </c>
      <c r="ERE31" s="3" t="s">
        <v>382</v>
      </c>
      <c r="ERF31" s="3" t="s">
        <v>383</v>
      </c>
      <c r="ERG31" s="3" t="s">
        <v>382</v>
      </c>
      <c r="ERH31" s="3" t="s">
        <v>383</v>
      </c>
      <c r="ERI31" s="3" t="s">
        <v>382</v>
      </c>
      <c r="ERJ31" s="3" t="s">
        <v>383</v>
      </c>
      <c r="ERK31" s="3" t="s">
        <v>382</v>
      </c>
      <c r="ERL31" s="3" t="s">
        <v>383</v>
      </c>
      <c r="ERM31" s="3" t="s">
        <v>382</v>
      </c>
      <c r="ERN31" s="3" t="s">
        <v>383</v>
      </c>
      <c r="ERO31" s="3" t="s">
        <v>382</v>
      </c>
      <c r="ERP31" s="3" t="s">
        <v>383</v>
      </c>
      <c r="ERQ31" s="3" t="s">
        <v>382</v>
      </c>
      <c r="ERR31" s="3" t="s">
        <v>383</v>
      </c>
      <c r="ERS31" s="3" t="s">
        <v>382</v>
      </c>
      <c r="ERT31" s="3" t="s">
        <v>383</v>
      </c>
      <c r="ERU31" s="3" t="s">
        <v>382</v>
      </c>
      <c r="ERV31" s="3" t="s">
        <v>383</v>
      </c>
      <c r="ERW31" s="3" t="s">
        <v>382</v>
      </c>
      <c r="ERX31" s="3" t="s">
        <v>383</v>
      </c>
      <c r="ERY31" s="3" t="s">
        <v>382</v>
      </c>
      <c r="ERZ31" s="3" t="s">
        <v>383</v>
      </c>
      <c r="ESA31" s="3" t="s">
        <v>382</v>
      </c>
      <c r="ESB31" s="3" t="s">
        <v>383</v>
      </c>
      <c r="ESC31" s="3" t="s">
        <v>382</v>
      </c>
      <c r="ESD31" s="3" t="s">
        <v>383</v>
      </c>
      <c r="ESE31" s="3" t="s">
        <v>382</v>
      </c>
      <c r="ESF31" s="3" t="s">
        <v>383</v>
      </c>
      <c r="ESG31" s="3" t="s">
        <v>382</v>
      </c>
      <c r="ESH31" s="3" t="s">
        <v>383</v>
      </c>
      <c r="ESI31" s="3" t="s">
        <v>382</v>
      </c>
      <c r="ESJ31" s="3" t="s">
        <v>383</v>
      </c>
      <c r="ESK31" s="3" t="s">
        <v>382</v>
      </c>
      <c r="ESL31" s="3" t="s">
        <v>383</v>
      </c>
      <c r="ESM31" s="3" t="s">
        <v>382</v>
      </c>
      <c r="ESN31" s="3" t="s">
        <v>383</v>
      </c>
      <c r="ESO31" s="3" t="s">
        <v>382</v>
      </c>
      <c r="ESP31" s="3" t="s">
        <v>383</v>
      </c>
      <c r="ESQ31" s="3" t="s">
        <v>382</v>
      </c>
      <c r="ESR31" s="3" t="s">
        <v>383</v>
      </c>
      <c r="ESS31" s="3" t="s">
        <v>382</v>
      </c>
      <c r="EST31" s="3" t="s">
        <v>383</v>
      </c>
      <c r="ESU31" s="3" t="s">
        <v>382</v>
      </c>
      <c r="ESV31" s="3" t="s">
        <v>383</v>
      </c>
      <c r="ESW31" s="3" t="s">
        <v>382</v>
      </c>
      <c r="ESX31" s="3" t="s">
        <v>383</v>
      </c>
      <c r="ESY31" s="3" t="s">
        <v>382</v>
      </c>
      <c r="ESZ31" s="3" t="s">
        <v>383</v>
      </c>
      <c r="ETA31" s="3" t="s">
        <v>382</v>
      </c>
      <c r="ETB31" s="3" t="s">
        <v>383</v>
      </c>
      <c r="ETC31" s="3" t="s">
        <v>382</v>
      </c>
      <c r="ETD31" s="3" t="s">
        <v>383</v>
      </c>
      <c r="ETE31" s="3" t="s">
        <v>382</v>
      </c>
      <c r="ETF31" s="3" t="s">
        <v>383</v>
      </c>
      <c r="ETG31" s="3" t="s">
        <v>382</v>
      </c>
      <c r="ETH31" s="3" t="s">
        <v>383</v>
      </c>
      <c r="ETI31" s="3" t="s">
        <v>382</v>
      </c>
      <c r="ETJ31" s="3" t="s">
        <v>383</v>
      </c>
      <c r="ETK31" s="3" t="s">
        <v>382</v>
      </c>
      <c r="ETL31" s="3" t="s">
        <v>383</v>
      </c>
      <c r="ETM31" s="3" t="s">
        <v>382</v>
      </c>
      <c r="ETN31" s="3" t="s">
        <v>383</v>
      </c>
      <c r="ETO31" s="3" t="s">
        <v>382</v>
      </c>
      <c r="ETP31" s="3" t="s">
        <v>383</v>
      </c>
      <c r="ETQ31" s="3" t="s">
        <v>382</v>
      </c>
      <c r="ETR31" s="3" t="s">
        <v>383</v>
      </c>
      <c r="ETS31" s="3" t="s">
        <v>382</v>
      </c>
      <c r="ETT31" s="3" t="s">
        <v>383</v>
      </c>
      <c r="ETU31" s="3" t="s">
        <v>382</v>
      </c>
      <c r="ETV31" s="3" t="s">
        <v>383</v>
      </c>
      <c r="ETW31" s="3" t="s">
        <v>382</v>
      </c>
      <c r="ETX31" s="3" t="s">
        <v>383</v>
      </c>
      <c r="ETY31" s="3" t="s">
        <v>382</v>
      </c>
      <c r="ETZ31" s="3" t="s">
        <v>383</v>
      </c>
      <c r="EUA31" s="3" t="s">
        <v>382</v>
      </c>
      <c r="EUB31" s="3" t="s">
        <v>383</v>
      </c>
      <c r="EUC31" s="3" t="s">
        <v>382</v>
      </c>
      <c r="EUD31" s="3" t="s">
        <v>383</v>
      </c>
      <c r="EUE31" s="3" t="s">
        <v>382</v>
      </c>
      <c r="EUF31" s="3" t="s">
        <v>383</v>
      </c>
      <c r="EUG31" s="3" t="s">
        <v>382</v>
      </c>
      <c r="EUH31" s="3" t="s">
        <v>383</v>
      </c>
      <c r="EUI31" s="3" t="s">
        <v>382</v>
      </c>
      <c r="EUJ31" s="3" t="s">
        <v>383</v>
      </c>
      <c r="EUK31" s="3" t="s">
        <v>382</v>
      </c>
      <c r="EUL31" s="3" t="s">
        <v>383</v>
      </c>
      <c r="EUM31" s="3" t="s">
        <v>382</v>
      </c>
      <c r="EUN31" s="3" t="s">
        <v>383</v>
      </c>
      <c r="EUO31" s="3" t="s">
        <v>382</v>
      </c>
      <c r="EUP31" s="3" t="s">
        <v>383</v>
      </c>
      <c r="EUQ31" s="3" t="s">
        <v>382</v>
      </c>
      <c r="EUR31" s="3" t="s">
        <v>383</v>
      </c>
      <c r="EUS31" s="3" t="s">
        <v>382</v>
      </c>
      <c r="EUT31" s="3" t="s">
        <v>383</v>
      </c>
      <c r="EUU31" s="3" t="s">
        <v>382</v>
      </c>
      <c r="EUV31" s="3" t="s">
        <v>383</v>
      </c>
      <c r="EUW31" s="3" t="s">
        <v>382</v>
      </c>
      <c r="EUX31" s="3" t="s">
        <v>383</v>
      </c>
      <c r="EUY31" s="3" t="s">
        <v>382</v>
      </c>
      <c r="EUZ31" s="3" t="s">
        <v>383</v>
      </c>
      <c r="EVA31" s="3" t="s">
        <v>382</v>
      </c>
      <c r="EVB31" s="3" t="s">
        <v>383</v>
      </c>
      <c r="EVC31" s="3" t="s">
        <v>382</v>
      </c>
      <c r="EVD31" s="3" t="s">
        <v>383</v>
      </c>
      <c r="EVE31" s="3" t="s">
        <v>382</v>
      </c>
      <c r="EVF31" s="3" t="s">
        <v>383</v>
      </c>
      <c r="EVG31" s="3" t="s">
        <v>382</v>
      </c>
      <c r="EVH31" s="3" t="s">
        <v>383</v>
      </c>
      <c r="EVI31" s="3" t="s">
        <v>382</v>
      </c>
      <c r="EVJ31" s="3" t="s">
        <v>383</v>
      </c>
      <c r="EVK31" s="3" t="s">
        <v>382</v>
      </c>
      <c r="EVL31" s="3" t="s">
        <v>383</v>
      </c>
      <c r="EVM31" s="3" t="s">
        <v>382</v>
      </c>
      <c r="EVN31" s="3" t="s">
        <v>383</v>
      </c>
      <c r="EVO31" s="3" t="s">
        <v>382</v>
      </c>
      <c r="EVP31" s="3" t="s">
        <v>383</v>
      </c>
      <c r="EVQ31" s="3" t="s">
        <v>382</v>
      </c>
      <c r="EVR31" s="3" t="s">
        <v>383</v>
      </c>
      <c r="EVS31" s="3" t="s">
        <v>382</v>
      </c>
      <c r="EVT31" s="3" t="s">
        <v>383</v>
      </c>
      <c r="EVU31" s="3" t="s">
        <v>382</v>
      </c>
      <c r="EVV31" s="3" t="s">
        <v>383</v>
      </c>
      <c r="EVW31" s="3" t="s">
        <v>382</v>
      </c>
      <c r="EVX31" s="3" t="s">
        <v>383</v>
      </c>
      <c r="EVY31" s="3" t="s">
        <v>382</v>
      </c>
      <c r="EVZ31" s="3" t="s">
        <v>383</v>
      </c>
      <c r="EWA31" s="3" t="s">
        <v>382</v>
      </c>
      <c r="EWB31" s="3" t="s">
        <v>383</v>
      </c>
      <c r="EWC31" s="3" t="s">
        <v>382</v>
      </c>
      <c r="EWD31" s="3" t="s">
        <v>383</v>
      </c>
      <c r="EWE31" s="3" t="s">
        <v>382</v>
      </c>
      <c r="EWF31" s="3" t="s">
        <v>383</v>
      </c>
      <c r="EWG31" s="3" t="s">
        <v>382</v>
      </c>
      <c r="EWH31" s="3" t="s">
        <v>383</v>
      </c>
      <c r="EWI31" s="3" t="s">
        <v>382</v>
      </c>
      <c r="EWJ31" s="3" t="s">
        <v>383</v>
      </c>
      <c r="EWK31" s="3" t="s">
        <v>382</v>
      </c>
      <c r="EWL31" s="3" t="s">
        <v>383</v>
      </c>
      <c r="EWM31" s="3" t="s">
        <v>382</v>
      </c>
      <c r="EWN31" s="3" t="s">
        <v>383</v>
      </c>
      <c r="EWO31" s="3" t="s">
        <v>382</v>
      </c>
      <c r="EWP31" s="3" t="s">
        <v>383</v>
      </c>
      <c r="EWQ31" s="3" t="s">
        <v>382</v>
      </c>
      <c r="EWR31" s="3" t="s">
        <v>383</v>
      </c>
      <c r="EWS31" s="3" t="s">
        <v>382</v>
      </c>
      <c r="EWT31" s="3" t="s">
        <v>383</v>
      </c>
      <c r="EWU31" s="3" t="s">
        <v>382</v>
      </c>
      <c r="EWV31" s="3" t="s">
        <v>383</v>
      </c>
      <c r="EWW31" s="3" t="s">
        <v>382</v>
      </c>
      <c r="EWX31" s="3" t="s">
        <v>383</v>
      </c>
      <c r="EWY31" s="3" t="s">
        <v>382</v>
      </c>
      <c r="EWZ31" s="3" t="s">
        <v>383</v>
      </c>
      <c r="EXA31" s="3" t="s">
        <v>382</v>
      </c>
      <c r="EXB31" s="3" t="s">
        <v>383</v>
      </c>
      <c r="EXC31" s="3" t="s">
        <v>382</v>
      </c>
      <c r="EXD31" s="3" t="s">
        <v>383</v>
      </c>
      <c r="EXE31" s="3" t="s">
        <v>382</v>
      </c>
      <c r="EXF31" s="3" t="s">
        <v>383</v>
      </c>
      <c r="EXG31" s="3" t="s">
        <v>382</v>
      </c>
      <c r="EXH31" s="3" t="s">
        <v>383</v>
      </c>
      <c r="EXI31" s="3" t="s">
        <v>382</v>
      </c>
      <c r="EXJ31" s="3" t="s">
        <v>383</v>
      </c>
      <c r="EXK31" s="3" t="s">
        <v>382</v>
      </c>
      <c r="EXL31" s="3" t="s">
        <v>383</v>
      </c>
      <c r="EXM31" s="3" t="s">
        <v>382</v>
      </c>
      <c r="EXN31" s="3" t="s">
        <v>383</v>
      </c>
      <c r="EXO31" s="3" t="s">
        <v>382</v>
      </c>
      <c r="EXP31" s="3" t="s">
        <v>383</v>
      </c>
      <c r="EXQ31" s="3" t="s">
        <v>382</v>
      </c>
      <c r="EXR31" s="3" t="s">
        <v>383</v>
      </c>
      <c r="EXS31" s="3" t="s">
        <v>382</v>
      </c>
      <c r="EXT31" s="3" t="s">
        <v>383</v>
      </c>
      <c r="EXU31" s="3" t="s">
        <v>382</v>
      </c>
      <c r="EXV31" s="3" t="s">
        <v>383</v>
      </c>
      <c r="EXW31" s="3" t="s">
        <v>382</v>
      </c>
      <c r="EXX31" s="3" t="s">
        <v>383</v>
      </c>
      <c r="EXY31" s="3" t="s">
        <v>382</v>
      </c>
      <c r="EXZ31" s="3" t="s">
        <v>383</v>
      </c>
      <c r="EYA31" s="3" t="s">
        <v>382</v>
      </c>
      <c r="EYB31" s="3" t="s">
        <v>383</v>
      </c>
      <c r="EYC31" s="3" t="s">
        <v>382</v>
      </c>
      <c r="EYD31" s="3" t="s">
        <v>383</v>
      </c>
      <c r="EYE31" s="3" t="s">
        <v>382</v>
      </c>
      <c r="EYF31" s="3" t="s">
        <v>383</v>
      </c>
      <c r="EYG31" s="3" t="s">
        <v>382</v>
      </c>
      <c r="EYH31" s="3" t="s">
        <v>383</v>
      </c>
      <c r="EYI31" s="3" t="s">
        <v>382</v>
      </c>
      <c r="EYJ31" s="3" t="s">
        <v>383</v>
      </c>
      <c r="EYK31" s="3" t="s">
        <v>382</v>
      </c>
      <c r="EYL31" s="3" t="s">
        <v>383</v>
      </c>
      <c r="EYM31" s="3" t="s">
        <v>382</v>
      </c>
      <c r="EYN31" s="3" t="s">
        <v>383</v>
      </c>
      <c r="EYO31" s="3" t="s">
        <v>382</v>
      </c>
      <c r="EYP31" s="3" t="s">
        <v>383</v>
      </c>
      <c r="EYQ31" s="3" t="s">
        <v>382</v>
      </c>
      <c r="EYR31" s="3" t="s">
        <v>383</v>
      </c>
      <c r="EYS31" s="3" t="s">
        <v>382</v>
      </c>
      <c r="EYT31" s="3" t="s">
        <v>383</v>
      </c>
      <c r="EYU31" s="3" t="s">
        <v>382</v>
      </c>
      <c r="EYV31" s="3" t="s">
        <v>383</v>
      </c>
      <c r="EYW31" s="3" t="s">
        <v>382</v>
      </c>
      <c r="EYX31" s="3" t="s">
        <v>383</v>
      </c>
      <c r="EYY31" s="3" t="s">
        <v>382</v>
      </c>
      <c r="EYZ31" s="3" t="s">
        <v>383</v>
      </c>
      <c r="EZA31" s="3" t="s">
        <v>382</v>
      </c>
      <c r="EZB31" s="3" t="s">
        <v>383</v>
      </c>
      <c r="EZC31" s="3" t="s">
        <v>382</v>
      </c>
      <c r="EZD31" s="3" t="s">
        <v>383</v>
      </c>
      <c r="EZE31" s="3" t="s">
        <v>382</v>
      </c>
      <c r="EZF31" s="3" t="s">
        <v>383</v>
      </c>
      <c r="EZG31" s="3" t="s">
        <v>382</v>
      </c>
      <c r="EZH31" s="3" t="s">
        <v>383</v>
      </c>
      <c r="EZI31" s="3" t="s">
        <v>382</v>
      </c>
      <c r="EZJ31" s="3" t="s">
        <v>383</v>
      </c>
      <c r="EZK31" s="3" t="s">
        <v>382</v>
      </c>
      <c r="EZL31" s="3" t="s">
        <v>383</v>
      </c>
      <c r="EZM31" s="3" t="s">
        <v>382</v>
      </c>
      <c r="EZN31" s="3" t="s">
        <v>383</v>
      </c>
      <c r="EZO31" s="3" t="s">
        <v>382</v>
      </c>
      <c r="EZP31" s="3" t="s">
        <v>383</v>
      </c>
      <c r="EZQ31" s="3" t="s">
        <v>382</v>
      </c>
      <c r="EZR31" s="3" t="s">
        <v>383</v>
      </c>
      <c r="EZS31" s="3" t="s">
        <v>382</v>
      </c>
      <c r="EZT31" s="3" t="s">
        <v>383</v>
      </c>
      <c r="EZU31" s="3" t="s">
        <v>382</v>
      </c>
      <c r="EZV31" s="3" t="s">
        <v>383</v>
      </c>
      <c r="EZW31" s="3" t="s">
        <v>382</v>
      </c>
      <c r="EZX31" s="3" t="s">
        <v>383</v>
      </c>
      <c r="EZY31" s="3" t="s">
        <v>382</v>
      </c>
      <c r="EZZ31" s="3" t="s">
        <v>383</v>
      </c>
      <c r="FAA31" s="3" t="s">
        <v>382</v>
      </c>
      <c r="FAB31" s="3" t="s">
        <v>383</v>
      </c>
      <c r="FAC31" s="3" t="s">
        <v>382</v>
      </c>
      <c r="FAD31" s="3" t="s">
        <v>383</v>
      </c>
      <c r="FAE31" s="3" t="s">
        <v>382</v>
      </c>
      <c r="FAF31" s="3" t="s">
        <v>383</v>
      </c>
      <c r="FAG31" s="3" t="s">
        <v>382</v>
      </c>
      <c r="FAH31" s="3" t="s">
        <v>383</v>
      </c>
      <c r="FAI31" s="3" t="s">
        <v>382</v>
      </c>
      <c r="FAJ31" s="3" t="s">
        <v>383</v>
      </c>
      <c r="FAK31" s="3" t="s">
        <v>382</v>
      </c>
      <c r="FAL31" s="3" t="s">
        <v>383</v>
      </c>
      <c r="FAM31" s="3" t="s">
        <v>382</v>
      </c>
      <c r="FAN31" s="3" t="s">
        <v>383</v>
      </c>
      <c r="FAO31" s="3" t="s">
        <v>382</v>
      </c>
      <c r="FAP31" s="3" t="s">
        <v>383</v>
      </c>
      <c r="FAQ31" s="3" t="s">
        <v>382</v>
      </c>
      <c r="FAR31" s="3" t="s">
        <v>383</v>
      </c>
      <c r="FAS31" s="3" t="s">
        <v>382</v>
      </c>
      <c r="FAT31" s="3" t="s">
        <v>383</v>
      </c>
      <c r="FAU31" s="3" t="s">
        <v>382</v>
      </c>
      <c r="FAV31" s="3" t="s">
        <v>383</v>
      </c>
      <c r="FAW31" s="3" t="s">
        <v>382</v>
      </c>
      <c r="FAX31" s="3" t="s">
        <v>383</v>
      </c>
      <c r="FAY31" s="3" t="s">
        <v>382</v>
      </c>
      <c r="FAZ31" s="3" t="s">
        <v>383</v>
      </c>
      <c r="FBA31" s="3" t="s">
        <v>382</v>
      </c>
      <c r="FBB31" s="3" t="s">
        <v>383</v>
      </c>
      <c r="FBC31" s="3" t="s">
        <v>382</v>
      </c>
      <c r="FBD31" s="3" t="s">
        <v>383</v>
      </c>
      <c r="FBE31" s="3" t="s">
        <v>382</v>
      </c>
      <c r="FBF31" s="3" t="s">
        <v>383</v>
      </c>
      <c r="FBG31" s="3" t="s">
        <v>382</v>
      </c>
      <c r="FBH31" s="3" t="s">
        <v>383</v>
      </c>
      <c r="FBI31" s="3" t="s">
        <v>382</v>
      </c>
      <c r="FBJ31" s="3" t="s">
        <v>383</v>
      </c>
      <c r="FBK31" s="3" t="s">
        <v>382</v>
      </c>
      <c r="FBL31" s="3" t="s">
        <v>383</v>
      </c>
      <c r="FBM31" s="3" t="s">
        <v>382</v>
      </c>
      <c r="FBN31" s="3" t="s">
        <v>383</v>
      </c>
      <c r="FBO31" s="3" t="s">
        <v>382</v>
      </c>
      <c r="FBP31" s="3" t="s">
        <v>383</v>
      </c>
      <c r="FBQ31" s="3" t="s">
        <v>382</v>
      </c>
      <c r="FBR31" s="3" t="s">
        <v>383</v>
      </c>
      <c r="FBS31" s="3" t="s">
        <v>382</v>
      </c>
      <c r="FBT31" s="3" t="s">
        <v>383</v>
      </c>
      <c r="FBU31" s="3" t="s">
        <v>382</v>
      </c>
      <c r="FBV31" s="3" t="s">
        <v>383</v>
      </c>
      <c r="FBW31" s="3" t="s">
        <v>382</v>
      </c>
      <c r="FBX31" s="3" t="s">
        <v>383</v>
      </c>
      <c r="FBY31" s="3" t="s">
        <v>382</v>
      </c>
      <c r="FBZ31" s="3" t="s">
        <v>383</v>
      </c>
      <c r="FCA31" s="3" t="s">
        <v>382</v>
      </c>
      <c r="FCB31" s="3" t="s">
        <v>383</v>
      </c>
      <c r="FCC31" s="3" t="s">
        <v>382</v>
      </c>
      <c r="FCD31" s="3" t="s">
        <v>383</v>
      </c>
      <c r="FCE31" s="3" t="s">
        <v>382</v>
      </c>
      <c r="FCF31" s="3" t="s">
        <v>383</v>
      </c>
      <c r="FCG31" s="3" t="s">
        <v>382</v>
      </c>
      <c r="FCH31" s="3" t="s">
        <v>383</v>
      </c>
      <c r="FCI31" s="3" t="s">
        <v>382</v>
      </c>
      <c r="FCJ31" s="3" t="s">
        <v>383</v>
      </c>
      <c r="FCK31" s="3" t="s">
        <v>382</v>
      </c>
      <c r="FCL31" s="3" t="s">
        <v>383</v>
      </c>
      <c r="FCM31" s="3" t="s">
        <v>382</v>
      </c>
      <c r="FCN31" s="3" t="s">
        <v>383</v>
      </c>
      <c r="FCO31" s="3" t="s">
        <v>382</v>
      </c>
      <c r="FCP31" s="3" t="s">
        <v>383</v>
      </c>
      <c r="FCQ31" s="3" t="s">
        <v>382</v>
      </c>
      <c r="FCR31" s="3" t="s">
        <v>383</v>
      </c>
      <c r="FCS31" s="3" t="s">
        <v>382</v>
      </c>
      <c r="FCT31" s="3" t="s">
        <v>383</v>
      </c>
      <c r="FCU31" s="3" t="s">
        <v>382</v>
      </c>
      <c r="FCV31" s="3" t="s">
        <v>383</v>
      </c>
      <c r="FCW31" s="3" t="s">
        <v>382</v>
      </c>
      <c r="FCX31" s="3" t="s">
        <v>383</v>
      </c>
      <c r="FCY31" s="3" t="s">
        <v>382</v>
      </c>
      <c r="FCZ31" s="3" t="s">
        <v>383</v>
      </c>
      <c r="FDA31" s="3" t="s">
        <v>382</v>
      </c>
      <c r="FDB31" s="3" t="s">
        <v>383</v>
      </c>
      <c r="FDC31" s="3" t="s">
        <v>382</v>
      </c>
      <c r="FDD31" s="3" t="s">
        <v>383</v>
      </c>
      <c r="FDE31" s="3" t="s">
        <v>382</v>
      </c>
      <c r="FDF31" s="3" t="s">
        <v>383</v>
      </c>
      <c r="FDG31" s="3" t="s">
        <v>382</v>
      </c>
      <c r="FDH31" s="3" t="s">
        <v>383</v>
      </c>
      <c r="FDI31" s="3" t="s">
        <v>382</v>
      </c>
      <c r="FDJ31" s="3" t="s">
        <v>383</v>
      </c>
      <c r="FDK31" s="3" t="s">
        <v>382</v>
      </c>
      <c r="FDL31" s="3" t="s">
        <v>383</v>
      </c>
      <c r="FDM31" s="3" t="s">
        <v>382</v>
      </c>
      <c r="FDN31" s="3" t="s">
        <v>383</v>
      </c>
      <c r="FDO31" s="3" t="s">
        <v>382</v>
      </c>
      <c r="FDP31" s="3" t="s">
        <v>383</v>
      </c>
      <c r="FDQ31" s="3" t="s">
        <v>382</v>
      </c>
      <c r="FDR31" s="3" t="s">
        <v>383</v>
      </c>
      <c r="FDS31" s="3" t="s">
        <v>382</v>
      </c>
      <c r="FDT31" s="3" t="s">
        <v>383</v>
      </c>
      <c r="FDU31" s="3" t="s">
        <v>382</v>
      </c>
      <c r="FDV31" s="3" t="s">
        <v>383</v>
      </c>
      <c r="FDW31" s="3" t="s">
        <v>382</v>
      </c>
      <c r="FDX31" s="3" t="s">
        <v>383</v>
      </c>
      <c r="FDY31" s="3" t="s">
        <v>382</v>
      </c>
      <c r="FDZ31" s="3" t="s">
        <v>383</v>
      </c>
      <c r="FEA31" s="3" t="s">
        <v>382</v>
      </c>
      <c r="FEB31" s="3" t="s">
        <v>383</v>
      </c>
      <c r="FEC31" s="3" t="s">
        <v>382</v>
      </c>
      <c r="FED31" s="3" t="s">
        <v>383</v>
      </c>
      <c r="FEE31" s="3" t="s">
        <v>382</v>
      </c>
      <c r="FEF31" s="3" t="s">
        <v>383</v>
      </c>
      <c r="FEG31" s="3" t="s">
        <v>382</v>
      </c>
      <c r="FEH31" s="3" t="s">
        <v>383</v>
      </c>
      <c r="FEI31" s="3" t="s">
        <v>382</v>
      </c>
      <c r="FEJ31" s="3" t="s">
        <v>383</v>
      </c>
      <c r="FEK31" s="3" t="s">
        <v>382</v>
      </c>
      <c r="FEL31" s="3" t="s">
        <v>383</v>
      </c>
      <c r="FEM31" s="3" t="s">
        <v>382</v>
      </c>
      <c r="FEN31" s="3" t="s">
        <v>383</v>
      </c>
      <c r="FEO31" s="3" t="s">
        <v>382</v>
      </c>
      <c r="FEP31" s="3" t="s">
        <v>383</v>
      </c>
      <c r="FEQ31" s="3" t="s">
        <v>382</v>
      </c>
      <c r="FER31" s="3" t="s">
        <v>383</v>
      </c>
      <c r="FES31" s="3" t="s">
        <v>382</v>
      </c>
      <c r="FET31" s="3" t="s">
        <v>383</v>
      </c>
      <c r="FEU31" s="3" t="s">
        <v>382</v>
      </c>
      <c r="FEV31" s="3" t="s">
        <v>383</v>
      </c>
      <c r="FEW31" s="3" t="s">
        <v>382</v>
      </c>
      <c r="FEX31" s="3" t="s">
        <v>383</v>
      </c>
      <c r="FEY31" s="3" t="s">
        <v>382</v>
      </c>
      <c r="FEZ31" s="3" t="s">
        <v>383</v>
      </c>
      <c r="FFA31" s="3" t="s">
        <v>382</v>
      </c>
      <c r="FFB31" s="3" t="s">
        <v>383</v>
      </c>
      <c r="FFC31" s="3" t="s">
        <v>382</v>
      </c>
      <c r="FFD31" s="3" t="s">
        <v>383</v>
      </c>
      <c r="FFE31" s="3" t="s">
        <v>382</v>
      </c>
      <c r="FFF31" s="3" t="s">
        <v>383</v>
      </c>
      <c r="FFG31" s="3" t="s">
        <v>382</v>
      </c>
      <c r="FFH31" s="3" t="s">
        <v>383</v>
      </c>
      <c r="FFI31" s="3" t="s">
        <v>382</v>
      </c>
      <c r="FFJ31" s="3" t="s">
        <v>383</v>
      </c>
      <c r="FFK31" s="3" t="s">
        <v>382</v>
      </c>
      <c r="FFL31" s="3" t="s">
        <v>383</v>
      </c>
      <c r="FFM31" s="3" t="s">
        <v>382</v>
      </c>
      <c r="FFN31" s="3" t="s">
        <v>383</v>
      </c>
      <c r="FFO31" s="3" t="s">
        <v>382</v>
      </c>
      <c r="FFP31" s="3" t="s">
        <v>383</v>
      </c>
      <c r="FFQ31" s="3" t="s">
        <v>382</v>
      </c>
      <c r="FFR31" s="3" t="s">
        <v>383</v>
      </c>
      <c r="FFS31" s="3" t="s">
        <v>382</v>
      </c>
      <c r="FFT31" s="3" t="s">
        <v>383</v>
      </c>
      <c r="FFU31" s="3" t="s">
        <v>382</v>
      </c>
      <c r="FFV31" s="3" t="s">
        <v>383</v>
      </c>
      <c r="FFW31" s="3" t="s">
        <v>382</v>
      </c>
      <c r="FFX31" s="3" t="s">
        <v>383</v>
      </c>
      <c r="FFY31" s="3" t="s">
        <v>382</v>
      </c>
      <c r="FFZ31" s="3" t="s">
        <v>383</v>
      </c>
      <c r="FGA31" s="3" t="s">
        <v>382</v>
      </c>
      <c r="FGB31" s="3" t="s">
        <v>383</v>
      </c>
      <c r="FGC31" s="3" t="s">
        <v>382</v>
      </c>
      <c r="FGD31" s="3" t="s">
        <v>383</v>
      </c>
      <c r="FGE31" s="3" t="s">
        <v>382</v>
      </c>
      <c r="FGF31" s="3" t="s">
        <v>383</v>
      </c>
      <c r="FGG31" s="3" t="s">
        <v>382</v>
      </c>
      <c r="FGH31" s="3" t="s">
        <v>383</v>
      </c>
      <c r="FGI31" s="3" t="s">
        <v>382</v>
      </c>
      <c r="FGJ31" s="3" t="s">
        <v>383</v>
      </c>
      <c r="FGK31" s="3" t="s">
        <v>382</v>
      </c>
      <c r="FGL31" s="3" t="s">
        <v>383</v>
      </c>
      <c r="FGM31" s="3" t="s">
        <v>382</v>
      </c>
      <c r="FGN31" s="3" t="s">
        <v>383</v>
      </c>
      <c r="FGO31" s="3" t="s">
        <v>382</v>
      </c>
      <c r="FGP31" s="3" t="s">
        <v>383</v>
      </c>
      <c r="FGQ31" s="3" t="s">
        <v>382</v>
      </c>
      <c r="FGR31" s="3" t="s">
        <v>383</v>
      </c>
      <c r="FGS31" s="3" t="s">
        <v>382</v>
      </c>
      <c r="FGT31" s="3" t="s">
        <v>383</v>
      </c>
      <c r="FGU31" s="3" t="s">
        <v>382</v>
      </c>
      <c r="FGV31" s="3" t="s">
        <v>383</v>
      </c>
      <c r="FGW31" s="3" t="s">
        <v>382</v>
      </c>
      <c r="FGX31" s="3" t="s">
        <v>383</v>
      </c>
      <c r="FGY31" s="3" t="s">
        <v>382</v>
      </c>
      <c r="FGZ31" s="3" t="s">
        <v>383</v>
      </c>
      <c r="FHA31" s="3" t="s">
        <v>382</v>
      </c>
      <c r="FHB31" s="3" t="s">
        <v>383</v>
      </c>
      <c r="FHC31" s="3" t="s">
        <v>382</v>
      </c>
      <c r="FHD31" s="3" t="s">
        <v>383</v>
      </c>
      <c r="FHE31" s="3" t="s">
        <v>382</v>
      </c>
      <c r="FHF31" s="3" t="s">
        <v>383</v>
      </c>
      <c r="FHG31" s="3" t="s">
        <v>382</v>
      </c>
      <c r="FHH31" s="3" t="s">
        <v>383</v>
      </c>
      <c r="FHI31" s="3" t="s">
        <v>382</v>
      </c>
      <c r="FHJ31" s="3" t="s">
        <v>383</v>
      </c>
      <c r="FHK31" s="3" t="s">
        <v>382</v>
      </c>
      <c r="FHL31" s="3" t="s">
        <v>383</v>
      </c>
      <c r="FHM31" s="3" t="s">
        <v>382</v>
      </c>
      <c r="FHN31" s="3" t="s">
        <v>383</v>
      </c>
      <c r="FHO31" s="3" t="s">
        <v>382</v>
      </c>
      <c r="FHP31" s="3" t="s">
        <v>383</v>
      </c>
      <c r="FHQ31" s="3" t="s">
        <v>382</v>
      </c>
      <c r="FHR31" s="3" t="s">
        <v>383</v>
      </c>
      <c r="FHS31" s="3" t="s">
        <v>382</v>
      </c>
      <c r="FHT31" s="3" t="s">
        <v>383</v>
      </c>
      <c r="FHU31" s="3" t="s">
        <v>382</v>
      </c>
      <c r="FHV31" s="3" t="s">
        <v>383</v>
      </c>
      <c r="FHW31" s="3" t="s">
        <v>382</v>
      </c>
      <c r="FHX31" s="3" t="s">
        <v>383</v>
      </c>
      <c r="FHY31" s="3" t="s">
        <v>382</v>
      </c>
      <c r="FHZ31" s="3" t="s">
        <v>383</v>
      </c>
      <c r="FIA31" s="3" t="s">
        <v>382</v>
      </c>
      <c r="FIB31" s="3" t="s">
        <v>383</v>
      </c>
      <c r="FIC31" s="3" t="s">
        <v>382</v>
      </c>
      <c r="FID31" s="3" t="s">
        <v>383</v>
      </c>
      <c r="FIE31" s="3" t="s">
        <v>382</v>
      </c>
      <c r="FIF31" s="3" t="s">
        <v>383</v>
      </c>
      <c r="FIG31" s="3" t="s">
        <v>382</v>
      </c>
      <c r="FIH31" s="3" t="s">
        <v>383</v>
      </c>
      <c r="FII31" s="3" t="s">
        <v>382</v>
      </c>
      <c r="FIJ31" s="3" t="s">
        <v>383</v>
      </c>
      <c r="FIK31" s="3" t="s">
        <v>382</v>
      </c>
      <c r="FIL31" s="3" t="s">
        <v>383</v>
      </c>
      <c r="FIM31" s="3" t="s">
        <v>382</v>
      </c>
      <c r="FIN31" s="3" t="s">
        <v>383</v>
      </c>
      <c r="FIO31" s="3" t="s">
        <v>382</v>
      </c>
      <c r="FIP31" s="3" t="s">
        <v>383</v>
      </c>
      <c r="FIQ31" s="3" t="s">
        <v>382</v>
      </c>
      <c r="FIR31" s="3" t="s">
        <v>383</v>
      </c>
      <c r="FIS31" s="3" t="s">
        <v>382</v>
      </c>
      <c r="FIT31" s="3" t="s">
        <v>383</v>
      </c>
      <c r="FIU31" s="3" t="s">
        <v>382</v>
      </c>
      <c r="FIV31" s="3" t="s">
        <v>383</v>
      </c>
      <c r="FIW31" s="3" t="s">
        <v>382</v>
      </c>
      <c r="FIX31" s="3" t="s">
        <v>383</v>
      </c>
      <c r="FIY31" s="3" t="s">
        <v>382</v>
      </c>
      <c r="FIZ31" s="3" t="s">
        <v>383</v>
      </c>
      <c r="FJA31" s="3" t="s">
        <v>382</v>
      </c>
      <c r="FJB31" s="3" t="s">
        <v>383</v>
      </c>
      <c r="FJC31" s="3" t="s">
        <v>382</v>
      </c>
      <c r="FJD31" s="3" t="s">
        <v>383</v>
      </c>
      <c r="FJE31" s="3" t="s">
        <v>382</v>
      </c>
      <c r="FJF31" s="3" t="s">
        <v>383</v>
      </c>
      <c r="FJG31" s="3" t="s">
        <v>382</v>
      </c>
      <c r="FJH31" s="3" t="s">
        <v>383</v>
      </c>
      <c r="FJI31" s="3" t="s">
        <v>382</v>
      </c>
      <c r="FJJ31" s="3" t="s">
        <v>383</v>
      </c>
      <c r="FJK31" s="3" t="s">
        <v>382</v>
      </c>
      <c r="FJL31" s="3" t="s">
        <v>383</v>
      </c>
      <c r="FJM31" s="3" t="s">
        <v>382</v>
      </c>
      <c r="FJN31" s="3" t="s">
        <v>383</v>
      </c>
      <c r="FJO31" s="3" t="s">
        <v>382</v>
      </c>
      <c r="FJP31" s="3" t="s">
        <v>383</v>
      </c>
      <c r="FJQ31" s="3" t="s">
        <v>382</v>
      </c>
      <c r="FJR31" s="3" t="s">
        <v>383</v>
      </c>
      <c r="FJS31" s="3" t="s">
        <v>382</v>
      </c>
      <c r="FJT31" s="3" t="s">
        <v>383</v>
      </c>
      <c r="FJU31" s="3" t="s">
        <v>382</v>
      </c>
      <c r="FJV31" s="3" t="s">
        <v>383</v>
      </c>
      <c r="FJW31" s="3" t="s">
        <v>382</v>
      </c>
      <c r="FJX31" s="3" t="s">
        <v>383</v>
      </c>
      <c r="FJY31" s="3" t="s">
        <v>382</v>
      </c>
      <c r="FJZ31" s="3" t="s">
        <v>383</v>
      </c>
      <c r="FKA31" s="3" t="s">
        <v>382</v>
      </c>
      <c r="FKB31" s="3" t="s">
        <v>383</v>
      </c>
      <c r="FKC31" s="3" t="s">
        <v>382</v>
      </c>
      <c r="FKD31" s="3" t="s">
        <v>383</v>
      </c>
      <c r="FKE31" s="3" t="s">
        <v>382</v>
      </c>
      <c r="FKF31" s="3" t="s">
        <v>383</v>
      </c>
      <c r="FKG31" s="3" t="s">
        <v>382</v>
      </c>
      <c r="FKH31" s="3" t="s">
        <v>383</v>
      </c>
      <c r="FKI31" s="3" t="s">
        <v>382</v>
      </c>
      <c r="FKJ31" s="3" t="s">
        <v>383</v>
      </c>
      <c r="FKK31" s="3" t="s">
        <v>382</v>
      </c>
      <c r="FKL31" s="3" t="s">
        <v>383</v>
      </c>
      <c r="FKM31" s="3" t="s">
        <v>382</v>
      </c>
      <c r="FKN31" s="3" t="s">
        <v>383</v>
      </c>
      <c r="FKO31" s="3" t="s">
        <v>382</v>
      </c>
      <c r="FKP31" s="3" t="s">
        <v>383</v>
      </c>
      <c r="FKQ31" s="3" t="s">
        <v>382</v>
      </c>
      <c r="FKR31" s="3" t="s">
        <v>383</v>
      </c>
      <c r="FKS31" s="3" t="s">
        <v>382</v>
      </c>
      <c r="FKT31" s="3" t="s">
        <v>383</v>
      </c>
      <c r="FKU31" s="3" t="s">
        <v>382</v>
      </c>
      <c r="FKV31" s="3" t="s">
        <v>383</v>
      </c>
      <c r="FKW31" s="3" t="s">
        <v>382</v>
      </c>
      <c r="FKX31" s="3" t="s">
        <v>383</v>
      </c>
      <c r="FKY31" s="3" t="s">
        <v>382</v>
      </c>
      <c r="FKZ31" s="3" t="s">
        <v>383</v>
      </c>
      <c r="FLA31" s="3" t="s">
        <v>382</v>
      </c>
      <c r="FLB31" s="3" t="s">
        <v>383</v>
      </c>
      <c r="FLC31" s="3" t="s">
        <v>382</v>
      </c>
      <c r="FLD31" s="3" t="s">
        <v>383</v>
      </c>
      <c r="FLE31" s="3" t="s">
        <v>382</v>
      </c>
      <c r="FLF31" s="3" t="s">
        <v>383</v>
      </c>
      <c r="FLG31" s="3" t="s">
        <v>382</v>
      </c>
      <c r="FLH31" s="3" t="s">
        <v>383</v>
      </c>
      <c r="FLI31" s="3" t="s">
        <v>382</v>
      </c>
      <c r="FLJ31" s="3" t="s">
        <v>383</v>
      </c>
      <c r="FLK31" s="3" t="s">
        <v>382</v>
      </c>
      <c r="FLL31" s="3" t="s">
        <v>383</v>
      </c>
      <c r="FLM31" s="3" t="s">
        <v>382</v>
      </c>
      <c r="FLN31" s="3" t="s">
        <v>383</v>
      </c>
      <c r="FLO31" s="3" t="s">
        <v>382</v>
      </c>
      <c r="FLP31" s="3" t="s">
        <v>383</v>
      </c>
      <c r="FLQ31" s="3" t="s">
        <v>382</v>
      </c>
      <c r="FLR31" s="3" t="s">
        <v>383</v>
      </c>
      <c r="FLS31" s="3" t="s">
        <v>382</v>
      </c>
      <c r="FLT31" s="3" t="s">
        <v>383</v>
      </c>
      <c r="FLU31" s="3" t="s">
        <v>382</v>
      </c>
      <c r="FLV31" s="3" t="s">
        <v>383</v>
      </c>
      <c r="FLW31" s="3" t="s">
        <v>382</v>
      </c>
      <c r="FLX31" s="3" t="s">
        <v>383</v>
      </c>
      <c r="FLY31" s="3" t="s">
        <v>382</v>
      </c>
      <c r="FLZ31" s="3" t="s">
        <v>383</v>
      </c>
      <c r="FMA31" s="3" t="s">
        <v>382</v>
      </c>
      <c r="FMB31" s="3" t="s">
        <v>383</v>
      </c>
      <c r="FMC31" s="3" t="s">
        <v>382</v>
      </c>
      <c r="FMD31" s="3" t="s">
        <v>383</v>
      </c>
      <c r="FME31" s="3" t="s">
        <v>382</v>
      </c>
      <c r="FMF31" s="3" t="s">
        <v>383</v>
      </c>
      <c r="FMG31" s="3" t="s">
        <v>382</v>
      </c>
      <c r="FMH31" s="3" t="s">
        <v>383</v>
      </c>
      <c r="FMI31" s="3" t="s">
        <v>382</v>
      </c>
      <c r="FMJ31" s="3" t="s">
        <v>383</v>
      </c>
      <c r="FMK31" s="3" t="s">
        <v>382</v>
      </c>
      <c r="FML31" s="3" t="s">
        <v>383</v>
      </c>
      <c r="FMM31" s="3" t="s">
        <v>382</v>
      </c>
      <c r="FMN31" s="3" t="s">
        <v>383</v>
      </c>
      <c r="FMO31" s="3" t="s">
        <v>382</v>
      </c>
      <c r="FMP31" s="3" t="s">
        <v>383</v>
      </c>
      <c r="FMQ31" s="3" t="s">
        <v>382</v>
      </c>
      <c r="FMR31" s="3" t="s">
        <v>383</v>
      </c>
      <c r="FMS31" s="3" t="s">
        <v>382</v>
      </c>
      <c r="FMT31" s="3" t="s">
        <v>383</v>
      </c>
      <c r="FMU31" s="3" t="s">
        <v>382</v>
      </c>
      <c r="FMV31" s="3" t="s">
        <v>383</v>
      </c>
      <c r="FMW31" s="3" t="s">
        <v>382</v>
      </c>
      <c r="FMX31" s="3" t="s">
        <v>383</v>
      </c>
      <c r="FMY31" s="3" t="s">
        <v>382</v>
      </c>
      <c r="FMZ31" s="3" t="s">
        <v>383</v>
      </c>
      <c r="FNA31" s="3" t="s">
        <v>382</v>
      </c>
      <c r="FNB31" s="3" t="s">
        <v>383</v>
      </c>
      <c r="FNC31" s="3" t="s">
        <v>382</v>
      </c>
      <c r="FND31" s="3" t="s">
        <v>383</v>
      </c>
      <c r="FNE31" s="3" t="s">
        <v>382</v>
      </c>
      <c r="FNF31" s="3" t="s">
        <v>383</v>
      </c>
      <c r="FNG31" s="3" t="s">
        <v>382</v>
      </c>
      <c r="FNH31" s="3" t="s">
        <v>383</v>
      </c>
      <c r="FNI31" s="3" t="s">
        <v>382</v>
      </c>
      <c r="FNJ31" s="3" t="s">
        <v>383</v>
      </c>
      <c r="FNK31" s="3" t="s">
        <v>382</v>
      </c>
      <c r="FNL31" s="3" t="s">
        <v>383</v>
      </c>
      <c r="FNM31" s="3" t="s">
        <v>382</v>
      </c>
      <c r="FNN31" s="3" t="s">
        <v>383</v>
      </c>
      <c r="FNO31" s="3" t="s">
        <v>382</v>
      </c>
      <c r="FNP31" s="3" t="s">
        <v>383</v>
      </c>
      <c r="FNQ31" s="3" t="s">
        <v>382</v>
      </c>
      <c r="FNR31" s="3" t="s">
        <v>383</v>
      </c>
      <c r="FNS31" s="3" t="s">
        <v>382</v>
      </c>
      <c r="FNT31" s="3" t="s">
        <v>383</v>
      </c>
      <c r="FNU31" s="3" t="s">
        <v>382</v>
      </c>
      <c r="FNV31" s="3" t="s">
        <v>383</v>
      </c>
      <c r="FNW31" s="3" t="s">
        <v>382</v>
      </c>
      <c r="FNX31" s="3" t="s">
        <v>383</v>
      </c>
      <c r="FNY31" s="3" t="s">
        <v>382</v>
      </c>
      <c r="FNZ31" s="3" t="s">
        <v>383</v>
      </c>
      <c r="FOA31" s="3" t="s">
        <v>382</v>
      </c>
      <c r="FOB31" s="3" t="s">
        <v>383</v>
      </c>
      <c r="FOC31" s="3" t="s">
        <v>382</v>
      </c>
      <c r="FOD31" s="3" t="s">
        <v>383</v>
      </c>
      <c r="FOE31" s="3" t="s">
        <v>382</v>
      </c>
      <c r="FOF31" s="3" t="s">
        <v>383</v>
      </c>
      <c r="FOG31" s="3" t="s">
        <v>382</v>
      </c>
      <c r="FOH31" s="3" t="s">
        <v>383</v>
      </c>
      <c r="FOI31" s="3" t="s">
        <v>382</v>
      </c>
      <c r="FOJ31" s="3" t="s">
        <v>383</v>
      </c>
      <c r="FOK31" s="3" t="s">
        <v>382</v>
      </c>
      <c r="FOL31" s="3" t="s">
        <v>383</v>
      </c>
      <c r="FOM31" s="3" t="s">
        <v>382</v>
      </c>
      <c r="FON31" s="3" t="s">
        <v>383</v>
      </c>
      <c r="FOO31" s="3" t="s">
        <v>382</v>
      </c>
      <c r="FOP31" s="3" t="s">
        <v>383</v>
      </c>
      <c r="FOQ31" s="3" t="s">
        <v>382</v>
      </c>
      <c r="FOR31" s="3" t="s">
        <v>383</v>
      </c>
      <c r="FOS31" s="3" t="s">
        <v>382</v>
      </c>
      <c r="FOT31" s="3" t="s">
        <v>383</v>
      </c>
      <c r="FOU31" s="3" t="s">
        <v>382</v>
      </c>
      <c r="FOV31" s="3" t="s">
        <v>383</v>
      </c>
      <c r="FOW31" s="3" t="s">
        <v>382</v>
      </c>
      <c r="FOX31" s="3" t="s">
        <v>383</v>
      </c>
      <c r="FOY31" s="3" t="s">
        <v>382</v>
      </c>
      <c r="FOZ31" s="3" t="s">
        <v>383</v>
      </c>
      <c r="FPA31" s="3" t="s">
        <v>382</v>
      </c>
      <c r="FPB31" s="3" t="s">
        <v>383</v>
      </c>
      <c r="FPC31" s="3" t="s">
        <v>382</v>
      </c>
      <c r="FPD31" s="3" t="s">
        <v>383</v>
      </c>
      <c r="FPE31" s="3" t="s">
        <v>382</v>
      </c>
      <c r="FPF31" s="3" t="s">
        <v>383</v>
      </c>
      <c r="FPG31" s="3" t="s">
        <v>382</v>
      </c>
      <c r="FPH31" s="3" t="s">
        <v>383</v>
      </c>
      <c r="FPI31" s="3" t="s">
        <v>382</v>
      </c>
      <c r="FPJ31" s="3" t="s">
        <v>383</v>
      </c>
      <c r="FPK31" s="3" t="s">
        <v>382</v>
      </c>
      <c r="FPL31" s="3" t="s">
        <v>383</v>
      </c>
      <c r="FPM31" s="3" t="s">
        <v>382</v>
      </c>
      <c r="FPN31" s="3" t="s">
        <v>383</v>
      </c>
      <c r="FPO31" s="3" t="s">
        <v>382</v>
      </c>
      <c r="FPP31" s="3" t="s">
        <v>383</v>
      </c>
      <c r="FPQ31" s="3" t="s">
        <v>382</v>
      </c>
      <c r="FPR31" s="3" t="s">
        <v>383</v>
      </c>
      <c r="FPS31" s="3" t="s">
        <v>382</v>
      </c>
      <c r="FPT31" s="3" t="s">
        <v>383</v>
      </c>
      <c r="FPU31" s="3" t="s">
        <v>382</v>
      </c>
      <c r="FPV31" s="3" t="s">
        <v>383</v>
      </c>
      <c r="FPW31" s="3" t="s">
        <v>382</v>
      </c>
      <c r="FPX31" s="3" t="s">
        <v>383</v>
      </c>
      <c r="FPY31" s="3" t="s">
        <v>382</v>
      </c>
      <c r="FPZ31" s="3" t="s">
        <v>383</v>
      </c>
      <c r="FQA31" s="3" t="s">
        <v>382</v>
      </c>
      <c r="FQB31" s="3" t="s">
        <v>383</v>
      </c>
      <c r="FQC31" s="3" t="s">
        <v>382</v>
      </c>
      <c r="FQD31" s="3" t="s">
        <v>383</v>
      </c>
      <c r="FQE31" s="3" t="s">
        <v>382</v>
      </c>
      <c r="FQF31" s="3" t="s">
        <v>383</v>
      </c>
      <c r="FQG31" s="3" t="s">
        <v>382</v>
      </c>
      <c r="FQH31" s="3" t="s">
        <v>383</v>
      </c>
      <c r="FQI31" s="3" t="s">
        <v>382</v>
      </c>
      <c r="FQJ31" s="3" t="s">
        <v>383</v>
      </c>
      <c r="FQK31" s="3" t="s">
        <v>382</v>
      </c>
      <c r="FQL31" s="3" t="s">
        <v>383</v>
      </c>
      <c r="FQM31" s="3" t="s">
        <v>382</v>
      </c>
      <c r="FQN31" s="3" t="s">
        <v>383</v>
      </c>
      <c r="FQO31" s="3" t="s">
        <v>382</v>
      </c>
      <c r="FQP31" s="3" t="s">
        <v>383</v>
      </c>
      <c r="FQQ31" s="3" t="s">
        <v>382</v>
      </c>
      <c r="FQR31" s="3" t="s">
        <v>383</v>
      </c>
      <c r="FQS31" s="3" t="s">
        <v>382</v>
      </c>
      <c r="FQT31" s="3" t="s">
        <v>383</v>
      </c>
      <c r="FQU31" s="3" t="s">
        <v>382</v>
      </c>
      <c r="FQV31" s="3" t="s">
        <v>383</v>
      </c>
      <c r="FQW31" s="3" t="s">
        <v>382</v>
      </c>
      <c r="FQX31" s="3" t="s">
        <v>383</v>
      </c>
      <c r="FQY31" s="3" t="s">
        <v>382</v>
      </c>
      <c r="FQZ31" s="3" t="s">
        <v>383</v>
      </c>
      <c r="FRA31" s="3" t="s">
        <v>382</v>
      </c>
      <c r="FRB31" s="3" t="s">
        <v>383</v>
      </c>
      <c r="FRC31" s="3" t="s">
        <v>382</v>
      </c>
      <c r="FRD31" s="3" t="s">
        <v>383</v>
      </c>
      <c r="FRE31" s="3" t="s">
        <v>382</v>
      </c>
      <c r="FRF31" s="3" t="s">
        <v>383</v>
      </c>
      <c r="FRG31" s="3" t="s">
        <v>382</v>
      </c>
      <c r="FRH31" s="3" t="s">
        <v>383</v>
      </c>
      <c r="FRI31" s="3" t="s">
        <v>382</v>
      </c>
      <c r="FRJ31" s="3" t="s">
        <v>383</v>
      </c>
      <c r="FRK31" s="3" t="s">
        <v>382</v>
      </c>
      <c r="FRL31" s="3" t="s">
        <v>383</v>
      </c>
      <c r="FRM31" s="3" t="s">
        <v>382</v>
      </c>
      <c r="FRN31" s="3" t="s">
        <v>383</v>
      </c>
      <c r="FRO31" s="3" t="s">
        <v>382</v>
      </c>
      <c r="FRP31" s="3" t="s">
        <v>383</v>
      </c>
      <c r="FRQ31" s="3" t="s">
        <v>382</v>
      </c>
      <c r="FRR31" s="3" t="s">
        <v>383</v>
      </c>
      <c r="FRS31" s="3" t="s">
        <v>382</v>
      </c>
      <c r="FRT31" s="3" t="s">
        <v>383</v>
      </c>
      <c r="FRU31" s="3" t="s">
        <v>382</v>
      </c>
      <c r="FRV31" s="3" t="s">
        <v>383</v>
      </c>
      <c r="FRW31" s="3" t="s">
        <v>382</v>
      </c>
      <c r="FRX31" s="3" t="s">
        <v>383</v>
      </c>
      <c r="FRY31" s="3" t="s">
        <v>382</v>
      </c>
      <c r="FRZ31" s="3" t="s">
        <v>383</v>
      </c>
      <c r="FSA31" s="3" t="s">
        <v>382</v>
      </c>
      <c r="FSB31" s="3" t="s">
        <v>383</v>
      </c>
      <c r="FSC31" s="3" t="s">
        <v>382</v>
      </c>
      <c r="FSD31" s="3" t="s">
        <v>383</v>
      </c>
      <c r="FSE31" s="3" t="s">
        <v>382</v>
      </c>
      <c r="FSF31" s="3" t="s">
        <v>383</v>
      </c>
      <c r="FSG31" s="3" t="s">
        <v>382</v>
      </c>
      <c r="FSH31" s="3" t="s">
        <v>383</v>
      </c>
      <c r="FSI31" s="3" t="s">
        <v>382</v>
      </c>
      <c r="FSJ31" s="3" t="s">
        <v>383</v>
      </c>
      <c r="FSK31" s="3" t="s">
        <v>382</v>
      </c>
      <c r="FSL31" s="3" t="s">
        <v>383</v>
      </c>
      <c r="FSM31" s="3" t="s">
        <v>382</v>
      </c>
      <c r="FSN31" s="3" t="s">
        <v>383</v>
      </c>
      <c r="FSO31" s="3" t="s">
        <v>382</v>
      </c>
      <c r="FSP31" s="3" t="s">
        <v>383</v>
      </c>
      <c r="FSQ31" s="3" t="s">
        <v>382</v>
      </c>
      <c r="FSR31" s="3" t="s">
        <v>383</v>
      </c>
      <c r="FSS31" s="3" t="s">
        <v>382</v>
      </c>
      <c r="FST31" s="3" t="s">
        <v>383</v>
      </c>
      <c r="FSU31" s="3" t="s">
        <v>382</v>
      </c>
      <c r="FSV31" s="3" t="s">
        <v>383</v>
      </c>
      <c r="FSW31" s="3" t="s">
        <v>382</v>
      </c>
      <c r="FSX31" s="3" t="s">
        <v>383</v>
      </c>
      <c r="FSY31" s="3" t="s">
        <v>382</v>
      </c>
      <c r="FSZ31" s="3" t="s">
        <v>383</v>
      </c>
      <c r="FTA31" s="3" t="s">
        <v>382</v>
      </c>
      <c r="FTB31" s="3" t="s">
        <v>383</v>
      </c>
      <c r="FTC31" s="3" t="s">
        <v>382</v>
      </c>
      <c r="FTD31" s="3" t="s">
        <v>383</v>
      </c>
      <c r="FTE31" s="3" t="s">
        <v>382</v>
      </c>
      <c r="FTF31" s="3" t="s">
        <v>383</v>
      </c>
      <c r="FTG31" s="3" t="s">
        <v>382</v>
      </c>
      <c r="FTH31" s="3" t="s">
        <v>383</v>
      </c>
      <c r="FTI31" s="3" t="s">
        <v>382</v>
      </c>
      <c r="FTJ31" s="3" t="s">
        <v>383</v>
      </c>
      <c r="FTK31" s="3" t="s">
        <v>382</v>
      </c>
      <c r="FTL31" s="3" t="s">
        <v>383</v>
      </c>
      <c r="FTM31" s="3" t="s">
        <v>382</v>
      </c>
      <c r="FTN31" s="3" t="s">
        <v>383</v>
      </c>
      <c r="FTO31" s="3" t="s">
        <v>382</v>
      </c>
      <c r="FTP31" s="3" t="s">
        <v>383</v>
      </c>
      <c r="FTQ31" s="3" t="s">
        <v>382</v>
      </c>
      <c r="FTR31" s="3" t="s">
        <v>383</v>
      </c>
      <c r="FTS31" s="3" t="s">
        <v>382</v>
      </c>
      <c r="FTT31" s="3" t="s">
        <v>383</v>
      </c>
      <c r="FTU31" s="3" t="s">
        <v>382</v>
      </c>
      <c r="FTV31" s="3" t="s">
        <v>383</v>
      </c>
      <c r="FTW31" s="3" t="s">
        <v>382</v>
      </c>
      <c r="FTX31" s="3" t="s">
        <v>383</v>
      </c>
      <c r="FTY31" s="3" t="s">
        <v>382</v>
      </c>
      <c r="FTZ31" s="3" t="s">
        <v>383</v>
      </c>
      <c r="FUA31" s="3" t="s">
        <v>382</v>
      </c>
      <c r="FUB31" s="3" t="s">
        <v>383</v>
      </c>
      <c r="FUC31" s="3" t="s">
        <v>382</v>
      </c>
      <c r="FUD31" s="3" t="s">
        <v>383</v>
      </c>
      <c r="FUE31" s="3" t="s">
        <v>382</v>
      </c>
      <c r="FUF31" s="3" t="s">
        <v>383</v>
      </c>
      <c r="FUG31" s="3" t="s">
        <v>382</v>
      </c>
      <c r="FUH31" s="3" t="s">
        <v>383</v>
      </c>
      <c r="FUI31" s="3" t="s">
        <v>382</v>
      </c>
      <c r="FUJ31" s="3" t="s">
        <v>383</v>
      </c>
      <c r="FUK31" s="3" t="s">
        <v>382</v>
      </c>
      <c r="FUL31" s="3" t="s">
        <v>383</v>
      </c>
      <c r="FUM31" s="3" t="s">
        <v>382</v>
      </c>
      <c r="FUN31" s="3" t="s">
        <v>383</v>
      </c>
      <c r="FUO31" s="3" t="s">
        <v>382</v>
      </c>
      <c r="FUP31" s="3" t="s">
        <v>383</v>
      </c>
      <c r="FUQ31" s="3" t="s">
        <v>382</v>
      </c>
      <c r="FUR31" s="3" t="s">
        <v>383</v>
      </c>
      <c r="FUS31" s="3" t="s">
        <v>382</v>
      </c>
      <c r="FUT31" s="3" t="s">
        <v>383</v>
      </c>
      <c r="FUU31" s="3" t="s">
        <v>382</v>
      </c>
      <c r="FUV31" s="3" t="s">
        <v>383</v>
      </c>
      <c r="FUW31" s="3" t="s">
        <v>382</v>
      </c>
      <c r="FUX31" s="3" t="s">
        <v>383</v>
      </c>
      <c r="FUY31" s="3" t="s">
        <v>382</v>
      </c>
      <c r="FUZ31" s="3" t="s">
        <v>383</v>
      </c>
      <c r="FVA31" s="3" t="s">
        <v>382</v>
      </c>
      <c r="FVB31" s="3" t="s">
        <v>383</v>
      </c>
      <c r="FVC31" s="3" t="s">
        <v>382</v>
      </c>
      <c r="FVD31" s="3" t="s">
        <v>383</v>
      </c>
      <c r="FVE31" s="3" t="s">
        <v>382</v>
      </c>
      <c r="FVF31" s="3" t="s">
        <v>383</v>
      </c>
      <c r="FVG31" s="3" t="s">
        <v>382</v>
      </c>
      <c r="FVH31" s="3" t="s">
        <v>383</v>
      </c>
      <c r="FVI31" s="3" t="s">
        <v>382</v>
      </c>
      <c r="FVJ31" s="3" t="s">
        <v>383</v>
      </c>
      <c r="FVK31" s="3" t="s">
        <v>382</v>
      </c>
      <c r="FVL31" s="3" t="s">
        <v>383</v>
      </c>
      <c r="FVM31" s="3" t="s">
        <v>382</v>
      </c>
      <c r="FVN31" s="3" t="s">
        <v>383</v>
      </c>
      <c r="FVO31" s="3" t="s">
        <v>382</v>
      </c>
      <c r="FVP31" s="3" t="s">
        <v>383</v>
      </c>
      <c r="FVQ31" s="3" t="s">
        <v>382</v>
      </c>
      <c r="FVR31" s="3" t="s">
        <v>383</v>
      </c>
      <c r="FVS31" s="3" t="s">
        <v>382</v>
      </c>
      <c r="FVT31" s="3" t="s">
        <v>383</v>
      </c>
      <c r="FVU31" s="3" t="s">
        <v>382</v>
      </c>
      <c r="FVV31" s="3" t="s">
        <v>383</v>
      </c>
      <c r="FVW31" s="3" t="s">
        <v>382</v>
      </c>
      <c r="FVX31" s="3" t="s">
        <v>383</v>
      </c>
      <c r="FVY31" s="3" t="s">
        <v>382</v>
      </c>
      <c r="FVZ31" s="3" t="s">
        <v>383</v>
      </c>
      <c r="FWA31" s="3" t="s">
        <v>382</v>
      </c>
      <c r="FWB31" s="3" t="s">
        <v>383</v>
      </c>
      <c r="FWC31" s="3" t="s">
        <v>382</v>
      </c>
      <c r="FWD31" s="3" t="s">
        <v>383</v>
      </c>
      <c r="FWE31" s="3" t="s">
        <v>382</v>
      </c>
      <c r="FWF31" s="3" t="s">
        <v>383</v>
      </c>
      <c r="FWG31" s="3" t="s">
        <v>382</v>
      </c>
      <c r="FWH31" s="3" t="s">
        <v>383</v>
      </c>
      <c r="FWI31" s="3" t="s">
        <v>382</v>
      </c>
      <c r="FWJ31" s="3" t="s">
        <v>383</v>
      </c>
      <c r="FWK31" s="3" t="s">
        <v>382</v>
      </c>
      <c r="FWL31" s="3" t="s">
        <v>383</v>
      </c>
      <c r="FWM31" s="3" t="s">
        <v>382</v>
      </c>
      <c r="FWN31" s="3" t="s">
        <v>383</v>
      </c>
      <c r="FWO31" s="3" t="s">
        <v>382</v>
      </c>
      <c r="FWP31" s="3" t="s">
        <v>383</v>
      </c>
      <c r="FWQ31" s="3" t="s">
        <v>382</v>
      </c>
      <c r="FWR31" s="3" t="s">
        <v>383</v>
      </c>
      <c r="FWS31" s="3" t="s">
        <v>382</v>
      </c>
      <c r="FWT31" s="3" t="s">
        <v>383</v>
      </c>
      <c r="FWU31" s="3" t="s">
        <v>382</v>
      </c>
      <c r="FWV31" s="3" t="s">
        <v>383</v>
      </c>
      <c r="FWW31" s="3" t="s">
        <v>382</v>
      </c>
      <c r="FWX31" s="3" t="s">
        <v>383</v>
      </c>
      <c r="FWY31" s="3" t="s">
        <v>382</v>
      </c>
      <c r="FWZ31" s="3" t="s">
        <v>383</v>
      </c>
      <c r="FXA31" s="3" t="s">
        <v>382</v>
      </c>
      <c r="FXB31" s="3" t="s">
        <v>383</v>
      </c>
      <c r="FXC31" s="3" t="s">
        <v>382</v>
      </c>
      <c r="FXD31" s="3" t="s">
        <v>383</v>
      </c>
      <c r="FXE31" s="3" t="s">
        <v>382</v>
      </c>
      <c r="FXF31" s="3" t="s">
        <v>383</v>
      </c>
      <c r="FXG31" s="3" t="s">
        <v>382</v>
      </c>
      <c r="FXH31" s="3" t="s">
        <v>383</v>
      </c>
      <c r="FXI31" s="3" t="s">
        <v>382</v>
      </c>
      <c r="FXJ31" s="3" t="s">
        <v>383</v>
      </c>
      <c r="FXK31" s="3" t="s">
        <v>382</v>
      </c>
      <c r="FXL31" s="3" t="s">
        <v>383</v>
      </c>
      <c r="FXM31" s="3" t="s">
        <v>382</v>
      </c>
      <c r="FXN31" s="3" t="s">
        <v>383</v>
      </c>
      <c r="FXO31" s="3" t="s">
        <v>382</v>
      </c>
      <c r="FXP31" s="3" t="s">
        <v>383</v>
      </c>
      <c r="FXQ31" s="3" t="s">
        <v>382</v>
      </c>
      <c r="FXR31" s="3" t="s">
        <v>383</v>
      </c>
      <c r="FXS31" s="3" t="s">
        <v>382</v>
      </c>
      <c r="FXT31" s="3" t="s">
        <v>383</v>
      </c>
      <c r="FXU31" s="3" t="s">
        <v>382</v>
      </c>
      <c r="FXV31" s="3" t="s">
        <v>383</v>
      </c>
      <c r="FXW31" s="3" t="s">
        <v>382</v>
      </c>
      <c r="FXX31" s="3" t="s">
        <v>383</v>
      </c>
      <c r="FXY31" s="3" t="s">
        <v>382</v>
      </c>
      <c r="FXZ31" s="3" t="s">
        <v>383</v>
      </c>
      <c r="FYA31" s="3" t="s">
        <v>382</v>
      </c>
      <c r="FYB31" s="3" t="s">
        <v>383</v>
      </c>
      <c r="FYC31" s="3" t="s">
        <v>382</v>
      </c>
      <c r="FYD31" s="3" t="s">
        <v>383</v>
      </c>
      <c r="FYE31" s="3" t="s">
        <v>382</v>
      </c>
      <c r="FYF31" s="3" t="s">
        <v>383</v>
      </c>
      <c r="FYG31" s="3" t="s">
        <v>382</v>
      </c>
      <c r="FYH31" s="3" t="s">
        <v>383</v>
      </c>
      <c r="FYI31" s="3" t="s">
        <v>382</v>
      </c>
      <c r="FYJ31" s="3" t="s">
        <v>383</v>
      </c>
      <c r="FYK31" s="3" t="s">
        <v>382</v>
      </c>
      <c r="FYL31" s="3" t="s">
        <v>383</v>
      </c>
      <c r="FYM31" s="3" t="s">
        <v>382</v>
      </c>
      <c r="FYN31" s="3" t="s">
        <v>383</v>
      </c>
      <c r="FYO31" s="3" t="s">
        <v>382</v>
      </c>
      <c r="FYP31" s="3" t="s">
        <v>383</v>
      </c>
      <c r="FYQ31" s="3" t="s">
        <v>382</v>
      </c>
      <c r="FYR31" s="3" t="s">
        <v>383</v>
      </c>
      <c r="FYS31" s="3" t="s">
        <v>382</v>
      </c>
      <c r="FYT31" s="3" t="s">
        <v>383</v>
      </c>
      <c r="FYU31" s="3" t="s">
        <v>382</v>
      </c>
      <c r="FYV31" s="3" t="s">
        <v>383</v>
      </c>
      <c r="FYW31" s="3" t="s">
        <v>382</v>
      </c>
      <c r="FYX31" s="3" t="s">
        <v>383</v>
      </c>
      <c r="FYY31" s="3" t="s">
        <v>382</v>
      </c>
      <c r="FYZ31" s="3" t="s">
        <v>383</v>
      </c>
      <c r="FZA31" s="3" t="s">
        <v>382</v>
      </c>
      <c r="FZB31" s="3" t="s">
        <v>383</v>
      </c>
      <c r="FZC31" s="3" t="s">
        <v>382</v>
      </c>
      <c r="FZD31" s="3" t="s">
        <v>383</v>
      </c>
      <c r="FZE31" s="3" t="s">
        <v>382</v>
      </c>
      <c r="FZF31" s="3" t="s">
        <v>383</v>
      </c>
      <c r="FZG31" s="3" t="s">
        <v>382</v>
      </c>
      <c r="FZH31" s="3" t="s">
        <v>383</v>
      </c>
      <c r="FZI31" s="3" t="s">
        <v>382</v>
      </c>
      <c r="FZJ31" s="3" t="s">
        <v>383</v>
      </c>
      <c r="FZK31" s="3" t="s">
        <v>382</v>
      </c>
      <c r="FZL31" s="3" t="s">
        <v>383</v>
      </c>
      <c r="FZM31" s="3" t="s">
        <v>382</v>
      </c>
      <c r="FZN31" s="3" t="s">
        <v>383</v>
      </c>
      <c r="FZO31" s="3" t="s">
        <v>382</v>
      </c>
      <c r="FZP31" s="3" t="s">
        <v>383</v>
      </c>
      <c r="FZQ31" s="3" t="s">
        <v>382</v>
      </c>
      <c r="FZR31" s="3" t="s">
        <v>383</v>
      </c>
      <c r="FZS31" s="3" t="s">
        <v>382</v>
      </c>
      <c r="FZT31" s="3" t="s">
        <v>383</v>
      </c>
      <c r="FZU31" s="3" t="s">
        <v>382</v>
      </c>
      <c r="FZV31" s="3" t="s">
        <v>383</v>
      </c>
      <c r="FZW31" s="3" t="s">
        <v>382</v>
      </c>
      <c r="FZX31" s="3" t="s">
        <v>383</v>
      </c>
      <c r="FZY31" s="3" t="s">
        <v>382</v>
      </c>
      <c r="FZZ31" s="3" t="s">
        <v>383</v>
      </c>
      <c r="GAA31" s="3" t="s">
        <v>382</v>
      </c>
      <c r="GAB31" s="3" t="s">
        <v>383</v>
      </c>
      <c r="GAC31" s="3" t="s">
        <v>382</v>
      </c>
      <c r="GAD31" s="3" t="s">
        <v>383</v>
      </c>
      <c r="GAE31" s="3" t="s">
        <v>382</v>
      </c>
      <c r="GAF31" s="3" t="s">
        <v>383</v>
      </c>
      <c r="GAG31" s="3" t="s">
        <v>382</v>
      </c>
      <c r="GAH31" s="3" t="s">
        <v>383</v>
      </c>
      <c r="GAI31" s="3" t="s">
        <v>382</v>
      </c>
      <c r="GAJ31" s="3" t="s">
        <v>383</v>
      </c>
      <c r="GAK31" s="3" t="s">
        <v>382</v>
      </c>
      <c r="GAL31" s="3" t="s">
        <v>383</v>
      </c>
      <c r="GAM31" s="3" t="s">
        <v>382</v>
      </c>
      <c r="GAN31" s="3" t="s">
        <v>383</v>
      </c>
      <c r="GAO31" s="3" t="s">
        <v>382</v>
      </c>
      <c r="GAP31" s="3" t="s">
        <v>383</v>
      </c>
      <c r="GAQ31" s="3" t="s">
        <v>382</v>
      </c>
      <c r="GAR31" s="3" t="s">
        <v>383</v>
      </c>
      <c r="GAS31" s="3" t="s">
        <v>382</v>
      </c>
      <c r="GAT31" s="3" t="s">
        <v>383</v>
      </c>
      <c r="GAU31" s="3" t="s">
        <v>382</v>
      </c>
      <c r="GAV31" s="3" t="s">
        <v>383</v>
      </c>
      <c r="GAW31" s="3" t="s">
        <v>382</v>
      </c>
      <c r="GAX31" s="3" t="s">
        <v>383</v>
      </c>
      <c r="GAY31" s="3" t="s">
        <v>382</v>
      </c>
      <c r="GAZ31" s="3" t="s">
        <v>383</v>
      </c>
      <c r="GBA31" s="3" t="s">
        <v>382</v>
      </c>
      <c r="GBB31" s="3" t="s">
        <v>383</v>
      </c>
      <c r="GBC31" s="3" t="s">
        <v>382</v>
      </c>
      <c r="GBD31" s="3" t="s">
        <v>383</v>
      </c>
      <c r="GBE31" s="3" t="s">
        <v>382</v>
      </c>
      <c r="GBF31" s="3" t="s">
        <v>383</v>
      </c>
      <c r="GBG31" s="3" t="s">
        <v>382</v>
      </c>
      <c r="GBH31" s="3" t="s">
        <v>383</v>
      </c>
      <c r="GBI31" s="3" t="s">
        <v>382</v>
      </c>
      <c r="GBJ31" s="3" t="s">
        <v>383</v>
      </c>
      <c r="GBK31" s="3" t="s">
        <v>382</v>
      </c>
      <c r="GBL31" s="3" t="s">
        <v>383</v>
      </c>
      <c r="GBM31" s="3" t="s">
        <v>382</v>
      </c>
      <c r="GBN31" s="3" t="s">
        <v>383</v>
      </c>
      <c r="GBO31" s="3" t="s">
        <v>382</v>
      </c>
      <c r="GBP31" s="3" t="s">
        <v>383</v>
      </c>
      <c r="GBQ31" s="3" t="s">
        <v>382</v>
      </c>
      <c r="GBR31" s="3" t="s">
        <v>383</v>
      </c>
      <c r="GBS31" s="3" t="s">
        <v>382</v>
      </c>
      <c r="GBT31" s="3" t="s">
        <v>383</v>
      </c>
      <c r="GBU31" s="3" t="s">
        <v>382</v>
      </c>
      <c r="GBV31" s="3" t="s">
        <v>383</v>
      </c>
      <c r="GBW31" s="3" t="s">
        <v>382</v>
      </c>
      <c r="GBX31" s="3" t="s">
        <v>383</v>
      </c>
      <c r="GBY31" s="3" t="s">
        <v>382</v>
      </c>
      <c r="GBZ31" s="3" t="s">
        <v>383</v>
      </c>
      <c r="GCA31" s="3" t="s">
        <v>382</v>
      </c>
      <c r="GCB31" s="3" t="s">
        <v>383</v>
      </c>
      <c r="GCC31" s="3" t="s">
        <v>382</v>
      </c>
      <c r="GCD31" s="3" t="s">
        <v>383</v>
      </c>
      <c r="GCE31" s="3" t="s">
        <v>382</v>
      </c>
      <c r="GCF31" s="3" t="s">
        <v>383</v>
      </c>
      <c r="GCG31" s="3" t="s">
        <v>382</v>
      </c>
      <c r="GCH31" s="3" t="s">
        <v>383</v>
      </c>
      <c r="GCI31" s="3" t="s">
        <v>382</v>
      </c>
      <c r="GCJ31" s="3" t="s">
        <v>383</v>
      </c>
      <c r="GCK31" s="3" t="s">
        <v>382</v>
      </c>
      <c r="GCL31" s="3" t="s">
        <v>383</v>
      </c>
      <c r="GCM31" s="3" t="s">
        <v>382</v>
      </c>
      <c r="GCN31" s="3" t="s">
        <v>383</v>
      </c>
      <c r="GCO31" s="3" t="s">
        <v>382</v>
      </c>
      <c r="GCP31" s="3" t="s">
        <v>383</v>
      </c>
      <c r="GCQ31" s="3" t="s">
        <v>382</v>
      </c>
      <c r="GCR31" s="3" t="s">
        <v>383</v>
      </c>
      <c r="GCS31" s="3" t="s">
        <v>382</v>
      </c>
      <c r="GCT31" s="3" t="s">
        <v>383</v>
      </c>
      <c r="GCU31" s="3" t="s">
        <v>382</v>
      </c>
      <c r="GCV31" s="3" t="s">
        <v>383</v>
      </c>
      <c r="GCW31" s="3" t="s">
        <v>382</v>
      </c>
      <c r="GCX31" s="3" t="s">
        <v>383</v>
      </c>
      <c r="GCY31" s="3" t="s">
        <v>382</v>
      </c>
      <c r="GCZ31" s="3" t="s">
        <v>383</v>
      </c>
      <c r="GDA31" s="3" t="s">
        <v>382</v>
      </c>
      <c r="GDB31" s="3" t="s">
        <v>383</v>
      </c>
      <c r="GDC31" s="3" t="s">
        <v>382</v>
      </c>
      <c r="GDD31" s="3" t="s">
        <v>383</v>
      </c>
      <c r="GDE31" s="3" t="s">
        <v>382</v>
      </c>
      <c r="GDF31" s="3" t="s">
        <v>383</v>
      </c>
      <c r="GDG31" s="3" t="s">
        <v>382</v>
      </c>
      <c r="GDH31" s="3" t="s">
        <v>383</v>
      </c>
      <c r="GDI31" s="3" t="s">
        <v>382</v>
      </c>
      <c r="GDJ31" s="3" t="s">
        <v>383</v>
      </c>
      <c r="GDK31" s="3" t="s">
        <v>382</v>
      </c>
      <c r="GDL31" s="3" t="s">
        <v>383</v>
      </c>
      <c r="GDM31" s="3" t="s">
        <v>382</v>
      </c>
      <c r="GDN31" s="3" t="s">
        <v>383</v>
      </c>
      <c r="GDO31" s="3" t="s">
        <v>382</v>
      </c>
      <c r="GDP31" s="3" t="s">
        <v>383</v>
      </c>
      <c r="GDQ31" s="3" t="s">
        <v>382</v>
      </c>
      <c r="GDR31" s="3" t="s">
        <v>383</v>
      </c>
      <c r="GDS31" s="3" t="s">
        <v>382</v>
      </c>
      <c r="GDT31" s="3" t="s">
        <v>383</v>
      </c>
      <c r="GDU31" s="3" t="s">
        <v>382</v>
      </c>
      <c r="GDV31" s="3" t="s">
        <v>383</v>
      </c>
      <c r="GDW31" s="3" t="s">
        <v>382</v>
      </c>
      <c r="GDX31" s="3" t="s">
        <v>383</v>
      </c>
      <c r="GDY31" s="3" t="s">
        <v>382</v>
      </c>
      <c r="GDZ31" s="3" t="s">
        <v>383</v>
      </c>
      <c r="GEA31" s="3" t="s">
        <v>382</v>
      </c>
      <c r="GEB31" s="3" t="s">
        <v>383</v>
      </c>
      <c r="GEC31" s="3" t="s">
        <v>382</v>
      </c>
      <c r="GED31" s="3" t="s">
        <v>383</v>
      </c>
      <c r="GEE31" s="3" t="s">
        <v>382</v>
      </c>
      <c r="GEF31" s="3" t="s">
        <v>383</v>
      </c>
      <c r="GEG31" s="3" t="s">
        <v>382</v>
      </c>
      <c r="GEH31" s="3" t="s">
        <v>383</v>
      </c>
      <c r="GEI31" s="3" t="s">
        <v>382</v>
      </c>
      <c r="GEJ31" s="3" t="s">
        <v>383</v>
      </c>
      <c r="GEK31" s="3" t="s">
        <v>382</v>
      </c>
      <c r="GEL31" s="3" t="s">
        <v>383</v>
      </c>
      <c r="GEM31" s="3" t="s">
        <v>382</v>
      </c>
      <c r="GEN31" s="3" t="s">
        <v>383</v>
      </c>
      <c r="GEO31" s="3" t="s">
        <v>382</v>
      </c>
      <c r="GEP31" s="3" t="s">
        <v>383</v>
      </c>
      <c r="GEQ31" s="3" t="s">
        <v>382</v>
      </c>
      <c r="GER31" s="3" t="s">
        <v>383</v>
      </c>
      <c r="GES31" s="3" t="s">
        <v>382</v>
      </c>
      <c r="GET31" s="3" t="s">
        <v>383</v>
      </c>
      <c r="GEU31" s="3" t="s">
        <v>382</v>
      </c>
      <c r="GEV31" s="3" t="s">
        <v>383</v>
      </c>
      <c r="GEW31" s="3" t="s">
        <v>382</v>
      </c>
      <c r="GEX31" s="3" t="s">
        <v>383</v>
      </c>
      <c r="GEY31" s="3" t="s">
        <v>382</v>
      </c>
      <c r="GEZ31" s="3" t="s">
        <v>383</v>
      </c>
      <c r="GFA31" s="3" t="s">
        <v>382</v>
      </c>
      <c r="GFB31" s="3" t="s">
        <v>383</v>
      </c>
      <c r="GFC31" s="3" t="s">
        <v>382</v>
      </c>
      <c r="GFD31" s="3" t="s">
        <v>383</v>
      </c>
      <c r="GFE31" s="3" t="s">
        <v>382</v>
      </c>
      <c r="GFF31" s="3" t="s">
        <v>383</v>
      </c>
      <c r="GFG31" s="3" t="s">
        <v>382</v>
      </c>
      <c r="GFH31" s="3" t="s">
        <v>383</v>
      </c>
      <c r="GFI31" s="3" t="s">
        <v>382</v>
      </c>
      <c r="GFJ31" s="3" t="s">
        <v>383</v>
      </c>
      <c r="GFK31" s="3" t="s">
        <v>382</v>
      </c>
      <c r="GFL31" s="3" t="s">
        <v>383</v>
      </c>
      <c r="GFM31" s="3" t="s">
        <v>382</v>
      </c>
      <c r="GFN31" s="3" t="s">
        <v>383</v>
      </c>
      <c r="GFO31" s="3" t="s">
        <v>382</v>
      </c>
      <c r="GFP31" s="3" t="s">
        <v>383</v>
      </c>
      <c r="GFQ31" s="3" t="s">
        <v>382</v>
      </c>
      <c r="GFR31" s="3" t="s">
        <v>383</v>
      </c>
      <c r="GFS31" s="3" t="s">
        <v>382</v>
      </c>
      <c r="GFT31" s="3" t="s">
        <v>383</v>
      </c>
      <c r="GFU31" s="3" t="s">
        <v>382</v>
      </c>
      <c r="GFV31" s="3" t="s">
        <v>383</v>
      </c>
      <c r="GFW31" s="3" t="s">
        <v>382</v>
      </c>
      <c r="GFX31" s="3" t="s">
        <v>383</v>
      </c>
      <c r="GFY31" s="3" t="s">
        <v>382</v>
      </c>
      <c r="GFZ31" s="3" t="s">
        <v>383</v>
      </c>
      <c r="GGA31" s="3" t="s">
        <v>382</v>
      </c>
      <c r="GGB31" s="3" t="s">
        <v>383</v>
      </c>
      <c r="GGC31" s="3" t="s">
        <v>382</v>
      </c>
      <c r="GGD31" s="3" t="s">
        <v>383</v>
      </c>
      <c r="GGE31" s="3" t="s">
        <v>382</v>
      </c>
      <c r="GGF31" s="3" t="s">
        <v>383</v>
      </c>
      <c r="GGG31" s="3" t="s">
        <v>382</v>
      </c>
      <c r="GGH31" s="3" t="s">
        <v>383</v>
      </c>
      <c r="GGI31" s="3" t="s">
        <v>382</v>
      </c>
      <c r="GGJ31" s="3" t="s">
        <v>383</v>
      </c>
      <c r="GGK31" s="3" t="s">
        <v>382</v>
      </c>
      <c r="GGL31" s="3" t="s">
        <v>383</v>
      </c>
      <c r="GGM31" s="3" t="s">
        <v>382</v>
      </c>
      <c r="GGN31" s="3" t="s">
        <v>383</v>
      </c>
      <c r="GGO31" s="3" t="s">
        <v>382</v>
      </c>
      <c r="GGP31" s="3" t="s">
        <v>383</v>
      </c>
      <c r="GGQ31" s="3" t="s">
        <v>382</v>
      </c>
      <c r="GGR31" s="3" t="s">
        <v>383</v>
      </c>
      <c r="GGS31" s="3" t="s">
        <v>382</v>
      </c>
      <c r="GGT31" s="3" t="s">
        <v>383</v>
      </c>
      <c r="GGU31" s="3" t="s">
        <v>382</v>
      </c>
      <c r="GGV31" s="3" t="s">
        <v>383</v>
      </c>
      <c r="GGW31" s="3" t="s">
        <v>382</v>
      </c>
      <c r="GGX31" s="3" t="s">
        <v>383</v>
      </c>
      <c r="GGY31" s="3" t="s">
        <v>382</v>
      </c>
      <c r="GGZ31" s="3" t="s">
        <v>383</v>
      </c>
      <c r="GHA31" s="3" t="s">
        <v>382</v>
      </c>
      <c r="GHB31" s="3" t="s">
        <v>383</v>
      </c>
      <c r="GHC31" s="3" t="s">
        <v>382</v>
      </c>
      <c r="GHD31" s="3" t="s">
        <v>383</v>
      </c>
      <c r="GHE31" s="3" t="s">
        <v>382</v>
      </c>
      <c r="GHF31" s="3" t="s">
        <v>383</v>
      </c>
      <c r="GHG31" s="3" t="s">
        <v>382</v>
      </c>
      <c r="GHH31" s="3" t="s">
        <v>383</v>
      </c>
      <c r="GHI31" s="3" t="s">
        <v>382</v>
      </c>
      <c r="GHJ31" s="3" t="s">
        <v>383</v>
      </c>
      <c r="GHK31" s="3" t="s">
        <v>382</v>
      </c>
      <c r="GHL31" s="3" t="s">
        <v>383</v>
      </c>
      <c r="GHM31" s="3" t="s">
        <v>382</v>
      </c>
      <c r="GHN31" s="3" t="s">
        <v>383</v>
      </c>
      <c r="GHO31" s="3" t="s">
        <v>382</v>
      </c>
      <c r="GHP31" s="3" t="s">
        <v>383</v>
      </c>
      <c r="GHQ31" s="3" t="s">
        <v>382</v>
      </c>
      <c r="GHR31" s="3" t="s">
        <v>383</v>
      </c>
      <c r="GHS31" s="3" t="s">
        <v>382</v>
      </c>
      <c r="GHT31" s="3" t="s">
        <v>383</v>
      </c>
      <c r="GHU31" s="3" t="s">
        <v>382</v>
      </c>
      <c r="GHV31" s="3" t="s">
        <v>383</v>
      </c>
      <c r="GHW31" s="3" t="s">
        <v>382</v>
      </c>
      <c r="GHX31" s="3" t="s">
        <v>383</v>
      </c>
      <c r="GHY31" s="3" t="s">
        <v>382</v>
      </c>
      <c r="GHZ31" s="3" t="s">
        <v>383</v>
      </c>
      <c r="GIA31" s="3" t="s">
        <v>382</v>
      </c>
      <c r="GIB31" s="3" t="s">
        <v>383</v>
      </c>
      <c r="GIC31" s="3" t="s">
        <v>382</v>
      </c>
      <c r="GID31" s="3" t="s">
        <v>383</v>
      </c>
      <c r="GIE31" s="3" t="s">
        <v>382</v>
      </c>
      <c r="GIF31" s="3" t="s">
        <v>383</v>
      </c>
      <c r="GIG31" s="3" t="s">
        <v>382</v>
      </c>
      <c r="GIH31" s="3" t="s">
        <v>383</v>
      </c>
      <c r="GII31" s="3" t="s">
        <v>382</v>
      </c>
      <c r="GIJ31" s="3" t="s">
        <v>383</v>
      </c>
      <c r="GIK31" s="3" t="s">
        <v>382</v>
      </c>
      <c r="GIL31" s="3" t="s">
        <v>383</v>
      </c>
      <c r="GIM31" s="3" t="s">
        <v>382</v>
      </c>
      <c r="GIN31" s="3" t="s">
        <v>383</v>
      </c>
      <c r="GIO31" s="3" t="s">
        <v>382</v>
      </c>
      <c r="GIP31" s="3" t="s">
        <v>383</v>
      </c>
      <c r="GIQ31" s="3" t="s">
        <v>382</v>
      </c>
      <c r="GIR31" s="3" t="s">
        <v>383</v>
      </c>
      <c r="GIS31" s="3" t="s">
        <v>382</v>
      </c>
      <c r="GIT31" s="3" t="s">
        <v>383</v>
      </c>
      <c r="GIU31" s="3" t="s">
        <v>382</v>
      </c>
      <c r="GIV31" s="3" t="s">
        <v>383</v>
      </c>
      <c r="GIW31" s="3" t="s">
        <v>382</v>
      </c>
      <c r="GIX31" s="3" t="s">
        <v>383</v>
      </c>
      <c r="GIY31" s="3" t="s">
        <v>382</v>
      </c>
      <c r="GIZ31" s="3" t="s">
        <v>383</v>
      </c>
      <c r="GJA31" s="3" t="s">
        <v>382</v>
      </c>
      <c r="GJB31" s="3" t="s">
        <v>383</v>
      </c>
      <c r="GJC31" s="3" t="s">
        <v>382</v>
      </c>
      <c r="GJD31" s="3" t="s">
        <v>383</v>
      </c>
      <c r="GJE31" s="3" t="s">
        <v>382</v>
      </c>
      <c r="GJF31" s="3" t="s">
        <v>383</v>
      </c>
      <c r="GJG31" s="3" t="s">
        <v>382</v>
      </c>
      <c r="GJH31" s="3" t="s">
        <v>383</v>
      </c>
      <c r="GJI31" s="3" t="s">
        <v>382</v>
      </c>
      <c r="GJJ31" s="3" t="s">
        <v>383</v>
      </c>
      <c r="GJK31" s="3" t="s">
        <v>382</v>
      </c>
      <c r="GJL31" s="3" t="s">
        <v>383</v>
      </c>
      <c r="GJM31" s="3" t="s">
        <v>382</v>
      </c>
      <c r="GJN31" s="3" t="s">
        <v>383</v>
      </c>
      <c r="GJO31" s="3" t="s">
        <v>382</v>
      </c>
      <c r="GJP31" s="3" t="s">
        <v>383</v>
      </c>
      <c r="GJQ31" s="3" t="s">
        <v>382</v>
      </c>
      <c r="GJR31" s="3" t="s">
        <v>383</v>
      </c>
      <c r="GJS31" s="3" t="s">
        <v>382</v>
      </c>
      <c r="GJT31" s="3" t="s">
        <v>383</v>
      </c>
      <c r="GJU31" s="3" t="s">
        <v>382</v>
      </c>
      <c r="GJV31" s="3" t="s">
        <v>383</v>
      </c>
      <c r="GJW31" s="3" t="s">
        <v>382</v>
      </c>
      <c r="GJX31" s="3" t="s">
        <v>383</v>
      </c>
      <c r="GJY31" s="3" t="s">
        <v>382</v>
      </c>
      <c r="GJZ31" s="3" t="s">
        <v>383</v>
      </c>
      <c r="GKA31" s="3" t="s">
        <v>382</v>
      </c>
      <c r="GKB31" s="3" t="s">
        <v>383</v>
      </c>
      <c r="GKC31" s="3" t="s">
        <v>382</v>
      </c>
      <c r="GKD31" s="3" t="s">
        <v>383</v>
      </c>
      <c r="GKE31" s="3" t="s">
        <v>382</v>
      </c>
      <c r="GKF31" s="3" t="s">
        <v>383</v>
      </c>
      <c r="GKG31" s="3" t="s">
        <v>382</v>
      </c>
      <c r="GKH31" s="3" t="s">
        <v>383</v>
      </c>
      <c r="GKI31" s="3" t="s">
        <v>382</v>
      </c>
      <c r="GKJ31" s="3" t="s">
        <v>383</v>
      </c>
      <c r="GKK31" s="3" t="s">
        <v>382</v>
      </c>
      <c r="GKL31" s="3" t="s">
        <v>383</v>
      </c>
      <c r="GKM31" s="3" t="s">
        <v>382</v>
      </c>
      <c r="GKN31" s="3" t="s">
        <v>383</v>
      </c>
      <c r="GKO31" s="3" t="s">
        <v>382</v>
      </c>
      <c r="GKP31" s="3" t="s">
        <v>383</v>
      </c>
      <c r="GKQ31" s="3" t="s">
        <v>382</v>
      </c>
      <c r="GKR31" s="3" t="s">
        <v>383</v>
      </c>
      <c r="GKS31" s="3" t="s">
        <v>382</v>
      </c>
      <c r="GKT31" s="3" t="s">
        <v>383</v>
      </c>
      <c r="GKU31" s="3" t="s">
        <v>382</v>
      </c>
      <c r="GKV31" s="3" t="s">
        <v>383</v>
      </c>
      <c r="GKW31" s="3" t="s">
        <v>382</v>
      </c>
      <c r="GKX31" s="3" t="s">
        <v>383</v>
      </c>
      <c r="GKY31" s="3" t="s">
        <v>382</v>
      </c>
      <c r="GKZ31" s="3" t="s">
        <v>383</v>
      </c>
      <c r="GLA31" s="3" t="s">
        <v>382</v>
      </c>
      <c r="GLB31" s="3" t="s">
        <v>383</v>
      </c>
      <c r="GLC31" s="3" t="s">
        <v>382</v>
      </c>
      <c r="GLD31" s="3" t="s">
        <v>383</v>
      </c>
      <c r="GLE31" s="3" t="s">
        <v>382</v>
      </c>
      <c r="GLF31" s="3" t="s">
        <v>383</v>
      </c>
      <c r="GLG31" s="3" t="s">
        <v>382</v>
      </c>
      <c r="GLH31" s="3" t="s">
        <v>383</v>
      </c>
      <c r="GLI31" s="3" t="s">
        <v>382</v>
      </c>
      <c r="GLJ31" s="3" t="s">
        <v>383</v>
      </c>
      <c r="GLK31" s="3" t="s">
        <v>382</v>
      </c>
      <c r="GLL31" s="3" t="s">
        <v>383</v>
      </c>
      <c r="GLM31" s="3" t="s">
        <v>382</v>
      </c>
      <c r="GLN31" s="3" t="s">
        <v>383</v>
      </c>
      <c r="GLO31" s="3" t="s">
        <v>382</v>
      </c>
      <c r="GLP31" s="3" t="s">
        <v>383</v>
      </c>
      <c r="GLQ31" s="3" t="s">
        <v>382</v>
      </c>
      <c r="GLR31" s="3" t="s">
        <v>383</v>
      </c>
      <c r="GLS31" s="3" t="s">
        <v>382</v>
      </c>
      <c r="GLT31" s="3" t="s">
        <v>383</v>
      </c>
      <c r="GLU31" s="3" t="s">
        <v>382</v>
      </c>
      <c r="GLV31" s="3" t="s">
        <v>383</v>
      </c>
      <c r="GLW31" s="3" t="s">
        <v>382</v>
      </c>
      <c r="GLX31" s="3" t="s">
        <v>383</v>
      </c>
      <c r="GLY31" s="3" t="s">
        <v>382</v>
      </c>
      <c r="GLZ31" s="3" t="s">
        <v>383</v>
      </c>
      <c r="GMA31" s="3" t="s">
        <v>382</v>
      </c>
      <c r="GMB31" s="3" t="s">
        <v>383</v>
      </c>
      <c r="GMC31" s="3" t="s">
        <v>382</v>
      </c>
      <c r="GMD31" s="3" t="s">
        <v>383</v>
      </c>
      <c r="GME31" s="3" t="s">
        <v>382</v>
      </c>
      <c r="GMF31" s="3" t="s">
        <v>383</v>
      </c>
      <c r="GMG31" s="3" t="s">
        <v>382</v>
      </c>
      <c r="GMH31" s="3" t="s">
        <v>383</v>
      </c>
      <c r="GMI31" s="3" t="s">
        <v>382</v>
      </c>
      <c r="GMJ31" s="3" t="s">
        <v>383</v>
      </c>
      <c r="GMK31" s="3" t="s">
        <v>382</v>
      </c>
      <c r="GML31" s="3" t="s">
        <v>383</v>
      </c>
      <c r="GMM31" s="3" t="s">
        <v>382</v>
      </c>
      <c r="GMN31" s="3" t="s">
        <v>383</v>
      </c>
      <c r="GMO31" s="3" t="s">
        <v>382</v>
      </c>
      <c r="GMP31" s="3" t="s">
        <v>383</v>
      </c>
      <c r="GMQ31" s="3" t="s">
        <v>382</v>
      </c>
      <c r="GMR31" s="3" t="s">
        <v>383</v>
      </c>
      <c r="GMS31" s="3" t="s">
        <v>382</v>
      </c>
      <c r="GMT31" s="3" t="s">
        <v>383</v>
      </c>
      <c r="GMU31" s="3" t="s">
        <v>382</v>
      </c>
      <c r="GMV31" s="3" t="s">
        <v>383</v>
      </c>
      <c r="GMW31" s="3" t="s">
        <v>382</v>
      </c>
      <c r="GMX31" s="3" t="s">
        <v>383</v>
      </c>
      <c r="GMY31" s="3" t="s">
        <v>382</v>
      </c>
      <c r="GMZ31" s="3" t="s">
        <v>383</v>
      </c>
      <c r="GNA31" s="3" t="s">
        <v>382</v>
      </c>
      <c r="GNB31" s="3" t="s">
        <v>383</v>
      </c>
      <c r="GNC31" s="3" t="s">
        <v>382</v>
      </c>
      <c r="GND31" s="3" t="s">
        <v>383</v>
      </c>
      <c r="GNE31" s="3" t="s">
        <v>382</v>
      </c>
      <c r="GNF31" s="3" t="s">
        <v>383</v>
      </c>
      <c r="GNG31" s="3" t="s">
        <v>382</v>
      </c>
      <c r="GNH31" s="3" t="s">
        <v>383</v>
      </c>
      <c r="GNI31" s="3" t="s">
        <v>382</v>
      </c>
      <c r="GNJ31" s="3" t="s">
        <v>383</v>
      </c>
      <c r="GNK31" s="3" t="s">
        <v>382</v>
      </c>
      <c r="GNL31" s="3" t="s">
        <v>383</v>
      </c>
      <c r="GNM31" s="3" t="s">
        <v>382</v>
      </c>
      <c r="GNN31" s="3" t="s">
        <v>383</v>
      </c>
      <c r="GNO31" s="3" t="s">
        <v>382</v>
      </c>
      <c r="GNP31" s="3" t="s">
        <v>383</v>
      </c>
      <c r="GNQ31" s="3" t="s">
        <v>382</v>
      </c>
      <c r="GNR31" s="3" t="s">
        <v>383</v>
      </c>
      <c r="GNS31" s="3" t="s">
        <v>382</v>
      </c>
      <c r="GNT31" s="3" t="s">
        <v>383</v>
      </c>
      <c r="GNU31" s="3" t="s">
        <v>382</v>
      </c>
      <c r="GNV31" s="3" t="s">
        <v>383</v>
      </c>
      <c r="GNW31" s="3" t="s">
        <v>382</v>
      </c>
      <c r="GNX31" s="3" t="s">
        <v>383</v>
      </c>
      <c r="GNY31" s="3" t="s">
        <v>382</v>
      </c>
      <c r="GNZ31" s="3" t="s">
        <v>383</v>
      </c>
      <c r="GOA31" s="3" t="s">
        <v>382</v>
      </c>
      <c r="GOB31" s="3" t="s">
        <v>383</v>
      </c>
      <c r="GOC31" s="3" t="s">
        <v>382</v>
      </c>
      <c r="GOD31" s="3" t="s">
        <v>383</v>
      </c>
      <c r="GOE31" s="3" t="s">
        <v>382</v>
      </c>
      <c r="GOF31" s="3" t="s">
        <v>383</v>
      </c>
      <c r="GOG31" s="3" t="s">
        <v>382</v>
      </c>
      <c r="GOH31" s="3" t="s">
        <v>383</v>
      </c>
      <c r="GOI31" s="3" t="s">
        <v>382</v>
      </c>
      <c r="GOJ31" s="3" t="s">
        <v>383</v>
      </c>
      <c r="GOK31" s="3" t="s">
        <v>382</v>
      </c>
      <c r="GOL31" s="3" t="s">
        <v>383</v>
      </c>
      <c r="GOM31" s="3" t="s">
        <v>382</v>
      </c>
      <c r="GON31" s="3" t="s">
        <v>383</v>
      </c>
      <c r="GOO31" s="3" t="s">
        <v>382</v>
      </c>
      <c r="GOP31" s="3" t="s">
        <v>383</v>
      </c>
      <c r="GOQ31" s="3" t="s">
        <v>382</v>
      </c>
      <c r="GOR31" s="3" t="s">
        <v>383</v>
      </c>
      <c r="GOS31" s="3" t="s">
        <v>382</v>
      </c>
      <c r="GOT31" s="3" t="s">
        <v>383</v>
      </c>
      <c r="GOU31" s="3" t="s">
        <v>382</v>
      </c>
      <c r="GOV31" s="3" t="s">
        <v>383</v>
      </c>
      <c r="GOW31" s="3" t="s">
        <v>382</v>
      </c>
      <c r="GOX31" s="3" t="s">
        <v>383</v>
      </c>
      <c r="GOY31" s="3" t="s">
        <v>382</v>
      </c>
      <c r="GOZ31" s="3" t="s">
        <v>383</v>
      </c>
      <c r="GPA31" s="3" t="s">
        <v>382</v>
      </c>
      <c r="GPB31" s="3" t="s">
        <v>383</v>
      </c>
      <c r="GPC31" s="3" t="s">
        <v>382</v>
      </c>
      <c r="GPD31" s="3" t="s">
        <v>383</v>
      </c>
      <c r="GPE31" s="3" t="s">
        <v>382</v>
      </c>
      <c r="GPF31" s="3" t="s">
        <v>383</v>
      </c>
      <c r="GPG31" s="3" t="s">
        <v>382</v>
      </c>
      <c r="GPH31" s="3" t="s">
        <v>383</v>
      </c>
      <c r="GPI31" s="3" t="s">
        <v>382</v>
      </c>
      <c r="GPJ31" s="3" t="s">
        <v>383</v>
      </c>
      <c r="GPK31" s="3" t="s">
        <v>382</v>
      </c>
      <c r="GPL31" s="3" t="s">
        <v>383</v>
      </c>
      <c r="GPM31" s="3" t="s">
        <v>382</v>
      </c>
      <c r="GPN31" s="3" t="s">
        <v>383</v>
      </c>
      <c r="GPO31" s="3" t="s">
        <v>382</v>
      </c>
      <c r="GPP31" s="3" t="s">
        <v>383</v>
      </c>
      <c r="GPQ31" s="3" t="s">
        <v>382</v>
      </c>
      <c r="GPR31" s="3" t="s">
        <v>383</v>
      </c>
      <c r="GPS31" s="3" t="s">
        <v>382</v>
      </c>
      <c r="GPT31" s="3" t="s">
        <v>383</v>
      </c>
      <c r="GPU31" s="3" t="s">
        <v>382</v>
      </c>
      <c r="GPV31" s="3" t="s">
        <v>383</v>
      </c>
      <c r="GPW31" s="3" t="s">
        <v>382</v>
      </c>
      <c r="GPX31" s="3" t="s">
        <v>383</v>
      </c>
      <c r="GPY31" s="3" t="s">
        <v>382</v>
      </c>
      <c r="GPZ31" s="3" t="s">
        <v>383</v>
      </c>
      <c r="GQA31" s="3" t="s">
        <v>382</v>
      </c>
      <c r="GQB31" s="3" t="s">
        <v>383</v>
      </c>
      <c r="GQC31" s="3" t="s">
        <v>382</v>
      </c>
      <c r="GQD31" s="3" t="s">
        <v>383</v>
      </c>
      <c r="GQE31" s="3" t="s">
        <v>382</v>
      </c>
      <c r="GQF31" s="3" t="s">
        <v>383</v>
      </c>
      <c r="GQG31" s="3" t="s">
        <v>382</v>
      </c>
      <c r="GQH31" s="3" t="s">
        <v>383</v>
      </c>
      <c r="GQI31" s="3" t="s">
        <v>382</v>
      </c>
      <c r="GQJ31" s="3" t="s">
        <v>383</v>
      </c>
      <c r="GQK31" s="3" t="s">
        <v>382</v>
      </c>
      <c r="GQL31" s="3" t="s">
        <v>383</v>
      </c>
      <c r="GQM31" s="3" t="s">
        <v>382</v>
      </c>
      <c r="GQN31" s="3" t="s">
        <v>383</v>
      </c>
      <c r="GQO31" s="3" t="s">
        <v>382</v>
      </c>
      <c r="GQP31" s="3" t="s">
        <v>383</v>
      </c>
      <c r="GQQ31" s="3" t="s">
        <v>382</v>
      </c>
      <c r="GQR31" s="3" t="s">
        <v>383</v>
      </c>
      <c r="GQS31" s="3" t="s">
        <v>382</v>
      </c>
      <c r="GQT31" s="3" t="s">
        <v>383</v>
      </c>
      <c r="GQU31" s="3" t="s">
        <v>382</v>
      </c>
      <c r="GQV31" s="3" t="s">
        <v>383</v>
      </c>
      <c r="GQW31" s="3" t="s">
        <v>382</v>
      </c>
      <c r="GQX31" s="3" t="s">
        <v>383</v>
      </c>
      <c r="GQY31" s="3" t="s">
        <v>382</v>
      </c>
      <c r="GQZ31" s="3" t="s">
        <v>383</v>
      </c>
      <c r="GRA31" s="3" t="s">
        <v>382</v>
      </c>
      <c r="GRB31" s="3" t="s">
        <v>383</v>
      </c>
      <c r="GRC31" s="3" t="s">
        <v>382</v>
      </c>
      <c r="GRD31" s="3" t="s">
        <v>383</v>
      </c>
      <c r="GRE31" s="3" t="s">
        <v>382</v>
      </c>
      <c r="GRF31" s="3" t="s">
        <v>383</v>
      </c>
      <c r="GRG31" s="3" t="s">
        <v>382</v>
      </c>
      <c r="GRH31" s="3" t="s">
        <v>383</v>
      </c>
      <c r="GRI31" s="3" t="s">
        <v>382</v>
      </c>
      <c r="GRJ31" s="3" t="s">
        <v>383</v>
      </c>
      <c r="GRK31" s="3" t="s">
        <v>382</v>
      </c>
      <c r="GRL31" s="3" t="s">
        <v>383</v>
      </c>
      <c r="GRM31" s="3" t="s">
        <v>382</v>
      </c>
      <c r="GRN31" s="3" t="s">
        <v>383</v>
      </c>
      <c r="GRO31" s="3" t="s">
        <v>382</v>
      </c>
      <c r="GRP31" s="3" t="s">
        <v>383</v>
      </c>
      <c r="GRQ31" s="3" t="s">
        <v>382</v>
      </c>
      <c r="GRR31" s="3" t="s">
        <v>383</v>
      </c>
      <c r="GRS31" s="3" t="s">
        <v>382</v>
      </c>
      <c r="GRT31" s="3" t="s">
        <v>383</v>
      </c>
      <c r="GRU31" s="3" t="s">
        <v>382</v>
      </c>
      <c r="GRV31" s="3" t="s">
        <v>383</v>
      </c>
      <c r="GRW31" s="3" t="s">
        <v>382</v>
      </c>
      <c r="GRX31" s="3" t="s">
        <v>383</v>
      </c>
      <c r="GRY31" s="3" t="s">
        <v>382</v>
      </c>
      <c r="GRZ31" s="3" t="s">
        <v>383</v>
      </c>
      <c r="GSA31" s="3" t="s">
        <v>382</v>
      </c>
      <c r="GSB31" s="3" t="s">
        <v>383</v>
      </c>
      <c r="GSC31" s="3" t="s">
        <v>382</v>
      </c>
      <c r="GSD31" s="3" t="s">
        <v>383</v>
      </c>
      <c r="GSE31" s="3" t="s">
        <v>382</v>
      </c>
      <c r="GSF31" s="3" t="s">
        <v>383</v>
      </c>
      <c r="GSG31" s="3" t="s">
        <v>382</v>
      </c>
      <c r="GSH31" s="3" t="s">
        <v>383</v>
      </c>
      <c r="GSI31" s="3" t="s">
        <v>382</v>
      </c>
      <c r="GSJ31" s="3" t="s">
        <v>383</v>
      </c>
      <c r="GSK31" s="3" t="s">
        <v>382</v>
      </c>
      <c r="GSL31" s="3" t="s">
        <v>383</v>
      </c>
      <c r="GSM31" s="3" t="s">
        <v>382</v>
      </c>
      <c r="GSN31" s="3" t="s">
        <v>383</v>
      </c>
      <c r="GSO31" s="3" t="s">
        <v>382</v>
      </c>
      <c r="GSP31" s="3" t="s">
        <v>383</v>
      </c>
      <c r="GSQ31" s="3" t="s">
        <v>382</v>
      </c>
      <c r="GSR31" s="3" t="s">
        <v>383</v>
      </c>
      <c r="GSS31" s="3" t="s">
        <v>382</v>
      </c>
      <c r="GST31" s="3" t="s">
        <v>383</v>
      </c>
      <c r="GSU31" s="3" t="s">
        <v>382</v>
      </c>
      <c r="GSV31" s="3" t="s">
        <v>383</v>
      </c>
      <c r="GSW31" s="3" t="s">
        <v>382</v>
      </c>
      <c r="GSX31" s="3" t="s">
        <v>383</v>
      </c>
      <c r="GSY31" s="3" t="s">
        <v>382</v>
      </c>
      <c r="GSZ31" s="3" t="s">
        <v>383</v>
      </c>
      <c r="GTA31" s="3" t="s">
        <v>382</v>
      </c>
      <c r="GTB31" s="3" t="s">
        <v>383</v>
      </c>
      <c r="GTC31" s="3" t="s">
        <v>382</v>
      </c>
      <c r="GTD31" s="3" t="s">
        <v>383</v>
      </c>
      <c r="GTE31" s="3" t="s">
        <v>382</v>
      </c>
      <c r="GTF31" s="3" t="s">
        <v>383</v>
      </c>
      <c r="GTG31" s="3" t="s">
        <v>382</v>
      </c>
      <c r="GTH31" s="3" t="s">
        <v>383</v>
      </c>
      <c r="GTI31" s="3" t="s">
        <v>382</v>
      </c>
      <c r="GTJ31" s="3" t="s">
        <v>383</v>
      </c>
      <c r="GTK31" s="3" t="s">
        <v>382</v>
      </c>
      <c r="GTL31" s="3" t="s">
        <v>383</v>
      </c>
      <c r="GTM31" s="3" t="s">
        <v>382</v>
      </c>
      <c r="GTN31" s="3" t="s">
        <v>383</v>
      </c>
      <c r="GTO31" s="3" t="s">
        <v>382</v>
      </c>
      <c r="GTP31" s="3" t="s">
        <v>383</v>
      </c>
      <c r="GTQ31" s="3" t="s">
        <v>382</v>
      </c>
      <c r="GTR31" s="3" t="s">
        <v>383</v>
      </c>
      <c r="GTS31" s="3" t="s">
        <v>382</v>
      </c>
      <c r="GTT31" s="3" t="s">
        <v>383</v>
      </c>
      <c r="GTU31" s="3" t="s">
        <v>382</v>
      </c>
      <c r="GTV31" s="3" t="s">
        <v>383</v>
      </c>
      <c r="GTW31" s="3" t="s">
        <v>382</v>
      </c>
      <c r="GTX31" s="3" t="s">
        <v>383</v>
      </c>
      <c r="GTY31" s="3" t="s">
        <v>382</v>
      </c>
      <c r="GTZ31" s="3" t="s">
        <v>383</v>
      </c>
      <c r="GUA31" s="3" t="s">
        <v>382</v>
      </c>
      <c r="GUB31" s="3" t="s">
        <v>383</v>
      </c>
      <c r="GUC31" s="3" t="s">
        <v>382</v>
      </c>
      <c r="GUD31" s="3" t="s">
        <v>383</v>
      </c>
      <c r="GUE31" s="3" t="s">
        <v>382</v>
      </c>
      <c r="GUF31" s="3" t="s">
        <v>383</v>
      </c>
      <c r="GUG31" s="3" t="s">
        <v>382</v>
      </c>
      <c r="GUH31" s="3" t="s">
        <v>383</v>
      </c>
      <c r="GUI31" s="3" t="s">
        <v>382</v>
      </c>
      <c r="GUJ31" s="3" t="s">
        <v>383</v>
      </c>
      <c r="GUK31" s="3" t="s">
        <v>382</v>
      </c>
      <c r="GUL31" s="3" t="s">
        <v>383</v>
      </c>
      <c r="GUM31" s="3" t="s">
        <v>382</v>
      </c>
      <c r="GUN31" s="3" t="s">
        <v>383</v>
      </c>
      <c r="GUO31" s="3" t="s">
        <v>382</v>
      </c>
      <c r="GUP31" s="3" t="s">
        <v>383</v>
      </c>
      <c r="GUQ31" s="3" t="s">
        <v>382</v>
      </c>
      <c r="GUR31" s="3" t="s">
        <v>383</v>
      </c>
      <c r="GUS31" s="3" t="s">
        <v>382</v>
      </c>
      <c r="GUT31" s="3" t="s">
        <v>383</v>
      </c>
      <c r="GUU31" s="3" t="s">
        <v>382</v>
      </c>
      <c r="GUV31" s="3" t="s">
        <v>383</v>
      </c>
      <c r="GUW31" s="3" t="s">
        <v>382</v>
      </c>
      <c r="GUX31" s="3" t="s">
        <v>383</v>
      </c>
      <c r="GUY31" s="3" t="s">
        <v>382</v>
      </c>
      <c r="GUZ31" s="3" t="s">
        <v>383</v>
      </c>
      <c r="GVA31" s="3" t="s">
        <v>382</v>
      </c>
      <c r="GVB31" s="3" t="s">
        <v>383</v>
      </c>
      <c r="GVC31" s="3" t="s">
        <v>382</v>
      </c>
      <c r="GVD31" s="3" t="s">
        <v>383</v>
      </c>
      <c r="GVE31" s="3" t="s">
        <v>382</v>
      </c>
      <c r="GVF31" s="3" t="s">
        <v>383</v>
      </c>
      <c r="GVG31" s="3" t="s">
        <v>382</v>
      </c>
      <c r="GVH31" s="3" t="s">
        <v>383</v>
      </c>
      <c r="GVI31" s="3" t="s">
        <v>382</v>
      </c>
      <c r="GVJ31" s="3" t="s">
        <v>383</v>
      </c>
      <c r="GVK31" s="3" t="s">
        <v>382</v>
      </c>
      <c r="GVL31" s="3" t="s">
        <v>383</v>
      </c>
      <c r="GVM31" s="3" t="s">
        <v>382</v>
      </c>
      <c r="GVN31" s="3" t="s">
        <v>383</v>
      </c>
      <c r="GVO31" s="3" t="s">
        <v>382</v>
      </c>
      <c r="GVP31" s="3" t="s">
        <v>383</v>
      </c>
      <c r="GVQ31" s="3" t="s">
        <v>382</v>
      </c>
      <c r="GVR31" s="3" t="s">
        <v>383</v>
      </c>
      <c r="GVS31" s="3" t="s">
        <v>382</v>
      </c>
      <c r="GVT31" s="3" t="s">
        <v>383</v>
      </c>
      <c r="GVU31" s="3" t="s">
        <v>382</v>
      </c>
      <c r="GVV31" s="3" t="s">
        <v>383</v>
      </c>
      <c r="GVW31" s="3" t="s">
        <v>382</v>
      </c>
      <c r="GVX31" s="3" t="s">
        <v>383</v>
      </c>
      <c r="GVY31" s="3" t="s">
        <v>382</v>
      </c>
      <c r="GVZ31" s="3" t="s">
        <v>383</v>
      </c>
      <c r="GWA31" s="3" t="s">
        <v>382</v>
      </c>
      <c r="GWB31" s="3" t="s">
        <v>383</v>
      </c>
      <c r="GWC31" s="3" t="s">
        <v>382</v>
      </c>
      <c r="GWD31" s="3" t="s">
        <v>383</v>
      </c>
      <c r="GWE31" s="3" t="s">
        <v>382</v>
      </c>
      <c r="GWF31" s="3" t="s">
        <v>383</v>
      </c>
      <c r="GWG31" s="3" t="s">
        <v>382</v>
      </c>
      <c r="GWH31" s="3" t="s">
        <v>383</v>
      </c>
      <c r="GWI31" s="3" t="s">
        <v>382</v>
      </c>
      <c r="GWJ31" s="3" t="s">
        <v>383</v>
      </c>
      <c r="GWK31" s="3" t="s">
        <v>382</v>
      </c>
      <c r="GWL31" s="3" t="s">
        <v>383</v>
      </c>
      <c r="GWM31" s="3" t="s">
        <v>382</v>
      </c>
      <c r="GWN31" s="3" t="s">
        <v>383</v>
      </c>
      <c r="GWO31" s="3" t="s">
        <v>382</v>
      </c>
      <c r="GWP31" s="3" t="s">
        <v>383</v>
      </c>
      <c r="GWQ31" s="3" t="s">
        <v>382</v>
      </c>
      <c r="GWR31" s="3" t="s">
        <v>383</v>
      </c>
      <c r="GWS31" s="3" t="s">
        <v>382</v>
      </c>
      <c r="GWT31" s="3" t="s">
        <v>383</v>
      </c>
      <c r="GWU31" s="3" t="s">
        <v>382</v>
      </c>
      <c r="GWV31" s="3" t="s">
        <v>383</v>
      </c>
      <c r="GWW31" s="3" t="s">
        <v>382</v>
      </c>
      <c r="GWX31" s="3" t="s">
        <v>383</v>
      </c>
      <c r="GWY31" s="3" t="s">
        <v>382</v>
      </c>
      <c r="GWZ31" s="3" t="s">
        <v>383</v>
      </c>
      <c r="GXA31" s="3" t="s">
        <v>382</v>
      </c>
      <c r="GXB31" s="3" t="s">
        <v>383</v>
      </c>
      <c r="GXC31" s="3" t="s">
        <v>382</v>
      </c>
      <c r="GXD31" s="3" t="s">
        <v>383</v>
      </c>
      <c r="GXE31" s="3" t="s">
        <v>382</v>
      </c>
      <c r="GXF31" s="3" t="s">
        <v>383</v>
      </c>
      <c r="GXG31" s="3" t="s">
        <v>382</v>
      </c>
      <c r="GXH31" s="3" t="s">
        <v>383</v>
      </c>
      <c r="GXI31" s="3" t="s">
        <v>382</v>
      </c>
      <c r="GXJ31" s="3" t="s">
        <v>383</v>
      </c>
      <c r="GXK31" s="3" t="s">
        <v>382</v>
      </c>
      <c r="GXL31" s="3" t="s">
        <v>383</v>
      </c>
      <c r="GXM31" s="3" t="s">
        <v>382</v>
      </c>
      <c r="GXN31" s="3" t="s">
        <v>383</v>
      </c>
      <c r="GXO31" s="3" t="s">
        <v>382</v>
      </c>
      <c r="GXP31" s="3" t="s">
        <v>383</v>
      </c>
      <c r="GXQ31" s="3" t="s">
        <v>382</v>
      </c>
      <c r="GXR31" s="3" t="s">
        <v>383</v>
      </c>
      <c r="GXS31" s="3" t="s">
        <v>382</v>
      </c>
      <c r="GXT31" s="3" t="s">
        <v>383</v>
      </c>
      <c r="GXU31" s="3" t="s">
        <v>382</v>
      </c>
      <c r="GXV31" s="3" t="s">
        <v>383</v>
      </c>
      <c r="GXW31" s="3" t="s">
        <v>382</v>
      </c>
      <c r="GXX31" s="3" t="s">
        <v>383</v>
      </c>
      <c r="GXY31" s="3" t="s">
        <v>382</v>
      </c>
      <c r="GXZ31" s="3" t="s">
        <v>383</v>
      </c>
      <c r="GYA31" s="3" t="s">
        <v>382</v>
      </c>
      <c r="GYB31" s="3" t="s">
        <v>383</v>
      </c>
      <c r="GYC31" s="3" t="s">
        <v>382</v>
      </c>
      <c r="GYD31" s="3" t="s">
        <v>383</v>
      </c>
      <c r="GYE31" s="3" t="s">
        <v>382</v>
      </c>
      <c r="GYF31" s="3" t="s">
        <v>383</v>
      </c>
      <c r="GYG31" s="3" t="s">
        <v>382</v>
      </c>
      <c r="GYH31" s="3" t="s">
        <v>383</v>
      </c>
      <c r="GYI31" s="3" t="s">
        <v>382</v>
      </c>
      <c r="GYJ31" s="3" t="s">
        <v>383</v>
      </c>
      <c r="GYK31" s="3" t="s">
        <v>382</v>
      </c>
      <c r="GYL31" s="3" t="s">
        <v>383</v>
      </c>
      <c r="GYM31" s="3" t="s">
        <v>382</v>
      </c>
      <c r="GYN31" s="3" t="s">
        <v>383</v>
      </c>
      <c r="GYO31" s="3" t="s">
        <v>382</v>
      </c>
      <c r="GYP31" s="3" t="s">
        <v>383</v>
      </c>
      <c r="GYQ31" s="3" t="s">
        <v>382</v>
      </c>
      <c r="GYR31" s="3" t="s">
        <v>383</v>
      </c>
      <c r="GYS31" s="3" t="s">
        <v>382</v>
      </c>
      <c r="GYT31" s="3" t="s">
        <v>383</v>
      </c>
      <c r="GYU31" s="3" t="s">
        <v>382</v>
      </c>
      <c r="GYV31" s="3" t="s">
        <v>383</v>
      </c>
      <c r="GYW31" s="3" t="s">
        <v>382</v>
      </c>
      <c r="GYX31" s="3" t="s">
        <v>383</v>
      </c>
      <c r="GYY31" s="3" t="s">
        <v>382</v>
      </c>
      <c r="GYZ31" s="3" t="s">
        <v>383</v>
      </c>
      <c r="GZA31" s="3" t="s">
        <v>382</v>
      </c>
      <c r="GZB31" s="3" t="s">
        <v>383</v>
      </c>
      <c r="GZC31" s="3" t="s">
        <v>382</v>
      </c>
      <c r="GZD31" s="3" t="s">
        <v>383</v>
      </c>
      <c r="GZE31" s="3" t="s">
        <v>382</v>
      </c>
      <c r="GZF31" s="3" t="s">
        <v>383</v>
      </c>
      <c r="GZG31" s="3" t="s">
        <v>382</v>
      </c>
      <c r="GZH31" s="3" t="s">
        <v>383</v>
      </c>
      <c r="GZI31" s="3" t="s">
        <v>382</v>
      </c>
      <c r="GZJ31" s="3" t="s">
        <v>383</v>
      </c>
      <c r="GZK31" s="3" t="s">
        <v>382</v>
      </c>
      <c r="GZL31" s="3" t="s">
        <v>383</v>
      </c>
      <c r="GZM31" s="3" t="s">
        <v>382</v>
      </c>
      <c r="GZN31" s="3" t="s">
        <v>383</v>
      </c>
      <c r="GZO31" s="3" t="s">
        <v>382</v>
      </c>
      <c r="GZP31" s="3" t="s">
        <v>383</v>
      </c>
      <c r="GZQ31" s="3" t="s">
        <v>382</v>
      </c>
      <c r="GZR31" s="3" t="s">
        <v>383</v>
      </c>
      <c r="GZS31" s="3" t="s">
        <v>382</v>
      </c>
      <c r="GZT31" s="3" t="s">
        <v>383</v>
      </c>
      <c r="GZU31" s="3" t="s">
        <v>382</v>
      </c>
      <c r="GZV31" s="3" t="s">
        <v>383</v>
      </c>
      <c r="GZW31" s="3" t="s">
        <v>382</v>
      </c>
      <c r="GZX31" s="3" t="s">
        <v>383</v>
      </c>
      <c r="GZY31" s="3" t="s">
        <v>382</v>
      </c>
      <c r="GZZ31" s="3" t="s">
        <v>383</v>
      </c>
      <c r="HAA31" s="3" t="s">
        <v>382</v>
      </c>
      <c r="HAB31" s="3" t="s">
        <v>383</v>
      </c>
      <c r="HAC31" s="3" t="s">
        <v>382</v>
      </c>
      <c r="HAD31" s="3" t="s">
        <v>383</v>
      </c>
      <c r="HAE31" s="3" t="s">
        <v>382</v>
      </c>
      <c r="HAF31" s="3" t="s">
        <v>383</v>
      </c>
      <c r="HAG31" s="3" t="s">
        <v>382</v>
      </c>
      <c r="HAH31" s="3" t="s">
        <v>383</v>
      </c>
      <c r="HAI31" s="3" t="s">
        <v>382</v>
      </c>
      <c r="HAJ31" s="3" t="s">
        <v>383</v>
      </c>
      <c r="HAK31" s="3" t="s">
        <v>382</v>
      </c>
      <c r="HAL31" s="3" t="s">
        <v>383</v>
      </c>
      <c r="HAM31" s="3" t="s">
        <v>382</v>
      </c>
      <c r="HAN31" s="3" t="s">
        <v>383</v>
      </c>
      <c r="HAO31" s="3" t="s">
        <v>382</v>
      </c>
      <c r="HAP31" s="3" t="s">
        <v>383</v>
      </c>
      <c r="HAQ31" s="3" t="s">
        <v>382</v>
      </c>
      <c r="HAR31" s="3" t="s">
        <v>383</v>
      </c>
      <c r="HAS31" s="3" t="s">
        <v>382</v>
      </c>
      <c r="HAT31" s="3" t="s">
        <v>383</v>
      </c>
      <c r="HAU31" s="3" t="s">
        <v>382</v>
      </c>
      <c r="HAV31" s="3" t="s">
        <v>383</v>
      </c>
      <c r="HAW31" s="3" t="s">
        <v>382</v>
      </c>
      <c r="HAX31" s="3" t="s">
        <v>383</v>
      </c>
      <c r="HAY31" s="3" t="s">
        <v>382</v>
      </c>
      <c r="HAZ31" s="3" t="s">
        <v>383</v>
      </c>
      <c r="HBA31" s="3" t="s">
        <v>382</v>
      </c>
      <c r="HBB31" s="3" t="s">
        <v>383</v>
      </c>
      <c r="HBC31" s="3" t="s">
        <v>382</v>
      </c>
      <c r="HBD31" s="3" t="s">
        <v>383</v>
      </c>
      <c r="HBE31" s="3" t="s">
        <v>382</v>
      </c>
      <c r="HBF31" s="3" t="s">
        <v>383</v>
      </c>
      <c r="HBG31" s="3" t="s">
        <v>382</v>
      </c>
      <c r="HBH31" s="3" t="s">
        <v>383</v>
      </c>
      <c r="HBI31" s="3" t="s">
        <v>382</v>
      </c>
      <c r="HBJ31" s="3" t="s">
        <v>383</v>
      </c>
      <c r="HBK31" s="3" t="s">
        <v>382</v>
      </c>
      <c r="HBL31" s="3" t="s">
        <v>383</v>
      </c>
      <c r="HBM31" s="3" t="s">
        <v>382</v>
      </c>
      <c r="HBN31" s="3" t="s">
        <v>383</v>
      </c>
      <c r="HBO31" s="3" t="s">
        <v>382</v>
      </c>
      <c r="HBP31" s="3" t="s">
        <v>383</v>
      </c>
      <c r="HBQ31" s="3" t="s">
        <v>382</v>
      </c>
      <c r="HBR31" s="3" t="s">
        <v>383</v>
      </c>
      <c r="HBS31" s="3" t="s">
        <v>382</v>
      </c>
      <c r="HBT31" s="3" t="s">
        <v>383</v>
      </c>
      <c r="HBU31" s="3" t="s">
        <v>382</v>
      </c>
      <c r="HBV31" s="3" t="s">
        <v>383</v>
      </c>
      <c r="HBW31" s="3" t="s">
        <v>382</v>
      </c>
      <c r="HBX31" s="3" t="s">
        <v>383</v>
      </c>
      <c r="HBY31" s="3" t="s">
        <v>382</v>
      </c>
      <c r="HBZ31" s="3" t="s">
        <v>383</v>
      </c>
      <c r="HCA31" s="3" t="s">
        <v>382</v>
      </c>
      <c r="HCB31" s="3" t="s">
        <v>383</v>
      </c>
      <c r="HCC31" s="3" t="s">
        <v>382</v>
      </c>
      <c r="HCD31" s="3" t="s">
        <v>383</v>
      </c>
      <c r="HCE31" s="3" t="s">
        <v>382</v>
      </c>
      <c r="HCF31" s="3" t="s">
        <v>383</v>
      </c>
      <c r="HCG31" s="3" t="s">
        <v>382</v>
      </c>
      <c r="HCH31" s="3" t="s">
        <v>383</v>
      </c>
      <c r="HCI31" s="3" t="s">
        <v>382</v>
      </c>
      <c r="HCJ31" s="3" t="s">
        <v>383</v>
      </c>
      <c r="HCK31" s="3" t="s">
        <v>382</v>
      </c>
      <c r="HCL31" s="3" t="s">
        <v>383</v>
      </c>
      <c r="HCM31" s="3" t="s">
        <v>382</v>
      </c>
      <c r="HCN31" s="3" t="s">
        <v>383</v>
      </c>
      <c r="HCO31" s="3" t="s">
        <v>382</v>
      </c>
      <c r="HCP31" s="3" t="s">
        <v>383</v>
      </c>
      <c r="HCQ31" s="3" t="s">
        <v>382</v>
      </c>
      <c r="HCR31" s="3" t="s">
        <v>383</v>
      </c>
      <c r="HCS31" s="3" t="s">
        <v>382</v>
      </c>
      <c r="HCT31" s="3" t="s">
        <v>383</v>
      </c>
      <c r="HCU31" s="3" t="s">
        <v>382</v>
      </c>
      <c r="HCV31" s="3" t="s">
        <v>383</v>
      </c>
      <c r="HCW31" s="3" t="s">
        <v>382</v>
      </c>
      <c r="HCX31" s="3" t="s">
        <v>383</v>
      </c>
      <c r="HCY31" s="3" t="s">
        <v>382</v>
      </c>
      <c r="HCZ31" s="3" t="s">
        <v>383</v>
      </c>
      <c r="HDA31" s="3" t="s">
        <v>382</v>
      </c>
      <c r="HDB31" s="3" t="s">
        <v>383</v>
      </c>
      <c r="HDC31" s="3" t="s">
        <v>382</v>
      </c>
      <c r="HDD31" s="3" t="s">
        <v>383</v>
      </c>
      <c r="HDE31" s="3" t="s">
        <v>382</v>
      </c>
      <c r="HDF31" s="3" t="s">
        <v>383</v>
      </c>
      <c r="HDG31" s="3" t="s">
        <v>382</v>
      </c>
      <c r="HDH31" s="3" t="s">
        <v>383</v>
      </c>
      <c r="HDI31" s="3" t="s">
        <v>382</v>
      </c>
      <c r="HDJ31" s="3" t="s">
        <v>383</v>
      </c>
      <c r="HDK31" s="3" t="s">
        <v>382</v>
      </c>
      <c r="HDL31" s="3" t="s">
        <v>383</v>
      </c>
      <c r="HDM31" s="3" t="s">
        <v>382</v>
      </c>
      <c r="HDN31" s="3" t="s">
        <v>383</v>
      </c>
      <c r="HDO31" s="3" t="s">
        <v>382</v>
      </c>
      <c r="HDP31" s="3" t="s">
        <v>383</v>
      </c>
      <c r="HDQ31" s="3" t="s">
        <v>382</v>
      </c>
      <c r="HDR31" s="3" t="s">
        <v>383</v>
      </c>
      <c r="HDS31" s="3" t="s">
        <v>382</v>
      </c>
      <c r="HDT31" s="3" t="s">
        <v>383</v>
      </c>
      <c r="HDU31" s="3" t="s">
        <v>382</v>
      </c>
      <c r="HDV31" s="3" t="s">
        <v>383</v>
      </c>
      <c r="HDW31" s="3" t="s">
        <v>382</v>
      </c>
      <c r="HDX31" s="3" t="s">
        <v>383</v>
      </c>
      <c r="HDY31" s="3" t="s">
        <v>382</v>
      </c>
      <c r="HDZ31" s="3" t="s">
        <v>383</v>
      </c>
      <c r="HEA31" s="3" t="s">
        <v>382</v>
      </c>
      <c r="HEB31" s="3" t="s">
        <v>383</v>
      </c>
      <c r="HEC31" s="3" t="s">
        <v>382</v>
      </c>
      <c r="HED31" s="3" t="s">
        <v>383</v>
      </c>
      <c r="HEE31" s="3" t="s">
        <v>382</v>
      </c>
      <c r="HEF31" s="3" t="s">
        <v>383</v>
      </c>
      <c r="HEG31" s="3" t="s">
        <v>382</v>
      </c>
      <c r="HEH31" s="3" t="s">
        <v>383</v>
      </c>
      <c r="HEI31" s="3" t="s">
        <v>382</v>
      </c>
      <c r="HEJ31" s="3" t="s">
        <v>383</v>
      </c>
      <c r="HEK31" s="3" t="s">
        <v>382</v>
      </c>
      <c r="HEL31" s="3" t="s">
        <v>383</v>
      </c>
      <c r="HEM31" s="3" t="s">
        <v>382</v>
      </c>
      <c r="HEN31" s="3" t="s">
        <v>383</v>
      </c>
      <c r="HEO31" s="3" t="s">
        <v>382</v>
      </c>
      <c r="HEP31" s="3" t="s">
        <v>383</v>
      </c>
      <c r="HEQ31" s="3" t="s">
        <v>382</v>
      </c>
      <c r="HER31" s="3" t="s">
        <v>383</v>
      </c>
      <c r="HES31" s="3" t="s">
        <v>382</v>
      </c>
      <c r="HET31" s="3" t="s">
        <v>383</v>
      </c>
      <c r="HEU31" s="3" t="s">
        <v>382</v>
      </c>
      <c r="HEV31" s="3" t="s">
        <v>383</v>
      </c>
      <c r="HEW31" s="3" t="s">
        <v>382</v>
      </c>
      <c r="HEX31" s="3" t="s">
        <v>383</v>
      </c>
      <c r="HEY31" s="3" t="s">
        <v>382</v>
      </c>
      <c r="HEZ31" s="3" t="s">
        <v>383</v>
      </c>
      <c r="HFA31" s="3" t="s">
        <v>382</v>
      </c>
      <c r="HFB31" s="3" t="s">
        <v>383</v>
      </c>
      <c r="HFC31" s="3" t="s">
        <v>382</v>
      </c>
      <c r="HFD31" s="3" t="s">
        <v>383</v>
      </c>
      <c r="HFE31" s="3" t="s">
        <v>382</v>
      </c>
      <c r="HFF31" s="3" t="s">
        <v>383</v>
      </c>
      <c r="HFG31" s="3" t="s">
        <v>382</v>
      </c>
      <c r="HFH31" s="3" t="s">
        <v>383</v>
      </c>
      <c r="HFI31" s="3" t="s">
        <v>382</v>
      </c>
      <c r="HFJ31" s="3" t="s">
        <v>383</v>
      </c>
      <c r="HFK31" s="3" t="s">
        <v>382</v>
      </c>
      <c r="HFL31" s="3" t="s">
        <v>383</v>
      </c>
      <c r="HFM31" s="3" t="s">
        <v>382</v>
      </c>
      <c r="HFN31" s="3" t="s">
        <v>383</v>
      </c>
      <c r="HFO31" s="3" t="s">
        <v>382</v>
      </c>
      <c r="HFP31" s="3" t="s">
        <v>383</v>
      </c>
      <c r="HFQ31" s="3" t="s">
        <v>382</v>
      </c>
      <c r="HFR31" s="3" t="s">
        <v>383</v>
      </c>
      <c r="HFS31" s="3" t="s">
        <v>382</v>
      </c>
      <c r="HFT31" s="3" t="s">
        <v>383</v>
      </c>
      <c r="HFU31" s="3" t="s">
        <v>382</v>
      </c>
      <c r="HFV31" s="3" t="s">
        <v>383</v>
      </c>
      <c r="HFW31" s="3" t="s">
        <v>382</v>
      </c>
      <c r="HFX31" s="3" t="s">
        <v>383</v>
      </c>
      <c r="HFY31" s="3" t="s">
        <v>382</v>
      </c>
      <c r="HFZ31" s="3" t="s">
        <v>383</v>
      </c>
      <c r="HGA31" s="3" t="s">
        <v>382</v>
      </c>
      <c r="HGB31" s="3" t="s">
        <v>383</v>
      </c>
      <c r="HGC31" s="3" t="s">
        <v>382</v>
      </c>
      <c r="HGD31" s="3" t="s">
        <v>383</v>
      </c>
      <c r="HGE31" s="3" t="s">
        <v>382</v>
      </c>
      <c r="HGF31" s="3" t="s">
        <v>383</v>
      </c>
      <c r="HGG31" s="3" t="s">
        <v>382</v>
      </c>
      <c r="HGH31" s="3" t="s">
        <v>383</v>
      </c>
      <c r="HGI31" s="3" t="s">
        <v>382</v>
      </c>
      <c r="HGJ31" s="3" t="s">
        <v>383</v>
      </c>
      <c r="HGK31" s="3" t="s">
        <v>382</v>
      </c>
      <c r="HGL31" s="3" t="s">
        <v>383</v>
      </c>
      <c r="HGM31" s="3" t="s">
        <v>382</v>
      </c>
      <c r="HGN31" s="3" t="s">
        <v>383</v>
      </c>
      <c r="HGO31" s="3" t="s">
        <v>382</v>
      </c>
      <c r="HGP31" s="3" t="s">
        <v>383</v>
      </c>
      <c r="HGQ31" s="3" t="s">
        <v>382</v>
      </c>
      <c r="HGR31" s="3" t="s">
        <v>383</v>
      </c>
      <c r="HGS31" s="3" t="s">
        <v>382</v>
      </c>
      <c r="HGT31" s="3" t="s">
        <v>383</v>
      </c>
      <c r="HGU31" s="3" t="s">
        <v>382</v>
      </c>
      <c r="HGV31" s="3" t="s">
        <v>383</v>
      </c>
      <c r="HGW31" s="3" t="s">
        <v>382</v>
      </c>
      <c r="HGX31" s="3" t="s">
        <v>383</v>
      </c>
      <c r="HGY31" s="3" t="s">
        <v>382</v>
      </c>
      <c r="HGZ31" s="3" t="s">
        <v>383</v>
      </c>
      <c r="HHA31" s="3" t="s">
        <v>382</v>
      </c>
      <c r="HHB31" s="3" t="s">
        <v>383</v>
      </c>
      <c r="HHC31" s="3" t="s">
        <v>382</v>
      </c>
      <c r="HHD31" s="3" t="s">
        <v>383</v>
      </c>
      <c r="HHE31" s="3" t="s">
        <v>382</v>
      </c>
      <c r="HHF31" s="3" t="s">
        <v>383</v>
      </c>
      <c r="HHG31" s="3" t="s">
        <v>382</v>
      </c>
      <c r="HHH31" s="3" t="s">
        <v>383</v>
      </c>
      <c r="HHI31" s="3" t="s">
        <v>382</v>
      </c>
      <c r="HHJ31" s="3" t="s">
        <v>383</v>
      </c>
      <c r="HHK31" s="3" t="s">
        <v>382</v>
      </c>
      <c r="HHL31" s="3" t="s">
        <v>383</v>
      </c>
      <c r="HHM31" s="3" t="s">
        <v>382</v>
      </c>
      <c r="HHN31" s="3" t="s">
        <v>383</v>
      </c>
      <c r="HHO31" s="3" t="s">
        <v>382</v>
      </c>
      <c r="HHP31" s="3" t="s">
        <v>383</v>
      </c>
      <c r="HHQ31" s="3" t="s">
        <v>382</v>
      </c>
      <c r="HHR31" s="3" t="s">
        <v>383</v>
      </c>
      <c r="HHS31" s="3" t="s">
        <v>382</v>
      </c>
      <c r="HHT31" s="3" t="s">
        <v>383</v>
      </c>
      <c r="HHU31" s="3" t="s">
        <v>382</v>
      </c>
      <c r="HHV31" s="3" t="s">
        <v>383</v>
      </c>
      <c r="HHW31" s="3" t="s">
        <v>382</v>
      </c>
      <c r="HHX31" s="3" t="s">
        <v>383</v>
      </c>
      <c r="HHY31" s="3" t="s">
        <v>382</v>
      </c>
      <c r="HHZ31" s="3" t="s">
        <v>383</v>
      </c>
      <c r="HIA31" s="3" t="s">
        <v>382</v>
      </c>
      <c r="HIB31" s="3" t="s">
        <v>383</v>
      </c>
      <c r="HIC31" s="3" t="s">
        <v>382</v>
      </c>
      <c r="HID31" s="3" t="s">
        <v>383</v>
      </c>
      <c r="HIE31" s="3" t="s">
        <v>382</v>
      </c>
      <c r="HIF31" s="3" t="s">
        <v>383</v>
      </c>
      <c r="HIG31" s="3" t="s">
        <v>382</v>
      </c>
      <c r="HIH31" s="3" t="s">
        <v>383</v>
      </c>
      <c r="HII31" s="3" t="s">
        <v>382</v>
      </c>
      <c r="HIJ31" s="3" t="s">
        <v>383</v>
      </c>
      <c r="HIK31" s="3" t="s">
        <v>382</v>
      </c>
      <c r="HIL31" s="3" t="s">
        <v>383</v>
      </c>
      <c r="HIM31" s="3" t="s">
        <v>382</v>
      </c>
      <c r="HIN31" s="3" t="s">
        <v>383</v>
      </c>
      <c r="HIO31" s="3" t="s">
        <v>382</v>
      </c>
      <c r="HIP31" s="3" t="s">
        <v>383</v>
      </c>
      <c r="HIQ31" s="3" t="s">
        <v>382</v>
      </c>
      <c r="HIR31" s="3" t="s">
        <v>383</v>
      </c>
      <c r="HIS31" s="3" t="s">
        <v>382</v>
      </c>
      <c r="HIT31" s="3" t="s">
        <v>383</v>
      </c>
      <c r="HIU31" s="3" t="s">
        <v>382</v>
      </c>
      <c r="HIV31" s="3" t="s">
        <v>383</v>
      </c>
      <c r="HIW31" s="3" t="s">
        <v>382</v>
      </c>
      <c r="HIX31" s="3" t="s">
        <v>383</v>
      </c>
      <c r="HIY31" s="3" t="s">
        <v>382</v>
      </c>
      <c r="HIZ31" s="3" t="s">
        <v>383</v>
      </c>
      <c r="HJA31" s="3" t="s">
        <v>382</v>
      </c>
      <c r="HJB31" s="3" t="s">
        <v>383</v>
      </c>
      <c r="HJC31" s="3" t="s">
        <v>382</v>
      </c>
      <c r="HJD31" s="3" t="s">
        <v>383</v>
      </c>
      <c r="HJE31" s="3" t="s">
        <v>382</v>
      </c>
      <c r="HJF31" s="3" t="s">
        <v>383</v>
      </c>
      <c r="HJG31" s="3" t="s">
        <v>382</v>
      </c>
      <c r="HJH31" s="3" t="s">
        <v>383</v>
      </c>
      <c r="HJI31" s="3" t="s">
        <v>382</v>
      </c>
      <c r="HJJ31" s="3" t="s">
        <v>383</v>
      </c>
      <c r="HJK31" s="3" t="s">
        <v>382</v>
      </c>
      <c r="HJL31" s="3" t="s">
        <v>383</v>
      </c>
      <c r="HJM31" s="3" t="s">
        <v>382</v>
      </c>
      <c r="HJN31" s="3" t="s">
        <v>383</v>
      </c>
      <c r="HJO31" s="3" t="s">
        <v>382</v>
      </c>
      <c r="HJP31" s="3" t="s">
        <v>383</v>
      </c>
      <c r="HJQ31" s="3" t="s">
        <v>382</v>
      </c>
      <c r="HJR31" s="3" t="s">
        <v>383</v>
      </c>
      <c r="HJS31" s="3" t="s">
        <v>382</v>
      </c>
      <c r="HJT31" s="3" t="s">
        <v>383</v>
      </c>
      <c r="HJU31" s="3" t="s">
        <v>382</v>
      </c>
      <c r="HJV31" s="3" t="s">
        <v>383</v>
      </c>
      <c r="HJW31" s="3" t="s">
        <v>382</v>
      </c>
      <c r="HJX31" s="3" t="s">
        <v>383</v>
      </c>
      <c r="HJY31" s="3" t="s">
        <v>382</v>
      </c>
      <c r="HJZ31" s="3" t="s">
        <v>383</v>
      </c>
      <c r="HKA31" s="3" t="s">
        <v>382</v>
      </c>
      <c r="HKB31" s="3" t="s">
        <v>383</v>
      </c>
      <c r="HKC31" s="3" t="s">
        <v>382</v>
      </c>
      <c r="HKD31" s="3" t="s">
        <v>383</v>
      </c>
      <c r="HKE31" s="3" t="s">
        <v>382</v>
      </c>
      <c r="HKF31" s="3" t="s">
        <v>383</v>
      </c>
      <c r="HKG31" s="3" t="s">
        <v>382</v>
      </c>
      <c r="HKH31" s="3" t="s">
        <v>383</v>
      </c>
      <c r="HKI31" s="3" t="s">
        <v>382</v>
      </c>
      <c r="HKJ31" s="3" t="s">
        <v>383</v>
      </c>
      <c r="HKK31" s="3" t="s">
        <v>382</v>
      </c>
      <c r="HKL31" s="3" t="s">
        <v>383</v>
      </c>
      <c r="HKM31" s="3" t="s">
        <v>382</v>
      </c>
      <c r="HKN31" s="3" t="s">
        <v>383</v>
      </c>
      <c r="HKO31" s="3" t="s">
        <v>382</v>
      </c>
      <c r="HKP31" s="3" t="s">
        <v>383</v>
      </c>
      <c r="HKQ31" s="3" t="s">
        <v>382</v>
      </c>
      <c r="HKR31" s="3" t="s">
        <v>383</v>
      </c>
      <c r="HKS31" s="3" t="s">
        <v>382</v>
      </c>
      <c r="HKT31" s="3" t="s">
        <v>383</v>
      </c>
      <c r="HKU31" s="3" t="s">
        <v>382</v>
      </c>
      <c r="HKV31" s="3" t="s">
        <v>383</v>
      </c>
      <c r="HKW31" s="3" t="s">
        <v>382</v>
      </c>
      <c r="HKX31" s="3" t="s">
        <v>383</v>
      </c>
      <c r="HKY31" s="3" t="s">
        <v>382</v>
      </c>
      <c r="HKZ31" s="3" t="s">
        <v>383</v>
      </c>
      <c r="HLA31" s="3" t="s">
        <v>382</v>
      </c>
      <c r="HLB31" s="3" t="s">
        <v>383</v>
      </c>
      <c r="HLC31" s="3" t="s">
        <v>382</v>
      </c>
      <c r="HLD31" s="3" t="s">
        <v>383</v>
      </c>
      <c r="HLE31" s="3" t="s">
        <v>382</v>
      </c>
      <c r="HLF31" s="3" t="s">
        <v>383</v>
      </c>
      <c r="HLG31" s="3" t="s">
        <v>382</v>
      </c>
      <c r="HLH31" s="3" t="s">
        <v>383</v>
      </c>
      <c r="HLI31" s="3" t="s">
        <v>382</v>
      </c>
      <c r="HLJ31" s="3" t="s">
        <v>383</v>
      </c>
      <c r="HLK31" s="3" t="s">
        <v>382</v>
      </c>
      <c r="HLL31" s="3" t="s">
        <v>383</v>
      </c>
      <c r="HLM31" s="3" t="s">
        <v>382</v>
      </c>
      <c r="HLN31" s="3" t="s">
        <v>383</v>
      </c>
      <c r="HLO31" s="3" t="s">
        <v>382</v>
      </c>
      <c r="HLP31" s="3" t="s">
        <v>383</v>
      </c>
      <c r="HLQ31" s="3" t="s">
        <v>382</v>
      </c>
      <c r="HLR31" s="3" t="s">
        <v>383</v>
      </c>
      <c r="HLS31" s="3" t="s">
        <v>382</v>
      </c>
      <c r="HLT31" s="3" t="s">
        <v>383</v>
      </c>
      <c r="HLU31" s="3" t="s">
        <v>382</v>
      </c>
      <c r="HLV31" s="3" t="s">
        <v>383</v>
      </c>
      <c r="HLW31" s="3" t="s">
        <v>382</v>
      </c>
      <c r="HLX31" s="3" t="s">
        <v>383</v>
      </c>
      <c r="HLY31" s="3" t="s">
        <v>382</v>
      </c>
      <c r="HLZ31" s="3" t="s">
        <v>383</v>
      </c>
      <c r="HMA31" s="3" t="s">
        <v>382</v>
      </c>
      <c r="HMB31" s="3" t="s">
        <v>383</v>
      </c>
      <c r="HMC31" s="3" t="s">
        <v>382</v>
      </c>
      <c r="HMD31" s="3" t="s">
        <v>383</v>
      </c>
      <c r="HME31" s="3" t="s">
        <v>382</v>
      </c>
      <c r="HMF31" s="3" t="s">
        <v>383</v>
      </c>
      <c r="HMG31" s="3" t="s">
        <v>382</v>
      </c>
      <c r="HMH31" s="3" t="s">
        <v>383</v>
      </c>
      <c r="HMI31" s="3" t="s">
        <v>382</v>
      </c>
      <c r="HMJ31" s="3" t="s">
        <v>383</v>
      </c>
      <c r="HMK31" s="3" t="s">
        <v>382</v>
      </c>
      <c r="HML31" s="3" t="s">
        <v>383</v>
      </c>
      <c r="HMM31" s="3" t="s">
        <v>382</v>
      </c>
      <c r="HMN31" s="3" t="s">
        <v>383</v>
      </c>
      <c r="HMO31" s="3" t="s">
        <v>382</v>
      </c>
      <c r="HMP31" s="3" t="s">
        <v>383</v>
      </c>
      <c r="HMQ31" s="3" t="s">
        <v>382</v>
      </c>
      <c r="HMR31" s="3" t="s">
        <v>383</v>
      </c>
      <c r="HMS31" s="3" t="s">
        <v>382</v>
      </c>
      <c r="HMT31" s="3" t="s">
        <v>383</v>
      </c>
      <c r="HMU31" s="3" t="s">
        <v>382</v>
      </c>
      <c r="HMV31" s="3" t="s">
        <v>383</v>
      </c>
      <c r="HMW31" s="3" t="s">
        <v>382</v>
      </c>
      <c r="HMX31" s="3" t="s">
        <v>383</v>
      </c>
      <c r="HMY31" s="3" t="s">
        <v>382</v>
      </c>
      <c r="HMZ31" s="3" t="s">
        <v>383</v>
      </c>
      <c r="HNA31" s="3" t="s">
        <v>382</v>
      </c>
      <c r="HNB31" s="3" t="s">
        <v>383</v>
      </c>
      <c r="HNC31" s="3" t="s">
        <v>382</v>
      </c>
      <c r="HND31" s="3" t="s">
        <v>383</v>
      </c>
      <c r="HNE31" s="3" t="s">
        <v>382</v>
      </c>
      <c r="HNF31" s="3" t="s">
        <v>383</v>
      </c>
      <c r="HNG31" s="3" t="s">
        <v>382</v>
      </c>
      <c r="HNH31" s="3" t="s">
        <v>383</v>
      </c>
      <c r="HNI31" s="3" t="s">
        <v>382</v>
      </c>
      <c r="HNJ31" s="3" t="s">
        <v>383</v>
      </c>
      <c r="HNK31" s="3" t="s">
        <v>382</v>
      </c>
      <c r="HNL31" s="3" t="s">
        <v>383</v>
      </c>
      <c r="HNM31" s="3" t="s">
        <v>382</v>
      </c>
      <c r="HNN31" s="3" t="s">
        <v>383</v>
      </c>
      <c r="HNO31" s="3" t="s">
        <v>382</v>
      </c>
      <c r="HNP31" s="3" t="s">
        <v>383</v>
      </c>
      <c r="HNQ31" s="3" t="s">
        <v>382</v>
      </c>
      <c r="HNR31" s="3" t="s">
        <v>383</v>
      </c>
      <c r="HNS31" s="3" t="s">
        <v>382</v>
      </c>
      <c r="HNT31" s="3" t="s">
        <v>383</v>
      </c>
      <c r="HNU31" s="3" t="s">
        <v>382</v>
      </c>
      <c r="HNV31" s="3" t="s">
        <v>383</v>
      </c>
      <c r="HNW31" s="3" t="s">
        <v>382</v>
      </c>
      <c r="HNX31" s="3" t="s">
        <v>383</v>
      </c>
      <c r="HNY31" s="3" t="s">
        <v>382</v>
      </c>
      <c r="HNZ31" s="3" t="s">
        <v>383</v>
      </c>
      <c r="HOA31" s="3" t="s">
        <v>382</v>
      </c>
      <c r="HOB31" s="3" t="s">
        <v>383</v>
      </c>
      <c r="HOC31" s="3" t="s">
        <v>382</v>
      </c>
      <c r="HOD31" s="3" t="s">
        <v>383</v>
      </c>
      <c r="HOE31" s="3" t="s">
        <v>382</v>
      </c>
      <c r="HOF31" s="3" t="s">
        <v>383</v>
      </c>
      <c r="HOG31" s="3" t="s">
        <v>382</v>
      </c>
      <c r="HOH31" s="3" t="s">
        <v>383</v>
      </c>
      <c r="HOI31" s="3" t="s">
        <v>382</v>
      </c>
      <c r="HOJ31" s="3" t="s">
        <v>383</v>
      </c>
      <c r="HOK31" s="3" t="s">
        <v>382</v>
      </c>
      <c r="HOL31" s="3" t="s">
        <v>383</v>
      </c>
      <c r="HOM31" s="3" t="s">
        <v>382</v>
      </c>
      <c r="HON31" s="3" t="s">
        <v>383</v>
      </c>
      <c r="HOO31" s="3" t="s">
        <v>382</v>
      </c>
      <c r="HOP31" s="3" t="s">
        <v>383</v>
      </c>
      <c r="HOQ31" s="3" t="s">
        <v>382</v>
      </c>
      <c r="HOR31" s="3" t="s">
        <v>383</v>
      </c>
      <c r="HOS31" s="3" t="s">
        <v>382</v>
      </c>
      <c r="HOT31" s="3" t="s">
        <v>383</v>
      </c>
      <c r="HOU31" s="3" t="s">
        <v>382</v>
      </c>
      <c r="HOV31" s="3" t="s">
        <v>383</v>
      </c>
      <c r="HOW31" s="3" t="s">
        <v>382</v>
      </c>
      <c r="HOX31" s="3" t="s">
        <v>383</v>
      </c>
      <c r="HOY31" s="3" t="s">
        <v>382</v>
      </c>
      <c r="HOZ31" s="3" t="s">
        <v>383</v>
      </c>
      <c r="HPA31" s="3" t="s">
        <v>382</v>
      </c>
      <c r="HPB31" s="3" t="s">
        <v>383</v>
      </c>
      <c r="HPC31" s="3" t="s">
        <v>382</v>
      </c>
      <c r="HPD31" s="3" t="s">
        <v>383</v>
      </c>
      <c r="HPE31" s="3" t="s">
        <v>382</v>
      </c>
      <c r="HPF31" s="3" t="s">
        <v>383</v>
      </c>
      <c r="HPG31" s="3" t="s">
        <v>382</v>
      </c>
      <c r="HPH31" s="3" t="s">
        <v>383</v>
      </c>
      <c r="HPI31" s="3" t="s">
        <v>382</v>
      </c>
      <c r="HPJ31" s="3" t="s">
        <v>383</v>
      </c>
      <c r="HPK31" s="3" t="s">
        <v>382</v>
      </c>
      <c r="HPL31" s="3" t="s">
        <v>383</v>
      </c>
      <c r="HPM31" s="3" t="s">
        <v>382</v>
      </c>
      <c r="HPN31" s="3" t="s">
        <v>383</v>
      </c>
      <c r="HPO31" s="3" t="s">
        <v>382</v>
      </c>
      <c r="HPP31" s="3" t="s">
        <v>383</v>
      </c>
      <c r="HPQ31" s="3" t="s">
        <v>382</v>
      </c>
      <c r="HPR31" s="3" t="s">
        <v>383</v>
      </c>
      <c r="HPS31" s="3" t="s">
        <v>382</v>
      </c>
      <c r="HPT31" s="3" t="s">
        <v>383</v>
      </c>
      <c r="HPU31" s="3" t="s">
        <v>382</v>
      </c>
      <c r="HPV31" s="3" t="s">
        <v>383</v>
      </c>
      <c r="HPW31" s="3" t="s">
        <v>382</v>
      </c>
      <c r="HPX31" s="3" t="s">
        <v>383</v>
      </c>
      <c r="HPY31" s="3" t="s">
        <v>382</v>
      </c>
      <c r="HPZ31" s="3" t="s">
        <v>383</v>
      </c>
      <c r="HQA31" s="3" t="s">
        <v>382</v>
      </c>
      <c r="HQB31" s="3" t="s">
        <v>383</v>
      </c>
      <c r="HQC31" s="3" t="s">
        <v>382</v>
      </c>
      <c r="HQD31" s="3" t="s">
        <v>383</v>
      </c>
      <c r="HQE31" s="3" t="s">
        <v>382</v>
      </c>
      <c r="HQF31" s="3" t="s">
        <v>383</v>
      </c>
      <c r="HQG31" s="3" t="s">
        <v>382</v>
      </c>
      <c r="HQH31" s="3" t="s">
        <v>383</v>
      </c>
      <c r="HQI31" s="3" t="s">
        <v>382</v>
      </c>
      <c r="HQJ31" s="3" t="s">
        <v>383</v>
      </c>
      <c r="HQK31" s="3" t="s">
        <v>382</v>
      </c>
      <c r="HQL31" s="3" t="s">
        <v>383</v>
      </c>
      <c r="HQM31" s="3" t="s">
        <v>382</v>
      </c>
      <c r="HQN31" s="3" t="s">
        <v>383</v>
      </c>
      <c r="HQO31" s="3" t="s">
        <v>382</v>
      </c>
      <c r="HQP31" s="3" t="s">
        <v>383</v>
      </c>
      <c r="HQQ31" s="3" t="s">
        <v>382</v>
      </c>
      <c r="HQR31" s="3" t="s">
        <v>383</v>
      </c>
      <c r="HQS31" s="3" t="s">
        <v>382</v>
      </c>
      <c r="HQT31" s="3" t="s">
        <v>383</v>
      </c>
      <c r="HQU31" s="3" t="s">
        <v>382</v>
      </c>
      <c r="HQV31" s="3" t="s">
        <v>383</v>
      </c>
      <c r="HQW31" s="3" t="s">
        <v>382</v>
      </c>
      <c r="HQX31" s="3" t="s">
        <v>383</v>
      </c>
      <c r="HQY31" s="3" t="s">
        <v>382</v>
      </c>
      <c r="HQZ31" s="3" t="s">
        <v>383</v>
      </c>
      <c r="HRA31" s="3" t="s">
        <v>382</v>
      </c>
      <c r="HRB31" s="3" t="s">
        <v>383</v>
      </c>
      <c r="HRC31" s="3" t="s">
        <v>382</v>
      </c>
      <c r="HRD31" s="3" t="s">
        <v>383</v>
      </c>
      <c r="HRE31" s="3" t="s">
        <v>382</v>
      </c>
      <c r="HRF31" s="3" t="s">
        <v>383</v>
      </c>
      <c r="HRG31" s="3" t="s">
        <v>382</v>
      </c>
      <c r="HRH31" s="3" t="s">
        <v>383</v>
      </c>
      <c r="HRI31" s="3" t="s">
        <v>382</v>
      </c>
      <c r="HRJ31" s="3" t="s">
        <v>383</v>
      </c>
      <c r="HRK31" s="3" t="s">
        <v>382</v>
      </c>
      <c r="HRL31" s="3" t="s">
        <v>383</v>
      </c>
      <c r="HRM31" s="3" t="s">
        <v>382</v>
      </c>
      <c r="HRN31" s="3" t="s">
        <v>383</v>
      </c>
      <c r="HRO31" s="3" t="s">
        <v>382</v>
      </c>
      <c r="HRP31" s="3" t="s">
        <v>383</v>
      </c>
      <c r="HRQ31" s="3" t="s">
        <v>382</v>
      </c>
      <c r="HRR31" s="3" t="s">
        <v>383</v>
      </c>
      <c r="HRS31" s="3" t="s">
        <v>382</v>
      </c>
      <c r="HRT31" s="3" t="s">
        <v>383</v>
      </c>
      <c r="HRU31" s="3" t="s">
        <v>382</v>
      </c>
      <c r="HRV31" s="3" t="s">
        <v>383</v>
      </c>
      <c r="HRW31" s="3" t="s">
        <v>382</v>
      </c>
      <c r="HRX31" s="3" t="s">
        <v>383</v>
      </c>
      <c r="HRY31" s="3" t="s">
        <v>382</v>
      </c>
      <c r="HRZ31" s="3" t="s">
        <v>383</v>
      </c>
      <c r="HSA31" s="3" t="s">
        <v>382</v>
      </c>
      <c r="HSB31" s="3" t="s">
        <v>383</v>
      </c>
      <c r="HSC31" s="3" t="s">
        <v>382</v>
      </c>
      <c r="HSD31" s="3" t="s">
        <v>383</v>
      </c>
      <c r="HSE31" s="3" t="s">
        <v>382</v>
      </c>
      <c r="HSF31" s="3" t="s">
        <v>383</v>
      </c>
      <c r="HSG31" s="3" t="s">
        <v>382</v>
      </c>
      <c r="HSH31" s="3" t="s">
        <v>383</v>
      </c>
      <c r="HSI31" s="3" t="s">
        <v>382</v>
      </c>
      <c r="HSJ31" s="3" t="s">
        <v>383</v>
      </c>
      <c r="HSK31" s="3" t="s">
        <v>382</v>
      </c>
      <c r="HSL31" s="3" t="s">
        <v>383</v>
      </c>
      <c r="HSM31" s="3" t="s">
        <v>382</v>
      </c>
      <c r="HSN31" s="3" t="s">
        <v>383</v>
      </c>
      <c r="HSO31" s="3" t="s">
        <v>382</v>
      </c>
      <c r="HSP31" s="3" t="s">
        <v>383</v>
      </c>
      <c r="HSQ31" s="3" t="s">
        <v>382</v>
      </c>
      <c r="HSR31" s="3" t="s">
        <v>383</v>
      </c>
      <c r="HSS31" s="3" t="s">
        <v>382</v>
      </c>
      <c r="HST31" s="3" t="s">
        <v>383</v>
      </c>
      <c r="HSU31" s="3" t="s">
        <v>382</v>
      </c>
      <c r="HSV31" s="3" t="s">
        <v>383</v>
      </c>
      <c r="HSW31" s="3" t="s">
        <v>382</v>
      </c>
      <c r="HSX31" s="3" t="s">
        <v>383</v>
      </c>
      <c r="HSY31" s="3" t="s">
        <v>382</v>
      </c>
      <c r="HSZ31" s="3" t="s">
        <v>383</v>
      </c>
      <c r="HTA31" s="3" t="s">
        <v>382</v>
      </c>
      <c r="HTB31" s="3" t="s">
        <v>383</v>
      </c>
      <c r="HTC31" s="3" t="s">
        <v>382</v>
      </c>
      <c r="HTD31" s="3" t="s">
        <v>383</v>
      </c>
      <c r="HTE31" s="3" t="s">
        <v>382</v>
      </c>
      <c r="HTF31" s="3" t="s">
        <v>383</v>
      </c>
      <c r="HTG31" s="3" t="s">
        <v>382</v>
      </c>
      <c r="HTH31" s="3" t="s">
        <v>383</v>
      </c>
      <c r="HTI31" s="3" t="s">
        <v>382</v>
      </c>
      <c r="HTJ31" s="3" t="s">
        <v>383</v>
      </c>
      <c r="HTK31" s="3" t="s">
        <v>382</v>
      </c>
      <c r="HTL31" s="3" t="s">
        <v>383</v>
      </c>
      <c r="HTM31" s="3" t="s">
        <v>382</v>
      </c>
      <c r="HTN31" s="3" t="s">
        <v>383</v>
      </c>
      <c r="HTO31" s="3" t="s">
        <v>382</v>
      </c>
      <c r="HTP31" s="3" t="s">
        <v>383</v>
      </c>
      <c r="HTQ31" s="3" t="s">
        <v>382</v>
      </c>
      <c r="HTR31" s="3" t="s">
        <v>383</v>
      </c>
      <c r="HTS31" s="3" t="s">
        <v>382</v>
      </c>
      <c r="HTT31" s="3" t="s">
        <v>383</v>
      </c>
      <c r="HTU31" s="3" t="s">
        <v>382</v>
      </c>
      <c r="HTV31" s="3" t="s">
        <v>383</v>
      </c>
      <c r="HTW31" s="3" t="s">
        <v>382</v>
      </c>
      <c r="HTX31" s="3" t="s">
        <v>383</v>
      </c>
      <c r="HTY31" s="3" t="s">
        <v>382</v>
      </c>
      <c r="HTZ31" s="3" t="s">
        <v>383</v>
      </c>
      <c r="HUA31" s="3" t="s">
        <v>382</v>
      </c>
      <c r="HUB31" s="3" t="s">
        <v>383</v>
      </c>
      <c r="HUC31" s="3" t="s">
        <v>382</v>
      </c>
      <c r="HUD31" s="3" t="s">
        <v>383</v>
      </c>
      <c r="HUE31" s="3" t="s">
        <v>382</v>
      </c>
      <c r="HUF31" s="3" t="s">
        <v>383</v>
      </c>
      <c r="HUG31" s="3" t="s">
        <v>382</v>
      </c>
      <c r="HUH31" s="3" t="s">
        <v>383</v>
      </c>
      <c r="HUI31" s="3" t="s">
        <v>382</v>
      </c>
      <c r="HUJ31" s="3" t="s">
        <v>383</v>
      </c>
      <c r="HUK31" s="3" t="s">
        <v>382</v>
      </c>
      <c r="HUL31" s="3" t="s">
        <v>383</v>
      </c>
      <c r="HUM31" s="3" t="s">
        <v>382</v>
      </c>
      <c r="HUN31" s="3" t="s">
        <v>383</v>
      </c>
      <c r="HUO31" s="3" t="s">
        <v>382</v>
      </c>
      <c r="HUP31" s="3" t="s">
        <v>383</v>
      </c>
      <c r="HUQ31" s="3" t="s">
        <v>382</v>
      </c>
      <c r="HUR31" s="3" t="s">
        <v>383</v>
      </c>
      <c r="HUS31" s="3" t="s">
        <v>382</v>
      </c>
      <c r="HUT31" s="3" t="s">
        <v>383</v>
      </c>
      <c r="HUU31" s="3" t="s">
        <v>382</v>
      </c>
      <c r="HUV31" s="3" t="s">
        <v>383</v>
      </c>
      <c r="HUW31" s="3" t="s">
        <v>382</v>
      </c>
      <c r="HUX31" s="3" t="s">
        <v>383</v>
      </c>
      <c r="HUY31" s="3" t="s">
        <v>382</v>
      </c>
      <c r="HUZ31" s="3" t="s">
        <v>383</v>
      </c>
      <c r="HVA31" s="3" t="s">
        <v>382</v>
      </c>
      <c r="HVB31" s="3" t="s">
        <v>383</v>
      </c>
      <c r="HVC31" s="3" t="s">
        <v>382</v>
      </c>
      <c r="HVD31" s="3" t="s">
        <v>383</v>
      </c>
      <c r="HVE31" s="3" t="s">
        <v>382</v>
      </c>
      <c r="HVF31" s="3" t="s">
        <v>383</v>
      </c>
      <c r="HVG31" s="3" t="s">
        <v>382</v>
      </c>
      <c r="HVH31" s="3" t="s">
        <v>383</v>
      </c>
      <c r="HVI31" s="3" t="s">
        <v>382</v>
      </c>
      <c r="HVJ31" s="3" t="s">
        <v>383</v>
      </c>
      <c r="HVK31" s="3" t="s">
        <v>382</v>
      </c>
      <c r="HVL31" s="3" t="s">
        <v>383</v>
      </c>
      <c r="HVM31" s="3" t="s">
        <v>382</v>
      </c>
      <c r="HVN31" s="3" t="s">
        <v>383</v>
      </c>
      <c r="HVO31" s="3" t="s">
        <v>382</v>
      </c>
      <c r="HVP31" s="3" t="s">
        <v>383</v>
      </c>
      <c r="HVQ31" s="3" t="s">
        <v>382</v>
      </c>
      <c r="HVR31" s="3" t="s">
        <v>383</v>
      </c>
      <c r="HVS31" s="3" t="s">
        <v>382</v>
      </c>
      <c r="HVT31" s="3" t="s">
        <v>383</v>
      </c>
      <c r="HVU31" s="3" t="s">
        <v>382</v>
      </c>
      <c r="HVV31" s="3" t="s">
        <v>383</v>
      </c>
      <c r="HVW31" s="3" t="s">
        <v>382</v>
      </c>
      <c r="HVX31" s="3" t="s">
        <v>383</v>
      </c>
      <c r="HVY31" s="3" t="s">
        <v>382</v>
      </c>
      <c r="HVZ31" s="3" t="s">
        <v>383</v>
      </c>
      <c r="HWA31" s="3" t="s">
        <v>382</v>
      </c>
      <c r="HWB31" s="3" t="s">
        <v>383</v>
      </c>
      <c r="HWC31" s="3" t="s">
        <v>382</v>
      </c>
      <c r="HWD31" s="3" t="s">
        <v>383</v>
      </c>
      <c r="HWE31" s="3" t="s">
        <v>382</v>
      </c>
      <c r="HWF31" s="3" t="s">
        <v>383</v>
      </c>
      <c r="HWG31" s="3" t="s">
        <v>382</v>
      </c>
      <c r="HWH31" s="3" t="s">
        <v>383</v>
      </c>
      <c r="HWI31" s="3" t="s">
        <v>382</v>
      </c>
      <c r="HWJ31" s="3" t="s">
        <v>383</v>
      </c>
      <c r="HWK31" s="3" t="s">
        <v>382</v>
      </c>
      <c r="HWL31" s="3" t="s">
        <v>383</v>
      </c>
      <c r="HWM31" s="3" t="s">
        <v>382</v>
      </c>
      <c r="HWN31" s="3" t="s">
        <v>383</v>
      </c>
      <c r="HWO31" s="3" t="s">
        <v>382</v>
      </c>
      <c r="HWP31" s="3" t="s">
        <v>383</v>
      </c>
      <c r="HWQ31" s="3" t="s">
        <v>382</v>
      </c>
      <c r="HWR31" s="3" t="s">
        <v>383</v>
      </c>
      <c r="HWS31" s="3" t="s">
        <v>382</v>
      </c>
      <c r="HWT31" s="3" t="s">
        <v>383</v>
      </c>
      <c r="HWU31" s="3" t="s">
        <v>382</v>
      </c>
      <c r="HWV31" s="3" t="s">
        <v>383</v>
      </c>
      <c r="HWW31" s="3" t="s">
        <v>382</v>
      </c>
      <c r="HWX31" s="3" t="s">
        <v>383</v>
      </c>
      <c r="HWY31" s="3" t="s">
        <v>382</v>
      </c>
      <c r="HWZ31" s="3" t="s">
        <v>383</v>
      </c>
      <c r="HXA31" s="3" t="s">
        <v>382</v>
      </c>
      <c r="HXB31" s="3" t="s">
        <v>383</v>
      </c>
      <c r="HXC31" s="3" t="s">
        <v>382</v>
      </c>
      <c r="HXD31" s="3" t="s">
        <v>383</v>
      </c>
      <c r="HXE31" s="3" t="s">
        <v>382</v>
      </c>
      <c r="HXF31" s="3" t="s">
        <v>383</v>
      </c>
      <c r="HXG31" s="3" t="s">
        <v>382</v>
      </c>
      <c r="HXH31" s="3" t="s">
        <v>383</v>
      </c>
      <c r="HXI31" s="3" t="s">
        <v>382</v>
      </c>
      <c r="HXJ31" s="3" t="s">
        <v>383</v>
      </c>
      <c r="HXK31" s="3" t="s">
        <v>382</v>
      </c>
      <c r="HXL31" s="3" t="s">
        <v>383</v>
      </c>
      <c r="HXM31" s="3" t="s">
        <v>382</v>
      </c>
      <c r="HXN31" s="3" t="s">
        <v>383</v>
      </c>
      <c r="HXO31" s="3" t="s">
        <v>382</v>
      </c>
      <c r="HXP31" s="3" t="s">
        <v>383</v>
      </c>
      <c r="HXQ31" s="3" t="s">
        <v>382</v>
      </c>
      <c r="HXR31" s="3" t="s">
        <v>383</v>
      </c>
      <c r="HXS31" s="3" t="s">
        <v>382</v>
      </c>
      <c r="HXT31" s="3" t="s">
        <v>383</v>
      </c>
      <c r="HXU31" s="3" t="s">
        <v>382</v>
      </c>
      <c r="HXV31" s="3" t="s">
        <v>383</v>
      </c>
      <c r="HXW31" s="3" t="s">
        <v>382</v>
      </c>
      <c r="HXX31" s="3" t="s">
        <v>383</v>
      </c>
      <c r="HXY31" s="3" t="s">
        <v>382</v>
      </c>
      <c r="HXZ31" s="3" t="s">
        <v>383</v>
      </c>
      <c r="HYA31" s="3" t="s">
        <v>382</v>
      </c>
      <c r="HYB31" s="3" t="s">
        <v>383</v>
      </c>
      <c r="HYC31" s="3" t="s">
        <v>382</v>
      </c>
      <c r="HYD31" s="3" t="s">
        <v>383</v>
      </c>
      <c r="HYE31" s="3" t="s">
        <v>382</v>
      </c>
      <c r="HYF31" s="3" t="s">
        <v>383</v>
      </c>
      <c r="HYG31" s="3" t="s">
        <v>382</v>
      </c>
      <c r="HYH31" s="3" t="s">
        <v>383</v>
      </c>
      <c r="HYI31" s="3" t="s">
        <v>382</v>
      </c>
      <c r="HYJ31" s="3" t="s">
        <v>383</v>
      </c>
      <c r="HYK31" s="3" t="s">
        <v>382</v>
      </c>
      <c r="HYL31" s="3" t="s">
        <v>383</v>
      </c>
      <c r="HYM31" s="3" t="s">
        <v>382</v>
      </c>
      <c r="HYN31" s="3" t="s">
        <v>383</v>
      </c>
      <c r="HYO31" s="3" t="s">
        <v>382</v>
      </c>
      <c r="HYP31" s="3" t="s">
        <v>383</v>
      </c>
      <c r="HYQ31" s="3" t="s">
        <v>382</v>
      </c>
      <c r="HYR31" s="3" t="s">
        <v>383</v>
      </c>
      <c r="HYS31" s="3" t="s">
        <v>382</v>
      </c>
      <c r="HYT31" s="3" t="s">
        <v>383</v>
      </c>
      <c r="HYU31" s="3" t="s">
        <v>382</v>
      </c>
      <c r="HYV31" s="3" t="s">
        <v>383</v>
      </c>
      <c r="HYW31" s="3" t="s">
        <v>382</v>
      </c>
      <c r="HYX31" s="3" t="s">
        <v>383</v>
      </c>
      <c r="HYY31" s="3" t="s">
        <v>382</v>
      </c>
      <c r="HYZ31" s="3" t="s">
        <v>383</v>
      </c>
      <c r="HZA31" s="3" t="s">
        <v>382</v>
      </c>
      <c r="HZB31" s="3" t="s">
        <v>383</v>
      </c>
      <c r="HZC31" s="3" t="s">
        <v>382</v>
      </c>
      <c r="HZD31" s="3" t="s">
        <v>383</v>
      </c>
      <c r="HZE31" s="3" t="s">
        <v>382</v>
      </c>
      <c r="HZF31" s="3" t="s">
        <v>383</v>
      </c>
      <c r="HZG31" s="3" t="s">
        <v>382</v>
      </c>
      <c r="HZH31" s="3" t="s">
        <v>383</v>
      </c>
      <c r="HZI31" s="3" t="s">
        <v>382</v>
      </c>
      <c r="HZJ31" s="3" t="s">
        <v>383</v>
      </c>
      <c r="HZK31" s="3" t="s">
        <v>382</v>
      </c>
      <c r="HZL31" s="3" t="s">
        <v>383</v>
      </c>
      <c r="HZM31" s="3" t="s">
        <v>382</v>
      </c>
      <c r="HZN31" s="3" t="s">
        <v>383</v>
      </c>
      <c r="HZO31" s="3" t="s">
        <v>382</v>
      </c>
      <c r="HZP31" s="3" t="s">
        <v>383</v>
      </c>
      <c r="HZQ31" s="3" t="s">
        <v>382</v>
      </c>
      <c r="HZR31" s="3" t="s">
        <v>383</v>
      </c>
      <c r="HZS31" s="3" t="s">
        <v>382</v>
      </c>
      <c r="HZT31" s="3" t="s">
        <v>383</v>
      </c>
      <c r="HZU31" s="3" t="s">
        <v>382</v>
      </c>
      <c r="HZV31" s="3" t="s">
        <v>383</v>
      </c>
      <c r="HZW31" s="3" t="s">
        <v>382</v>
      </c>
      <c r="HZX31" s="3" t="s">
        <v>383</v>
      </c>
      <c r="HZY31" s="3" t="s">
        <v>382</v>
      </c>
      <c r="HZZ31" s="3" t="s">
        <v>383</v>
      </c>
      <c r="IAA31" s="3" t="s">
        <v>382</v>
      </c>
      <c r="IAB31" s="3" t="s">
        <v>383</v>
      </c>
      <c r="IAC31" s="3" t="s">
        <v>382</v>
      </c>
      <c r="IAD31" s="3" t="s">
        <v>383</v>
      </c>
      <c r="IAE31" s="3" t="s">
        <v>382</v>
      </c>
      <c r="IAF31" s="3" t="s">
        <v>383</v>
      </c>
      <c r="IAG31" s="3" t="s">
        <v>382</v>
      </c>
      <c r="IAH31" s="3" t="s">
        <v>383</v>
      </c>
      <c r="IAI31" s="3" t="s">
        <v>382</v>
      </c>
      <c r="IAJ31" s="3" t="s">
        <v>383</v>
      </c>
      <c r="IAK31" s="3" t="s">
        <v>382</v>
      </c>
      <c r="IAL31" s="3" t="s">
        <v>383</v>
      </c>
      <c r="IAM31" s="3" t="s">
        <v>382</v>
      </c>
      <c r="IAN31" s="3" t="s">
        <v>383</v>
      </c>
      <c r="IAO31" s="3" t="s">
        <v>382</v>
      </c>
      <c r="IAP31" s="3" t="s">
        <v>383</v>
      </c>
      <c r="IAQ31" s="3" t="s">
        <v>382</v>
      </c>
      <c r="IAR31" s="3" t="s">
        <v>383</v>
      </c>
      <c r="IAS31" s="3" t="s">
        <v>382</v>
      </c>
      <c r="IAT31" s="3" t="s">
        <v>383</v>
      </c>
      <c r="IAU31" s="3" t="s">
        <v>382</v>
      </c>
      <c r="IAV31" s="3" t="s">
        <v>383</v>
      </c>
      <c r="IAW31" s="3" t="s">
        <v>382</v>
      </c>
      <c r="IAX31" s="3" t="s">
        <v>383</v>
      </c>
      <c r="IAY31" s="3" t="s">
        <v>382</v>
      </c>
      <c r="IAZ31" s="3" t="s">
        <v>383</v>
      </c>
      <c r="IBA31" s="3" t="s">
        <v>382</v>
      </c>
      <c r="IBB31" s="3" t="s">
        <v>383</v>
      </c>
      <c r="IBC31" s="3" t="s">
        <v>382</v>
      </c>
      <c r="IBD31" s="3" t="s">
        <v>383</v>
      </c>
      <c r="IBE31" s="3" t="s">
        <v>382</v>
      </c>
      <c r="IBF31" s="3" t="s">
        <v>383</v>
      </c>
      <c r="IBG31" s="3" t="s">
        <v>382</v>
      </c>
      <c r="IBH31" s="3" t="s">
        <v>383</v>
      </c>
      <c r="IBI31" s="3" t="s">
        <v>382</v>
      </c>
      <c r="IBJ31" s="3" t="s">
        <v>383</v>
      </c>
      <c r="IBK31" s="3" t="s">
        <v>382</v>
      </c>
      <c r="IBL31" s="3" t="s">
        <v>383</v>
      </c>
      <c r="IBM31" s="3" t="s">
        <v>382</v>
      </c>
      <c r="IBN31" s="3" t="s">
        <v>383</v>
      </c>
      <c r="IBO31" s="3" t="s">
        <v>382</v>
      </c>
      <c r="IBP31" s="3" t="s">
        <v>383</v>
      </c>
      <c r="IBQ31" s="3" t="s">
        <v>382</v>
      </c>
      <c r="IBR31" s="3" t="s">
        <v>383</v>
      </c>
      <c r="IBS31" s="3" t="s">
        <v>382</v>
      </c>
      <c r="IBT31" s="3" t="s">
        <v>383</v>
      </c>
      <c r="IBU31" s="3" t="s">
        <v>382</v>
      </c>
      <c r="IBV31" s="3" t="s">
        <v>383</v>
      </c>
      <c r="IBW31" s="3" t="s">
        <v>382</v>
      </c>
      <c r="IBX31" s="3" t="s">
        <v>383</v>
      </c>
      <c r="IBY31" s="3" t="s">
        <v>382</v>
      </c>
      <c r="IBZ31" s="3" t="s">
        <v>383</v>
      </c>
      <c r="ICA31" s="3" t="s">
        <v>382</v>
      </c>
      <c r="ICB31" s="3" t="s">
        <v>383</v>
      </c>
      <c r="ICC31" s="3" t="s">
        <v>382</v>
      </c>
      <c r="ICD31" s="3" t="s">
        <v>383</v>
      </c>
      <c r="ICE31" s="3" t="s">
        <v>382</v>
      </c>
      <c r="ICF31" s="3" t="s">
        <v>383</v>
      </c>
      <c r="ICG31" s="3" t="s">
        <v>382</v>
      </c>
      <c r="ICH31" s="3" t="s">
        <v>383</v>
      </c>
      <c r="ICI31" s="3" t="s">
        <v>382</v>
      </c>
      <c r="ICJ31" s="3" t="s">
        <v>383</v>
      </c>
      <c r="ICK31" s="3" t="s">
        <v>382</v>
      </c>
      <c r="ICL31" s="3" t="s">
        <v>383</v>
      </c>
      <c r="ICM31" s="3" t="s">
        <v>382</v>
      </c>
      <c r="ICN31" s="3" t="s">
        <v>383</v>
      </c>
      <c r="ICO31" s="3" t="s">
        <v>382</v>
      </c>
      <c r="ICP31" s="3" t="s">
        <v>383</v>
      </c>
      <c r="ICQ31" s="3" t="s">
        <v>382</v>
      </c>
      <c r="ICR31" s="3" t="s">
        <v>383</v>
      </c>
      <c r="ICS31" s="3" t="s">
        <v>382</v>
      </c>
      <c r="ICT31" s="3" t="s">
        <v>383</v>
      </c>
      <c r="ICU31" s="3" t="s">
        <v>382</v>
      </c>
      <c r="ICV31" s="3" t="s">
        <v>383</v>
      </c>
      <c r="ICW31" s="3" t="s">
        <v>382</v>
      </c>
      <c r="ICX31" s="3" t="s">
        <v>383</v>
      </c>
      <c r="ICY31" s="3" t="s">
        <v>382</v>
      </c>
      <c r="ICZ31" s="3" t="s">
        <v>383</v>
      </c>
      <c r="IDA31" s="3" t="s">
        <v>382</v>
      </c>
      <c r="IDB31" s="3" t="s">
        <v>383</v>
      </c>
      <c r="IDC31" s="3" t="s">
        <v>382</v>
      </c>
      <c r="IDD31" s="3" t="s">
        <v>383</v>
      </c>
      <c r="IDE31" s="3" t="s">
        <v>382</v>
      </c>
      <c r="IDF31" s="3" t="s">
        <v>383</v>
      </c>
      <c r="IDG31" s="3" t="s">
        <v>382</v>
      </c>
      <c r="IDH31" s="3" t="s">
        <v>383</v>
      </c>
      <c r="IDI31" s="3" t="s">
        <v>382</v>
      </c>
      <c r="IDJ31" s="3" t="s">
        <v>383</v>
      </c>
      <c r="IDK31" s="3" t="s">
        <v>382</v>
      </c>
      <c r="IDL31" s="3" t="s">
        <v>383</v>
      </c>
      <c r="IDM31" s="3" t="s">
        <v>382</v>
      </c>
      <c r="IDN31" s="3" t="s">
        <v>383</v>
      </c>
      <c r="IDO31" s="3" t="s">
        <v>382</v>
      </c>
      <c r="IDP31" s="3" t="s">
        <v>383</v>
      </c>
      <c r="IDQ31" s="3" t="s">
        <v>382</v>
      </c>
      <c r="IDR31" s="3" t="s">
        <v>383</v>
      </c>
      <c r="IDS31" s="3" t="s">
        <v>382</v>
      </c>
      <c r="IDT31" s="3" t="s">
        <v>383</v>
      </c>
      <c r="IDU31" s="3" t="s">
        <v>382</v>
      </c>
      <c r="IDV31" s="3" t="s">
        <v>383</v>
      </c>
      <c r="IDW31" s="3" t="s">
        <v>382</v>
      </c>
      <c r="IDX31" s="3" t="s">
        <v>383</v>
      </c>
      <c r="IDY31" s="3" t="s">
        <v>382</v>
      </c>
      <c r="IDZ31" s="3" t="s">
        <v>383</v>
      </c>
      <c r="IEA31" s="3" t="s">
        <v>382</v>
      </c>
      <c r="IEB31" s="3" t="s">
        <v>383</v>
      </c>
      <c r="IEC31" s="3" t="s">
        <v>382</v>
      </c>
      <c r="IED31" s="3" t="s">
        <v>383</v>
      </c>
      <c r="IEE31" s="3" t="s">
        <v>382</v>
      </c>
      <c r="IEF31" s="3" t="s">
        <v>383</v>
      </c>
      <c r="IEG31" s="3" t="s">
        <v>382</v>
      </c>
      <c r="IEH31" s="3" t="s">
        <v>383</v>
      </c>
      <c r="IEI31" s="3" t="s">
        <v>382</v>
      </c>
      <c r="IEJ31" s="3" t="s">
        <v>383</v>
      </c>
      <c r="IEK31" s="3" t="s">
        <v>382</v>
      </c>
      <c r="IEL31" s="3" t="s">
        <v>383</v>
      </c>
      <c r="IEM31" s="3" t="s">
        <v>382</v>
      </c>
      <c r="IEN31" s="3" t="s">
        <v>383</v>
      </c>
      <c r="IEO31" s="3" t="s">
        <v>382</v>
      </c>
      <c r="IEP31" s="3" t="s">
        <v>383</v>
      </c>
      <c r="IEQ31" s="3" t="s">
        <v>382</v>
      </c>
      <c r="IER31" s="3" t="s">
        <v>383</v>
      </c>
      <c r="IES31" s="3" t="s">
        <v>382</v>
      </c>
      <c r="IET31" s="3" t="s">
        <v>383</v>
      </c>
      <c r="IEU31" s="3" t="s">
        <v>382</v>
      </c>
      <c r="IEV31" s="3" t="s">
        <v>383</v>
      </c>
      <c r="IEW31" s="3" t="s">
        <v>382</v>
      </c>
      <c r="IEX31" s="3" t="s">
        <v>383</v>
      </c>
      <c r="IEY31" s="3" t="s">
        <v>382</v>
      </c>
      <c r="IEZ31" s="3" t="s">
        <v>383</v>
      </c>
      <c r="IFA31" s="3" t="s">
        <v>382</v>
      </c>
      <c r="IFB31" s="3" t="s">
        <v>383</v>
      </c>
      <c r="IFC31" s="3" t="s">
        <v>382</v>
      </c>
      <c r="IFD31" s="3" t="s">
        <v>383</v>
      </c>
      <c r="IFE31" s="3" t="s">
        <v>382</v>
      </c>
      <c r="IFF31" s="3" t="s">
        <v>383</v>
      </c>
      <c r="IFG31" s="3" t="s">
        <v>382</v>
      </c>
      <c r="IFH31" s="3" t="s">
        <v>383</v>
      </c>
      <c r="IFI31" s="3" t="s">
        <v>382</v>
      </c>
      <c r="IFJ31" s="3" t="s">
        <v>383</v>
      </c>
      <c r="IFK31" s="3" t="s">
        <v>382</v>
      </c>
      <c r="IFL31" s="3" t="s">
        <v>383</v>
      </c>
      <c r="IFM31" s="3" t="s">
        <v>382</v>
      </c>
      <c r="IFN31" s="3" t="s">
        <v>383</v>
      </c>
      <c r="IFO31" s="3" t="s">
        <v>382</v>
      </c>
      <c r="IFP31" s="3" t="s">
        <v>383</v>
      </c>
      <c r="IFQ31" s="3" t="s">
        <v>382</v>
      </c>
      <c r="IFR31" s="3" t="s">
        <v>383</v>
      </c>
      <c r="IFS31" s="3" t="s">
        <v>382</v>
      </c>
      <c r="IFT31" s="3" t="s">
        <v>383</v>
      </c>
      <c r="IFU31" s="3" t="s">
        <v>382</v>
      </c>
      <c r="IFV31" s="3" t="s">
        <v>383</v>
      </c>
      <c r="IFW31" s="3" t="s">
        <v>382</v>
      </c>
      <c r="IFX31" s="3" t="s">
        <v>383</v>
      </c>
      <c r="IFY31" s="3" t="s">
        <v>382</v>
      </c>
      <c r="IFZ31" s="3" t="s">
        <v>383</v>
      </c>
      <c r="IGA31" s="3" t="s">
        <v>382</v>
      </c>
      <c r="IGB31" s="3" t="s">
        <v>383</v>
      </c>
      <c r="IGC31" s="3" t="s">
        <v>382</v>
      </c>
      <c r="IGD31" s="3" t="s">
        <v>383</v>
      </c>
      <c r="IGE31" s="3" t="s">
        <v>382</v>
      </c>
      <c r="IGF31" s="3" t="s">
        <v>383</v>
      </c>
      <c r="IGG31" s="3" t="s">
        <v>382</v>
      </c>
      <c r="IGH31" s="3" t="s">
        <v>383</v>
      </c>
      <c r="IGI31" s="3" t="s">
        <v>382</v>
      </c>
      <c r="IGJ31" s="3" t="s">
        <v>383</v>
      </c>
      <c r="IGK31" s="3" t="s">
        <v>382</v>
      </c>
      <c r="IGL31" s="3" t="s">
        <v>383</v>
      </c>
      <c r="IGM31" s="3" t="s">
        <v>382</v>
      </c>
      <c r="IGN31" s="3" t="s">
        <v>383</v>
      </c>
      <c r="IGO31" s="3" t="s">
        <v>382</v>
      </c>
      <c r="IGP31" s="3" t="s">
        <v>383</v>
      </c>
      <c r="IGQ31" s="3" t="s">
        <v>382</v>
      </c>
      <c r="IGR31" s="3" t="s">
        <v>383</v>
      </c>
      <c r="IGS31" s="3" t="s">
        <v>382</v>
      </c>
      <c r="IGT31" s="3" t="s">
        <v>383</v>
      </c>
      <c r="IGU31" s="3" t="s">
        <v>382</v>
      </c>
      <c r="IGV31" s="3" t="s">
        <v>383</v>
      </c>
      <c r="IGW31" s="3" t="s">
        <v>382</v>
      </c>
      <c r="IGX31" s="3" t="s">
        <v>383</v>
      </c>
      <c r="IGY31" s="3" t="s">
        <v>382</v>
      </c>
      <c r="IGZ31" s="3" t="s">
        <v>383</v>
      </c>
      <c r="IHA31" s="3" t="s">
        <v>382</v>
      </c>
      <c r="IHB31" s="3" t="s">
        <v>383</v>
      </c>
      <c r="IHC31" s="3" t="s">
        <v>382</v>
      </c>
      <c r="IHD31" s="3" t="s">
        <v>383</v>
      </c>
      <c r="IHE31" s="3" t="s">
        <v>382</v>
      </c>
      <c r="IHF31" s="3" t="s">
        <v>383</v>
      </c>
      <c r="IHG31" s="3" t="s">
        <v>382</v>
      </c>
      <c r="IHH31" s="3" t="s">
        <v>383</v>
      </c>
      <c r="IHI31" s="3" t="s">
        <v>382</v>
      </c>
      <c r="IHJ31" s="3" t="s">
        <v>383</v>
      </c>
      <c r="IHK31" s="3" t="s">
        <v>382</v>
      </c>
      <c r="IHL31" s="3" t="s">
        <v>383</v>
      </c>
      <c r="IHM31" s="3" t="s">
        <v>382</v>
      </c>
      <c r="IHN31" s="3" t="s">
        <v>383</v>
      </c>
      <c r="IHO31" s="3" t="s">
        <v>382</v>
      </c>
      <c r="IHP31" s="3" t="s">
        <v>383</v>
      </c>
      <c r="IHQ31" s="3" t="s">
        <v>382</v>
      </c>
      <c r="IHR31" s="3" t="s">
        <v>383</v>
      </c>
      <c r="IHS31" s="3" t="s">
        <v>382</v>
      </c>
      <c r="IHT31" s="3" t="s">
        <v>383</v>
      </c>
      <c r="IHU31" s="3" t="s">
        <v>382</v>
      </c>
      <c r="IHV31" s="3" t="s">
        <v>383</v>
      </c>
      <c r="IHW31" s="3" t="s">
        <v>382</v>
      </c>
      <c r="IHX31" s="3" t="s">
        <v>383</v>
      </c>
      <c r="IHY31" s="3" t="s">
        <v>382</v>
      </c>
      <c r="IHZ31" s="3" t="s">
        <v>383</v>
      </c>
      <c r="IIA31" s="3" t="s">
        <v>382</v>
      </c>
      <c r="IIB31" s="3" t="s">
        <v>383</v>
      </c>
      <c r="IIC31" s="3" t="s">
        <v>382</v>
      </c>
      <c r="IID31" s="3" t="s">
        <v>383</v>
      </c>
      <c r="IIE31" s="3" t="s">
        <v>382</v>
      </c>
      <c r="IIF31" s="3" t="s">
        <v>383</v>
      </c>
      <c r="IIG31" s="3" t="s">
        <v>382</v>
      </c>
      <c r="IIH31" s="3" t="s">
        <v>383</v>
      </c>
      <c r="III31" s="3" t="s">
        <v>382</v>
      </c>
      <c r="IIJ31" s="3" t="s">
        <v>383</v>
      </c>
      <c r="IIK31" s="3" t="s">
        <v>382</v>
      </c>
      <c r="IIL31" s="3" t="s">
        <v>383</v>
      </c>
      <c r="IIM31" s="3" t="s">
        <v>382</v>
      </c>
      <c r="IIN31" s="3" t="s">
        <v>383</v>
      </c>
      <c r="IIO31" s="3" t="s">
        <v>382</v>
      </c>
      <c r="IIP31" s="3" t="s">
        <v>383</v>
      </c>
      <c r="IIQ31" s="3" t="s">
        <v>382</v>
      </c>
      <c r="IIR31" s="3" t="s">
        <v>383</v>
      </c>
      <c r="IIS31" s="3" t="s">
        <v>382</v>
      </c>
      <c r="IIT31" s="3" t="s">
        <v>383</v>
      </c>
      <c r="IIU31" s="3" t="s">
        <v>382</v>
      </c>
      <c r="IIV31" s="3" t="s">
        <v>383</v>
      </c>
      <c r="IIW31" s="3" t="s">
        <v>382</v>
      </c>
      <c r="IIX31" s="3" t="s">
        <v>383</v>
      </c>
      <c r="IIY31" s="3" t="s">
        <v>382</v>
      </c>
      <c r="IIZ31" s="3" t="s">
        <v>383</v>
      </c>
      <c r="IJA31" s="3" t="s">
        <v>382</v>
      </c>
      <c r="IJB31" s="3" t="s">
        <v>383</v>
      </c>
      <c r="IJC31" s="3" t="s">
        <v>382</v>
      </c>
      <c r="IJD31" s="3" t="s">
        <v>383</v>
      </c>
      <c r="IJE31" s="3" t="s">
        <v>382</v>
      </c>
      <c r="IJF31" s="3" t="s">
        <v>383</v>
      </c>
      <c r="IJG31" s="3" t="s">
        <v>382</v>
      </c>
      <c r="IJH31" s="3" t="s">
        <v>383</v>
      </c>
      <c r="IJI31" s="3" t="s">
        <v>382</v>
      </c>
      <c r="IJJ31" s="3" t="s">
        <v>383</v>
      </c>
      <c r="IJK31" s="3" t="s">
        <v>382</v>
      </c>
      <c r="IJL31" s="3" t="s">
        <v>383</v>
      </c>
      <c r="IJM31" s="3" t="s">
        <v>382</v>
      </c>
      <c r="IJN31" s="3" t="s">
        <v>383</v>
      </c>
      <c r="IJO31" s="3" t="s">
        <v>382</v>
      </c>
      <c r="IJP31" s="3" t="s">
        <v>383</v>
      </c>
      <c r="IJQ31" s="3" t="s">
        <v>382</v>
      </c>
      <c r="IJR31" s="3" t="s">
        <v>383</v>
      </c>
      <c r="IJS31" s="3" t="s">
        <v>382</v>
      </c>
      <c r="IJT31" s="3" t="s">
        <v>383</v>
      </c>
      <c r="IJU31" s="3" t="s">
        <v>382</v>
      </c>
      <c r="IJV31" s="3" t="s">
        <v>383</v>
      </c>
      <c r="IJW31" s="3" t="s">
        <v>382</v>
      </c>
      <c r="IJX31" s="3" t="s">
        <v>383</v>
      </c>
      <c r="IJY31" s="3" t="s">
        <v>382</v>
      </c>
      <c r="IJZ31" s="3" t="s">
        <v>383</v>
      </c>
      <c r="IKA31" s="3" t="s">
        <v>382</v>
      </c>
      <c r="IKB31" s="3" t="s">
        <v>383</v>
      </c>
      <c r="IKC31" s="3" t="s">
        <v>382</v>
      </c>
      <c r="IKD31" s="3" t="s">
        <v>383</v>
      </c>
      <c r="IKE31" s="3" t="s">
        <v>382</v>
      </c>
      <c r="IKF31" s="3" t="s">
        <v>383</v>
      </c>
      <c r="IKG31" s="3" t="s">
        <v>382</v>
      </c>
      <c r="IKH31" s="3" t="s">
        <v>383</v>
      </c>
      <c r="IKI31" s="3" t="s">
        <v>382</v>
      </c>
      <c r="IKJ31" s="3" t="s">
        <v>383</v>
      </c>
      <c r="IKK31" s="3" t="s">
        <v>382</v>
      </c>
      <c r="IKL31" s="3" t="s">
        <v>383</v>
      </c>
      <c r="IKM31" s="3" t="s">
        <v>382</v>
      </c>
      <c r="IKN31" s="3" t="s">
        <v>383</v>
      </c>
      <c r="IKO31" s="3" t="s">
        <v>382</v>
      </c>
      <c r="IKP31" s="3" t="s">
        <v>383</v>
      </c>
      <c r="IKQ31" s="3" t="s">
        <v>382</v>
      </c>
      <c r="IKR31" s="3" t="s">
        <v>383</v>
      </c>
      <c r="IKS31" s="3" t="s">
        <v>382</v>
      </c>
      <c r="IKT31" s="3" t="s">
        <v>383</v>
      </c>
      <c r="IKU31" s="3" t="s">
        <v>382</v>
      </c>
      <c r="IKV31" s="3" t="s">
        <v>383</v>
      </c>
      <c r="IKW31" s="3" t="s">
        <v>382</v>
      </c>
      <c r="IKX31" s="3" t="s">
        <v>383</v>
      </c>
      <c r="IKY31" s="3" t="s">
        <v>382</v>
      </c>
      <c r="IKZ31" s="3" t="s">
        <v>383</v>
      </c>
      <c r="ILA31" s="3" t="s">
        <v>382</v>
      </c>
      <c r="ILB31" s="3" t="s">
        <v>383</v>
      </c>
      <c r="ILC31" s="3" t="s">
        <v>382</v>
      </c>
      <c r="ILD31" s="3" t="s">
        <v>383</v>
      </c>
      <c r="ILE31" s="3" t="s">
        <v>382</v>
      </c>
      <c r="ILF31" s="3" t="s">
        <v>383</v>
      </c>
      <c r="ILG31" s="3" t="s">
        <v>382</v>
      </c>
      <c r="ILH31" s="3" t="s">
        <v>383</v>
      </c>
      <c r="ILI31" s="3" t="s">
        <v>382</v>
      </c>
      <c r="ILJ31" s="3" t="s">
        <v>383</v>
      </c>
      <c r="ILK31" s="3" t="s">
        <v>382</v>
      </c>
      <c r="ILL31" s="3" t="s">
        <v>383</v>
      </c>
      <c r="ILM31" s="3" t="s">
        <v>382</v>
      </c>
      <c r="ILN31" s="3" t="s">
        <v>383</v>
      </c>
      <c r="ILO31" s="3" t="s">
        <v>382</v>
      </c>
      <c r="ILP31" s="3" t="s">
        <v>383</v>
      </c>
      <c r="ILQ31" s="3" t="s">
        <v>382</v>
      </c>
      <c r="ILR31" s="3" t="s">
        <v>383</v>
      </c>
      <c r="ILS31" s="3" t="s">
        <v>382</v>
      </c>
      <c r="ILT31" s="3" t="s">
        <v>383</v>
      </c>
      <c r="ILU31" s="3" t="s">
        <v>382</v>
      </c>
      <c r="ILV31" s="3" t="s">
        <v>383</v>
      </c>
      <c r="ILW31" s="3" t="s">
        <v>382</v>
      </c>
      <c r="ILX31" s="3" t="s">
        <v>383</v>
      </c>
      <c r="ILY31" s="3" t="s">
        <v>382</v>
      </c>
      <c r="ILZ31" s="3" t="s">
        <v>383</v>
      </c>
      <c r="IMA31" s="3" t="s">
        <v>382</v>
      </c>
      <c r="IMB31" s="3" t="s">
        <v>383</v>
      </c>
      <c r="IMC31" s="3" t="s">
        <v>382</v>
      </c>
      <c r="IMD31" s="3" t="s">
        <v>383</v>
      </c>
      <c r="IME31" s="3" t="s">
        <v>382</v>
      </c>
      <c r="IMF31" s="3" t="s">
        <v>383</v>
      </c>
      <c r="IMG31" s="3" t="s">
        <v>382</v>
      </c>
      <c r="IMH31" s="3" t="s">
        <v>383</v>
      </c>
      <c r="IMI31" s="3" t="s">
        <v>382</v>
      </c>
      <c r="IMJ31" s="3" t="s">
        <v>383</v>
      </c>
      <c r="IMK31" s="3" t="s">
        <v>382</v>
      </c>
      <c r="IML31" s="3" t="s">
        <v>383</v>
      </c>
      <c r="IMM31" s="3" t="s">
        <v>382</v>
      </c>
      <c r="IMN31" s="3" t="s">
        <v>383</v>
      </c>
      <c r="IMO31" s="3" t="s">
        <v>382</v>
      </c>
      <c r="IMP31" s="3" t="s">
        <v>383</v>
      </c>
      <c r="IMQ31" s="3" t="s">
        <v>382</v>
      </c>
      <c r="IMR31" s="3" t="s">
        <v>383</v>
      </c>
      <c r="IMS31" s="3" t="s">
        <v>382</v>
      </c>
      <c r="IMT31" s="3" t="s">
        <v>383</v>
      </c>
      <c r="IMU31" s="3" t="s">
        <v>382</v>
      </c>
      <c r="IMV31" s="3" t="s">
        <v>383</v>
      </c>
      <c r="IMW31" s="3" t="s">
        <v>382</v>
      </c>
      <c r="IMX31" s="3" t="s">
        <v>383</v>
      </c>
      <c r="IMY31" s="3" t="s">
        <v>382</v>
      </c>
      <c r="IMZ31" s="3" t="s">
        <v>383</v>
      </c>
      <c r="INA31" s="3" t="s">
        <v>382</v>
      </c>
      <c r="INB31" s="3" t="s">
        <v>383</v>
      </c>
      <c r="INC31" s="3" t="s">
        <v>382</v>
      </c>
      <c r="IND31" s="3" t="s">
        <v>383</v>
      </c>
      <c r="INE31" s="3" t="s">
        <v>382</v>
      </c>
      <c r="INF31" s="3" t="s">
        <v>383</v>
      </c>
      <c r="ING31" s="3" t="s">
        <v>382</v>
      </c>
      <c r="INH31" s="3" t="s">
        <v>383</v>
      </c>
      <c r="INI31" s="3" t="s">
        <v>382</v>
      </c>
      <c r="INJ31" s="3" t="s">
        <v>383</v>
      </c>
      <c r="INK31" s="3" t="s">
        <v>382</v>
      </c>
      <c r="INL31" s="3" t="s">
        <v>383</v>
      </c>
      <c r="INM31" s="3" t="s">
        <v>382</v>
      </c>
      <c r="INN31" s="3" t="s">
        <v>383</v>
      </c>
      <c r="INO31" s="3" t="s">
        <v>382</v>
      </c>
      <c r="INP31" s="3" t="s">
        <v>383</v>
      </c>
      <c r="INQ31" s="3" t="s">
        <v>382</v>
      </c>
      <c r="INR31" s="3" t="s">
        <v>383</v>
      </c>
      <c r="INS31" s="3" t="s">
        <v>382</v>
      </c>
      <c r="INT31" s="3" t="s">
        <v>383</v>
      </c>
      <c r="INU31" s="3" t="s">
        <v>382</v>
      </c>
      <c r="INV31" s="3" t="s">
        <v>383</v>
      </c>
      <c r="INW31" s="3" t="s">
        <v>382</v>
      </c>
      <c r="INX31" s="3" t="s">
        <v>383</v>
      </c>
      <c r="INY31" s="3" t="s">
        <v>382</v>
      </c>
      <c r="INZ31" s="3" t="s">
        <v>383</v>
      </c>
      <c r="IOA31" s="3" t="s">
        <v>382</v>
      </c>
      <c r="IOB31" s="3" t="s">
        <v>383</v>
      </c>
      <c r="IOC31" s="3" t="s">
        <v>382</v>
      </c>
      <c r="IOD31" s="3" t="s">
        <v>383</v>
      </c>
      <c r="IOE31" s="3" t="s">
        <v>382</v>
      </c>
      <c r="IOF31" s="3" t="s">
        <v>383</v>
      </c>
      <c r="IOG31" s="3" t="s">
        <v>382</v>
      </c>
      <c r="IOH31" s="3" t="s">
        <v>383</v>
      </c>
      <c r="IOI31" s="3" t="s">
        <v>382</v>
      </c>
      <c r="IOJ31" s="3" t="s">
        <v>383</v>
      </c>
      <c r="IOK31" s="3" t="s">
        <v>382</v>
      </c>
      <c r="IOL31" s="3" t="s">
        <v>383</v>
      </c>
      <c r="IOM31" s="3" t="s">
        <v>382</v>
      </c>
      <c r="ION31" s="3" t="s">
        <v>383</v>
      </c>
      <c r="IOO31" s="3" t="s">
        <v>382</v>
      </c>
      <c r="IOP31" s="3" t="s">
        <v>383</v>
      </c>
      <c r="IOQ31" s="3" t="s">
        <v>382</v>
      </c>
      <c r="IOR31" s="3" t="s">
        <v>383</v>
      </c>
      <c r="IOS31" s="3" t="s">
        <v>382</v>
      </c>
      <c r="IOT31" s="3" t="s">
        <v>383</v>
      </c>
      <c r="IOU31" s="3" t="s">
        <v>382</v>
      </c>
      <c r="IOV31" s="3" t="s">
        <v>383</v>
      </c>
      <c r="IOW31" s="3" t="s">
        <v>382</v>
      </c>
      <c r="IOX31" s="3" t="s">
        <v>383</v>
      </c>
      <c r="IOY31" s="3" t="s">
        <v>382</v>
      </c>
      <c r="IOZ31" s="3" t="s">
        <v>383</v>
      </c>
      <c r="IPA31" s="3" t="s">
        <v>382</v>
      </c>
      <c r="IPB31" s="3" t="s">
        <v>383</v>
      </c>
      <c r="IPC31" s="3" t="s">
        <v>382</v>
      </c>
      <c r="IPD31" s="3" t="s">
        <v>383</v>
      </c>
      <c r="IPE31" s="3" t="s">
        <v>382</v>
      </c>
      <c r="IPF31" s="3" t="s">
        <v>383</v>
      </c>
      <c r="IPG31" s="3" t="s">
        <v>382</v>
      </c>
      <c r="IPH31" s="3" t="s">
        <v>383</v>
      </c>
      <c r="IPI31" s="3" t="s">
        <v>382</v>
      </c>
      <c r="IPJ31" s="3" t="s">
        <v>383</v>
      </c>
      <c r="IPK31" s="3" t="s">
        <v>382</v>
      </c>
      <c r="IPL31" s="3" t="s">
        <v>383</v>
      </c>
      <c r="IPM31" s="3" t="s">
        <v>382</v>
      </c>
      <c r="IPN31" s="3" t="s">
        <v>383</v>
      </c>
      <c r="IPO31" s="3" t="s">
        <v>382</v>
      </c>
      <c r="IPP31" s="3" t="s">
        <v>383</v>
      </c>
      <c r="IPQ31" s="3" t="s">
        <v>382</v>
      </c>
      <c r="IPR31" s="3" t="s">
        <v>383</v>
      </c>
      <c r="IPS31" s="3" t="s">
        <v>382</v>
      </c>
      <c r="IPT31" s="3" t="s">
        <v>383</v>
      </c>
      <c r="IPU31" s="3" t="s">
        <v>382</v>
      </c>
      <c r="IPV31" s="3" t="s">
        <v>383</v>
      </c>
      <c r="IPW31" s="3" t="s">
        <v>382</v>
      </c>
      <c r="IPX31" s="3" t="s">
        <v>383</v>
      </c>
      <c r="IPY31" s="3" t="s">
        <v>382</v>
      </c>
      <c r="IPZ31" s="3" t="s">
        <v>383</v>
      </c>
      <c r="IQA31" s="3" t="s">
        <v>382</v>
      </c>
      <c r="IQB31" s="3" t="s">
        <v>383</v>
      </c>
      <c r="IQC31" s="3" t="s">
        <v>382</v>
      </c>
      <c r="IQD31" s="3" t="s">
        <v>383</v>
      </c>
      <c r="IQE31" s="3" t="s">
        <v>382</v>
      </c>
      <c r="IQF31" s="3" t="s">
        <v>383</v>
      </c>
      <c r="IQG31" s="3" t="s">
        <v>382</v>
      </c>
      <c r="IQH31" s="3" t="s">
        <v>383</v>
      </c>
      <c r="IQI31" s="3" t="s">
        <v>382</v>
      </c>
      <c r="IQJ31" s="3" t="s">
        <v>383</v>
      </c>
      <c r="IQK31" s="3" t="s">
        <v>382</v>
      </c>
      <c r="IQL31" s="3" t="s">
        <v>383</v>
      </c>
      <c r="IQM31" s="3" t="s">
        <v>382</v>
      </c>
      <c r="IQN31" s="3" t="s">
        <v>383</v>
      </c>
      <c r="IQO31" s="3" t="s">
        <v>382</v>
      </c>
      <c r="IQP31" s="3" t="s">
        <v>383</v>
      </c>
      <c r="IQQ31" s="3" t="s">
        <v>382</v>
      </c>
      <c r="IQR31" s="3" t="s">
        <v>383</v>
      </c>
      <c r="IQS31" s="3" t="s">
        <v>382</v>
      </c>
      <c r="IQT31" s="3" t="s">
        <v>383</v>
      </c>
      <c r="IQU31" s="3" t="s">
        <v>382</v>
      </c>
      <c r="IQV31" s="3" t="s">
        <v>383</v>
      </c>
      <c r="IQW31" s="3" t="s">
        <v>382</v>
      </c>
      <c r="IQX31" s="3" t="s">
        <v>383</v>
      </c>
      <c r="IQY31" s="3" t="s">
        <v>382</v>
      </c>
      <c r="IQZ31" s="3" t="s">
        <v>383</v>
      </c>
      <c r="IRA31" s="3" t="s">
        <v>382</v>
      </c>
      <c r="IRB31" s="3" t="s">
        <v>383</v>
      </c>
      <c r="IRC31" s="3" t="s">
        <v>382</v>
      </c>
      <c r="IRD31" s="3" t="s">
        <v>383</v>
      </c>
      <c r="IRE31" s="3" t="s">
        <v>382</v>
      </c>
      <c r="IRF31" s="3" t="s">
        <v>383</v>
      </c>
      <c r="IRG31" s="3" t="s">
        <v>382</v>
      </c>
      <c r="IRH31" s="3" t="s">
        <v>383</v>
      </c>
      <c r="IRI31" s="3" t="s">
        <v>382</v>
      </c>
      <c r="IRJ31" s="3" t="s">
        <v>383</v>
      </c>
      <c r="IRK31" s="3" t="s">
        <v>382</v>
      </c>
      <c r="IRL31" s="3" t="s">
        <v>383</v>
      </c>
      <c r="IRM31" s="3" t="s">
        <v>382</v>
      </c>
      <c r="IRN31" s="3" t="s">
        <v>383</v>
      </c>
      <c r="IRO31" s="3" t="s">
        <v>382</v>
      </c>
      <c r="IRP31" s="3" t="s">
        <v>383</v>
      </c>
      <c r="IRQ31" s="3" t="s">
        <v>382</v>
      </c>
      <c r="IRR31" s="3" t="s">
        <v>383</v>
      </c>
      <c r="IRS31" s="3" t="s">
        <v>382</v>
      </c>
      <c r="IRT31" s="3" t="s">
        <v>383</v>
      </c>
      <c r="IRU31" s="3" t="s">
        <v>382</v>
      </c>
      <c r="IRV31" s="3" t="s">
        <v>383</v>
      </c>
      <c r="IRW31" s="3" t="s">
        <v>382</v>
      </c>
      <c r="IRX31" s="3" t="s">
        <v>383</v>
      </c>
      <c r="IRY31" s="3" t="s">
        <v>382</v>
      </c>
      <c r="IRZ31" s="3" t="s">
        <v>383</v>
      </c>
      <c r="ISA31" s="3" t="s">
        <v>382</v>
      </c>
      <c r="ISB31" s="3" t="s">
        <v>383</v>
      </c>
      <c r="ISC31" s="3" t="s">
        <v>382</v>
      </c>
      <c r="ISD31" s="3" t="s">
        <v>383</v>
      </c>
      <c r="ISE31" s="3" t="s">
        <v>382</v>
      </c>
      <c r="ISF31" s="3" t="s">
        <v>383</v>
      </c>
      <c r="ISG31" s="3" t="s">
        <v>382</v>
      </c>
      <c r="ISH31" s="3" t="s">
        <v>383</v>
      </c>
      <c r="ISI31" s="3" t="s">
        <v>382</v>
      </c>
      <c r="ISJ31" s="3" t="s">
        <v>383</v>
      </c>
      <c r="ISK31" s="3" t="s">
        <v>382</v>
      </c>
      <c r="ISL31" s="3" t="s">
        <v>383</v>
      </c>
      <c r="ISM31" s="3" t="s">
        <v>382</v>
      </c>
      <c r="ISN31" s="3" t="s">
        <v>383</v>
      </c>
      <c r="ISO31" s="3" t="s">
        <v>382</v>
      </c>
      <c r="ISP31" s="3" t="s">
        <v>383</v>
      </c>
      <c r="ISQ31" s="3" t="s">
        <v>382</v>
      </c>
      <c r="ISR31" s="3" t="s">
        <v>383</v>
      </c>
      <c r="ISS31" s="3" t="s">
        <v>382</v>
      </c>
      <c r="IST31" s="3" t="s">
        <v>383</v>
      </c>
      <c r="ISU31" s="3" t="s">
        <v>382</v>
      </c>
      <c r="ISV31" s="3" t="s">
        <v>383</v>
      </c>
      <c r="ISW31" s="3" t="s">
        <v>382</v>
      </c>
      <c r="ISX31" s="3" t="s">
        <v>383</v>
      </c>
      <c r="ISY31" s="3" t="s">
        <v>382</v>
      </c>
      <c r="ISZ31" s="3" t="s">
        <v>383</v>
      </c>
      <c r="ITA31" s="3" t="s">
        <v>382</v>
      </c>
      <c r="ITB31" s="3" t="s">
        <v>383</v>
      </c>
      <c r="ITC31" s="3" t="s">
        <v>382</v>
      </c>
      <c r="ITD31" s="3" t="s">
        <v>383</v>
      </c>
      <c r="ITE31" s="3" t="s">
        <v>382</v>
      </c>
      <c r="ITF31" s="3" t="s">
        <v>383</v>
      </c>
      <c r="ITG31" s="3" t="s">
        <v>382</v>
      </c>
      <c r="ITH31" s="3" t="s">
        <v>383</v>
      </c>
      <c r="ITI31" s="3" t="s">
        <v>382</v>
      </c>
      <c r="ITJ31" s="3" t="s">
        <v>383</v>
      </c>
      <c r="ITK31" s="3" t="s">
        <v>382</v>
      </c>
      <c r="ITL31" s="3" t="s">
        <v>383</v>
      </c>
      <c r="ITM31" s="3" t="s">
        <v>382</v>
      </c>
      <c r="ITN31" s="3" t="s">
        <v>383</v>
      </c>
      <c r="ITO31" s="3" t="s">
        <v>382</v>
      </c>
      <c r="ITP31" s="3" t="s">
        <v>383</v>
      </c>
      <c r="ITQ31" s="3" t="s">
        <v>382</v>
      </c>
      <c r="ITR31" s="3" t="s">
        <v>383</v>
      </c>
      <c r="ITS31" s="3" t="s">
        <v>382</v>
      </c>
      <c r="ITT31" s="3" t="s">
        <v>383</v>
      </c>
      <c r="ITU31" s="3" t="s">
        <v>382</v>
      </c>
      <c r="ITV31" s="3" t="s">
        <v>383</v>
      </c>
      <c r="ITW31" s="3" t="s">
        <v>382</v>
      </c>
      <c r="ITX31" s="3" t="s">
        <v>383</v>
      </c>
      <c r="ITY31" s="3" t="s">
        <v>382</v>
      </c>
      <c r="ITZ31" s="3" t="s">
        <v>383</v>
      </c>
      <c r="IUA31" s="3" t="s">
        <v>382</v>
      </c>
      <c r="IUB31" s="3" t="s">
        <v>383</v>
      </c>
      <c r="IUC31" s="3" t="s">
        <v>382</v>
      </c>
      <c r="IUD31" s="3" t="s">
        <v>383</v>
      </c>
      <c r="IUE31" s="3" t="s">
        <v>382</v>
      </c>
      <c r="IUF31" s="3" t="s">
        <v>383</v>
      </c>
      <c r="IUG31" s="3" t="s">
        <v>382</v>
      </c>
      <c r="IUH31" s="3" t="s">
        <v>383</v>
      </c>
      <c r="IUI31" s="3" t="s">
        <v>382</v>
      </c>
      <c r="IUJ31" s="3" t="s">
        <v>383</v>
      </c>
      <c r="IUK31" s="3" t="s">
        <v>382</v>
      </c>
      <c r="IUL31" s="3" t="s">
        <v>383</v>
      </c>
      <c r="IUM31" s="3" t="s">
        <v>382</v>
      </c>
      <c r="IUN31" s="3" t="s">
        <v>383</v>
      </c>
      <c r="IUO31" s="3" t="s">
        <v>382</v>
      </c>
      <c r="IUP31" s="3" t="s">
        <v>383</v>
      </c>
      <c r="IUQ31" s="3" t="s">
        <v>382</v>
      </c>
      <c r="IUR31" s="3" t="s">
        <v>383</v>
      </c>
      <c r="IUS31" s="3" t="s">
        <v>382</v>
      </c>
      <c r="IUT31" s="3" t="s">
        <v>383</v>
      </c>
      <c r="IUU31" s="3" t="s">
        <v>382</v>
      </c>
      <c r="IUV31" s="3" t="s">
        <v>383</v>
      </c>
      <c r="IUW31" s="3" t="s">
        <v>382</v>
      </c>
      <c r="IUX31" s="3" t="s">
        <v>383</v>
      </c>
      <c r="IUY31" s="3" t="s">
        <v>382</v>
      </c>
      <c r="IUZ31" s="3" t="s">
        <v>383</v>
      </c>
      <c r="IVA31" s="3" t="s">
        <v>382</v>
      </c>
      <c r="IVB31" s="3" t="s">
        <v>383</v>
      </c>
      <c r="IVC31" s="3" t="s">
        <v>382</v>
      </c>
      <c r="IVD31" s="3" t="s">
        <v>383</v>
      </c>
      <c r="IVE31" s="3" t="s">
        <v>382</v>
      </c>
      <c r="IVF31" s="3" t="s">
        <v>383</v>
      </c>
      <c r="IVG31" s="3" t="s">
        <v>382</v>
      </c>
      <c r="IVH31" s="3" t="s">
        <v>383</v>
      </c>
      <c r="IVI31" s="3" t="s">
        <v>382</v>
      </c>
      <c r="IVJ31" s="3" t="s">
        <v>383</v>
      </c>
      <c r="IVK31" s="3" t="s">
        <v>382</v>
      </c>
      <c r="IVL31" s="3" t="s">
        <v>383</v>
      </c>
      <c r="IVM31" s="3" t="s">
        <v>382</v>
      </c>
      <c r="IVN31" s="3" t="s">
        <v>383</v>
      </c>
      <c r="IVO31" s="3" t="s">
        <v>382</v>
      </c>
      <c r="IVP31" s="3" t="s">
        <v>383</v>
      </c>
      <c r="IVQ31" s="3" t="s">
        <v>382</v>
      </c>
      <c r="IVR31" s="3" t="s">
        <v>383</v>
      </c>
      <c r="IVS31" s="3" t="s">
        <v>382</v>
      </c>
      <c r="IVT31" s="3" t="s">
        <v>383</v>
      </c>
      <c r="IVU31" s="3" t="s">
        <v>382</v>
      </c>
      <c r="IVV31" s="3" t="s">
        <v>383</v>
      </c>
      <c r="IVW31" s="3" t="s">
        <v>382</v>
      </c>
      <c r="IVX31" s="3" t="s">
        <v>383</v>
      </c>
      <c r="IVY31" s="3" t="s">
        <v>382</v>
      </c>
      <c r="IVZ31" s="3" t="s">
        <v>383</v>
      </c>
      <c r="IWA31" s="3" t="s">
        <v>382</v>
      </c>
      <c r="IWB31" s="3" t="s">
        <v>383</v>
      </c>
      <c r="IWC31" s="3" t="s">
        <v>382</v>
      </c>
      <c r="IWD31" s="3" t="s">
        <v>383</v>
      </c>
      <c r="IWE31" s="3" t="s">
        <v>382</v>
      </c>
      <c r="IWF31" s="3" t="s">
        <v>383</v>
      </c>
      <c r="IWG31" s="3" t="s">
        <v>382</v>
      </c>
      <c r="IWH31" s="3" t="s">
        <v>383</v>
      </c>
      <c r="IWI31" s="3" t="s">
        <v>382</v>
      </c>
      <c r="IWJ31" s="3" t="s">
        <v>383</v>
      </c>
      <c r="IWK31" s="3" t="s">
        <v>382</v>
      </c>
      <c r="IWL31" s="3" t="s">
        <v>383</v>
      </c>
      <c r="IWM31" s="3" t="s">
        <v>382</v>
      </c>
      <c r="IWN31" s="3" t="s">
        <v>383</v>
      </c>
      <c r="IWO31" s="3" t="s">
        <v>382</v>
      </c>
      <c r="IWP31" s="3" t="s">
        <v>383</v>
      </c>
      <c r="IWQ31" s="3" t="s">
        <v>382</v>
      </c>
      <c r="IWR31" s="3" t="s">
        <v>383</v>
      </c>
      <c r="IWS31" s="3" t="s">
        <v>382</v>
      </c>
      <c r="IWT31" s="3" t="s">
        <v>383</v>
      </c>
      <c r="IWU31" s="3" t="s">
        <v>382</v>
      </c>
      <c r="IWV31" s="3" t="s">
        <v>383</v>
      </c>
      <c r="IWW31" s="3" t="s">
        <v>382</v>
      </c>
      <c r="IWX31" s="3" t="s">
        <v>383</v>
      </c>
      <c r="IWY31" s="3" t="s">
        <v>382</v>
      </c>
      <c r="IWZ31" s="3" t="s">
        <v>383</v>
      </c>
      <c r="IXA31" s="3" t="s">
        <v>382</v>
      </c>
      <c r="IXB31" s="3" t="s">
        <v>383</v>
      </c>
      <c r="IXC31" s="3" t="s">
        <v>382</v>
      </c>
      <c r="IXD31" s="3" t="s">
        <v>383</v>
      </c>
      <c r="IXE31" s="3" t="s">
        <v>382</v>
      </c>
      <c r="IXF31" s="3" t="s">
        <v>383</v>
      </c>
      <c r="IXG31" s="3" t="s">
        <v>382</v>
      </c>
      <c r="IXH31" s="3" t="s">
        <v>383</v>
      </c>
      <c r="IXI31" s="3" t="s">
        <v>382</v>
      </c>
      <c r="IXJ31" s="3" t="s">
        <v>383</v>
      </c>
      <c r="IXK31" s="3" t="s">
        <v>382</v>
      </c>
      <c r="IXL31" s="3" t="s">
        <v>383</v>
      </c>
      <c r="IXM31" s="3" t="s">
        <v>382</v>
      </c>
      <c r="IXN31" s="3" t="s">
        <v>383</v>
      </c>
      <c r="IXO31" s="3" t="s">
        <v>382</v>
      </c>
      <c r="IXP31" s="3" t="s">
        <v>383</v>
      </c>
      <c r="IXQ31" s="3" t="s">
        <v>382</v>
      </c>
      <c r="IXR31" s="3" t="s">
        <v>383</v>
      </c>
      <c r="IXS31" s="3" t="s">
        <v>382</v>
      </c>
      <c r="IXT31" s="3" t="s">
        <v>383</v>
      </c>
      <c r="IXU31" s="3" t="s">
        <v>382</v>
      </c>
      <c r="IXV31" s="3" t="s">
        <v>383</v>
      </c>
      <c r="IXW31" s="3" t="s">
        <v>382</v>
      </c>
      <c r="IXX31" s="3" t="s">
        <v>383</v>
      </c>
      <c r="IXY31" s="3" t="s">
        <v>382</v>
      </c>
      <c r="IXZ31" s="3" t="s">
        <v>383</v>
      </c>
      <c r="IYA31" s="3" t="s">
        <v>382</v>
      </c>
      <c r="IYB31" s="3" t="s">
        <v>383</v>
      </c>
      <c r="IYC31" s="3" t="s">
        <v>382</v>
      </c>
      <c r="IYD31" s="3" t="s">
        <v>383</v>
      </c>
      <c r="IYE31" s="3" t="s">
        <v>382</v>
      </c>
      <c r="IYF31" s="3" t="s">
        <v>383</v>
      </c>
      <c r="IYG31" s="3" t="s">
        <v>382</v>
      </c>
      <c r="IYH31" s="3" t="s">
        <v>383</v>
      </c>
      <c r="IYI31" s="3" t="s">
        <v>382</v>
      </c>
      <c r="IYJ31" s="3" t="s">
        <v>383</v>
      </c>
      <c r="IYK31" s="3" t="s">
        <v>382</v>
      </c>
      <c r="IYL31" s="3" t="s">
        <v>383</v>
      </c>
      <c r="IYM31" s="3" t="s">
        <v>382</v>
      </c>
      <c r="IYN31" s="3" t="s">
        <v>383</v>
      </c>
      <c r="IYO31" s="3" t="s">
        <v>382</v>
      </c>
      <c r="IYP31" s="3" t="s">
        <v>383</v>
      </c>
      <c r="IYQ31" s="3" t="s">
        <v>382</v>
      </c>
      <c r="IYR31" s="3" t="s">
        <v>383</v>
      </c>
      <c r="IYS31" s="3" t="s">
        <v>382</v>
      </c>
      <c r="IYT31" s="3" t="s">
        <v>383</v>
      </c>
      <c r="IYU31" s="3" t="s">
        <v>382</v>
      </c>
      <c r="IYV31" s="3" t="s">
        <v>383</v>
      </c>
      <c r="IYW31" s="3" t="s">
        <v>382</v>
      </c>
      <c r="IYX31" s="3" t="s">
        <v>383</v>
      </c>
      <c r="IYY31" s="3" t="s">
        <v>382</v>
      </c>
      <c r="IYZ31" s="3" t="s">
        <v>383</v>
      </c>
      <c r="IZA31" s="3" t="s">
        <v>382</v>
      </c>
      <c r="IZB31" s="3" t="s">
        <v>383</v>
      </c>
      <c r="IZC31" s="3" t="s">
        <v>382</v>
      </c>
      <c r="IZD31" s="3" t="s">
        <v>383</v>
      </c>
      <c r="IZE31" s="3" t="s">
        <v>382</v>
      </c>
      <c r="IZF31" s="3" t="s">
        <v>383</v>
      </c>
      <c r="IZG31" s="3" t="s">
        <v>382</v>
      </c>
      <c r="IZH31" s="3" t="s">
        <v>383</v>
      </c>
      <c r="IZI31" s="3" t="s">
        <v>382</v>
      </c>
      <c r="IZJ31" s="3" t="s">
        <v>383</v>
      </c>
      <c r="IZK31" s="3" t="s">
        <v>382</v>
      </c>
      <c r="IZL31" s="3" t="s">
        <v>383</v>
      </c>
      <c r="IZM31" s="3" t="s">
        <v>382</v>
      </c>
      <c r="IZN31" s="3" t="s">
        <v>383</v>
      </c>
      <c r="IZO31" s="3" t="s">
        <v>382</v>
      </c>
      <c r="IZP31" s="3" t="s">
        <v>383</v>
      </c>
      <c r="IZQ31" s="3" t="s">
        <v>382</v>
      </c>
      <c r="IZR31" s="3" t="s">
        <v>383</v>
      </c>
      <c r="IZS31" s="3" t="s">
        <v>382</v>
      </c>
      <c r="IZT31" s="3" t="s">
        <v>383</v>
      </c>
      <c r="IZU31" s="3" t="s">
        <v>382</v>
      </c>
      <c r="IZV31" s="3" t="s">
        <v>383</v>
      </c>
      <c r="IZW31" s="3" t="s">
        <v>382</v>
      </c>
      <c r="IZX31" s="3" t="s">
        <v>383</v>
      </c>
      <c r="IZY31" s="3" t="s">
        <v>382</v>
      </c>
      <c r="IZZ31" s="3" t="s">
        <v>383</v>
      </c>
      <c r="JAA31" s="3" t="s">
        <v>382</v>
      </c>
      <c r="JAB31" s="3" t="s">
        <v>383</v>
      </c>
      <c r="JAC31" s="3" t="s">
        <v>382</v>
      </c>
      <c r="JAD31" s="3" t="s">
        <v>383</v>
      </c>
      <c r="JAE31" s="3" t="s">
        <v>382</v>
      </c>
      <c r="JAF31" s="3" t="s">
        <v>383</v>
      </c>
      <c r="JAG31" s="3" t="s">
        <v>382</v>
      </c>
      <c r="JAH31" s="3" t="s">
        <v>383</v>
      </c>
      <c r="JAI31" s="3" t="s">
        <v>382</v>
      </c>
      <c r="JAJ31" s="3" t="s">
        <v>383</v>
      </c>
      <c r="JAK31" s="3" t="s">
        <v>382</v>
      </c>
      <c r="JAL31" s="3" t="s">
        <v>383</v>
      </c>
      <c r="JAM31" s="3" t="s">
        <v>382</v>
      </c>
      <c r="JAN31" s="3" t="s">
        <v>383</v>
      </c>
      <c r="JAO31" s="3" t="s">
        <v>382</v>
      </c>
      <c r="JAP31" s="3" t="s">
        <v>383</v>
      </c>
      <c r="JAQ31" s="3" t="s">
        <v>382</v>
      </c>
      <c r="JAR31" s="3" t="s">
        <v>383</v>
      </c>
      <c r="JAS31" s="3" t="s">
        <v>382</v>
      </c>
      <c r="JAT31" s="3" t="s">
        <v>383</v>
      </c>
      <c r="JAU31" s="3" t="s">
        <v>382</v>
      </c>
      <c r="JAV31" s="3" t="s">
        <v>383</v>
      </c>
      <c r="JAW31" s="3" t="s">
        <v>382</v>
      </c>
      <c r="JAX31" s="3" t="s">
        <v>383</v>
      </c>
      <c r="JAY31" s="3" t="s">
        <v>382</v>
      </c>
      <c r="JAZ31" s="3" t="s">
        <v>383</v>
      </c>
      <c r="JBA31" s="3" t="s">
        <v>382</v>
      </c>
      <c r="JBB31" s="3" t="s">
        <v>383</v>
      </c>
      <c r="JBC31" s="3" t="s">
        <v>382</v>
      </c>
      <c r="JBD31" s="3" t="s">
        <v>383</v>
      </c>
      <c r="JBE31" s="3" t="s">
        <v>382</v>
      </c>
      <c r="JBF31" s="3" t="s">
        <v>383</v>
      </c>
      <c r="JBG31" s="3" t="s">
        <v>382</v>
      </c>
      <c r="JBH31" s="3" t="s">
        <v>383</v>
      </c>
      <c r="JBI31" s="3" t="s">
        <v>382</v>
      </c>
      <c r="JBJ31" s="3" t="s">
        <v>383</v>
      </c>
      <c r="JBK31" s="3" t="s">
        <v>382</v>
      </c>
      <c r="JBL31" s="3" t="s">
        <v>383</v>
      </c>
      <c r="JBM31" s="3" t="s">
        <v>382</v>
      </c>
      <c r="JBN31" s="3" t="s">
        <v>383</v>
      </c>
      <c r="JBO31" s="3" t="s">
        <v>382</v>
      </c>
      <c r="JBP31" s="3" t="s">
        <v>383</v>
      </c>
      <c r="JBQ31" s="3" t="s">
        <v>382</v>
      </c>
      <c r="JBR31" s="3" t="s">
        <v>383</v>
      </c>
      <c r="JBS31" s="3" t="s">
        <v>382</v>
      </c>
      <c r="JBT31" s="3" t="s">
        <v>383</v>
      </c>
      <c r="JBU31" s="3" t="s">
        <v>382</v>
      </c>
      <c r="JBV31" s="3" t="s">
        <v>383</v>
      </c>
      <c r="JBW31" s="3" t="s">
        <v>382</v>
      </c>
      <c r="JBX31" s="3" t="s">
        <v>383</v>
      </c>
      <c r="JBY31" s="3" t="s">
        <v>382</v>
      </c>
      <c r="JBZ31" s="3" t="s">
        <v>383</v>
      </c>
      <c r="JCA31" s="3" t="s">
        <v>382</v>
      </c>
      <c r="JCB31" s="3" t="s">
        <v>383</v>
      </c>
      <c r="JCC31" s="3" t="s">
        <v>382</v>
      </c>
      <c r="JCD31" s="3" t="s">
        <v>383</v>
      </c>
      <c r="JCE31" s="3" t="s">
        <v>382</v>
      </c>
      <c r="JCF31" s="3" t="s">
        <v>383</v>
      </c>
      <c r="JCG31" s="3" t="s">
        <v>382</v>
      </c>
      <c r="JCH31" s="3" t="s">
        <v>383</v>
      </c>
      <c r="JCI31" s="3" t="s">
        <v>382</v>
      </c>
      <c r="JCJ31" s="3" t="s">
        <v>383</v>
      </c>
      <c r="JCK31" s="3" t="s">
        <v>382</v>
      </c>
      <c r="JCL31" s="3" t="s">
        <v>383</v>
      </c>
      <c r="JCM31" s="3" t="s">
        <v>382</v>
      </c>
      <c r="JCN31" s="3" t="s">
        <v>383</v>
      </c>
      <c r="JCO31" s="3" t="s">
        <v>382</v>
      </c>
      <c r="JCP31" s="3" t="s">
        <v>383</v>
      </c>
      <c r="JCQ31" s="3" t="s">
        <v>382</v>
      </c>
      <c r="JCR31" s="3" t="s">
        <v>383</v>
      </c>
      <c r="JCS31" s="3" t="s">
        <v>382</v>
      </c>
      <c r="JCT31" s="3" t="s">
        <v>383</v>
      </c>
      <c r="JCU31" s="3" t="s">
        <v>382</v>
      </c>
      <c r="JCV31" s="3" t="s">
        <v>383</v>
      </c>
      <c r="JCW31" s="3" t="s">
        <v>382</v>
      </c>
      <c r="JCX31" s="3" t="s">
        <v>383</v>
      </c>
      <c r="JCY31" s="3" t="s">
        <v>382</v>
      </c>
      <c r="JCZ31" s="3" t="s">
        <v>383</v>
      </c>
      <c r="JDA31" s="3" t="s">
        <v>382</v>
      </c>
      <c r="JDB31" s="3" t="s">
        <v>383</v>
      </c>
      <c r="JDC31" s="3" t="s">
        <v>382</v>
      </c>
      <c r="JDD31" s="3" t="s">
        <v>383</v>
      </c>
      <c r="JDE31" s="3" t="s">
        <v>382</v>
      </c>
      <c r="JDF31" s="3" t="s">
        <v>383</v>
      </c>
      <c r="JDG31" s="3" t="s">
        <v>382</v>
      </c>
      <c r="JDH31" s="3" t="s">
        <v>383</v>
      </c>
      <c r="JDI31" s="3" t="s">
        <v>382</v>
      </c>
      <c r="JDJ31" s="3" t="s">
        <v>383</v>
      </c>
      <c r="JDK31" s="3" t="s">
        <v>382</v>
      </c>
      <c r="JDL31" s="3" t="s">
        <v>383</v>
      </c>
      <c r="JDM31" s="3" t="s">
        <v>382</v>
      </c>
      <c r="JDN31" s="3" t="s">
        <v>383</v>
      </c>
      <c r="JDO31" s="3" t="s">
        <v>382</v>
      </c>
      <c r="JDP31" s="3" t="s">
        <v>383</v>
      </c>
      <c r="JDQ31" s="3" t="s">
        <v>382</v>
      </c>
      <c r="JDR31" s="3" t="s">
        <v>383</v>
      </c>
      <c r="JDS31" s="3" t="s">
        <v>382</v>
      </c>
      <c r="JDT31" s="3" t="s">
        <v>383</v>
      </c>
      <c r="JDU31" s="3" t="s">
        <v>382</v>
      </c>
      <c r="JDV31" s="3" t="s">
        <v>383</v>
      </c>
      <c r="JDW31" s="3" t="s">
        <v>382</v>
      </c>
      <c r="JDX31" s="3" t="s">
        <v>383</v>
      </c>
      <c r="JDY31" s="3" t="s">
        <v>382</v>
      </c>
      <c r="JDZ31" s="3" t="s">
        <v>383</v>
      </c>
      <c r="JEA31" s="3" t="s">
        <v>382</v>
      </c>
      <c r="JEB31" s="3" t="s">
        <v>383</v>
      </c>
      <c r="JEC31" s="3" t="s">
        <v>382</v>
      </c>
      <c r="JED31" s="3" t="s">
        <v>383</v>
      </c>
      <c r="JEE31" s="3" t="s">
        <v>382</v>
      </c>
      <c r="JEF31" s="3" t="s">
        <v>383</v>
      </c>
      <c r="JEG31" s="3" t="s">
        <v>382</v>
      </c>
      <c r="JEH31" s="3" t="s">
        <v>383</v>
      </c>
      <c r="JEI31" s="3" t="s">
        <v>382</v>
      </c>
      <c r="JEJ31" s="3" t="s">
        <v>383</v>
      </c>
      <c r="JEK31" s="3" t="s">
        <v>382</v>
      </c>
      <c r="JEL31" s="3" t="s">
        <v>383</v>
      </c>
      <c r="JEM31" s="3" t="s">
        <v>382</v>
      </c>
      <c r="JEN31" s="3" t="s">
        <v>383</v>
      </c>
      <c r="JEO31" s="3" t="s">
        <v>382</v>
      </c>
      <c r="JEP31" s="3" t="s">
        <v>383</v>
      </c>
      <c r="JEQ31" s="3" t="s">
        <v>382</v>
      </c>
      <c r="JER31" s="3" t="s">
        <v>383</v>
      </c>
      <c r="JES31" s="3" t="s">
        <v>382</v>
      </c>
      <c r="JET31" s="3" t="s">
        <v>383</v>
      </c>
      <c r="JEU31" s="3" t="s">
        <v>382</v>
      </c>
      <c r="JEV31" s="3" t="s">
        <v>383</v>
      </c>
      <c r="JEW31" s="3" t="s">
        <v>382</v>
      </c>
      <c r="JEX31" s="3" t="s">
        <v>383</v>
      </c>
      <c r="JEY31" s="3" t="s">
        <v>382</v>
      </c>
      <c r="JEZ31" s="3" t="s">
        <v>383</v>
      </c>
      <c r="JFA31" s="3" t="s">
        <v>382</v>
      </c>
      <c r="JFB31" s="3" t="s">
        <v>383</v>
      </c>
      <c r="JFC31" s="3" t="s">
        <v>382</v>
      </c>
      <c r="JFD31" s="3" t="s">
        <v>383</v>
      </c>
      <c r="JFE31" s="3" t="s">
        <v>382</v>
      </c>
      <c r="JFF31" s="3" t="s">
        <v>383</v>
      </c>
      <c r="JFG31" s="3" t="s">
        <v>382</v>
      </c>
      <c r="JFH31" s="3" t="s">
        <v>383</v>
      </c>
      <c r="JFI31" s="3" t="s">
        <v>382</v>
      </c>
      <c r="JFJ31" s="3" t="s">
        <v>383</v>
      </c>
      <c r="JFK31" s="3" t="s">
        <v>382</v>
      </c>
      <c r="JFL31" s="3" t="s">
        <v>383</v>
      </c>
      <c r="JFM31" s="3" t="s">
        <v>382</v>
      </c>
      <c r="JFN31" s="3" t="s">
        <v>383</v>
      </c>
      <c r="JFO31" s="3" t="s">
        <v>382</v>
      </c>
      <c r="JFP31" s="3" t="s">
        <v>383</v>
      </c>
      <c r="JFQ31" s="3" t="s">
        <v>382</v>
      </c>
      <c r="JFR31" s="3" t="s">
        <v>383</v>
      </c>
      <c r="JFS31" s="3" t="s">
        <v>382</v>
      </c>
      <c r="JFT31" s="3" t="s">
        <v>383</v>
      </c>
      <c r="JFU31" s="3" t="s">
        <v>382</v>
      </c>
      <c r="JFV31" s="3" t="s">
        <v>383</v>
      </c>
      <c r="JFW31" s="3" t="s">
        <v>382</v>
      </c>
      <c r="JFX31" s="3" t="s">
        <v>383</v>
      </c>
      <c r="JFY31" s="3" t="s">
        <v>382</v>
      </c>
      <c r="JFZ31" s="3" t="s">
        <v>383</v>
      </c>
      <c r="JGA31" s="3" t="s">
        <v>382</v>
      </c>
      <c r="JGB31" s="3" t="s">
        <v>383</v>
      </c>
      <c r="JGC31" s="3" t="s">
        <v>382</v>
      </c>
      <c r="JGD31" s="3" t="s">
        <v>383</v>
      </c>
      <c r="JGE31" s="3" t="s">
        <v>382</v>
      </c>
      <c r="JGF31" s="3" t="s">
        <v>383</v>
      </c>
      <c r="JGG31" s="3" t="s">
        <v>382</v>
      </c>
      <c r="JGH31" s="3" t="s">
        <v>383</v>
      </c>
      <c r="JGI31" s="3" t="s">
        <v>382</v>
      </c>
      <c r="JGJ31" s="3" t="s">
        <v>383</v>
      </c>
      <c r="JGK31" s="3" t="s">
        <v>382</v>
      </c>
      <c r="JGL31" s="3" t="s">
        <v>383</v>
      </c>
      <c r="JGM31" s="3" t="s">
        <v>382</v>
      </c>
      <c r="JGN31" s="3" t="s">
        <v>383</v>
      </c>
      <c r="JGO31" s="3" t="s">
        <v>382</v>
      </c>
      <c r="JGP31" s="3" t="s">
        <v>383</v>
      </c>
      <c r="JGQ31" s="3" t="s">
        <v>382</v>
      </c>
      <c r="JGR31" s="3" t="s">
        <v>383</v>
      </c>
      <c r="JGS31" s="3" t="s">
        <v>382</v>
      </c>
      <c r="JGT31" s="3" t="s">
        <v>383</v>
      </c>
      <c r="JGU31" s="3" t="s">
        <v>382</v>
      </c>
      <c r="JGV31" s="3" t="s">
        <v>383</v>
      </c>
      <c r="JGW31" s="3" t="s">
        <v>382</v>
      </c>
      <c r="JGX31" s="3" t="s">
        <v>383</v>
      </c>
      <c r="JGY31" s="3" t="s">
        <v>382</v>
      </c>
      <c r="JGZ31" s="3" t="s">
        <v>383</v>
      </c>
      <c r="JHA31" s="3" t="s">
        <v>382</v>
      </c>
      <c r="JHB31" s="3" t="s">
        <v>383</v>
      </c>
      <c r="JHC31" s="3" t="s">
        <v>382</v>
      </c>
      <c r="JHD31" s="3" t="s">
        <v>383</v>
      </c>
      <c r="JHE31" s="3" t="s">
        <v>382</v>
      </c>
      <c r="JHF31" s="3" t="s">
        <v>383</v>
      </c>
      <c r="JHG31" s="3" t="s">
        <v>382</v>
      </c>
      <c r="JHH31" s="3" t="s">
        <v>383</v>
      </c>
      <c r="JHI31" s="3" t="s">
        <v>382</v>
      </c>
      <c r="JHJ31" s="3" t="s">
        <v>383</v>
      </c>
      <c r="JHK31" s="3" t="s">
        <v>382</v>
      </c>
      <c r="JHL31" s="3" t="s">
        <v>383</v>
      </c>
      <c r="JHM31" s="3" t="s">
        <v>382</v>
      </c>
      <c r="JHN31" s="3" t="s">
        <v>383</v>
      </c>
      <c r="JHO31" s="3" t="s">
        <v>382</v>
      </c>
      <c r="JHP31" s="3" t="s">
        <v>383</v>
      </c>
      <c r="JHQ31" s="3" t="s">
        <v>382</v>
      </c>
      <c r="JHR31" s="3" t="s">
        <v>383</v>
      </c>
      <c r="JHS31" s="3" t="s">
        <v>382</v>
      </c>
      <c r="JHT31" s="3" t="s">
        <v>383</v>
      </c>
      <c r="JHU31" s="3" t="s">
        <v>382</v>
      </c>
      <c r="JHV31" s="3" t="s">
        <v>383</v>
      </c>
      <c r="JHW31" s="3" t="s">
        <v>382</v>
      </c>
      <c r="JHX31" s="3" t="s">
        <v>383</v>
      </c>
      <c r="JHY31" s="3" t="s">
        <v>382</v>
      </c>
      <c r="JHZ31" s="3" t="s">
        <v>383</v>
      </c>
      <c r="JIA31" s="3" t="s">
        <v>382</v>
      </c>
      <c r="JIB31" s="3" t="s">
        <v>383</v>
      </c>
      <c r="JIC31" s="3" t="s">
        <v>382</v>
      </c>
      <c r="JID31" s="3" t="s">
        <v>383</v>
      </c>
      <c r="JIE31" s="3" t="s">
        <v>382</v>
      </c>
      <c r="JIF31" s="3" t="s">
        <v>383</v>
      </c>
      <c r="JIG31" s="3" t="s">
        <v>382</v>
      </c>
      <c r="JIH31" s="3" t="s">
        <v>383</v>
      </c>
      <c r="JII31" s="3" t="s">
        <v>382</v>
      </c>
      <c r="JIJ31" s="3" t="s">
        <v>383</v>
      </c>
      <c r="JIK31" s="3" t="s">
        <v>382</v>
      </c>
      <c r="JIL31" s="3" t="s">
        <v>383</v>
      </c>
      <c r="JIM31" s="3" t="s">
        <v>382</v>
      </c>
      <c r="JIN31" s="3" t="s">
        <v>383</v>
      </c>
      <c r="JIO31" s="3" t="s">
        <v>382</v>
      </c>
      <c r="JIP31" s="3" t="s">
        <v>383</v>
      </c>
      <c r="JIQ31" s="3" t="s">
        <v>382</v>
      </c>
      <c r="JIR31" s="3" t="s">
        <v>383</v>
      </c>
      <c r="JIS31" s="3" t="s">
        <v>382</v>
      </c>
      <c r="JIT31" s="3" t="s">
        <v>383</v>
      </c>
      <c r="JIU31" s="3" t="s">
        <v>382</v>
      </c>
      <c r="JIV31" s="3" t="s">
        <v>383</v>
      </c>
      <c r="JIW31" s="3" t="s">
        <v>382</v>
      </c>
      <c r="JIX31" s="3" t="s">
        <v>383</v>
      </c>
      <c r="JIY31" s="3" t="s">
        <v>382</v>
      </c>
      <c r="JIZ31" s="3" t="s">
        <v>383</v>
      </c>
      <c r="JJA31" s="3" t="s">
        <v>382</v>
      </c>
      <c r="JJB31" s="3" t="s">
        <v>383</v>
      </c>
      <c r="JJC31" s="3" t="s">
        <v>382</v>
      </c>
      <c r="JJD31" s="3" t="s">
        <v>383</v>
      </c>
      <c r="JJE31" s="3" t="s">
        <v>382</v>
      </c>
      <c r="JJF31" s="3" t="s">
        <v>383</v>
      </c>
      <c r="JJG31" s="3" t="s">
        <v>382</v>
      </c>
      <c r="JJH31" s="3" t="s">
        <v>383</v>
      </c>
      <c r="JJI31" s="3" t="s">
        <v>382</v>
      </c>
      <c r="JJJ31" s="3" t="s">
        <v>383</v>
      </c>
      <c r="JJK31" s="3" t="s">
        <v>382</v>
      </c>
      <c r="JJL31" s="3" t="s">
        <v>383</v>
      </c>
      <c r="JJM31" s="3" t="s">
        <v>382</v>
      </c>
      <c r="JJN31" s="3" t="s">
        <v>383</v>
      </c>
      <c r="JJO31" s="3" t="s">
        <v>382</v>
      </c>
      <c r="JJP31" s="3" t="s">
        <v>383</v>
      </c>
      <c r="JJQ31" s="3" t="s">
        <v>382</v>
      </c>
      <c r="JJR31" s="3" t="s">
        <v>383</v>
      </c>
      <c r="JJS31" s="3" t="s">
        <v>382</v>
      </c>
      <c r="JJT31" s="3" t="s">
        <v>383</v>
      </c>
      <c r="JJU31" s="3" t="s">
        <v>382</v>
      </c>
      <c r="JJV31" s="3" t="s">
        <v>383</v>
      </c>
      <c r="JJW31" s="3" t="s">
        <v>382</v>
      </c>
      <c r="JJX31" s="3" t="s">
        <v>383</v>
      </c>
      <c r="JJY31" s="3" t="s">
        <v>382</v>
      </c>
      <c r="JJZ31" s="3" t="s">
        <v>383</v>
      </c>
      <c r="JKA31" s="3" t="s">
        <v>382</v>
      </c>
      <c r="JKB31" s="3" t="s">
        <v>383</v>
      </c>
      <c r="JKC31" s="3" t="s">
        <v>382</v>
      </c>
      <c r="JKD31" s="3" t="s">
        <v>383</v>
      </c>
      <c r="JKE31" s="3" t="s">
        <v>382</v>
      </c>
      <c r="JKF31" s="3" t="s">
        <v>383</v>
      </c>
      <c r="JKG31" s="3" t="s">
        <v>382</v>
      </c>
      <c r="JKH31" s="3" t="s">
        <v>383</v>
      </c>
      <c r="JKI31" s="3" t="s">
        <v>382</v>
      </c>
      <c r="JKJ31" s="3" t="s">
        <v>383</v>
      </c>
      <c r="JKK31" s="3" t="s">
        <v>382</v>
      </c>
      <c r="JKL31" s="3" t="s">
        <v>383</v>
      </c>
      <c r="JKM31" s="3" t="s">
        <v>382</v>
      </c>
      <c r="JKN31" s="3" t="s">
        <v>383</v>
      </c>
      <c r="JKO31" s="3" t="s">
        <v>382</v>
      </c>
      <c r="JKP31" s="3" t="s">
        <v>383</v>
      </c>
      <c r="JKQ31" s="3" t="s">
        <v>382</v>
      </c>
      <c r="JKR31" s="3" t="s">
        <v>383</v>
      </c>
      <c r="JKS31" s="3" t="s">
        <v>382</v>
      </c>
      <c r="JKT31" s="3" t="s">
        <v>383</v>
      </c>
      <c r="JKU31" s="3" t="s">
        <v>382</v>
      </c>
      <c r="JKV31" s="3" t="s">
        <v>383</v>
      </c>
      <c r="JKW31" s="3" t="s">
        <v>382</v>
      </c>
      <c r="JKX31" s="3" t="s">
        <v>383</v>
      </c>
      <c r="JKY31" s="3" t="s">
        <v>382</v>
      </c>
      <c r="JKZ31" s="3" t="s">
        <v>383</v>
      </c>
      <c r="JLA31" s="3" t="s">
        <v>382</v>
      </c>
      <c r="JLB31" s="3" t="s">
        <v>383</v>
      </c>
      <c r="JLC31" s="3" t="s">
        <v>382</v>
      </c>
      <c r="JLD31" s="3" t="s">
        <v>383</v>
      </c>
      <c r="JLE31" s="3" t="s">
        <v>382</v>
      </c>
      <c r="JLF31" s="3" t="s">
        <v>383</v>
      </c>
      <c r="JLG31" s="3" t="s">
        <v>382</v>
      </c>
      <c r="JLH31" s="3" t="s">
        <v>383</v>
      </c>
      <c r="JLI31" s="3" t="s">
        <v>382</v>
      </c>
      <c r="JLJ31" s="3" t="s">
        <v>383</v>
      </c>
      <c r="JLK31" s="3" t="s">
        <v>382</v>
      </c>
      <c r="JLL31" s="3" t="s">
        <v>383</v>
      </c>
      <c r="JLM31" s="3" t="s">
        <v>382</v>
      </c>
      <c r="JLN31" s="3" t="s">
        <v>383</v>
      </c>
      <c r="JLO31" s="3" t="s">
        <v>382</v>
      </c>
      <c r="JLP31" s="3" t="s">
        <v>383</v>
      </c>
      <c r="JLQ31" s="3" t="s">
        <v>382</v>
      </c>
      <c r="JLR31" s="3" t="s">
        <v>383</v>
      </c>
      <c r="JLS31" s="3" t="s">
        <v>382</v>
      </c>
      <c r="JLT31" s="3" t="s">
        <v>383</v>
      </c>
      <c r="JLU31" s="3" t="s">
        <v>382</v>
      </c>
      <c r="JLV31" s="3" t="s">
        <v>383</v>
      </c>
      <c r="JLW31" s="3" t="s">
        <v>382</v>
      </c>
      <c r="JLX31" s="3" t="s">
        <v>383</v>
      </c>
      <c r="JLY31" s="3" t="s">
        <v>382</v>
      </c>
      <c r="JLZ31" s="3" t="s">
        <v>383</v>
      </c>
      <c r="JMA31" s="3" t="s">
        <v>382</v>
      </c>
      <c r="JMB31" s="3" t="s">
        <v>383</v>
      </c>
      <c r="JMC31" s="3" t="s">
        <v>382</v>
      </c>
      <c r="JMD31" s="3" t="s">
        <v>383</v>
      </c>
      <c r="JME31" s="3" t="s">
        <v>382</v>
      </c>
      <c r="JMF31" s="3" t="s">
        <v>383</v>
      </c>
      <c r="JMG31" s="3" t="s">
        <v>382</v>
      </c>
      <c r="JMH31" s="3" t="s">
        <v>383</v>
      </c>
      <c r="JMI31" s="3" t="s">
        <v>382</v>
      </c>
      <c r="JMJ31" s="3" t="s">
        <v>383</v>
      </c>
      <c r="JMK31" s="3" t="s">
        <v>382</v>
      </c>
      <c r="JML31" s="3" t="s">
        <v>383</v>
      </c>
      <c r="JMM31" s="3" t="s">
        <v>382</v>
      </c>
      <c r="JMN31" s="3" t="s">
        <v>383</v>
      </c>
      <c r="JMO31" s="3" t="s">
        <v>382</v>
      </c>
      <c r="JMP31" s="3" t="s">
        <v>383</v>
      </c>
      <c r="JMQ31" s="3" t="s">
        <v>382</v>
      </c>
      <c r="JMR31" s="3" t="s">
        <v>383</v>
      </c>
      <c r="JMS31" s="3" t="s">
        <v>382</v>
      </c>
      <c r="JMT31" s="3" t="s">
        <v>383</v>
      </c>
      <c r="JMU31" s="3" t="s">
        <v>382</v>
      </c>
      <c r="JMV31" s="3" t="s">
        <v>383</v>
      </c>
      <c r="JMW31" s="3" t="s">
        <v>382</v>
      </c>
      <c r="JMX31" s="3" t="s">
        <v>383</v>
      </c>
      <c r="JMY31" s="3" t="s">
        <v>382</v>
      </c>
      <c r="JMZ31" s="3" t="s">
        <v>383</v>
      </c>
      <c r="JNA31" s="3" t="s">
        <v>382</v>
      </c>
      <c r="JNB31" s="3" t="s">
        <v>383</v>
      </c>
      <c r="JNC31" s="3" t="s">
        <v>382</v>
      </c>
      <c r="JND31" s="3" t="s">
        <v>383</v>
      </c>
      <c r="JNE31" s="3" t="s">
        <v>382</v>
      </c>
      <c r="JNF31" s="3" t="s">
        <v>383</v>
      </c>
      <c r="JNG31" s="3" t="s">
        <v>382</v>
      </c>
      <c r="JNH31" s="3" t="s">
        <v>383</v>
      </c>
      <c r="JNI31" s="3" t="s">
        <v>382</v>
      </c>
      <c r="JNJ31" s="3" t="s">
        <v>383</v>
      </c>
      <c r="JNK31" s="3" t="s">
        <v>382</v>
      </c>
      <c r="JNL31" s="3" t="s">
        <v>383</v>
      </c>
      <c r="JNM31" s="3" t="s">
        <v>382</v>
      </c>
      <c r="JNN31" s="3" t="s">
        <v>383</v>
      </c>
      <c r="JNO31" s="3" t="s">
        <v>382</v>
      </c>
      <c r="JNP31" s="3" t="s">
        <v>383</v>
      </c>
      <c r="JNQ31" s="3" t="s">
        <v>382</v>
      </c>
      <c r="JNR31" s="3" t="s">
        <v>383</v>
      </c>
      <c r="JNS31" s="3" t="s">
        <v>382</v>
      </c>
      <c r="JNT31" s="3" t="s">
        <v>383</v>
      </c>
      <c r="JNU31" s="3" t="s">
        <v>382</v>
      </c>
      <c r="JNV31" s="3" t="s">
        <v>383</v>
      </c>
      <c r="JNW31" s="3" t="s">
        <v>382</v>
      </c>
      <c r="JNX31" s="3" t="s">
        <v>383</v>
      </c>
      <c r="JNY31" s="3" t="s">
        <v>382</v>
      </c>
      <c r="JNZ31" s="3" t="s">
        <v>383</v>
      </c>
      <c r="JOA31" s="3" t="s">
        <v>382</v>
      </c>
      <c r="JOB31" s="3" t="s">
        <v>383</v>
      </c>
      <c r="JOC31" s="3" t="s">
        <v>382</v>
      </c>
      <c r="JOD31" s="3" t="s">
        <v>383</v>
      </c>
      <c r="JOE31" s="3" t="s">
        <v>382</v>
      </c>
      <c r="JOF31" s="3" t="s">
        <v>383</v>
      </c>
      <c r="JOG31" s="3" t="s">
        <v>382</v>
      </c>
      <c r="JOH31" s="3" t="s">
        <v>383</v>
      </c>
      <c r="JOI31" s="3" t="s">
        <v>382</v>
      </c>
      <c r="JOJ31" s="3" t="s">
        <v>383</v>
      </c>
      <c r="JOK31" s="3" t="s">
        <v>382</v>
      </c>
      <c r="JOL31" s="3" t="s">
        <v>383</v>
      </c>
      <c r="JOM31" s="3" t="s">
        <v>382</v>
      </c>
      <c r="JON31" s="3" t="s">
        <v>383</v>
      </c>
      <c r="JOO31" s="3" t="s">
        <v>382</v>
      </c>
      <c r="JOP31" s="3" t="s">
        <v>383</v>
      </c>
      <c r="JOQ31" s="3" t="s">
        <v>382</v>
      </c>
      <c r="JOR31" s="3" t="s">
        <v>383</v>
      </c>
      <c r="JOS31" s="3" t="s">
        <v>382</v>
      </c>
      <c r="JOT31" s="3" t="s">
        <v>383</v>
      </c>
      <c r="JOU31" s="3" t="s">
        <v>382</v>
      </c>
      <c r="JOV31" s="3" t="s">
        <v>383</v>
      </c>
      <c r="JOW31" s="3" t="s">
        <v>382</v>
      </c>
      <c r="JOX31" s="3" t="s">
        <v>383</v>
      </c>
      <c r="JOY31" s="3" t="s">
        <v>382</v>
      </c>
      <c r="JOZ31" s="3" t="s">
        <v>383</v>
      </c>
      <c r="JPA31" s="3" t="s">
        <v>382</v>
      </c>
      <c r="JPB31" s="3" t="s">
        <v>383</v>
      </c>
      <c r="JPC31" s="3" t="s">
        <v>382</v>
      </c>
      <c r="JPD31" s="3" t="s">
        <v>383</v>
      </c>
      <c r="JPE31" s="3" t="s">
        <v>382</v>
      </c>
      <c r="JPF31" s="3" t="s">
        <v>383</v>
      </c>
      <c r="JPG31" s="3" t="s">
        <v>382</v>
      </c>
      <c r="JPH31" s="3" t="s">
        <v>383</v>
      </c>
      <c r="JPI31" s="3" t="s">
        <v>382</v>
      </c>
      <c r="JPJ31" s="3" t="s">
        <v>383</v>
      </c>
      <c r="JPK31" s="3" t="s">
        <v>382</v>
      </c>
      <c r="JPL31" s="3" t="s">
        <v>383</v>
      </c>
      <c r="JPM31" s="3" t="s">
        <v>382</v>
      </c>
      <c r="JPN31" s="3" t="s">
        <v>383</v>
      </c>
      <c r="JPO31" s="3" t="s">
        <v>382</v>
      </c>
      <c r="JPP31" s="3" t="s">
        <v>383</v>
      </c>
      <c r="JPQ31" s="3" t="s">
        <v>382</v>
      </c>
      <c r="JPR31" s="3" t="s">
        <v>383</v>
      </c>
      <c r="JPS31" s="3" t="s">
        <v>382</v>
      </c>
      <c r="JPT31" s="3" t="s">
        <v>383</v>
      </c>
      <c r="JPU31" s="3" t="s">
        <v>382</v>
      </c>
      <c r="JPV31" s="3" t="s">
        <v>383</v>
      </c>
      <c r="JPW31" s="3" t="s">
        <v>382</v>
      </c>
      <c r="JPX31" s="3" t="s">
        <v>383</v>
      </c>
      <c r="JPY31" s="3" t="s">
        <v>382</v>
      </c>
      <c r="JPZ31" s="3" t="s">
        <v>383</v>
      </c>
      <c r="JQA31" s="3" t="s">
        <v>382</v>
      </c>
      <c r="JQB31" s="3" t="s">
        <v>383</v>
      </c>
      <c r="JQC31" s="3" t="s">
        <v>382</v>
      </c>
      <c r="JQD31" s="3" t="s">
        <v>383</v>
      </c>
      <c r="JQE31" s="3" t="s">
        <v>382</v>
      </c>
      <c r="JQF31" s="3" t="s">
        <v>383</v>
      </c>
      <c r="JQG31" s="3" t="s">
        <v>382</v>
      </c>
      <c r="JQH31" s="3" t="s">
        <v>383</v>
      </c>
      <c r="JQI31" s="3" t="s">
        <v>382</v>
      </c>
      <c r="JQJ31" s="3" t="s">
        <v>383</v>
      </c>
      <c r="JQK31" s="3" t="s">
        <v>382</v>
      </c>
      <c r="JQL31" s="3" t="s">
        <v>383</v>
      </c>
      <c r="JQM31" s="3" t="s">
        <v>382</v>
      </c>
      <c r="JQN31" s="3" t="s">
        <v>383</v>
      </c>
      <c r="JQO31" s="3" t="s">
        <v>382</v>
      </c>
      <c r="JQP31" s="3" t="s">
        <v>383</v>
      </c>
      <c r="JQQ31" s="3" t="s">
        <v>382</v>
      </c>
      <c r="JQR31" s="3" t="s">
        <v>383</v>
      </c>
      <c r="JQS31" s="3" t="s">
        <v>382</v>
      </c>
      <c r="JQT31" s="3" t="s">
        <v>383</v>
      </c>
      <c r="JQU31" s="3" t="s">
        <v>382</v>
      </c>
      <c r="JQV31" s="3" t="s">
        <v>383</v>
      </c>
      <c r="JQW31" s="3" t="s">
        <v>382</v>
      </c>
      <c r="JQX31" s="3" t="s">
        <v>383</v>
      </c>
      <c r="JQY31" s="3" t="s">
        <v>382</v>
      </c>
      <c r="JQZ31" s="3" t="s">
        <v>383</v>
      </c>
      <c r="JRA31" s="3" t="s">
        <v>382</v>
      </c>
      <c r="JRB31" s="3" t="s">
        <v>383</v>
      </c>
      <c r="JRC31" s="3" t="s">
        <v>382</v>
      </c>
      <c r="JRD31" s="3" t="s">
        <v>383</v>
      </c>
      <c r="JRE31" s="3" t="s">
        <v>382</v>
      </c>
      <c r="JRF31" s="3" t="s">
        <v>383</v>
      </c>
      <c r="JRG31" s="3" t="s">
        <v>382</v>
      </c>
      <c r="JRH31" s="3" t="s">
        <v>383</v>
      </c>
      <c r="JRI31" s="3" t="s">
        <v>382</v>
      </c>
      <c r="JRJ31" s="3" t="s">
        <v>383</v>
      </c>
      <c r="JRK31" s="3" t="s">
        <v>382</v>
      </c>
      <c r="JRL31" s="3" t="s">
        <v>383</v>
      </c>
      <c r="JRM31" s="3" t="s">
        <v>382</v>
      </c>
      <c r="JRN31" s="3" t="s">
        <v>383</v>
      </c>
      <c r="JRO31" s="3" t="s">
        <v>382</v>
      </c>
      <c r="JRP31" s="3" t="s">
        <v>383</v>
      </c>
      <c r="JRQ31" s="3" t="s">
        <v>382</v>
      </c>
      <c r="JRR31" s="3" t="s">
        <v>383</v>
      </c>
      <c r="JRS31" s="3" t="s">
        <v>382</v>
      </c>
      <c r="JRT31" s="3" t="s">
        <v>383</v>
      </c>
      <c r="JRU31" s="3" t="s">
        <v>382</v>
      </c>
      <c r="JRV31" s="3" t="s">
        <v>383</v>
      </c>
      <c r="JRW31" s="3" t="s">
        <v>382</v>
      </c>
      <c r="JRX31" s="3" t="s">
        <v>383</v>
      </c>
      <c r="JRY31" s="3" t="s">
        <v>382</v>
      </c>
      <c r="JRZ31" s="3" t="s">
        <v>383</v>
      </c>
      <c r="JSA31" s="3" t="s">
        <v>382</v>
      </c>
      <c r="JSB31" s="3" t="s">
        <v>383</v>
      </c>
      <c r="JSC31" s="3" t="s">
        <v>382</v>
      </c>
      <c r="JSD31" s="3" t="s">
        <v>383</v>
      </c>
      <c r="JSE31" s="3" t="s">
        <v>382</v>
      </c>
      <c r="JSF31" s="3" t="s">
        <v>383</v>
      </c>
      <c r="JSG31" s="3" t="s">
        <v>382</v>
      </c>
      <c r="JSH31" s="3" t="s">
        <v>383</v>
      </c>
      <c r="JSI31" s="3" t="s">
        <v>382</v>
      </c>
      <c r="JSJ31" s="3" t="s">
        <v>383</v>
      </c>
      <c r="JSK31" s="3" t="s">
        <v>382</v>
      </c>
      <c r="JSL31" s="3" t="s">
        <v>383</v>
      </c>
      <c r="JSM31" s="3" t="s">
        <v>382</v>
      </c>
      <c r="JSN31" s="3" t="s">
        <v>383</v>
      </c>
      <c r="JSO31" s="3" t="s">
        <v>382</v>
      </c>
      <c r="JSP31" s="3" t="s">
        <v>383</v>
      </c>
      <c r="JSQ31" s="3" t="s">
        <v>382</v>
      </c>
      <c r="JSR31" s="3" t="s">
        <v>383</v>
      </c>
      <c r="JSS31" s="3" t="s">
        <v>382</v>
      </c>
      <c r="JST31" s="3" t="s">
        <v>383</v>
      </c>
      <c r="JSU31" s="3" t="s">
        <v>382</v>
      </c>
      <c r="JSV31" s="3" t="s">
        <v>383</v>
      </c>
      <c r="JSW31" s="3" t="s">
        <v>382</v>
      </c>
      <c r="JSX31" s="3" t="s">
        <v>383</v>
      </c>
      <c r="JSY31" s="3" t="s">
        <v>382</v>
      </c>
      <c r="JSZ31" s="3" t="s">
        <v>383</v>
      </c>
      <c r="JTA31" s="3" t="s">
        <v>382</v>
      </c>
      <c r="JTB31" s="3" t="s">
        <v>383</v>
      </c>
      <c r="JTC31" s="3" t="s">
        <v>382</v>
      </c>
      <c r="JTD31" s="3" t="s">
        <v>383</v>
      </c>
      <c r="JTE31" s="3" t="s">
        <v>382</v>
      </c>
      <c r="JTF31" s="3" t="s">
        <v>383</v>
      </c>
      <c r="JTG31" s="3" t="s">
        <v>382</v>
      </c>
      <c r="JTH31" s="3" t="s">
        <v>383</v>
      </c>
      <c r="JTI31" s="3" t="s">
        <v>382</v>
      </c>
      <c r="JTJ31" s="3" t="s">
        <v>383</v>
      </c>
      <c r="JTK31" s="3" t="s">
        <v>382</v>
      </c>
      <c r="JTL31" s="3" t="s">
        <v>383</v>
      </c>
      <c r="JTM31" s="3" t="s">
        <v>382</v>
      </c>
      <c r="JTN31" s="3" t="s">
        <v>383</v>
      </c>
      <c r="JTO31" s="3" t="s">
        <v>382</v>
      </c>
      <c r="JTP31" s="3" t="s">
        <v>383</v>
      </c>
      <c r="JTQ31" s="3" t="s">
        <v>382</v>
      </c>
      <c r="JTR31" s="3" t="s">
        <v>383</v>
      </c>
      <c r="JTS31" s="3" t="s">
        <v>382</v>
      </c>
      <c r="JTT31" s="3" t="s">
        <v>383</v>
      </c>
      <c r="JTU31" s="3" t="s">
        <v>382</v>
      </c>
      <c r="JTV31" s="3" t="s">
        <v>383</v>
      </c>
      <c r="JTW31" s="3" t="s">
        <v>382</v>
      </c>
      <c r="JTX31" s="3" t="s">
        <v>383</v>
      </c>
      <c r="JTY31" s="3" t="s">
        <v>382</v>
      </c>
      <c r="JTZ31" s="3" t="s">
        <v>383</v>
      </c>
      <c r="JUA31" s="3" t="s">
        <v>382</v>
      </c>
      <c r="JUB31" s="3" t="s">
        <v>383</v>
      </c>
      <c r="JUC31" s="3" t="s">
        <v>382</v>
      </c>
      <c r="JUD31" s="3" t="s">
        <v>383</v>
      </c>
      <c r="JUE31" s="3" t="s">
        <v>382</v>
      </c>
      <c r="JUF31" s="3" t="s">
        <v>383</v>
      </c>
      <c r="JUG31" s="3" t="s">
        <v>382</v>
      </c>
      <c r="JUH31" s="3" t="s">
        <v>383</v>
      </c>
      <c r="JUI31" s="3" t="s">
        <v>382</v>
      </c>
      <c r="JUJ31" s="3" t="s">
        <v>383</v>
      </c>
      <c r="JUK31" s="3" t="s">
        <v>382</v>
      </c>
      <c r="JUL31" s="3" t="s">
        <v>383</v>
      </c>
      <c r="JUM31" s="3" t="s">
        <v>382</v>
      </c>
      <c r="JUN31" s="3" t="s">
        <v>383</v>
      </c>
      <c r="JUO31" s="3" t="s">
        <v>382</v>
      </c>
      <c r="JUP31" s="3" t="s">
        <v>383</v>
      </c>
      <c r="JUQ31" s="3" t="s">
        <v>382</v>
      </c>
      <c r="JUR31" s="3" t="s">
        <v>383</v>
      </c>
      <c r="JUS31" s="3" t="s">
        <v>382</v>
      </c>
      <c r="JUT31" s="3" t="s">
        <v>383</v>
      </c>
      <c r="JUU31" s="3" t="s">
        <v>382</v>
      </c>
      <c r="JUV31" s="3" t="s">
        <v>383</v>
      </c>
      <c r="JUW31" s="3" t="s">
        <v>382</v>
      </c>
      <c r="JUX31" s="3" t="s">
        <v>383</v>
      </c>
      <c r="JUY31" s="3" t="s">
        <v>382</v>
      </c>
      <c r="JUZ31" s="3" t="s">
        <v>383</v>
      </c>
      <c r="JVA31" s="3" t="s">
        <v>382</v>
      </c>
      <c r="JVB31" s="3" t="s">
        <v>383</v>
      </c>
      <c r="JVC31" s="3" t="s">
        <v>382</v>
      </c>
      <c r="JVD31" s="3" t="s">
        <v>383</v>
      </c>
      <c r="JVE31" s="3" t="s">
        <v>382</v>
      </c>
      <c r="JVF31" s="3" t="s">
        <v>383</v>
      </c>
      <c r="JVG31" s="3" t="s">
        <v>382</v>
      </c>
      <c r="JVH31" s="3" t="s">
        <v>383</v>
      </c>
      <c r="JVI31" s="3" t="s">
        <v>382</v>
      </c>
      <c r="JVJ31" s="3" t="s">
        <v>383</v>
      </c>
      <c r="JVK31" s="3" t="s">
        <v>382</v>
      </c>
      <c r="JVL31" s="3" t="s">
        <v>383</v>
      </c>
      <c r="JVM31" s="3" t="s">
        <v>382</v>
      </c>
      <c r="JVN31" s="3" t="s">
        <v>383</v>
      </c>
      <c r="JVO31" s="3" t="s">
        <v>382</v>
      </c>
      <c r="JVP31" s="3" t="s">
        <v>383</v>
      </c>
      <c r="JVQ31" s="3" t="s">
        <v>382</v>
      </c>
      <c r="JVR31" s="3" t="s">
        <v>383</v>
      </c>
      <c r="JVS31" s="3" t="s">
        <v>382</v>
      </c>
      <c r="JVT31" s="3" t="s">
        <v>383</v>
      </c>
      <c r="JVU31" s="3" t="s">
        <v>382</v>
      </c>
      <c r="JVV31" s="3" t="s">
        <v>383</v>
      </c>
      <c r="JVW31" s="3" t="s">
        <v>382</v>
      </c>
      <c r="JVX31" s="3" t="s">
        <v>383</v>
      </c>
      <c r="JVY31" s="3" t="s">
        <v>382</v>
      </c>
      <c r="JVZ31" s="3" t="s">
        <v>383</v>
      </c>
      <c r="JWA31" s="3" t="s">
        <v>382</v>
      </c>
      <c r="JWB31" s="3" t="s">
        <v>383</v>
      </c>
      <c r="JWC31" s="3" t="s">
        <v>382</v>
      </c>
      <c r="JWD31" s="3" t="s">
        <v>383</v>
      </c>
      <c r="JWE31" s="3" t="s">
        <v>382</v>
      </c>
      <c r="JWF31" s="3" t="s">
        <v>383</v>
      </c>
      <c r="JWG31" s="3" t="s">
        <v>382</v>
      </c>
      <c r="JWH31" s="3" t="s">
        <v>383</v>
      </c>
      <c r="JWI31" s="3" t="s">
        <v>382</v>
      </c>
      <c r="JWJ31" s="3" t="s">
        <v>383</v>
      </c>
      <c r="JWK31" s="3" t="s">
        <v>382</v>
      </c>
      <c r="JWL31" s="3" t="s">
        <v>383</v>
      </c>
      <c r="JWM31" s="3" t="s">
        <v>382</v>
      </c>
      <c r="JWN31" s="3" t="s">
        <v>383</v>
      </c>
      <c r="JWO31" s="3" t="s">
        <v>382</v>
      </c>
      <c r="JWP31" s="3" t="s">
        <v>383</v>
      </c>
      <c r="JWQ31" s="3" t="s">
        <v>382</v>
      </c>
      <c r="JWR31" s="3" t="s">
        <v>383</v>
      </c>
      <c r="JWS31" s="3" t="s">
        <v>382</v>
      </c>
      <c r="JWT31" s="3" t="s">
        <v>383</v>
      </c>
      <c r="JWU31" s="3" t="s">
        <v>382</v>
      </c>
      <c r="JWV31" s="3" t="s">
        <v>383</v>
      </c>
      <c r="JWW31" s="3" t="s">
        <v>382</v>
      </c>
      <c r="JWX31" s="3" t="s">
        <v>383</v>
      </c>
      <c r="JWY31" s="3" t="s">
        <v>382</v>
      </c>
      <c r="JWZ31" s="3" t="s">
        <v>383</v>
      </c>
      <c r="JXA31" s="3" t="s">
        <v>382</v>
      </c>
      <c r="JXB31" s="3" t="s">
        <v>383</v>
      </c>
      <c r="JXC31" s="3" t="s">
        <v>382</v>
      </c>
      <c r="JXD31" s="3" t="s">
        <v>383</v>
      </c>
      <c r="JXE31" s="3" t="s">
        <v>382</v>
      </c>
      <c r="JXF31" s="3" t="s">
        <v>383</v>
      </c>
      <c r="JXG31" s="3" t="s">
        <v>382</v>
      </c>
      <c r="JXH31" s="3" t="s">
        <v>383</v>
      </c>
      <c r="JXI31" s="3" t="s">
        <v>382</v>
      </c>
      <c r="JXJ31" s="3" t="s">
        <v>383</v>
      </c>
      <c r="JXK31" s="3" t="s">
        <v>382</v>
      </c>
      <c r="JXL31" s="3" t="s">
        <v>383</v>
      </c>
      <c r="JXM31" s="3" t="s">
        <v>382</v>
      </c>
      <c r="JXN31" s="3" t="s">
        <v>383</v>
      </c>
      <c r="JXO31" s="3" t="s">
        <v>382</v>
      </c>
      <c r="JXP31" s="3" t="s">
        <v>383</v>
      </c>
      <c r="JXQ31" s="3" t="s">
        <v>382</v>
      </c>
      <c r="JXR31" s="3" t="s">
        <v>383</v>
      </c>
      <c r="JXS31" s="3" t="s">
        <v>382</v>
      </c>
      <c r="JXT31" s="3" t="s">
        <v>383</v>
      </c>
      <c r="JXU31" s="3" t="s">
        <v>382</v>
      </c>
      <c r="JXV31" s="3" t="s">
        <v>383</v>
      </c>
      <c r="JXW31" s="3" t="s">
        <v>382</v>
      </c>
      <c r="JXX31" s="3" t="s">
        <v>383</v>
      </c>
      <c r="JXY31" s="3" t="s">
        <v>382</v>
      </c>
      <c r="JXZ31" s="3" t="s">
        <v>383</v>
      </c>
      <c r="JYA31" s="3" t="s">
        <v>382</v>
      </c>
      <c r="JYB31" s="3" t="s">
        <v>383</v>
      </c>
      <c r="JYC31" s="3" t="s">
        <v>382</v>
      </c>
      <c r="JYD31" s="3" t="s">
        <v>383</v>
      </c>
      <c r="JYE31" s="3" t="s">
        <v>382</v>
      </c>
      <c r="JYF31" s="3" t="s">
        <v>383</v>
      </c>
      <c r="JYG31" s="3" t="s">
        <v>382</v>
      </c>
      <c r="JYH31" s="3" t="s">
        <v>383</v>
      </c>
      <c r="JYI31" s="3" t="s">
        <v>382</v>
      </c>
      <c r="JYJ31" s="3" t="s">
        <v>383</v>
      </c>
      <c r="JYK31" s="3" t="s">
        <v>382</v>
      </c>
      <c r="JYL31" s="3" t="s">
        <v>383</v>
      </c>
      <c r="JYM31" s="3" t="s">
        <v>382</v>
      </c>
      <c r="JYN31" s="3" t="s">
        <v>383</v>
      </c>
      <c r="JYO31" s="3" t="s">
        <v>382</v>
      </c>
      <c r="JYP31" s="3" t="s">
        <v>383</v>
      </c>
      <c r="JYQ31" s="3" t="s">
        <v>382</v>
      </c>
      <c r="JYR31" s="3" t="s">
        <v>383</v>
      </c>
      <c r="JYS31" s="3" t="s">
        <v>382</v>
      </c>
      <c r="JYT31" s="3" t="s">
        <v>383</v>
      </c>
      <c r="JYU31" s="3" t="s">
        <v>382</v>
      </c>
      <c r="JYV31" s="3" t="s">
        <v>383</v>
      </c>
      <c r="JYW31" s="3" t="s">
        <v>382</v>
      </c>
      <c r="JYX31" s="3" t="s">
        <v>383</v>
      </c>
      <c r="JYY31" s="3" t="s">
        <v>382</v>
      </c>
      <c r="JYZ31" s="3" t="s">
        <v>383</v>
      </c>
      <c r="JZA31" s="3" t="s">
        <v>382</v>
      </c>
      <c r="JZB31" s="3" t="s">
        <v>383</v>
      </c>
      <c r="JZC31" s="3" t="s">
        <v>382</v>
      </c>
      <c r="JZD31" s="3" t="s">
        <v>383</v>
      </c>
      <c r="JZE31" s="3" t="s">
        <v>382</v>
      </c>
      <c r="JZF31" s="3" t="s">
        <v>383</v>
      </c>
      <c r="JZG31" s="3" t="s">
        <v>382</v>
      </c>
      <c r="JZH31" s="3" t="s">
        <v>383</v>
      </c>
      <c r="JZI31" s="3" t="s">
        <v>382</v>
      </c>
      <c r="JZJ31" s="3" t="s">
        <v>383</v>
      </c>
      <c r="JZK31" s="3" t="s">
        <v>382</v>
      </c>
      <c r="JZL31" s="3" t="s">
        <v>383</v>
      </c>
      <c r="JZM31" s="3" t="s">
        <v>382</v>
      </c>
      <c r="JZN31" s="3" t="s">
        <v>383</v>
      </c>
      <c r="JZO31" s="3" t="s">
        <v>382</v>
      </c>
      <c r="JZP31" s="3" t="s">
        <v>383</v>
      </c>
      <c r="JZQ31" s="3" t="s">
        <v>382</v>
      </c>
      <c r="JZR31" s="3" t="s">
        <v>383</v>
      </c>
      <c r="JZS31" s="3" t="s">
        <v>382</v>
      </c>
      <c r="JZT31" s="3" t="s">
        <v>383</v>
      </c>
      <c r="JZU31" s="3" t="s">
        <v>382</v>
      </c>
      <c r="JZV31" s="3" t="s">
        <v>383</v>
      </c>
      <c r="JZW31" s="3" t="s">
        <v>382</v>
      </c>
      <c r="JZX31" s="3" t="s">
        <v>383</v>
      </c>
      <c r="JZY31" s="3" t="s">
        <v>382</v>
      </c>
      <c r="JZZ31" s="3" t="s">
        <v>383</v>
      </c>
      <c r="KAA31" s="3" t="s">
        <v>382</v>
      </c>
      <c r="KAB31" s="3" t="s">
        <v>383</v>
      </c>
      <c r="KAC31" s="3" t="s">
        <v>382</v>
      </c>
      <c r="KAD31" s="3" t="s">
        <v>383</v>
      </c>
      <c r="KAE31" s="3" t="s">
        <v>382</v>
      </c>
      <c r="KAF31" s="3" t="s">
        <v>383</v>
      </c>
      <c r="KAG31" s="3" t="s">
        <v>382</v>
      </c>
      <c r="KAH31" s="3" t="s">
        <v>383</v>
      </c>
      <c r="KAI31" s="3" t="s">
        <v>382</v>
      </c>
      <c r="KAJ31" s="3" t="s">
        <v>383</v>
      </c>
      <c r="KAK31" s="3" t="s">
        <v>382</v>
      </c>
      <c r="KAL31" s="3" t="s">
        <v>383</v>
      </c>
      <c r="KAM31" s="3" t="s">
        <v>382</v>
      </c>
      <c r="KAN31" s="3" t="s">
        <v>383</v>
      </c>
      <c r="KAO31" s="3" t="s">
        <v>382</v>
      </c>
      <c r="KAP31" s="3" t="s">
        <v>383</v>
      </c>
      <c r="KAQ31" s="3" t="s">
        <v>382</v>
      </c>
      <c r="KAR31" s="3" t="s">
        <v>383</v>
      </c>
      <c r="KAS31" s="3" t="s">
        <v>382</v>
      </c>
      <c r="KAT31" s="3" t="s">
        <v>383</v>
      </c>
      <c r="KAU31" s="3" t="s">
        <v>382</v>
      </c>
      <c r="KAV31" s="3" t="s">
        <v>383</v>
      </c>
      <c r="KAW31" s="3" t="s">
        <v>382</v>
      </c>
      <c r="KAX31" s="3" t="s">
        <v>383</v>
      </c>
      <c r="KAY31" s="3" t="s">
        <v>382</v>
      </c>
      <c r="KAZ31" s="3" t="s">
        <v>383</v>
      </c>
      <c r="KBA31" s="3" t="s">
        <v>382</v>
      </c>
      <c r="KBB31" s="3" t="s">
        <v>383</v>
      </c>
      <c r="KBC31" s="3" t="s">
        <v>382</v>
      </c>
      <c r="KBD31" s="3" t="s">
        <v>383</v>
      </c>
      <c r="KBE31" s="3" t="s">
        <v>382</v>
      </c>
      <c r="KBF31" s="3" t="s">
        <v>383</v>
      </c>
      <c r="KBG31" s="3" t="s">
        <v>382</v>
      </c>
      <c r="KBH31" s="3" t="s">
        <v>383</v>
      </c>
      <c r="KBI31" s="3" t="s">
        <v>382</v>
      </c>
      <c r="KBJ31" s="3" t="s">
        <v>383</v>
      </c>
      <c r="KBK31" s="3" t="s">
        <v>382</v>
      </c>
      <c r="KBL31" s="3" t="s">
        <v>383</v>
      </c>
      <c r="KBM31" s="3" t="s">
        <v>382</v>
      </c>
      <c r="KBN31" s="3" t="s">
        <v>383</v>
      </c>
      <c r="KBO31" s="3" t="s">
        <v>382</v>
      </c>
      <c r="KBP31" s="3" t="s">
        <v>383</v>
      </c>
      <c r="KBQ31" s="3" t="s">
        <v>382</v>
      </c>
      <c r="KBR31" s="3" t="s">
        <v>383</v>
      </c>
      <c r="KBS31" s="3" t="s">
        <v>382</v>
      </c>
      <c r="KBT31" s="3" t="s">
        <v>383</v>
      </c>
      <c r="KBU31" s="3" t="s">
        <v>382</v>
      </c>
      <c r="KBV31" s="3" t="s">
        <v>383</v>
      </c>
      <c r="KBW31" s="3" t="s">
        <v>382</v>
      </c>
      <c r="KBX31" s="3" t="s">
        <v>383</v>
      </c>
      <c r="KBY31" s="3" t="s">
        <v>382</v>
      </c>
      <c r="KBZ31" s="3" t="s">
        <v>383</v>
      </c>
      <c r="KCA31" s="3" t="s">
        <v>382</v>
      </c>
      <c r="KCB31" s="3" t="s">
        <v>383</v>
      </c>
      <c r="KCC31" s="3" t="s">
        <v>382</v>
      </c>
      <c r="KCD31" s="3" t="s">
        <v>383</v>
      </c>
      <c r="KCE31" s="3" t="s">
        <v>382</v>
      </c>
      <c r="KCF31" s="3" t="s">
        <v>383</v>
      </c>
      <c r="KCG31" s="3" t="s">
        <v>382</v>
      </c>
      <c r="KCH31" s="3" t="s">
        <v>383</v>
      </c>
      <c r="KCI31" s="3" t="s">
        <v>382</v>
      </c>
      <c r="KCJ31" s="3" t="s">
        <v>383</v>
      </c>
      <c r="KCK31" s="3" t="s">
        <v>382</v>
      </c>
      <c r="KCL31" s="3" t="s">
        <v>383</v>
      </c>
      <c r="KCM31" s="3" t="s">
        <v>382</v>
      </c>
      <c r="KCN31" s="3" t="s">
        <v>383</v>
      </c>
      <c r="KCO31" s="3" t="s">
        <v>382</v>
      </c>
      <c r="KCP31" s="3" t="s">
        <v>383</v>
      </c>
      <c r="KCQ31" s="3" t="s">
        <v>382</v>
      </c>
      <c r="KCR31" s="3" t="s">
        <v>383</v>
      </c>
      <c r="KCS31" s="3" t="s">
        <v>382</v>
      </c>
      <c r="KCT31" s="3" t="s">
        <v>383</v>
      </c>
      <c r="KCU31" s="3" t="s">
        <v>382</v>
      </c>
      <c r="KCV31" s="3" t="s">
        <v>383</v>
      </c>
      <c r="KCW31" s="3" t="s">
        <v>382</v>
      </c>
      <c r="KCX31" s="3" t="s">
        <v>383</v>
      </c>
      <c r="KCY31" s="3" t="s">
        <v>382</v>
      </c>
      <c r="KCZ31" s="3" t="s">
        <v>383</v>
      </c>
      <c r="KDA31" s="3" t="s">
        <v>382</v>
      </c>
      <c r="KDB31" s="3" t="s">
        <v>383</v>
      </c>
      <c r="KDC31" s="3" t="s">
        <v>382</v>
      </c>
      <c r="KDD31" s="3" t="s">
        <v>383</v>
      </c>
      <c r="KDE31" s="3" t="s">
        <v>382</v>
      </c>
      <c r="KDF31" s="3" t="s">
        <v>383</v>
      </c>
      <c r="KDG31" s="3" t="s">
        <v>382</v>
      </c>
      <c r="KDH31" s="3" t="s">
        <v>383</v>
      </c>
      <c r="KDI31" s="3" t="s">
        <v>382</v>
      </c>
      <c r="KDJ31" s="3" t="s">
        <v>383</v>
      </c>
      <c r="KDK31" s="3" t="s">
        <v>382</v>
      </c>
      <c r="KDL31" s="3" t="s">
        <v>383</v>
      </c>
      <c r="KDM31" s="3" t="s">
        <v>382</v>
      </c>
      <c r="KDN31" s="3" t="s">
        <v>383</v>
      </c>
      <c r="KDO31" s="3" t="s">
        <v>382</v>
      </c>
      <c r="KDP31" s="3" t="s">
        <v>383</v>
      </c>
      <c r="KDQ31" s="3" t="s">
        <v>382</v>
      </c>
      <c r="KDR31" s="3" t="s">
        <v>383</v>
      </c>
      <c r="KDS31" s="3" t="s">
        <v>382</v>
      </c>
      <c r="KDT31" s="3" t="s">
        <v>383</v>
      </c>
      <c r="KDU31" s="3" t="s">
        <v>382</v>
      </c>
      <c r="KDV31" s="3" t="s">
        <v>383</v>
      </c>
      <c r="KDW31" s="3" t="s">
        <v>382</v>
      </c>
      <c r="KDX31" s="3" t="s">
        <v>383</v>
      </c>
      <c r="KDY31" s="3" t="s">
        <v>382</v>
      </c>
      <c r="KDZ31" s="3" t="s">
        <v>383</v>
      </c>
      <c r="KEA31" s="3" t="s">
        <v>382</v>
      </c>
      <c r="KEB31" s="3" t="s">
        <v>383</v>
      </c>
      <c r="KEC31" s="3" t="s">
        <v>382</v>
      </c>
      <c r="KED31" s="3" t="s">
        <v>383</v>
      </c>
      <c r="KEE31" s="3" t="s">
        <v>382</v>
      </c>
      <c r="KEF31" s="3" t="s">
        <v>383</v>
      </c>
      <c r="KEG31" s="3" t="s">
        <v>382</v>
      </c>
      <c r="KEH31" s="3" t="s">
        <v>383</v>
      </c>
      <c r="KEI31" s="3" t="s">
        <v>382</v>
      </c>
      <c r="KEJ31" s="3" t="s">
        <v>383</v>
      </c>
      <c r="KEK31" s="3" t="s">
        <v>382</v>
      </c>
      <c r="KEL31" s="3" t="s">
        <v>383</v>
      </c>
      <c r="KEM31" s="3" t="s">
        <v>382</v>
      </c>
      <c r="KEN31" s="3" t="s">
        <v>383</v>
      </c>
      <c r="KEO31" s="3" t="s">
        <v>382</v>
      </c>
      <c r="KEP31" s="3" t="s">
        <v>383</v>
      </c>
      <c r="KEQ31" s="3" t="s">
        <v>382</v>
      </c>
      <c r="KER31" s="3" t="s">
        <v>383</v>
      </c>
      <c r="KES31" s="3" t="s">
        <v>382</v>
      </c>
      <c r="KET31" s="3" t="s">
        <v>383</v>
      </c>
      <c r="KEU31" s="3" t="s">
        <v>382</v>
      </c>
      <c r="KEV31" s="3" t="s">
        <v>383</v>
      </c>
      <c r="KEW31" s="3" t="s">
        <v>382</v>
      </c>
      <c r="KEX31" s="3" t="s">
        <v>383</v>
      </c>
      <c r="KEY31" s="3" t="s">
        <v>382</v>
      </c>
      <c r="KEZ31" s="3" t="s">
        <v>383</v>
      </c>
      <c r="KFA31" s="3" t="s">
        <v>382</v>
      </c>
      <c r="KFB31" s="3" t="s">
        <v>383</v>
      </c>
      <c r="KFC31" s="3" t="s">
        <v>382</v>
      </c>
      <c r="KFD31" s="3" t="s">
        <v>383</v>
      </c>
      <c r="KFE31" s="3" t="s">
        <v>382</v>
      </c>
      <c r="KFF31" s="3" t="s">
        <v>383</v>
      </c>
      <c r="KFG31" s="3" t="s">
        <v>382</v>
      </c>
      <c r="KFH31" s="3" t="s">
        <v>383</v>
      </c>
      <c r="KFI31" s="3" t="s">
        <v>382</v>
      </c>
      <c r="KFJ31" s="3" t="s">
        <v>383</v>
      </c>
      <c r="KFK31" s="3" t="s">
        <v>382</v>
      </c>
      <c r="KFL31" s="3" t="s">
        <v>383</v>
      </c>
      <c r="KFM31" s="3" t="s">
        <v>382</v>
      </c>
      <c r="KFN31" s="3" t="s">
        <v>383</v>
      </c>
      <c r="KFO31" s="3" t="s">
        <v>382</v>
      </c>
      <c r="KFP31" s="3" t="s">
        <v>383</v>
      </c>
      <c r="KFQ31" s="3" t="s">
        <v>382</v>
      </c>
      <c r="KFR31" s="3" t="s">
        <v>383</v>
      </c>
      <c r="KFS31" s="3" t="s">
        <v>382</v>
      </c>
      <c r="KFT31" s="3" t="s">
        <v>383</v>
      </c>
      <c r="KFU31" s="3" t="s">
        <v>382</v>
      </c>
      <c r="KFV31" s="3" t="s">
        <v>383</v>
      </c>
      <c r="KFW31" s="3" t="s">
        <v>382</v>
      </c>
      <c r="KFX31" s="3" t="s">
        <v>383</v>
      </c>
      <c r="KFY31" s="3" t="s">
        <v>382</v>
      </c>
      <c r="KFZ31" s="3" t="s">
        <v>383</v>
      </c>
      <c r="KGA31" s="3" t="s">
        <v>382</v>
      </c>
      <c r="KGB31" s="3" t="s">
        <v>383</v>
      </c>
      <c r="KGC31" s="3" t="s">
        <v>382</v>
      </c>
      <c r="KGD31" s="3" t="s">
        <v>383</v>
      </c>
      <c r="KGE31" s="3" t="s">
        <v>382</v>
      </c>
      <c r="KGF31" s="3" t="s">
        <v>383</v>
      </c>
      <c r="KGG31" s="3" t="s">
        <v>382</v>
      </c>
      <c r="KGH31" s="3" t="s">
        <v>383</v>
      </c>
      <c r="KGI31" s="3" t="s">
        <v>382</v>
      </c>
      <c r="KGJ31" s="3" t="s">
        <v>383</v>
      </c>
      <c r="KGK31" s="3" t="s">
        <v>382</v>
      </c>
      <c r="KGL31" s="3" t="s">
        <v>383</v>
      </c>
      <c r="KGM31" s="3" t="s">
        <v>382</v>
      </c>
      <c r="KGN31" s="3" t="s">
        <v>383</v>
      </c>
      <c r="KGO31" s="3" t="s">
        <v>382</v>
      </c>
      <c r="KGP31" s="3" t="s">
        <v>383</v>
      </c>
      <c r="KGQ31" s="3" t="s">
        <v>382</v>
      </c>
      <c r="KGR31" s="3" t="s">
        <v>383</v>
      </c>
      <c r="KGS31" s="3" t="s">
        <v>382</v>
      </c>
      <c r="KGT31" s="3" t="s">
        <v>383</v>
      </c>
      <c r="KGU31" s="3" t="s">
        <v>382</v>
      </c>
      <c r="KGV31" s="3" t="s">
        <v>383</v>
      </c>
      <c r="KGW31" s="3" t="s">
        <v>382</v>
      </c>
      <c r="KGX31" s="3" t="s">
        <v>383</v>
      </c>
      <c r="KGY31" s="3" t="s">
        <v>382</v>
      </c>
      <c r="KGZ31" s="3" t="s">
        <v>383</v>
      </c>
      <c r="KHA31" s="3" t="s">
        <v>382</v>
      </c>
      <c r="KHB31" s="3" t="s">
        <v>383</v>
      </c>
      <c r="KHC31" s="3" t="s">
        <v>382</v>
      </c>
      <c r="KHD31" s="3" t="s">
        <v>383</v>
      </c>
      <c r="KHE31" s="3" t="s">
        <v>382</v>
      </c>
      <c r="KHF31" s="3" t="s">
        <v>383</v>
      </c>
      <c r="KHG31" s="3" t="s">
        <v>382</v>
      </c>
      <c r="KHH31" s="3" t="s">
        <v>383</v>
      </c>
      <c r="KHI31" s="3" t="s">
        <v>382</v>
      </c>
      <c r="KHJ31" s="3" t="s">
        <v>383</v>
      </c>
      <c r="KHK31" s="3" t="s">
        <v>382</v>
      </c>
      <c r="KHL31" s="3" t="s">
        <v>383</v>
      </c>
      <c r="KHM31" s="3" t="s">
        <v>382</v>
      </c>
      <c r="KHN31" s="3" t="s">
        <v>383</v>
      </c>
      <c r="KHO31" s="3" t="s">
        <v>382</v>
      </c>
      <c r="KHP31" s="3" t="s">
        <v>383</v>
      </c>
      <c r="KHQ31" s="3" t="s">
        <v>382</v>
      </c>
      <c r="KHR31" s="3" t="s">
        <v>383</v>
      </c>
      <c r="KHS31" s="3" t="s">
        <v>382</v>
      </c>
      <c r="KHT31" s="3" t="s">
        <v>383</v>
      </c>
      <c r="KHU31" s="3" t="s">
        <v>382</v>
      </c>
      <c r="KHV31" s="3" t="s">
        <v>383</v>
      </c>
      <c r="KHW31" s="3" t="s">
        <v>382</v>
      </c>
      <c r="KHX31" s="3" t="s">
        <v>383</v>
      </c>
      <c r="KHY31" s="3" t="s">
        <v>382</v>
      </c>
      <c r="KHZ31" s="3" t="s">
        <v>383</v>
      </c>
      <c r="KIA31" s="3" t="s">
        <v>382</v>
      </c>
      <c r="KIB31" s="3" t="s">
        <v>383</v>
      </c>
      <c r="KIC31" s="3" t="s">
        <v>382</v>
      </c>
      <c r="KID31" s="3" t="s">
        <v>383</v>
      </c>
      <c r="KIE31" s="3" t="s">
        <v>382</v>
      </c>
      <c r="KIF31" s="3" t="s">
        <v>383</v>
      </c>
      <c r="KIG31" s="3" t="s">
        <v>382</v>
      </c>
      <c r="KIH31" s="3" t="s">
        <v>383</v>
      </c>
      <c r="KII31" s="3" t="s">
        <v>382</v>
      </c>
      <c r="KIJ31" s="3" t="s">
        <v>383</v>
      </c>
      <c r="KIK31" s="3" t="s">
        <v>382</v>
      </c>
      <c r="KIL31" s="3" t="s">
        <v>383</v>
      </c>
      <c r="KIM31" s="3" t="s">
        <v>382</v>
      </c>
      <c r="KIN31" s="3" t="s">
        <v>383</v>
      </c>
      <c r="KIO31" s="3" t="s">
        <v>382</v>
      </c>
      <c r="KIP31" s="3" t="s">
        <v>383</v>
      </c>
      <c r="KIQ31" s="3" t="s">
        <v>382</v>
      </c>
      <c r="KIR31" s="3" t="s">
        <v>383</v>
      </c>
      <c r="KIS31" s="3" t="s">
        <v>382</v>
      </c>
      <c r="KIT31" s="3" t="s">
        <v>383</v>
      </c>
      <c r="KIU31" s="3" t="s">
        <v>382</v>
      </c>
      <c r="KIV31" s="3" t="s">
        <v>383</v>
      </c>
      <c r="KIW31" s="3" t="s">
        <v>382</v>
      </c>
      <c r="KIX31" s="3" t="s">
        <v>383</v>
      </c>
      <c r="KIY31" s="3" t="s">
        <v>382</v>
      </c>
      <c r="KIZ31" s="3" t="s">
        <v>383</v>
      </c>
      <c r="KJA31" s="3" t="s">
        <v>382</v>
      </c>
      <c r="KJB31" s="3" t="s">
        <v>383</v>
      </c>
      <c r="KJC31" s="3" t="s">
        <v>382</v>
      </c>
      <c r="KJD31" s="3" t="s">
        <v>383</v>
      </c>
      <c r="KJE31" s="3" t="s">
        <v>382</v>
      </c>
      <c r="KJF31" s="3" t="s">
        <v>383</v>
      </c>
      <c r="KJG31" s="3" t="s">
        <v>382</v>
      </c>
      <c r="KJH31" s="3" t="s">
        <v>383</v>
      </c>
      <c r="KJI31" s="3" t="s">
        <v>382</v>
      </c>
      <c r="KJJ31" s="3" t="s">
        <v>383</v>
      </c>
      <c r="KJK31" s="3" t="s">
        <v>382</v>
      </c>
      <c r="KJL31" s="3" t="s">
        <v>383</v>
      </c>
      <c r="KJM31" s="3" t="s">
        <v>382</v>
      </c>
      <c r="KJN31" s="3" t="s">
        <v>383</v>
      </c>
      <c r="KJO31" s="3" t="s">
        <v>382</v>
      </c>
      <c r="KJP31" s="3" t="s">
        <v>383</v>
      </c>
      <c r="KJQ31" s="3" t="s">
        <v>382</v>
      </c>
      <c r="KJR31" s="3" t="s">
        <v>383</v>
      </c>
      <c r="KJS31" s="3" t="s">
        <v>382</v>
      </c>
      <c r="KJT31" s="3" t="s">
        <v>383</v>
      </c>
      <c r="KJU31" s="3" t="s">
        <v>382</v>
      </c>
      <c r="KJV31" s="3" t="s">
        <v>383</v>
      </c>
      <c r="KJW31" s="3" t="s">
        <v>382</v>
      </c>
      <c r="KJX31" s="3" t="s">
        <v>383</v>
      </c>
      <c r="KJY31" s="3" t="s">
        <v>382</v>
      </c>
      <c r="KJZ31" s="3" t="s">
        <v>383</v>
      </c>
      <c r="KKA31" s="3" t="s">
        <v>382</v>
      </c>
      <c r="KKB31" s="3" t="s">
        <v>383</v>
      </c>
      <c r="KKC31" s="3" t="s">
        <v>382</v>
      </c>
      <c r="KKD31" s="3" t="s">
        <v>383</v>
      </c>
      <c r="KKE31" s="3" t="s">
        <v>382</v>
      </c>
      <c r="KKF31" s="3" t="s">
        <v>383</v>
      </c>
      <c r="KKG31" s="3" t="s">
        <v>382</v>
      </c>
      <c r="KKH31" s="3" t="s">
        <v>383</v>
      </c>
      <c r="KKI31" s="3" t="s">
        <v>382</v>
      </c>
      <c r="KKJ31" s="3" t="s">
        <v>383</v>
      </c>
      <c r="KKK31" s="3" t="s">
        <v>382</v>
      </c>
      <c r="KKL31" s="3" t="s">
        <v>383</v>
      </c>
      <c r="KKM31" s="3" t="s">
        <v>382</v>
      </c>
      <c r="KKN31" s="3" t="s">
        <v>383</v>
      </c>
      <c r="KKO31" s="3" t="s">
        <v>382</v>
      </c>
      <c r="KKP31" s="3" t="s">
        <v>383</v>
      </c>
      <c r="KKQ31" s="3" t="s">
        <v>382</v>
      </c>
      <c r="KKR31" s="3" t="s">
        <v>383</v>
      </c>
      <c r="KKS31" s="3" t="s">
        <v>382</v>
      </c>
      <c r="KKT31" s="3" t="s">
        <v>383</v>
      </c>
      <c r="KKU31" s="3" t="s">
        <v>382</v>
      </c>
      <c r="KKV31" s="3" t="s">
        <v>383</v>
      </c>
      <c r="KKW31" s="3" t="s">
        <v>382</v>
      </c>
      <c r="KKX31" s="3" t="s">
        <v>383</v>
      </c>
      <c r="KKY31" s="3" t="s">
        <v>382</v>
      </c>
      <c r="KKZ31" s="3" t="s">
        <v>383</v>
      </c>
      <c r="KLA31" s="3" t="s">
        <v>382</v>
      </c>
      <c r="KLB31" s="3" t="s">
        <v>383</v>
      </c>
      <c r="KLC31" s="3" t="s">
        <v>382</v>
      </c>
      <c r="KLD31" s="3" t="s">
        <v>383</v>
      </c>
      <c r="KLE31" s="3" t="s">
        <v>382</v>
      </c>
      <c r="KLF31" s="3" t="s">
        <v>383</v>
      </c>
      <c r="KLG31" s="3" t="s">
        <v>382</v>
      </c>
      <c r="KLH31" s="3" t="s">
        <v>383</v>
      </c>
      <c r="KLI31" s="3" t="s">
        <v>382</v>
      </c>
      <c r="KLJ31" s="3" t="s">
        <v>383</v>
      </c>
      <c r="KLK31" s="3" t="s">
        <v>382</v>
      </c>
      <c r="KLL31" s="3" t="s">
        <v>383</v>
      </c>
      <c r="KLM31" s="3" t="s">
        <v>382</v>
      </c>
      <c r="KLN31" s="3" t="s">
        <v>383</v>
      </c>
      <c r="KLO31" s="3" t="s">
        <v>382</v>
      </c>
      <c r="KLP31" s="3" t="s">
        <v>383</v>
      </c>
      <c r="KLQ31" s="3" t="s">
        <v>382</v>
      </c>
      <c r="KLR31" s="3" t="s">
        <v>383</v>
      </c>
      <c r="KLS31" s="3" t="s">
        <v>382</v>
      </c>
      <c r="KLT31" s="3" t="s">
        <v>383</v>
      </c>
      <c r="KLU31" s="3" t="s">
        <v>382</v>
      </c>
      <c r="KLV31" s="3" t="s">
        <v>383</v>
      </c>
      <c r="KLW31" s="3" t="s">
        <v>382</v>
      </c>
      <c r="KLX31" s="3" t="s">
        <v>383</v>
      </c>
      <c r="KLY31" s="3" t="s">
        <v>382</v>
      </c>
      <c r="KLZ31" s="3" t="s">
        <v>383</v>
      </c>
      <c r="KMA31" s="3" t="s">
        <v>382</v>
      </c>
      <c r="KMB31" s="3" t="s">
        <v>383</v>
      </c>
      <c r="KMC31" s="3" t="s">
        <v>382</v>
      </c>
      <c r="KMD31" s="3" t="s">
        <v>383</v>
      </c>
      <c r="KME31" s="3" t="s">
        <v>382</v>
      </c>
      <c r="KMF31" s="3" t="s">
        <v>383</v>
      </c>
      <c r="KMG31" s="3" t="s">
        <v>382</v>
      </c>
      <c r="KMH31" s="3" t="s">
        <v>383</v>
      </c>
      <c r="KMI31" s="3" t="s">
        <v>382</v>
      </c>
      <c r="KMJ31" s="3" t="s">
        <v>383</v>
      </c>
      <c r="KMK31" s="3" t="s">
        <v>382</v>
      </c>
      <c r="KML31" s="3" t="s">
        <v>383</v>
      </c>
      <c r="KMM31" s="3" t="s">
        <v>382</v>
      </c>
      <c r="KMN31" s="3" t="s">
        <v>383</v>
      </c>
      <c r="KMO31" s="3" t="s">
        <v>382</v>
      </c>
      <c r="KMP31" s="3" t="s">
        <v>383</v>
      </c>
      <c r="KMQ31" s="3" t="s">
        <v>382</v>
      </c>
      <c r="KMR31" s="3" t="s">
        <v>383</v>
      </c>
      <c r="KMS31" s="3" t="s">
        <v>382</v>
      </c>
      <c r="KMT31" s="3" t="s">
        <v>383</v>
      </c>
      <c r="KMU31" s="3" t="s">
        <v>382</v>
      </c>
      <c r="KMV31" s="3" t="s">
        <v>383</v>
      </c>
      <c r="KMW31" s="3" t="s">
        <v>382</v>
      </c>
      <c r="KMX31" s="3" t="s">
        <v>383</v>
      </c>
      <c r="KMY31" s="3" t="s">
        <v>382</v>
      </c>
      <c r="KMZ31" s="3" t="s">
        <v>383</v>
      </c>
      <c r="KNA31" s="3" t="s">
        <v>382</v>
      </c>
      <c r="KNB31" s="3" t="s">
        <v>383</v>
      </c>
      <c r="KNC31" s="3" t="s">
        <v>382</v>
      </c>
      <c r="KND31" s="3" t="s">
        <v>383</v>
      </c>
      <c r="KNE31" s="3" t="s">
        <v>382</v>
      </c>
      <c r="KNF31" s="3" t="s">
        <v>383</v>
      </c>
      <c r="KNG31" s="3" t="s">
        <v>382</v>
      </c>
      <c r="KNH31" s="3" t="s">
        <v>383</v>
      </c>
      <c r="KNI31" s="3" t="s">
        <v>382</v>
      </c>
      <c r="KNJ31" s="3" t="s">
        <v>383</v>
      </c>
      <c r="KNK31" s="3" t="s">
        <v>382</v>
      </c>
      <c r="KNL31" s="3" t="s">
        <v>383</v>
      </c>
      <c r="KNM31" s="3" t="s">
        <v>382</v>
      </c>
      <c r="KNN31" s="3" t="s">
        <v>383</v>
      </c>
      <c r="KNO31" s="3" t="s">
        <v>382</v>
      </c>
      <c r="KNP31" s="3" t="s">
        <v>383</v>
      </c>
      <c r="KNQ31" s="3" t="s">
        <v>382</v>
      </c>
      <c r="KNR31" s="3" t="s">
        <v>383</v>
      </c>
      <c r="KNS31" s="3" t="s">
        <v>382</v>
      </c>
      <c r="KNT31" s="3" t="s">
        <v>383</v>
      </c>
      <c r="KNU31" s="3" t="s">
        <v>382</v>
      </c>
      <c r="KNV31" s="3" t="s">
        <v>383</v>
      </c>
      <c r="KNW31" s="3" t="s">
        <v>382</v>
      </c>
      <c r="KNX31" s="3" t="s">
        <v>383</v>
      </c>
      <c r="KNY31" s="3" t="s">
        <v>382</v>
      </c>
      <c r="KNZ31" s="3" t="s">
        <v>383</v>
      </c>
      <c r="KOA31" s="3" t="s">
        <v>382</v>
      </c>
      <c r="KOB31" s="3" t="s">
        <v>383</v>
      </c>
      <c r="KOC31" s="3" t="s">
        <v>382</v>
      </c>
      <c r="KOD31" s="3" t="s">
        <v>383</v>
      </c>
      <c r="KOE31" s="3" t="s">
        <v>382</v>
      </c>
      <c r="KOF31" s="3" t="s">
        <v>383</v>
      </c>
      <c r="KOG31" s="3" t="s">
        <v>382</v>
      </c>
      <c r="KOH31" s="3" t="s">
        <v>383</v>
      </c>
      <c r="KOI31" s="3" t="s">
        <v>382</v>
      </c>
      <c r="KOJ31" s="3" t="s">
        <v>383</v>
      </c>
      <c r="KOK31" s="3" t="s">
        <v>382</v>
      </c>
      <c r="KOL31" s="3" t="s">
        <v>383</v>
      </c>
      <c r="KOM31" s="3" t="s">
        <v>382</v>
      </c>
      <c r="KON31" s="3" t="s">
        <v>383</v>
      </c>
      <c r="KOO31" s="3" t="s">
        <v>382</v>
      </c>
      <c r="KOP31" s="3" t="s">
        <v>383</v>
      </c>
      <c r="KOQ31" s="3" t="s">
        <v>382</v>
      </c>
      <c r="KOR31" s="3" t="s">
        <v>383</v>
      </c>
      <c r="KOS31" s="3" t="s">
        <v>382</v>
      </c>
      <c r="KOT31" s="3" t="s">
        <v>383</v>
      </c>
      <c r="KOU31" s="3" t="s">
        <v>382</v>
      </c>
      <c r="KOV31" s="3" t="s">
        <v>383</v>
      </c>
      <c r="KOW31" s="3" t="s">
        <v>382</v>
      </c>
      <c r="KOX31" s="3" t="s">
        <v>383</v>
      </c>
      <c r="KOY31" s="3" t="s">
        <v>382</v>
      </c>
      <c r="KOZ31" s="3" t="s">
        <v>383</v>
      </c>
      <c r="KPA31" s="3" t="s">
        <v>382</v>
      </c>
      <c r="KPB31" s="3" t="s">
        <v>383</v>
      </c>
      <c r="KPC31" s="3" t="s">
        <v>382</v>
      </c>
      <c r="KPD31" s="3" t="s">
        <v>383</v>
      </c>
      <c r="KPE31" s="3" t="s">
        <v>382</v>
      </c>
      <c r="KPF31" s="3" t="s">
        <v>383</v>
      </c>
      <c r="KPG31" s="3" t="s">
        <v>382</v>
      </c>
      <c r="KPH31" s="3" t="s">
        <v>383</v>
      </c>
      <c r="KPI31" s="3" t="s">
        <v>382</v>
      </c>
      <c r="KPJ31" s="3" t="s">
        <v>383</v>
      </c>
      <c r="KPK31" s="3" t="s">
        <v>382</v>
      </c>
      <c r="KPL31" s="3" t="s">
        <v>383</v>
      </c>
      <c r="KPM31" s="3" t="s">
        <v>382</v>
      </c>
      <c r="KPN31" s="3" t="s">
        <v>383</v>
      </c>
      <c r="KPO31" s="3" t="s">
        <v>382</v>
      </c>
      <c r="KPP31" s="3" t="s">
        <v>383</v>
      </c>
      <c r="KPQ31" s="3" t="s">
        <v>382</v>
      </c>
      <c r="KPR31" s="3" t="s">
        <v>383</v>
      </c>
      <c r="KPS31" s="3" t="s">
        <v>382</v>
      </c>
      <c r="KPT31" s="3" t="s">
        <v>383</v>
      </c>
      <c r="KPU31" s="3" t="s">
        <v>382</v>
      </c>
      <c r="KPV31" s="3" t="s">
        <v>383</v>
      </c>
      <c r="KPW31" s="3" t="s">
        <v>382</v>
      </c>
      <c r="KPX31" s="3" t="s">
        <v>383</v>
      </c>
      <c r="KPY31" s="3" t="s">
        <v>382</v>
      </c>
      <c r="KPZ31" s="3" t="s">
        <v>383</v>
      </c>
      <c r="KQA31" s="3" t="s">
        <v>382</v>
      </c>
      <c r="KQB31" s="3" t="s">
        <v>383</v>
      </c>
      <c r="KQC31" s="3" t="s">
        <v>382</v>
      </c>
      <c r="KQD31" s="3" t="s">
        <v>383</v>
      </c>
      <c r="KQE31" s="3" t="s">
        <v>382</v>
      </c>
      <c r="KQF31" s="3" t="s">
        <v>383</v>
      </c>
      <c r="KQG31" s="3" t="s">
        <v>382</v>
      </c>
      <c r="KQH31" s="3" t="s">
        <v>383</v>
      </c>
      <c r="KQI31" s="3" t="s">
        <v>382</v>
      </c>
      <c r="KQJ31" s="3" t="s">
        <v>383</v>
      </c>
      <c r="KQK31" s="3" t="s">
        <v>382</v>
      </c>
      <c r="KQL31" s="3" t="s">
        <v>383</v>
      </c>
      <c r="KQM31" s="3" t="s">
        <v>382</v>
      </c>
      <c r="KQN31" s="3" t="s">
        <v>383</v>
      </c>
      <c r="KQO31" s="3" t="s">
        <v>382</v>
      </c>
      <c r="KQP31" s="3" t="s">
        <v>383</v>
      </c>
      <c r="KQQ31" s="3" t="s">
        <v>382</v>
      </c>
      <c r="KQR31" s="3" t="s">
        <v>383</v>
      </c>
      <c r="KQS31" s="3" t="s">
        <v>382</v>
      </c>
      <c r="KQT31" s="3" t="s">
        <v>383</v>
      </c>
      <c r="KQU31" s="3" t="s">
        <v>382</v>
      </c>
      <c r="KQV31" s="3" t="s">
        <v>383</v>
      </c>
      <c r="KQW31" s="3" t="s">
        <v>382</v>
      </c>
      <c r="KQX31" s="3" t="s">
        <v>383</v>
      </c>
      <c r="KQY31" s="3" t="s">
        <v>382</v>
      </c>
      <c r="KQZ31" s="3" t="s">
        <v>383</v>
      </c>
      <c r="KRA31" s="3" t="s">
        <v>382</v>
      </c>
      <c r="KRB31" s="3" t="s">
        <v>383</v>
      </c>
      <c r="KRC31" s="3" t="s">
        <v>382</v>
      </c>
      <c r="KRD31" s="3" t="s">
        <v>383</v>
      </c>
      <c r="KRE31" s="3" t="s">
        <v>382</v>
      </c>
      <c r="KRF31" s="3" t="s">
        <v>383</v>
      </c>
      <c r="KRG31" s="3" t="s">
        <v>382</v>
      </c>
      <c r="KRH31" s="3" t="s">
        <v>383</v>
      </c>
      <c r="KRI31" s="3" t="s">
        <v>382</v>
      </c>
      <c r="KRJ31" s="3" t="s">
        <v>383</v>
      </c>
      <c r="KRK31" s="3" t="s">
        <v>382</v>
      </c>
      <c r="KRL31" s="3" t="s">
        <v>383</v>
      </c>
      <c r="KRM31" s="3" t="s">
        <v>382</v>
      </c>
      <c r="KRN31" s="3" t="s">
        <v>383</v>
      </c>
      <c r="KRO31" s="3" t="s">
        <v>382</v>
      </c>
      <c r="KRP31" s="3" t="s">
        <v>383</v>
      </c>
      <c r="KRQ31" s="3" t="s">
        <v>382</v>
      </c>
      <c r="KRR31" s="3" t="s">
        <v>383</v>
      </c>
      <c r="KRS31" s="3" t="s">
        <v>382</v>
      </c>
      <c r="KRT31" s="3" t="s">
        <v>383</v>
      </c>
      <c r="KRU31" s="3" t="s">
        <v>382</v>
      </c>
      <c r="KRV31" s="3" t="s">
        <v>383</v>
      </c>
      <c r="KRW31" s="3" t="s">
        <v>382</v>
      </c>
      <c r="KRX31" s="3" t="s">
        <v>383</v>
      </c>
      <c r="KRY31" s="3" t="s">
        <v>382</v>
      </c>
      <c r="KRZ31" s="3" t="s">
        <v>383</v>
      </c>
      <c r="KSA31" s="3" t="s">
        <v>382</v>
      </c>
      <c r="KSB31" s="3" t="s">
        <v>383</v>
      </c>
      <c r="KSC31" s="3" t="s">
        <v>382</v>
      </c>
      <c r="KSD31" s="3" t="s">
        <v>383</v>
      </c>
      <c r="KSE31" s="3" t="s">
        <v>382</v>
      </c>
      <c r="KSF31" s="3" t="s">
        <v>383</v>
      </c>
      <c r="KSG31" s="3" t="s">
        <v>382</v>
      </c>
      <c r="KSH31" s="3" t="s">
        <v>383</v>
      </c>
      <c r="KSI31" s="3" t="s">
        <v>382</v>
      </c>
      <c r="KSJ31" s="3" t="s">
        <v>383</v>
      </c>
      <c r="KSK31" s="3" t="s">
        <v>382</v>
      </c>
      <c r="KSL31" s="3" t="s">
        <v>383</v>
      </c>
      <c r="KSM31" s="3" t="s">
        <v>382</v>
      </c>
      <c r="KSN31" s="3" t="s">
        <v>383</v>
      </c>
      <c r="KSO31" s="3" t="s">
        <v>382</v>
      </c>
      <c r="KSP31" s="3" t="s">
        <v>383</v>
      </c>
      <c r="KSQ31" s="3" t="s">
        <v>382</v>
      </c>
      <c r="KSR31" s="3" t="s">
        <v>383</v>
      </c>
      <c r="KSS31" s="3" t="s">
        <v>382</v>
      </c>
      <c r="KST31" s="3" t="s">
        <v>383</v>
      </c>
      <c r="KSU31" s="3" t="s">
        <v>382</v>
      </c>
      <c r="KSV31" s="3" t="s">
        <v>383</v>
      </c>
      <c r="KSW31" s="3" t="s">
        <v>382</v>
      </c>
      <c r="KSX31" s="3" t="s">
        <v>383</v>
      </c>
      <c r="KSY31" s="3" t="s">
        <v>382</v>
      </c>
      <c r="KSZ31" s="3" t="s">
        <v>383</v>
      </c>
      <c r="KTA31" s="3" t="s">
        <v>382</v>
      </c>
      <c r="KTB31" s="3" t="s">
        <v>383</v>
      </c>
      <c r="KTC31" s="3" t="s">
        <v>382</v>
      </c>
      <c r="KTD31" s="3" t="s">
        <v>383</v>
      </c>
      <c r="KTE31" s="3" t="s">
        <v>382</v>
      </c>
      <c r="KTF31" s="3" t="s">
        <v>383</v>
      </c>
      <c r="KTG31" s="3" t="s">
        <v>382</v>
      </c>
      <c r="KTH31" s="3" t="s">
        <v>383</v>
      </c>
      <c r="KTI31" s="3" t="s">
        <v>382</v>
      </c>
      <c r="KTJ31" s="3" t="s">
        <v>383</v>
      </c>
      <c r="KTK31" s="3" t="s">
        <v>382</v>
      </c>
      <c r="KTL31" s="3" t="s">
        <v>383</v>
      </c>
      <c r="KTM31" s="3" t="s">
        <v>382</v>
      </c>
      <c r="KTN31" s="3" t="s">
        <v>383</v>
      </c>
      <c r="KTO31" s="3" t="s">
        <v>382</v>
      </c>
      <c r="KTP31" s="3" t="s">
        <v>383</v>
      </c>
      <c r="KTQ31" s="3" t="s">
        <v>382</v>
      </c>
      <c r="KTR31" s="3" t="s">
        <v>383</v>
      </c>
      <c r="KTS31" s="3" t="s">
        <v>382</v>
      </c>
      <c r="KTT31" s="3" t="s">
        <v>383</v>
      </c>
      <c r="KTU31" s="3" t="s">
        <v>382</v>
      </c>
      <c r="KTV31" s="3" t="s">
        <v>383</v>
      </c>
      <c r="KTW31" s="3" t="s">
        <v>382</v>
      </c>
      <c r="KTX31" s="3" t="s">
        <v>383</v>
      </c>
      <c r="KTY31" s="3" t="s">
        <v>382</v>
      </c>
      <c r="KTZ31" s="3" t="s">
        <v>383</v>
      </c>
      <c r="KUA31" s="3" t="s">
        <v>382</v>
      </c>
      <c r="KUB31" s="3" t="s">
        <v>383</v>
      </c>
      <c r="KUC31" s="3" t="s">
        <v>382</v>
      </c>
      <c r="KUD31" s="3" t="s">
        <v>383</v>
      </c>
      <c r="KUE31" s="3" t="s">
        <v>382</v>
      </c>
      <c r="KUF31" s="3" t="s">
        <v>383</v>
      </c>
      <c r="KUG31" s="3" t="s">
        <v>382</v>
      </c>
      <c r="KUH31" s="3" t="s">
        <v>383</v>
      </c>
      <c r="KUI31" s="3" t="s">
        <v>382</v>
      </c>
      <c r="KUJ31" s="3" t="s">
        <v>383</v>
      </c>
      <c r="KUK31" s="3" t="s">
        <v>382</v>
      </c>
      <c r="KUL31" s="3" t="s">
        <v>383</v>
      </c>
      <c r="KUM31" s="3" t="s">
        <v>382</v>
      </c>
      <c r="KUN31" s="3" t="s">
        <v>383</v>
      </c>
      <c r="KUO31" s="3" t="s">
        <v>382</v>
      </c>
      <c r="KUP31" s="3" t="s">
        <v>383</v>
      </c>
      <c r="KUQ31" s="3" t="s">
        <v>382</v>
      </c>
      <c r="KUR31" s="3" t="s">
        <v>383</v>
      </c>
      <c r="KUS31" s="3" t="s">
        <v>382</v>
      </c>
      <c r="KUT31" s="3" t="s">
        <v>383</v>
      </c>
      <c r="KUU31" s="3" t="s">
        <v>382</v>
      </c>
      <c r="KUV31" s="3" t="s">
        <v>383</v>
      </c>
      <c r="KUW31" s="3" t="s">
        <v>382</v>
      </c>
      <c r="KUX31" s="3" t="s">
        <v>383</v>
      </c>
      <c r="KUY31" s="3" t="s">
        <v>382</v>
      </c>
      <c r="KUZ31" s="3" t="s">
        <v>383</v>
      </c>
      <c r="KVA31" s="3" t="s">
        <v>382</v>
      </c>
      <c r="KVB31" s="3" t="s">
        <v>383</v>
      </c>
      <c r="KVC31" s="3" t="s">
        <v>382</v>
      </c>
      <c r="KVD31" s="3" t="s">
        <v>383</v>
      </c>
      <c r="KVE31" s="3" t="s">
        <v>382</v>
      </c>
      <c r="KVF31" s="3" t="s">
        <v>383</v>
      </c>
      <c r="KVG31" s="3" t="s">
        <v>382</v>
      </c>
      <c r="KVH31" s="3" t="s">
        <v>383</v>
      </c>
      <c r="KVI31" s="3" t="s">
        <v>382</v>
      </c>
      <c r="KVJ31" s="3" t="s">
        <v>383</v>
      </c>
      <c r="KVK31" s="3" t="s">
        <v>382</v>
      </c>
      <c r="KVL31" s="3" t="s">
        <v>383</v>
      </c>
      <c r="KVM31" s="3" t="s">
        <v>382</v>
      </c>
      <c r="KVN31" s="3" t="s">
        <v>383</v>
      </c>
      <c r="KVO31" s="3" t="s">
        <v>382</v>
      </c>
      <c r="KVP31" s="3" t="s">
        <v>383</v>
      </c>
      <c r="KVQ31" s="3" t="s">
        <v>382</v>
      </c>
      <c r="KVR31" s="3" t="s">
        <v>383</v>
      </c>
      <c r="KVS31" s="3" t="s">
        <v>382</v>
      </c>
      <c r="KVT31" s="3" t="s">
        <v>383</v>
      </c>
      <c r="KVU31" s="3" t="s">
        <v>382</v>
      </c>
      <c r="KVV31" s="3" t="s">
        <v>383</v>
      </c>
      <c r="KVW31" s="3" t="s">
        <v>382</v>
      </c>
      <c r="KVX31" s="3" t="s">
        <v>383</v>
      </c>
      <c r="KVY31" s="3" t="s">
        <v>382</v>
      </c>
      <c r="KVZ31" s="3" t="s">
        <v>383</v>
      </c>
      <c r="KWA31" s="3" t="s">
        <v>382</v>
      </c>
      <c r="KWB31" s="3" t="s">
        <v>383</v>
      </c>
      <c r="KWC31" s="3" t="s">
        <v>382</v>
      </c>
      <c r="KWD31" s="3" t="s">
        <v>383</v>
      </c>
      <c r="KWE31" s="3" t="s">
        <v>382</v>
      </c>
      <c r="KWF31" s="3" t="s">
        <v>383</v>
      </c>
      <c r="KWG31" s="3" t="s">
        <v>382</v>
      </c>
      <c r="KWH31" s="3" t="s">
        <v>383</v>
      </c>
      <c r="KWI31" s="3" t="s">
        <v>382</v>
      </c>
      <c r="KWJ31" s="3" t="s">
        <v>383</v>
      </c>
      <c r="KWK31" s="3" t="s">
        <v>382</v>
      </c>
      <c r="KWL31" s="3" t="s">
        <v>383</v>
      </c>
      <c r="KWM31" s="3" t="s">
        <v>382</v>
      </c>
      <c r="KWN31" s="3" t="s">
        <v>383</v>
      </c>
      <c r="KWO31" s="3" t="s">
        <v>382</v>
      </c>
      <c r="KWP31" s="3" t="s">
        <v>383</v>
      </c>
      <c r="KWQ31" s="3" t="s">
        <v>382</v>
      </c>
      <c r="KWR31" s="3" t="s">
        <v>383</v>
      </c>
      <c r="KWS31" s="3" t="s">
        <v>382</v>
      </c>
      <c r="KWT31" s="3" t="s">
        <v>383</v>
      </c>
      <c r="KWU31" s="3" t="s">
        <v>382</v>
      </c>
      <c r="KWV31" s="3" t="s">
        <v>383</v>
      </c>
      <c r="KWW31" s="3" t="s">
        <v>382</v>
      </c>
      <c r="KWX31" s="3" t="s">
        <v>383</v>
      </c>
      <c r="KWY31" s="3" t="s">
        <v>382</v>
      </c>
      <c r="KWZ31" s="3" t="s">
        <v>383</v>
      </c>
      <c r="KXA31" s="3" t="s">
        <v>382</v>
      </c>
      <c r="KXB31" s="3" t="s">
        <v>383</v>
      </c>
      <c r="KXC31" s="3" t="s">
        <v>382</v>
      </c>
      <c r="KXD31" s="3" t="s">
        <v>383</v>
      </c>
      <c r="KXE31" s="3" t="s">
        <v>382</v>
      </c>
      <c r="KXF31" s="3" t="s">
        <v>383</v>
      </c>
      <c r="KXG31" s="3" t="s">
        <v>382</v>
      </c>
      <c r="KXH31" s="3" t="s">
        <v>383</v>
      </c>
      <c r="KXI31" s="3" t="s">
        <v>382</v>
      </c>
      <c r="KXJ31" s="3" t="s">
        <v>383</v>
      </c>
      <c r="KXK31" s="3" t="s">
        <v>382</v>
      </c>
      <c r="KXL31" s="3" t="s">
        <v>383</v>
      </c>
      <c r="KXM31" s="3" t="s">
        <v>382</v>
      </c>
      <c r="KXN31" s="3" t="s">
        <v>383</v>
      </c>
      <c r="KXO31" s="3" t="s">
        <v>382</v>
      </c>
      <c r="KXP31" s="3" t="s">
        <v>383</v>
      </c>
      <c r="KXQ31" s="3" t="s">
        <v>382</v>
      </c>
      <c r="KXR31" s="3" t="s">
        <v>383</v>
      </c>
      <c r="KXS31" s="3" t="s">
        <v>382</v>
      </c>
      <c r="KXT31" s="3" t="s">
        <v>383</v>
      </c>
      <c r="KXU31" s="3" t="s">
        <v>382</v>
      </c>
      <c r="KXV31" s="3" t="s">
        <v>383</v>
      </c>
      <c r="KXW31" s="3" t="s">
        <v>382</v>
      </c>
      <c r="KXX31" s="3" t="s">
        <v>383</v>
      </c>
      <c r="KXY31" s="3" t="s">
        <v>382</v>
      </c>
      <c r="KXZ31" s="3" t="s">
        <v>383</v>
      </c>
      <c r="KYA31" s="3" t="s">
        <v>382</v>
      </c>
      <c r="KYB31" s="3" t="s">
        <v>383</v>
      </c>
      <c r="KYC31" s="3" t="s">
        <v>382</v>
      </c>
      <c r="KYD31" s="3" t="s">
        <v>383</v>
      </c>
      <c r="KYE31" s="3" t="s">
        <v>382</v>
      </c>
      <c r="KYF31" s="3" t="s">
        <v>383</v>
      </c>
      <c r="KYG31" s="3" t="s">
        <v>382</v>
      </c>
      <c r="KYH31" s="3" t="s">
        <v>383</v>
      </c>
      <c r="KYI31" s="3" t="s">
        <v>382</v>
      </c>
      <c r="KYJ31" s="3" t="s">
        <v>383</v>
      </c>
      <c r="KYK31" s="3" t="s">
        <v>382</v>
      </c>
      <c r="KYL31" s="3" t="s">
        <v>383</v>
      </c>
      <c r="KYM31" s="3" t="s">
        <v>382</v>
      </c>
      <c r="KYN31" s="3" t="s">
        <v>383</v>
      </c>
      <c r="KYO31" s="3" t="s">
        <v>382</v>
      </c>
      <c r="KYP31" s="3" t="s">
        <v>383</v>
      </c>
      <c r="KYQ31" s="3" t="s">
        <v>382</v>
      </c>
      <c r="KYR31" s="3" t="s">
        <v>383</v>
      </c>
      <c r="KYS31" s="3" t="s">
        <v>382</v>
      </c>
      <c r="KYT31" s="3" t="s">
        <v>383</v>
      </c>
      <c r="KYU31" s="3" t="s">
        <v>382</v>
      </c>
      <c r="KYV31" s="3" t="s">
        <v>383</v>
      </c>
      <c r="KYW31" s="3" t="s">
        <v>382</v>
      </c>
      <c r="KYX31" s="3" t="s">
        <v>383</v>
      </c>
      <c r="KYY31" s="3" t="s">
        <v>382</v>
      </c>
      <c r="KYZ31" s="3" t="s">
        <v>383</v>
      </c>
      <c r="KZA31" s="3" t="s">
        <v>382</v>
      </c>
      <c r="KZB31" s="3" t="s">
        <v>383</v>
      </c>
      <c r="KZC31" s="3" t="s">
        <v>382</v>
      </c>
      <c r="KZD31" s="3" t="s">
        <v>383</v>
      </c>
      <c r="KZE31" s="3" t="s">
        <v>382</v>
      </c>
      <c r="KZF31" s="3" t="s">
        <v>383</v>
      </c>
      <c r="KZG31" s="3" t="s">
        <v>382</v>
      </c>
      <c r="KZH31" s="3" t="s">
        <v>383</v>
      </c>
      <c r="KZI31" s="3" t="s">
        <v>382</v>
      </c>
      <c r="KZJ31" s="3" t="s">
        <v>383</v>
      </c>
      <c r="KZK31" s="3" t="s">
        <v>382</v>
      </c>
      <c r="KZL31" s="3" t="s">
        <v>383</v>
      </c>
      <c r="KZM31" s="3" t="s">
        <v>382</v>
      </c>
      <c r="KZN31" s="3" t="s">
        <v>383</v>
      </c>
      <c r="KZO31" s="3" t="s">
        <v>382</v>
      </c>
      <c r="KZP31" s="3" t="s">
        <v>383</v>
      </c>
      <c r="KZQ31" s="3" t="s">
        <v>382</v>
      </c>
      <c r="KZR31" s="3" t="s">
        <v>383</v>
      </c>
      <c r="KZS31" s="3" t="s">
        <v>382</v>
      </c>
      <c r="KZT31" s="3" t="s">
        <v>383</v>
      </c>
      <c r="KZU31" s="3" t="s">
        <v>382</v>
      </c>
      <c r="KZV31" s="3" t="s">
        <v>383</v>
      </c>
      <c r="KZW31" s="3" t="s">
        <v>382</v>
      </c>
      <c r="KZX31" s="3" t="s">
        <v>383</v>
      </c>
      <c r="KZY31" s="3" t="s">
        <v>382</v>
      </c>
      <c r="KZZ31" s="3" t="s">
        <v>383</v>
      </c>
      <c r="LAA31" s="3" t="s">
        <v>382</v>
      </c>
      <c r="LAB31" s="3" t="s">
        <v>383</v>
      </c>
      <c r="LAC31" s="3" t="s">
        <v>382</v>
      </c>
      <c r="LAD31" s="3" t="s">
        <v>383</v>
      </c>
      <c r="LAE31" s="3" t="s">
        <v>382</v>
      </c>
      <c r="LAF31" s="3" t="s">
        <v>383</v>
      </c>
      <c r="LAG31" s="3" t="s">
        <v>382</v>
      </c>
      <c r="LAH31" s="3" t="s">
        <v>383</v>
      </c>
      <c r="LAI31" s="3" t="s">
        <v>382</v>
      </c>
      <c r="LAJ31" s="3" t="s">
        <v>383</v>
      </c>
      <c r="LAK31" s="3" t="s">
        <v>382</v>
      </c>
      <c r="LAL31" s="3" t="s">
        <v>383</v>
      </c>
      <c r="LAM31" s="3" t="s">
        <v>382</v>
      </c>
      <c r="LAN31" s="3" t="s">
        <v>383</v>
      </c>
      <c r="LAO31" s="3" t="s">
        <v>382</v>
      </c>
      <c r="LAP31" s="3" t="s">
        <v>383</v>
      </c>
      <c r="LAQ31" s="3" t="s">
        <v>382</v>
      </c>
      <c r="LAR31" s="3" t="s">
        <v>383</v>
      </c>
      <c r="LAS31" s="3" t="s">
        <v>382</v>
      </c>
      <c r="LAT31" s="3" t="s">
        <v>383</v>
      </c>
      <c r="LAU31" s="3" t="s">
        <v>382</v>
      </c>
      <c r="LAV31" s="3" t="s">
        <v>383</v>
      </c>
      <c r="LAW31" s="3" t="s">
        <v>382</v>
      </c>
      <c r="LAX31" s="3" t="s">
        <v>383</v>
      </c>
      <c r="LAY31" s="3" t="s">
        <v>382</v>
      </c>
      <c r="LAZ31" s="3" t="s">
        <v>383</v>
      </c>
      <c r="LBA31" s="3" t="s">
        <v>382</v>
      </c>
      <c r="LBB31" s="3" t="s">
        <v>383</v>
      </c>
      <c r="LBC31" s="3" t="s">
        <v>382</v>
      </c>
      <c r="LBD31" s="3" t="s">
        <v>383</v>
      </c>
      <c r="LBE31" s="3" t="s">
        <v>382</v>
      </c>
      <c r="LBF31" s="3" t="s">
        <v>383</v>
      </c>
      <c r="LBG31" s="3" t="s">
        <v>382</v>
      </c>
      <c r="LBH31" s="3" t="s">
        <v>383</v>
      </c>
      <c r="LBI31" s="3" t="s">
        <v>382</v>
      </c>
      <c r="LBJ31" s="3" t="s">
        <v>383</v>
      </c>
      <c r="LBK31" s="3" t="s">
        <v>382</v>
      </c>
      <c r="LBL31" s="3" t="s">
        <v>383</v>
      </c>
      <c r="LBM31" s="3" t="s">
        <v>382</v>
      </c>
      <c r="LBN31" s="3" t="s">
        <v>383</v>
      </c>
      <c r="LBO31" s="3" t="s">
        <v>382</v>
      </c>
      <c r="LBP31" s="3" t="s">
        <v>383</v>
      </c>
      <c r="LBQ31" s="3" t="s">
        <v>382</v>
      </c>
      <c r="LBR31" s="3" t="s">
        <v>383</v>
      </c>
      <c r="LBS31" s="3" t="s">
        <v>382</v>
      </c>
      <c r="LBT31" s="3" t="s">
        <v>383</v>
      </c>
      <c r="LBU31" s="3" t="s">
        <v>382</v>
      </c>
      <c r="LBV31" s="3" t="s">
        <v>383</v>
      </c>
      <c r="LBW31" s="3" t="s">
        <v>382</v>
      </c>
      <c r="LBX31" s="3" t="s">
        <v>383</v>
      </c>
      <c r="LBY31" s="3" t="s">
        <v>382</v>
      </c>
      <c r="LBZ31" s="3" t="s">
        <v>383</v>
      </c>
      <c r="LCA31" s="3" t="s">
        <v>382</v>
      </c>
      <c r="LCB31" s="3" t="s">
        <v>383</v>
      </c>
      <c r="LCC31" s="3" t="s">
        <v>382</v>
      </c>
      <c r="LCD31" s="3" t="s">
        <v>383</v>
      </c>
      <c r="LCE31" s="3" t="s">
        <v>382</v>
      </c>
      <c r="LCF31" s="3" t="s">
        <v>383</v>
      </c>
      <c r="LCG31" s="3" t="s">
        <v>382</v>
      </c>
      <c r="LCH31" s="3" t="s">
        <v>383</v>
      </c>
      <c r="LCI31" s="3" t="s">
        <v>382</v>
      </c>
      <c r="LCJ31" s="3" t="s">
        <v>383</v>
      </c>
      <c r="LCK31" s="3" t="s">
        <v>382</v>
      </c>
      <c r="LCL31" s="3" t="s">
        <v>383</v>
      </c>
      <c r="LCM31" s="3" t="s">
        <v>382</v>
      </c>
      <c r="LCN31" s="3" t="s">
        <v>383</v>
      </c>
      <c r="LCO31" s="3" t="s">
        <v>382</v>
      </c>
      <c r="LCP31" s="3" t="s">
        <v>383</v>
      </c>
      <c r="LCQ31" s="3" t="s">
        <v>382</v>
      </c>
      <c r="LCR31" s="3" t="s">
        <v>383</v>
      </c>
      <c r="LCS31" s="3" t="s">
        <v>382</v>
      </c>
      <c r="LCT31" s="3" t="s">
        <v>383</v>
      </c>
      <c r="LCU31" s="3" t="s">
        <v>382</v>
      </c>
      <c r="LCV31" s="3" t="s">
        <v>383</v>
      </c>
      <c r="LCW31" s="3" t="s">
        <v>382</v>
      </c>
      <c r="LCX31" s="3" t="s">
        <v>383</v>
      </c>
      <c r="LCY31" s="3" t="s">
        <v>382</v>
      </c>
      <c r="LCZ31" s="3" t="s">
        <v>383</v>
      </c>
      <c r="LDA31" s="3" t="s">
        <v>382</v>
      </c>
      <c r="LDB31" s="3" t="s">
        <v>383</v>
      </c>
      <c r="LDC31" s="3" t="s">
        <v>382</v>
      </c>
      <c r="LDD31" s="3" t="s">
        <v>383</v>
      </c>
      <c r="LDE31" s="3" t="s">
        <v>382</v>
      </c>
      <c r="LDF31" s="3" t="s">
        <v>383</v>
      </c>
      <c r="LDG31" s="3" t="s">
        <v>382</v>
      </c>
      <c r="LDH31" s="3" t="s">
        <v>383</v>
      </c>
      <c r="LDI31" s="3" t="s">
        <v>382</v>
      </c>
      <c r="LDJ31" s="3" t="s">
        <v>383</v>
      </c>
      <c r="LDK31" s="3" t="s">
        <v>382</v>
      </c>
      <c r="LDL31" s="3" t="s">
        <v>383</v>
      </c>
      <c r="LDM31" s="3" t="s">
        <v>382</v>
      </c>
      <c r="LDN31" s="3" t="s">
        <v>383</v>
      </c>
      <c r="LDO31" s="3" t="s">
        <v>382</v>
      </c>
      <c r="LDP31" s="3" t="s">
        <v>383</v>
      </c>
      <c r="LDQ31" s="3" t="s">
        <v>382</v>
      </c>
      <c r="LDR31" s="3" t="s">
        <v>383</v>
      </c>
      <c r="LDS31" s="3" t="s">
        <v>382</v>
      </c>
      <c r="LDT31" s="3" t="s">
        <v>383</v>
      </c>
      <c r="LDU31" s="3" t="s">
        <v>382</v>
      </c>
      <c r="LDV31" s="3" t="s">
        <v>383</v>
      </c>
      <c r="LDW31" s="3" t="s">
        <v>382</v>
      </c>
      <c r="LDX31" s="3" t="s">
        <v>383</v>
      </c>
      <c r="LDY31" s="3" t="s">
        <v>382</v>
      </c>
      <c r="LDZ31" s="3" t="s">
        <v>383</v>
      </c>
      <c r="LEA31" s="3" t="s">
        <v>382</v>
      </c>
      <c r="LEB31" s="3" t="s">
        <v>383</v>
      </c>
      <c r="LEC31" s="3" t="s">
        <v>382</v>
      </c>
      <c r="LED31" s="3" t="s">
        <v>383</v>
      </c>
      <c r="LEE31" s="3" t="s">
        <v>382</v>
      </c>
      <c r="LEF31" s="3" t="s">
        <v>383</v>
      </c>
      <c r="LEG31" s="3" t="s">
        <v>382</v>
      </c>
      <c r="LEH31" s="3" t="s">
        <v>383</v>
      </c>
      <c r="LEI31" s="3" t="s">
        <v>382</v>
      </c>
      <c r="LEJ31" s="3" t="s">
        <v>383</v>
      </c>
      <c r="LEK31" s="3" t="s">
        <v>382</v>
      </c>
      <c r="LEL31" s="3" t="s">
        <v>383</v>
      </c>
      <c r="LEM31" s="3" t="s">
        <v>382</v>
      </c>
      <c r="LEN31" s="3" t="s">
        <v>383</v>
      </c>
      <c r="LEO31" s="3" t="s">
        <v>382</v>
      </c>
      <c r="LEP31" s="3" t="s">
        <v>383</v>
      </c>
      <c r="LEQ31" s="3" t="s">
        <v>382</v>
      </c>
      <c r="LER31" s="3" t="s">
        <v>383</v>
      </c>
      <c r="LES31" s="3" t="s">
        <v>382</v>
      </c>
      <c r="LET31" s="3" t="s">
        <v>383</v>
      </c>
      <c r="LEU31" s="3" t="s">
        <v>382</v>
      </c>
      <c r="LEV31" s="3" t="s">
        <v>383</v>
      </c>
      <c r="LEW31" s="3" t="s">
        <v>382</v>
      </c>
      <c r="LEX31" s="3" t="s">
        <v>383</v>
      </c>
      <c r="LEY31" s="3" t="s">
        <v>382</v>
      </c>
      <c r="LEZ31" s="3" t="s">
        <v>383</v>
      </c>
      <c r="LFA31" s="3" t="s">
        <v>382</v>
      </c>
      <c r="LFB31" s="3" t="s">
        <v>383</v>
      </c>
      <c r="LFC31" s="3" t="s">
        <v>382</v>
      </c>
      <c r="LFD31" s="3" t="s">
        <v>383</v>
      </c>
      <c r="LFE31" s="3" t="s">
        <v>382</v>
      </c>
      <c r="LFF31" s="3" t="s">
        <v>383</v>
      </c>
      <c r="LFG31" s="3" t="s">
        <v>382</v>
      </c>
      <c r="LFH31" s="3" t="s">
        <v>383</v>
      </c>
      <c r="LFI31" s="3" t="s">
        <v>382</v>
      </c>
      <c r="LFJ31" s="3" t="s">
        <v>383</v>
      </c>
      <c r="LFK31" s="3" t="s">
        <v>382</v>
      </c>
      <c r="LFL31" s="3" t="s">
        <v>383</v>
      </c>
      <c r="LFM31" s="3" t="s">
        <v>382</v>
      </c>
      <c r="LFN31" s="3" t="s">
        <v>383</v>
      </c>
      <c r="LFO31" s="3" t="s">
        <v>382</v>
      </c>
      <c r="LFP31" s="3" t="s">
        <v>383</v>
      </c>
      <c r="LFQ31" s="3" t="s">
        <v>382</v>
      </c>
      <c r="LFR31" s="3" t="s">
        <v>383</v>
      </c>
      <c r="LFS31" s="3" t="s">
        <v>382</v>
      </c>
      <c r="LFT31" s="3" t="s">
        <v>383</v>
      </c>
      <c r="LFU31" s="3" t="s">
        <v>382</v>
      </c>
      <c r="LFV31" s="3" t="s">
        <v>383</v>
      </c>
      <c r="LFW31" s="3" t="s">
        <v>382</v>
      </c>
      <c r="LFX31" s="3" t="s">
        <v>383</v>
      </c>
      <c r="LFY31" s="3" t="s">
        <v>382</v>
      </c>
      <c r="LFZ31" s="3" t="s">
        <v>383</v>
      </c>
      <c r="LGA31" s="3" t="s">
        <v>382</v>
      </c>
      <c r="LGB31" s="3" t="s">
        <v>383</v>
      </c>
      <c r="LGC31" s="3" t="s">
        <v>382</v>
      </c>
      <c r="LGD31" s="3" t="s">
        <v>383</v>
      </c>
      <c r="LGE31" s="3" t="s">
        <v>382</v>
      </c>
      <c r="LGF31" s="3" t="s">
        <v>383</v>
      </c>
      <c r="LGG31" s="3" t="s">
        <v>382</v>
      </c>
      <c r="LGH31" s="3" t="s">
        <v>383</v>
      </c>
      <c r="LGI31" s="3" t="s">
        <v>382</v>
      </c>
      <c r="LGJ31" s="3" t="s">
        <v>383</v>
      </c>
      <c r="LGK31" s="3" t="s">
        <v>382</v>
      </c>
      <c r="LGL31" s="3" t="s">
        <v>383</v>
      </c>
      <c r="LGM31" s="3" t="s">
        <v>382</v>
      </c>
      <c r="LGN31" s="3" t="s">
        <v>383</v>
      </c>
      <c r="LGO31" s="3" t="s">
        <v>382</v>
      </c>
      <c r="LGP31" s="3" t="s">
        <v>383</v>
      </c>
      <c r="LGQ31" s="3" t="s">
        <v>382</v>
      </c>
      <c r="LGR31" s="3" t="s">
        <v>383</v>
      </c>
      <c r="LGS31" s="3" t="s">
        <v>382</v>
      </c>
      <c r="LGT31" s="3" t="s">
        <v>383</v>
      </c>
      <c r="LGU31" s="3" t="s">
        <v>382</v>
      </c>
      <c r="LGV31" s="3" t="s">
        <v>383</v>
      </c>
      <c r="LGW31" s="3" t="s">
        <v>382</v>
      </c>
      <c r="LGX31" s="3" t="s">
        <v>383</v>
      </c>
      <c r="LGY31" s="3" t="s">
        <v>382</v>
      </c>
      <c r="LGZ31" s="3" t="s">
        <v>383</v>
      </c>
      <c r="LHA31" s="3" t="s">
        <v>382</v>
      </c>
      <c r="LHB31" s="3" t="s">
        <v>383</v>
      </c>
      <c r="LHC31" s="3" t="s">
        <v>382</v>
      </c>
      <c r="LHD31" s="3" t="s">
        <v>383</v>
      </c>
      <c r="LHE31" s="3" t="s">
        <v>382</v>
      </c>
      <c r="LHF31" s="3" t="s">
        <v>383</v>
      </c>
      <c r="LHG31" s="3" t="s">
        <v>382</v>
      </c>
      <c r="LHH31" s="3" t="s">
        <v>383</v>
      </c>
      <c r="LHI31" s="3" t="s">
        <v>382</v>
      </c>
      <c r="LHJ31" s="3" t="s">
        <v>383</v>
      </c>
      <c r="LHK31" s="3" t="s">
        <v>382</v>
      </c>
      <c r="LHL31" s="3" t="s">
        <v>383</v>
      </c>
      <c r="LHM31" s="3" t="s">
        <v>382</v>
      </c>
      <c r="LHN31" s="3" t="s">
        <v>383</v>
      </c>
      <c r="LHO31" s="3" t="s">
        <v>382</v>
      </c>
      <c r="LHP31" s="3" t="s">
        <v>383</v>
      </c>
      <c r="LHQ31" s="3" t="s">
        <v>382</v>
      </c>
      <c r="LHR31" s="3" t="s">
        <v>383</v>
      </c>
      <c r="LHS31" s="3" t="s">
        <v>382</v>
      </c>
      <c r="LHT31" s="3" t="s">
        <v>383</v>
      </c>
      <c r="LHU31" s="3" t="s">
        <v>382</v>
      </c>
      <c r="LHV31" s="3" t="s">
        <v>383</v>
      </c>
      <c r="LHW31" s="3" t="s">
        <v>382</v>
      </c>
      <c r="LHX31" s="3" t="s">
        <v>383</v>
      </c>
      <c r="LHY31" s="3" t="s">
        <v>382</v>
      </c>
      <c r="LHZ31" s="3" t="s">
        <v>383</v>
      </c>
      <c r="LIA31" s="3" t="s">
        <v>382</v>
      </c>
      <c r="LIB31" s="3" t="s">
        <v>383</v>
      </c>
      <c r="LIC31" s="3" t="s">
        <v>382</v>
      </c>
      <c r="LID31" s="3" t="s">
        <v>383</v>
      </c>
      <c r="LIE31" s="3" t="s">
        <v>382</v>
      </c>
      <c r="LIF31" s="3" t="s">
        <v>383</v>
      </c>
      <c r="LIG31" s="3" t="s">
        <v>382</v>
      </c>
      <c r="LIH31" s="3" t="s">
        <v>383</v>
      </c>
      <c r="LII31" s="3" t="s">
        <v>382</v>
      </c>
      <c r="LIJ31" s="3" t="s">
        <v>383</v>
      </c>
      <c r="LIK31" s="3" t="s">
        <v>382</v>
      </c>
      <c r="LIL31" s="3" t="s">
        <v>383</v>
      </c>
      <c r="LIM31" s="3" t="s">
        <v>382</v>
      </c>
      <c r="LIN31" s="3" t="s">
        <v>383</v>
      </c>
      <c r="LIO31" s="3" t="s">
        <v>382</v>
      </c>
      <c r="LIP31" s="3" t="s">
        <v>383</v>
      </c>
      <c r="LIQ31" s="3" t="s">
        <v>382</v>
      </c>
      <c r="LIR31" s="3" t="s">
        <v>383</v>
      </c>
      <c r="LIS31" s="3" t="s">
        <v>382</v>
      </c>
      <c r="LIT31" s="3" t="s">
        <v>383</v>
      </c>
      <c r="LIU31" s="3" t="s">
        <v>382</v>
      </c>
      <c r="LIV31" s="3" t="s">
        <v>383</v>
      </c>
      <c r="LIW31" s="3" t="s">
        <v>382</v>
      </c>
      <c r="LIX31" s="3" t="s">
        <v>383</v>
      </c>
      <c r="LIY31" s="3" t="s">
        <v>382</v>
      </c>
      <c r="LIZ31" s="3" t="s">
        <v>383</v>
      </c>
      <c r="LJA31" s="3" t="s">
        <v>382</v>
      </c>
      <c r="LJB31" s="3" t="s">
        <v>383</v>
      </c>
      <c r="LJC31" s="3" t="s">
        <v>382</v>
      </c>
      <c r="LJD31" s="3" t="s">
        <v>383</v>
      </c>
      <c r="LJE31" s="3" t="s">
        <v>382</v>
      </c>
      <c r="LJF31" s="3" t="s">
        <v>383</v>
      </c>
      <c r="LJG31" s="3" t="s">
        <v>382</v>
      </c>
      <c r="LJH31" s="3" t="s">
        <v>383</v>
      </c>
      <c r="LJI31" s="3" t="s">
        <v>382</v>
      </c>
      <c r="LJJ31" s="3" t="s">
        <v>383</v>
      </c>
      <c r="LJK31" s="3" t="s">
        <v>382</v>
      </c>
      <c r="LJL31" s="3" t="s">
        <v>383</v>
      </c>
      <c r="LJM31" s="3" t="s">
        <v>382</v>
      </c>
      <c r="LJN31" s="3" t="s">
        <v>383</v>
      </c>
      <c r="LJO31" s="3" t="s">
        <v>382</v>
      </c>
      <c r="LJP31" s="3" t="s">
        <v>383</v>
      </c>
      <c r="LJQ31" s="3" t="s">
        <v>382</v>
      </c>
      <c r="LJR31" s="3" t="s">
        <v>383</v>
      </c>
      <c r="LJS31" s="3" t="s">
        <v>382</v>
      </c>
      <c r="LJT31" s="3" t="s">
        <v>383</v>
      </c>
      <c r="LJU31" s="3" t="s">
        <v>382</v>
      </c>
      <c r="LJV31" s="3" t="s">
        <v>383</v>
      </c>
      <c r="LJW31" s="3" t="s">
        <v>382</v>
      </c>
      <c r="LJX31" s="3" t="s">
        <v>383</v>
      </c>
      <c r="LJY31" s="3" t="s">
        <v>382</v>
      </c>
      <c r="LJZ31" s="3" t="s">
        <v>383</v>
      </c>
      <c r="LKA31" s="3" t="s">
        <v>382</v>
      </c>
      <c r="LKB31" s="3" t="s">
        <v>383</v>
      </c>
      <c r="LKC31" s="3" t="s">
        <v>382</v>
      </c>
      <c r="LKD31" s="3" t="s">
        <v>383</v>
      </c>
      <c r="LKE31" s="3" t="s">
        <v>382</v>
      </c>
      <c r="LKF31" s="3" t="s">
        <v>383</v>
      </c>
      <c r="LKG31" s="3" t="s">
        <v>382</v>
      </c>
      <c r="LKH31" s="3" t="s">
        <v>383</v>
      </c>
      <c r="LKI31" s="3" t="s">
        <v>382</v>
      </c>
      <c r="LKJ31" s="3" t="s">
        <v>383</v>
      </c>
      <c r="LKK31" s="3" t="s">
        <v>382</v>
      </c>
      <c r="LKL31" s="3" t="s">
        <v>383</v>
      </c>
      <c r="LKM31" s="3" t="s">
        <v>382</v>
      </c>
      <c r="LKN31" s="3" t="s">
        <v>383</v>
      </c>
      <c r="LKO31" s="3" t="s">
        <v>382</v>
      </c>
      <c r="LKP31" s="3" t="s">
        <v>383</v>
      </c>
      <c r="LKQ31" s="3" t="s">
        <v>382</v>
      </c>
      <c r="LKR31" s="3" t="s">
        <v>383</v>
      </c>
      <c r="LKS31" s="3" t="s">
        <v>382</v>
      </c>
      <c r="LKT31" s="3" t="s">
        <v>383</v>
      </c>
      <c r="LKU31" s="3" t="s">
        <v>382</v>
      </c>
      <c r="LKV31" s="3" t="s">
        <v>383</v>
      </c>
      <c r="LKW31" s="3" t="s">
        <v>382</v>
      </c>
      <c r="LKX31" s="3" t="s">
        <v>383</v>
      </c>
      <c r="LKY31" s="3" t="s">
        <v>382</v>
      </c>
      <c r="LKZ31" s="3" t="s">
        <v>383</v>
      </c>
      <c r="LLA31" s="3" t="s">
        <v>382</v>
      </c>
      <c r="LLB31" s="3" t="s">
        <v>383</v>
      </c>
      <c r="LLC31" s="3" t="s">
        <v>382</v>
      </c>
      <c r="LLD31" s="3" t="s">
        <v>383</v>
      </c>
      <c r="LLE31" s="3" t="s">
        <v>382</v>
      </c>
      <c r="LLF31" s="3" t="s">
        <v>383</v>
      </c>
      <c r="LLG31" s="3" t="s">
        <v>382</v>
      </c>
      <c r="LLH31" s="3" t="s">
        <v>383</v>
      </c>
      <c r="LLI31" s="3" t="s">
        <v>382</v>
      </c>
      <c r="LLJ31" s="3" t="s">
        <v>383</v>
      </c>
      <c r="LLK31" s="3" t="s">
        <v>382</v>
      </c>
      <c r="LLL31" s="3" t="s">
        <v>383</v>
      </c>
      <c r="LLM31" s="3" t="s">
        <v>382</v>
      </c>
      <c r="LLN31" s="3" t="s">
        <v>383</v>
      </c>
      <c r="LLO31" s="3" t="s">
        <v>382</v>
      </c>
      <c r="LLP31" s="3" t="s">
        <v>383</v>
      </c>
      <c r="LLQ31" s="3" t="s">
        <v>382</v>
      </c>
      <c r="LLR31" s="3" t="s">
        <v>383</v>
      </c>
      <c r="LLS31" s="3" t="s">
        <v>382</v>
      </c>
      <c r="LLT31" s="3" t="s">
        <v>383</v>
      </c>
      <c r="LLU31" s="3" t="s">
        <v>382</v>
      </c>
      <c r="LLV31" s="3" t="s">
        <v>383</v>
      </c>
      <c r="LLW31" s="3" t="s">
        <v>382</v>
      </c>
      <c r="LLX31" s="3" t="s">
        <v>383</v>
      </c>
      <c r="LLY31" s="3" t="s">
        <v>382</v>
      </c>
      <c r="LLZ31" s="3" t="s">
        <v>383</v>
      </c>
      <c r="LMA31" s="3" t="s">
        <v>382</v>
      </c>
      <c r="LMB31" s="3" t="s">
        <v>383</v>
      </c>
      <c r="LMC31" s="3" t="s">
        <v>382</v>
      </c>
      <c r="LMD31" s="3" t="s">
        <v>383</v>
      </c>
      <c r="LME31" s="3" t="s">
        <v>382</v>
      </c>
      <c r="LMF31" s="3" t="s">
        <v>383</v>
      </c>
      <c r="LMG31" s="3" t="s">
        <v>382</v>
      </c>
      <c r="LMH31" s="3" t="s">
        <v>383</v>
      </c>
      <c r="LMI31" s="3" t="s">
        <v>382</v>
      </c>
      <c r="LMJ31" s="3" t="s">
        <v>383</v>
      </c>
      <c r="LMK31" s="3" t="s">
        <v>382</v>
      </c>
      <c r="LML31" s="3" t="s">
        <v>383</v>
      </c>
      <c r="LMM31" s="3" t="s">
        <v>382</v>
      </c>
      <c r="LMN31" s="3" t="s">
        <v>383</v>
      </c>
      <c r="LMO31" s="3" t="s">
        <v>382</v>
      </c>
      <c r="LMP31" s="3" t="s">
        <v>383</v>
      </c>
      <c r="LMQ31" s="3" t="s">
        <v>382</v>
      </c>
      <c r="LMR31" s="3" t="s">
        <v>383</v>
      </c>
      <c r="LMS31" s="3" t="s">
        <v>382</v>
      </c>
      <c r="LMT31" s="3" t="s">
        <v>383</v>
      </c>
      <c r="LMU31" s="3" t="s">
        <v>382</v>
      </c>
      <c r="LMV31" s="3" t="s">
        <v>383</v>
      </c>
      <c r="LMW31" s="3" t="s">
        <v>382</v>
      </c>
      <c r="LMX31" s="3" t="s">
        <v>383</v>
      </c>
      <c r="LMY31" s="3" t="s">
        <v>382</v>
      </c>
      <c r="LMZ31" s="3" t="s">
        <v>383</v>
      </c>
      <c r="LNA31" s="3" t="s">
        <v>382</v>
      </c>
      <c r="LNB31" s="3" t="s">
        <v>383</v>
      </c>
      <c r="LNC31" s="3" t="s">
        <v>382</v>
      </c>
      <c r="LND31" s="3" t="s">
        <v>383</v>
      </c>
      <c r="LNE31" s="3" t="s">
        <v>382</v>
      </c>
      <c r="LNF31" s="3" t="s">
        <v>383</v>
      </c>
      <c r="LNG31" s="3" t="s">
        <v>382</v>
      </c>
      <c r="LNH31" s="3" t="s">
        <v>383</v>
      </c>
      <c r="LNI31" s="3" t="s">
        <v>382</v>
      </c>
      <c r="LNJ31" s="3" t="s">
        <v>383</v>
      </c>
      <c r="LNK31" s="3" t="s">
        <v>382</v>
      </c>
      <c r="LNL31" s="3" t="s">
        <v>383</v>
      </c>
      <c r="LNM31" s="3" t="s">
        <v>382</v>
      </c>
      <c r="LNN31" s="3" t="s">
        <v>383</v>
      </c>
      <c r="LNO31" s="3" t="s">
        <v>382</v>
      </c>
      <c r="LNP31" s="3" t="s">
        <v>383</v>
      </c>
      <c r="LNQ31" s="3" t="s">
        <v>382</v>
      </c>
      <c r="LNR31" s="3" t="s">
        <v>383</v>
      </c>
      <c r="LNS31" s="3" t="s">
        <v>382</v>
      </c>
      <c r="LNT31" s="3" t="s">
        <v>383</v>
      </c>
      <c r="LNU31" s="3" t="s">
        <v>382</v>
      </c>
      <c r="LNV31" s="3" t="s">
        <v>383</v>
      </c>
      <c r="LNW31" s="3" t="s">
        <v>382</v>
      </c>
      <c r="LNX31" s="3" t="s">
        <v>383</v>
      </c>
      <c r="LNY31" s="3" t="s">
        <v>382</v>
      </c>
      <c r="LNZ31" s="3" t="s">
        <v>383</v>
      </c>
      <c r="LOA31" s="3" t="s">
        <v>382</v>
      </c>
      <c r="LOB31" s="3" t="s">
        <v>383</v>
      </c>
      <c r="LOC31" s="3" t="s">
        <v>382</v>
      </c>
      <c r="LOD31" s="3" t="s">
        <v>383</v>
      </c>
      <c r="LOE31" s="3" t="s">
        <v>382</v>
      </c>
      <c r="LOF31" s="3" t="s">
        <v>383</v>
      </c>
      <c r="LOG31" s="3" t="s">
        <v>382</v>
      </c>
      <c r="LOH31" s="3" t="s">
        <v>383</v>
      </c>
      <c r="LOI31" s="3" t="s">
        <v>382</v>
      </c>
      <c r="LOJ31" s="3" t="s">
        <v>383</v>
      </c>
      <c r="LOK31" s="3" t="s">
        <v>382</v>
      </c>
      <c r="LOL31" s="3" t="s">
        <v>383</v>
      </c>
      <c r="LOM31" s="3" t="s">
        <v>382</v>
      </c>
      <c r="LON31" s="3" t="s">
        <v>383</v>
      </c>
      <c r="LOO31" s="3" t="s">
        <v>382</v>
      </c>
      <c r="LOP31" s="3" t="s">
        <v>383</v>
      </c>
      <c r="LOQ31" s="3" t="s">
        <v>382</v>
      </c>
      <c r="LOR31" s="3" t="s">
        <v>383</v>
      </c>
      <c r="LOS31" s="3" t="s">
        <v>382</v>
      </c>
      <c r="LOT31" s="3" t="s">
        <v>383</v>
      </c>
      <c r="LOU31" s="3" t="s">
        <v>382</v>
      </c>
      <c r="LOV31" s="3" t="s">
        <v>383</v>
      </c>
      <c r="LOW31" s="3" t="s">
        <v>382</v>
      </c>
      <c r="LOX31" s="3" t="s">
        <v>383</v>
      </c>
      <c r="LOY31" s="3" t="s">
        <v>382</v>
      </c>
      <c r="LOZ31" s="3" t="s">
        <v>383</v>
      </c>
      <c r="LPA31" s="3" t="s">
        <v>382</v>
      </c>
      <c r="LPB31" s="3" t="s">
        <v>383</v>
      </c>
      <c r="LPC31" s="3" t="s">
        <v>382</v>
      </c>
      <c r="LPD31" s="3" t="s">
        <v>383</v>
      </c>
      <c r="LPE31" s="3" t="s">
        <v>382</v>
      </c>
      <c r="LPF31" s="3" t="s">
        <v>383</v>
      </c>
      <c r="LPG31" s="3" t="s">
        <v>382</v>
      </c>
      <c r="LPH31" s="3" t="s">
        <v>383</v>
      </c>
      <c r="LPI31" s="3" t="s">
        <v>382</v>
      </c>
      <c r="LPJ31" s="3" t="s">
        <v>383</v>
      </c>
      <c r="LPK31" s="3" t="s">
        <v>382</v>
      </c>
      <c r="LPL31" s="3" t="s">
        <v>383</v>
      </c>
      <c r="LPM31" s="3" t="s">
        <v>382</v>
      </c>
      <c r="LPN31" s="3" t="s">
        <v>383</v>
      </c>
      <c r="LPO31" s="3" t="s">
        <v>382</v>
      </c>
      <c r="LPP31" s="3" t="s">
        <v>383</v>
      </c>
      <c r="LPQ31" s="3" t="s">
        <v>382</v>
      </c>
      <c r="LPR31" s="3" t="s">
        <v>383</v>
      </c>
      <c r="LPS31" s="3" t="s">
        <v>382</v>
      </c>
      <c r="LPT31" s="3" t="s">
        <v>383</v>
      </c>
      <c r="LPU31" s="3" t="s">
        <v>382</v>
      </c>
      <c r="LPV31" s="3" t="s">
        <v>383</v>
      </c>
      <c r="LPW31" s="3" t="s">
        <v>382</v>
      </c>
      <c r="LPX31" s="3" t="s">
        <v>383</v>
      </c>
      <c r="LPY31" s="3" t="s">
        <v>382</v>
      </c>
      <c r="LPZ31" s="3" t="s">
        <v>383</v>
      </c>
      <c r="LQA31" s="3" t="s">
        <v>382</v>
      </c>
      <c r="LQB31" s="3" t="s">
        <v>383</v>
      </c>
      <c r="LQC31" s="3" t="s">
        <v>382</v>
      </c>
      <c r="LQD31" s="3" t="s">
        <v>383</v>
      </c>
      <c r="LQE31" s="3" t="s">
        <v>382</v>
      </c>
      <c r="LQF31" s="3" t="s">
        <v>383</v>
      </c>
      <c r="LQG31" s="3" t="s">
        <v>382</v>
      </c>
      <c r="LQH31" s="3" t="s">
        <v>383</v>
      </c>
      <c r="LQI31" s="3" t="s">
        <v>382</v>
      </c>
      <c r="LQJ31" s="3" t="s">
        <v>383</v>
      </c>
      <c r="LQK31" s="3" t="s">
        <v>382</v>
      </c>
      <c r="LQL31" s="3" t="s">
        <v>383</v>
      </c>
      <c r="LQM31" s="3" t="s">
        <v>382</v>
      </c>
      <c r="LQN31" s="3" t="s">
        <v>383</v>
      </c>
      <c r="LQO31" s="3" t="s">
        <v>382</v>
      </c>
      <c r="LQP31" s="3" t="s">
        <v>383</v>
      </c>
      <c r="LQQ31" s="3" t="s">
        <v>382</v>
      </c>
      <c r="LQR31" s="3" t="s">
        <v>383</v>
      </c>
      <c r="LQS31" s="3" t="s">
        <v>382</v>
      </c>
      <c r="LQT31" s="3" t="s">
        <v>383</v>
      </c>
      <c r="LQU31" s="3" t="s">
        <v>382</v>
      </c>
      <c r="LQV31" s="3" t="s">
        <v>383</v>
      </c>
      <c r="LQW31" s="3" t="s">
        <v>382</v>
      </c>
      <c r="LQX31" s="3" t="s">
        <v>383</v>
      </c>
      <c r="LQY31" s="3" t="s">
        <v>382</v>
      </c>
      <c r="LQZ31" s="3" t="s">
        <v>383</v>
      </c>
      <c r="LRA31" s="3" t="s">
        <v>382</v>
      </c>
      <c r="LRB31" s="3" t="s">
        <v>383</v>
      </c>
      <c r="LRC31" s="3" t="s">
        <v>382</v>
      </c>
      <c r="LRD31" s="3" t="s">
        <v>383</v>
      </c>
      <c r="LRE31" s="3" t="s">
        <v>382</v>
      </c>
      <c r="LRF31" s="3" t="s">
        <v>383</v>
      </c>
      <c r="LRG31" s="3" t="s">
        <v>382</v>
      </c>
      <c r="LRH31" s="3" t="s">
        <v>383</v>
      </c>
      <c r="LRI31" s="3" t="s">
        <v>382</v>
      </c>
      <c r="LRJ31" s="3" t="s">
        <v>383</v>
      </c>
      <c r="LRK31" s="3" t="s">
        <v>382</v>
      </c>
      <c r="LRL31" s="3" t="s">
        <v>383</v>
      </c>
      <c r="LRM31" s="3" t="s">
        <v>382</v>
      </c>
      <c r="LRN31" s="3" t="s">
        <v>383</v>
      </c>
      <c r="LRO31" s="3" t="s">
        <v>382</v>
      </c>
      <c r="LRP31" s="3" t="s">
        <v>383</v>
      </c>
      <c r="LRQ31" s="3" t="s">
        <v>382</v>
      </c>
      <c r="LRR31" s="3" t="s">
        <v>383</v>
      </c>
      <c r="LRS31" s="3" t="s">
        <v>382</v>
      </c>
      <c r="LRT31" s="3" t="s">
        <v>383</v>
      </c>
      <c r="LRU31" s="3" t="s">
        <v>382</v>
      </c>
      <c r="LRV31" s="3" t="s">
        <v>383</v>
      </c>
      <c r="LRW31" s="3" t="s">
        <v>382</v>
      </c>
      <c r="LRX31" s="3" t="s">
        <v>383</v>
      </c>
      <c r="LRY31" s="3" t="s">
        <v>382</v>
      </c>
      <c r="LRZ31" s="3" t="s">
        <v>383</v>
      </c>
      <c r="LSA31" s="3" t="s">
        <v>382</v>
      </c>
      <c r="LSB31" s="3" t="s">
        <v>383</v>
      </c>
      <c r="LSC31" s="3" t="s">
        <v>382</v>
      </c>
      <c r="LSD31" s="3" t="s">
        <v>383</v>
      </c>
      <c r="LSE31" s="3" t="s">
        <v>382</v>
      </c>
      <c r="LSF31" s="3" t="s">
        <v>383</v>
      </c>
      <c r="LSG31" s="3" t="s">
        <v>382</v>
      </c>
      <c r="LSH31" s="3" t="s">
        <v>383</v>
      </c>
      <c r="LSI31" s="3" t="s">
        <v>382</v>
      </c>
      <c r="LSJ31" s="3" t="s">
        <v>383</v>
      </c>
      <c r="LSK31" s="3" t="s">
        <v>382</v>
      </c>
      <c r="LSL31" s="3" t="s">
        <v>383</v>
      </c>
      <c r="LSM31" s="3" t="s">
        <v>382</v>
      </c>
      <c r="LSN31" s="3" t="s">
        <v>383</v>
      </c>
      <c r="LSO31" s="3" t="s">
        <v>382</v>
      </c>
      <c r="LSP31" s="3" t="s">
        <v>383</v>
      </c>
      <c r="LSQ31" s="3" t="s">
        <v>382</v>
      </c>
      <c r="LSR31" s="3" t="s">
        <v>383</v>
      </c>
      <c r="LSS31" s="3" t="s">
        <v>382</v>
      </c>
      <c r="LST31" s="3" t="s">
        <v>383</v>
      </c>
      <c r="LSU31" s="3" t="s">
        <v>382</v>
      </c>
      <c r="LSV31" s="3" t="s">
        <v>383</v>
      </c>
      <c r="LSW31" s="3" t="s">
        <v>382</v>
      </c>
      <c r="LSX31" s="3" t="s">
        <v>383</v>
      </c>
      <c r="LSY31" s="3" t="s">
        <v>382</v>
      </c>
      <c r="LSZ31" s="3" t="s">
        <v>383</v>
      </c>
      <c r="LTA31" s="3" t="s">
        <v>382</v>
      </c>
      <c r="LTB31" s="3" t="s">
        <v>383</v>
      </c>
      <c r="LTC31" s="3" t="s">
        <v>382</v>
      </c>
      <c r="LTD31" s="3" t="s">
        <v>383</v>
      </c>
      <c r="LTE31" s="3" t="s">
        <v>382</v>
      </c>
      <c r="LTF31" s="3" t="s">
        <v>383</v>
      </c>
      <c r="LTG31" s="3" t="s">
        <v>382</v>
      </c>
      <c r="LTH31" s="3" t="s">
        <v>383</v>
      </c>
      <c r="LTI31" s="3" t="s">
        <v>382</v>
      </c>
      <c r="LTJ31" s="3" t="s">
        <v>383</v>
      </c>
      <c r="LTK31" s="3" t="s">
        <v>382</v>
      </c>
      <c r="LTL31" s="3" t="s">
        <v>383</v>
      </c>
      <c r="LTM31" s="3" t="s">
        <v>382</v>
      </c>
      <c r="LTN31" s="3" t="s">
        <v>383</v>
      </c>
      <c r="LTO31" s="3" t="s">
        <v>382</v>
      </c>
      <c r="LTP31" s="3" t="s">
        <v>383</v>
      </c>
      <c r="LTQ31" s="3" t="s">
        <v>382</v>
      </c>
      <c r="LTR31" s="3" t="s">
        <v>383</v>
      </c>
      <c r="LTS31" s="3" t="s">
        <v>382</v>
      </c>
      <c r="LTT31" s="3" t="s">
        <v>383</v>
      </c>
      <c r="LTU31" s="3" t="s">
        <v>382</v>
      </c>
      <c r="LTV31" s="3" t="s">
        <v>383</v>
      </c>
      <c r="LTW31" s="3" t="s">
        <v>382</v>
      </c>
      <c r="LTX31" s="3" t="s">
        <v>383</v>
      </c>
      <c r="LTY31" s="3" t="s">
        <v>382</v>
      </c>
      <c r="LTZ31" s="3" t="s">
        <v>383</v>
      </c>
      <c r="LUA31" s="3" t="s">
        <v>382</v>
      </c>
      <c r="LUB31" s="3" t="s">
        <v>383</v>
      </c>
      <c r="LUC31" s="3" t="s">
        <v>382</v>
      </c>
      <c r="LUD31" s="3" t="s">
        <v>383</v>
      </c>
      <c r="LUE31" s="3" t="s">
        <v>382</v>
      </c>
      <c r="LUF31" s="3" t="s">
        <v>383</v>
      </c>
      <c r="LUG31" s="3" t="s">
        <v>382</v>
      </c>
      <c r="LUH31" s="3" t="s">
        <v>383</v>
      </c>
      <c r="LUI31" s="3" t="s">
        <v>382</v>
      </c>
      <c r="LUJ31" s="3" t="s">
        <v>383</v>
      </c>
      <c r="LUK31" s="3" t="s">
        <v>382</v>
      </c>
      <c r="LUL31" s="3" t="s">
        <v>383</v>
      </c>
      <c r="LUM31" s="3" t="s">
        <v>382</v>
      </c>
      <c r="LUN31" s="3" t="s">
        <v>383</v>
      </c>
      <c r="LUO31" s="3" t="s">
        <v>382</v>
      </c>
      <c r="LUP31" s="3" t="s">
        <v>383</v>
      </c>
      <c r="LUQ31" s="3" t="s">
        <v>382</v>
      </c>
      <c r="LUR31" s="3" t="s">
        <v>383</v>
      </c>
      <c r="LUS31" s="3" t="s">
        <v>382</v>
      </c>
      <c r="LUT31" s="3" t="s">
        <v>383</v>
      </c>
      <c r="LUU31" s="3" t="s">
        <v>382</v>
      </c>
      <c r="LUV31" s="3" t="s">
        <v>383</v>
      </c>
      <c r="LUW31" s="3" t="s">
        <v>382</v>
      </c>
      <c r="LUX31" s="3" t="s">
        <v>383</v>
      </c>
      <c r="LUY31" s="3" t="s">
        <v>382</v>
      </c>
      <c r="LUZ31" s="3" t="s">
        <v>383</v>
      </c>
      <c r="LVA31" s="3" t="s">
        <v>382</v>
      </c>
      <c r="LVB31" s="3" t="s">
        <v>383</v>
      </c>
      <c r="LVC31" s="3" t="s">
        <v>382</v>
      </c>
      <c r="LVD31" s="3" t="s">
        <v>383</v>
      </c>
      <c r="LVE31" s="3" t="s">
        <v>382</v>
      </c>
      <c r="LVF31" s="3" t="s">
        <v>383</v>
      </c>
      <c r="LVG31" s="3" t="s">
        <v>382</v>
      </c>
      <c r="LVH31" s="3" t="s">
        <v>383</v>
      </c>
      <c r="LVI31" s="3" t="s">
        <v>382</v>
      </c>
      <c r="LVJ31" s="3" t="s">
        <v>383</v>
      </c>
      <c r="LVK31" s="3" t="s">
        <v>382</v>
      </c>
      <c r="LVL31" s="3" t="s">
        <v>383</v>
      </c>
      <c r="LVM31" s="3" t="s">
        <v>382</v>
      </c>
      <c r="LVN31" s="3" t="s">
        <v>383</v>
      </c>
      <c r="LVO31" s="3" t="s">
        <v>382</v>
      </c>
      <c r="LVP31" s="3" t="s">
        <v>383</v>
      </c>
      <c r="LVQ31" s="3" t="s">
        <v>382</v>
      </c>
      <c r="LVR31" s="3" t="s">
        <v>383</v>
      </c>
      <c r="LVS31" s="3" t="s">
        <v>382</v>
      </c>
      <c r="LVT31" s="3" t="s">
        <v>383</v>
      </c>
      <c r="LVU31" s="3" t="s">
        <v>382</v>
      </c>
      <c r="LVV31" s="3" t="s">
        <v>383</v>
      </c>
      <c r="LVW31" s="3" t="s">
        <v>382</v>
      </c>
      <c r="LVX31" s="3" t="s">
        <v>383</v>
      </c>
      <c r="LVY31" s="3" t="s">
        <v>382</v>
      </c>
      <c r="LVZ31" s="3" t="s">
        <v>383</v>
      </c>
      <c r="LWA31" s="3" t="s">
        <v>382</v>
      </c>
      <c r="LWB31" s="3" t="s">
        <v>383</v>
      </c>
      <c r="LWC31" s="3" t="s">
        <v>382</v>
      </c>
      <c r="LWD31" s="3" t="s">
        <v>383</v>
      </c>
      <c r="LWE31" s="3" t="s">
        <v>382</v>
      </c>
      <c r="LWF31" s="3" t="s">
        <v>383</v>
      </c>
      <c r="LWG31" s="3" t="s">
        <v>382</v>
      </c>
      <c r="LWH31" s="3" t="s">
        <v>383</v>
      </c>
      <c r="LWI31" s="3" t="s">
        <v>382</v>
      </c>
      <c r="LWJ31" s="3" t="s">
        <v>383</v>
      </c>
      <c r="LWK31" s="3" t="s">
        <v>382</v>
      </c>
      <c r="LWL31" s="3" t="s">
        <v>383</v>
      </c>
      <c r="LWM31" s="3" t="s">
        <v>382</v>
      </c>
      <c r="LWN31" s="3" t="s">
        <v>383</v>
      </c>
      <c r="LWO31" s="3" t="s">
        <v>382</v>
      </c>
      <c r="LWP31" s="3" t="s">
        <v>383</v>
      </c>
      <c r="LWQ31" s="3" t="s">
        <v>382</v>
      </c>
      <c r="LWR31" s="3" t="s">
        <v>383</v>
      </c>
      <c r="LWS31" s="3" t="s">
        <v>382</v>
      </c>
      <c r="LWT31" s="3" t="s">
        <v>383</v>
      </c>
      <c r="LWU31" s="3" t="s">
        <v>382</v>
      </c>
      <c r="LWV31" s="3" t="s">
        <v>383</v>
      </c>
      <c r="LWW31" s="3" t="s">
        <v>382</v>
      </c>
      <c r="LWX31" s="3" t="s">
        <v>383</v>
      </c>
      <c r="LWY31" s="3" t="s">
        <v>382</v>
      </c>
      <c r="LWZ31" s="3" t="s">
        <v>383</v>
      </c>
      <c r="LXA31" s="3" t="s">
        <v>382</v>
      </c>
      <c r="LXB31" s="3" t="s">
        <v>383</v>
      </c>
      <c r="LXC31" s="3" t="s">
        <v>382</v>
      </c>
      <c r="LXD31" s="3" t="s">
        <v>383</v>
      </c>
      <c r="LXE31" s="3" t="s">
        <v>382</v>
      </c>
      <c r="LXF31" s="3" t="s">
        <v>383</v>
      </c>
      <c r="LXG31" s="3" t="s">
        <v>382</v>
      </c>
      <c r="LXH31" s="3" t="s">
        <v>383</v>
      </c>
      <c r="LXI31" s="3" t="s">
        <v>382</v>
      </c>
      <c r="LXJ31" s="3" t="s">
        <v>383</v>
      </c>
      <c r="LXK31" s="3" t="s">
        <v>382</v>
      </c>
      <c r="LXL31" s="3" t="s">
        <v>383</v>
      </c>
      <c r="LXM31" s="3" t="s">
        <v>382</v>
      </c>
      <c r="LXN31" s="3" t="s">
        <v>383</v>
      </c>
      <c r="LXO31" s="3" t="s">
        <v>382</v>
      </c>
      <c r="LXP31" s="3" t="s">
        <v>383</v>
      </c>
      <c r="LXQ31" s="3" t="s">
        <v>382</v>
      </c>
      <c r="LXR31" s="3" t="s">
        <v>383</v>
      </c>
      <c r="LXS31" s="3" t="s">
        <v>382</v>
      </c>
      <c r="LXT31" s="3" t="s">
        <v>383</v>
      </c>
      <c r="LXU31" s="3" t="s">
        <v>382</v>
      </c>
      <c r="LXV31" s="3" t="s">
        <v>383</v>
      </c>
      <c r="LXW31" s="3" t="s">
        <v>382</v>
      </c>
      <c r="LXX31" s="3" t="s">
        <v>383</v>
      </c>
      <c r="LXY31" s="3" t="s">
        <v>382</v>
      </c>
      <c r="LXZ31" s="3" t="s">
        <v>383</v>
      </c>
      <c r="LYA31" s="3" t="s">
        <v>382</v>
      </c>
      <c r="LYB31" s="3" t="s">
        <v>383</v>
      </c>
      <c r="LYC31" s="3" t="s">
        <v>382</v>
      </c>
      <c r="LYD31" s="3" t="s">
        <v>383</v>
      </c>
      <c r="LYE31" s="3" t="s">
        <v>382</v>
      </c>
      <c r="LYF31" s="3" t="s">
        <v>383</v>
      </c>
      <c r="LYG31" s="3" t="s">
        <v>382</v>
      </c>
      <c r="LYH31" s="3" t="s">
        <v>383</v>
      </c>
      <c r="LYI31" s="3" t="s">
        <v>382</v>
      </c>
      <c r="LYJ31" s="3" t="s">
        <v>383</v>
      </c>
      <c r="LYK31" s="3" t="s">
        <v>382</v>
      </c>
      <c r="LYL31" s="3" t="s">
        <v>383</v>
      </c>
      <c r="LYM31" s="3" t="s">
        <v>382</v>
      </c>
      <c r="LYN31" s="3" t="s">
        <v>383</v>
      </c>
      <c r="LYO31" s="3" t="s">
        <v>382</v>
      </c>
      <c r="LYP31" s="3" t="s">
        <v>383</v>
      </c>
      <c r="LYQ31" s="3" t="s">
        <v>382</v>
      </c>
      <c r="LYR31" s="3" t="s">
        <v>383</v>
      </c>
      <c r="LYS31" s="3" t="s">
        <v>382</v>
      </c>
      <c r="LYT31" s="3" t="s">
        <v>383</v>
      </c>
      <c r="LYU31" s="3" t="s">
        <v>382</v>
      </c>
      <c r="LYV31" s="3" t="s">
        <v>383</v>
      </c>
      <c r="LYW31" s="3" t="s">
        <v>382</v>
      </c>
      <c r="LYX31" s="3" t="s">
        <v>383</v>
      </c>
      <c r="LYY31" s="3" t="s">
        <v>382</v>
      </c>
      <c r="LYZ31" s="3" t="s">
        <v>383</v>
      </c>
      <c r="LZA31" s="3" t="s">
        <v>382</v>
      </c>
      <c r="LZB31" s="3" t="s">
        <v>383</v>
      </c>
      <c r="LZC31" s="3" t="s">
        <v>382</v>
      </c>
      <c r="LZD31" s="3" t="s">
        <v>383</v>
      </c>
      <c r="LZE31" s="3" t="s">
        <v>382</v>
      </c>
      <c r="LZF31" s="3" t="s">
        <v>383</v>
      </c>
      <c r="LZG31" s="3" t="s">
        <v>382</v>
      </c>
      <c r="LZH31" s="3" t="s">
        <v>383</v>
      </c>
      <c r="LZI31" s="3" t="s">
        <v>382</v>
      </c>
      <c r="LZJ31" s="3" t="s">
        <v>383</v>
      </c>
      <c r="LZK31" s="3" t="s">
        <v>382</v>
      </c>
      <c r="LZL31" s="3" t="s">
        <v>383</v>
      </c>
      <c r="LZM31" s="3" t="s">
        <v>382</v>
      </c>
      <c r="LZN31" s="3" t="s">
        <v>383</v>
      </c>
      <c r="LZO31" s="3" t="s">
        <v>382</v>
      </c>
      <c r="LZP31" s="3" t="s">
        <v>383</v>
      </c>
      <c r="LZQ31" s="3" t="s">
        <v>382</v>
      </c>
      <c r="LZR31" s="3" t="s">
        <v>383</v>
      </c>
      <c r="LZS31" s="3" t="s">
        <v>382</v>
      </c>
      <c r="LZT31" s="3" t="s">
        <v>383</v>
      </c>
      <c r="LZU31" s="3" t="s">
        <v>382</v>
      </c>
      <c r="LZV31" s="3" t="s">
        <v>383</v>
      </c>
      <c r="LZW31" s="3" t="s">
        <v>382</v>
      </c>
      <c r="LZX31" s="3" t="s">
        <v>383</v>
      </c>
      <c r="LZY31" s="3" t="s">
        <v>382</v>
      </c>
      <c r="LZZ31" s="3" t="s">
        <v>383</v>
      </c>
      <c r="MAA31" s="3" t="s">
        <v>382</v>
      </c>
      <c r="MAB31" s="3" t="s">
        <v>383</v>
      </c>
      <c r="MAC31" s="3" t="s">
        <v>382</v>
      </c>
      <c r="MAD31" s="3" t="s">
        <v>383</v>
      </c>
      <c r="MAE31" s="3" t="s">
        <v>382</v>
      </c>
      <c r="MAF31" s="3" t="s">
        <v>383</v>
      </c>
      <c r="MAG31" s="3" t="s">
        <v>382</v>
      </c>
      <c r="MAH31" s="3" t="s">
        <v>383</v>
      </c>
      <c r="MAI31" s="3" t="s">
        <v>382</v>
      </c>
      <c r="MAJ31" s="3" t="s">
        <v>383</v>
      </c>
      <c r="MAK31" s="3" t="s">
        <v>382</v>
      </c>
      <c r="MAL31" s="3" t="s">
        <v>383</v>
      </c>
      <c r="MAM31" s="3" t="s">
        <v>382</v>
      </c>
      <c r="MAN31" s="3" t="s">
        <v>383</v>
      </c>
      <c r="MAO31" s="3" t="s">
        <v>382</v>
      </c>
      <c r="MAP31" s="3" t="s">
        <v>383</v>
      </c>
      <c r="MAQ31" s="3" t="s">
        <v>382</v>
      </c>
      <c r="MAR31" s="3" t="s">
        <v>383</v>
      </c>
      <c r="MAS31" s="3" t="s">
        <v>382</v>
      </c>
      <c r="MAT31" s="3" t="s">
        <v>383</v>
      </c>
      <c r="MAU31" s="3" t="s">
        <v>382</v>
      </c>
      <c r="MAV31" s="3" t="s">
        <v>383</v>
      </c>
      <c r="MAW31" s="3" t="s">
        <v>382</v>
      </c>
      <c r="MAX31" s="3" t="s">
        <v>383</v>
      </c>
      <c r="MAY31" s="3" t="s">
        <v>382</v>
      </c>
      <c r="MAZ31" s="3" t="s">
        <v>383</v>
      </c>
      <c r="MBA31" s="3" t="s">
        <v>382</v>
      </c>
      <c r="MBB31" s="3" t="s">
        <v>383</v>
      </c>
      <c r="MBC31" s="3" t="s">
        <v>382</v>
      </c>
      <c r="MBD31" s="3" t="s">
        <v>383</v>
      </c>
      <c r="MBE31" s="3" t="s">
        <v>382</v>
      </c>
      <c r="MBF31" s="3" t="s">
        <v>383</v>
      </c>
      <c r="MBG31" s="3" t="s">
        <v>382</v>
      </c>
      <c r="MBH31" s="3" t="s">
        <v>383</v>
      </c>
      <c r="MBI31" s="3" t="s">
        <v>382</v>
      </c>
      <c r="MBJ31" s="3" t="s">
        <v>383</v>
      </c>
      <c r="MBK31" s="3" t="s">
        <v>382</v>
      </c>
      <c r="MBL31" s="3" t="s">
        <v>383</v>
      </c>
      <c r="MBM31" s="3" t="s">
        <v>382</v>
      </c>
      <c r="MBN31" s="3" t="s">
        <v>383</v>
      </c>
      <c r="MBO31" s="3" t="s">
        <v>382</v>
      </c>
      <c r="MBP31" s="3" t="s">
        <v>383</v>
      </c>
      <c r="MBQ31" s="3" t="s">
        <v>382</v>
      </c>
      <c r="MBR31" s="3" t="s">
        <v>383</v>
      </c>
      <c r="MBS31" s="3" t="s">
        <v>382</v>
      </c>
      <c r="MBT31" s="3" t="s">
        <v>383</v>
      </c>
      <c r="MBU31" s="3" t="s">
        <v>382</v>
      </c>
      <c r="MBV31" s="3" t="s">
        <v>383</v>
      </c>
      <c r="MBW31" s="3" t="s">
        <v>382</v>
      </c>
      <c r="MBX31" s="3" t="s">
        <v>383</v>
      </c>
      <c r="MBY31" s="3" t="s">
        <v>382</v>
      </c>
      <c r="MBZ31" s="3" t="s">
        <v>383</v>
      </c>
      <c r="MCA31" s="3" t="s">
        <v>382</v>
      </c>
      <c r="MCB31" s="3" t="s">
        <v>383</v>
      </c>
      <c r="MCC31" s="3" t="s">
        <v>382</v>
      </c>
      <c r="MCD31" s="3" t="s">
        <v>383</v>
      </c>
      <c r="MCE31" s="3" t="s">
        <v>382</v>
      </c>
      <c r="MCF31" s="3" t="s">
        <v>383</v>
      </c>
      <c r="MCG31" s="3" t="s">
        <v>382</v>
      </c>
      <c r="MCH31" s="3" t="s">
        <v>383</v>
      </c>
      <c r="MCI31" s="3" t="s">
        <v>382</v>
      </c>
      <c r="MCJ31" s="3" t="s">
        <v>383</v>
      </c>
      <c r="MCK31" s="3" t="s">
        <v>382</v>
      </c>
      <c r="MCL31" s="3" t="s">
        <v>383</v>
      </c>
      <c r="MCM31" s="3" t="s">
        <v>382</v>
      </c>
      <c r="MCN31" s="3" t="s">
        <v>383</v>
      </c>
      <c r="MCO31" s="3" t="s">
        <v>382</v>
      </c>
      <c r="MCP31" s="3" t="s">
        <v>383</v>
      </c>
      <c r="MCQ31" s="3" t="s">
        <v>382</v>
      </c>
      <c r="MCR31" s="3" t="s">
        <v>383</v>
      </c>
      <c r="MCS31" s="3" t="s">
        <v>382</v>
      </c>
      <c r="MCT31" s="3" t="s">
        <v>383</v>
      </c>
      <c r="MCU31" s="3" t="s">
        <v>382</v>
      </c>
      <c r="MCV31" s="3" t="s">
        <v>383</v>
      </c>
      <c r="MCW31" s="3" t="s">
        <v>382</v>
      </c>
      <c r="MCX31" s="3" t="s">
        <v>383</v>
      </c>
      <c r="MCY31" s="3" t="s">
        <v>382</v>
      </c>
      <c r="MCZ31" s="3" t="s">
        <v>383</v>
      </c>
      <c r="MDA31" s="3" t="s">
        <v>382</v>
      </c>
      <c r="MDB31" s="3" t="s">
        <v>383</v>
      </c>
      <c r="MDC31" s="3" t="s">
        <v>382</v>
      </c>
      <c r="MDD31" s="3" t="s">
        <v>383</v>
      </c>
      <c r="MDE31" s="3" t="s">
        <v>382</v>
      </c>
      <c r="MDF31" s="3" t="s">
        <v>383</v>
      </c>
      <c r="MDG31" s="3" t="s">
        <v>382</v>
      </c>
      <c r="MDH31" s="3" t="s">
        <v>383</v>
      </c>
      <c r="MDI31" s="3" t="s">
        <v>382</v>
      </c>
      <c r="MDJ31" s="3" t="s">
        <v>383</v>
      </c>
      <c r="MDK31" s="3" t="s">
        <v>382</v>
      </c>
      <c r="MDL31" s="3" t="s">
        <v>383</v>
      </c>
      <c r="MDM31" s="3" t="s">
        <v>382</v>
      </c>
      <c r="MDN31" s="3" t="s">
        <v>383</v>
      </c>
      <c r="MDO31" s="3" t="s">
        <v>382</v>
      </c>
      <c r="MDP31" s="3" t="s">
        <v>383</v>
      </c>
      <c r="MDQ31" s="3" t="s">
        <v>382</v>
      </c>
      <c r="MDR31" s="3" t="s">
        <v>383</v>
      </c>
      <c r="MDS31" s="3" t="s">
        <v>382</v>
      </c>
      <c r="MDT31" s="3" t="s">
        <v>383</v>
      </c>
      <c r="MDU31" s="3" t="s">
        <v>382</v>
      </c>
      <c r="MDV31" s="3" t="s">
        <v>383</v>
      </c>
      <c r="MDW31" s="3" t="s">
        <v>382</v>
      </c>
      <c r="MDX31" s="3" t="s">
        <v>383</v>
      </c>
      <c r="MDY31" s="3" t="s">
        <v>382</v>
      </c>
      <c r="MDZ31" s="3" t="s">
        <v>383</v>
      </c>
      <c r="MEA31" s="3" t="s">
        <v>382</v>
      </c>
      <c r="MEB31" s="3" t="s">
        <v>383</v>
      </c>
      <c r="MEC31" s="3" t="s">
        <v>382</v>
      </c>
      <c r="MED31" s="3" t="s">
        <v>383</v>
      </c>
      <c r="MEE31" s="3" t="s">
        <v>382</v>
      </c>
      <c r="MEF31" s="3" t="s">
        <v>383</v>
      </c>
      <c r="MEG31" s="3" t="s">
        <v>382</v>
      </c>
      <c r="MEH31" s="3" t="s">
        <v>383</v>
      </c>
      <c r="MEI31" s="3" t="s">
        <v>382</v>
      </c>
      <c r="MEJ31" s="3" t="s">
        <v>383</v>
      </c>
      <c r="MEK31" s="3" t="s">
        <v>382</v>
      </c>
      <c r="MEL31" s="3" t="s">
        <v>383</v>
      </c>
      <c r="MEM31" s="3" t="s">
        <v>382</v>
      </c>
      <c r="MEN31" s="3" t="s">
        <v>383</v>
      </c>
      <c r="MEO31" s="3" t="s">
        <v>382</v>
      </c>
      <c r="MEP31" s="3" t="s">
        <v>383</v>
      </c>
      <c r="MEQ31" s="3" t="s">
        <v>382</v>
      </c>
      <c r="MER31" s="3" t="s">
        <v>383</v>
      </c>
      <c r="MES31" s="3" t="s">
        <v>382</v>
      </c>
      <c r="MET31" s="3" t="s">
        <v>383</v>
      </c>
      <c r="MEU31" s="3" t="s">
        <v>382</v>
      </c>
      <c r="MEV31" s="3" t="s">
        <v>383</v>
      </c>
      <c r="MEW31" s="3" t="s">
        <v>382</v>
      </c>
      <c r="MEX31" s="3" t="s">
        <v>383</v>
      </c>
      <c r="MEY31" s="3" t="s">
        <v>382</v>
      </c>
      <c r="MEZ31" s="3" t="s">
        <v>383</v>
      </c>
      <c r="MFA31" s="3" t="s">
        <v>382</v>
      </c>
      <c r="MFB31" s="3" t="s">
        <v>383</v>
      </c>
      <c r="MFC31" s="3" t="s">
        <v>382</v>
      </c>
      <c r="MFD31" s="3" t="s">
        <v>383</v>
      </c>
      <c r="MFE31" s="3" t="s">
        <v>382</v>
      </c>
      <c r="MFF31" s="3" t="s">
        <v>383</v>
      </c>
      <c r="MFG31" s="3" t="s">
        <v>382</v>
      </c>
      <c r="MFH31" s="3" t="s">
        <v>383</v>
      </c>
      <c r="MFI31" s="3" t="s">
        <v>382</v>
      </c>
      <c r="MFJ31" s="3" t="s">
        <v>383</v>
      </c>
      <c r="MFK31" s="3" t="s">
        <v>382</v>
      </c>
      <c r="MFL31" s="3" t="s">
        <v>383</v>
      </c>
      <c r="MFM31" s="3" t="s">
        <v>382</v>
      </c>
      <c r="MFN31" s="3" t="s">
        <v>383</v>
      </c>
      <c r="MFO31" s="3" t="s">
        <v>382</v>
      </c>
      <c r="MFP31" s="3" t="s">
        <v>383</v>
      </c>
      <c r="MFQ31" s="3" t="s">
        <v>382</v>
      </c>
      <c r="MFR31" s="3" t="s">
        <v>383</v>
      </c>
      <c r="MFS31" s="3" t="s">
        <v>382</v>
      </c>
      <c r="MFT31" s="3" t="s">
        <v>383</v>
      </c>
      <c r="MFU31" s="3" t="s">
        <v>382</v>
      </c>
      <c r="MFV31" s="3" t="s">
        <v>383</v>
      </c>
      <c r="MFW31" s="3" t="s">
        <v>382</v>
      </c>
      <c r="MFX31" s="3" t="s">
        <v>383</v>
      </c>
      <c r="MFY31" s="3" t="s">
        <v>382</v>
      </c>
      <c r="MFZ31" s="3" t="s">
        <v>383</v>
      </c>
      <c r="MGA31" s="3" t="s">
        <v>382</v>
      </c>
      <c r="MGB31" s="3" t="s">
        <v>383</v>
      </c>
      <c r="MGC31" s="3" t="s">
        <v>382</v>
      </c>
      <c r="MGD31" s="3" t="s">
        <v>383</v>
      </c>
      <c r="MGE31" s="3" t="s">
        <v>382</v>
      </c>
      <c r="MGF31" s="3" t="s">
        <v>383</v>
      </c>
      <c r="MGG31" s="3" t="s">
        <v>382</v>
      </c>
      <c r="MGH31" s="3" t="s">
        <v>383</v>
      </c>
      <c r="MGI31" s="3" t="s">
        <v>382</v>
      </c>
      <c r="MGJ31" s="3" t="s">
        <v>383</v>
      </c>
      <c r="MGK31" s="3" t="s">
        <v>382</v>
      </c>
      <c r="MGL31" s="3" t="s">
        <v>383</v>
      </c>
      <c r="MGM31" s="3" t="s">
        <v>382</v>
      </c>
      <c r="MGN31" s="3" t="s">
        <v>383</v>
      </c>
      <c r="MGO31" s="3" t="s">
        <v>382</v>
      </c>
      <c r="MGP31" s="3" t="s">
        <v>383</v>
      </c>
      <c r="MGQ31" s="3" t="s">
        <v>382</v>
      </c>
      <c r="MGR31" s="3" t="s">
        <v>383</v>
      </c>
      <c r="MGS31" s="3" t="s">
        <v>382</v>
      </c>
      <c r="MGT31" s="3" t="s">
        <v>383</v>
      </c>
      <c r="MGU31" s="3" t="s">
        <v>382</v>
      </c>
      <c r="MGV31" s="3" t="s">
        <v>383</v>
      </c>
      <c r="MGW31" s="3" t="s">
        <v>382</v>
      </c>
      <c r="MGX31" s="3" t="s">
        <v>383</v>
      </c>
      <c r="MGY31" s="3" t="s">
        <v>382</v>
      </c>
      <c r="MGZ31" s="3" t="s">
        <v>383</v>
      </c>
      <c r="MHA31" s="3" t="s">
        <v>382</v>
      </c>
      <c r="MHB31" s="3" t="s">
        <v>383</v>
      </c>
      <c r="MHC31" s="3" t="s">
        <v>382</v>
      </c>
      <c r="MHD31" s="3" t="s">
        <v>383</v>
      </c>
      <c r="MHE31" s="3" t="s">
        <v>382</v>
      </c>
      <c r="MHF31" s="3" t="s">
        <v>383</v>
      </c>
      <c r="MHG31" s="3" t="s">
        <v>382</v>
      </c>
      <c r="MHH31" s="3" t="s">
        <v>383</v>
      </c>
      <c r="MHI31" s="3" t="s">
        <v>382</v>
      </c>
      <c r="MHJ31" s="3" t="s">
        <v>383</v>
      </c>
      <c r="MHK31" s="3" t="s">
        <v>382</v>
      </c>
      <c r="MHL31" s="3" t="s">
        <v>383</v>
      </c>
      <c r="MHM31" s="3" t="s">
        <v>382</v>
      </c>
      <c r="MHN31" s="3" t="s">
        <v>383</v>
      </c>
      <c r="MHO31" s="3" t="s">
        <v>382</v>
      </c>
      <c r="MHP31" s="3" t="s">
        <v>383</v>
      </c>
      <c r="MHQ31" s="3" t="s">
        <v>382</v>
      </c>
      <c r="MHR31" s="3" t="s">
        <v>383</v>
      </c>
      <c r="MHS31" s="3" t="s">
        <v>382</v>
      </c>
      <c r="MHT31" s="3" t="s">
        <v>383</v>
      </c>
      <c r="MHU31" s="3" t="s">
        <v>382</v>
      </c>
      <c r="MHV31" s="3" t="s">
        <v>383</v>
      </c>
      <c r="MHW31" s="3" t="s">
        <v>382</v>
      </c>
      <c r="MHX31" s="3" t="s">
        <v>383</v>
      </c>
      <c r="MHY31" s="3" t="s">
        <v>382</v>
      </c>
      <c r="MHZ31" s="3" t="s">
        <v>383</v>
      </c>
      <c r="MIA31" s="3" t="s">
        <v>382</v>
      </c>
      <c r="MIB31" s="3" t="s">
        <v>383</v>
      </c>
      <c r="MIC31" s="3" t="s">
        <v>382</v>
      </c>
      <c r="MID31" s="3" t="s">
        <v>383</v>
      </c>
      <c r="MIE31" s="3" t="s">
        <v>382</v>
      </c>
      <c r="MIF31" s="3" t="s">
        <v>383</v>
      </c>
      <c r="MIG31" s="3" t="s">
        <v>382</v>
      </c>
      <c r="MIH31" s="3" t="s">
        <v>383</v>
      </c>
      <c r="MII31" s="3" t="s">
        <v>382</v>
      </c>
      <c r="MIJ31" s="3" t="s">
        <v>383</v>
      </c>
      <c r="MIK31" s="3" t="s">
        <v>382</v>
      </c>
      <c r="MIL31" s="3" t="s">
        <v>383</v>
      </c>
      <c r="MIM31" s="3" t="s">
        <v>382</v>
      </c>
      <c r="MIN31" s="3" t="s">
        <v>383</v>
      </c>
      <c r="MIO31" s="3" t="s">
        <v>382</v>
      </c>
      <c r="MIP31" s="3" t="s">
        <v>383</v>
      </c>
      <c r="MIQ31" s="3" t="s">
        <v>382</v>
      </c>
      <c r="MIR31" s="3" t="s">
        <v>383</v>
      </c>
      <c r="MIS31" s="3" t="s">
        <v>382</v>
      </c>
      <c r="MIT31" s="3" t="s">
        <v>383</v>
      </c>
      <c r="MIU31" s="3" t="s">
        <v>382</v>
      </c>
      <c r="MIV31" s="3" t="s">
        <v>383</v>
      </c>
      <c r="MIW31" s="3" t="s">
        <v>382</v>
      </c>
      <c r="MIX31" s="3" t="s">
        <v>383</v>
      </c>
      <c r="MIY31" s="3" t="s">
        <v>382</v>
      </c>
      <c r="MIZ31" s="3" t="s">
        <v>383</v>
      </c>
      <c r="MJA31" s="3" t="s">
        <v>382</v>
      </c>
      <c r="MJB31" s="3" t="s">
        <v>383</v>
      </c>
      <c r="MJC31" s="3" t="s">
        <v>382</v>
      </c>
      <c r="MJD31" s="3" t="s">
        <v>383</v>
      </c>
      <c r="MJE31" s="3" t="s">
        <v>382</v>
      </c>
      <c r="MJF31" s="3" t="s">
        <v>383</v>
      </c>
      <c r="MJG31" s="3" t="s">
        <v>382</v>
      </c>
      <c r="MJH31" s="3" t="s">
        <v>383</v>
      </c>
      <c r="MJI31" s="3" t="s">
        <v>382</v>
      </c>
      <c r="MJJ31" s="3" t="s">
        <v>383</v>
      </c>
      <c r="MJK31" s="3" t="s">
        <v>382</v>
      </c>
      <c r="MJL31" s="3" t="s">
        <v>383</v>
      </c>
      <c r="MJM31" s="3" t="s">
        <v>382</v>
      </c>
      <c r="MJN31" s="3" t="s">
        <v>383</v>
      </c>
      <c r="MJO31" s="3" t="s">
        <v>382</v>
      </c>
      <c r="MJP31" s="3" t="s">
        <v>383</v>
      </c>
      <c r="MJQ31" s="3" t="s">
        <v>382</v>
      </c>
      <c r="MJR31" s="3" t="s">
        <v>383</v>
      </c>
      <c r="MJS31" s="3" t="s">
        <v>382</v>
      </c>
      <c r="MJT31" s="3" t="s">
        <v>383</v>
      </c>
      <c r="MJU31" s="3" t="s">
        <v>382</v>
      </c>
      <c r="MJV31" s="3" t="s">
        <v>383</v>
      </c>
      <c r="MJW31" s="3" t="s">
        <v>382</v>
      </c>
      <c r="MJX31" s="3" t="s">
        <v>383</v>
      </c>
      <c r="MJY31" s="3" t="s">
        <v>382</v>
      </c>
      <c r="MJZ31" s="3" t="s">
        <v>383</v>
      </c>
      <c r="MKA31" s="3" t="s">
        <v>382</v>
      </c>
      <c r="MKB31" s="3" t="s">
        <v>383</v>
      </c>
      <c r="MKC31" s="3" t="s">
        <v>382</v>
      </c>
      <c r="MKD31" s="3" t="s">
        <v>383</v>
      </c>
      <c r="MKE31" s="3" t="s">
        <v>382</v>
      </c>
      <c r="MKF31" s="3" t="s">
        <v>383</v>
      </c>
      <c r="MKG31" s="3" t="s">
        <v>382</v>
      </c>
      <c r="MKH31" s="3" t="s">
        <v>383</v>
      </c>
      <c r="MKI31" s="3" t="s">
        <v>382</v>
      </c>
      <c r="MKJ31" s="3" t="s">
        <v>383</v>
      </c>
      <c r="MKK31" s="3" t="s">
        <v>382</v>
      </c>
      <c r="MKL31" s="3" t="s">
        <v>383</v>
      </c>
      <c r="MKM31" s="3" t="s">
        <v>382</v>
      </c>
      <c r="MKN31" s="3" t="s">
        <v>383</v>
      </c>
      <c r="MKO31" s="3" t="s">
        <v>382</v>
      </c>
      <c r="MKP31" s="3" t="s">
        <v>383</v>
      </c>
      <c r="MKQ31" s="3" t="s">
        <v>382</v>
      </c>
      <c r="MKR31" s="3" t="s">
        <v>383</v>
      </c>
      <c r="MKS31" s="3" t="s">
        <v>382</v>
      </c>
      <c r="MKT31" s="3" t="s">
        <v>383</v>
      </c>
      <c r="MKU31" s="3" t="s">
        <v>382</v>
      </c>
      <c r="MKV31" s="3" t="s">
        <v>383</v>
      </c>
      <c r="MKW31" s="3" t="s">
        <v>382</v>
      </c>
      <c r="MKX31" s="3" t="s">
        <v>383</v>
      </c>
      <c r="MKY31" s="3" t="s">
        <v>382</v>
      </c>
      <c r="MKZ31" s="3" t="s">
        <v>383</v>
      </c>
      <c r="MLA31" s="3" t="s">
        <v>382</v>
      </c>
      <c r="MLB31" s="3" t="s">
        <v>383</v>
      </c>
      <c r="MLC31" s="3" t="s">
        <v>382</v>
      </c>
      <c r="MLD31" s="3" t="s">
        <v>383</v>
      </c>
      <c r="MLE31" s="3" t="s">
        <v>382</v>
      </c>
      <c r="MLF31" s="3" t="s">
        <v>383</v>
      </c>
      <c r="MLG31" s="3" t="s">
        <v>382</v>
      </c>
      <c r="MLH31" s="3" t="s">
        <v>383</v>
      </c>
      <c r="MLI31" s="3" t="s">
        <v>382</v>
      </c>
      <c r="MLJ31" s="3" t="s">
        <v>383</v>
      </c>
      <c r="MLK31" s="3" t="s">
        <v>382</v>
      </c>
      <c r="MLL31" s="3" t="s">
        <v>383</v>
      </c>
      <c r="MLM31" s="3" t="s">
        <v>382</v>
      </c>
      <c r="MLN31" s="3" t="s">
        <v>383</v>
      </c>
      <c r="MLO31" s="3" t="s">
        <v>382</v>
      </c>
      <c r="MLP31" s="3" t="s">
        <v>383</v>
      </c>
      <c r="MLQ31" s="3" t="s">
        <v>382</v>
      </c>
      <c r="MLR31" s="3" t="s">
        <v>383</v>
      </c>
      <c r="MLS31" s="3" t="s">
        <v>382</v>
      </c>
      <c r="MLT31" s="3" t="s">
        <v>383</v>
      </c>
      <c r="MLU31" s="3" t="s">
        <v>382</v>
      </c>
      <c r="MLV31" s="3" t="s">
        <v>383</v>
      </c>
      <c r="MLW31" s="3" t="s">
        <v>382</v>
      </c>
      <c r="MLX31" s="3" t="s">
        <v>383</v>
      </c>
      <c r="MLY31" s="3" t="s">
        <v>382</v>
      </c>
      <c r="MLZ31" s="3" t="s">
        <v>383</v>
      </c>
      <c r="MMA31" s="3" t="s">
        <v>382</v>
      </c>
      <c r="MMB31" s="3" t="s">
        <v>383</v>
      </c>
      <c r="MMC31" s="3" t="s">
        <v>382</v>
      </c>
      <c r="MMD31" s="3" t="s">
        <v>383</v>
      </c>
      <c r="MME31" s="3" t="s">
        <v>382</v>
      </c>
      <c r="MMF31" s="3" t="s">
        <v>383</v>
      </c>
      <c r="MMG31" s="3" t="s">
        <v>382</v>
      </c>
      <c r="MMH31" s="3" t="s">
        <v>383</v>
      </c>
      <c r="MMI31" s="3" t="s">
        <v>382</v>
      </c>
      <c r="MMJ31" s="3" t="s">
        <v>383</v>
      </c>
      <c r="MMK31" s="3" t="s">
        <v>382</v>
      </c>
      <c r="MML31" s="3" t="s">
        <v>383</v>
      </c>
      <c r="MMM31" s="3" t="s">
        <v>382</v>
      </c>
      <c r="MMN31" s="3" t="s">
        <v>383</v>
      </c>
      <c r="MMO31" s="3" t="s">
        <v>382</v>
      </c>
      <c r="MMP31" s="3" t="s">
        <v>383</v>
      </c>
      <c r="MMQ31" s="3" t="s">
        <v>382</v>
      </c>
      <c r="MMR31" s="3" t="s">
        <v>383</v>
      </c>
      <c r="MMS31" s="3" t="s">
        <v>382</v>
      </c>
      <c r="MMT31" s="3" t="s">
        <v>383</v>
      </c>
      <c r="MMU31" s="3" t="s">
        <v>382</v>
      </c>
      <c r="MMV31" s="3" t="s">
        <v>383</v>
      </c>
      <c r="MMW31" s="3" t="s">
        <v>382</v>
      </c>
      <c r="MMX31" s="3" t="s">
        <v>383</v>
      </c>
      <c r="MMY31" s="3" t="s">
        <v>382</v>
      </c>
      <c r="MMZ31" s="3" t="s">
        <v>383</v>
      </c>
      <c r="MNA31" s="3" t="s">
        <v>382</v>
      </c>
      <c r="MNB31" s="3" t="s">
        <v>383</v>
      </c>
      <c r="MNC31" s="3" t="s">
        <v>382</v>
      </c>
      <c r="MND31" s="3" t="s">
        <v>383</v>
      </c>
      <c r="MNE31" s="3" t="s">
        <v>382</v>
      </c>
      <c r="MNF31" s="3" t="s">
        <v>383</v>
      </c>
      <c r="MNG31" s="3" t="s">
        <v>382</v>
      </c>
      <c r="MNH31" s="3" t="s">
        <v>383</v>
      </c>
      <c r="MNI31" s="3" t="s">
        <v>382</v>
      </c>
      <c r="MNJ31" s="3" t="s">
        <v>383</v>
      </c>
      <c r="MNK31" s="3" t="s">
        <v>382</v>
      </c>
      <c r="MNL31" s="3" t="s">
        <v>383</v>
      </c>
      <c r="MNM31" s="3" t="s">
        <v>382</v>
      </c>
      <c r="MNN31" s="3" t="s">
        <v>383</v>
      </c>
      <c r="MNO31" s="3" t="s">
        <v>382</v>
      </c>
      <c r="MNP31" s="3" t="s">
        <v>383</v>
      </c>
      <c r="MNQ31" s="3" t="s">
        <v>382</v>
      </c>
      <c r="MNR31" s="3" t="s">
        <v>383</v>
      </c>
      <c r="MNS31" s="3" t="s">
        <v>382</v>
      </c>
      <c r="MNT31" s="3" t="s">
        <v>383</v>
      </c>
      <c r="MNU31" s="3" t="s">
        <v>382</v>
      </c>
      <c r="MNV31" s="3" t="s">
        <v>383</v>
      </c>
      <c r="MNW31" s="3" t="s">
        <v>382</v>
      </c>
      <c r="MNX31" s="3" t="s">
        <v>383</v>
      </c>
      <c r="MNY31" s="3" t="s">
        <v>382</v>
      </c>
      <c r="MNZ31" s="3" t="s">
        <v>383</v>
      </c>
      <c r="MOA31" s="3" t="s">
        <v>382</v>
      </c>
      <c r="MOB31" s="3" t="s">
        <v>383</v>
      </c>
      <c r="MOC31" s="3" t="s">
        <v>382</v>
      </c>
      <c r="MOD31" s="3" t="s">
        <v>383</v>
      </c>
      <c r="MOE31" s="3" t="s">
        <v>382</v>
      </c>
      <c r="MOF31" s="3" t="s">
        <v>383</v>
      </c>
      <c r="MOG31" s="3" t="s">
        <v>382</v>
      </c>
      <c r="MOH31" s="3" t="s">
        <v>383</v>
      </c>
      <c r="MOI31" s="3" t="s">
        <v>382</v>
      </c>
      <c r="MOJ31" s="3" t="s">
        <v>383</v>
      </c>
      <c r="MOK31" s="3" t="s">
        <v>382</v>
      </c>
      <c r="MOL31" s="3" t="s">
        <v>383</v>
      </c>
      <c r="MOM31" s="3" t="s">
        <v>382</v>
      </c>
      <c r="MON31" s="3" t="s">
        <v>383</v>
      </c>
      <c r="MOO31" s="3" t="s">
        <v>382</v>
      </c>
      <c r="MOP31" s="3" t="s">
        <v>383</v>
      </c>
      <c r="MOQ31" s="3" t="s">
        <v>382</v>
      </c>
      <c r="MOR31" s="3" t="s">
        <v>383</v>
      </c>
      <c r="MOS31" s="3" t="s">
        <v>382</v>
      </c>
      <c r="MOT31" s="3" t="s">
        <v>383</v>
      </c>
      <c r="MOU31" s="3" t="s">
        <v>382</v>
      </c>
      <c r="MOV31" s="3" t="s">
        <v>383</v>
      </c>
      <c r="MOW31" s="3" t="s">
        <v>382</v>
      </c>
      <c r="MOX31" s="3" t="s">
        <v>383</v>
      </c>
      <c r="MOY31" s="3" t="s">
        <v>382</v>
      </c>
      <c r="MOZ31" s="3" t="s">
        <v>383</v>
      </c>
      <c r="MPA31" s="3" t="s">
        <v>382</v>
      </c>
      <c r="MPB31" s="3" t="s">
        <v>383</v>
      </c>
      <c r="MPC31" s="3" t="s">
        <v>382</v>
      </c>
      <c r="MPD31" s="3" t="s">
        <v>383</v>
      </c>
      <c r="MPE31" s="3" t="s">
        <v>382</v>
      </c>
      <c r="MPF31" s="3" t="s">
        <v>383</v>
      </c>
      <c r="MPG31" s="3" t="s">
        <v>382</v>
      </c>
      <c r="MPH31" s="3" t="s">
        <v>383</v>
      </c>
      <c r="MPI31" s="3" t="s">
        <v>382</v>
      </c>
      <c r="MPJ31" s="3" t="s">
        <v>383</v>
      </c>
      <c r="MPK31" s="3" t="s">
        <v>382</v>
      </c>
      <c r="MPL31" s="3" t="s">
        <v>383</v>
      </c>
      <c r="MPM31" s="3" t="s">
        <v>382</v>
      </c>
      <c r="MPN31" s="3" t="s">
        <v>383</v>
      </c>
      <c r="MPO31" s="3" t="s">
        <v>382</v>
      </c>
      <c r="MPP31" s="3" t="s">
        <v>383</v>
      </c>
      <c r="MPQ31" s="3" t="s">
        <v>382</v>
      </c>
      <c r="MPR31" s="3" t="s">
        <v>383</v>
      </c>
      <c r="MPS31" s="3" t="s">
        <v>382</v>
      </c>
      <c r="MPT31" s="3" t="s">
        <v>383</v>
      </c>
      <c r="MPU31" s="3" t="s">
        <v>382</v>
      </c>
      <c r="MPV31" s="3" t="s">
        <v>383</v>
      </c>
      <c r="MPW31" s="3" t="s">
        <v>382</v>
      </c>
      <c r="MPX31" s="3" t="s">
        <v>383</v>
      </c>
      <c r="MPY31" s="3" t="s">
        <v>382</v>
      </c>
      <c r="MPZ31" s="3" t="s">
        <v>383</v>
      </c>
      <c r="MQA31" s="3" t="s">
        <v>382</v>
      </c>
      <c r="MQB31" s="3" t="s">
        <v>383</v>
      </c>
      <c r="MQC31" s="3" t="s">
        <v>382</v>
      </c>
      <c r="MQD31" s="3" t="s">
        <v>383</v>
      </c>
      <c r="MQE31" s="3" t="s">
        <v>382</v>
      </c>
      <c r="MQF31" s="3" t="s">
        <v>383</v>
      </c>
      <c r="MQG31" s="3" t="s">
        <v>382</v>
      </c>
      <c r="MQH31" s="3" t="s">
        <v>383</v>
      </c>
      <c r="MQI31" s="3" t="s">
        <v>382</v>
      </c>
      <c r="MQJ31" s="3" t="s">
        <v>383</v>
      </c>
      <c r="MQK31" s="3" t="s">
        <v>382</v>
      </c>
      <c r="MQL31" s="3" t="s">
        <v>383</v>
      </c>
      <c r="MQM31" s="3" t="s">
        <v>382</v>
      </c>
      <c r="MQN31" s="3" t="s">
        <v>383</v>
      </c>
      <c r="MQO31" s="3" t="s">
        <v>382</v>
      </c>
      <c r="MQP31" s="3" t="s">
        <v>383</v>
      </c>
      <c r="MQQ31" s="3" t="s">
        <v>382</v>
      </c>
      <c r="MQR31" s="3" t="s">
        <v>383</v>
      </c>
      <c r="MQS31" s="3" t="s">
        <v>382</v>
      </c>
      <c r="MQT31" s="3" t="s">
        <v>383</v>
      </c>
      <c r="MQU31" s="3" t="s">
        <v>382</v>
      </c>
      <c r="MQV31" s="3" t="s">
        <v>383</v>
      </c>
      <c r="MQW31" s="3" t="s">
        <v>382</v>
      </c>
      <c r="MQX31" s="3" t="s">
        <v>383</v>
      </c>
      <c r="MQY31" s="3" t="s">
        <v>382</v>
      </c>
      <c r="MQZ31" s="3" t="s">
        <v>383</v>
      </c>
      <c r="MRA31" s="3" t="s">
        <v>382</v>
      </c>
      <c r="MRB31" s="3" t="s">
        <v>383</v>
      </c>
      <c r="MRC31" s="3" t="s">
        <v>382</v>
      </c>
      <c r="MRD31" s="3" t="s">
        <v>383</v>
      </c>
      <c r="MRE31" s="3" t="s">
        <v>382</v>
      </c>
      <c r="MRF31" s="3" t="s">
        <v>383</v>
      </c>
      <c r="MRG31" s="3" t="s">
        <v>382</v>
      </c>
      <c r="MRH31" s="3" t="s">
        <v>383</v>
      </c>
      <c r="MRI31" s="3" t="s">
        <v>382</v>
      </c>
      <c r="MRJ31" s="3" t="s">
        <v>383</v>
      </c>
      <c r="MRK31" s="3" t="s">
        <v>382</v>
      </c>
      <c r="MRL31" s="3" t="s">
        <v>383</v>
      </c>
      <c r="MRM31" s="3" t="s">
        <v>382</v>
      </c>
      <c r="MRN31" s="3" t="s">
        <v>383</v>
      </c>
      <c r="MRO31" s="3" t="s">
        <v>382</v>
      </c>
      <c r="MRP31" s="3" t="s">
        <v>383</v>
      </c>
      <c r="MRQ31" s="3" t="s">
        <v>382</v>
      </c>
      <c r="MRR31" s="3" t="s">
        <v>383</v>
      </c>
      <c r="MRS31" s="3" t="s">
        <v>382</v>
      </c>
      <c r="MRT31" s="3" t="s">
        <v>383</v>
      </c>
      <c r="MRU31" s="3" t="s">
        <v>382</v>
      </c>
      <c r="MRV31" s="3" t="s">
        <v>383</v>
      </c>
      <c r="MRW31" s="3" t="s">
        <v>382</v>
      </c>
      <c r="MRX31" s="3" t="s">
        <v>383</v>
      </c>
      <c r="MRY31" s="3" t="s">
        <v>382</v>
      </c>
      <c r="MRZ31" s="3" t="s">
        <v>383</v>
      </c>
      <c r="MSA31" s="3" t="s">
        <v>382</v>
      </c>
      <c r="MSB31" s="3" t="s">
        <v>383</v>
      </c>
      <c r="MSC31" s="3" t="s">
        <v>382</v>
      </c>
      <c r="MSD31" s="3" t="s">
        <v>383</v>
      </c>
      <c r="MSE31" s="3" t="s">
        <v>382</v>
      </c>
      <c r="MSF31" s="3" t="s">
        <v>383</v>
      </c>
      <c r="MSG31" s="3" t="s">
        <v>382</v>
      </c>
      <c r="MSH31" s="3" t="s">
        <v>383</v>
      </c>
      <c r="MSI31" s="3" t="s">
        <v>382</v>
      </c>
      <c r="MSJ31" s="3" t="s">
        <v>383</v>
      </c>
      <c r="MSK31" s="3" t="s">
        <v>382</v>
      </c>
      <c r="MSL31" s="3" t="s">
        <v>383</v>
      </c>
      <c r="MSM31" s="3" t="s">
        <v>382</v>
      </c>
      <c r="MSN31" s="3" t="s">
        <v>383</v>
      </c>
      <c r="MSO31" s="3" t="s">
        <v>382</v>
      </c>
      <c r="MSP31" s="3" t="s">
        <v>383</v>
      </c>
      <c r="MSQ31" s="3" t="s">
        <v>382</v>
      </c>
      <c r="MSR31" s="3" t="s">
        <v>383</v>
      </c>
      <c r="MSS31" s="3" t="s">
        <v>382</v>
      </c>
      <c r="MST31" s="3" t="s">
        <v>383</v>
      </c>
      <c r="MSU31" s="3" t="s">
        <v>382</v>
      </c>
      <c r="MSV31" s="3" t="s">
        <v>383</v>
      </c>
      <c r="MSW31" s="3" t="s">
        <v>382</v>
      </c>
      <c r="MSX31" s="3" t="s">
        <v>383</v>
      </c>
      <c r="MSY31" s="3" t="s">
        <v>382</v>
      </c>
      <c r="MSZ31" s="3" t="s">
        <v>383</v>
      </c>
      <c r="MTA31" s="3" t="s">
        <v>382</v>
      </c>
      <c r="MTB31" s="3" t="s">
        <v>383</v>
      </c>
      <c r="MTC31" s="3" t="s">
        <v>382</v>
      </c>
      <c r="MTD31" s="3" t="s">
        <v>383</v>
      </c>
      <c r="MTE31" s="3" t="s">
        <v>382</v>
      </c>
      <c r="MTF31" s="3" t="s">
        <v>383</v>
      </c>
      <c r="MTG31" s="3" t="s">
        <v>382</v>
      </c>
      <c r="MTH31" s="3" t="s">
        <v>383</v>
      </c>
      <c r="MTI31" s="3" t="s">
        <v>382</v>
      </c>
      <c r="MTJ31" s="3" t="s">
        <v>383</v>
      </c>
      <c r="MTK31" s="3" t="s">
        <v>382</v>
      </c>
      <c r="MTL31" s="3" t="s">
        <v>383</v>
      </c>
      <c r="MTM31" s="3" t="s">
        <v>382</v>
      </c>
      <c r="MTN31" s="3" t="s">
        <v>383</v>
      </c>
      <c r="MTO31" s="3" t="s">
        <v>382</v>
      </c>
      <c r="MTP31" s="3" t="s">
        <v>383</v>
      </c>
      <c r="MTQ31" s="3" t="s">
        <v>382</v>
      </c>
      <c r="MTR31" s="3" t="s">
        <v>383</v>
      </c>
      <c r="MTS31" s="3" t="s">
        <v>382</v>
      </c>
      <c r="MTT31" s="3" t="s">
        <v>383</v>
      </c>
      <c r="MTU31" s="3" t="s">
        <v>382</v>
      </c>
      <c r="MTV31" s="3" t="s">
        <v>383</v>
      </c>
      <c r="MTW31" s="3" t="s">
        <v>382</v>
      </c>
      <c r="MTX31" s="3" t="s">
        <v>383</v>
      </c>
      <c r="MTY31" s="3" t="s">
        <v>382</v>
      </c>
      <c r="MTZ31" s="3" t="s">
        <v>383</v>
      </c>
      <c r="MUA31" s="3" t="s">
        <v>382</v>
      </c>
      <c r="MUB31" s="3" t="s">
        <v>383</v>
      </c>
      <c r="MUC31" s="3" t="s">
        <v>382</v>
      </c>
      <c r="MUD31" s="3" t="s">
        <v>383</v>
      </c>
      <c r="MUE31" s="3" t="s">
        <v>382</v>
      </c>
      <c r="MUF31" s="3" t="s">
        <v>383</v>
      </c>
      <c r="MUG31" s="3" t="s">
        <v>382</v>
      </c>
      <c r="MUH31" s="3" t="s">
        <v>383</v>
      </c>
      <c r="MUI31" s="3" t="s">
        <v>382</v>
      </c>
      <c r="MUJ31" s="3" t="s">
        <v>383</v>
      </c>
      <c r="MUK31" s="3" t="s">
        <v>382</v>
      </c>
      <c r="MUL31" s="3" t="s">
        <v>383</v>
      </c>
      <c r="MUM31" s="3" t="s">
        <v>382</v>
      </c>
      <c r="MUN31" s="3" t="s">
        <v>383</v>
      </c>
      <c r="MUO31" s="3" t="s">
        <v>382</v>
      </c>
      <c r="MUP31" s="3" t="s">
        <v>383</v>
      </c>
      <c r="MUQ31" s="3" t="s">
        <v>382</v>
      </c>
      <c r="MUR31" s="3" t="s">
        <v>383</v>
      </c>
      <c r="MUS31" s="3" t="s">
        <v>382</v>
      </c>
      <c r="MUT31" s="3" t="s">
        <v>383</v>
      </c>
      <c r="MUU31" s="3" t="s">
        <v>382</v>
      </c>
      <c r="MUV31" s="3" t="s">
        <v>383</v>
      </c>
      <c r="MUW31" s="3" t="s">
        <v>382</v>
      </c>
      <c r="MUX31" s="3" t="s">
        <v>383</v>
      </c>
      <c r="MUY31" s="3" t="s">
        <v>382</v>
      </c>
      <c r="MUZ31" s="3" t="s">
        <v>383</v>
      </c>
      <c r="MVA31" s="3" t="s">
        <v>382</v>
      </c>
      <c r="MVB31" s="3" t="s">
        <v>383</v>
      </c>
      <c r="MVC31" s="3" t="s">
        <v>382</v>
      </c>
      <c r="MVD31" s="3" t="s">
        <v>383</v>
      </c>
      <c r="MVE31" s="3" t="s">
        <v>382</v>
      </c>
      <c r="MVF31" s="3" t="s">
        <v>383</v>
      </c>
      <c r="MVG31" s="3" t="s">
        <v>382</v>
      </c>
      <c r="MVH31" s="3" t="s">
        <v>383</v>
      </c>
      <c r="MVI31" s="3" t="s">
        <v>382</v>
      </c>
      <c r="MVJ31" s="3" t="s">
        <v>383</v>
      </c>
      <c r="MVK31" s="3" t="s">
        <v>382</v>
      </c>
      <c r="MVL31" s="3" t="s">
        <v>383</v>
      </c>
      <c r="MVM31" s="3" t="s">
        <v>382</v>
      </c>
      <c r="MVN31" s="3" t="s">
        <v>383</v>
      </c>
      <c r="MVO31" s="3" t="s">
        <v>382</v>
      </c>
      <c r="MVP31" s="3" t="s">
        <v>383</v>
      </c>
      <c r="MVQ31" s="3" t="s">
        <v>382</v>
      </c>
      <c r="MVR31" s="3" t="s">
        <v>383</v>
      </c>
      <c r="MVS31" s="3" t="s">
        <v>382</v>
      </c>
      <c r="MVT31" s="3" t="s">
        <v>383</v>
      </c>
      <c r="MVU31" s="3" t="s">
        <v>382</v>
      </c>
      <c r="MVV31" s="3" t="s">
        <v>383</v>
      </c>
      <c r="MVW31" s="3" t="s">
        <v>382</v>
      </c>
      <c r="MVX31" s="3" t="s">
        <v>383</v>
      </c>
      <c r="MVY31" s="3" t="s">
        <v>382</v>
      </c>
      <c r="MVZ31" s="3" t="s">
        <v>383</v>
      </c>
      <c r="MWA31" s="3" t="s">
        <v>382</v>
      </c>
      <c r="MWB31" s="3" t="s">
        <v>383</v>
      </c>
      <c r="MWC31" s="3" t="s">
        <v>382</v>
      </c>
      <c r="MWD31" s="3" t="s">
        <v>383</v>
      </c>
      <c r="MWE31" s="3" t="s">
        <v>382</v>
      </c>
      <c r="MWF31" s="3" t="s">
        <v>383</v>
      </c>
      <c r="MWG31" s="3" t="s">
        <v>382</v>
      </c>
      <c r="MWH31" s="3" t="s">
        <v>383</v>
      </c>
      <c r="MWI31" s="3" t="s">
        <v>382</v>
      </c>
      <c r="MWJ31" s="3" t="s">
        <v>383</v>
      </c>
      <c r="MWK31" s="3" t="s">
        <v>382</v>
      </c>
      <c r="MWL31" s="3" t="s">
        <v>383</v>
      </c>
      <c r="MWM31" s="3" t="s">
        <v>382</v>
      </c>
      <c r="MWN31" s="3" t="s">
        <v>383</v>
      </c>
      <c r="MWO31" s="3" t="s">
        <v>382</v>
      </c>
      <c r="MWP31" s="3" t="s">
        <v>383</v>
      </c>
      <c r="MWQ31" s="3" t="s">
        <v>382</v>
      </c>
      <c r="MWR31" s="3" t="s">
        <v>383</v>
      </c>
      <c r="MWS31" s="3" t="s">
        <v>382</v>
      </c>
      <c r="MWT31" s="3" t="s">
        <v>383</v>
      </c>
      <c r="MWU31" s="3" t="s">
        <v>382</v>
      </c>
      <c r="MWV31" s="3" t="s">
        <v>383</v>
      </c>
      <c r="MWW31" s="3" t="s">
        <v>382</v>
      </c>
      <c r="MWX31" s="3" t="s">
        <v>383</v>
      </c>
      <c r="MWY31" s="3" t="s">
        <v>382</v>
      </c>
      <c r="MWZ31" s="3" t="s">
        <v>383</v>
      </c>
      <c r="MXA31" s="3" t="s">
        <v>382</v>
      </c>
      <c r="MXB31" s="3" t="s">
        <v>383</v>
      </c>
      <c r="MXC31" s="3" t="s">
        <v>382</v>
      </c>
      <c r="MXD31" s="3" t="s">
        <v>383</v>
      </c>
      <c r="MXE31" s="3" t="s">
        <v>382</v>
      </c>
      <c r="MXF31" s="3" t="s">
        <v>383</v>
      </c>
      <c r="MXG31" s="3" t="s">
        <v>382</v>
      </c>
      <c r="MXH31" s="3" t="s">
        <v>383</v>
      </c>
      <c r="MXI31" s="3" t="s">
        <v>382</v>
      </c>
      <c r="MXJ31" s="3" t="s">
        <v>383</v>
      </c>
      <c r="MXK31" s="3" t="s">
        <v>382</v>
      </c>
      <c r="MXL31" s="3" t="s">
        <v>383</v>
      </c>
      <c r="MXM31" s="3" t="s">
        <v>382</v>
      </c>
      <c r="MXN31" s="3" t="s">
        <v>383</v>
      </c>
      <c r="MXO31" s="3" t="s">
        <v>382</v>
      </c>
      <c r="MXP31" s="3" t="s">
        <v>383</v>
      </c>
      <c r="MXQ31" s="3" t="s">
        <v>382</v>
      </c>
      <c r="MXR31" s="3" t="s">
        <v>383</v>
      </c>
      <c r="MXS31" s="3" t="s">
        <v>382</v>
      </c>
      <c r="MXT31" s="3" t="s">
        <v>383</v>
      </c>
      <c r="MXU31" s="3" t="s">
        <v>382</v>
      </c>
      <c r="MXV31" s="3" t="s">
        <v>383</v>
      </c>
      <c r="MXW31" s="3" t="s">
        <v>382</v>
      </c>
      <c r="MXX31" s="3" t="s">
        <v>383</v>
      </c>
      <c r="MXY31" s="3" t="s">
        <v>382</v>
      </c>
      <c r="MXZ31" s="3" t="s">
        <v>383</v>
      </c>
      <c r="MYA31" s="3" t="s">
        <v>382</v>
      </c>
      <c r="MYB31" s="3" t="s">
        <v>383</v>
      </c>
      <c r="MYC31" s="3" t="s">
        <v>382</v>
      </c>
      <c r="MYD31" s="3" t="s">
        <v>383</v>
      </c>
      <c r="MYE31" s="3" t="s">
        <v>382</v>
      </c>
      <c r="MYF31" s="3" t="s">
        <v>383</v>
      </c>
      <c r="MYG31" s="3" t="s">
        <v>382</v>
      </c>
      <c r="MYH31" s="3" t="s">
        <v>383</v>
      </c>
      <c r="MYI31" s="3" t="s">
        <v>382</v>
      </c>
      <c r="MYJ31" s="3" t="s">
        <v>383</v>
      </c>
      <c r="MYK31" s="3" t="s">
        <v>382</v>
      </c>
      <c r="MYL31" s="3" t="s">
        <v>383</v>
      </c>
      <c r="MYM31" s="3" t="s">
        <v>382</v>
      </c>
      <c r="MYN31" s="3" t="s">
        <v>383</v>
      </c>
      <c r="MYO31" s="3" t="s">
        <v>382</v>
      </c>
      <c r="MYP31" s="3" t="s">
        <v>383</v>
      </c>
      <c r="MYQ31" s="3" t="s">
        <v>382</v>
      </c>
      <c r="MYR31" s="3" t="s">
        <v>383</v>
      </c>
      <c r="MYS31" s="3" t="s">
        <v>382</v>
      </c>
      <c r="MYT31" s="3" t="s">
        <v>383</v>
      </c>
      <c r="MYU31" s="3" t="s">
        <v>382</v>
      </c>
      <c r="MYV31" s="3" t="s">
        <v>383</v>
      </c>
      <c r="MYW31" s="3" t="s">
        <v>382</v>
      </c>
      <c r="MYX31" s="3" t="s">
        <v>383</v>
      </c>
      <c r="MYY31" s="3" t="s">
        <v>382</v>
      </c>
      <c r="MYZ31" s="3" t="s">
        <v>383</v>
      </c>
      <c r="MZA31" s="3" t="s">
        <v>382</v>
      </c>
      <c r="MZB31" s="3" t="s">
        <v>383</v>
      </c>
      <c r="MZC31" s="3" t="s">
        <v>382</v>
      </c>
      <c r="MZD31" s="3" t="s">
        <v>383</v>
      </c>
      <c r="MZE31" s="3" t="s">
        <v>382</v>
      </c>
      <c r="MZF31" s="3" t="s">
        <v>383</v>
      </c>
      <c r="MZG31" s="3" t="s">
        <v>382</v>
      </c>
      <c r="MZH31" s="3" t="s">
        <v>383</v>
      </c>
      <c r="MZI31" s="3" t="s">
        <v>382</v>
      </c>
      <c r="MZJ31" s="3" t="s">
        <v>383</v>
      </c>
      <c r="MZK31" s="3" t="s">
        <v>382</v>
      </c>
      <c r="MZL31" s="3" t="s">
        <v>383</v>
      </c>
      <c r="MZM31" s="3" t="s">
        <v>382</v>
      </c>
      <c r="MZN31" s="3" t="s">
        <v>383</v>
      </c>
      <c r="MZO31" s="3" t="s">
        <v>382</v>
      </c>
      <c r="MZP31" s="3" t="s">
        <v>383</v>
      </c>
      <c r="MZQ31" s="3" t="s">
        <v>382</v>
      </c>
      <c r="MZR31" s="3" t="s">
        <v>383</v>
      </c>
      <c r="MZS31" s="3" t="s">
        <v>382</v>
      </c>
      <c r="MZT31" s="3" t="s">
        <v>383</v>
      </c>
      <c r="MZU31" s="3" t="s">
        <v>382</v>
      </c>
      <c r="MZV31" s="3" t="s">
        <v>383</v>
      </c>
      <c r="MZW31" s="3" t="s">
        <v>382</v>
      </c>
      <c r="MZX31" s="3" t="s">
        <v>383</v>
      </c>
      <c r="MZY31" s="3" t="s">
        <v>382</v>
      </c>
      <c r="MZZ31" s="3" t="s">
        <v>383</v>
      </c>
      <c r="NAA31" s="3" t="s">
        <v>382</v>
      </c>
      <c r="NAB31" s="3" t="s">
        <v>383</v>
      </c>
      <c r="NAC31" s="3" t="s">
        <v>382</v>
      </c>
      <c r="NAD31" s="3" t="s">
        <v>383</v>
      </c>
      <c r="NAE31" s="3" t="s">
        <v>382</v>
      </c>
      <c r="NAF31" s="3" t="s">
        <v>383</v>
      </c>
      <c r="NAG31" s="3" t="s">
        <v>382</v>
      </c>
      <c r="NAH31" s="3" t="s">
        <v>383</v>
      </c>
      <c r="NAI31" s="3" t="s">
        <v>382</v>
      </c>
      <c r="NAJ31" s="3" t="s">
        <v>383</v>
      </c>
      <c r="NAK31" s="3" t="s">
        <v>382</v>
      </c>
      <c r="NAL31" s="3" t="s">
        <v>383</v>
      </c>
      <c r="NAM31" s="3" t="s">
        <v>382</v>
      </c>
      <c r="NAN31" s="3" t="s">
        <v>383</v>
      </c>
      <c r="NAO31" s="3" t="s">
        <v>382</v>
      </c>
      <c r="NAP31" s="3" t="s">
        <v>383</v>
      </c>
      <c r="NAQ31" s="3" t="s">
        <v>382</v>
      </c>
      <c r="NAR31" s="3" t="s">
        <v>383</v>
      </c>
      <c r="NAS31" s="3" t="s">
        <v>382</v>
      </c>
      <c r="NAT31" s="3" t="s">
        <v>383</v>
      </c>
      <c r="NAU31" s="3" t="s">
        <v>382</v>
      </c>
      <c r="NAV31" s="3" t="s">
        <v>383</v>
      </c>
      <c r="NAW31" s="3" t="s">
        <v>382</v>
      </c>
      <c r="NAX31" s="3" t="s">
        <v>383</v>
      </c>
      <c r="NAY31" s="3" t="s">
        <v>382</v>
      </c>
      <c r="NAZ31" s="3" t="s">
        <v>383</v>
      </c>
      <c r="NBA31" s="3" t="s">
        <v>382</v>
      </c>
      <c r="NBB31" s="3" t="s">
        <v>383</v>
      </c>
      <c r="NBC31" s="3" t="s">
        <v>382</v>
      </c>
      <c r="NBD31" s="3" t="s">
        <v>383</v>
      </c>
      <c r="NBE31" s="3" t="s">
        <v>382</v>
      </c>
      <c r="NBF31" s="3" t="s">
        <v>383</v>
      </c>
      <c r="NBG31" s="3" t="s">
        <v>382</v>
      </c>
      <c r="NBH31" s="3" t="s">
        <v>383</v>
      </c>
      <c r="NBI31" s="3" t="s">
        <v>382</v>
      </c>
      <c r="NBJ31" s="3" t="s">
        <v>383</v>
      </c>
      <c r="NBK31" s="3" t="s">
        <v>382</v>
      </c>
      <c r="NBL31" s="3" t="s">
        <v>383</v>
      </c>
      <c r="NBM31" s="3" t="s">
        <v>382</v>
      </c>
      <c r="NBN31" s="3" t="s">
        <v>383</v>
      </c>
      <c r="NBO31" s="3" t="s">
        <v>382</v>
      </c>
      <c r="NBP31" s="3" t="s">
        <v>383</v>
      </c>
      <c r="NBQ31" s="3" t="s">
        <v>382</v>
      </c>
      <c r="NBR31" s="3" t="s">
        <v>383</v>
      </c>
      <c r="NBS31" s="3" t="s">
        <v>382</v>
      </c>
      <c r="NBT31" s="3" t="s">
        <v>383</v>
      </c>
      <c r="NBU31" s="3" t="s">
        <v>382</v>
      </c>
      <c r="NBV31" s="3" t="s">
        <v>383</v>
      </c>
      <c r="NBW31" s="3" t="s">
        <v>382</v>
      </c>
      <c r="NBX31" s="3" t="s">
        <v>383</v>
      </c>
      <c r="NBY31" s="3" t="s">
        <v>382</v>
      </c>
      <c r="NBZ31" s="3" t="s">
        <v>383</v>
      </c>
      <c r="NCA31" s="3" t="s">
        <v>382</v>
      </c>
      <c r="NCB31" s="3" t="s">
        <v>383</v>
      </c>
      <c r="NCC31" s="3" t="s">
        <v>382</v>
      </c>
      <c r="NCD31" s="3" t="s">
        <v>383</v>
      </c>
      <c r="NCE31" s="3" t="s">
        <v>382</v>
      </c>
      <c r="NCF31" s="3" t="s">
        <v>383</v>
      </c>
      <c r="NCG31" s="3" t="s">
        <v>382</v>
      </c>
      <c r="NCH31" s="3" t="s">
        <v>383</v>
      </c>
      <c r="NCI31" s="3" t="s">
        <v>382</v>
      </c>
      <c r="NCJ31" s="3" t="s">
        <v>383</v>
      </c>
      <c r="NCK31" s="3" t="s">
        <v>382</v>
      </c>
      <c r="NCL31" s="3" t="s">
        <v>383</v>
      </c>
      <c r="NCM31" s="3" t="s">
        <v>382</v>
      </c>
      <c r="NCN31" s="3" t="s">
        <v>383</v>
      </c>
      <c r="NCO31" s="3" t="s">
        <v>382</v>
      </c>
      <c r="NCP31" s="3" t="s">
        <v>383</v>
      </c>
      <c r="NCQ31" s="3" t="s">
        <v>382</v>
      </c>
      <c r="NCR31" s="3" t="s">
        <v>383</v>
      </c>
      <c r="NCS31" s="3" t="s">
        <v>382</v>
      </c>
      <c r="NCT31" s="3" t="s">
        <v>383</v>
      </c>
      <c r="NCU31" s="3" t="s">
        <v>382</v>
      </c>
      <c r="NCV31" s="3" t="s">
        <v>383</v>
      </c>
      <c r="NCW31" s="3" t="s">
        <v>382</v>
      </c>
      <c r="NCX31" s="3" t="s">
        <v>383</v>
      </c>
      <c r="NCY31" s="3" t="s">
        <v>382</v>
      </c>
      <c r="NCZ31" s="3" t="s">
        <v>383</v>
      </c>
      <c r="NDA31" s="3" t="s">
        <v>382</v>
      </c>
      <c r="NDB31" s="3" t="s">
        <v>383</v>
      </c>
      <c r="NDC31" s="3" t="s">
        <v>382</v>
      </c>
      <c r="NDD31" s="3" t="s">
        <v>383</v>
      </c>
      <c r="NDE31" s="3" t="s">
        <v>382</v>
      </c>
      <c r="NDF31" s="3" t="s">
        <v>383</v>
      </c>
      <c r="NDG31" s="3" t="s">
        <v>382</v>
      </c>
      <c r="NDH31" s="3" t="s">
        <v>383</v>
      </c>
      <c r="NDI31" s="3" t="s">
        <v>382</v>
      </c>
      <c r="NDJ31" s="3" t="s">
        <v>383</v>
      </c>
      <c r="NDK31" s="3" t="s">
        <v>382</v>
      </c>
      <c r="NDL31" s="3" t="s">
        <v>383</v>
      </c>
      <c r="NDM31" s="3" t="s">
        <v>382</v>
      </c>
      <c r="NDN31" s="3" t="s">
        <v>383</v>
      </c>
      <c r="NDO31" s="3" t="s">
        <v>382</v>
      </c>
      <c r="NDP31" s="3" t="s">
        <v>383</v>
      </c>
      <c r="NDQ31" s="3" t="s">
        <v>382</v>
      </c>
      <c r="NDR31" s="3" t="s">
        <v>383</v>
      </c>
      <c r="NDS31" s="3" t="s">
        <v>382</v>
      </c>
      <c r="NDT31" s="3" t="s">
        <v>383</v>
      </c>
      <c r="NDU31" s="3" t="s">
        <v>382</v>
      </c>
      <c r="NDV31" s="3" t="s">
        <v>383</v>
      </c>
      <c r="NDW31" s="3" t="s">
        <v>382</v>
      </c>
      <c r="NDX31" s="3" t="s">
        <v>383</v>
      </c>
      <c r="NDY31" s="3" t="s">
        <v>382</v>
      </c>
      <c r="NDZ31" s="3" t="s">
        <v>383</v>
      </c>
      <c r="NEA31" s="3" t="s">
        <v>382</v>
      </c>
      <c r="NEB31" s="3" t="s">
        <v>383</v>
      </c>
      <c r="NEC31" s="3" t="s">
        <v>382</v>
      </c>
      <c r="NED31" s="3" t="s">
        <v>383</v>
      </c>
      <c r="NEE31" s="3" t="s">
        <v>382</v>
      </c>
      <c r="NEF31" s="3" t="s">
        <v>383</v>
      </c>
      <c r="NEG31" s="3" t="s">
        <v>382</v>
      </c>
      <c r="NEH31" s="3" t="s">
        <v>383</v>
      </c>
      <c r="NEI31" s="3" t="s">
        <v>382</v>
      </c>
      <c r="NEJ31" s="3" t="s">
        <v>383</v>
      </c>
      <c r="NEK31" s="3" t="s">
        <v>382</v>
      </c>
      <c r="NEL31" s="3" t="s">
        <v>383</v>
      </c>
      <c r="NEM31" s="3" t="s">
        <v>382</v>
      </c>
      <c r="NEN31" s="3" t="s">
        <v>383</v>
      </c>
      <c r="NEO31" s="3" t="s">
        <v>382</v>
      </c>
      <c r="NEP31" s="3" t="s">
        <v>383</v>
      </c>
      <c r="NEQ31" s="3" t="s">
        <v>382</v>
      </c>
      <c r="NER31" s="3" t="s">
        <v>383</v>
      </c>
      <c r="NES31" s="3" t="s">
        <v>382</v>
      </c>
      <c r="NET31" s="3" t="s">
        <v>383</v>
      </c>
      <c r="NEU31" s="3" t="s">
        <v>382</v>
      </c>
      <c r="NEV31" s="3" t="s">
        <v>383</v>
      </c>
      <c r="NEW31" s="3" t="s">
        <v>382</v>
      </c>
      <c r="NEX31" s="3" t="s">
        <v>383</v>
      </c>
      <c r="NEY31" s="3" t="s">
        <v>382</v>
      </c>
      <c r="NEZ31" s="3" t="s">
        <v>383</v>
      </c>
      <c r="NFA31" s="3" t="s">
        <v>382</v>
      </c>
      <c r="NFB31" s="3" t="s">
        <v>383</v>
      </c>
      <c r="NFC31" s="3" t="s">
        <v>382</v>
      </c>
      <c r="NFD31" s="3" t="s">
        <v>383</v>
      </c>
      <c r="NFE31" s="3" t="s">
        <v>382</v>
      </c>
      <c r="NFF31" s="3" t="s">
        <v>383</v>
      </c>
      <c r="NFG31" s="3" t="s">
        <v>382</v>
      </c>
      <c r="NFH31" s="3" t="s">
        <v>383</v>
      </c>
      <c r="NFI31" s="3" t="s">
        <v>382</v>
      </c>
      <c r="NFJ31" s="3" t="s">
        <v>383</v>
      </c>
      <c r="NFK31" s="3" t="s">
        <v>382</v>
      </c>
      <c r="NFL31" s="3" t="s">
        <v>383</v>
      </c>
      <c r="NFM31" s="3" t="s">
        <v>382</v>
      </c>
      <c r="NFN31" s="3" t="s">
        <v>383</v>
      </c>
      <c r="NFO31" s="3" t="s">
        <v>382</v>
      </c>
      <c r="NFP31" s="3" t="s">
        <v>383</v>
      </c>
      <c r="NFQ31" s="3" t="s">
        <v>382</v>
      </c>
      <c r="NFR31" s="3" t="s">
        <v>383</v>
      </c>
      <c r="NFS31" s="3" t="s">
        <v>382</v>
      </c>
      <c r="NFT31" s="3" t="s">
        <v>383</v>
      </c>
      <c r="NFU31" s="3" t="s">
        <v>382</v>
      </c>
      <c r="NFV31" s="3" t="s">
        <v>383</v>
      </c>
      <c r="NFW31" s="3" t="s">
        <v>382</v>
      </c>
      <c r="NFX31" s="3" t="s">
        <v>383</v>
      </c>
      <c r="NFY31" s="3" t="s">
        <v>382</v>
      </c>
      <c r="NFZ31" s="3" t="s">
        <v>383</v>
      </c>
      <c r="NGA31" s="3" t="s">
        <v>382</v>
      </c>
      <c r="NGB31" s="3" t="s">
        <v>383</v>
      </c>
      <c r="NGC31" s="3" t="s">
        <v>382</v>
      </c>
      <c r="NGD31" s="3" t="s">
        <v>383</v>
      </c>
      <c r="NGE31" s="3" t="s">
        <v>382</v>
      </c>
      <c r="NGF31" s="3" t="s">
        <v>383</v>
      </c>
      <c r="NGG31" s="3" t="s">
        <v>382</v>
      </c>
      <c r="NGH31" s="3" t="s">
        <v>383</v>
      </c>
      <c r="NGI31" s="3" t="s">
        <v>382</v>
      </c>
      <c r="NGJ31" s="3" t="s">
        <v>383</v>
      </c>
      <c r="NGK31" s="3" t="s">
        <v>382</v>
      </c>
      <c r="NGL31" s="3" t="s">
        <v>383</v>
      </c>
      <c r="NGM31" s="3" t="s">
        <v>382</v>
      </c>
      <c r="NGN31" s="3" t="s">
        <v>383</v>
      </c>
      <c r="NGO31" s="3" t="s">
        <v>382</v>
      </c>
      <c r="NGP31" s="3" t="s">
        <v>383</v>
      </c>
      <c r="NGQ31" s="3" t="s">
        <v>382</v>
      </c>
      <c r="NGR31" s="3" t="s">
        <v>383</v>
      </c>
      <c r="NGS31" s="3" t="s">
        <v>382</v>
      </c>
      <c r="NGT31" s="3" t="s">
        <v>383</v>
      </c>
      <c r="NGU31" s="3" t="s">
        <v>382</v>
      </c>
      <c r="NGV31" s="3" t="s">
        <v>383</v>
      </c>
      <c r="NGW31" s="3" t="s">
        <v>382</v>
      </c>
      <c r="NGX31" s="3" t="s">
        <v>383</v>
      </c>
      <c r="NGY31" s="3" t="s">
        <v>382</v>
      </c>
      <c r="NGZ31" s="3" t="s">
        <v>383</v>
      </c>
      <c r="NHA31" s="3" t="s">
        <v>382</v>
      </c>
      <c r="NHB31" s="3" t="s">
        <v>383</v>
      </c>
      <c r="NHC31" s="3" t="s">
        <v>382</v>
      </c>
      <c r="NHD31" s="3" t="s">
        <v>383</v>
      </c>
      <c r="NHE31" s="3" t="s">
        <v>382</v>
      </c>
      <c r="NHF31" s="3" t="s">
        <v>383</v>
      </c>
      <c r="NHG31" s="3" t="s">
        <v>382</v>
      </c>
      <c r="NHH31" s="3" t="s">
        <v>383</v>
      </c>
      <c r="NHI31" s="3" t="s">
        <v>382</v>
      </c>
      <c r="NHJ31" s="3" t="s">
        <v>383</v>
      </c>
      <c r="NHK31" s="3" t="s">
        <v>382</v>
      </c>
      <c r="NHL31" s="3" t="s">
        <v>383</v>
      </c>
      <c r="NHM31" s="3" t="s">
        <v>382</v>
      </c>
      <c r="NHN31" s="3" t="s">
        <v>383</v>
      </c>
      <c r="NHO31" s="3" t="s">
        <v>382</v>
      </c>
      <c r="NHP31" s="3" t="s">
        <v>383</v>
      </c>
      <c r="NHQ31" s="3" t="s">
        <v>382</v>
      </c>
      <c r="NHR31" s="3" t="s">
        <v>383</v>
      </c>
      <c r="NHS31" s="3" t="s">
        <v>382</v>
      </c>
      <c r="NHT31" s="3" t="s">
        <v>383</v>
      </c>
      <c r="NHU31" s="3" t="s">
        <v>382</v>
      </c>
      <c r="NHV31" s="3" t="s">
        <v>383</v>
      </c>
      <c r="NHW31" s="3" t="s">
        <v>382</v>
      </c>
      <c r="NHX31" s="3" t="s">
        <v>383</v>
      </c>
      <c r="NHY31" s="3" t="s">
        <v>382</v>
      </c>
      <c r="NHZ31" s="3" t="s">
        <v>383</v>
      </c>
      <c r="NIA31" s="3" t="s">
        <v>382</v>
      </c>
      <c r="NIB31" s="3" t="s">
        <v>383</v>
      </c>
      <c r="NIC31" s="3" t="s">
        <v>382</v>
      </c>
      <c r="NID31" s="3" t="s">
        <v>383</v>
      </c>
      <c r="NIE31" s="3" t="s">
        <v>382</v>
      </c>
      <c r="NIF31" s="3" t="s">
        <v>383</v>
      </c>
      <c r="NIG31" s="3" t="s">
        <v>382</v>
      </c>
      <c r="NIH31" s="3" t="s">
        <v>383</v>
      </c>
      <c r="NII31" s="3" t="s">
        <v>382</v>
      </c>
      <c r="NIJ31" s="3" t="s">
        <v>383</v>
      </c>
      <c r="NIK31" s="3" t="s">
        <v>382</v>
      </c>
      <c r="NIL31" s="3" t="s">
        <v>383</v>
      </c>
      <c r="NIM31" s="3" t="s">
        <v>382</v>
      </c>
      <c r="NIN31" s="3" t="s">
        <v>383</v>
      </c>
      <c r="NIO31" s="3" t="s">
        <v>382</v>
      </c>
      <c r="NIP31" s="3" t="s">
        <v>383</v>
      </c>
      <c r="NIQ31" s="3" t="s">
        <v>382</v>
      </c>
      <c r="NIR31" s="3" t="s">
        <v>383</v>
      </c>
      <c r="NIS31" s="3" t="s">
        <v>382</v>
      </c>
      <c r="NIT31" s="3" t="s">
        <v>383</v>
      </c>
      <c r="NIU31" s="3" t="s">
        <v>382</v>
      </c>
      <c r="NIV31" s="3" t="s">
        <v>383</v>
      </c>
      <c r="NIW31" s="3" t="s">
        <v>382</v>
      </c>
      <c r="NIX31" s="3" t="s">
        <v>383</v>
      </c>
      <c r="NIY31" s="3" t="s">
        <v>382</v>
      </c>
      <c r="NIZ31" s="3" t="s">
        <v>383</v>
      </c>
      <c r="NJA31" s="3" t="s">
        <v>382</v>
      </c>
      <c r="NJB31" s="3" t="s">
        <v>383</v>
      </c>
      <c r="NJC31" s="3" t="s">
        <v>382</v>
      </c>
      <c r="NJD31" s="3" t="s">
        <v>383</v>
      </c>
      <c r="NJE31" s="3" t="s">
        <v>382</v>
      </c>
      <c r="NJF31" s="3" t="s">
        <v>383</v>
      </c>
      <c r="NJG31" s="3" t="s">
        <v>382</v>
      </c>
      <c r="NJH31" s="3" t="s">
        <v>383</v>
      </c>
      <c r="NJI31" s="3" t="s">
        <v>382</v>
      </c>
      <c r="NJJ31" s="3" t="s">
        <v>383</v>
      </c>
      <c r="NJK31" s="3" t="s">
        <v>382</v>
      </c>
      <c r="NJL31" s="3" t="s">
        <v>383</v>
      </c>
      <c r="NJM31" s="3" t="s">
        <v>382</v>
      </c>
      <c r="NJN31" s="3" t="s">
        <v>383</v>
      </c>
      <c r="NJO31" s="3" t="s">
        <v>382</v>
      </c>
      <c r="NJP31" s="3" t="s">
        <v>383</v>
      </c>
      <c r="NJQ31" s="3" t="s">
        <v>382</v>
      </c>
      <c r="NJR31" s="3" t="s">
        <v>383</v>
      </c>
      <c r="NJS31" s="3" t="s">
        <v>382</v>
      </c>
      <c r="NJT31" s="3" t="s">
        <v>383</v>
      </c>
      <c r="NJU31" s="3" t="s">
        <v>382</v>
      </c>
      <c r="NJV31" s="3" t="s">
        <v>383</v>
      </c>
      <c r="NJW31" s="3" t="s">
        <v>382</v>
      </c>
      <c r="NJX31" s="3" t="s">
        <v>383</v>
      </c>
      <c r="NJY31" s="3" t="s">
        <v>382</v>
      </c>
      <c r="NJZ31" s="3" t="s">
        <v>383</v>
      </c>
      <c r="NKA31" s="3" t="s">
        <v>382</v>
      </c>
      <c r="NKB31" s="3" t="s">
        <v>383</v>
      </c>
      <c r="NKC31" s="3" t="s">
        <v>382</v>
      </c>
      <c r="NKD31" s="3" t="s">
        <v>383</v>
      </c>
      <c r="NKE31" s="3" t="s">
        <v>382</v>
      </c>
      <c r="NKF31" s="3" t="s">
        <v>383</v>
      </c>
      <c r="NKG31" s="3" t="s">
        <v>382</v>
      </c>
      <c r="NKH31" s="3" t="s">
        <v>383</v>
      </c>
      <c r="NKI31" s="3" t="s">
        <v>382</v>
      </c>
      <c r="NKJ31" s="3" t="s">
        <v>383</v>
      </c>
      <c r="NKK31" s="3" t="s">
        <v>382</v>
      </c>
      <c r="NKL31" s="3" t="s">
        <v>383</v>
      </c>
      <c r="NKM31" s="3" t="s">
        <v>382</v>
      </c>
      <c r="NKN31" s="3" t="s">
        <v>383</v>
      </c>
      <c r="NKO31" s="3" t="s">
        <v>382</v>
      </c>
      <c r="NKP31" s="3" t="s">
        <v>383</v>
      </c>
      <c r="NKQ31" s="3" t="s">
        <v>382</v>
      </c>
      <c r="NKR31" s="3" t="s">
        <v>383</v>
      </c>
      <c r="NKS31" s="3" t="s">
        <v>382</v>
      </c>
      <c r="NKT31" s="3" t="s">
        <v>383</v>
      </c>
      <c r="NKU31" s="3" t="s">
        <v>382</v>
      </c>
      <c r="NKV31" s="3" t="s">
        <v>383</v>
      </c>
      <c r="NKW31" s="3" t="s">
        <v>382</v>
      </c>
      <c r="NKX31" s="3" t="s">
        <v>383</v>
      </c>
      <c r="NKY31" s="3" t="s">
        <v>382</v>
      </c>
      <c r="NKZ31" s="3" t="s">
        <v>383</v>
      </c>
      <c r="NLA31" s="3" t="s">
        <v>382</v>
      </c>
      <c r="NLB31" s="3" t="s">
        <v>383</v>
      </c>
      <c r="NLC31" s="3" t="s">
        <v>382</v>
      </c>
      <c r="NLD31" s="3" t="s">
        <v>383</v>
      </c>
      <c r="NLE31" s="3" t="s">
        <v>382</v>
      </c>
      <c r="NLF31" s="3" t="s">
        <v>383</v>
      </c>
      <c r="NLG31" s="3" t="s">
        <v>382</v>
      </c>
      <c r="NLH31" s="3" t="s">
        <v>383</v>
      </c>
      <c r="NLI31" s="3" t="s">
        <v>382</v>
      </c>
      <c r="NLJ31" s="3" t="s">
        <v>383</v>
      </c>
      <c r="NLK31" s="3" t="s">
        <v>382</v>
      </c>
      <c r="NLL31" s="3" t="s">
        <v>383</v>
      </c>
      <c r="NLM31" s="3" t="s">
        <v>382</v>
      </c>
      <c r="NLN31" s="3" t="s">
        <v>383</v>
      </c>
      <c r="NLO31" s="3" t="s">
        <v>382</v>
      </c>
      <c r="NLP31" s="3" t="s">
        <v>383</v>
      </c>
      <c r="NLQ31" s="3" t="s">
        <v>382</v>
      </c>
      <c r="NLR31" s="3" t="s">
        <v>383</v>
      </c>
      <c r="NLS31" s="3" t="s">
        <v>382</v>
      </c>
      <c r="NLT31" s="3" t="s">
        <v>383</v>
      </c>
      <c r="NLU31" s="3" t="s">
        <v>382</v>
      </c>
      <c r="NLV31" s="3" t="s">
        <v>383</v>
      </c>
      <c r="NLW31" s="3" t="s">
        <v>382</v>
      </c>
      <c r="NLX31" s="3" t="s">
        <v>383</v>
      </c>
      <c r="NLY31" s="3" t="s">
        <v>382</v>
      </c>
      <c r="NLZ31" s="3" t="s">
        <v>383</v>
      </c>
      <c r="NMA31" s="3" t="s">
        <v>382</v>
      </c>
      <c r="NMB31" s="3" t="s">
        <v>383</v>
      </c>
      <c r="NMC31" s="3" t="s">
        <v>382</v>
      </c>
      <c r="NMD31" s="3" t="s">
        <v>383</v>
      </c>
      <c r="NME31" s="3" t="s">
        <v>382</v>
      </c>
      <c r="NMF31" s="3" t="s">
        <v>383</v>
      </c>
      <c r="NMG31" s="3" t="s">
        <v>382</v>
      </c>
      <c r="NMH31" s="3" t="s">
        <v>383</v>
      </c>
      <c r="NMI31" s="3" t="s">
        <v>382</v>
      </c>
      <c r="NMJ31" s="3" t="s">
        <v>383</v>
      </c>
      <c r="NMK31" s="3" t="s">
        <v>382</v>
      </c>
      <c r="NML31" s="3" t="s">
        <v>383</v>
      </c>
      <c r="NMM31" s="3" t="s">
        <v>382</v>
      </c>
      <c r="NMN31" s="3" t="s">
        <v>383</v>
      </c>
      <c r="NMO31" s="3" t="s">
        <v>382</v>
      </c>
      <c r="NMP31" s="3" t="s">
        <v>383</v>
      </c>
      <c r="NMQ31" s="3" t="s">
        <v>382</v>
      </c>
      <c r="NMR31" s="3" t="s">
        <v>383</v>
      </c>
      <c r="NMS31" s="3" t="s">
        <v>382</v>
      </c>
      <c r="NMT31" s="3" t="s">
        <v>383</v>
      </c>
      <c r="NMU31" s="3" t="s">
        <v>382</v>
      </c>
      <c r="NMV31" s="3" t="s">
        <v>383</v>
      </c>
      <c r="NMW31" s="3" t="s">
        <v>382</v>
      </c>
      <c r="NMX31" s="3" t="s">
        <v>383</v>
      </c>
      <c r="NMY31" s="3" t="s">
        <v>382</v>
      </c>
      <c r="NMZ31" s="3" t="s">
        <v>383</v>
      </c>
      <c r="NNA31" s="3" t="s">
        <v>382</v>
      </c>
      <c r="NNB31" s="3" t="s">
        <v>383</v>
      </c>
      <c r="NNC31" s="3" t="s">
        <v>382</v>
      </c>
      <c r="NND31" s="3" t="s">
        <v>383</v>
      </c>
      <c r="NNE31" s="3" t="s">
        <v>382</v>
      </c>
      <c r="NNF31" s="3" t="s">
        <v>383</v>
      </c>
      <c r="NNG31" s="3" t="s">
        <v>382</v>
      </c>
      <c r="NNH31" s="3" t="s">
        <v>383</v>
      </c>
      <c r="NNI31" s="3" t="s">
        <v>382</v>
      </c>
      <c r="NNJ31" s="3" t="s">
        <v>383</v>
      </c>
      <c r="NNK31" s="3" t="s">
        <v>382</v>
      </c>
      <c r="NNL31" s="3" t="s">
        <v>383</v>
      </c>
      <c r="NNM31" s="3" t="s">
        <v>382</v>
      </c>
      <c r="NNN31" s="3" t="s">
        <v>383</v>
      </c>
      <c r="NNO31" s="3" t="s">
        <v>382</v>
      </c>
      <c r="NNP31" s="3" t="s">
        <v>383</v>
      </c>
      <c r="NNQ31" s="3" t="s">
        <v>382</v>
      </c>
      <c r="NNR31" s="3" t="s">
        <v>383</v>
      </c>
      <c r="NNS31" s="3" t="s">
        <v>382</v>
      </c>
      <c r="NNT31" s="3" t="s">
        <v>383</v>
      </c>
      <c r="NNU31" s="3" t="s">
        <v>382</v>
      </c>
      <c r="NNV31" s="3" t="s">
        <v>383</v>
      </c>
      <c r="NNW31" s="3" t="s">
        <v>382</v>
      </c>
      <c r="NNX31" s="3" t="s">
        <v>383</v>
      </c>
      <c r="NNY31" s="3" t="s">
        <v>382</v>
      </c>
      <c r="NNZ31" s="3" t="s">
        <v>383</v>
      </c>
      <c r="NOA31" s="3" t="s">
        <v>382</v>
      </c>
      <c r="NOB31" s="3" t="s">
        <v>383</v>
      </c>
      <c r="NOC31" s="3" t="s">
        <v>382</v>
      </c>
      <c r="NOD31" s="3" t="s">
        <v>383</v>
      </c>
      <c r="NOE31" s="3" t="s">
        <v>382</v>
      </c>
      <c r="NOF31" s="3" t="s">
        <v>383</v>
      </c>
      <c r="NOG31" s="3" t="s">
        <v>382</v>
      </c>
      <c r="NOH31" s="3" t="s">
        <v>383</v>
      </c>
      <c r="NOI31" s="3" t="s">
        <v>382</v>
      </c>
      <c r="NOJ31" s="3" t="s">
        <v>383</v>
      </c>
      <c r="NOK31" s="3" t="s">
        <v>382</v>
      </c>
      <c r="NOL31" s="3" t="s">
        <v>383</v>
      </c>
      <c r="NOM31" s="3" t="s">
        <v>382</v>
      </c>
      <c r="NON31" s="3" t="s">
        <v>383</v>
      </c>
      <c r="NOO31" s="3" t="s">
        <v>382</v>
      </c>
      <c r="NOP31" s="3" t="s">
        <v>383</v>
      </c>
      <c r="NOQ31" s="3" t="s">
        <v>382</v>
      </c>
      <c r="NOR31" s="3" t="s">
        <v>383</v>
      </c>
      <c r="NOS31" s="3" t="s">
        <v>382</v>
      </c>
      <c r="NOT31" s="3" t="s">
        <v>383</v>
      </c>
      <c r="NOU31" s="3" t="s">
        <v>382</v>
      </c>
      <c r="NOV31" s="3" t="s">
        <v>383</v>
      </c>
      <c r="NOW31" s="3" t="s">
        <v>382</v>
      </c>
      <c r="NOX31" s="3" t="s">
        <v>383</v>
      </c>
      <c r="NOY31" s="3" t="s">
        <v>382</v>
      </c>
      <c r="NOZ31" s="3" t="s">
        <v>383</v>
      </c>
      <c r="NPA31" s="3" t="s">
        <v>382</v>
      </c>
      <c r="NPB31" s="3" t="s">
        <v>383</v>
      </c>
      <c r="NPC31" s="3" t="s">
        <v>382</v>
      </c>
      <c r="NPD31" s="3" t="s">
        <v>383</v>
      </c>
      <c r="NPE31" s="3" t="s">
        <v>382</v>
      </c>
      <c r="NPF31" s="3" t="s">
        <v>383</v>
      </c>
      <c r="NPG31" s="3" t="s">
        <v>382</v>
      </c>
      <c r="NPH31" s="3" t="s">
        <v>383</v>
      </c>
      <c r="NPI31" s="3" t="s">
        <v>382</v>
      </c>
      <c r="NPJ31" s="3" t="s">
        <v>383</v>
      </c>
      <c r="NPK31" s="3" t="s">
        <v>382</v>
      </c>
      <c r="NPL31" s="3" t="s">
        <v>383</v>
      </c>
      <c r="NPM31" s="3" t="s">
        <v>382</v>
      </c>
      <c r="NPN31" s="3" t="s">
        <v>383</v>
      </c>
      <c r="NPO31" s="3" t="s">
        <v>382</v>
      </c>
      <c r="NPP31" s="3" t="s">
        <v>383</v>
      </c>
      <c r="NPQ31" s="3" t="s">
        <v>382</v>
      </c>
      <c r="NPR31" s="3" t="s">
        <v>383</v>
      </c>
      <c r="NPS31" s="3" t="s">
        <v>382</v>
      </c>
      <c r="NPT31" s="3" t="s">
        <v>383</v>
      </c>
      <c r="NPU31" s="3" t="s">
        <v>382</v>
      </c>
      <c r="NPV31" s="3" t="s">
        <v>383</v>
      </c>
      <c r="NPW31" s="3" t="s">
        <v>382</v>
      </c>
      <c r="NPX31" s="3" t="s">
        <v>383</v>
      </c>
      <c r="NPY31" s="3" t="s">
        <v>382</v>
      </c>
      <c r="NPZ31" s="3" t="s">
        <v>383</v>
      </c>
      <c r="NQA31" s="3" t="s">
        <v>382</v>
      </c>
      <c r="NQB31" s="3" t="s">
        <v>383</v>
      </c>
      <c r="NQC31" s="3" t="s">
        <v>382</v>
      </c>
      <c r="NQD31" s="3" t="s">
        <v>383</v>
      </c>
      <c r="NQE31" s="3" t="s">
        <v>382</v>
      </c>
      <c r="NQF31" s="3" t="s">
        <v>383</v>
      </c>
      <c r="NQG31" s="3" t="s">
        <v>382</v>
      </c>
      <c r="NQH31" s="3" t="s">
        <v>383</v>
      </c>
      <c r="NQI31" s="3" t="s">
        <v>382</v>
      </c>
      <c r="NQJ31" s="3" t="s">
        <v>383</v>
      </c>
      <c r="NQK31" s="3" t="s">
        <v>382</v>
      </c>
      <c r="NQL31" s="3" t="s">
        <v>383</v>
      </c>
      <c r="NQM31" s="3" t="s">
        <v>382</v>
      </c>
      <c r="NQN31" s="3" t="s">
        <v>383</v>
      </c>
      <c r="NQO31" s="3" t="s">
        <v>382</v>
      </c>
      <c r="NQP31" s="3" t="s">
        <v>383</v>
      </c>
      <c r="NQQ31" s="3" t="s">
        <v>382</v>
      </c>
      <c r="NQR31" s="3" t="s">
        <v>383</v>
      </c>
      <c r="NQS31" s="3" t="s">
        <v>382</v>
      </c>
      <c r="NQT31" s="3" t="s">
        <v>383</v>
      </c>
      <c r="NQU31" s="3" t="s">
        <v>382</v>
      </c>
      <c r="NQV31" s="3" t="s">
        <v>383</v>
      </c>
      <c r="NQW31" s="3" t="s">
        <v>382</v>
      </c>
      <c r="NQX31" s="3" t="s">
        <v>383</v>
      </c>
      <c r="NQY31" s="3" t="s">
        <v>382</v>
      </c>
      <c r="NQZ31" s="3" t="s">
        <v>383</v>
      </c>
      <c r="NRA31" s="3" t="s">
        <v>382</v>
      </c>
      <c r="NRB31" s="3" t="s">
        <v>383</v>
      </c>
      <c r="NRC31" s="3" t="s">
        <v>382</v>
      </c>
      <c r="NRD31" s="3" t="s">
        <v>383</v>
      </c>
      <c r="NRE31" s="3" t="s">
        <v>382</v>
      </c>
      <c r="NRF31" s="3" t="s">
        <v>383</v>
      </c>
      <c r="NRG31" s="3" t="s">
        <v>382</v>
      </c>
      <c r="NRH31" s="3" t="s">
        <v>383</v>
      </c>
      <c r="NRI31" s="3" t="s">
        <v>382</v>
      </c>
      <c r="NRJ31" s="3" t="s">
        <v>383</v>
      </c>
      <c r="NRK31" s="3" t="s">
        <v>382</v>
      </c>
      <c r="NRL31" s="3" t="s">
        <v>383</v>
      </c>
      <c r="NRM31" s="3" t="s">
        <v>382</v>
      </c>
      <c r="NRN31" s="3" t="s">
        <v>383</v>
      </c>
      <c r="NRO31" s="3" t="s">
        <v>382</v>
      </c>
      <c r="NRP31" s="3" t="s">
        <v>383</v>
      </c>
      <c r="NRQ31" s="3" t="s">
        <v>382</v>
      </c>
      <c r="NRR31" s="3" t="s">
        <v>383</v>
      </c>
      <c r="NRS31" s="3" t="s">
        <v>382</v>
      </c>
      <c r="NRT31" s="3" t="s">
        <v>383</v>
      </c>
      <c r="NRU31" s="3" t="s">
        <v>382</v>
      </c>
      <c r="NRV31" s="3" t="s">
        <v>383</v>
      </c>
      <c r="NRW31" s="3" t="s">
        <v>382</v>
      </c>
      <c r="NRX31" s="3" t="s">
        <v>383</v>
      </c>
      <c r="NRY31" s="3" t="s">
        <v>382</v>
      </c>
      <c r="NRZ31" s="3" t="s">
        <v>383</v>
      </c>
      <c r="NSA31" s="3" t="s">
        <v>382</v>
      </c>
      <c r="NSB31" s="3" t="s">
        <v>383</v>
      </c>
      <c r="NSC31" s="3" t="s">
        <v>382</v>
      </c>
      <c r="NSD31" s="3" t="s">
        <v>383</v>
      </c>
      <c r="NSE31" s="3" t="s">
        <v>382</v>
      </c>
      <c r="NSF31" s="3" t="s">
        <v>383</v>
      </c>
      <c r="NSG31" s="3" t="s">
        <v>382</v>
      </c>
      <c r="NSH31" s="3" t="s">
        <v>383</v>
      </c>
      <c r="NSI31" s="3" t="s">
        <v>382</v>
      </c>
      <c r="NSJ31" s="3" t="s">
        <v>383</v>
      </c>
      <c r="NSK31" s="3" t="s">
        <v>382</v>
      </c>
      <c r="NSL31" s="3" t="s">
        <v>383</v>
      </c>
      <c r="NSM31" s="3" t="s">
        <v>382</v>
      </c>
      <c r="NSN31" s="3" t="s">
        <v>383</v>
      </c>
      <c r="NSO31" s="3" t="s">
        <v>382</v>
      </c>
      <c r="NSP31" s="3" t="s">
        <v>383</v>
      </c>
      <c r="NSQ31" s="3" t="s">
        <v>382</v>
      </c>
      <c r="NSR31" s="3" t="s">
        <v>383</v>
      </c>
      <c r="NSS31" s="3" t="s">
        <v>382</v>
      </c>
      <c r="NST31" s="3" t="s">
        <v>383</v>
      </c>
      <c r="NSU31" s="3" t="s">
        <v>382</v>
      </c>
      <c r="NSV31" s="3" t="s">
        <v>383</v>
      </c>
      <c r="NSW31" s="3" t="s">
        <v>382</v>
      </c>
      <c r="NSX31" s="3" t="s">
        <v>383</v>
      </c>
      <c r="NSY31" s="3" t="s">
        <v>382</v>
      </c>
      <c r="NSZ31" s="3" t="s">
        <v>383</v>
      </c>
      <c r="NTA31" s="3" t="s">
        <v>382</v>
      </c>
      <c r="NTB31" s="3" t="s">
        <v>383</v>
      </c>
      <c r="NTC31" s="3" t="s">
        <v>382</v>
      </c>
      <c r="NTD31" s="3" t="s">
        <v>383</v>
      </c>
      <c r="NTE31" s="3" t="s">
        <v>382</v>
      </c>
      <c r="NTF31" s="3" t="s">
        <v>383</v>
      </c>
      <c r="NTG31" s="3" t="s">
        <v>382</v>
      </c>
      <c r="NTH31" s="3" t="s">
        <v>383</v>
      </c>
      <c r="NTI31" s="3" t="s">
        <v>382</v>
      </c>
      <c r="NTJ31" s="3" t="s">
        <v>383</v>
      </c>
      <c r="NTK31" s="3" t="s">
        <v>382</v>
      </c>
      <c r="NTL31" s="3" t="s">
        <v>383</v>
      </c>
      <c r="NTM31" s="3" t="s">
        <v>382</v>
      </c>
      <c r="NTN31" s="3" t="s">
        <v>383</v>
      </c>
      <c r="NTO31" s="3" t="s">
        <v>382</v>
      </c>
      <c r="NTP31" s="3" t="s">
        <v>383</v>
      </c>
      <c r="NTQ31" s="3" t="s">
        <v>382</v>
      </c>
      <c r="NTR31" s="3" t="s">
        <v>383</v>
      </c>
      <c r="NTS31" s="3" t="s">
        <v>382</v>
      </c>
      <c r="NTT31" s="3" t="s">
        <v>383</v>
      </c>
      <c r="NTU31" s="3" t="s">
        <v>382</v>
      </c>
      <c r="NTV31" s="3" t="s">
        <v>383</v>
      </c>
      <c r="NTW31" s="3" t="s">
        <v>382</v>
      </c>
      <c r="NTX31" s="3" t="s">
        <v>383</v>
      </c>
      <c r="NTY31" s="3" t="s">
        <v>382</v>
      </c>
      <c r="NTZ31" s="3" t="s">
        <v>383</v>
      </c>
      <c r="NUA31" s="3" t="s">
        <v>382</v>
      </c>
      <c r="NUB31" s="3" t="s">
        <v>383</v>
      </c>
      <c r="NUC31" s="3" t="s">
        <v>382</v>
      </c>
      <c r="NUD31" s="3" t="s">
        <v>383</v>
      </c>
      <c r="NUE31" s="3" t="s">
        <v>382</v>
      </c>
      <c r="NUF31" s="3" t="s">
        <v>383</v>
      </c>
      <c r="NUG31" s="3" t="s">
        <v>382</v>
      </c>
      <c r="NUH31" s="3" t="s">
        <v>383</v>
      </c>
      <c r="NUI31" s="3" t="s">
        <v>382</v>
      </c>
      <c r="NUJ31" s="3" t="s">
        <v>383</v>
      </c>
      <c r="NUK31" s="3" t="s">
        <v>382</v>
      </c>
      <c r="NUL31" s="3" t="s">
        <v>383</v>
      </c>
      <c r="NUM31" s="3" t="s">
        <v>382</v>
      </c>
      <c r="NUN31" s="3" t="s">
        <v>383</v>
      </c>
      <c r="NUO31" s="3" t="s">
        <v>382</v>
      </c>
      <c r="NUP31" s="3" t="s">
        <v>383</v>
      </c>
      <c r="NUQ31" s="3" t="s">
        <v>382</v>
      </c>
      <c r="NUR31" s="3" t="s">
        <v>383</v>
      </c>
      <c r="NUS31" s="3" t="s">
        <v>382</v>
      </c>
      <c r="NUT31" s="3" t="s">
        <v>383</v>
      </c>
      <c r="NUU31" s="3" t="s">
        <v>382</v>
      </c>
      <c r="NUV31" s="3" t="s">
        <v>383</v>
      </c>
      <c r="NUW31" s="3" t="s">
        <v>382</v>
      </c>
      <c r="NUX31" s="3" t="s">
        <v>383</v>
      </c>
      <c r="NUY31" s="3" t="s">
        <v>382</v>
      </c>
      <c r="NUZ31" s="3" t="s">
        <v>383</v>
      </c>
      <c r="NVA31" s="3" t="s">
        <v>382</v>
      </c>
      <c r="NVB31" s="3" t="s">
        <v>383</v>
      </c>
      <c r="NVC31" s="3" t="s">
        <v>382</v>
      </c>
      <c r="NVD31" s="3" t="s">
        <v>383</v>
      </c>
      <c r="NVE31" s="3" t="s">
        <v>382</v>
      </c>
      <c r="NVF31" s="3" t="s">
        <v>383</v>
      </c>
      <c r="NVG31" s="3" t="s">
        <v>382</v>
      </c>
      <c r="NVH31" s="3" t="s">
        <v>383</v>
      </c>
      <c r="NVI31" s="3" t="s">
        <v>382</v>
      </c>
      <c r="NVJ31" s="3" t="s">
        <v>383</v>
      </c>
      <c r="NVK31" s="3" t="s">
        <v>382</v>
      </c>
      <c r="NVL31" s="3" t="s">
        <v>383</v>
      </c>
      <c r="NVM31" s="3" t="s">
        <v>382</v>
      </c>
      <c r="NVN31" s="3" t="s">
        <v>383</v>
      </c>
      <c r="NVO31" s="3" t="s">
        <v>382</v>
      </c>
      <c r="NVP31" s="3" t="s">
        <v>383</v>
      </c>
      <c r="NVQ31" s="3" t="s">
        <v>382</v>
      </c>
      <c r="NVR31" s="3" t="s">
        <v>383</v>
      </c>
      <c r="NVS31" s="3" t="s">
        <v>382</v>
      </c>
      <c r="NVT31" s="3" t="s">
        <v>383</v>
      </c>
      <c r="NVU31" s="3" t="s">
        <v>382</v>
      </c>
      <c r="NVV31" s="3" t="s">
        <v>383</v>
      </c>
      <c r="NVW31" s="3" t="s">
        <v>382</v>
      </c>
      <c r="NVX31" s="3" t="s">
        <v>383</v>
      </c>
      <c r="NVY31" s="3" t="s">
        <v>382</v>
      </c>
      <c r="NVZ31" s="3" t="s">
        <v>383</v>
      </c>
      <c r="NWA31" s="3" t="s">
        <v>382</v>
      </c>
      <c r="NWB31" s="3" t="s">
        <v>383</v>
      </c>
      <c r="NWC31" s="3" t="s">
        <v>382</v>
      </c>
      <c r="NWD31" s="3" t="s">
        <v>383</v>
      </c>
      <c r="NWE31" s="3" t="s">
        <v>382</v>
      </c>
      <c r="NWF31" s="3" t="s">
        <v>383</v>
      </c>
      <c r="NWG31" s="3" t="s">
        <v>382</v>
      </c>
      <c r="NWH31" s="3" t="s">
        <v>383</v>
      </c>
      <c r="NWI31" s="3" t="s">
        <v>382</v>
      </c>
      <c r="NWJ31" s="3" t="s">
        <v>383</v>
      </c>
      <c r="NWK31" s="3" t="s">
        <v>382</v>
      </c>
      <c r="NWL31" s="3" t="s">
        <v>383</v>
      </c>
      <c r="NWM31" s="3" t="s">
        <v>382</v>
      </c>
      <c r="NWN31" s="3" t="s">
        <v>383</v>
      </c>
      <c r="NWO31" s="3" t="s">
        <v>382</v>
      </c>
      <c r="NWP31" s="3" t="s">
        <v>383</v>
      </c>
      <c r="NWQ31" s="3" t="s">
        <v>382</v>
      </c>
      <c r="NWR31" s="3" t="s">
        <v>383</v>
      </c>
      <c r="NWS31" s="3" t="s">
        <v>382</v>
      </c>
      <c r="NWT31" s="3" t="s">
        <v>383</v>
      </c>
      <c r="NWU31" s="3" t="s">
        <v>382</v>
      </c>
      <c r="NWV31" s="3" t="s">
        <v>383</v>
      </c>
      <c r="NWW31" s="3" t="s">
        <v>382</v>
      </c>
      <c r="NWX31" s="3" t="s">
        <v>383</v>
      </c>
      <c r="NWY31" s="3" t="s">
        <v>382</v>
      </c>
      <c r="NWZ31" s="3" t="s">
        <v>383</v>
      </c>
      <c r="NXA31" s="3" t="s">
        <v>382</v>
      </c>
      <c r="NXB31" s="3" t="s">
        <v>383</v>
      </c>
      <c r="NXC31" s="3" t="s">
        <v>382</v>
      </c>
      <c r="NXD31" s="3" t="s">
        <v>383</v>
      </c>
      <c r="NXE31" s="3" t="s">
        <v>382</v>
      </c>
      <c r="NXF31" s="3" t="s">
        <v>383</v>
      </c>
      <c r="NXG31" s="3" t="s">
        <v>382</v>
      </c>
      <c r="NXH31" s="3" t="s">
        <v>383</v>
      </c>
      <c r="NXI31" s="3" t="s">
        <v>382</v>
      </c>
      <c r="NXJ31" s="3" t="s">
        <v>383</v>
      </c>
      <c r="NXK31" s="3" t="s">
        <v>382</v>
      </c>
      <c r="NXL31" s="3" t="s">
        <v>383</v>
      </c>
      <c r="NXM31" s="3" t="s">
        <v>382</v>
      </c>
      <c r="NXN31" s="3" t="s">
        <v>383</v>
      </c>
      <c r="NXO31" s="3" t="s">
        <v>382</v>
      </c>
      <c r="NXP31" s="3" t="s">
        <v>383</v>
      </c>
      <c r="NXQ31" s="3" t="s">
        <v>382</v>
      </c>
      <c r="NXR31" s="3" t="s">
        <v>383</v>
      </c>
      <c r="NXS31" s="3" t="s">
        <v>382</v>
      </c>
      <c r="NXT31" s="3" t="s">
        <v>383</v>
      </c>
      <c r="NXU31" s="3" t="s">
        <v>382</v>
      </c>
      <c r="NXV31" s="3" t="s">
        <v>383</v>
      </c>
      <c r="NXW31" s="3" t="s">
        <v>382</v>
      </c>
      <c r="NXX31" s="3" t="s">
        <v>383</v>
      </c>
      <c r="NXY31" s="3" t="s">
        <v>382</v>
      </c>
      <c r="NXZ31" s="3" t="s">
        <v>383</v>
      </c>
      <c r="NYA31" s="3" t="s">
        <v>382</v>
      </c>
      <c r="NYB31" s="3" t="s">
        <v>383</v>
      </c>
      <c r="NYC31" s="3" t="s">
        <v>382</v>
      </c>
      <c r="NYD31" s="3" t="s">
        <v>383</v>
      </c>
      <c r="NYE31" s="3" t="s">
        <v>382</v>
      </c>
      <c r="NYF31" s="3" t="s">
        <v>383</v>
      </c>
      <c r="NYG31" s="3" t="s">
        <v>382</v>
      </c>
      <c r="NYH31" s="3" t="s">
        <v>383</v>
      </c>
      <c r="NYI31" s="3" t="s">
        <v>382</v>
      </c>
      <c r="NYJ31" s="3" t="s">
        <v>383</v>
      </c>
      <c r="NYK31" s="3" t="s">
        <v>382</v>
      </c>
      <c r="NYL31" s="3" t="s">
        <v>383</v>
      </c>
      <c r="NYM31" s="3" t="s">
        <v>382</v>
      </c>
      <c r="NYN31" s="3" t="s">
        <v>383</v>
      </c>
      <c r="NYO31" s="3" t="s">
        <v>382</v>
      </c>
      <c r="NYP31" s="3" t="s">
        <v>383</v>
      </c>
      <c r="NYQ31" s="3" t="s">
        <v>382</v>
      </c>
      <c r="NYR31" s="3" t="s">
        <v>383</v>
      </c>
      <c r="NYS31" s="3" t="s">
        <v>382</v>
      </c>
      <c r="NYT31" s="3" t="s">
        <v>383</v>
      </c>
      <c r="NYU31" s="3" t="s">
        <v>382</v>
      </c>
      <c r="NYV31" s="3" t="s">
        <v>383</v>
      </c>
      <c r="NYW31" s="3" t="s">
        <v>382</v>
      </c>
      <c r="NYX31" s="3" t="s">
        <v>383</v>
      </c>
      <c r="NYY31" s="3" t="s">
        <v>382</v>
      </c>
      <c r="NYZ31" s="3" t="s">
        <v>383</v>
      </c>
      <c r="NZA31" s="3" t="s">
        <v>382</v>
      </c>
      <c r="NZB31" s="3" t="s">
        <v>383</v>
      </c>
      <c r="NZC31" s="3" t="s">
        <v>382</v>
      </c>
      <c r="NZD31" s="3" t="s">
        <v>383</v>
      </c>
      <c r="NZE31" s="3" t="s">
        <v>382</v>
      </c>
      <c r="NZF31" s="3" t="s">
        <v>383</v>
      </c>
      <c r="NZG31" s="3" t="s">
        <v>382</v>
      </c>
      <c r="NZH31" s="3" t="s">
        <v>383</v>
      </c>
      <c r="NZI31" s="3" t="s">
        <v>382</v>
      </c>
      <c r="NZJ31" s="3" t="s">
        <v>383</v>
      </c>
      <c r="NZK31" s="3" t="s">
        <v>382</v>
      </c>
      <c r="NZL31" s="3" t="s">
        <v>383</v>
      </c>
      <c r="NZM31" s="3" t="s">
        <v>382</v>
      </c>
      <c r="NZN31" s="3" t="s">
        <v>383</v>
      </c>
      <c r="NZO31" s="3" t="s">
        <v>382</v>
      </c>
      <c r="NZP31" s="3" t="s">
        <v>383</v>
      </c>
      <c r="NZQ31" s="3" t="s">
        <v>382</v>
      </c>
      <c r="NZR31" s="3" t="s">
        <v>383</v>
      </c>
      <c r="NZS31" s="3" t="s">
        <v>382</v>
      </c>
      <c r="NZT31" s="3" t="s">
        <v>383</v>
      </c>
      <c r="NZU31" s="3" t="s">
        <v>382</v>
      </c>
      <c r="NZV31" s="3" t="s">
        <v>383</v>
      </c>
      <c r="NZW31" s="3" t="s">
        <v>382</v>
      </c>
      <c r="NZX31" s="3" t="s">
        <v>383</v>
      </c>
      <c r="NZY31" s="3" t="s">
        <v>382</v>
      </c>
      <c r="NZZ31" s="3" t="s">
        <v>383</v>
      </c>
      <c r="OAA31" s="3" t="s">
        <v>382</v>
      </c>
      <c r="OAB31" s="3" t="s">
        <v>383</v>
      </c>
      <c r="OAC31" s="3" t="s">
        <v>382</v>
      </c>
      <c r="OAD31" s="3" t="s">
        <v>383</v>
      </c>
      <c r="OAE31" s="3" t="s">
        <v>382</v>
      </c>
      <c r="OAF31" s="3" t="s">
        <v>383</v>
      </c>
      <c r="OAG31" s="3" t="s">
        <v>382</v>
      </c>
      <c r="OAH31" s="3" t="s">
        <v>383</v>
      </c>
      <c r="OAI31" s="3" t="s">
        <v>382</v>
      </c>
      <c r="OAJ31" s="3" t="s">
        <v>383</v>
      </c>
      <c r="OAK31" s="3" t="s">
        <v>382</v>
      </c>
      <c r="OAL31" s="3" t="s">
        <v>383</v>
      </c>
      <c r="OAM31" s="3" t="s">
        <v>382</v>
      </c>
      <c r="OAN31" s="3" t="s">
        <v>383</v>
      </c>
      <c r="OAO31" s="3" t="s">
        <v>382</v>
      </c>
      <c r="OAP31" s="3" t="s">
        <v>383</v>
      </c>
      <c r="OAQ31" s="3" t="s">
        <v>382</v>
      </c>
      <c r="OAR31" s="3" t="s">
        <v>383</v>
      </c>
      <c r="OAS31" s="3" t="s">
        <v>382</v>
      </c>
      <c r="OAT31" s="3" t="s">
        <v>383</v>
      </c>
      <c r="OAU31" s="3" t="s">
        <v>382</v>
      </c>
      <c r="OAV31" s="3" t="s">
        <v>383</v>
      </c>
      <c r="OAW31" s="3" t="s">
        <v>382</v>
      </c>
      <c r="OAX31" s="3" t="s">
        <v>383</v>
      </c>
      <c r="OAY31" s="3" t="s">
        <v>382</v>
      </c>
      <c r="OAZ31" s="3" t="s">
        <v>383</v>
      </c>
      <c r="OBA31" s="3" t="s">
        <v>382</v>
      </c>
      <c r="OBB31" s="3" t="s">
        <v>383</v>
      </c>
      <c r="OBC31" s="3" t="s">
        <v>382</v>
      </c>
      <c r="OBD31" s="3" t="s">
        <v>383</v>
      </c>
      <c r="OBE31" s="3" t="s">
        <v>382</v>
      </c>
      <c r="OBF31" s="3" t="s">
        <v>383</v>
      </c>
      <c r="OBG31" s="3" t="s">
        <v>382</v>
      </c>
      <c r="OBH31" s="3" t="s">
        <v>383</v>
      </c>
      <c r="OBI31" s="3" t="s">
        <v>382</v>
      </c>
      <c r="OBJ31" s="3" t="s">
        <v>383</v>
      </c>
      <c r="OBK31" s="3" t="s">
        <v>382</v>
      </c>
      <c r="OBL31" s="3" t="s">
        <v>383</v>
      </c>
      <c r="OBM31" s="3" t="s">
        <v>382</v>
      </c>
      <c r="OBN31" s="3" t="s">
        <v>383</v>
      </c>
      <c r="OBO31" s="3" t="s">
        <v>382</v>
      </c>
      <c r="OBP31" s="3" t="s">
        <v>383</v>
      </c>
      <c r="OBQ31" s="3" t="s">
        <v>382</v>
      </c>
      <c r="OBR31" s="3" t="s">
        <v>383</v>
      </c>
      <c r="OBS31" s="3" t="s">
        <v>382</v>
      </c>
      <c r="OBT31" s="3" t="s">
        <v>383</v>
      </c>
      <c r="OBU31" s="3" t="s">
        <v>382</v>
      </c>
      <c r="OBV31" s="3" t="s">
        <v>383</v>
      </c>
      <c r="OBW31" s="3" t="s">
        <v>382</v>
      </c>
      <c r="OBX31" s="3" t="s">
        <v>383</v>
      </c>
      <c r="OBY31" s="3" t="s">
        <v>382</v>
      </c>
      <c r="OBZ31" s="3" t="s">
        <v>383</v>
      </c>
      <c r="OCA31" s="3" t="s">
        <v>382</v>
      </c>
      <c r="OCB31" s="3" t="s">
        <v>383</v>
      </c>
      <c r="OCC31" s="3" t="s">
        <v>382</v>
      </c>
      <c r="OCD31" s="3" t="s">
        <v>383</v>
      </c>
      <c r="OCE31" s="3" t="s">
        <v>382</v>
      </c>
      <c r="OCF31" s="3" t="s">
        <v>383</v>
      </c>
      <c r="OCG31" s="3" t="s">
        <v>382</v>
      </c>
      <c r="OCH31" s="3" t="s">
        <v>383</v>
      </c>
      <c r="OCI31" s="3" t="s">
        <v>382</v>
      </c>
      <c r="OCJ31" s="3" t="s">
        <v>383</v>
      </c>
      <c r="OCK31" s="3" t="s">
        <v>382</v>
      </c>
      <c r="OCL31" s="3" t="s">
        <v>383</v>
      </c>
      <c r="OCM31" s="3" t="s">
        <v>382</v>
      </c>
      <c r="OCN31" s="3" t="s">
        <v>383</v>
      </c>
      <c r="OCO31" s="3" t="s">
        <v>382</v>
      </c>
      <c r="OCP31" s="3" t="s">
        <v>383</v>
      </c>
      <c r="OCQ31" s="3" t="s">
        <v>382</v>
      </c>
      <c r="OCR31" s="3" t="s">
        <v>383</v>
      </c>
      <c r="OCS31" s="3" t="s">
        <v>382</v>
      </c>
      <c r="OCT31" s="3" t="s">
        <v>383</v>
      </c>
      <c r="OCU31" s="3" t="s">
        <v>382</v>
      </c>
      <c r="OCV31" s="3" t="s">
        <v>383</v>
      </c>
      <c r="OCW31" s="3" t="s">
        <v>382</v>
      </c>
      <c r="OCX31" s="3" t="s">
        <v>383</v>
      </c>
      <c r="OCY31" s="3" t="s">
        <v>382</v>
      </c>
      <c r="OCZ31" s="3" t="s">
        <v>383</v>
      </c>
      <c r="ODA31" s="3" t="s">
        <v>382</v>
      </c>
      <c r="ODB31" s="3" t="s">
        <v>383</v>
      </c>
      <c r="ODC31" s="3" t="s">
        <v>382</v>
      </c>
      <c r="ODD31" s="3" t="s">
        <v>383</v>
      </c>
      <c r="ODE31" s="3" t="s">
        <v>382</v>
      </c>
      <c r="ODF31" s="3" t="s">
        <v>383</v>
      </c>
      <c r="ODG31" s="3" t="s">
        <v>382</v>
      </c>
      <c r="ODH31" s="3" t="s">
        <v>383</v>
      </c>
      <c r="ODI31" s="3" t="s">
        <v>382</v>
      </c>
      <c r="ODJ31" s="3" t="s">
        <v>383</v>
      </c>
      <c r="ODK31" s="3" t="s">
        <v>382</v>
      </c>
      <c r="ODL31" s="3" t="s">
        <v>383</v>
      </c>
      <c r="ODM31" s="3" t="s">
        <v>382</v>
      </c>
      <c r="ODN31" s="3" t="s">
        <v>383</v>
      </c>
      <c r="ODO31" s="3" t="s">
        <v>382</v>
      </c>
      <c r="ODP31" s="3" t="s">
        <v>383</v>
      </c>
      <c r="ODQ31" s="3" t="s">
        <v>382</v>
      </c>
      <c r="ODR31" s="3" t="s">
        <v>383</v>
      </c>
      <c r="ODS31" s="3" t="s">
        <v>382</v>
      </c>
      <c r="ODT31" s="3" t="s">
        <v>383</v>
      </c>
      <c r="ODU31" s="3" t="s">
        <v>382</v>
      </c>
      <c r="ODV31" s="3" t="s">
        <v>383</v>
      </c>
      <c r="ODW31" s="3" t="s">
        <v>382</v>
      </c>
      <c r="ODX31" s="3" t="s">
        <v>383</v>
      </c>
      <c r="ODY31" s="3" t="s">
        <v>382</v>
      </c>
      <c r="ODZ31" s="3" t="s">
        <v>383</v>
      </c>
      <c r="OEA31" s="3" t="s">
        <v>382</v>
      </c>
      <c r="OEB31" s="3" t="s">
        <v>383</v>
      </c>
      <c r="OEC31" s="3" t="s">
        <v>382</v>
      </c>
      <c r="OED31" s="3" t="s">
        <v>383</v>
      </c>
      <c r="OEE31" s="3" t="s">
        <v>382</v>
      </c>
      <c r="OEF31" s="3" t="s">
        <v>383</v>
      </c>
      <c r="OEG31" s="3" t="s">
        <v>382</v>
      </c>
      <c r="OEH31" s="3" t="s">
        <v>383</v>
      </c>
      <c r="OEI31" s="3" t="s">
        <v>382</v>
      </c>
      <c r="OEJ31" s="3" t="s">
        <v>383</v>
      </c>
      <c r="OEK31" s="3" t="s">
        <v>382</v>
      </c>
      <c r="OEL31" s="3" t="s">
        <v>383</v>
      </c>
      <c r="OEM31" s="3" t="s">
        <v>382</v>
      </c>
      <c r="OEN31" s="3" t="s">
        <v>383</v>
      </c>
      <c r="OEO31" s="3" t="s">
        <v>382</v>
      </c>
      <c r="OEP31" s="3" t="s">
        <v>383</v>
      </c>
      <c r="OEQ31" s="3" t="s">
        <v>382</v>
      </c>
      <c r="OER31" s="3" t="s">
        <v>383</v>
      </c>
      <c r="OES31" s="3" t="s">
        <v>382</v>
      </c>
      <c r="OET31" s="3" t="s">
        <v>383</v>
      </c>
      <c r="OEU31" s="3" t="s">
        <v>382</v>
      </c>
      <c r="OEV31" s="3" t="s">
        <v>383</v>
      </c>
      <c r="OEW31" s="3" t="s">
        <v>382</v>
      </c>
      <c r="OEX31" s="3" t="s">
        <v>383</v>
      </c>
      <c r="OEY31" s="3" t="s">
        <v>382</v>
      </c>
      <c r="OEZ31" s="3" t="s">
        <v>383</v>
      </c>
      <c r="OFA31" s="3" t="s">
        <v>382</v>
      </c>
      <c r="OFB31" s="3" t="s">
        <v>383</v>
      </c>
      <c r="OFC31" s="3" t="s">
        <v>382</v>
      </c>
      <c r="OFD31" s="3" t="s">
        <v>383</v>
      </c>
      <c r="OFE31" s="3" t="s">
        <v>382</v>
      </c>
      <c r="OFF31" s="3" t="s">
        <v>383</v>
      </c>
      <c r="OFG31" s="3" t="s">
        <v>382</v>
      </c>
      <c r="OFH31" s="3" t="s">
        <v>383</v>
      </c>
      <c r="OFI31" s="3" t="s">
        <v>382</v>
      </c>
      <c r="OFJ31" s="3" t="s">
        <v>383</v>
      </c>
      <c r="OFK31" s="3" t="s">
        <v>382</v>
      </c>
      <c r="OFL31" s="3" t="s">
        <v>383</v>
      </c>
      <c r="OFM31" s="3" t="s">
        <v>382</v>
      </c>
      <c r="OFN31" s="3" t="s">
        <v>383</v>
      </c>
      <c r="OFO31" s="3" t="s">
        <v>382</v>
      </c>
      <c r="OFP31" s="3" t="s">
        <v>383</v>
      </c>
      <c r="OFQ31" s="3" t="s">
        <v>382</v>
      </c>
      <c r="OFR31" s="3" t="s">
        <v>383</v>
      </c>
      <c r="OFS31" s="3" t="s">
        <v>382</v>
      </c>
      <c r="OFT31" s="3" t="s">
        <v>383</v>
      </c>
      <c r="OFU31" s="3" t="s">
        <v>382</v>
      </c>
      <c r="OFV31" s="3" t="s">
        <v>383</v>
      </c>
      <c r="OFW31" s="3" t="s">
        <v>382</v>
      </c>
      <c r="OFX31" s="3" t="s">
        <v>383</v>
      </c>
      <c r="OFY31" s="3" t="s">
        <v>382</v>
      </c>
      <c r="OFZ31" s="3" t="s">
        <v>383</v>
      </c>
      <c r="OGA31" s="3" t="s">
        <v>382</v>
      </c>
      <c r="OGB31" s="3" t="s">
        <v>383</v>
      </c>
      <c r="OGC31" s="3" t="s">
        <v>382</v>
      </c>
      <c r="OGD31" s="3" t="s">
        <v>383</v>
      </c>
      <c r="OGE31" s="3" t="s">
        <v>382</v>
      </c>
      <c r="OGF31" s="3" t="s">
        <v>383</v>
      </c>
      <c r="OGG31" s="3" t="s">
        <v>382</v>
      </c>
      <c r="OGH31" s="3" t="s">
        <v>383</v>
      </c>
      <c r="OGI31" s="3" t="s">
        <v>382</v>
      </c>
      <c r="OGJ31" s="3" t="s">
        <v>383</v>
      </c>
      <c r="OGK31" s="3" t="s">
        <v>382</v>
      </c>
      <c r="OGL31" s="3" t="s">
        <v>383</v>
      </c>
      <c r="OGM31" s="3" t="s">
        <v>382</v>
      </c>
      <c r="OGN31" s="3" t="s">
        <v>383</v>
      </c>
      <c r="OGO31" s="3" t="s">
        <v>382</v>
      </c>
      <c r="OGP31" s="3" t="s">
        <v>383</v>
      </c>
      <c r="OGQ31" s="3" t="s">
        <v>382</v>
      </c>
      <c r="OGR31" s="3" t="s">
        <v>383</v>
      </c>
      <c r="OGS31" s="3" t="s">
        <v>382</v>
      </c>
      <c r="OGT31" s="3" t="s">
        <v>383</v>
      </c>
      <c r="OGU31" s="3" t="s">
        <v>382</v>
      </c>
      <c r="OGV31" s="3" t="s">
        <v>383</v>
      </c>
      <c r="OGW31" s="3" t="s">
        <v>382</v>
      </c>
      <c r="OGX31" s="3" t="s">
        <v>383</v>
      </c>
      <c r="OGY31" s="3" t="s">
        <v>382</v>
      </c>
      <c r="OGZ31" s="3" t="s">
        <v>383</v>
      </c>
      <c r="OHA31" s="3" t="s">
        <v>382</v>
      </c>
      <c r="OHB31" s="3" t="s">
        <v>383</v>
      </c>
      <c r="OHC31" s="3" t="s">
        <v>382</v>
      </c>
      <c r="OHD31" s="3" t="s">
        <v>383</v>
      </c>
      <c r="OHE31" s="3" t="s">
        <v>382</v>
      </c>
      <c r="OHF31" s="3" t="s">
        <v>383</v>
      </c>
      <c r="OHG31" s="3" t="s">
        <v>382</v>
      </c>
      <c r="OHH31" s="3" t="s">
        <v>383</v>
      </c>
      <c r="OHI31" s="3" t="s">
        <v>382</v>
      </c>
      <c r="OHJ31" s="3" t="s">
        <v>383</v>
      </c>
      <c r="OHK31" s="3" t="s">
        <v>382</v>
      </c>
      <c r="OHL31" s="3" t="s">
        <v>383</v>
      </c>
      <c r="OHM31" s="3" t="s">
        <v>382</v>
      </c>
      <c r="OHN31" s="3" t="s">
        <v>383</v>
      </c>
      <c r="OHO31" s="3" t="s">
        <v>382</v>
      </c>
      <c r="OHP31" s="3" t="s">
        <v>383</v>
      </c>
      <c r="OHQ31" s="3" t="s">
        <v>382</v>
      </c>
      <c r="OHR31" s="3" t="s">
        <v>383</v>
      </c>
      <c r="OHS31" s="3" t="s">
        <v>382</v>
      </c>
      <c r="OHT31" s="3" t="s">
        <v>383</v>
      </c>
      <c r="OHU31" s="3" t="s">
        <v>382</v>
      </c>
      <c r="OHV31" s="3" t="s">
        <v>383</v>
      </c>
      <c r="OHW31" s="3" t="s">
        <v>382</v>
      </c>
      <c r="OHX31" s="3" t="s">
        <v>383</v>
      </c>
      <c r="OHY31" s="3" t="s">
        <v>382</v>
      </c>
      <c r="OHZ31" s="3" t="s">
        <v>383</v>
      </c>
      <c r="OIA31" s="3" t="s">
        <v>382</v>
      </c>
      <c r="OIB31" s="3" t="s">
        <v>383</v>
      </c>
      <c r="OIC31" s="3" t="s">
        <v>382</v>
      </c>
      <c r="OID31" s="3" t="s">
        <v>383</v>
      </c>
      <c r="OIE31" s="3" t="s">
        <v>382</v>
      </c>
      <c r="OIF31" s="3" t="s">
        <v>383</v>
      </c>
      <c r="OIG31" s="3" t="s">
        <v>382</v>
      </c>
      <c r="OIH31" s="3" t="s">
        <v>383</v>
      </c>
      <c r="OII31" s="3" t="s">
        <v>382</v>
      </c>
      <c r="OIJ31" s="3" t="s">
        <v>383</v>
      </c>
      <c r="OIK31" s="3" t="s">
        <v>382</v>
      </c>
      <c r="OIL31" s="3" t="s">
        <v>383</v>
      </c>
      <c r="OIM31" s="3" t="s">
        <v>382</v>
      </c>
      <c r="OIN31" s="3" t="s">
        <v>383</v>
      </c>
      <c r="OIO31" s="3" t="s">
        <v>382</v>
      </c>
      <c r="OIP31" s="3" t="s">
        <v>383</v>
      </c>
      <c r="OIQ31" s="3" t="s">
        <v>382</v>
      </c>
      <c r="OIR31" s="3" t="s">
        <v>383</v>
      </c>
      <c r="OIS31" s="3" t="s">
        <v>382</v>
      </c>
      <c r="OIT31" s="3" t="s">
        <v>383</v>
      </c>
      <c r="OIU31" s="3" t="s">
        <v>382</v>
      </c>
      <c r="OIV31" s="3" t="s">
        <v>383</v>
      </c>
      <c r="OIW31" s="3" t="s">
        <v>382</v>
      </c>
      <c r="OIX31" s="3" t="s">
        <v>383</v>
      </c>
      <c r="OIY31" s="3" t="s">
        <v>382</v>
      </c>
      <c r="OIZ31" s="3" t="s">
        <v>383</v>
      </c>
      <c r="OJA31" s="3" t="s">
        <v>382</v>
      </c>
      <c r="OJB31" s="3" t="s">
        <v>383</v>
      </c>
      <c r="OJC31" s="3" t="s">
        <v>382</v>
      </c>
      <c r="OJD31" s="3" t="s">
        <v>383</v>
      </c>
      <c r="OJE31" s="3" t="s">
        <v>382</v>
      </c>
      <c r="OJF31" s="3" t="s">
        <v>383</v>
      </c>
      <c r="OJG31" s="3" t="s">
        <v>382</v>
      </c>
      <c r="OJH31" s="3" t="s">
        <v>383</v>
      </c>
      <c r="OJI31" s="3" t="s">
        <v>382</v>
      </c>
      <c r="OJJ31" s="3" t="s">
        <v>383</v>
      </c>
      <c r="OJK31" s="3" t="s">
        <v>382</v>
      </c>
      <c r="OJL31" s="3" t="s">
        <v>383</v>
      </c>
      <c r="OJM31" s="3" t="s">
        <v>382</v>
      </c>
      <c r="OJN31" s="3" t="s">
        <v>383</v>
      </c>
      <c r="OJO31" s="3" t="s">
        <v>382</v>
      </c>
      <c r="OJP31" s="3" t="s">
        <v>383</v>
      </c>
      <c r="OJQ31" s="3" t="s">
        <v>382</v>
      </c>
      <c r="OJR31" s="3" t="s">
        <v>383</v>
      </c>
      <c r="OJS31" s="3" t="s">
        <v>382</v>
      </c>
      <c r="OJT31" s="3" t="s">
        <v>383</v>
      </c>
      <c r="OJU31" s="3" t="s">
        <v>382</v>
      </c>
      <c r="OJV31" s="3" t="s">
        <v>383</v>
      </c>
      <c r="OJW31" s="3" t="s">
        <v>382</v>
      </c>
      <c r="OJX31" s="3" t="s">
        <v>383</v>
      </c>
      <c r="OJY31" s="3" t="s">
        <v>382</v>
      </c>
      <c r="OJZ31" s="3" t="s">
        <v>383</v>
      </c>
      <c r="OKA31" s="3" t="s">
        <v>382</v>
      </c>
      <c r="OKB31" s="3" t="s">
        <v>383</v>
      </c>
      <c r="OKC31" s="3" t="s">
        <v>382</v>
      </c>
      <c r="OKD31" s="3" t="s">
        <v>383</v>
      </c>
      <c r="OKE31" s="3" t="s">
        <v>382</v>
      </c>
      <c r="OKF31" s="3" t="s">
        <v>383</v>
      </c>
      <c r="OKG31" s="3" t="s">
        <v>382</v>
      </c>
      <c r="OKH31" s="3" t="s">
        <v>383</v>
      </c>
      <c r="OKI31" s="3" t="s">
        <v>382</v>
      </c>
      <c r="OKJ31" s="3" t="s">
        <v>383</v>
      </c>
      <c r="OKK31" s="3" t="s">
        <v>382</v>
      </c>
      <c r="OKL31" s="3" t="s">
        <v>383</v>
      </c>
      <c r="OKM31" s="3" t="s">
        <v>382</v>
      </c>
      <c r="OKN31" s="3" t="s">
        <v>383</v>
      </c>
      <c r="OKO31" s="3" t="s">
        <v>382</v>
      </c>
      <c r="OKP31" s="3" t="s">
        <v>383</v>
      </c>
      <c r="OKQ31" s="3" t="s">
        <v>382</v>
      </c>
      <c r="OKR31" s="3" t="s">
        <v>383</v>
      </c>
      <c r="OKS31" s="3" t="s">
        <v>382</v>
      </c>
      <c r="OKT31" s="3" t="s">
        <v>383</v>
      </c>
      <c r="OKU31" s="3" t="s">
        <v>382</v>
      </c>
      <c r="OKV31" s="3" t="s">
        <v>383</v>
      </c>
      <c r="OKW31" s="3" t="s">
        <v>382</v>
      </c>
      <c r="OKX31" s="3" t="s">
        <v>383</v>
      </c>
      <c r="OKY31" s="3" t="s">
        <v>382</v>
      </c>
      <c r="OKZ31" s="3" t="s">
        <v>383</v>
      </c>
      <c r="OLA31" s="3" t="s">
        <v>382</v>
      </c>
      <c r="OLB31" s="3" t="s">
        <v>383</v>
      </c>
      <c r="OLC31" s="3" t="s">
        <v>382</v>
      </c>
      <c r="OLD31" s="3" t="s">
        <v>383</v>
      </c>
      <c r="OLE31" s="3" t="s">
        <v>382</v>
      </c>
      <c r="OLF31" s="3" t="s">
        <v>383</v>
      </c>
      <c r="OLG31" s="3" t="s">
        <v>382</v>
      </c>
      <c r="OLH31" s="3" t="s">
        <v>383</v>
      </c>
      <c r="OLI31" s="3" t="s">
        <v>382</v>
      </c>
      <c r="OLJ31" s="3" t="s">
        <v>383</v>
      </c>
      <c r="OLK31" s="3" t="s">
        <v>382</v>
      </c>
      <c r="OLL31" s="3" t="s">
        <v>383</v>
      </c>
      <c r="OLM31" s="3" t="s">
        <v>382</v>
      </c>
      <c r="OLN31" s="3" t="s">
        <v>383</v>
      </c>
      <c r="OLO31" s="3" t="s">
        <v>382</v>
      </c>
      <c r="OLP31" s="3" t="s">
        <v>383</v>
      </c>
      <c r="OLQ31" s="3" t="s">
        <v>382</v>
      </c>
      <c r="OLR31" s="3" t="s">
        <v>383</v>
      </c>
      <c r="OLS31" s="3" t="s">
        <v>382</v>
      </c>
      <c r="OLT31" s="3" t="s">
        <v>383</v>
      </c>
      <c r="OLU31" s="3" t="s">
        <v>382</v>
      </c>
      <c r="OLV31" s="3" t="s">
        <v>383</v>
      </c>
      <c r="OLW31" s="3" t="s">
        <v>382</v>
      </c>
      <c r="OLX31" s="3" t="s">
        <v>383</v>
      </c>
      <c r="OLY31" s="3" t="s">
        <v>382</v>
      </c>
      <c r="OLZ31" s="3" t="s">
        <v>383</v>
      </c>
      <c r="OMA31" s="3" t="s">
        <v>382</v>
      </c>
      <c r="OMB31" s="3" t="s">
        <v>383</v>
      </c>
      <c r="OMC31" s="3" t="s">
        <v>382</v>
      </c>
      <c r="OMD31" s="3" t="s">
        <v>383</v>
      </c>
      <c r="OME31" s="3" t="s">
        <v>382</v>
      </c>
      <c r="OMF31" s="3" t="s">
        <v>383</v>
      </c>
      <c r="OMG31" s="3" t="s">
        <v>382</v>
      </c>
      <c r="OMH31" s="3" t="s">
        <v>383</v>
      </c>
      <c r="OMI31" s="3" t="s">
        <v>382</v>
      </c>
      <c r="OMJ31" s="3" t="s">
        <v>383</v>
      </c>
      <c r="OMK31" s="3" t="s">
        <v>382</v>
      </c>
      <c r="OML31" s="3" t="s">
        <v>383</v>
      </c>
      <c r="OMM31" s="3" t="s">
        <v>382</v>
      </c>
      <c r="OMN31" s="3" t="s">
        <v>383</v>
      </c>
      <c r="OMO31" s="3" t="s">
        <v>382</v>
      </c>
      <c r="OMP31" s="3" t="s">
        <v>383</v>
      </c>
      <c r="OMQ31" s="3" t="s">
        <v>382</v>
      </c>
      <c r="OMR31" s="3" t="s">
        <v>383</v>
      </c>
      <c r="OMS31" s="3" t="s">
        <v>382</v>
      </c>
      <c r="OMT31" s="3" t="s">
        <v>383</v>
      </c>
      <c r="OMU31" s="3" t="s">
        <v>382</v>
      </c>
      <c r="OMV31" s="3" t="s">
        <v>383</v>
      </c>
      <c r="OMW31" s="3" t="s">
        <v>382</v>
      </c>
      <c r="OMX31" s="3" t="s">
        <v>383</v>
      </c>
      <c r="OMY31" s="3" t="s">
        <v>382</v>
      </c>
      <c r="OMZ31" s="3" t="s">
        <v>383</v>
      </c>
      <c r="ONA31" s="3" t="s">
        <v>382</v>
      </c>
      <c r="ONB31" s="3" t="s">
        <v>383</v>
      </c>
      <c r="ONC31" s="3" t="s">
        <v>382</v>
      </c>
      <c r="OND31" s="3" t="s">
        <v>383</v>
      </c>
      <c r="ONE31" s="3" t="s">
        <v>382</v>
      </c>
      <c r="ONF31" s="3" t="s">
        <v>383</v>
      </c>
      <c r="ONG31" s="3" t="s">
        <v>382</v>
      </c>
      <c r="ONH31" s="3" t="s">
        <v>383</v>
      </c>
      <c r="ONI31" s="3" t="s">
        <v>382</v>
      </c>
      <c r="ONJ31" s="3" t="s">
        <v>383</v>
      </c>
      <c r="ONK31" s="3" t="s">
        <v>382</v>
      </c>
      <c r="ONL31" s="3" t="s">
        <v>383</v>
      </c>
      <c r="ONM31" s="3" t="s">
        <v>382</v>
      </c>
      <c r="ONN31" s="3" t="s">
        <v>383</v>
      </c>
      <c r="ONO31" s="3" t="s">
        <v>382</v>
      </c>
      <c r="ONP31" s="3" t="s">
        <v>383</v>
      </c>
      <c r="ONQ31" s="3" t="s">
        <v>382</v>
      </c>
      <c r="ONR31" s="3" t="s">
        <v>383</v>
      </c>
      <c r="ONS31" s="3" t="s">
        <v>382</v>
      </c>
      <c r="ONT31" s="3" t="s">
        <v>383</v>
      </c>
      <c r="ONU31" s="3" t="s">
        <v>382</v>
      </c>
      <c r="ONV31" s="3" t="s">
        <v>383</v>
      </c>
      <c r="ONW31" s="3" t="s">
        <v>382</v>
      </c>
      <c r="ONX31" s="3" t="s">
        <v>383</v>
      </c>
      <c r="ONY31" s="3" t="s">
        <v>382</v>
      </c>
      <c r="ONZ31" s="3" t="s">
        <v>383</v>
      </c>
      <c r="OOA31" s="3" t="s">
        <v>382</v>
      </c>
      <c r="OOB31" s="3" t="s">
        <v>383</v>
      </c>
      <c r="OOC31" s="3" t="s">
        <v>382</v>
      </c>
      <c r="OOD31" s="3" t="s">
        <v>383</v>
      </c>
      <c r="OOE31" s="3" t="s">
        <v>382</v>
      </c>
      <c r="OOF31" s="3" t="s">
        <v>383</v>
      </c>
      <c r="OOG31" s="3" t="s">
        <v>382</v>
      </c>
      <c r="OOH31" s="3" t="s">
        <v>383</v>
      </c>
      <c r="OOI31" s="3" t="s">
        <v>382</v>
      </c>
      <c r="OOJ31" s="3" t="s">
        <v>383</v>
      </c>
      <c r="OOK31" s="3" t="s">
        <v>382</v>
      </c>
      <c r="OOL31" s="3" t="s">
        <v>383</v>
      </c>
      <c r="OOM31" s="3" t="s">
        <v>382</v>
      </c>
      <c r="OON31" s="3" t="s">
        <v>383</v>
      </c>
      <c r="OOO31" s="3" t="s">
        <v>382</v>
      </c>
      <c r="OOP31" s="3" t="s">
        <v>383</v>
      </c>
      <c r="OOQ31" s="3" t="s">
        <v>382</v>
      </c>
      <c r="OOR31" s="3" t="s">
        <v>383</v>
      </c>
      <c r="OOS31" s="3" t="s">
        <v>382</v>
      </c>
      <c r="OOT31" s="3" t="s">
        <v>383</v>
      </c>
      <c r="OOU31" s="3" t="s">
        <v>382</v>
      </c>
      <c r="OOV31" s="3" t="s">
        <v>383</v>
      </c>
      <c r="OOW31" s="3" t="s">
        <v>382</v>
      </c>
      <c r="OOX31" s="3" t="s">
        <v>383</v>
      </c>
      <c r="OOY31" s="3" t="s">
        <v>382</v>
      </c>
      <c r="OOZ31" s="3" t="s">
        <v>383</v>
      </c>
      <c r="OPA31" s="3" t="s">
        <v>382</v>
      </c>
      <c r="OPB31" s="3" t="s">
        <v>383</v>
      </c>
      <c r="OPC31" s="3" t="s">
        <v>382</v>
      </c>
      <c r="OPD31" s="3" t="s">
        <v>383</v>
      </c>
      <c r="OPE31" s="3" t="s">
        <v>382</v>
      </c>
      <c r="OPF31" s="3" t="s">
        <v>383</v>
      </c>
      <c r="OPG31" s="3" t="s">
        <v>382</v>
      </c>
      <c r="OPH31" s="3" t="s">
        <v>383</v>
      </c>
      <c r="OPI31" s="3" t="s">
        <v>382</v>
      </c>
      <c r="OPJ31" s="3" t="s">
        <v>383</v>
      </c>
      <c r="OPK31" s="3" t="s">
        <v>382</v>
      </c>
      <c r="OPL31" s="3" t="s">
        <v>383</v>
      </c>
      <c r="OPM31" s="3" t="s">
        <v>382</v>
      </c>
      <c r="OPN31" s="3" t="s">
        <v>383</v>
      </c>
      <c r="OPO31" s="3" t="s">
        <v>382</v>
      </c>
      <c r="OPP31" s="3" t="s">
        <v>383</v>
      </c>
      <c r="OPQ31" s="3" t="s">
        <v>382</v>
      </c>
      <c r="OPR31" s="3" t="s">
        <v>383</v>
      </c>
      <c r="OPS31" s="3" t="s">
        <v>382</v>
      </c>
      <c r="OPT31" s="3" t="s">
        <v>383</v>
      </c>
      <c r="OPU31" s="3" t="s">
        <v>382</v>
      </c>
      <c r="OPV31" s="3" t="s">
        <v>383</v>
      </c>
      <c r="OPW31" s="3" t="s">
        <v>382</v>
      </c>
      <c r="OPX31" s="3" t="s">
        <v>383</v>
      </c>
      <c r="OPY31" s="3" t="s">
        <v>382</v>
      </c>
      <c r="OPZ31" s="3" t="s">
        <v>383</v>
      </c>
      <c r="OQA31" s="3" t="s">
        <v>382</v>
      </c>
      <c r="OQB31" s="3" t="s">
        <v>383</v>
      </c>
      <c r="OQC31" s="3" t="s">
        <v>382</v>
      </c>
      <c r="OQD31" s="3" t="s">
        <v>383</v>
      </c>
      <c r="OQE31" s="3" t="s">
        <v>382</v>
      </c>
      <c r="OQF31" s="3" t="s">
        <v>383</v>
      </c>
      <c r="OQG31" s="3" t="s">
        <v>382</v>
      </c>
      <c r="OQH31" s="3" t="s">
        <v>383</v>
      </c>
      <c r="OQI31" s="3" t="s">
        <v>382</v>
      </c>
      <c r="OQJ31" s="3" t="s">
        <v>383</v>
      </c>
      <c r="OQK31" s="3" t="s">
        <v>382</v>
      </c>
      <c r="OQL31" s="3" t="s">
        <v>383</v>
      </c>
      <c r="OQM31" s="3" t="s">
        <v>382</v>
      </c>
      <c r="OQN31" s="3" t="s">
        <v>383</v>
      </c>
      <c r="OQO31" s="3" t="s">
        <v>382</v>
      </c>
      <c r="OQP31" s="3" t="s">
        <v>383</v>
      </c>
      <c r="OQQ31" s="3" t="s">
        <v>382</v>
      </c>
      <c r="OQR31" s="3" t="s">
        <v>383</v>
      </c>
      <c r="OQS31" s="3" t="s">
        <v>382</v>
      </c>
      <c r="OQT31" s="3" t="s">
        <v>383</v>
      </c>
      <c r="OQU31" s="3" t="s">
        <v>382</v>
      </c>
      <c r="OQV31" s="3" t="s">
        <v>383</v>
      </c>
      <c r="OQW31" s="3" t="s">
        <v>382</v>
      </c>
      <c r="OQX31" s="3" t="s">
        <v>383</v>
      </c>
      <c r="OQY31" s="3" t="s">
        <v>382</v>
      </c>
      <c r="OQZ31" s="3" t="s">
        <v>383</v>
      </c>
      <c r="ORA31" s="3" t="s">
        <v>382</v>
      </c>
      <c r="ORB31" s="3" t="s">
        <v>383</v>
      </c>
      <c r="ORC31" s="3" t="s">
        <v>382</v>
      </c>
      <c r="ORD31" s="3" t="s">
        <v>383</v>
      </c>
      <c r="ORE31" s="3" t="s">
        <v>382</v>
      </c>
      <c r="ORF31" s="3" t="s">
        <v>383</v>
      </c>
      <c r="ORG31" s="3" t="s">
        <v>382</v>
      </c>
      <c r="ORH31" s="3" t="s">
        <v>383</v>
      </c>
      <c r="ORI31" s="3" t="s">
        <v>382</v>
      </c>
      <c r="ORJ31" s="3" t="s">
        <v>383</v>
      </c>
      <c r="ORK31" s="3" t="s">
        <v>382</v>
      </c>
      <c r="ORL31" s="3" t="s">
        <v>383</v>
      </c>
      <c r="ORM31" s="3" t="s">
        <v>382</v>
      </c>
      <c r="ORN31" s="3" t="s">
        <v>383</v>
      </c>
      <c r="ORO31" s="3" t="s">
        <v>382</v>
      </c>
      <c r="ORP31" s="3" t="s">
        <v>383</v>
      </c>
      <c r="ORQ31" s="3" t="s">
        <v>382</v>
      </c>
      <c r="ORR31" s="3" t="s">
        <v>383</v>
      </c>
      <c r="ORS31" s="3" t="s">
        <v>382</v>
      </c>
      <c r="ORT31" s="3" t="s">
        <v>383</v>
      </c>
      <c r="ORU31" s="3" t="s">
        <v>382</v>
      </c>
      <c r="ORV31" s="3" t="s">
        <v>383</v>
      </c>
      <c r="ORW31" s="3" t="s">
        <v>382</v>
      </c>
      <c r="ORX31" s="3" t="s">
        <v>383</v>
      </c>
      <c r="ORY31" s="3" t="s">
        <v>382</v>
      </c>
      <c r="ORZ31" s="3" t="s">
        <v>383</v>
      </c>
      <c r="OSA31" s="3" t="s">
        <v>382</v>
      </c>
      <c r="OSB31" s="3" t="s">
        <v>383</v>
      </c>
      <c r="OSC31" s="3" t="s">
        <v>382</v>
      </c>
      <c r="OSD31" s="3" t="s">
        <v>383</v>
      </c>
      <c r="OSE31" s="3" t="s">
        <v>382</v>
      </c>
      <c r="OSF31" s="3" t="s">
        <v>383</v>
      </c>
      <c r="OSG31" s="3" t="s">
        <v>382</v>
      </c>
      <c r="OSH31" s="3" t="s">
        <v>383</v>
      </c>
      <c r="OSI31" s="3" t="s">
        <v>382</v>
      </c>
      <c r="OSJ31" s="3" t="s">
        <v>383</v>
      </c>
      <c r="OSK31" s="3" t="s">
        <v>382</v>
      </c>
      <c r="OSL31" s="3" t="s">
        <v>383</v>
      </c>
      <c r="OSM31" s="3" t="s">
        <v>382</v>
      </c>
      <c r="OSN31" s="3" t="s">
        <v>383</v>
      </c>
      <c r="OSO31" s="3" t="s">
        <v>382</v>
      </c>
      <c r="OSP31" s="3" t="s">
        <v>383</v>
      </c>
      <c r="OSQ31" s="3" t="s">
        <v>382</v>
      </c>
      <c r="OSR31" s="3" t="s">
        <v>383</v>
      </c>
      <c r="OSS31" s="3" t="s">
        <v>382</v>
      </c>
      <c r="OST31" s="3" t="s">
        <v>383</v>
      </c>
      <c r="OSU31" s="3" t="s">
        <v>382</v>
      </c>
      <c r="OSV31" s="3" t="s">
        <v>383</v>
      </c>
      <c r="OSW31" s="3" t="s">
        <v>382</v>
      </c>
      <c r="OSX31" s="3" t="s">
        <v>383</v>
      </c>
      <c r="OSY31" s="3" t="s">
        <v>382</v>
      </c>
      <c r="OSZ31" s="3" t="s">
        <v>383</v>
      </c>
      <c r="OTA31" s="3" t="s">
        <v>382</v>
      </c>
      <c r="OTB31" s="3" t="s">
        <v>383</v>
      </c>
      <c r="OTC31" s="3" t="s">
        <v>382</v>
      </c>
      <c r="OTD31" s="3" t="s">
        <v>383</v>
      </c>
      <c r="OTE31" s="3" t="s">
        <v>382</v>
      </c>
      <c r="OTF31" s="3" t="s">
        <v>383</v>
      </c>
      <c r="OTG31" s="3" t="s">
        <v>382</v>
      </c>
      <c r="OTH31" s="3" t="s">
        <v>383</v>
      </c>
      <c r="OTI31" s="3" t="s">
        <v>382</v>
      </c>
      <c r="OTJ31" s="3" t="s">
        <v>383</v>
      </c>
      <c r="OTK31" s="3" t="s">
        <v>382</v>
      </c>
      <c r="OTL31" s="3" t="s">
        <v>383</v>
      </c>
      <c r="OTM31" s="3" t="s">
        <v>382</v>
      </c>
      <c r="OTN31" s="3" t="s">
        <v>383</v>
      </c>
      <c r="OTO31" s="3" t="s">
        <v>382</v>
      </c>
      <c r="OTP31" s="3" t="s">
        <v>383</v>
      </c>
      <c r="OTQ31" s="3" t="s">
        <v>382</v>
      </c>
      <c r="OTR31" s="3" t="s">
        <v>383</v>
      </c>
      <c r="OTS31" s="3" t="s">
        <v>382</v>
      </c>
      <c r="OTT31" s="3" t="s">
        <v>383</v>
      </c>
      <c r="OTU31" s="3" t="s">
        <v>382</v>
      </c>
      <c r="OTV31" s="3" t="s">
        <v>383</v>
      </c>
      <c r="OTW31" s="3" t="s">
        <v>382</v>
      </c>
      <c r="OTX31" s="3" t="s">
        <v>383</v>
      </c>
      <c r="OTY31" s="3" t="s">
        <v>382</v>
      </c>
      <c r="OTZ31" s="3" t="s">
        <v>383</v>
      </c>
      <c r="OUA31" s="3" t="s">
        <v>382</v>
      </c>
      <c r="OUB31" s="3" t="s">
        <v>383</v>
      </c>
      <c r="OUC31" s="3" t="s">
        <v>382</v>
      </c>
      <c r="OUD31" s="3" t="s">
        <v>383</v>
      </c>
      <c r="OUE31" s="3" t="s">
        <v>382</v>
      </c>
      <c r="OUF31" s="3" t="s">
        <v>383</v>
      </c>
      <c r="OUG31" s="3" t="s">
        <v>382</v>
      </c>
      <c r="OUH31" s="3" t="s">
        <v>383</v>
      </c>
      <c r="OUI31" s="3" t="s">
        <v>382</v>
      </c>
      <c r="OUJ31" s="3" t="s">
        <v>383</v>
      </c>
      <c r="OUK31" s="3" t="s">
        <v>382</v>
      </c>
      <c r="OUL31" s="3" t="s">
        <v>383</v>
      </c>
      <c r="OUM31" s="3" t="s">
        <v>382</v>
      </c>
      <c r="OUN31" s="3" t="s">
        <v>383</v>
      </c>
      <c r="OUO31" s="3" t="s">
        <v>382</v>
      </c>
      <c r="OUP31" s="3" t="s">
        <v>383</v>
      </c>
      <c r="OUQ31" s="3" t="s">
        <v>382</v>
      </c>
      <c r="OUR31" s="3" t="s">
        <v>383</v>
      </c>
      <c r="OUS31" s="3" t="s">
        <v>382</v>
      </c>
      <c r="OUT31" s="3" t="s">
        <v>383</v>
      </c>
      <c r="OUU31" s="3" t="s">
        <v>382</v>
      </c>
      <c r="OUV31" s="3" t="s">
        <v>383</v>
      </c>
      <c r="OUW31" s="3" t="s">
        <v>382</v>
      </c>
      <c r="OUX31" s="3" t="s">
        <v>383</v>
      </c>
      <c r="OUY31" s="3" t="s">
        <v>382</v>
      </c>
      <c r="OUZ31" s="3" t="s">
        <v>383</v>
      </c>
      <c r="OVA31" s="3" t="s">
        <v>382</v>
      </c>
      <c r="OVB31" s="3" t="s">
        <v>383</v>
      </c>
      <c r="OVC31" s="3" t="s">
        <v>382</v>
      </c>
      <c r="OVD31" s="3" t="s">
        <v>383</v>
      </c>
      <c r="OVE31" s="3" t="s">
        <v>382</v>
      </c>
      <c r="OVF31" s="3" t="s">
        <v>383</v>
      </c>
      <c r="OVG31" s="3" t="s">
        <v>382</v>
      </c>
      <c r="OVH31" s="3" t="s">
        <v>383</v>
      </c>
      <c r="OVI31" s="3" t="s">
        <v>382</v>
      </c>
      <c r="OVJ31" s="3" t="s">
        <v>383</v>
      </c>
      <c r="OVK31" s="3" t="s">
        <v>382</v>
      </c>
      <c r="OVL31" s="3" t="s">
        <v>383</v>
      </c>
      <c r="OVM31" s="3" t="s">
        <v>382</v>
      </c>
      <c r="OVN31" s="3" t="s">
        <v>383</v>
      </c>
      <c r="OVO31" s="3" t="s">
        <v>382</v>
      </c>
      <c r="OVP31" s="3" t="s">
        <v>383</v>
      </c>
      <c r="OVQ31" s="3" t="s">
        <v>382</v>
      </c>
      <c r="OVR31" s="3" t="s">
        <v>383</v>
      </c>
      <c r="OVS31" s="3" t="s">
        <v>382</v>
      </c>
      <c r="OVT31" s="3" t="s">
        <v>383</v>
      </c>
      <c r="OVU31" s="3" t="s">
        <v>382</v>
      </c>
      <c r="OVV31" s="3" t="s">
        <v>383</v>
      </c>
      <c r="OVW31" s="3" t="s">
        <v>382</v>
      </c>
      <c r="OVX31" s="3" t="s">
        <v>383</v>
      </c>
      <c r="OVY31" s="3" t="s">
        <v>382</v>
      </c>
      <c r="OVZ31" s="3" t="s">
        <v>383</v>
      </c>
      <c r="OWA31" s="3" t="s">
        <v>382</v>
      </c>
      <c r="OWB31" s="3" t="s">
        <v>383</v>
      </c>
      <c r="OWC31" s="3" t="s">
        <v>382</v>
      </c>
      <c r="OWD31" s="3" t="s">
        <v>383</v>
      </c>
      <c r="OWE31" s="3" t="s">
        <v>382</v>
      </c>
      <c r="OWF31" s="3" t="s">
        <v>383</v>
      </c>
      <c r="OWG31" s="3" t="s">
        <v>382</v>
      </c>
      <c r="OWH31" s="3" t="s">
        <v>383</v>
      </c>
      <c r="OWI31" s="3" t="s">
        <v>382</v>
      </c>
      <c r="OWJ31" s="3" t="s">
        <v>383</v>
      </c>
      <c r="OWK31" s="3" t="s">
        <v>382</v>
      </c>
      <c r="OWL31" s="3" t="s">
        <v>383</v>
      </c>
      <c r="OWM31" s="3" t="s">
        <v>382</v>
      </c>
      <c r="OWN31" s="3" t="s">
        <v>383</v>
      </c>
      <c r="OWO31" s="3" t="s">
        <v>382</v>
      </c>
      <c r="OWP31" s="3" t="s">
        <v>383</v>
      </c>
      <c r="OWQ31" s="3" t="s">
        <v>382</v>
      </c>
      <c r="OWR31" s="3" t="s">
        <v>383</v>
      </c>
      <c r="OWS31" s="3" t="s">
        <v>382</v>
      </c>
      <c r="OWT31" s="3" t="s">
        <v>383</v>
      </c>
      <c r="OWU31" s="3" t="s">
        <v>382</v>
      </c>
      <c r="OWV31" s="3" t="s">
        <v>383</v>
      </c>
      <c r="OWW31" s="3" t="s">
        <v>382</v>
      </c>
      <c r="OWX31" s="3" t="s">
        <v>383</v>
      </c>
      <c r="OWY31" s="3" t="s">
        <v>382</v>
      </c>
      <c r="OWZ31" s="3" t="s">
        <v>383</v>
      </c>
      <c r="OXA31" s="3" t="s">
        <v>382</v>
      </c>
      <c r="OXB31" s="3" t="s">
        <v>383</v>
      </c>
      <c r="OXC31" s="3" t="s">
        <v>382</v>
      </c>
      <c r="OXD31" s="3" t="s">
        <v>383</v>
      </c>
      <c r="OXE31" s="3" t="s">
        <v>382</v>
      </c>
      <c r="OXF31" s="3" t="s">
        <v>383</v>
      </c>
      <c r="OXG31" s="3" t="s">
        <v>382</v>
      </c>
      <c r="OXH31" s="3" t="s">
        <v>383</v>
      </c>
      <c r="OXI31" s="3" t="s">
        <v>382</v>
      </c>
      <c r="OXJ31" s="3" t="s">
        <v>383</v>
      </c>
      <c r="OXK31" s="3" t="s">
        <v>382</v>
      </c>
      <c r="OXL31" s="3" t="s">
        <v>383</v>
      </c>
      <c r="OXM31" s="3" t="s">
        <v>382</v>
      </c>
      <c r="OXN31" s="3" t="s">
        <v>383</v>
      </c>
      <c r="OXO31" s="3" t="s">
        <v>382</v>
      </c>
      <c r="OXP31" s="3" t="s">
        <v>383</v>
      </c>
      <c r="OXQ31" s="3" t="s">
        <v>382</v>
      </c>
      <c r="OXR31" s="3" t="s">
        <v>383</v>
      </c>
      <c r="OXS31" s="3" t="s">
        <v>382</v>
      </c>
      <c r="OXT31" s="3" t="s">
        <v>383</v>
      </c>
      <c r="OXU31" s="3" t="s">
        <v>382</v>
      </c>
      <c r="OXV31" s="3" t="s">
        <v>383</v>
      </c>
      <c r="OXW31" s="3" t="s">
        <v>382</v>
      </c>
      <c r="OXX31" s="3" t="s">
        <v>383</v>
      </c>
      <c r="OXY31" s="3" t="s">
        <v>382</v>
      </c>
      <c r="OXZ31" s="3" t="s">
        <v>383</v>
      </c>
      <c r="OYA31" s="3" t="s">
        <v>382</v>
      </c>
      <c r="OYB31" s="3" t="s">
        <v>383</v>
      </c>
      <c r="OYC31" s="3" t="s">
        <v>382</v>
      </c>
      <c r="OYD31" s="3" t="s">
        <v>383</v>
      </c>
      <c r="OYE31" s="3" t="s">
        <v>382</v>
      </c>
      <c r="OYF31" s="3" t="s">
        <v>383</v>
      </c>
      <c r="OYG31" s="3" t="s">
        <v>382</v>
      </c>
      <c r="OYH31" s="3" t="s">
        <v>383</v>
      </c>
      <c r="OYI31" s="3" t="s">
        <v>382</v>
      </c>
      <c r="OYJ31" s="3" t="s">
        <v>383</v>
      </c>
      <c r="OYK31" s="3" t="s">
        <v>382</v>
      </c>
      <c r="OYL31" s="3" t="s">
        <v>383</v>
      </c>
      <c r="OYM31" s="3" t="s">
        <v>382</v>
      </c>
      <c r="OYN31" s="3" t="s">
        <v>383</v>
      </c>
      <c r="OYO31" s="3" t="s">
        <v>382</v>
      </c>
      <c r="OYP31" s="3" t="s">
        <v>383</v>
      </c>
      <c r="OYQ31" s="3" t="s">
        <v>382</v>
      </c>
      <c r="OYR31" s="3" t="s">
        <v>383</v>
      </c>
      <c r="OYS31" s="3" t="s">
        <v>382</v>
      </c>
      <c r="OYT31" s="3" t="s">
        <v>383</v>
      </c>
      <c r="OYU31" s="3" t="s">
        <v>382</v>
      </c>
      <c r="OYV31" s="3" t="s">
        <v>383</v>
      </c>
      <c r="OYW31" s="3" t="s">
        <v>382</v>
      </c>
      <c r="OYX31" s="3" t="s">
        <v>383</v>
      </c>
      <c r="OYY31" s="3" t="s">
        <v>382</v>
      </c>
      <c r="OYZ31" s="3" t="s">
        <v>383</v>
      </c>
      <c r="OZA31" s="3" t="s">
        <v>382</v>
      </c>
      <c r="OZB31" s="3" t="s">
        <v>383</v>
      </c>
      <c r="OZC31" s="3" t="s">
        <v>382</v>
      </c>
      <c r="OZD31" s="3" t="s">
        <v>383</v>
      </c>
      <c r="OZE31" s="3" t="s">
        <v>382</v>
      </c>
      <c r="OZF31" s="3" t="s">
        <v>383</v>
      </c>
      <c r="OZG31" s="3" t="s">
        <v>382</v>
      </c>
      <c r="OZH31" s="3" t="s">
        <v>383</v>
      </c>
      <c r="OZI31" s="3" t="s">
        <v>382</v>
      </c>
      <c r="OZJ31" s="3" t="s">
        <v>383</v>
      </c>
      <c r="OZK31" s="3" t="s">
        <v>382</v>
      </c>
      <c r="OZL31" s="3" t="s">
        <v>383</v>
      </c>
      <c r="OZM31" s="3" t="s">
        <v>382</v>
      </c>
      <c r="OZN31" s="3" t="s">
        <v>383</v>
      </c>
      <c r="OZO31" s="3" t="s">
        <v>382</v>
      </c>
      <c r="OZP31" s="3" t="s">
        <v>383</v>
      </c>
      <c r="OZQ31" s="3" t="s">
        <v>382</v>
      </c>
      <c r="OZR31" s="3" t="s">
        <v>383</v>
      </c>
      <c r="OZS31" s="3" t="s">
        <v>382</v>
      </c>
      <c r="OZT31" s="3" t="s">
        <v>383</v>
      </c>
      <c r="OZU31" s="3" t="s">
        <v>382</v>
      </c>
      <c r="OZV31" s="3" t="s">
        <v>383</v>
      </c>
      <c r="OZW31" s="3" t="s">
        <v>382</v>
      </c>
      <c r="OZX31" s="3" t="s">
        <v>383</v>
      </c>
      <c r="OZY31" s="3" t="s">
        <v>382</v>
      </c>
      <c r="OZZ31" s="3" t="s">
        <v>383</v>
      </c>
      <c r="PAA31" s="3" t="s">
        <v>382</v>
      </c>
      <c r="PAB31" s="3" t="s">
        <v>383</v>
      </c>
      <c r="PAC31" s="3" t="s">
        <v>382</v>
      </c>
      <c r="PAD31" s="3" t="s">
        <v>383</v>
      </c>
      <c r="PAE31" s="3" t="s">
        <v>382</v>
      </c>
      <c r="PAF31" s="3" t="s">
        <v>383</v>
      </c>
      <c r="PAG31" s="3" t="s">
        <v>382</v>
      </c>
      <c r="PAH31" s="3" t="s">
        <v>383</v>
      </c>
      <c r="PAI31" s="3" t="s">
        <v>382</v>
      </c>
      <c r="PAJ31" s="3" t="s">
        <v>383</v>
      </c>
      <c r="PAK31" s="3" t="s">
        <v>382</v>
      </c>
      <c r="PAL31" s="3" t="s">
        <v>383</v>
      </c>
      <c r="PAM31" s="3" t="s">
        <v>382</v>
      </c>
      <c r="PAN31" s="3" t="s">
        <v>383</v>
      </c>
      <c r="PAO31" s="3" t="s">
        <v>382</v>
      </c>
      <c r="PAP31" s="3" t="s">
        <v>383</v>
      </c>
      <c r="PAQ31" s="3" t="s">
        <v>382</v>
      </c>
      <c r="PAR31" s="3" t="s">
        <v>383</v>
      </c>
      <c r="PAS31" s="3" t="s">
        <v>382</v>
      </c>
      <c r="PAT31" s="3" t="s">
        <v>383</v>
      </c>
      <c r="PAU31" s="3" t="s">
        <v>382</v>
      </c>
      <c r="PAV31" s="3" t="s">
        <v>383</v>
      </c>
      <c r="PAW31" s="3" t="s">
        <v>382</v>
      </c>
      <c r="PAX31" s="3" t="s">
        <v>383</v>
      </c>
      <c r="PAY31" s="3" t="s">
        <v>382</v>
      </c>
      <c r="PAZ31" s="3" t="s">
        <v>383</v>
      </c>
      <c r="PBA31" s="3" t="s">
        <v>382</v>
      </c>
      <c r="PBB31" s="3" t="s">
        <v>383</v>
      </c>
      <c r="PBC31" s="3" t="s">
        <v>382</v>
      </c>
      <c r="PBD31" s="3" t="s">
        <v>383</v>
      </c>
      <c r="PBE31" s="3" t="s">
        <v>382</v>
      </c>
      <c r="PBF31" s="3" t="s">
        <v>383</v>
      </c>
      <c r="PBG31" s="3" t="s">
        <v>382</v>
      </c>
      <c r="PBH31" s="3" t="s">
        <v>383</v>
      </c>
      <c r="PBI31" s="3" t="s">
        <v>382</v>
      </c>
      <c r="PBJ31" s="3" t="s">
        <v>383</v>
      </c>
      <c r="PBK31" s="3" t="s">
        <v>382</v>
      </c>
      <c r="PBL31" s="3" t="s">
        <v>383</v>
      </c>
      <c r="PBM31" s="3" t="s">
        <v>382</v>
      </c>
      <c r="PBN31" s="3" t="s">
        <v>383</v>
      </c>
      <c r="PBO31" s="3" t="s">
        <v>382</v>
      </c>
      <c r="PBP31" s="3" t="s">
        <v>383</v>
      </c>
      <c r="PBQ31" s="3" t="s">
        <v>382</v>
      </c>
      <c r="PBR31" s="3" t="s">
        <v>383</v>
      </c>
      <c r="PBS31" s="3" t="s">
        <v>382</v>
      </c>
      <c r="PBT31" s="3" t="s">
        <v>383</v>
      </c>
      <c r="PBU31" s="3" t="s">
        <v>382</v>
      </c>
      <c r="PBV31" s="3" t="s">
        <v>383</v>
      </c>
      <c r="PBW31" s="3" t="s">
        <v>382</v>
      </c>
      <c r="PBX31" s="3" t="s">
        <v>383</v>
      </c>
      <c r="PBY31" s="3" t="s">
        <v>382</v>
      </c>
      <c r="PBZ31" s="3" t="s">
        <v>383</v>
      </c>
      <c r="PCA31" s="3" t="s">
        <v>382</v>
      </c>
      <c r="PCB31" s="3" t="s">
        <v>383</v>
      </c>
      <c r="PCC31" s="3" t="s">
        <v>382</v>
      </c>
      <c r="PCD31" s="3" t="s">
        <v>383</v>
      </c>
      <c r="PCE31" s="3" t="s">
        <v>382</v>
      </c>
      <c r="PCF31" s="3" t="s">
        <v>383</v>
      </c>
      <c r="PCG31" s="3" t="s">
        <v>382</v>
      </c>
      <c r="PCH31" s="3" t="s">
        <v>383</v>
      </c>
      <c r="PCI31" s="3" t="s">
        <v>382</v>
      </c>
      <c r="PCJ31" s="3" t="s">
        <v>383</v>
      </c>
      <c r="PCK31" s="3" t="s">
        <v>382</v>
      </c>
      <c r="PCL31" s="3" t="s">
        <v>383</v>
      </c>
      <c r="PCM31" s="3" t="s">
        <v>382</v>
      </c>
      <c r="PCN31" s="3" t="s">
        <v>383</v>
      </c>
      <c r="PCO31" s="3" t="s">
        <v>382</v>
      </c>
      <c r="PCP31" s="3" t="s">
        <v>383</v>
      </c>
      <c r="PCQ31" s="3" t="s">
        <v>382</v>
      </c>
      <c r="PCR31" s="3" t="s">
        <v>383</v>
      </c>
      <c r="PCS31" s="3" t="s">
        <v>382</v>
      </c>
      <c r="PCT31" s="3" t="s">
        <v>383</v>
      </c>
      <c r="PCU31" s="3" t="s">
        <v>382</v>
      </c>
      <c r="PCV31" s="3" t="s">
        <v>383</v>
      </c>
      <c r="PCW31" s="3" t="s">
        <v>382</v>
      </c>
      <c r="PCX31" s="3" t="s">
        <v>383</v>
      </c>
      <c r="PCY31" s="3" t="s">
        <v>382</v>
      </c>
      <c r="PCZ31" s="3" t="s">
        <v>383</v>
      </c>
      <c r="PDA31" s="3" t="s">
        <v>382</v>
      </c>
      <c r="PDB31" s="3" t="s">
        <v>383</v>
      </c>
      <c r="PDC31" s="3" t="s">
        <v>382</v>
      </c>
      <c r="PDD31" s="3" t="s">
        <v>383</v>
      </c>
      <c r="PDE31" s="3" t="s">
        <v>382</v>
      </c>
      <c r="PDF31" s="3" t="s">
        <v>383</v>
      </c>
      <c r="PDG31" s="3" t="s">
        <v>382</v>
      </c>
      <c r="PDH31" s="3" t="s">
        <v>383</v>
      </c>
      <c r="PDI31" s="3" t="s">
        <v>382</v>
      </c>
      <c r="PDJ31" s="3" t="s">
        <v>383</v>
      </c>
      <c r="PDK31" s="3" t="s">
        <v>382</v>
      </c>
      <c r="PDL31" s="3" t="s">
        <v>383</v>
      </c>
      <c r="PDM31" s="3" t="s">
        <v>382</v>
      </c>
      <c r="PDN31" s="3" t="s">
        <v>383</v>
      </c>
      <c r="PDO31" s="3" t="s">
        <v>382</v>
      </c>
      <c r="PDP31" s="3" t="s">
        <v>383</v>
      </c>
      <c r="PDQ31" s="3" t="s">
        <v>382</v>
      </c>
      <c r="PDR31" s="3" t="s">
        <v>383</v>
      </c>
      <c r="PDS31" s="3" t="s">
        <v>382</v>
      </c>
      <c r="PDT31" s="3" t="s">
        <v>383</v>
      </c>
      <c r="PDU31" s="3" t="s">
        <v>382</v>
      </c>
      <c r="PDV31" s="3" t="s">
        <v>383</v>
      </c>
      <c r="PDW31" s="3" t="s">
        <v>382</v>
      </c>
      <c r="PDX31" s="3" t="s">
        <v>383</v>
      </c>
      <c r="PDY31" s="3" t="s">
        <v>382</v>
      </c>
      <c r="PDZ31" s="3" t="s">
        <v>383</v>
      </c>
      <c r="PEA31" s="3" t="s">
        <v>382</v>
      </c>
      <c r="PEB31" s="3" t="s">
        <v>383</v>
      </c>
      <c r="PEC31" s="3" t="s">
        <v>382</v>
      </c>
      <c r="PED31" s="3" t="s">
        <v>383</v>
      </c>
      <c r="PEE31" s="3" t="s">
        <v>382</v>
      </c>
      <c r="PEF31" s="3" t="s">
        <v>383</v>
      </c>
      <c r="PEG31" s="3" t="s">
        <v>382</v>
      </c>
      <c r="PEH31" s="3" t="s">
        <v>383</v>
      </c>
      <c r="PEI31" s="3" t="s">
        <v>382</v>
      </c>
      <c r="PEJ31" s="3" t="s">
        <v>383</v>
      </c>
      <c r="PEK31" s="3" t="s">
        <v>382</v>
      </c>
      <c r="PEL31" s="3" t="s">
        <v>383</v>
      </c>
      <c r="PEM31" s="3" t="s">
        <v>382</v>
      </c>
      <c r="PEN31" s="3" t="s">
        <v>383</v>
      </c>
      <c r="PEO31" s="3" t="s">
        <v>382</v>
      </c>
      <c r="PEP31" s="3" t="s">
        <v>383</v>
      </c>
      <c r="PEQ31" s="3" t="s">
        <v>382</v>
      </c>
      <c r="PER31" s="3" t="s">
        <v>383</v>
      </c>
      <c r="PES31" s="3" t="s">
        <v>382</v>
      </c>
      <c r="PET31" s="3" t="s">
        <v>383</v>
      </c>
      <c r="PEU31" s="3" t="s">
        <v>382</v>
      </c>
      <c r="PEV31" s="3" t="s">
        <v>383</v>
      </c>
      <c r="PEW31" s="3" t="s">
        <v>382</v>
      </c>
      <c r="PEX31" s="3" t="s">
        <v>383</v>
      </c>
      <c r="PEY31" s="3" t="s">
        <v>382</v>
      </c>
      <c r="PEZ31" s="3" t="s">
        <v>383</v>
      </c>
      <c r="PFA31" s="3" t="s">
        <v>382</v>
      </c>
      <c r="PFB31" s="3" t="s">
        <v>383</v>
      </c>
      <c r="PFC31" s="3" t="s">
        <v>382</v>
      </c>
      <c r="PFD31" s="3" t="s">
        <v>383</v>
      </c>
      <c r="PFE31" s="3" t="s">
        <v>382</v>
      </c>
      <c r="PFF31" s="3" t="s">
        <v>383</v>
      </c>
      <c r="PFG31" s="3" t="s">
        <v>382</v>
      </c>
      <c r="PFH31" s="3" t="s">
        <v>383</v>
      </c>
      <c r="PFI31" s="3" t="s">
        <v>382</v>
      </c>
      <c r="PFJ31" s="3" t="s">
        <v>383</v>
      </c>
      <c r="PFK31" s="3" t="s">
        <v>382</v>
      </c>
      <c r="PFL31" s="3" t="s">
        <v>383</v>
      </c>
      <c r="PFM31" s="3" t="s">
        <v>382</v>
      </c>
      <c r="PFN31" s="3" t="s">
        <v>383</v>
      </c>
      <c r="PFO31" s="3" t="s">
        <v>382</v>
      </c>
      <c r="PFP31" s="3" t="s">
        <v>383</v>
      </c>
      <c r="PFQ31" s="3" t="s">
        <v>382</v>
      </c>
      <c r="PFR31" s="3" t="s">
        <v>383</v>
      </c>
      <c r="PFS31" s="3" t="s">
        <v>382</v>
      </c>
      <c r="PFT31" s="3" t="s">
        <v>383</v>
      </c>
      <c r="PFU31" s="3" t="s">
        <v>382</v>
      </c>
      <c r="PFV31" s="3" t="s">
        <v>383</v>
      </c>
      <c r="PFW31" s="3" t="s">
        <v>382</v>
      </c>
      <c r="PFX31" s="3" t="s">
        <v>383</v>
      </c>
      <c r="PFY31" s="3" t="s">
        <v>382</v>
      </c>
      <c r="PFZ31" s="3" t="s">
        <v>383</v>
      </c>
      <c r="PGA31" s="3" t="s">
        <v>382</v>
      </c>
      <c r="PGB31" s="3" t="s">
        <v>383</v>
      </c>
      <c r="PGC31" s="3" t="s">
        <v>382</v>
      </c>
      <c r="PGD31" s="3" t="s">
        <v>383</v>
      </c>
      <c r="PGE31" s="3" t="s">
        <v>382</v>
      </c>
      <c r="PGF31" s="3" t="s">
        <v>383</v>
      </c>
      <c r="PGG31" s="3" t="s">
        <v>382</v>
      </c>
      <c r="PGH31" s="3" t="s">
        <v>383</v>
      </c>
      <c r="PGI31" s="3" t="s">
        <v>382</v>
      </c>
      <c r="PGJ31" s="3" t="s">
        <v>383</v>
      </c>
      <c r="PGK31" s="3" t="s">
        <v>382</v>
      </c>
      <c r="PGL31" s="3" t="s">
        <v>383</v>
      </c>
      <c r="PGM31" s="3" t="s">
        <v>382</v>
      </c>
      <c r="PGN31" s="3" t="s">
        <v>383</v>
      </c>
      <c r="PGO31" s="3" t="s">
        <v>382</v>
      </c>
      <c r="PGP31" s="3" t="s">
        <v>383</v>
      </c>
      <c r="PGQ31" s="3" t="s">
        <v>382</v>
      </c>
      <c r="PGR31" s="3" t="s">
        <v>383</v>
      </c>
      <c r="PGS31" s="3" t="s">
        <v>382</v>
      </c>
      <c r="PGT31" s="3" t="s">
        <v>383</v>
      </c>
      <c r="PGU31" s="3" t="s">
        <v>382</v>
      </c>
      <c r="PGV31" s="3" t="s">
        <v>383</v>
      </c>
      <c r="PGW31" s="3" t="s">
        <v>382</v>
      </c>
      <c r="PGX31" s="3" t="s">
        <v>383</v>
      </c>
      <c r="PGY31" s="3" t="s">
        <v>382</v>
      </c>
      <c r="PGZ31" s="3" t="s">
        <v>383</v>
      </c>
      <c r="PHA31" s="3" t="s">
        <v>382</v>
      </c>
      <c r="PHB31" s="3" t="s">
        <v>383</v>
      </c>
      <c r="PHC31" s="3" t="s">
        <v>382</v>
      </c>
      <c r="PHD31" s="3" t="s">
        <v>383</v>
      </c>
      <c r="PHE31" s="3" t="s">
        <v>382</v>
      </c>
      <c r="PHF31" s="3" t="s">
        <v>383</v>
      </c>
      <c r="PHG31" s="3" t="s">
        <v>382</v>
      </c>
      <c r="PHH31" s="3" t="s">
        <v>383</v>
      </c>
      <c r="PHI31" s="3" t="s">
        <v>382</v>
      </c>
      <c r="PHJ31" s="3" t="s">
        <v>383</v>
      </c>
      <c r="PHK31" s="3" t="s">
        <v>382</v>
      </c>
      <c r="PHL31" s="3" t="s">
        <v>383</v>
      </c>
      <c r="PHM31" s="3" t="s">
        <v>382</v>
      </c>
      <c r="PHN31" s="3" t="s">
        <v>383</v>
      </c>
      <c r="PHO31" s="3" t="s">
        <v>382</v>
      </c>
      <c r="PHP31" s="3" t="s">
        <v>383</v>
      </c>
      <c r="PHQ31" s="3" t="s">
        <v>382</v>
      </c>
      <c r="PHR31" s="3" t="s">
        <v>383</v>
      </c>
      <c r="PHS31" s="3" t="s">
        <v>382</v>
      </c>
      <c r="PHT31" s="3" t="s">
        <v>383</v>
      </c>
      <c r="PHU31" s="3" t="s">
        <v>382</v>
      </c>
      <c r="PHV31" s="3" t="s">
        <v>383</v>
      </c>
      <c r="PHW31" s="3" t="s">
        <v>382</v>
      </c>
      <c r="PHX31" s="3" t="s">
        <v>383</v>
      </c>
      <c r="PHY31" s="3" t="s">
        <v>382</v>
      </c>
      <c r="PHZ31" s="3" t="s">
        <v>383</v>
      </c>
      <c r="PIA31" s="3" t="s">
        <v>382</v>
      </c>
      <c r="PIB31" s="3" t="s">
        <v>383</v>
      </c>
      <c r="PIC31" s="3" t="s">
        <v>382</v>
      </c>
      <c r="PID31" s="3" t="s">
        <v>383</v>
      </c>
      <c r="PIE31" s="3" t="s">
        <v>382</v>
      </c>
      <c r="PIF31" s="3" t="s">
        <v>383</v>
      </c>
      <c r="PIG31" s="3" t="s">
        <v>382</v>
      </c>
      <c r="PIH31" s="3" t="s">
        <v>383</v>
      </c>
      <c r="PII31" s="3" t="s">
        <v>382</v>
      </c>
      <c r="PIJ31" s="3" t="s">
        <v>383</v>
      </c>
      <c r="PIK31" s="3" t="s">
        <v>382</v>
      </c>
      <c r="PIL31" s="3" t="s">
        <v>383</v>
      </c>
      <c r="PIM31" s="3" t="s">
        <v>382</v>
      </c>
      <c r="PIN31" s="3" t="s">
        <v>383</v>
      </c>
      <c r="PIO31" s="3" t="s">
        <v>382</v>
      </c>
      <c r="PIP31" s="3" t="s">
        <v>383</v>
      </c>
      <c r="PIQ31" s="3" t="s">
        <v>382</v>
      </c>
      <c r="PIR31" s="3" t="s">
        <v>383</v>
      </c>
      <c r="PIS31" s="3" t="s">
        <v>382</v>
      </c>
      <c r="PIT31" s="3" t="s">
        <v>383</v>
      </c>
      <c r="PIU31" s="3" t="s">
        <v>382</v>
      </c>
      <c r="PIV31" s="3" t="s">
        <v>383</v>
      </c>
      <c r="PIW31" s="3" t="s">
        <v>382</v>
      </c>
      <c r="PIX31" s="3" t="s">
        <v>383</v>
      </c>
      <c r="PIY31" s="3" t="s">
        <v>382</v>
      </c>
      <c r="PIZ31" s="3" t="s">
        <v>383</v>
      </c>
      <c r="PJA31" s="3" t="s">
        <v>382</v>
      </c>
      <c r="PJB31" s="3" t="s">
        <v>383</v>
      </c>
      <c r="PJC31" s="3" t="s">
        <v>382</v>
      </c>
      <c r="PJD31" s="3" t="s">
        <v>383</v>
      </c>
      <c r="PJE31" s="3" t="s">
        <v>382</v>
      </c>
      <c r="PJF31" s="3" t="s">
        <v>383</v>
      </c>
      <c r="PJG31" s="3" t="s">
        <v>382</v>
      </c>
      <c r="PJH31" s="3" t="s">
        <v>383</v>
      </c>
      <c r="PJI31" s="3" t="s">
        <v>382</v>
      </c>
      <c r="PJJ31" s="3" t="s">
        <v>383</v>
      </c>
      <c r="PJK31" s="3" t="s">
        <v>382</v>
      </c>
      <c r="PJL31" s="3" t="s">
        <v>383</v>
      </c>
      <c r="PJM31" s="3" t="s">
        <v>382</v>
      </c>
      <c r="PJN31" s="3" t="s">
        <v>383</v>
      </c>
      <c r="PJO31" s="3" t="s">
        <v>382</v>
      </c>
      <c r="PJP31" s="3" t="s">
        <v>383</v>
      </c>
      <c r="PJQ31" s="3" t="s">
        <v>382</v>
      </c>
      <c r="PJR31" s="3" t="s">
        <v>383</v>
      </c>
      <c r="PJS31" s="3" t="s">
        <v>382</v>
      </c>
      <c r="PJT31" s="3" t="s">
        <v>383</v>
      </c>
      <c r="PJU31" s="3" t="s">
        <v>382</v>
      </c>
      <c r="PJV31" s="3" t="s">
        <v>383</v>
      </c>
      <c r="PJW31" s="3" t="s">
        <v>382</v>
      </c>
      <c r="PJX31" s="3" t="s">
        <v>383</v>
      </c>
      <c r="PJY31" s="3" t="s">
        <v>382</v>
      </c>
      <c r="PJZ31" s="3" t="s">
        <v>383</v>
      </c>
      <c r="PKA31" s="3" t="s">
        <v>382</v>
      </c>
      <c r="PKB31" s="3" t="s">
        <v>383</v>
      </c>
      <c r="PKC31" s="3" t="s">
        <v>382</v>
      </c>
      <c r="PKD31" s="3" t="s">
        <v>383</v>
      </c>
      <c r="PKE31" s="3" t="s">
        <v>382</v>
      </c>
      <c r="PKF31" s="3" t="s">
        <v>383</v>
      </c>
      <c r="PKG31" s="3" t="s">
        <v>382</v>
      </c>
      <c r="PKH31" s="3" t="s">
        <v>383</v>
      </c>
      <c r="PKI31" s="3" t="s">
        <v>382</v>
      </c>
      <c r="PKJ31" s="3" t="s">
        <v>383</v>
      </c>
      <c r="PKK31" s="3" t="s">
        <v>382</v>
      </c>
      <c r="PKL31" s="3" t="s">
        <v>383</v>
      </c>
      <c r="PKM31" s="3" t="s">
        <v>382</v>
      </c>
      <c r="PKN31" s="3" t="s">
        <v>383</v>
      </c>
      <c r="PKO31" s="3" t="s">
        <v>382</v>
      </c>
      <c r="PKP31" s="3" t="s">
        <v>383</v>
      </c>
      <c r="PKQ31" s="3" t="s">
        <v>382</v>
      </c>
      <c r="PKR31" s="3" t="s">
        <v>383</v>
      </c>
      <c r="PKS31" s="3" t="s">
        <v>382</v>
      </c>
      <c r="PKT31" s="3" t="s">
        <v>383</v>
      </c>
      <c r="PKU31" s="3" t="s">
        <v>382</v>
      </c>
      <c r="PKV31" s="3" t="s">
        <v>383</v>
      </c>
      <c r="PKW31" s="3" t="s">
        <v>382</v>
      </c>
      <c r="PKX31" s="3" t="s">
        <v>383</v>
      </c>
      <c r="PKY31" s="3" t="s">
        <v>382</v>
      </c>
      <c r="PKZ31" s="3" t="s">
        <v>383</v>
      </c>
      <c r="PLA31" s="3" t="s">
        <v>382</v>
      </c>
      <c r="PLB31" s="3" t="s">
        <v>383</v>
      </c>
      <c r="PLC31" s="3" t="s">
        <v>382</v>
      </c>
      <c r="PLD31" s="3" t="s">
        <v>383</v>
      </c>
      <c r="PLE31" s="3" t="s">
        <v>382</v>
      </c>
      <c r="PLF31" s="3" t="s">
        <v>383</v>
      </c>
      <c r="PLG31" s="3" t="s">
        <v>382</v>
      </c>
      <c r="PLH31" s="3" t="s">
        <v>383</v>
      </c>
      <c r="PLI31" s="3" t="s">
        <v>382</v>
      </c>
      <c r="PLJ31" s="3" t="s">
        <v>383</v>
      </c>
      <c r="PLK31" s="3" t="s">
        <v>382</v>
      </c>
      <c r="PLL31" s="3" t="s">
        <v>383</v>
      </c>
      <c r="PLM31" s="3" t="s">
        <v>382</v>
      </c>
      <c r="PLN31" s="3" t="s">
        <v>383</v>
      </c>
      <c r="PLO31" s="3" t="s">
        <v>382</v>
      </c>
      <c r="PLP31" s="3" t="s">
        <v>383</v>
      </c>
      <c r="PLQ31" s="3" t="s">
        <v>382</v>
      </c>
      <c r="PLR31" s="3" t="s">
        <v>383</v>
      </c>
      <c r="PLS31" s="3" t="s">
        <v>382</v>
      </c>
      <c r="PLT31" s="3" t="s">
        <v>383</v>
      </c>
      <c r="PLU31" s="3" t="s">
        <v>382</v>
      </c>
      <c r="PLV31" s="3" t="s">
        <v>383</v>
      </c>
      <c r="PLW31" s="3" t="s">
        <v>382</v>
      </c>
      <c r="PLX31" s="3" t="s">
        <v>383</v>
      </c>
      <c r="PLY31" s="3" t="s">
        <v>382</v>
      </c>
      <c r="PLZ31" s="3" t="s">
        <v>383</v>
      </c>
      <c r="PMA31" s="3" t="s">
        <v>382</v>
      </c>
      <c r="PMB31" s="3" t="s">
        <v>383</v>
      </c>
      <c r="PMC31" s="3" t="s">
        <v>382</v>
      </c>
      <c r="PMD31" s="3" t="s">
        <v>383</v>
      </c>
      <c r="PME31" s="3" t="s">
        <v>382</v>
      </c>
      <c r="PMF31" s="3" t="s">
        <v>383</v>
      </c>
      <c r="PMG31" s="3" t="s">
        <v>382</v>
      </c>
      <c r="PMH31" s="3" t="s">
        <v>383</v>
      </c>
      <c r="PMI31" s="3" t="s">
        <v>382</v>
      </c>
      <c r="PMJ31" s="3" t="s">
        <v>383</v>
      </c>
      <c r="PMK31" s="3" t="s">
        <v>382</v>
      </c>
      <c r="PML31" s="3" t="s">
        <v>383</v>
      </c>
      <c r="PMM31" s="3" t="s">
        <v>382</v>
      </c>
      <c r="PMN31" s="3" t="s">
        <v>383</v>
      </c>
      <c r="PMO31" s="3" t="s">
        <v>382</v>
      </c>
      <c r="PMP31" s="3" t="s">
        <v>383</v>
      </c>
      <c r="PMQ31" s="3" t="s">
        <v>382</v>
      </c>
      <c r="PMR31" s="3" t="s">
        <v>383</v>
      </c>
      <c r="PMS31" s="3" t="s">
        <v>382</v>
      </c>
      <c r="PMT31" s="3" t="s">
        <v>383</v>
      </c>
      <c r="PMU31" s="3" t="s">
        <v>382</v>
      </c>
      <c r="PMV31" s="3" t="s">
        <v>383</v>
      </c>
      <c r="PMW31" s="3" t="s">
        <v>382</v>
      </c>
      <c r="PMX31" s="3" t="s">
        <v>383</v>
      </c>
      <c r="PMY31" s="3" t="s">
        <v>382</v>
      </c>
      <c r="PMZ31" s="3" t="s">
        <v>383</v>
      </c>
      <c r="PNA31" s="3" t="s">
        <v>382</v>
      </c>
      <c r="PNB31" s="3" t="s">
        <v>383</v>
      </c>
      <c r="PNC31" s="3" t="s">
        <v>382</v>
      </c>
      <c r="PND31" s="3" t="s">
        <v>383</v>
      </c>
      <c r="PNE31" s="3" t="s">
        <v>382</v>
      </c>
      <c r="PNF31" s="3" t="s">
        <v>383</v>
      </c>
      <c r="PNG31" s="3" t="s">
        <v>382</v>
      </c>
      <c r="PNH31" s="3" t="s">
        <v>383</v>
      </c>
      <c r="PNI31" s="3" t="s">
        <v>382</v>
      </c>
      <c r="PNJ31" s="3" t="s">
        <v>383</v>
      </c>
      <c r="PNK31" s="3" t="s">
        <v>382</v>
      </c>
      <c r="PNL31" s="3" t="s">
        <v>383</v>
      </c>
      <c r="PNM31" s="3" t="s">
        <v>382</v>
      </c>
      <c r="PNN31" s="3" t="s">
        <v>383</v>
      </c>
      <c r="PNO31" s="3" t="s">
        <v>382</v>
      </c>
      <c r="PNP31" s="3" t="s">
        <v>383</v>
      </c>
      <c r="PNQ31" s="3" t="s">
        <v>382</v>
      </c>
      <c r="PNR31" s="3" t="s">
        <v>383</v>
      </c>
      <c r="PNS31" s="3" t="s">
        <v>382</v>
      </c>
      <c r="PNT31" s="3" t="s">
        <v>383</v>
      </c>
      <c r="PNU31" s="3" t="s">
        <v>382</v>
      </c>
      <c r="PNV31" s="3" t="s">
        <v>383</v>
      </c>
      <c r="PNW31" s="3" t="s">
        <v>382</v>
      </c>
      <c r="PNX31" s="3" t="s">
        <v>383</v>
      </c>
      <c r="PNY31" s="3" t="s">
        <v>382</v>
      </c>
      <c r="PNZ31" s="3" t="s">
        <v>383</v>
      </c>
      <c r="POA31" s="3" t="s">
        <v>382</v>
      </c>
      <c r="POB31" s="3" t="s">
        <v>383</v>
      </c>
      <c r="POC31" s="3" t="s">
        <v>382</v>
      </c>
      <c r="POD31" s="3" t="s">
        <v>383</v>
      </c>
      <c r="POE31" s="3" t="s">
        <v>382</v>
      </c>
      <c r="POF31" s="3" t="s">
        <v>383</v>
      </c>
      <c r="POG31" s="3" t="s">
        <v>382</v>
      </c>
      <c r="POH31" s="3" t="s">
        <v>383</v>
      </c>
      <c r="POI31" s="3" t="s">
        <v>382</v>
      </c>
      <c r="POJ31" s="3" t="s">
        <v>383</v>
      </c>
      <c r="POK31" s="3" t="s">
        <v>382</v>
      </c>
      <c r="POL31" s="3" t="s">
        <v>383</v>
      </c>
      <c r="POM31" s="3" t="s">
        <v>382</v>
      </c>
      <c r="PON31" s="3" t="s">
        <v>383</v>
      </c>
      <c r="POO31" s="3" t="s">
        <v>382</v>
      </c>
      <c r="POP31" s="3" t="s">
        <v>383</v>
      </c>
      <c r="POQ31" s="3" t="s">
        <v>382</v>
      </c>
      <c r="POR31" s="3" t="s">
        <v>383</v>
      </c>
      <c r="POS31" s="3" t="s">
        <v>382</v>
      </c>
      <c r="POT31" s="3" t="s">
        <v>383</v>
      </c>
      <c r="POU31" s="3" t="s">
        <v>382</v>
      </c>
      <c r="POV31" s="3" t="s">
        <v>383</v>
      </c>
      <c r="POW31" s="3" t="s">
        <v>382</v>
      </c>
      <c r="POX31" s="3" t="s">
        <v>383</v>
      </c>
      <c r="POY31" s="3" t="s">
        <v>382</v>
      </c>
      <c r="POZ31" s="3" t="s">
        <v>383</v>
      </c>
      <c r="PPA31" s="3" t="s">
        <v>382</v>
      </c>
      <c r="PPB31" s="3" t="s">
        <v>383</v>
      </c>
      <c r="PPC31" s="3" t="s">
        <v>382</v>
      </c>
      <c r="PPD31" s="3" t="s">
        <v>383</v>
      </c>
      <c r="PPE31" s="3" t="s">
        <v>382</v>
      </c>
      <c r="PPF31" s="3" t="s">
        <v>383</v>
      </c>
      <c r="PPG31" s="3" t="s">
        <v>382</v>
      </c>
      <c r="PPH31" s="3" t="s">
        <v>383</v>
      </c>
      <c r="PPI31" s="3" t="s">
        <v>382</v>
      </c>
      <c r="PPJ31" s="3" t="s">
        <v>383</v>
      </c>
      <c r="PPK31" s="3" t="s">
        <v>382</v>
      </c>
      <c r="PPL31" s="3" t="s">
        <v>383</v>
      </c>
      <c r="PPM31" s="3" t="s">
        <v>382</v>
      </c>
      <c r="PPN31" s="3" t="s">
        <v>383</v>
      </c>
      <c r="PPO31" s="3" t="s">
        <v>382</v>
      </c>
      <c r="PPP31" s="3" t="s">
        <v>383</v>
      </c>
      <c r="PPQ31" s="3" t="s">
        <v>382</v>
      </c>
      <c r="PPR31" s="3" t="s">
        <v>383</v>
      </c>
      <c r="PPS31" s="3" t="s">
        <v>382</v>
      </c>
      <c r="PPT31" s="3" t="s">
        <v>383</v>
      </c>
      <c r="PPU31" s="3" t="s">
        <v>382</v>
      </c>
      <c r="PPV31" s="3" t="s">
        <v>383</v>
      </c>
      <c r="PPW31" s="3" t="s">
        <v>382</v>
      </c>
      <c r="PPX31" s="3" t="s">
        <v>383</v>
      </c>
      <c r="PPY31" s="3" t="s">
        <v>382</v>
      </c>
      <c r="PPZ31" s="3" t="s">
        <v>383</v>
      </c>
      <c r="PQA31" s="3" t="s">
        <v>382</v>
      </c>
      <c r="PQB31" s="3" t="s">
        <v>383</v>
      </c>
      <c r="PQC31" s="3" t="s">
        <v>382</v>
      </c>
      <c r="PQD31" s="3" t="s">
        <v>383</v>
      </c>
      <c r="PQE31" s="3" t="s">
        <v>382</v>
      </c>
      <c r="PQF31" s="3" t="s">
        <v>383</v>
      </c>
      <c r="PQG31" s="3" t="s">
        <v>382</v>
      </c>
      <c r="PQH31" s="3" t="s">
        <v>383</v>
      </c>
      <c r="PQI31" s="3" t="s">
        <v>382</v>
      </c>
      <c r="PQJ31" s="3" t="s">
        <v>383</v>
      </c>
      <c r="PQK31" s="3" t="s">
        <v>382</v>
      </c>
      <c r="PQL31" s="3" t="s">
        <v>383</v>
      </c>
      <c r="PQM31" s="3" t="s">
        <v>382</v>
      </c>
      <c r="PQN31" s="3" t="s">
        <v>383</v>
      </c>
      <c r="PQO31" s="3" t="s">
        <v>382</v>
      </c>
      <c r="PQP31" s="3" t="s">
        <v>383</v>
      </c>
      <c r="PQQ31" s="3" t="s">
        <v>382</v>
      </c>
      <c r="PQR31" s="3" t="s">
        <v>383</v>
      </c>
      <c r="PQS31" s="3" t="s">
        <v>382</v>
      </c>
      <c r="PQT31" s="3" t="s">
        <v>383</v>
      </c>
      <c r="PQU31" s="3" t="s">
        <v>382</v>
      </c>
      <c r="PQV31" s="3" t="s">
        <v>383</v>
      </c>
      <c r="PQW31" s="3" t="s">
        <v>382</v>
      </c>
      <c r="PQX31" s="3" t="s">
        <v>383</v>
      </c>
      <c r="PQY31" s="3" t="s">
        <v>382</v>
      </c>
      <c r="PQZ31" s="3" t="s">
        <v>383</v>
      </c>
      <c r="PRA31" s="3" t="s">
        <v>382</v>
      </c>
      <c r="PRB31" s="3" t="s">
        <v>383</v>
      </c>
      <c r="PRC31" s="3" t="s">
        <v>382</v>
      </c>
      <c r="PRD31" s="3" t="s">
        <v>383</v>
      </c>
      <c r="PRE31" s="3" t="s">
        <v>382</v>
      </c>
      <c r="PRF31" s="3" t="s">
        <v>383</v>
      </c>
      <c r="PRG31" s="3" t="s">
        <v>382</v>
      </c>
      <c r="PRH31" s="3" t="s">
        <v>383</v>
      </c>
      <c r="PRI31" s="3" t="s">
        <v>382</v>
      </c>
      <c r="PRJ31" s="3" t="s">
        <v>383</v>
      </c>
      <c r="PRK31" s="3" t="s">
        <v>382</v>
      </c>
      <c r="PRL31" s="3" t="s">
        <v>383</v>
      </c>
      <c r="PRM31" s="3" t="s">
        <v>382</v>
      </c>
      <c r="PRN31" s="3" t="s">
        <v>383</v>
      </c>
      <c r="PRO31" s="3" t="s">
        <v>382</v>
      </c>
      <c r="PRP31" s="3" t="s">
        <v>383</v>
      </c>
      <c r="PRQ31" s="3" t="s">
        <v>382</v>
      </c>
      <c r="PRR31" s="3" t="s">
        <v>383</v>
      </c>
      <c r="PRS31" s="3" t="s">
        <v>382</v>
      </c>
      <c r="PRT31" s="3" t="s">
        <v>383</v>
      </c>
      <c r="PRU31" s="3" t="s">
        <v>382</v>
      </c>
      <c r="PRV31" s="3" t="s">
        <v>383</v>
      </c>
      <c r="PRW31" s="3" t="s">
        <v>382</v>
      </c>
      <c r="PRX31" s="3" t="s">
        <v>383</v>
      </c>
      <c r="PRY31" s="3" t="s">
        <v>382</v>
      </c>
      <c r="PRZ31" s="3" t="s">
        <v>383</v>
      </c>
      <c r="PSA31" s="3" t="s">
        <v>382</v>
      </c>
      <c r="PSB31" s="3" t="s">
        <v>383</v>
      </c>
      <c r="PSC31" s="3" t="s">
        <v>382</v>
      </c>
      <c r="PSD31" s="3" t="s">
        <v>383</v>
      </c>
      <c r="PSE31" s="3" t="s">
        <v>382</v>
      </c>
      <c r="PSF31" s="3" t="s">
        <v>383</v>
      </c>
      <c r="PSG31" s="3" t="s">
        <v>382</v>
      </c>
      <c r="PSH31" s="3" t="s">
        <v>383</v>
      </c>
      <c r="PSI31" s="3" t="s">
        <v>382</v>
      </c>
      <c r="PSJ31" s="3" t="s">
        <v>383</v>
      </c>
      <c r="PSK31" s="3" t="s">
        <v>382</v>
      </c>
      <c r="PSL31" s="3" t="s">
        <v>383</v>
      </c>
      <c r="PSM31" s="3" t="s">
        <v>382</v>
      </c>
      <c r="PSN31" s="3" t="s">
        <v>383</v>
      </c>
      <c r="PSO31" s="3" t="s">
        <v>382</v>
      </c>
      <c r="PSP31" s="3" t="s">
        <v>383</v>
      </c>
      <c r="PSQ31" s="3" t="s">
        <v>382</v>
      </c>
      <c r="PSR31" s="3" t="s">
        <v>383</v>
      </c>
      <c r="PSS31" s="3" t="s">
        <v>382</v>
      </c>
      <c r="PST31" s="3" t="s">
        <v>383</v>
      </c>
      <c r="PSU31" s="3" t="s">
        <v>382</v>
      </c>
      <c r="PSV31" s="3" t="s">
        <v>383</v>
      </c>
      <c r="PSW31" s="3" t="s">
        <v>382</v>
      </c>
      <c r="PSX31" s="3" t="s">
        <v>383</v>
      </c>
      <c r="PSY31" s="3" t="s">
        <v>382</v>
      </c>
      <c r="PSZ31" s="3" t="s">
        <v>383</v>
      </c>
      <c r="PTA31" s="3" t="s">
        <v>382</v>
      </c>
      <c r="PTB31" s="3" t="s">
        <v>383</v>
      </c>
      <c r="PTC31" s="3" t="s">
        <v>382</v>
      </c>
      <c r="PTD31" s="3" t="s">
        <v>383</v>
      </c>
      <c r="PTE31" s="3" t="s">
        <v>382</v>
      </c>
      <c r="PTF31" s="3" t="s">
        <v>383</v>
      </c>
      <c r="PTG31" s="3" t="s">
        <v>382</v>
      </c>
      <c r="PTH31" s="3" t="s">
        <v>383</v>
      </c>
      <c r="PTI31" s="3" t="s">
        <v>382</v>
      </c>
      <c r="PTJ31" s="3" t="s">
        <v>383</v>
      </c>
      <c r="PTK31" s="3" t="s">
        <v>382</v>
      </c>
      <c r="PTL31" s="3" t="s">
        <v>383</v>
      </c>
      <c r="PTM31" s="3" t="s">
        <v>382</v>
      </c>
      <c r="PTN31" s="3" t="s">
        <v>383</v>
      </c>
      <c r="PTO31" s="3" t="s">
        <v>382</v>
      </c>
      <c r="PTP31" s="3" t="s">
        <v>383</v>
      </c>
      <c r="PTQ31" s="3" t="s">
        <v>382</v>
      </c>
      <c r="PTR31" s="3" t="s">
        <v>383</v>
      </c>
      <c r="PTS31" s="3" t="s">
        <v>382</v>
      </c>
      <c r="PTT31" s="3" t="s">
        <v>383</v>
      </c>
      <c r="PTU31" s="3" t="s">
        <v>382</v>
      </c>
      <c r="PTV31" s="3" t="s">
        <v>383</v>
      </c>
      <c r="PTW31" s="3" t="s">
        <v>382</v>
      </c>
      <c r="PTX31" s="3" t="s">
        <v>383</v>
      </c>
      <c r="PTY31" s="3" t="s">
        <v>382</v>
      </c>
      <c r="PTZ31" s="3" t="s">
        <v>383</v>
      </c>
      <c r="PUA31" s="3" t="s">
        <v>382</v>
      </c>
      <c r="PUB31" s="3" t="s">
        <v>383</v>
      </c>
      <c r="PUC31" s="3" t="s">
        <v>382</v>
      </c>
      <c r="PUD31" s="3" t="s">
        <v>383</v>
      </c>
      <c r="PUE31" s="3" t="s">
        <v>382</v>
      </c>
      <c r="PUF31" s="3" t="s">
        <v>383</v>
      </c>
      <c r="PUG31" s="3" t="s">
        <v>382</v>
      </c>
      <c r="PUH31" s="3" t="s">
        <v>383</v>
      </c>
      <c r="PUI31" s="3" t="s">
        <v>382</v>
      </c>
      <c r="PUJ31" s="3" t="s">
        <v>383</v>
      </c>
      <c r="PUK31" s="3" t="s">
        <v>382</v>
      </c>
      <c r="PUL31" s="3" t="s">
        <v>383</v>
      </c>
      <c r="PUM31" s="3" t="s">
        <v>382</v>
      </c>
      <c r="PUN31" s="3" t="s">
        <v>383</v>
      </c>
      <c r="PUO31" s="3" t="s">
        <v>382</v>
      </c>
      <c r="PUP31" s="3" t="s">
        <v>383</v>
      </c>
      <c r="PUQ31" s="3" t="s">
        <v>382</v>
      </c>
      <c r="PUR31" s="3" t="s">
        <v>383</v>
      </c>
      <c r="PUS31" s="3" t="s">
        <v>382</v>
      </c>
      <c r="PUT31" s="3" t="s">
        <v>383</v>
      </c>
      <c r="PUU31" s="3" t="s">
        <v>382</v>
      </c>
      <c r="PUV31" s="3" t="s">
        <v>383</v>
      </c>
      <c r="PUW31" s="3" t="s">
        <v>382</v>
      </c>
      <c r="PUX31" s="3" t="s">
        <v>383</v>
      </c>
      <c r="PUY31" s="3" t="s">
        <v>382</v>
      </c>
      <c r="PUZ31" s="3" t="s">
        <v>383</v>
      </c>
      <c r="PVA31" s="3" t="s">
        <v>382</v>
      </c>
      <c r="PVB31" s="3" t="s">
        <v>383</v>
      </c>
      <c r="PVC31" s="3" t="s">
        <v>382</v>
      </c>
      <c r="PVD31" s="3" t="s">
        <v>383</v>
      </c>
      <c r="PVE31" s="3" t="s">
        <v>382</v>
      </c>
      <c r="PVF31" s="3" t="s">
        <v>383</v>
      </c>
      <c r="PVG31" s="3" t="s">
        <v>382</v>
      </c>
      <c r="PVH31" s="3" t="s">
        <v>383</v>
      </c>
      <c r="PVI31" s="3" t="s">
        <v>382</v>
      </c>
      <c r="PVJ31" s="3" t="s">
        <v>383</v>
      </c>
      <c r="PVK31" s="3" t="s">
        <v>382</v>
      </c>
      <c r="PVL31" s="3" t="s">
        <v>383</v>
      </c>
      <c r="PVM31" s="3" t="s">
        <v>382</v>
      </c>
      <c r="PVN31" s="3" t="s">
        <v>383</v>
      </c>
      <c r="PVO31" s="3" t="s">
        <v>382</v>
      </c>
      <c r="PVP31" s="3" t="s">
        <v>383</v>
      </c>
      <c r="PVQ31" s="3" t="s">
        <v>382</v>
      </c>
      <c r="PVR31" s="3" t="s">
        <v>383</v>
      </c>
      <c r="PVS31" s="3" t="s">
        <v>382</v>
      </c>
      <c r="PVT31" s="3" t="s">
        <v>383</v>
      </c>
      <c r="PVU31" s="3" t="s">
        <v>382</v>
      </c>
      <c r="PVV31" s="3" t="s">
        <v>383</v>
      </c>
      <c r="PVW31" s="3" t="s">
        <v>382</v>
      </c>
      <c r="PVX31" s="3" t="s">
        <v>383</v>
      </c>
      <c r="PVY31" s="3" t="s">
        <v>382</v>
      </c>
      <c r="PVZ31" s="3" t="s">
        <v>383</v>
      </c>
      <c r="PWA31" s="3" t="s">
        <v>382</v>
      </c>
      <c r="PWB31" s="3" t="s">
        <v>383</v>
      </c>
      <c r="PWC31" s="3" t="s">
        <v>382</v>
      </c>
      <c r="PWD31" s="3" t="s">
        <v>383</v>
      </c>
      <c r="PWE31" s="3" t="s">
        <v>382</v>
      </c>
      <c r="PWF31" s="3" t="s">
        <v>383</v>
      </c>
      <c r="PWG31" s="3" t="s">
        <v>382</v>
      </c>
      <c r="PWH31" s="3" t="s">
        <v>383</v>
      </c>
      <c r="PWI31" s="3" t="s">
        <v>382</v>
      </c>
      <c r="PWJ31" s="3" t="s">
        <v>383</v>
      </c>
      <c r="PWK31" s="3" t="s">
        <v>382</v>
      </c>
      <c r="PWL31" s="3" t="s">
        <v>383</v>
      </c>
      <c r="PWM31" s="3" t="s">
        <v>382</v>
      </c>
      <c r="PWN31" s="3" t="s">
        <v>383</v>
      </c>
      <c r="PWO31" s="3" t="s">
        <v>382</v>
      </c>
      <c r="PWP31" s="3" t="s">
        <v>383</v>
      </c>
      <c r="PWQ31" s="3" t="s">
        <v>382</v>
      </c>
      <c r="PWR31" s="3" t="s">
        <v>383</v>
      </c>
      <c r="PWS31" s="3" t="s">
        <v>382</v>
      </c>
      <c r="PWT31" s="3" t="s">
        <v>383</v>
      </c>
      <c r="PWU31" s="3" t="s">
        <v>382</v>
      </c>
      <c r="PWV31" s="3" t="s">
        <v>383</v>
      </c>
      <c r="PWW31" s="3" t="s">
        <v>382</v>
      </c>
      <c r="PWX31" s="3" t="s">
        <v>383</v>
      </c>
      <c r="PWY31" s="3" t="s">
        <v>382</v>
      </c>
      <c r="PWZ31" s="3" t="s">
        <v>383</v>
      </c>
      <c r="PXA31" s="3" t="s">
        <v>382</v>
      </c>
      <c r="PXB31" s="3" t="s">
        <v>383</v>
      </c>
      <c r="PXC31" s="3" t="s">
        <v>382</v>
      </c>
      <c r="PXD31" s="3" t="s">
        <v>383</v>
      </c>
      <c r="PXE31" s="3" t="s">
        <v>382</v>
      </c>
      <c r="PXF31" s="3" t="s">
        <v>383</v>
      </c>
      <c r="PXG31" s="3" t="s">
        <v>382</v>
      </c>
      <c r="PXH31" s="3" t="s">
        <v>383</v>
      </c>
      <c r="PXI31" s="3" t="s">
        <v>382</v>
      </c>
      <c r="PXJ31" s="3" t="s">
        <v>383</v>
      </c>
      <c r="PXK31" s="3" t="s">
        <v>382</v>
      </c>
      <c r="PXL31" s="3" t="s">
        <v>383</v>
      </c>
      <c r="PXM31" s="3" t="s">
        <v>382</v>
      </c>
      <c r="PXN31" s="3" t="s">
        <v>383</v>
      </c>
      <c r="PXO31" s="3" t="s">
        <v>382</v>
      </c>
      <c r="PXP31" s="3" t="s">
        <v>383</v>
      </c>
      <c r="PXQ31" s="3" t="s">
        <v>382</v>
      </c>
      <c r="PXR31" s="3" t="s">
        <v>383</v>
      </c>
      <c r="PXS31" s="3" t="s">
        <v>382</v>
      </c>
      <c r="PXT31" s="3" t="s">
        <v>383</v>
      </c>
      <c r="PXU31" s="3" t="s">
        <v>382</v>
      </c>
      <c r="PXV31" s="3" t="s">
        <v>383</v>
      </c>
      <c r="PXW31" s="3" t="s">
        <v>382</v>
      </c>
      <c r="PXX31" s="3" t="s">
        <v>383</v>
      </c>
      <c r="PXY31" s="3" t="s">
        <v>382</v>
      </c>
      <c r="PXZ31" s="3" t="s">
        <v>383</v>
      </c>
      <c r="PYA31" s="3" t="s">
        <v>382</v>
      </c>
      <c r="PYB31" s="3" t="s">
        <v>383</v>
      </c>
      <c r="PYC31" s="3" t="s">
        <v>382</v>
      </c>
      <c r="PYD31" s="3" t="s">
        <v>383</v>
      </c>
      <c r="PYE31" s="3" t="s">
        <v>382</v>
      </c>
      <c r="PYF31" s="3" t="s">
        <v>383</v>
      </c>
      <c r="PYG31" s="3" t="s">
        <v>382</v>
      </c>
      <c r="PYH31" s="3" t="s">
        <v>383</v>
      </c>
      <c r="PYI31" s="3" t="s">
        <v>382</v>
      </c>
      <c r="PYJ31" s="3" t="s">
        <v>383</v>
      </c>
      <c r="PYK31" s="3" t="s">
        <v>382</v>
      </c>
      <c r="PYL31" s="3" t="s">
        <v>383</v>
      </c>
      <c r="PYM31" s="3" t="s">
        <v>382</v>
      </c>
      <c r="PYN31" s="3" t="s">
        <v>383</v>
      </c>
      <c r="PYO31" s="3" t="s">
        <v>382</v>
      </c>
      <c r="PYP31" s="3" t="s">
        <v>383</v>
      </c>
      <c r="PYQ31" s="3" t="s">
        <v>382</v>
      </c>
      <c r="PYR31" s="3" t="s">
        <v>383</v>
      </c>
      <c r="PYS31" s="3" t="s">
        <v>382</v>
      </c>
      <c r="PYT31" s="3" t="s">
        <v>383</v>
      </c>
      <c r="PYU31" s="3" t="s">
        <v>382</v>
      </c>
      <c r="PYV31" s="3" t="s">
        <v>383</v>
      </c>
      <c r="PYW31" s="3" t="s">
        <v>382</v>
      </c>
      <c r="PYX31" s="3" t="s">
        <v>383</v>
      </c>
      <c r="PYY31" s="3" t="s">
        <v>382</v>
      </c>
      <c r="PYZ31" s="3" t="s">
        <v>383</v>
      </c>
      <c r="PZA31" s="3" t="s">
        <v>382</v>
      </c>
      <c r="PZB31" s="3" t="s">
        <v>383</v>
      </c>
      <c r="PZC31" s="3" t="s">
        <v>382</v>
      </c>
      <c r="PZD31" s="3" t="s">
        <v>383</v>
      </c>
      <c r="PZE31" s="3" t="s">
        <v>382</v>
      </c>
      <c r="PZF31" s="3" t="s">
        <v>383</v>
      </c>
      <c r="PZG31" s="3" t="s">
        <v>382</v>
      </c>
      <c r="PZH31" s="3" t="s">
        <v>383</v>
      </c>
      <c r="PZI31" s="3" t="s">
        <v>382</v>
      </c>
      <c r="PZJ31" s="3" t="s">
        <v>383</v>
      </c>
      <c r="PZK31" s="3" t="s">
        <v>382</v>
      </c>
      <c r="PZL31" s="3" t="s">
        <v>383</v>
      </c>
      <c r="PZM31" s="3" t="s">
        <v>382</v>
      </c>
      <c r="PZN31" s="3" t="s">
        <v>383</v>
      </c>
      <c r="PZO31" s="3" t="s">
        <v>382</v>
      </c>
      <c r="PZP31" s="3" t="s">
        <v>383</v>
      </c>
      <c r="PZQ31" s="3" t="s">
        <v>382</v>
      </c>
      <c r="PZR31" s="3" t="s">
        <v>383</v>
      </c>
      <c r="PZS31" s="3" t="s">
        <v>382</v>
      </c>
      <c r="PZT31" s="3" t="s">
        <v>383</v>
      </c>
      <c r="PZU31" s="3" t="s">
        <v>382</v>
      </c>
      <c r="PZV31" s="3" t="s">
        <v>383</v>
      </c>
      <c r="PZW31" s="3" t="s">
        <v>382</v>
      </c>
      <c r="PZX31" s="3" t="s">
        <v>383</v>
      </c>
      <c r="PZY31" s="3" t="s">
        <v>382</v>
      </c>
      <c r="PZZ31" s="3" t="s">
        <v>383</v>
      </c>
      <c r="QAA31" s="3" t="s">
        <v>382</v>
      </c>
      <c r="QAB31" s="3" t="s">
        <v>383</v>
      </c>
      <c r="QAC31" s="3" t="s">
        <v>382</v>
      </c>
      <c r="QAD31" s="3" t="s">
        <v>383</v>
      </c>
      <c r="QAE31" s="3" t="s">
        <v>382</v>
      </c>
      <c r="QAF31" s="3" t="s">
        <v>383</v>
      </c>
      <c r="QAG31" s="3" t="s">
        <v>382</v>
      </c>
      <c r="QAH31" s="3" t="s">
        <v>383</v>
      </c>
      <c r="QAI31" s="3" t="s">
        <v>382</v>
      </c>
      <c r="QAJ31" s="3" t="s">
        <v>383</v>
      </c>
      <c r="QAK31" s="3" t="s">
        <v>382</v>
      </c>
      <c r="QAL31" s="3" t="s">
        <v>383</v>
      </c>
      <c r="QAM31" s="3" t="s">
        <v>382</v>
      </c>
      <c r="QAN31" s="3" t="s">
        <v>383</v>
      </c>
      <c r="QAO31" s="3" t="s">
        <v>382</v>
      </c>
      <c r="QAP31" s="3" t="s">
        <v>383</v>
      </c>
      <c r="QAQ31" s="3" t="s">
        <v>382</v>
      </c>
      <c r="QAR31" s="3" t="s">
        <v>383</v>
      </c>
      <c r="QAS31" s="3" t="s">
        <v>382</v>
      </c>
      <c r="QAT31" s="3" t="s">
        <v>383</v>
      </c>
      <c r="QAU31" s="3" t="s">
        <v>382</v>
      </c>
      <c r="QAV31" s="3" t="s">
        <v>383</v>
      </c>
      <c r="QAW31" s="3" t="s">
        <v>382</v>
      </c>
      <c r="QAX31" s="3" t="s">
        <v>383</v>
      </c>
      <c r="QAY31" s="3" t="s">
        <v>382</v>
      </c>
      <c r="QAZ31" s="3" t="s">
        <v>383</v>
      </c>
      <c r="QBA31" s="3" t="s">
        <v>382</v>
      </c>
      <c r="QBB31" s="3" t="s">
        <v>383</v>
      </c>
      <c r="QBC31" s="3" t="s">
        <v>382</v>
      </c>
      <c r="QBD31" s="3" t="s">
        <v>383</v>
      </c>
      <c r="QBE31" s="3" t="s">
        <v>382</v>
      </c>
      <c r="QBF31" s="3" t="s">
        <v>383</v>
      </c>
      <c r="QBG31" s="3" t="s">
        <v>382</v>
      </c>
      <c r="QBH31" s="3" t="s">
        <v>383</v>
      </c>
      <c r="QBI31" s="3" t="s">
        <v>382</v>
      </c>
      <c r="QBJ31" s="3" t="s">
        <v>383</v>
      </c>
      <c r="QBK31" s="3" t="s">
        <v>382</v>
      </c>
      <c r="QBL31" s="3" t="s">
        <v>383</v>
      </c>
      <c r="QBM31" s="3" t="s">
        <v>382</v>
      </c>
      <c r="QBN31" s="3" t="s">
        <v>383</v>
      </c>
      <c r="QBO31" s="3" t="s">
        <v>382</v>
      </c>
      <c r="QBP31" s="3" t="s">
        <v>383</v>
      </c>
      <c r="QBQ31" s="3" t="s">
        <v>382</v>
      </c>
      <c r="QBR31" s="3" t="s">
        <v>383</v>
      </c>
      <c r="QBS31" s="3" t="s">
        <v>382</v>
      </c>
      <c r="QBT31" s="3" t="s">
        <v>383</v>
      </c>
      <c r="QBU31" s="3" t="s">
        <v>382</v>
      </c>
      <c r="QBV31" s="3" t="s">
        <v>383</v>
      </c>
      <c r="QBW31" s="3" t="s">
        <v>382</v>
      </c>
      <c r="QBX31" s="3" t="s">
        <v>383</v>
      </c>
      <c r="QBY31" s="3" t="s">
        <v>382</v>
      </c>
      <c r="QBZ31" s="3" t="s">
        <v>383</v>
      </c>
      <c r="QCA31" s="3" t="s">
        <v>382</v>
      </c>
      <c r="QCB31" s="3" t="s">
        <v>383</v>
      </c>
      <c r="QCC31" s="3" t="s">
        <v>382</v>
      </c>
      <c r="QCD31" s="3" t="s">
        <v>383</v>
      </c>
      <c r="QCE31" s="3" t="s">
        <v>382</v>
      </c>
      <c r="QCF31" s="3" t="s">
        <v>383</v>
      </c>
      <c r="QCG31" s="3" t="s">
        <v>382</v>
      </c>
      <c r="QCH31" s="3" t="s">
        <v>383</v>
      </c>
      <c r="QCI31" s="3" t="s">
        <v>382</v>
      </c>
      <c r="QCJ31" s="3" t="s">
        <v>383</v>
      </c>
      <c r="QCK31" s="3" t="s">
        <v>382</v>
      </c>
      <c r="QCL31" s="3" t="s">
        <v>383</v>
      </c>
      <c r="QCM31" s="3" t="s">
        <v>382</v>
      </c>
      <c r="QCN31" s="3" t="s">
        <v>383</v>
      </c>
      <c r="QCO31" s="3" t="s">
        <v>382</v>
      </c>
      <c r="QCP31" s="3" t="s">
        <v>383</v>
      </c>
      <c r="QCQ31" s="3" t="s">
        <v>382</v>
      </c>
      <c r="QCR31" s="3" t="s">
        <v>383</v>
      </c>
      <c r="QCS31" s="3" t="s">
        <v>382</v>
      </c>
      <c r="QCT31" s="3" t="s">
        <v>383</v>
      </c>
      <c r="QCU31" s="3" t="s">
        <v>382</v>
      </c>
      <c r="QCV31" s="3" t="s">
        <v>383</v>
      </c>
      <c r="QCW31" s="3" t="s">
        <v>382</v>
      </c>
      <c r="QCX31" s="3" t="s">
        <v>383</v>
      </c>
      <c r="QCY31" s="3" t="s">
        <v>382</v>
      </c>
      <c r="QCZ31" s="3" t="s">
        <v>383</v>
      </c>
      <c r="QDA31" s="3" t="s">
        <v>382</v>
      </c>
      <c r="QDB31" s="3" t="s">
        <v>383</v>
      </c>
      <c r="QDC31" s="3" t="s">
        <v>382</v>
      </c>
      <c r="QDD31" s="3" t="s">
        <v>383</v>
      </c>
      <c r="QDE31" s="3" t="s">
        <v>382</v>
      </c>
      <c r="QDF31" s="3" t="s">
        <v>383</v>
      </c>
      <c r="QDG31" s="3" t="s">
        <v>382</v>
      </c>
      <c r="QDH31" s="3" t="s">
        <v>383</v>
      </c>
      <c r="QDI31" s="3" t="s">
        <v>382</v>
      </c>
      <c r="QDJ31" s="3" t="s">
        <v>383</v>
      </c>
      <c r="QDK31" s="3" t="s">
        <v>382</v>
      </c>
      <c r="QDL31" s="3" t="s">
        <v>383</v>
      </c>
      <c r="QDM31" s="3" t="s">
        <v>382</v>
      </c>
      <c r="QDN31" s="3" t="s">
        <v>383</v>
      </c>
      <c r="QDO31" s="3" t="s">
        <v>382</v>
      </c>
      <c r="QDP31" s="3" t="s">
        <v>383</v>
      </c>
      <c r="QDQ31" s="3" t="s">
        <v>382</v>
      </c>
      <c r="QDR31" s="3" t="s">
        <v>383</v>
      </c>
      <c r="QDS31" s="3" t="s">
        <v>382</v>
      </c>
      <c r="QDT31" s="3" t="s">
        <v>383</v>
      </c>
      <c r="QDU31" s="3" t="s">
        <v>382</v>
      </c>
      <c r="QDV31" s="3" t="s">
        <v>383</v>
      </c>
      <c r="QDW31" s="3" t="s">
        <v>382</v>
      </c>
      <c r="QDX31" s="3" t="s">
        <v>383</v>
      </c>
      <c r="QDY31" s="3" t="s">
        <v>382</v>
      </c>
      <c r="QDZ31" s="3" t="s">
        <v>383</v>
      </c>
      <c r="QEA31" s="3" t="s">
        <v>382</v>
      </c>
      <c r="QEB31" s="3" t="s">
        <v>383</v>
      </c>
      <c r="QEC31" s="3" t="s">
        <v>382</v>
      </c>
      <c r="QED31" s="3" t="s">
        <v>383</v>
      </c>
      <c r="QEE31" s="3" t="s">
        <v>382</v>
      </c>
      <c r="QEF31" s="3" t="s">
        <v>383</v>
      </c>
      <c r="QEG31" s="3" t="s">
        <v>382</v>
      </c>
      <c r="QEH31" s="3" t="s">
        <v>383</v>
      </c>
      <c r="QEI31" s="3" t="s">
        <v>382</v>
      </c>
      <c r="QEJ31" s="3" t="s">
        <v>383</v>
      </c>
      <c r="QEK31" s="3" t="s">
        <v>382</v>
      </c>
      <c r="QEL31" s="3" t="s">
        <v>383</v>
      </c>
      <c r="QEM31" s="3" t="s">
        <v>382</v>
      </c>
      <c r="QEN31" s="3" t="s">
        <v>383</v>
      </c>
      <c r="QEO31" s="3" t="s">
        <v>382</v>
      </c>
      <c r="QEP31" s="3" t="s">
        <v>383</v>
      </c>
      <c r="QEQ31" s="3" t="s">
        <v>382</v>
      </c>
      <c r="QER31" s="3" t="s">
        <v>383</v>
      </c>
      <c r="QES31" s="3" t="s">
        <v>382</v>
      </c>
      <c r="QET31" s="3" t="s">
        <v>383</v>
      </c>
      <c r="QEU31" s="3" t="s">
        <v>382</v>
      </c>
      <c r="QEV31" s="3" t="s">
        <v>383</v>
      </c>
      <c r="QEW31" s="3" t="s">
        <v>382</v>
      </c>
      <c r="QEX31" s="3" t="s">
        <v>383</v>
      </c>
      <c r="QEY31" s="3" t="s">
        <v>382</v>
      </c>
      <c r="QEZ31" s="3" t="s">
        <v>383</v>
      </c>
      <c r="QFA31" s="3" t="s">
        <v>382</v>
      </c>
      <c r="QFB31" s="3" t="s">
        <v>383</v>
      </c>
      <c r="QFC31" s="3" t="s">
        <v>382</v>
      </c>
      <c r="QFD31" s="3" t="s">
        <v>383</v>
      </c>
      <c r="QFE31" s="3" t="s">
        <v>382</v>
      </c>
      <c r="QFF31" s="3" t="s">
        <v>383</v>
      </c>
      <c r="QFG31" s="3" t="s">
        <v>382</v>
      </c>
      <c r="QFH31" s="3" t="s">
        <v>383</v>
      </c>
      <c r="QFI31" s="3" t="s">
        <v>382</v>
      </c>
      <c r="QFJ31" s="3" t="s">
        <v>383</v>
      </c>
      <c r="QFK31" s="3" t="s">
        <v>382</v>
      </c>
      <c r="QFL31" s="3" t="s">
        <v>383</v>
      </c>
      <c r="QFM31" s="3" t="s">
        <v>382</v>
      </c>
      <c r="QFN31" s="3" t="s">
        <v>383</v>
      </c>
      <c r="QFO31" s="3" t="s">
        <v>382</v>
      </c>
      <c r="QFP31" s="3" t="s">
        <v>383</v>
      </c>
      <c r="QFQ31" s="3" t="s">
        <v>382</v>
      </c>
      <c r="QFR31" s="3" t="s">
        <v>383</v>
      </c>
      <c r="QFS31" s="3" t="s">
        <v>382</v>
      </c>
      <c r="QFT31" s="3" t="s">
        <v>383</v>
      </c>
      <c r="QFU31" s="3" t="s">
        <v>382</v>
      </c>
      <c r="QFV31" s="3" t="s">
        <v>383</v>
      </c>
      <c r="QFW31" s="3" t="s">
        <v>382</v>
      </c>
      <c r="QFX31" s="3" t="s">
        <v>383</v>
      </c>
      <c r="QFY31" s="3" t="s">
        <v>382</v>
      </c>
      <c r="QFZ31" s="3" t="s">
        <v>383</v>
      </c>
      <c r="QGA31" s="3" t="s">
        <v>382</v>
      </c>
      <c r="QGB31" s="3" t="s">
        <v>383</v>
      </c>
      <c r="QGC31" s="3" t="s">
        <v>382</v>
      </c>
      <c r="QGD31" s="3" t="s">
        <v>383</v>
      </c>
      <c r="QGE31" s="3" t="s">
        <v>382</v>
      </c>
      <c r="QGF31" s="3" t="s">
        <v>383</v>
      </c>
      <c r="QGG31" s="3" t="s">
        <v>382</v>
      </c>
      <c r="QGH31" s="3" t="s">
        <v>383</v>
      </c>
      <c r="QGI31" s="3" t="s">
        <v>382</v>
      </c>
      <c r="QGJ31" s="3" t="s">
        <v>383</v>
      </c>
      <c r="QGK31" s="3" t="s">
        <v>382</v>
      </c>
      <c r="QGL31" s="3" t="s">
        <v>383</v>
      </c>
      <c r="QGM31" s="3" t="s">
        <v>382</v>
      </c>
      <c r="QGN31" s="3" t="s">
        <v>383</v>
      </c>
      <c r="QGO31" s="3" t="s">
        <v>382</v>
      </c>
      <c r="QGP31" s="3" t="s">
        <v>383</v>
      </c>
      <c r="QGQ31" s="3" t="s">
        <v>382</v>
      </c>
      <c r="QGR31" s="3" t="s">
        <v>383</v>
      </c>
      <c r="QGS31" s="3" t="s">
        <v>382</v>
      </c>
      <c r="QGT31" s="3" t="s">
        <v>383</v>
      </c>
      <c r="QGU31" s="3" t="s">
        <v>382</v>
      </c>
      <c r="QGV31" s="3" t="s">
        <v>383</v>
      </c>
      <c r="QGW31" s="3" t="s">
        <v>382</v>
      </c>
      <c r="QGX31" s="3" t="s">
        <v>383</v>
      </c>
      <c r="QGY31" s="3" t="s">
        <v>382</v>
      </c>
      <c r="QGZ31" s="3" t="s">
        <v>383</v>
      </c>
      <c r="QHA31" s="3" t="s">
        <v>382</v>
      </c>
      <c r="QHB31" s="3" t="s">
        <v>383</v>
      </c>
      <c r="QHC31" s="3" t="s">
        <v>382</v>
      </c>
      <c r="QHD31" s="3" t="s">
        <v>383</v>
      </c>
      <c r="QHE31" s="3" t="s">
        <v>382</v>
      </c>
      <c r="QHF31" s="3" t="s">
        <v>383</v>
      </c>
      <c r="QHG31" s="3" t="s">
        <v>382</v>
      </c>
      <c r="QHH31" s="3" t="s">
        <v>383</v>
      </c>
      <c r="QHI31" s="3" t="s">
        <v>382</v>
      </c>
      <c r="QHJ31" s="3" t="s">
        <v>383</v>
      </c>
      <c r="QHK31" s="3" t="s">
        <v>382</v>
      </c>
      <c r="QHL31" s="3" t="s">
        <v>383</v>
      </c>
      <c r="QHM31" s="3" t="s">
        <v>382</v>
      </c>
      <c r="QHN31" s="3" t="s">
        <v>383</v>
      </c>
      <c r="QHO31" s="3" t="s">
        <v>382</v>
      </c>
      <c r="QHP31" s="3" t="s">
        <v>383</v>
      </c>
      <c r="QHQ31" s="3" t="s">
        <v>382</v>
      </c>
      <c r="QHR31" s="3" t="s">
        <v>383</v>
      </c>
      <c r="QHS31" s="3" t="s">
        <v>382</v>
      </c>
      <c r="QHT31" s="3" t="s">
        <v>383</v>
      </c>
      <c r="QHU31" s="3" t="s">
        <v>382</v>
      </c>
      <c r="QHV31" s="3" t="s">
        <v>383</v>
      </c>
      <c r="QHW31" s="3" t="s">
        <v>382</v>
      </c>
      <c r="QHX31" s="3" t="s">
        <v>383</v>
      </c>
      <c r="QHY31" s="3" t="s">
        <v>382</v>
      </c>
      <c r="QHZ31" s="3" t="s">
        <v>383</v>
      </c>
      <c r="QIA31" s="3" t="s">
        <v>382</v>
      </c>
      <c r="QIB31" s="3" t="s">
        <v>383</v>
      </c>
      <c r="QIC31" s="3" t="s">
        <v>382</v>
      </c>
      <c r="QID31" s="3" t="s">
        <v>383</v>
      </c>
      <c r="QIE31" s="3" t="s">
        <v>382</v>
      </c>
      <c r="QIF31" s="3" t="s">
        <v>383</v>
      </c>
      <c r="QIG31" s="3" t="s">
        <v>382</v>
      </c>
      <c r="QIH31" s="3" t="s">
        <v>383</v>
      </c>
      <c r="QII31" s="3" t="s">
        <v>382</v>
      </c>
      <c r="QIJ31" s="3" t="s">
        <v>383</v>
      </c>
      <c r="QIK31" s="3" t="s">
        <v>382</v>
      </c>
      <c r="QIL31" s="3" t="s">
        <v>383</v>
      </c>
      <c r="QIM31" s="3" t="s">
        <v>382</v>
      </c>
      <c r="QIN31" s="3" t="s">
        <v>383</v>
      </c>
      <c r="QIO31" s="3" t="s">
        <v>382</v>
      </c>
      <c r="QIP31" s="3" t="s">
        <v>383</v>
      </c>
      <c r="QIQ31" s="3" t="s">
        <v>382</v>
      </c>
      <c r="QIR31" s="3" t="s">
        <v>383</v>
      </c>
      <c r="QIS31" s="3" t="s">
        <v>382</v>
      </c>
      <c r="QIT31" s="3" t="s">
        <v>383</v>
      </c>
      <c r="QIU31" s="3" t="s">
        <v>382</v>
      </c>
      <c r="QIV31" s="3" t="s">
        <v>383</v>
      </c>
      <c r="QIW31" s="3" t="s">
        <v>382</v>
      </c>
      <c r="QIX31" s="3" t="s">
        <v>383</v>
      </c>
      <c r="QIY31" s="3" t="s">
        <v>382</v>
      </c>
      <c r="QIZ31" s="3" t="s">
        <v>383</v>
      </c>
      <c r="QJA31" s="3" t="s">
        <v>382</v>
      </c>
      <c r="QJB31" s="3" t="s">
        <v>383</v>
      </c>
      <c r="QJC31" s="3" t="s">
        <v>382</v>
      </c>
      <c r="QJD31" s="3" t="s">
        <v>383</v>
      </c>
      <c r="QJE31" s="3" t="s">
        <v>382</v>
      </c>
      <c r="QJF31" s="3" t="s">
        <v>383</v>
      </c>
      <c r="QJG31" s="3" t="s">
        <v>382</v>
      </c>
      <c r="QJH31" s="3" t="s">
        <v>383</v>
      </c>
      <c r="QJI31" s="3" t="s">
        <v>382</v>
      </c>
      <c r="QJJ31" s="3" t="s">
        <v>383</v>
      </c>
      <c r="QJK31" s="3" t="s">
        <v>382</v>
      </c>
      <c r="QJL31" s="3" t="s">
        <v>383</v>
      </c>
      <c r="QJM31" s="3" t="s">
        <v>382</v>
      </c>
      <c r="QJN31" s="3" t="s">
        <v>383</v>
      </c>
      <c r="QJO31" s="3" t="s">
        <v>382</v>
      </c>
      <c r="QJP31" s="3" t="s">
        <v>383</v>
      </c>
      <c r="QJQ31" s="3" t="s">
        <v>382</v>
      </c>
      <c r="QJR31" s="3" t="s">
        <v>383</v>
      </c>
      <c r="QJS31" s="3" t="s">
        <v>382</v>
      </c>
      <c r="QJT31" s="3" t="s">
        <v>383</v>
      </c>
      <c r="QJU31" s="3" t="s">
        <v>382</v>
      </c>
      <c r="QJV31" s="3" t="s">
        <v>383</v>
      </c>
      <c r="QJW31" s="3" t="s">
        <v>382</v>
      </c>
      <c r="QJX31" s="3" t="s">
        <v>383</v>
      </c>
      <c r="QJY31" s="3" t="s">
        <v>382</v>
      </c>
      <c r="QJZ31" s="3" t="s">
        <v>383</v>
      </c>
      <c r="QKA31" s="3" t="s">
        <v>382</v>
      </c>
      <c r="QKB31" s="3" t="s">
        <v>383</v>
      </c>
      <c r="QKC31" s="3" t="s">
        <v>382</v>
      </c>
      <c r="QKD31" s="3" t="s">
        <v>383</v>
      </c>
      <c r="QKE31" s="3" t="s">
        <v>382</v>
      </c>
      <c r="QKF31" s="3" t="s">
        <v>383</v>
      </c>
      <c r="QKG31" s="3" t="s">
        <v>382</v>
      </c>
      <c r="QKH31" s="3" t="s">
        <v>383</v>
      </c>
      <c r="QKI31" s="3" t="s">
        <v>382</v>
      </c>
      <c r="QKJ31" s="3" t="s">
        <v>383</v>
      </c>
      <c r="QKK31" s="3" t="s">
        <v>382</v>
      </c>
      <c r="QKL31" s="3" t="s">
        <v>383</v>
      </c>
      <c r="QKM31" s="3" t="s">
        <v>382</v>
      </c>
      <c r="QKN31" s="3" t="s">
        <v>383</v>
      </c>
      <c r="QKO31" s="3" t="s">
        <v>382</v>
      </c>
      <c r="QKP31" s="3" t="s">
        <v>383</v>
      </c>
      <c r="QKQ31" s="3" t="s">
        <v>382</v>
      </c>
      <c r="QKR31" s="3" t="s">
        <v>383</v>
      </c>
      <c r="QKS31" s="3" t="s">
        <v>382</v>
      </c>
      <c r="QKT31" s="3" t="s">
        <v>383</v>
      </c>
      <c r="QKU31" s="3" t="s">
        <v>382</v>
      </c>
      <c r="QKV31" s="3" t="s">
        <v>383</v>
      </c>
      <c r="QKW31" s="3" t="s">
        <v>382</v>
      </c>
      <c r="QKX31" s="3" t="s">
        <v>383</v>
      </c>
      <c r="QKY31" s="3" t="s">
        <v>382</v>
      </c>
      <c r="QKZ31" s="3" t="s">
        <v>383</v>
      </c>
      <c r="QLA31" s="3" t="s">
        <v>382</v>
      </c>
      <c r="QLB31" s="3" t="s">
        <v>383</v>
      </c>
      <c r="QLC31" s="3" t="s">
        <v>382</v>
      </c>
      <c r="QLD31" s="3" t="s">
        <v>383</v>
      </c>
      <c r="QLE31" s="3" t="s">
        <v>382</v>
      </c>
      <c r="QLF31" s="3" t="s">
        <v>383</v>
      </c>
      <c r="QLG31" s="3" t="s">
        <v>382</v>
      </c>
      <c r="QLH31" s="3" t="s">
        <v>383</v>
      </c>
      <c r="QLI31" s="3" t="s">
        <v>382</v>
      </c>
      <c r="QLJ31" s="3" t="s">
        <v>383</v>
      </c>
      <c r="QLK31" s="3" t="s">
        <v>382</v>
      </c>
      <c r="QLL31" s="3" t="s">
        <v>383</v>
      </c>
      <c r="QLM31" s="3" t="s">
        <v>382</v>
      </c>
      <c r="QLN31" s="3" t="s">
        <v>383</v>
      </c>
      <c r="QLO31" s="3" t="s">
        <v>382</v>
      </c>
      <c r="QLP31" s="3" t="s">
        <v>383</v>
      </c>
      <c r="QLQ31" s="3" t="s">
        <v>382</v>
      </c>
      <c r="QLR31" s="3" t="s">
        <v>383</v>
      </c>
      <c r="QLS31" s="3" t="s">
        <v>382</v>
      </c>
      <c r="QLT31" s="3" t="s">
        <v>383</v>
      </c>
      <c r="QLU31" s="3" t="s">
        <v>382</v>
      </c>
      <c r="QLV31" s="3" t="s">
        <v>383</v>
      </c>
      <c r="QLW31" s="3" t="s">
        <v>382</v>
      </c>
      <c r="QLX31" s="3" t="s">
        <v>383</v>
      </c>
      <c r="QLY31" s="3" t="s">
        <v>382</v>
      </c>
      <c r="QLZ31" s="3" t="s">
        <v>383</v>
      </c>
      <c r="QMA31" s="3" t="s">
        <v>382</v>
      </c>
      <c r="QMB31" s="3" t="s">
        <v>383</v>
      </c>
      <c r="QMC31" s="3" t="s">
        <v>382</v>
      </c>
      <c r="QMD31" s="3" t="s">
        <v>383</v>
      </c>
      <c r="QME31" s="3" t="s">
        <v>382</v>
      </c>
      <c r="QMF31" s="3" t="s">
        <v>383</v>
      </c>
      <c r="QMG31" s="3" t="s">
        <v>382</v>
      </c>
      <c r="QMH31" s="3" t="s">
        <v>383</v>
      </c>
      <c r="QMI31" s="3" t="s">
        <v>382</v>
      </c>
      <c r="QMJ31" s="3" t="s">
        <v>383</v>
      </c>
      <c r="QMK31" s="3" t="s">
        <v>382</v>
      </c>
      <c r="QML31" s="3" t="s">
        <v>383</v>
      </c>
      <c r="QMM31" s="3" t="s">
        <v>382</v>
      </c>
      <c r="QMN31" s="3" t="s">
        <v>383</v>
      </c>
      <c r="QMO31" s="3" t="s">
        <v>382</v>
      </c>
      <c r="QMP31" s="3" t="s">
        <v>383</v>
      </c>
      <c r="QMQ31" s="3" t="s">
        <v>382</v>
      </c>
      <c r="QMR31" s="3" t="s">
        <v>383</v>
      </c>
      <c r="QMS31" s="3" t="s">
        <v>382</v>
      </c>
      <c r="QMT31" s="3" t="s">
        <v>383</v>
      </c>
      <c r="QMU31" s="3" t="s">
        <v>382</v>
      </c>
      <c r="QMV31" s="3" t="s">
        <v>383</v>
      </c>
      <c r="QMW31" s="3" t="s">
        <v>382</v>
      </c>
      <c r="QMX31" s="3" t="s">
        <v>383</v>
      </c>
      <c r="QMY31" s="3" t="s">
        <v>382</v>
      </c>
      <c r="QMZ31" s="3" t="s">
        <v>383</v>
      </c>
      <c r="QNA31" s="3" t="s">
        <v>382</v>
      </c>
      <c r="QNB31" s="3" t="s">
        <v>383</v>
      </c>
      <c r="QNC31" s="3" t="s">
        <v>382</v>
      </c>
      <c r="QND31" s="3" t="s">
        <v>383</v>
      </c>
      <c r="QNE31" s="3" t="s">
        <v>382</v>
      </c>
      <c r="QNF31" s="3" t="s">
        <v>383</v>
      </c>
      <c r="QNG31" s="3" t="s">
        <v>382</v>
      </c>
      <c r="QNH31" s="3" t="s">
        <v>383</v>
      </c>
      <c r="QNI31" s="3" t="s">
        <v>382</v>
      </c>
      <c r="QNJ31" s="3" t="s">
        <v>383</v>
      </c>
      <c r="QNK31" s="3" t="s">
        <v>382</v>
      </c>
      <c r="QNL31" s="3" t="s">
        <v>383</v>
      </c>
      <c r="QNM31" s="3" t="s">
        <v>382</v>
      </c>
      <c r="QNN31" s="3" t="s">
        <v>383</v>
      </c>
      <c r="QNO31" s="3" t="s">
        <v>382</v>
      </c>
      <c r="QNP31" s="3" t="s">
        <v>383</v>
      </c>
      <c r="QNQ31" s="3" t="s">
        <v>382</v>
      </c>
      <c r="QNR31" s="3" t="s">
        <v>383</v>
      </c>
      <c r="QNS31" s="3" t="s">
        <v>382</v>
      </c>
      <c r="QNT31" s="3" t="s">
        <v>383</v>
      </c>
      <c r="QNU31" s="3" t="s">
        <v>382</v>
      </c>
      <c r="QNV31" s="3" t="s">
        <v>383</v>
      </c>
      <c r="QNW31" s="3" t="s">
        <v>382</v>
      </c>
      <c r="QNX31" s="3" t="s">
        <v>383</v>
      </c>
      <c r="QNY31" s="3" t="s">
        <v>382</v>
      </c>
      <c r="QNZ31" s="3" t="s">
        <v>383</v>
      </c>
      <c r="QOA31" s="3" t="s">
        <v>382</v>
      </c>
      <c r="QOB31" s="3" t="s">
        <v>383</v>
      </c>
      <c r="QOC31" s="3" t="s">
        <v>382</v>
      </c>
      <c r="QOD31" s="3" t="s">
        <v>383</v>
      </c>
      <c r="QOE31" s="3" t="s">
        <v>382</v>
      </c>
      <c r="QOF31" s="3" t="s">
        <v>383</v>
      </c>
      <c r="QOG31" s="3" t="s">
        <v>382</v>
      </c>
      <c r="QOH31" s="3" t="s">
        <v>383</v>
      </c>
      <c r="QOI31" s="3" t="s">
        <v>382</v>
      </c>
      <c r="QOJ31" s="3" t="s">
        <v>383</v>
      </c>
      <c r="QOK31" s="3" t="s">
        <v>382</v>
      </c>
      <c r="QOL31" s="3" t="s">
        <v>383</v>
      </c>
      <c r="QOM31" s="3" t="s">
        <v>382</v>
      </c>
      <c r="QON31" s="3" t="s">
        <v>383</v>
      </c>
      <c r="QOO31" s="3" t="s">
        <v>382</v>
      </c>
      <c r="QOP31" s="3" t="s">
        <v>383</v>
      </c>
      <c r="QOQ31" s="3" t="s">
        <v>382</v>
      </c>
      <c r="QOR31" s="3" t="s">
        <v>383</v>
      </c>
      <c r="QOS31" s="3" t="s">
        <v>382</v>
      </c>
      <c r="QOT31" s="3" t="s">
        <v>383</v>
      </c>
      <c r="QOU31" s="3" t="s">
        <v>382</v>
      </c>
      <c r="QOV31" s="3" t="s">
        <v>383</v>
      </c>
      <c r="QOW31" s="3" t="s">
        <v>382</v>
      </c>
      <c r="QOX31" s="3" t="s">
        <v>383</v>
      </c>
      <c r="QOY31" s="3" t="s">
        <v>382</v>
      </c>
      <c r="QOZ31" s="3" t="s">
        <v>383</v>
      </c>
      <c r="QPA31" s="3" t="s">
        <v>382</v>
      </c>
      <c r="QPB31" s="3" t="s">
        <v>383</v>
      </c>
      <c r="QPC31" s="3" t="s">
        <v>382</v>
      </c>
      <c r="QPD31" s="3" t="s">
        <v>383</v>
      </c>
      <c r="QPE31" s="3" t="s">
        <v>382</v>
      </c>
      <c r="QPF31" s="3" t="s">
        <v>383</v>
      </c>
      <c r="QPG31" s="3" t="s">
        <v>382</v>
      </c>
      <c r="QPH31" s="3" t="s">
        <v>383</v>
      </c>
      <c r="QPI31" s="3" t="s">
        <v>382</v>
      </c>
      <c r="QPJ31" s="3" t="s">
        <v>383</v>
      </c>
      <c r="QPK31" s="3" t="s">
        <v>382</v>
      </c>
      <c r="QPL31" s="3" t="s">
        <v>383</v>
      </c>
      <c r="QPM31" s="3" t="s">
        <v>382</v>
      </c>
      <c r="QPN31" s="3" t="s">
        <v>383</v>
      </c>
      <c r="QPO31" s="3" t="s">
        <v>382</v>
      </c>
      <c r="QPP31" s="3" t="s">
        <v>383</v>
      </c>
      <c r="QPQ31" s="3" t="s">
        <v>382</v>
      </c>
      <c r="QPR31" s="3" t="s">
        <v>383</v>
      </c>
      <c r="QPS31" s="3" t="s">
        <v>382</v>
      </c>
      <c r="QPT31" s="3" t="s">
        <v>383</v>
      </c>
      <c r="QPU31" s="3" t="s">
        <v>382</v>
      </c>
      <c r="QPV31" s="3" t="s">
        <v>383</v>
      </c>
      <c r="QPW31" s="3" t="s">
        <v>382</v>
      </c>
      <c r="QPX31" s="3" t="s">
        <v>383</v>
      </c>
      <c r="QPY31" s="3" t="s">
        <v>382</v>
      </c>
      <c r="QPZ31" s="3" t="s">
        <v>383</v>
      </c>
      <c r="QQA31" s="3" t="s">
        <v>382</v>
      </c>
      <c r="QQB31" s="3" t="s">
        <v>383</v>
      </c>
      <c r="QQC31" s="3" t="s">
        <v>382</v>
      </c>
      <c r="QQD31" s="3" t="s">
        <v>383</v>
      </c>
      <c r="QQE31" s="3" t="s">
        <v>382</v>
      </c>
      <c r="QQF31" s="3" t="s">
        <v>383</v>
      </c>
      <c r="QQG31" s="3" t="s">
        <v>382</v>
      </c>
      <c r="QQH31" s="3" t="s">
        <v>383</v>
      </c>
      <c r="QQI31" s="3" t="s">
        <v>382</v>
      </c>
      <c r="QQJ31" s="3" t="s">
        <v>383</v>
      </c>
      <c r="QQK31" s="3" t="s">
        <v>382</v>
      </c>
      <c r="QQL31" s="3" t="s">
        <v>383</v>
      </c>
      <c r="QQM31" s="3" t="s">
        <v>382</v>
      </c>
      <c r="QQN31" s="3" t="s">
        <v>383</v>
      </c>
      <c r="QQO31" s="3" t="s">
        <v>382</v>
      </c>
      <c r="QQP31" s="3" t="s">
        <v>383</v>
      </c>
      <c r="QQQ31" s="3" t="s">
        <v>382</v>
      </c>
      <c r="QQR31" s="3" t="s">
        <v>383</v>
      </c>
      <c r="QQS31" s="3" t="s">
        <v>382</v>
      </c>
      <c r="QQT31" s="3" t="s">
        <v>383</v>
      </c>
      <c r="QQU31" s="3" t="s">
        <v>382</v>
      </c>
      <c r="QQV31" s="3" t="s">
        <v>383</v>
      </c>
      <c r="QQW31" s="3" t="s">
        <v>382</v>
      </c>
      <c r="QQX31" s="3" t="s">
        <v>383</v>
      </c>
      <c r="QQY31" s="3" t="s">
        <v>382</v>
      </c>
      <c r="QQZ31" s="3" t="s">
        <v>383</v>
      </c>
      <c r="QRA31" s="3" t="s">
        <v>382</v>
      </c>
      <c r="QRB31" s="3" t="s">
        <v>383</v>
      </c>
      <c r="QRC31" s="3" t="s">
        <v>382</v>
      </c>
      <c r="QRD31" s="3" t="s">
        <v>383</v>
      </c>
      <c r="QRE31" s="3" t="s">
        <v>382</v>
      </c>
      <c r="QRF31" s="3" t="s">
        <v>383</v>
      </c>
      <c r="QRG31" s="3" t="s">
        <v>382</v>
      </c>
      <c r="QRH31" s="3" t="s">
        <v>383</v>
      </c>
      <c r="QRI31" s="3" t="s">
        <v>382</v>
      </c>
      <c r="QRJ31" s="3" t="s">
        <v>383</v>
      </c>
      <c r="QRK31" s="3" t="s">
        <v>382</v>
      </c>
      <c r="QRL31" s="3" t="s">
        <v>383</v>
      </c>
      <c r="QRM31" s="3" t="s">
        <v>382</v>
      </c>
      <c r="QRN31" s="3" t="s">
        <v>383</v>
      </c>
      <c r="QRO31" s="3" t="s">
        <v>382</v>
      </c>
      <c r="QRP31" s="3" t="s">
        <v>383</v>
      </c>
      <c r="QRQ31" s="3" t="s">
        <v>382</v>
      </c>
      <c r="QRR31" s="3" t="s">
        <v>383</v>
      </c>
      <c r="QRS31" s="3" t="s">
        <v>382</v>
      </c>
      <c r="QRT31" s="3" t="s">
        <v>383</v>
      </c>
      <c r="QRU31" s="3" t="s">
        <v>382</v>
      </c>
      <c r="QRV31" s="3" t="s">
        <v>383</v>
      </c>
      <c r="QRW31" s="3" t="s">
        <v>382</v>
      </c>
      <c r="QRX31" s="3" t="s">
        <v>383</v>
      </c>
      <c r="QRY31" s="3" t="s">
        <v>382</v>
      </c>
      <c r="QRZ31" s="3" t="s">
        <v>383</v>
      </c>
      <c r="QSA31" s="3" t="s">
        <v>382</v>
      </c>
      <c r="QSB31" s="3" t="s">
        <v>383</v>
      </c>
      <c r="QSC31" s="3" t="s">
        <v>382</v>
      </c>
      <c r="QSD31" s="3" t="s">
        <v>383</v>
      </c>
      <c r="QSE31" s="3" t="s">
        <v>382</v>
      </c>
      <c r="QSF31" s="3" t="s">
        <v>383</v>
      </c>
      <c r="QSG31" s="3" t="s">
        <v>382</v>
      </c>
      <c r="QSH31" s="3" t="s">
        <v>383</v>
      </c>
      <c r="QSI31" s="3" t="s">
        <v>382</v>
      </c>
      <c r="QSJ31" s="3" t="s">
        <v>383</v>
      </c>
      <c r="QSK31" s="3" t="s">
        <v>382</v>
      </c>
      <c r="QSL31" s="3" t="s">
        <v>383</v>
      </c>
      <c r="QSM31" s="3" t="s">
        <v>382</v>
      </c>
      <c r="QSN31" s="3" t="s">
        <v>383</v>
      </c>
      <c r="QSO31" s="3" t="s">
        <v>382</v>
      </c>
      <c r="QSP31" s="3" t="s">
        <v>383</v>
      </c>
      <c r="QSQ31" s="3" t="s">
        <v>382</v>
      </c>
      <c r="QSR31" s="3" t="s">
        <v>383</v>
      </c>
      <c r="QSS31" s="3" t="s">
        <v>382</v>
      </c>
      <c r="QST31" s="3" t="s">
        <v>383</v>
      </c>
      <c r="QSU31" s="3" t="s">
        <v>382</v>
      </c>
      <c r="QSV31" s="3" t="s">
        <v>383</v>
      </c>
      <c r="QSW31" s="3" t="s">
        <v>382</v>
      </c>
      <c r="QSX31" s="3" t="s">
        <v>383</v>
      </c>
      <c r="QSY31" s="3" t="s">
        <v>382</v>
      </c>
      <c r="QSZ31" s="3" t="s">
        <v>383</v>
      </c>
      <c r="QTA31" s="3" t="s">
        <v>382</v>
      </c>
      <c r="QTB31" s="3" t="s">
        <v>383</v>
      </c>
      <c r="QTC31" s="3" t="s">
        <v>382</v>
      </c>
      <c r="QTD31" s="3" t="s">
        <v>383</v>
      </c>
      <c r="QTE31" s="3" t="s">
        <v>382</v>
      </c>
      <c r="QTF31" s="3" t="s">
        <v>383</v>
      </c>
      <c r="QTG31" s="3" t="s">
        <v>382</v>
      </c>
      <c r="QTH31" s="3" t="s">
        <v>383</v>
      </c>
      <c r="QTI31" s="3" t="s">
        <v>382</v>
      </c>
      <c r="QTJ31" s="3" t="s">
        <v>383</v>
      </c>
      <c r="QTK31" s="3" t="s">
        <v>382</v>
      </c>
      <c r="QTL31" s="3" t="s">
        <v>383</v>
      </c>
      <c r="QTM31" s="3" t="s">
        <v>382</v>
      </c>
      <c r="QTN31" s="3" t="s">
        <v>383</v>
      </c>
      <c r="QTO31" s="3" t="s">
        <v>382</v>
      </c>
      <c r="QTP31" s="3" t="s">
        <v>383</v>
      </c>
      <c r="QTQ31" s="3" t="s">
        <v>382</v>
      </c>
      <c r="QTR31" s="3" t="s">
        <v>383</v>
      </c>
      <c r="QTS31" s="3" t="s">
        <v>382</v>
      </c>
      <c r="QTT31" s="3" t="s">
        <v>383</v>
      </c>
      <c r="QTU31" s="3" t="s">
        <v>382</v>
      </c>
      <c r="QTV31" s="3" t="s">
        <v>383</v>
      </c>
      <c r="QTW31" s="3" t="s">
        <v>382</v>
      </c>
      <c r="QTX31" s="3" t="s">
        <v>383</v>
      </c>
      <c r="QTY31" s="3" t="s">
        <v>382</v>
      </c>
      <c r="QTZ31" s="3" t="s">
        <v>383</v>
      </c>
      <c r="QUA31" s="3" t="s">
        <v>382</v>
      </c>
      <c r="QUB31" s="3" t="s">
        <v>383</v>
      </c>
      <c r="QUC31" s="3" t="s">
        <v>382</v>
      </c>
      <c r="QUD31" s="3" t="s">
        <v>383</v>
      </c>
      <c r="QUE31" s="3" t="s">
        <v>382</v>
      </c>
      <c r="QUF31" s="3" t="s">
        <v>383</v>
      </c>
      <c r="QUG31" s="3" t="s">
        <v>382</v>
      </c>
      <c r="QUH31" s="3" t="s">
        <v>383</v>
      </c>
      <c r="QUI31" s="3" t="s">
        <v>382</v>
      </c>
      <c r="QUJ31" s="3" t="s">
        <v>383</v>
      </c>
      <c r="QUK31" s="3" t="s">
        <v>382</v>
      </c>
      <c r="QUL31" s="3" t="s">
        <v>383</v>
      </c>
      <c r="QUM31" s="3" t="s">
        <v>382</v>
      </c>
      <c r="QUN31" s="3" t="s">
        <v>383</v>
      </c>
      <c r="QUO31" s="3" t="s">
        <v>382</v>
      </c>
      <c r="QUP31" s="3" t="s">
        <v>383</v>
      </c>
      <c r="QUQ31" s="3" t="s">
        <v>382</v>
      </c>
      <c r="QUR31" s="3" t="s">
        <v>383</v>
      </c>
      <c r="QUS31" s="3" t="s">
        <v>382</v>
      </c>
      <c r="QUT31" s="3" t="s">
        <v>383</v>
      </c>
      <c r="QUU31" s="3" t="s">
        <v>382</v>
      </c>
      <c r="QUV31" s="3" t="s">
        <v>383</v>
      </c>
      <c r="QUW31" s="3" t="s">
        <v>382</v>
      </c>
      <c r="QUX31" s="3" t="s">
        <v>383</v>
      </c>
      <c r="QUY31" s="3" t="s">
        <v>382</v>
      </c>
      <c r="QUZ31" s="3" t="s">
        <v>383</v>
      </c>
      <c r="QVA31" s="3" t="s">
        <v>382</v>
      </c>
      <c r="QVB31" s="3" t="s">
        <v>383</v>
      </c>
      <c r="QVC31" s="3" t="s">
        <v>382</v>
      </c>
      <c r="QVD31" s="3" t="s">
        <v>383</v>
      </c>
      <c r="QVE31" s="3" t="s">
        <v>382</v>
      </c>
      <c r="QVF31" s="3" t="s">
        <v>383</v>
      </c>
      <c r="QVG31" s="3" t="s">
        <v>382</v>
      </c>
      <c r="QVH31" s="3" t="s">
        <v>383</v>
      </c>
      <c r="QVI31" s="3" t="s">
        <v>382</v>
      </c>
      <c r="QVJ31" s="3" t="s">
        <v>383</v>
      </c>
      <c r="QVK31" s="3" t="s">
        <v>382</v>
      </c>
      <c r="QVL31" s="3" t="s">
        <v>383</v>
      </c>
      <c r="QVM31" s="3" t="s">
        <v>382</v>
      </c>
      <c r="QVN31" s="3" t="s">
        <v>383</v>
      </c>
      <c r="QVO31" s="3" t="s">
        <v>382</v>
      </c>
      <c r="QVP31" s="3" t="s">
        <v>383</v>
      </c>
      <c r="QVQ31" s="3" t="s">
        <v>382</v>
      </c>
      <c r="QVR31" s="3" t="s">
        <v>383</v>
      </c>
      <c r="QVS31" s="3" t="s">
        <v>382</v>
      </c>
      <c r="QVT31" s="3" t="s">
        <v>383</v>
      </c>
      <c r="QVU31" s="3" t="s">
        <v>382</v>
      </c>
      <c r="QVV31" s="3" t="s">
        <v>383</v>
      </c>
      <c r="QVW31" s="3" t="s">
        <v>382</v>
      </c>
      <c r="QVX31" s="3" t="s">
        <v>383</v>
      </c>
      <c r="QVY31" s="3" t="s">
        <v>382</v>
      </c>
      <c r="QVZ31" s="3" t="s">
        <v>383</v>
      </c>
      <c r="QWA31" s="3" t="s">
        <v>382</v>
      </c>
      <c r="QWB31" s="3" t="s">
        <v>383</v>
      </c>
      <c r="QWC31" s="3" t="s">
        <v>382</v>
      </c>
      <c r="QWD31" s="3" t="s">
        <v>383</v>
      </c>
      <c r="QWE31" s="3" t="s">
        <v>382</v>
      </c>
      <c r="QWF31" s="3" t="s">
        <v>383</v>
      </c>
      <c r="QWG31" s="3" t="s">
        <v>382</v>
      </c>
      <c r="QWH31" s="3" t="s">
        <v>383</v>
      </c>
      <c r="QWI31" s="3" t="s">
        <v>382</v>
      </c>
      <c r="QWJ31" s="3" t="s">
        <v>383</v>
      </c>
      <c r="QWK31" s="3" t="s">
        <v>382</v>
      </c>
      <c r="QWL31" s="3" t="s">
        <v>383</v>
      </c>
      <c r="QWM31" s="3" t="s">
        <v>382</v>
      </c>
      <c r="QWN31" s="3" t="s">
        <v>383</v>
      </c>
      <c r="QWO31" s="3" t="s">
        <v>382</v>
      </c>
      <c r="QWP31" s="3" t="s">
        <v>383</v>
      </c>
      <c r="QWQ31" s="3" t="s">
        <v>382</v>
      </c>
      <c r="QWR31" s="3" t="s">
        <v>383</v>
      </c>
      <c r="QWS31" s="3" t="s">
        <v>382</v>
      </c>
      <c r="QWT31" s="3" t="s">
        <v>383</v>
      </c>
      <c r="QWU31" s="3" t="s">
        <v>382</v>
      </c>
      <c r="QWV31" s="3" t="s">
        <v>383</v>
      </c>
      <c r="QWW31" s="3" t="s">
        <v>382</v>
      </c>
      <c r="QWX31" s="3" t="s">
        <v>383</v>
      </c>
      <c r="QWY31" s="3" t="s">
        <v>382</v>
      </c>
      <c r="QWZ31" s="3" t="s">
        <v>383</v>
      </c>
      <c r="QXA31" s="3" t="s">
        <v>382</v>
      </c>
      <c r="QXB31" s="3" t="s">
        <v>383</v>
      </c>
      <c r="QXC31" s="3" t="s">
        <v>382</v>
      </c>
      <c r="QXD31" s="3" t="s">
        <v>383</v>
      </c>
      <c r="QXE31" s="3" t="s">
        <v>382</v>
      </c>
      <c r="QXF31" s="3" t="s">
        <v>383</v>
      </c>
      <c r="QXG31" s="3" t="s">
        <v>382</v>
      </c>
      <c r="QXH31" s="3" t="s">
        <v>383</v>
      </c>
      <c r="QXI31" s="3" t="s">
        <v>382</v>
      </c>
      <c r="QXJ31" s="3" t="s">
        <v>383</v>
      </c>
      <c r="QXK31" s="3" t="s">
        <v>382</v>
      </c>
      <c r="QXL31" s="3" t="s">
        <v>383</v>
      </c>
      <c r="QXM31" s="3" t="s">
        <v>382</v>
      </c>
      <c r="QXN31" s="3" t="s">
        <v>383</v>
      </c>
      <c r="QXO31" s="3" t="s">
        <v>382</v>
      </c>
      <c r="QXP31" s="3" t="s">
        <v>383</v>
      </c>
      <c r="QXQ31" s="3" t="s">
        <v>382</v>
      </c>
      <c r="QXR31" s="3" t="s">
        <v>383</v>
      </c>
      <c r="QXS31" s="3" t="s">
        <v>382</v>
      </c>
      <c r="QXT31" s="3" t="s">
        <v>383</v>
      </c>
      <c r="QXU31" s="3" t="s">
        <v>382</v>
      </c>
      <c r="QXV31" s="3" t="s">
        <v>383</v>
      </c>
      <c r="QXW31" s="3" t="s">
        <v>382</v>
      </c>
      <c r="QXX31" s="3" t="s">
        <v>383</v>
      </c>
      <c r="QXY31" s="3" t="s">
        <v>382</v>
      </c>
      <c r="QXZ31" s="3" t="s">
        <v>383</v>
      </c>
      <c r="QYA31" s="3" t="s">
        <v>382</v>
      </c>
      <c r="QYB31" s="3" t="s">
        <v>383</v>
      </c>
      <c r="QYC31" s="3" t="s">
        <v>382</v>
      </c>
      <c r="QYD31" s="3" t="s">
        <v>383</v>
      </c>
      <c r="QYE31" s="3" t="s">
        <v>382</v>
      </c>
      <c r="QYF31" s="3" t="s">
        <v>383</v>
      </c>
      <c r="QYG31" s="3" t="s">
        <v>382</v>
      </c>
      <c r="QYH31" s="3" t="s">
        <v>383</v>
      </c>
      <c r="QYI31" s="3" t="s">
        <v>382</v>
      </c>
      <c r="QYJ31" s="3" t="s">
        <v>383</v>
      </c>
      <c r="QYK31" s="3" t="s">
        <v>382</v>
      </c>
      <c r="QYL31" s="3" t="s">
        <v>383</v>
      </c>
      <c r="QYM31" s="3" t="s">
        <v>382</v>
      </c>
      <c r="QYN31" s="3" t="s">
        <v>383</v>
      </c>
      <c r="QYO31" s="3" t="s">
        <v>382</v>
      </c>
      <c r="QYP31" s="3" t="s">
        <v>383</v>
      </c>
      <c r="QYQ31" s="3" t="s">
        <v>382</v>
      </c>
      <c r="QYR31" s="3" t="s">
        <v>383</v>
      </c>
      <c r="QYS31" s="3" t="s">
        <v>382</v>
      </c>
      <c r="QYT31" s="3" t="s">
        <v>383</v>
      </c>
      <c r="QYU31" s="3" t="s">
        <v>382</v>
      </c>
      <c r="QYV31" s="3" t="s">
        <v>383</v>
      </c>
      <c r="QYW31" s="3" t="s">
        <v>382</v>
      </c>
      <c r="QYX31" s="3" t="s">
        <v>383</v>
      </c>
      <c r="QYY31" s="3" t="s">
        <v>382</v>
      </c>
      <c r="QYZ31" s="3" t="s">
        <v>383</v>
      </c>
      <c r="QZA31" s="3" t="s">
        <v>382</v>
      </c>
      <c r="QZB31" s="3" t="s">
        <v>383</v>
      </c>
      <c r="QZC31" s="3" t="s">
        <v>382</v>
      </c>
      <c r="QZD31" s="3" t="s">
        <v>383</v>
      </c>
      <c r="QZE31" s="3" t="s">
        <v>382</v>
      </c>
      <c r="QZF31" s="3" t="s">
        <v>383</v>
      </c>
      <c r="QZG31" s="3" t="s">
        <v>382</v>
      </c>
      <c r="QZH31" s="3" t="s">
        <v>383</v>
      </c>
      <c r="QZI31" s="3" t="s">
        <v>382</v>
      </c>
      <c r="QZJ31" s="3" t="s">
        <v>383</v>
      </c>
      <c r="QZK31" s="3" t="s">
        <v>382</v>
      </c>
      <c r="QZL31" s="3" t="s">
        <v>383</v>
      </c>
      <c r="QZM31" s="3" t="s">
        <v>382</v>
      </c>
      <c r="QZN31" s="3" t="s">
        <v>383</v>
      </c>
      <c r="QZO31" s="3" t="s">
        <v>382</v>
      </c>
      <c r="QZP31" s="3" t="s">
        <v>383</v>
      </c>
      <c r="QZQ31" s="3" t="s">
        <v>382</v>
      </c>
      <c r="QZR31" s="3" t="s">
        <v>383</v>
      </c>
      <c r="QZS31" s="3" t="s">
        <v>382</v>
      </c>
      <c r="QZT31" s="3" t="s">
        <v>383</v>
      </c>
      <c r="QZU31" s="3" t="s">
        <v>382</v>
      </c>
      <c r="QZV31" s="3" t="s">
        <v>383</v>
      </c>
      <c r="QZW31" s="3" t="s">
        <v>382</v>
      </c>
      <c r="QZX31" s="3" t="s">
        <v>383</v>
      </c>
      <c r="QZY31" s="3" t="s">
        <v>382</v>
      </c>
      <c r="QZZ31" s="3" t="s">
        <v>383</v>
      </c>
      <c r="RAA31" s="3" t="s">
        <v>382</v>
      </c>
      <c r="RAB31" s="3" t="s">
        <v>383</v>
      </c>
      <c r="RAC31" s="3" t="s">
        <v>382</v>
      </c>
      <c r="RAD31" s="3" t="s">
        <v>383</v>
      </c>
      <c r="RAE31" s="3" t="s">
        <v>382</v>
      </c>
      <c r="RAF31" s="3" t="s">
        <v>383</v>
      </c>
      <c r="RAG31" s="3" t="s">
        <v>382</v>
      </c>
      <c r="RAH31" s="3" t="s">
        <v>383</v>
      </c>
      <c r="RAI31" s="3" t="s">
        <v>382</v>
      </c>
      <c r="RAJ31" s="3" t="s">
        <v>383</v>
      </c>
      <c r="RAK31" s="3" t="s">
        <v>382</v>
      </c>
      <c r="RAL31" s="3" t="s">
        <v>383</v>
      </c>
      <c r="RAM31" s="3" t="s">
        <v>382</v>
      </c>
      <c r="RAN31" s="3" t="s">
        <v>383</v>
      </c>
      <c r="RAO31" s="3" t="s">
        <v>382</v>
      </c>
      <c r="RAP31" s="3" t="s">
        <v>383</v>
      </c>
      <c r="RAQ31" s="3" t="s">
        <v>382</v>
      </c>
      <c r="RAR31" s="3" t="s">
        <v>383</v>
      </c>
      <c r="RAS31" s="3" t="s">
        <v>382</v>
      </c>
      <c r="RAT31" s="3" t="s">
        <v>383</v>
      </c>
      <c r="RAU31" s="3" t="s">
        <v>382</v>
      </c>
      <c r="RAV31" s="3" t="s">
        <v>383</v>
      </c>
      <c r="RAW31" s="3" t="s">
        <v>382</v>
      </c>
      <c r="RAX31" s="3" t="s">
        <v>383</v>
      </c>
      <c r="RAY31" s="3" t="s">
        <v>382</v>
      </c>
      <c r="RAZ31" s="3" t="s">
        <v>383</v>
      </c>
      <c r="RBA31" s="3" t="s">
        <v>382</v>
      </c>
      <c r="RBB31" s="3" t="s">
        <v>383</v>
      </c>
      <c r="RBC31" s="3" t="s">
        <v>382</v>
      </c>
      <c r="RBD31" s="3" t="s">
        <v>383</v>
      </c>
      <c r="RBE31" s="3" t="s">
        <v>382</v>
      </c>
      <c r="RBF31" s="3" t="s">
        <v>383</v>
      </c>
      <c r="RBG31" s="3" t="s">
        <v>382</v>
      </c>
      <c r="RBH31" s="3" t="s">
        <v>383</v>
      </c>
      <c r="RBI31" s="3" t="s">
        <v>382</v>
      </c>
      <c r="RBJ31" s="3" t="s">
        <v>383</v>
      </c>
      <c r="RBK31" s="3" t="s">
        <v>382</v>
      </c>
      <c r="RBL31" s="3" t="s">
        <v>383</v>
      </c>
      <c r="RBM31" s="3" t="s">
        <v>382</v>
      </c>
      <c r="RBN31" s="3" t="s">
        <v>383</v>
      </c>
      <c r="RBO31" s="3" t="s">
        <v>382</v>
      </c>
      <c r="RBP31" s="3" t="s">
        <v>383</v>
      </c>
      <c r="RBQ31" s="3" t="s">
        <v>382</v>
      </c>
      <c r="RBR31" s="3" t="s">
        <v>383</v>
      </c>
      <c r="RBS31" s="3" t="s">
        <v>382</v>
      </c>
      <c r="RBT31" s="3" t="s">
        <v>383</v>
      </c>
      <c r="RBU31" s="3" t="s">
        <v>382</v>
      </c>
      <c r="RBV31" s="3" t="s">
        <v>383</v>
      </c>
      <c r="RBW31" s="3" t="s">
        <v>382</v>
      </c>
      <c r="RBX31" s="3" t="s">
        <v>383</v>
      </c>
      <c r="RBY31" s="3" t="s">
        <v>382</v>
      </c>
      <c r="RBZ31" s="3" t="s">
        <v>383</v>
      </c>
      <c r="RCA31" s="3" t="s">
        <v>382</v>
      </c>
      <c r="RCB31" s="3" t="s">
        <v>383</v>
      </c>
      <c r="RCC31" s="3" t="s">
        <v>382</v>
      </c>
      <c r="RCD31" s="3" t="s">
        <v>383</v>
      </c>
      <c r="RCE31" s="3" t="s">
        <v>382</v>
      </c>
      <c r="RCF31" s="3" t="s">
        <v>383</v>
      </c>
      <c r="RCG31" s="3" t="s">
        <v>382</v>
      </c>
      <c r="RCH31" s="3" t="s">
        <v>383</v>
      </c>
      <c r="RCI31" s="3" t="s">
        <v>382</v>
      </c>
      <c r="RCJ31" s="3" t="s">
        <v>383</v>
      </c>
      <c r="RCK31" s="3" t="s">
        <v>382</v>
      </c>
      <c r="RCL31" s="3" t="s">
        <v>383</v>
      </c>
      <c r="RCM31" s="3" t="s">
        <v>382</v>
      </c>
      <c r="RCN31" s="3" t="s">
        <v>383</v>
      </c>
      <c r="RCO31" s="3" t="s">
        <v>382</v>
      </c>
      <c r="RCP31" s="3" t="s">
        <v>383</v>
      </c>
      <c r="RCQ31" s="3" t="s">
        <v>382</v>
      </c>
      <c r="RCR31" s="3" t="s">
        <v>383</v>
      </c>
      <c r="RCS31" s="3" t="s">
        <v>382</v>
      </c>
      <c r="RCT31" s="3" t="s">
        <v>383</v>
      </c>
      <c r="RCU31" s="3" t="s">
        <v>382</v>
      </c>
      <c r="RCV31" s="3" t="s">
        <v>383</v>
      </c>
      <c r="RCW31" s="3" t="s">
        <v>382</v>
      </c>
      <c r="RCX31" s="3" t="s">
        <v>383</v>
      </c>
      <c r="RCY31" s="3" t="s">
        <v>382</v>
      </c>
      <c r="RCZ31" s="3" t="s">
        <v>383</v>
      </c>
      <c r="RDA31" s="3" t="s">
        <v>382</v>
      </c>
      <c r="RDB31" s="3" t="s">
        <v>383</v>
      </c>
      <c r="RDC31" s="3" t="s">
        <v>382</v>
      </c>
      <c r="RDD31" s="3" t="s">
        <v>383</v>
      </c>
      <c r="RDE31" s="3" t="s">
        <v>382</v>
      </c>
      <c r="RDF31" s="3" t="s">
        <v>383</v>
      </c>
      <c r="RDG31" s="3" t="s">
        <v>382</v>
      </c>
      <c r="RDH31" s="3" t="s">
        <v>383</v>
      </c>
      <c r="RDI31" s="3" t="s">
        <v>382</v>
      </c>
      <c r="RDJ31" s="3" t="s">
        <v>383</v>
      </c>
      <c r="RDK31" s="3" t="s">
        <v>382</v>
      </c>
      <c r="RDL31" s="3" t="s">
        <v>383</v>
      </c>
      <c r="RDM31" s="3" t="s">
        <v>382</v>
      </c>
      <c r="RDN31" s="3" t="s">
        <v>383</v>
      </c>
      <c r="RDO31" s="3" t="s">
        <v>382</v>
      </c>
      <c r="RDP31" s="3" t="s">
        <v>383</v>
      </c>
      <c r="RDQ31" s="3" t="s">
        <v>382</v>
      </c>
      <c r="RDR31" s="3" t="s">
        <v>383</v>
      </c>
      <c r="RDS31" s="3" t="s">
        <v>382</v>
      </c>
      <c r="RDT31" s="3" t="s">
        <v>383</v>
      </c>
      <c r="RDU31" s="3" t="s">
        <v>382</v>
      </c>
      <c r="RDV31" s="3" t="s">
        <v>383</v>
      </c>
      <c r="RDW31" s="3" t="s">
        <v>382</v>
      </c>
      <c r="RDX31" s="3" t="s">
        <v>383</v>
      </c>
      <c r="RDY31" s="3" t="s">
        <v>382</v>
      </c>
      <c r="RDZ31" s="3" t="s">
        <v>383</v>
      </c>
      <c r="REA31" s="3" t="s">
        <v>382</v>
      </c>
      <c r="REB31" s="3" t="s">
        <v>383</v>
      </c>
      <c r="REC31" s="3" t="s">
        <v>382</v>
      </c>
      <c r="RED31" s="3" t="s">
        <v>383</v>
      </c>
      <c r="REE31" s="3" t="s">
        <v>382</v>
      </c>
      <c r="REF31" s="3" t="s">
        <v>383</v>
      </c>
      <c r="REG31" s="3" t="s">
        <v>382</v>
      </c>
      <c r="REH31" s="3" t="s">
        <v>383</v>
      </c>
      <c r="REI31" s="3" t="s">
        <v>382</v>
      </c>
      <c r="REJ31" s="3" t="s">
        <v>383</v>
      </c>
      <c r="REK31" s="3" t="s">
        <v>382</v>
      </c>
      <c r="REL31" s="3" t="s">
        <v>383</v>
      </c>
      <c r="REM31" s="3" t="s">
        <v>382</v>
      </c>
      <c r="REN31" s="3" t="s">
        <v>383</v>
      </c>
      <c r="REO31" s="3" t="s">
        <v>382</v>
      </c>
      <c r="REP31" s="3" t="s">
        <v>383</v>
      </c>
      <c r="REQ31" s="3" t="s">
        <v>382</v>
      </c>
      <c r="RER31" s="3" t="s">
        <v>383</v>
      </c>
      <c r="RES31" s="3" t="s">
        <v>382</v>
      </c>
      <c r="RET31" s="3" t="s">
        <v>383</v>
      </c>
      <c r="REU31" s="3" t="s">
        <v>382</v>
      </c>
      <c r="REV31" s="3" t="s">
        <v>383</v>
      </c>
      <c r="REW31" s="3" t="s">
        <v>382</v>
      </c>
      <c r="REX31" s="3" t="s">
        <v>383</v>
      </c>
      <c r="REY31" s="3" t="s">
        <v>382</v>
      </c>
      <c r="REZ31" s="3" t="s">
        <v>383</v>
      </c>
      <c r="RFA31" s="3" t="s">
        <v>382</v>
      </c>
      <c r="RFB31" s="3" t="s">
        <v>383</v>
      </c>
      <c r="RFC31" s="3" t="s">
        <v>382</v>
      </c>
      <c r="RFD31" s="3" t="s">
        <v>383</v>
      </c>
      <c r="RFE31" s="3" t="s">
        <v>382</v>
      </c>
      <c r="RFF31" s="3" t="s">
        <v>383</v>
      </c>
      <c r="RFG31" s="3" t="s">
        <v>382</v>
      </c>
      <c r="RFH31" s="3" t="s">
        <v>383</v>
      </c>
      <c r="RFI31" s="3" t="s">
        <v>382</v>
      </c>
      <c r="RFJ31" s="3" t="s">
        <v>383</v>
      </c>
      <c r="RFK31" s="3" t="s">
        <v>382</v>
      </c>
      <c r="RFL31" s="3" t="s">
        <v>383</v>
      </c>
      <c r="RFM31" s="3" t="s">
        <v>382</v>
      </c>
      <c r="RFN31" s="3" t="s">
        <v>383</v>
      </c>
      <c r="RFO31" s="3" t="s">
        <v>382</v>
      </c>
      <c r="RFP31" s="3" t="s">
        <v>383</v>
      </c>
      <c r="RFQ31" s="3" t="s">
        <v>382</v>
      </c>
      <c r="RFR31" s="3" t="s">
        <v>383</v>
      </c>
      <c r="RFS31" s="3" t="s">
        <v>382</v>
      </c>
      <c r="RFT31" s="3" t="s">
        <v>383</v>
      </c>
      <c r="RFU31" s="3" t="s">
        <v>382</v>
      </c>
      <c r="RFV31" s="3" t="s">
        <v>383</v>
      </c>
      <c r="RFW31" s="3" t="s">
        <v>382</v>
      </c>
      <c r="RFX31" s="3" t="s">
        <v>383</v>
      </c>
      <c r="RFY31" s="3" t="s">
        <v>382</v>
      </c>
      <c r="RFZ31" s="3" t="s">
        <v>383</v>
      </c>
      <c r="RGA31" s="3" t="s">
        <v>382</v>
      </c>
      <c r="RGB31" s="3" t="s">
        <v>383</v>
      </c>
      <c r="RGC31" s="3" t="s">
        <v>382</v>
      </c>
      <c r="RGD31" s="3" t="s">
        <v>383</v>
      </c>
      <c r="RGE31" s="3" t="s">
        <v>382</v>
      </c>
      <c r="RGF31" s="3" t="s">
        <v>383</v>
      </c>
      <c r="RGG31" s="3" t="s">
        <v>382</v>
      </c>
      <c r="RGH31" s="3" t="s">
        <v>383</v>
      </c>
      <c r="RGI31" s="3" t="s">
        <v>382</v>
      </c>
      <c r="RGJ31" s="3" t="s">
        <v>383</v>
      </c>
      <c r="RGK31" s="3" t="s">
        <v>382</v>
      </c>
      <c r="RGL31" s="3" t="s">
        <v>383</v>
      </c>
      <c r="RGM31" s="3" t="s">
        <v>382</v>
      </c>
      <c r="RGN31" s="3" t="s">
        <v>383</v>
      </c>
      <c r="RGO31" s="3" t="s">
        <v>382</v>
      </c>
      <c r="RGP31" s="3" t="s">
        <v>383</v>
      </c>
      <c r="RGQ31" s="3" t="s">
        <v>382</v>
      </c>
      <c r="RGR31" s="3" t="s">
        <v>383</v>
      </c>
      <c r="RGS31" s="3" t="s">
        <v>382</v>
      </c>
      <c r="RGT31" s="3" t="s">
        <v>383</v>
      </c>
      <c r="RGU31" s="3" t="s">
        <v>382</v>
      </c>
      <c r="RGV31" s="3" t="s">
        <v>383</v>
      </c>
      <c r="RGW31" s="3" t="s">
        <v>382</v>
      </c>
      <c r="RGX31" s="3" t="s">
        <v>383</v>
      </c>
      <c r="RGY31" s="3" t="s">
        <v>382</v>
      </c>
      <c r="RGZ31" s="3" t="s">
        <v>383</v>
      </c>
      <c r="RHA31" s="3" t="s">
        <v>382</v>
      </c>
      <c r="RHB31" s="3" t="s">
        <v>383</v>
      </c>
      <c r="RHC31" s="3" t="s">
        <v>382</v>
      </c>
      <c r="RHD31" s="3" t="s">
        <v>383</v>
      </c>
      <c r="RHE31" s="3" t="s">
        <v>382</v>
      </c>
      <c r="RHF31" s="3" t="s">
        <v>383</v>
      </c>
      <c r="RHG31" s="3" t="s">
        <v>382</v>
      </c>
      <c r="RHH31" s="3" t="s">
        <v>383</v>
      </c>
      <c r="RHI31" s="3" t="s">
        <v>382</v>
      </c>
      <c r="RHJ31" s="3" t="s">
        <v>383</v>
      </c>
      <c r="RHK31" s="3" t="s">
        <v>382</v>
      </c>
      <c r="RHL31" s="3" t="s">
        <v>383</v>
      </c>
      <c r="RHM31" s="3" t="s">
        <v>382</v>
      </c>
      <c r="RHN31" s="3" t="s">
        <v>383</v>
      </c>
      <c r="RHO31" s="3" t="s">
        <v>382</v>
      </c>
      <c r="RHP31" s="3" t="s">
        <v>383</v>
      </c>
      <c r="RHQ31" s="3" t="s">
        <v>382</v>
      </c>
      <c r="RHR31" s="3" t="s">
        <v>383</v>
      </c>
      <c r="RHS31" s="3" t="s">
        <v>382</v>
      </c>
      <c r="RHT31" s="3" t="s">
        <v>383</v>
      </c>
      <c r="RHU31" s="3" t="s">
        <v>382</v>
      </c>
      <c r="RHV31" s="3" t="s">
        <v>383</v>
      </c>
      <c r="RHW31" s="3" t="s">
        <v>382</v>
      </c>
      <c r="RHX31" s="3" t="s">
        <v>383</v>
      </c>
      <c r="RHY31" s="3" t="s">
        <v>382</v>
      </c>
      <c r="RHZ31" s="3" t="s">
        <v>383</v>
      </c>
      <c r="RIA31" s="3" t="s">
        <v>382</v>
      </c>
      <c r="RIB31" s="3" t="s">
        <v>383</v>
      </c>
      <c r="RIC31" s="3" t="s">
        <v>382</v>
      </c>
      <c r="RID31" s="3" t="s">
        <v>383</v>
      </c>
      <c r="RIE31" s="3" t="s">
        <v>382</v>
      </c>
      <c r="RIF31" s="3" t="s">
        <v>383</v>
      </c>
      <c r="RIG31" s="3" t="s">
        <v>382</v>
      </c>
      <c r="RIH31" s="3" t="s">
        <v>383</v>
      </c>
      <c r="RII31" s="3" t="s">
        <v>382</v>
      </c>
      <c r="RIJ31" s="3" t="s">
        <v>383</v>
      </c>
      <c r="RIK31" s="3" t="s">
        <v>382</v>
      </c>
      <c r="RIL31" s="3" t="s">
        <v>383</v>
      </c>
      <c r="RIM31" s="3" t="s">
        <v>382</v>
      </c>
      <c r="RIN31" s="3" t="s">
        <v>383</v>
      </c>
      <c r="RIO31" s="3" t="s">
        <v>382</v>
      </c>
      <c r="RIP31" s="3" t="s">
        <v>383</v>
      </c>
      <c r="RIQ31" s="3" t="s">
        <v>382</v>
      </c>
      <c r="RIR31" s="3" t="s">
        <v>383</v>
      </c>
      <c r="RIS31" s="3" t="s">
        <v>382</v>
      </c>
      <c r="RIT31" s="3" t="s">
        <v>383</v>
      </c>
      <c r="RIU31" s="3" t="s">
        <v>382</v>
      </c>
      <c r="RIV31" s="3" t="s">
        <v>383</v>
      </c>
      <c r="RIW31" s="3" t="s">
        <v>382</v>
      </c>
      <c r="RIX31" s="3" t="s">
        <v>383</v>
      </c>
      <c r="RIY31" s="3" t="s">
        <v>382</v>
      </c>
      <c r="RIZ31" s="3" t="s">
        <v>383</v>
      </c>
      <c r="RJA31" s="3" t="s">
        <v>382</v>
      </c>
      <c r="RJB31" s="3" t="s">
        <v>383</v>
      </c>
      <c r="RJC31" s="3" t="s">
        <v>382</v>
      </c>
      <c r="RJD31" s="3" t="s">
        <v>383</v>
      </c>
      <c r="RJE31" s="3" t="s">
        <v>382</v>
      </c>
      <c r="RJF31" s="3" t="s">
        <v>383</v>
      </c>
      <c r="RJG31" s="3" t="s">
        <v>382</v>
      </c>
      <c r="RJH31" s="3" t="s">
        <v>383</v>
      </c>
      <c r="RJI31" s="3" t="s">
        <v>382</v>
      </c>
      <c r="RJJ31" s="3" t="s">
        <v>383</v>
      </c>
      <c r="RJK31" s="3" t="s">
        <v>382</v>
      </c>
      <c r="RJL31" s="3" t="s">
        <v>383</v>
      </c>
      <c r="RJM31" s="3" t="s">
        <v>382</v>
      </c>
      <c r="RJN31" s="3" t="s">
        <v>383</v>
      </c>
      <c r="RJO31" s="3" t="s">
        <v>382</v>
      </c>
      <c r="RJP31" s="3" t="s">
        <v>383</v>
      </c>
      <c r="RJQ31" s="3" t="s">
        <v>382</v>
      </c>
      <c r="RJR31" s="3" t="s">
        <v>383</v>
      </c>
      <c r="RJS31" s="3" t="s">
        <v>382</v>
      </c>
      <c r="RJT31" s="3" t="s">
        <v>383</v>
      </c>
      <c r="RJU31" s="3" t="s">
        <v>382</v>
      </c>
      <c r="RJV31" s="3" t="s">
        <v>383</v>
      </c>
      <c r="RJW31" s="3" t="s">
        <v>382</v>
      </c>
      <c r="RJX31" s="3" t="s">
        <v>383</v>
      </c>
      <c r="RJY31" s="3" t="s">
        <v>382</v>
      </c>
      <c r="RJZ31" s="3" t="s">
        <v>383</v>
      </c>
      <c r="RKA31" s="3" t="s">
        <v>382</v>
      </c>
      <c r="RKB31" s="3" t="s">
        <v>383</v>
      </c>
      <c r="RKC31" s="3" t="s">
        <v>382</v>
      </c>
      <c r="RKD31" s="3" t="s">
        <v>383</v>
      </c>
      <c r="RKE31" s="3" t="s">
        <v>382</v>
      </c>
      <c r="RKF31" s="3" t="s">
        <v>383</v>
      </c>
      <c r="RKG31" s="3" t="s">
        <v>382</v>
      </c>
      <c r="RKH31" s="3" t="s">
        <v>383</v>
      </c>
      <c r="RKI31" s="3" t="s">
        <v>382</v>
      </c>
      <c r="RKJ31" s="3" t="s">
        <v>383</v>
      </c>
      <c r="RKK31" s="3" t="s">
        <v>382</v>
      </c>
      <c r="RKL31" s="3" t="s">
        <v>383</v>
      </c>
      <c r="RKM31" s="3" t="s">
        <v>382</v>
      </c>
      <c r="RKN31" s="3" t="s">
        <v>383</v>
      </c>
      <c r="RKO31" s="3" t="s">
        <v>382</v>
      </c>
      <c r="RKP31" s="3" t="s">
        <v>383</v>
      </c>
      <c r="RKQ31" s="3" t="s">
        <v>382</v>
      </c>
      <c r="RKR31" s="3" t="s">
        <v>383</v>
      </c>
      <c r="RKS31" s="3" t="s">
        <v>382</v>
      </c>
      <c r="RKT31" s="3" t="s">
        <v>383</v>
      </c>
      <c r="RKU31" s="3" t="s">
        <v>382</v>
      </c>
      <c r="RKV31" s="3" t="s">
        <v>383</v>
      </c>
      <c r="RKW31" s="3" t="s">
        <v>382</v>
      </c>
      <c r="RKX31" s="3" t="s">
        <v>383</v>
      </c>
      <c r="RKY31" s="3" t="s">
        <v>382</v>
      </c>
      <c r="RKZ31" s="3" t="s">
        <v>383</v>
      </c>
      <c r="RLA31" s="3" t="s">
        <v>382</v>
      </c>
      <c r="RLB31" s="3" t="s">
        <v>383</v>
      </c>
      <c r="RLC31" s="3" t="s">
        <v>382</v>
      </c>
      <c r="RLD31" s="3" t="s">
        <v>383</v>
      </c>
      <c r="RLE31" s="3" t="s">
        <v>382</v>
      </c>
      <c r="RLF31" s="3" t="s">
        <v>383</v>
      </c>
      <c r="RLG31" s="3" t="s">
        <v>382</v>
      </c>
      <c r="RLH31" s="3" t="s">
        <v>383</v>
      </c>
      <c r="RLI31" s="3" t="s">
        <v>382</v>
      </c>
      <c r="RLJ31" s="3" t="s">
        <v>383</v>
      </c>
      <c r="RLK31" s="3" t="s">
        <v>382</v>
      </c>
      <c r="RLL31" s="3" t="s">
        <v>383</v>
      </c>
      <c r="RLM31" s="3" t="s">
        <v>382</v>
      </c>
      <c r="RLN31" s="3" t="s">
        <v>383</v>
      </c>
      <c r="RLO31" s="3" t="s">
        <v>382</v>
      </c>
      <c r="RLP31" s="3" t="s">
        <v>383</v>
      </c>
      <c r="RLQ31" s="3" t="s">
        <v>382</v>
      </c>
      <c r="RLR31" s="3" t="s">
        <v>383</v>
      </c>
      <c r="RLS31" s="3" t="s">
        <v>382</v>
      </c>
      <c r="RLT31" s="3" t="s">
        <v>383</v>
      </c>
      <c r="RLU31" s="3" t="s">
        <v>382</v>
      </c>
      <c r="RLV31" s="3" t="s">
        <v>383</v>
      </c>
      <c r="RLW31" s="3" t="s">
        <v>382</v>
      </c>
      <c r="RLX31" s="3" t="s">
        <v>383</v>
      </c>
      <c r="RLY31" s="3" t="s">
        <v>382</v>
      </c>
      <c r="RLZ31" s="3" t="s">
        <v>383</v>
      </c>
      <c r="RMA31" s="3" t="s">
        <v>382</v>
      </c>
      <c r="RMB31" s="3" t="s">
        <v>383</v>
      </c>
      <c r="RMC31" s="3" t="s">
        <v>382</v>
      </c>
      <c r="RMD31" s="3" t="s">
        <v>383</v>
      </c>
      <c r="RME31" s="3" t="s">
        <v>382</v>
      </c>
      <c r="RMF31" s="3" t="s">
        <v>383</v>
      </c>
      <c r="RMG31" s="3" t="s">
        <v>382</v>
      </c>
      <c r="RMH31" s="3" t="s">
        <v>383</v>
      </c>
      <c r="RMI31" s="3" t="s">
        <v>382</v>
      </c>
      <c r="RMJ31" s="3" t="s">
        <v>383</v>
      </c>
      <c r="RMK31" s="3" t="s">
        <v>382</v>
      </c>
      <c r="RML31" s="3" t="s">
        <v>383</v>
      </c>
      <c r="RMM31" s="3" t="s">
        <v>382</v>
      </c>
      <c r="RMN31" s="3" t="s">
        <v>383</v>
      </c>
      <c r="RMO31" s="3" t="s">
        <v>382</v>
      </c>
      <c r="RMP31" s="3" t="s">
        <v>383</v>
      </c>
      <c r="RMQ31" s="3" t="s">
        <v>382</v>
      </c>
      <c r="RMR31" s="3" t="s">
        <v>383</v>
      </c>
      <c r="RMS31" s="3" t="s">
        <v>382</v>
      </c>
      <c r="RMT31" s="3" t="s">
        <v>383</v>
      </c>
      <c r="RMU31" s="3" t="s">
        <v>382</v>
      </c>
      <c r="RMV31" s="3" t="s">
        <v>383</v>
      </c>
      <c r="RMW31" s="3" t="s">
        <v>382</v>
      </c>
      <c r="RMX31" s="3" t="s">
        <v>383</v>
      </c>
      <c r="RMY31" s="3" t="s">
        <v>382</v>
      </c>
      <c r="RMZ31" s="3" t="s">
        <v>383</v>
      </c>
      <c r="RNA31" s="3" t="s">
        <v>382</v>
      </c>
      <c r="RNB31" s="3" t="s">
        <v>383</v>
      </c>
      <c r="RNC31" s="3" t="s">
        <v>382</v>
      </c>
      <c r="RND31" s="3" t="s">
        <v>383</v>
      </c>
      <c r="RNE31" s="3" t="s">
        <v>382</v>
      </c>
      <c r="RNF31" s="3" t="s">
        <v>383</v>
      </c>
      <c r="RNG31" s="3" t="s">
        <v>382</v>
      </c>
      <c r="RNH31" s="3" t="s">
        <v>383</v>
      </c>
      <c r="RNI31" s="3" t="s">
        <v>382</v>
      </c>
      <c r="RNJ31" s="3" t="s">
        <v>383</v>
      </c>
      <c r="RNK31" s="3" t="s">
        <v>382</v>
      </c>
      <c r="RNL31" s="3" t="s">
        <v>383</v>
      </c>
      <c r="RNM31" s="3" t="s">
        <v>382</v>
      </c>
      <c r="RNN31" s="3" t="s">
        <v>383</v>
      </c>
      <c r="RNO31" s="3" t="s">
        <v>382</v>
      </c>
      <c r="RNP31" s="3" t="s">
        <v>383</v>
      </c>
      <c r="RNQ31" s="3" t="s">
        <v>382</v>
      </c>
      <c r="RNR31" s="3" t="s">
        <v>383</v>
      </c>
      <c r="RNS31" s="3" t="s">
        <v>382</v>
      </c>
      <c r="RNT31" s="3" t="s">
        <v>383</v>
      </c>
      <c r="RNU31" s="3" t="s">
        <v>382</v>
      </c>
      <c r="RNV31" s="3" t="s">
        <v>383</v>
      </c>
      <c r="RNW31" s="3" t="s">
        <v>382</v>
      </c>
      <c r="RNX31" s="3" t="s">
        <v>383</v>
      </c>
      <c r="RNY31" s="3" t="s">
        <v>382</v>
      </c>
      <c r="RNZ31" s="3" t="s">
        <v>383</v>
      </c>
      <c r="ROA31" s="3" t="s">
        <v>382</v>
      </c>
      <c r="ROB31" s="3" t="s">
        <v>383</v>
      </c>
      <c r="ROC31" s="3" t="s">
        <v>382</v>
      </c>
      <c r="ROD31" s="3" t="s">
        <v>383</v>
      </c>
      <c r="ROE31" s="3" t="s">
        <v>382</v>
      </c>
      <c r="ROF31" s="3" t="s">
        <v>383</v>
      </c>
      <c r="ROG31" s="3" t="s">
        <v>382</v>
      </c>
      <c r="ROH31" s="3" t="s">
        <v>383</v>
      </c>
      <c r="ROI31" s="3" t="s">
        <v>382</v>
      </c>
      <c r="ROJ31" s="3" t="s">
        <v>383</v>
      </c>
      <c r="ROK31" s="3" t="s">
        <v>382</v>
      </c>
      <c r="ROL31" s="3" t="s">
        <v>383</v>
      </c>
      <c r="ROM31" s="3" t="s">
        <v>382</v>
      </c>
      <c r="RON31" s="3" t="s">
        <v>383</v>
      </c>
      <c r="ROO31" s="3" t="s">
        <v>382</v>
      </c>
      <c r="ROP31" s="3" t="s">
        <v>383</v>
      </c>
      <c r="ROQ31" s="3" t="s">
        <v>382</v>
      </c>
      <c r="ROR31" s="3" t="s">
        <v>383</v>
      </c>
      <c r="ROS31" s="3" t="s">
        <v>382</v>
      </c>
      <c r="ROT31" s="3" t="s">
        <v>383</v>
      </c>
      <c r="ROU31" s="3" t="s">
        <v>382</v>
      </c>
      <c r="ROV31" s="3" t="s">
        <v>383</v>
      </c>
      <c r="ROW31" s="3" t="s">
        <v>382</v>
      </c>
      <c r="ROX31" s="3" t="s">
        <v>383</v>
      </c>
      <c r="ROY31" s="3" t="s">
        <v>382</v>
      </c>
      <c r="ROZ31" s="3" t="s">
        <v>383</v>
      </c>
      <c r="RPA31" s="3" t="s">
        <v>382</v>
      </c>
      <c r="RPB31" s="3" t="s">
        <v>383</v>
      </c>
      <c r="RPC31" s="3" t="s">
        <v>382</v>
      </c>
      <c r="RPD31" s="3" t="s">
        <v>383</v>
      </c>
      <c r="RPE31" s="3" t="s">
        <v>382</v>
      </c>
      <c r="RPF31" s="3" t="s">
        <v>383</v>
      </c>
      <c r="RPG31" s="3" t="s">
        <v>382</v>
      </c>
      <c r="RPH31" s="3" t="s">
        <v>383</v>
      </c>
      <c r="RPI31" s="3" t="s">
        <v>382</v>
      </c>
      <c r="RPJ31" s="3" t="s">
        <v>383</v>
      </c>
      <c r="RPK31" s="3" t="s">
        <v>382</v>
      </c>
      <c r="RPL31" s="3" t="s">
        <v>383</v>
      </c>
      <c r="RPM31" s="3" t="s">
        <v>382</v>
      </c>
      <c r="RPN31" s="3" t="s">
        <v>383</v>
      </c>
      <c r="RPO31" s="3" t="s">
        <v>382</v>
      </c>
      <c r="RPP31" s="3" t="s">
        <v>383</v>
      </c>
      <c r="RPQ31" s="3" t="s">
        <v>382</v>
      </c>
      <c r="RPR31" s="3" t="s">
        <v>383</v>
      </c>
      <c r="RPS31" s="3" t="s">
        <v>382</v>
      </c>
      <c r="RPT31" s="3" t="s">
        <v>383</v>
      </c>
      <c r="RPU31" s="3" t="s">
        <v>382</v>
      </c>
      <c r="RPV31" s="3" t="s">
        <v>383</v>
      </c>
      <c r="RPW31" s="3" t="s">
        <v>382</v>
      </c>
      <c r="RPX31" s="3" t="s">
        <v>383</v>
      </c>
      <c r="RPY31" s="3" t="s">
        <v>382</v>
      </c>
      <c r="RPZ31" s="3" t="s">
        <v>383</v>
      </c>
      <c r="RQA31" s="3" t="s">
        <v>382</v>
      </c>
      <c r="RQB31" s="3" t="s">
        <v>383</v>
      </c>
      <c r="RQC31" s="3" t="s">
        <v>382</v>
      </c>
      <c r="RQD31" s="3" t="s">
        <v>383</v>
      </c>
      <c r="RQE31" s="3" t="s">
        <v>382</v>
      </c>
      <c r="RQF31" s="3" t="s">
        <v>383</v>
      </c>
      <c r="RQG31" s="3" t="s">
        <v>382</v>
      </c>
      <c r="RQH31" s="3" t="s">
        <v>383</v>
      </c>
      <c r="RQI31" s="3" t="s">
        <v>382</v>
      </c>
      <c r="RQJ31" s="3" t="s">
        <v>383</v>
      </c>
      <c r="RQK31" s="3" t="s">
        <v>382</v>
      </c>
      <c r="RQL31" s="3" t="s">
        <v>383</v>
      </c>
      <c r="RQM31" s="3" t="s">
        <v>382</v>
      </c>
      <c r="RQN31" s="3" t="s">
        <v>383</v>
      </c>
      <c r="RQO31" s="3" t="s">
        <v>382</v>
      </c>
      <c r="RQP31" s="3" t="s">
        <v>383</v>
      </c>
      <c r="RQQ31" s="3" t="s">
        <v>382</v>
      </c>
      <c r="RQR31" s="3" t="s">
        <v>383</v>
      </c>
      <c r="RQS31" s="3" t="s">
        <v>382</v>
      </c>
      <c r="RQT31" s="3" t="s">
        <v>383</v>
      </c>
      <c r="RQU31" s="3" t="s">
        <v>382</v>
      </c>
      <c r="RQV31" s="3" t="s">
        <v>383</v>
      </c>
      <c r="RQW31" s="3" t="s">
        <v>382</v>
      </c>
      <c r="RQX31" s="3" t="s">
        <v>383</v>
      </c>
      <c r="RQY31" s="3" t="s">
        <v>382</v>
      </c>
      <c r="RQZ31" s="3" t="s">
        <v>383</v>
      </c>
      <c r="RRA31" s="3" t="s">
        <v>382</v>
      </c>
      <c r="RRB31" s="3" t="s">
        <v>383</v>
      </c>
      <c r="RRC31" s="3" t="s">
        <v>382</v>
      </c>
      <c r="RRD31" s="3" t="s">
        <v>383</v>
      </c>
      <c r="RRE31" s="3" t="s">
        <v>382</v>
      </c>
      <c r="RRF31" s="3" t="s">
        <v>383</v>
      </c>
      <c r="RRG31" s="3" t="s">
        <v>382</v>
      </c>
      <c r="RRH31" s="3" t="s">
        <v>383</v>
      </c>
      <c r="RRI31" s="3" t="s">
        <v>382</v>
      </c>
      <c r="RRJ31" s="3" t="s">
        <v>383</v>
      </c>
      <c r="RRK31" s="3" t="s">
        <v>382</v>
      </c>
      <c r="RRL31" s="3" t="s">
        <v>383</v>
      </c>
      <c r="RRM31" s="3" t="s">
        <v>382</v>
      </c>
      <c r="RRN31" s="3" t="s">
        <v>383</v>
      </c>
      <c r="RRO31" s="3" t="s">
        <v>382</v>
      </c>
      <c r="RRP31" s="3" t="s">
        <v>383</v>
      </c>
      <c r="RRQ31" s="3" t="s">
        <v>382</v>
      </c>
      <c r="RRR31" s="3" t="s">
        <v>383</v>
      </c>
      <c r="RRS31" s="3" t="s">
        <v>382</v>
      </c>
      <c r="RRT31" s="3" t="s">
        <v>383</v>
      </c>
      <c r="RRU31" s="3" t="s">
        <v>382</v>
      </c>
      <c r="RRV31" s="3" t="s">
        <v>383</v>
      </c>
      <c r="RRW31" s="3" t="s">
        <v>382</v>
      </c>
      <c r="RRX31" s="3" t="s">
        <v>383</v>
      </c>
      <c r="RRY31" s="3" t="s">
        <v>382</v>
      </c>
      <c r="RRZ31" s="3" t="s">
        <v>383</v>
      </c>
      <c r="RSA31" s="3" t="s">
        <v>382</v>
      </c>
      <c r="RSB31" s="3" t="s">
        <v>383</v>
      </c>
      <c r="RSC31" s="3" t="s">
        <v>382</v>
      </c>
      <c r="RSD31" s="3" t="s">
        <v>383</v>
      </c>
      <c r="RSE31" s="3" t="s">
        <v>382</v>
      </c>
      <c r="RSF31" s="3" t="s">
        <v>383</v>
      </c>
      <c r="RSG31" s="3" t="s">
        <v>382</v>
      </c>
      <c r="RSH31" s="3" t="s">
        <v>383</v>
      </c>
      <c r="RSI31" s="3" t="s">
        <v>382</v>
      </c>
      <c r="RSJ31" s="3" t="s">
        <v>383</v>
      </c>
      <c r="RSK31" s="3" t="s">
        <v>382</v>
      </c>
      <c r="RSL31" s="3" t="s">
        <v>383</v>
      </c>
      <c r="RSM31" s="3" t="s">
        <v>382</v>
      </c>
      <c r="RSN31" s="3" t="s">
        <v>383</v>
      </c>
      <c r="RSO31" s="3" t="s">
        <v>382</v>
      </c>
      <c r="RSP31" s="3" t="s">
        <v>383</v>
      </c>
      <c r="RSQ31" s="3" t="s">
        <v>382</v>
      </c>
      <c r="RSR31" s="3" t="s">
        <v>383</v>
      </c>
      <c r="RSS31" s="3" t="s">
        <v>382</v>
      </c>
      <c r="RST31" s="3" t="s">
        <v>383</v>
      </c>
      <c r="RSU31" s="3" t="s">
        <v>382</v>
      </c>
      <c r="RSV31" s="3" t="s">
        <v>383</v>
      </c>
      <c r="RSW31" s="3" t="s">
        <v>382</v>
      </c>
      <c r="RSX31" s="3" t="s">
        <v>383</v>
      </c>
      <c r="RSY31" s="3" t="s">
        <v>382</v>
      </c>
      <c r="RSZ31" s="3" t="s">
        <v>383</v>
      </c>
      <c r="RTA31" s="3" t="s">
        <v>382</v>
      </c>
      <c r="RTB31" s="3" t="s">
        <v>383</v>
      </c>
      <c r="RTC31" s="3" t="s">
        <v>382</v>
      </c>
      <c r="RTD31" s="3" t="s">
        <v>383</v>
      </c>
      <c r="RTE31" s="3" t="s">
        <v>382</v>
      </c>
      <c r="RTF31" s="3" t="s">
        <v>383</v>
      </c>
      <c r="RTG31" s="3" t="s">
        <v>382</v>
      </c>
      <c r="RTH31" s="3" t="s">
        <v>383</v>
      </c>
      <c r="RTI31" s="3" t="s">
        <v>382</v>
      </c>
      <c r="RTJ31" s="3" t="s">
        <v>383</v>
      </c>
      <c r="RTK31" s="3" t="s">
        <v>382</v>
      </c>
      <c r="RTL31" s="3" t="s">
        <v>383</v>
      </c>
      <c r="RTM31" s="3" t="s">
        <v>382</v>
      </c>
      <c r="RTN31" s="3" t="s">
        <v>383</v>
      </c>
      <c r="RTO31" s="3" t="s">
        <v>382</v>
      </c>
      <c r="RTP31" s="3" t="s">
        <v>383</v>
      </c>
      <c r="RTQ31" s="3" t="s">
        <v>382</v>
      </c>
      <c r="RTR31" s="3" t="s">
        <v>383</v>
      </c>
      <c r="RTS31" s="3" t="s">
        <v>382</v>
      </c>
      <c r="RTT31" s="3" t="s">
        <v>383</v>
      </c>
      <c r="RTU31" s="3" t="s">
        <v>382</v>
      </c>
      <c r="RTV31" s="3" t="s">
        <v>383</v>
      </c>
      <c r="RTW31" s="3" t="s">
        <v>382</v>
      </c>
      <c r="RTX31" s="3" t="s">
        <v>383</v>
      </c>
      <c r="RTY31" s="3" t="s">
        <v>382</v>
      </c>
      <c r="RTZ31" s="3" t="s">
        <v>383</v>
      </c>
      <c r="RUA31" s="3" t="s">
        <v>382</v>
      </c>
      <c r="RUB31" s="3" t="s">
        <v>383</v>
      </c>
      <c r="RUC31" s="3" t="s">
        <v>382</v>
      </c>
      <c r="RUD31" s="3" t="s">
        <v>383</v>
      </c>
      <c r="RUE31" s="3" t="s">
        <v>382</v>
      </c>
      <c r="RUF31" s="3" t="s">
        <v>383</v>
      </c>
      <c r="RUG31" s="3" t="s">
        <v>382</v>
      </c>
      <c r="RUH31" s="3" t="s">
        <v>383</v>
      </c>
      <c r="RUI31" s="3" t="s">
        <v>382</v>
      </c>
      <c r="RUJ31" s="3" t="s">
        <v>383</v>
      </c>
      <c r="RUK31" s="3" t="s">
        <v>382</v>
      </c>
      <c r="RUL31" s="3" t="s">
        <v>383</v>
      </c>
      <c r="RUM31" s="3" t="s">
        <v>382</v>
      </c>
      <c r="RUN31" s="3" t="s">
        <v>383</v>
      </c>
      <c r="RUO31" s="3" t="s">
        <v>382</v>
      </c>
      <c r="RUP31" s="3" t="s">
        <v>383</v>
      </c>
      <c r="RUQ31" s="3" t="s">
        <v>382</v>
      </c>
      <c r="RUR31" s="3" t="s">
        <v>383</v>
      </c>
      <c r="RUS31" s="3" t="s">
        <v>382</v>
      </c>
      <c r="RUT31" s="3" t="s">
        <v>383</v>
      </c>
      <c r="RUU31" s="3" t="s">
        <v>382</v>
      </c>
      <c r="RUV31" s="3" t="s">
        <v>383</v>
      </c>
      <c r="RUW31" s="3" t="s">
        <v>382</v>
      </c>
      <c r="RUX31" s="3" t="s">
        <v>383</v>
      </c>
      <c r="RUY31" s="3" t="s">
        <v>382</v>
      </c>
      <c r="RUZ31" s="3" t="s">
        <v>383</v>
      </c>
      <c r="RVA31" s="3" t="s">
        <v>382</v>
      </c>
      <c r="RVB31" s="3" t="s">
        <v>383</v>
      </c>
      <c r="RVC31" s="3" t="s">
        <v>382</v>
      </c>
      <c r="RVD31" s="3" t="s">
        <v>383</v>
      </c>
      <c r="RVE31" s="3" t="s">
        <v>382</v>
      </c>
      <c r="RVF31" s="3" t="s">
        <v>383</v>
      </c>
      <c r="RVG31" s="3" t="s">
        <v>382</v>
      </c>
      <c r="RVH31" s="3" t="s">
        <v>383</v>
      </c>
      <c r="RVI31" s="3" t="s">
        <v>382</v>
      </c>
      <c r="RVJ31" s="3" t="s">
        <v>383</v>
      </c>
      <c r="RVK31" s="3" t="s">
        <v>382</v>
      </c>
      <c r="RVL31" s="3" t="s">
        <v>383</v>
      </c>
      <c r="RVM31" s="3" t="s">
        <v>382</v>
      </c>
      <c r="RVN31" s="3" t="s">
        <v>383</v>
      </c>
      <c r="RVO31" s="3" t="s">
        <v>382</v>
      </c>
      <c r="RVP31" s="3" t="s">
        <v>383</v>
      </c>
      <c r="RVQ31" s="3" t="s">
        <v>382</v>
      </c>
      <c r="RVR31" s="3" t="s">
        <v>383</v>
      </c>
      <c r="RVS31" s="3" t="s">
        <v>382</v>
      </c>
      <c r="RVT31" s="3" t="s">
        <v>383</v>
      </c>
      <c r="RVU31" s="3" t="s">
        <v>382</v>
      </c>
      <c r="RVV31" s="3" t="s">
        <v>383</v>
      </c>
      <c r="RVW31" s="3" t="s">
        <v>382</v>
      </c>
      <c r="RVX31" s="3" t="s">
        <v>383</v>
      </c>
      <c r="RVY31" s="3" t="s">
        <v>382</v>
      </c>
      <c r="RVZ31" s="3" t="s">
        <v>383</v>
      </c>
      <c r="RWA31" s="3" t="s">
        <v>382</v>
      </c>
      <c r="RWB31" s="3" t="s">
        <v>383</v>
      </c>
      <c r="RWC31" s="3" t="s">
        <v>382</v>
      </c>
      <c r="RWD31" s="3" t="s">
        <v>383</v>
      </c>
      <c r="RWE31" s="3" t="s">
        <v>382</v>
      </c>
      <c r="RWF31" s="3" t="s">
        <v>383</v>
      </c>
      <c r="RWG31" s="3" t="s">
        <v>382</v>
      </c>
      <c r="RWH31" s="3" t="s">
        <v>383</v>
      </c>
      <c r="RWI31" s="3" t="s">
        <v>382</v>
      </c>
      <c r="RWJ31" s="3" t="s">
        <v>383</v>
      </c>
      <c r="RWK31" s="3" t="s">
        <v>382</v>
      </c>
      <c r="RWL31" s="3" t="s">
        <v>383</v>
      </c>
      <c r="RWM31" s="3" t="s">
        <v>382</v>
      </c>
      <c r="RWN31" s="3" t="s">
        <v>383</v>
      </c>
      <c r="RWO31" s="3" t="s">
        <v>382</v>
      </c>
      <c r="RWP31" s="3" t="s">
        <v>383</v>
      </c>
      <c r="RWQ31" s="3" t="s">
        <v>382</v>
      </c>
      <c r="RWR31" s="3" t="s">
        <v>383</v>
      </c>
      <c r="RWS31" s="3" t="s">
        <v>382</v>
      </c>
      <c r="RWT31" s="3" t="s">
        <v>383</v>
      </c>
      <c r="RWU31" s="3" t="s">
        <v>382</v>
      </c>
      <c r="RWV31" s="3" t="s">
        <v>383</v>
      </c>
      <c r="RWW31" s="3" t="s">
        <v>382</v>
      </c>
      <c r="RWX31" s="3" t="s">
        <v>383</v>
      </c>
      <c r="RWY31" s="3" t="s">
        <v>382</v>
      </c>
      <c r="RWZ31" s="3" t="s">
        <v>383</v>
      </c>
      <c r="RXA31" s="3" t="s">
        <v>382</v>
      </c>
      <c r="RXB31" s="3" t="s">
        <v>383</v>
      </c>
      <c r="RXC31" s="3" t="s">
        <v>382</v>
      </c>
      <c r="RXD31" s="3" t="s">
        <v>383</v>
      </c>
      <c r="RXE31" s="3" t="s">
        <v>382</v>
      </c>
      <c r="RXF31" s="3" t="s">
        <v>383</v>
      </c>
      <c r="RXG31" s="3" t="s">
        <v>382</v>
      </c>
      <c r="RXH31" s="3" t="s">
        <v>383</v>
      </c>
      <c r="RXI31" s="3" t="s">
        <v>382</v>
      </c>
      <c r="RXJ31" s="3" t="s">
        <v>383</v>
      </c>
      <c r="RXK31" s="3" t="s">
        <v>382</v>
      </c>
      <c r="RXL31" s="3" t="s">
        <v>383</v>
      </c>
      <c r="RXM31" s="3" t="s">
        <v>382</v>
      </c>
      <c r="RXN31" s="3" t="s">
        <v>383</v>
      </c>
      <c r="RXO31" s="3" t="s">
        <v>382</v>
      </c>
      <c r="RXP31" s="3" t="s">
        <v>383</v>
      </c>
      <c r="RXQ31" s="3" t="s">
        <v>382</v>
      </c>
      <c r="RXR31" s="3" t="s">
        <v>383</v>
      </c>
      <c r="RXS31" s="3" t="s">
        <v>382</v>
      </c>
      <c r="RXT31" s="3" t="s">
        <v>383</v>
      </c>
      <c r="RXU31" s="3" t="s">
        <v>382</v>
      </c>
      <c r="RXV31" s="3" t="s">
        <v>383</v>
      </c>
      <c r="RXW31" s="3" t="s">
        <v>382</v>
      </c>
      <c r="RXX31" s="3" t="s">
        <v>383</v>
      </c>
      <c r="RXY31" s="3" t="s">
        <v>382</v>
      </c>
      <c r="RXZ31" s="3" t="s">
        <v>383</v>
      </c>
      <c r="RYA31" s="3" t="s">
        <v>382</v>
      </c>
      <c r="RYB31" s="3" t="s">
        <v>383</v>
      </c>
      <c r="RYC31" s="3" t="s">
        <v>382</v>
      </c>
      <c r="RYD31" s="3" t="s">
        <v>383</v>
      </c>
      <c r="RYE31" s="3" t="s">
        <v>382</v>
      </c>
      <c r="RYF31" s="3" t="s">
        <v>383</v>
      </c>
      <c r="RYG31" s="3" t="s">
        <v>382</v>
      </c>
      <c r="RYH31" s="3" t="s">
        <v>383</v>
      </c>
      <c r="RYI31" s="3" t="s">
        <v>382</v>
      </c>
      <c r="RYJ31" s="3" t="s">
        <v>383</v>
      </c>
      <c r="RYK31" s="3" t="s">
        <v>382</v>
      </c>
      <c r="RYL31" s="3" t="s">
        <v>383</v>
      </c>
      <c r="RYM31" s="3" t="s">
        <v>382</v>
      </c>
      <c r="RYN31" s="3" t="s">
        <v>383</v>
      </c>
      <c r="RYO31" s="3" t="s">
        <v>382</v>
      </c>
      <c r="RYP31" s="3" t="s">
        <v>383</v>
      </c>
      <c r="RYQ31" s="3" t="s">
        <v>382</v>
      </c>
      <c r="RYR31" s="3" t="s">
        <v>383</v>
      </c>
      <c r="RYS31" s="3" t="s">
        <v>382</v>
      </c>
      <c r="RYT31" s="3" t="s">
        <v>383</v>
      </c>
      <c r="RYU31" s="3" t="s">
        <v>382</v>
      </c>
      <c r="RYV31" s="3" t="s">
        <v>383</v>
      </c>
      <c r="RYW31" s="3" t="s">
        <v>382</v>
      </c>
      <c r="RYX31" s="3" t="s">
        <v>383</v>
      </c>
      <c r="RYY31" s="3" t="s">
        <v>382</v>
      </c>
      <c r="RYZ31" s="3" t="s">
        <v>383</v>
      </c>
      <c r="RZA31" s="3" t="s">
        <v>382</v>
      </c>
      <c r="RZB31" s="3" t="s">
        <v>383</v>
      </c>
      <c r="RZC31" s="3" t="s">
        <v>382</v>
      </c>
      <c r="RZD31" s="3" t="s">
        <v>383</v>
      </c>
      <c r="RZE31" s="3" t="s">
        <v>382</v>
      </c>
      <c r="RZF31" s="3" t="s">
        <v>383</v>
      </c>
      <c r="RZG31" s="3" t="s">
        <v>382</v>
      </c>
      <c r="RZH31" s="3" t="s">
        <v>383</v>
      </c>
      <c r="RZI31" s="3" t="s">
        <v>382</v>
      </c>
      <c r="RZJ31" s="3" t="s">
        <v>383</v>
      </c>
      <c r="RZK31" s="3" t="s">
        <v>382</v>
      </c>
      <c r="RZL31" s="3" t="s">
        <v>383</v>
      </c>
      <c r="RZM31" s="3" t="s">
        <v>382</v>
      </c>
      <c r="RZN31" s="3" t="s">
        <v>383</v>
      </c>
      <c r="RZO31" s="3" t="s">
        <v>382</v>
      </c>
      <c r="RZP31" s="3" t="s">
        <v>383</v>
      </c>
      <c r="RZQ31" s="3" t="s">
        <v>382</v>
      </c>
      <c r="RZR31" s="3" t="s">
        <v>383</v>
      </c>
      <c r="RZS31" s="3" t="s">
        <v>382</v>
      </c>
      <c r="RZT31" s="3" t="s">
        <v>383</v>
      </c>
      <c r="RZU31" s="3" t="s">
        <v>382</v>
      </c>
      <c r="RZV31" s="3" t="s">
        <v>383</v>
      </c>
      <c r="RZW31" s="3" t="s">
        <v>382</v>
      </c>
      <c r="RZX31" s="3" t="s">
        <v>383</v>
      </c>
      <c r="RZY31" s="3" t="s">
        <v>382</v>
      </c>
      <c r="RZZ31" s="3" t="s">
        <v>383</v>
      </c>
      <c r="SAA31" s="3" t="s">
        <v>382</v>
      </c>
      <c r="SAB31" s="3" t="s">
        <v>383</v>
      </c>
      <c r="SAC31" s="3" t="s">
        <v>382</v>
      </c>
      <c r="SAD31" s="3" t="s">
        <v>383</v>
      </c>
      <c r="SAE31" s="3" t="s">
        <v>382</v>
      </c>
      <c r="SAF31" s="3" t="s">
        <v>383</v>
      </c>
      <c r="SAG31" s="3" t="s">
        <v>382</v>
      </c>
      <c r="SAH31" s="3" t="s">
        <v>383</v>
      </c>
      <c r="SAI31" s="3" t="s">
        <v>382</v>
      </c>
      <c r="SAJ31" s="3" t="s">
        <v>383</v>
      </c>
      <c r="SAK31" s="3" t="s">
        <v>382</v>
      </c>
      <c r="SAL31" s="3" t="s">
        <v>383</v>
      </c>
      <c r="SAM31" s="3" t="s">
        <v>382</v>
      </c>
      <c r="SAN31" s="3" t="s">
        <v>383</v>
      </c>
      <c r="SAO31" s="3" t="s">
        <v>382</v>
      </c>
      <c r="SAP31" s="3" t="s">
        <v>383</v>
      </c>
      <c r="SAQ31" s="3" t="s">
        <v>382</v>
      </c>
      <c r="SAR31" s="3" t="s">
        <v>383</v>
      </c>
      <c r="SAS31" s="3" t="s">
        <v>382</v>
      </c>
      <c r="SAT31" s="3" t="s">
        <v>383</v>
      </c>
      <c r="SAU31" s="3" t="s">
        <v>382</v>
      </c>
      <c r="SAV31" s="3" t="s">
        <v>383</v>
      </c>
      <c r="SAW31" s="3" t="s">
        <v>382</v>
      </c>
      <c r="SAX31" s="3" t="s">
        <v>383</v>
      </c>
      <c r="SAY31" s="3" t="s">
        <v>382</v>
      </c>
      <c r="SAZ31" s="3" t="s">
        <v>383</v>
      </c>
      <c r="SBA31" s="3" t="s">
        <v>382</v>
      </c>
      <c r="SBB31" s="3" t="s">
        <v>383</v>
      </c>
      <c r="SBC31" s="3" t="s">
        <v>382</v>
      </c>
      <c r="SBD31" s="3" t="s">
        <v>383</v>
      </c>
      <c r="SBE31" s="3" t="s">
        <v>382</v>
      </c>
      <c r="SBF31" s="3" t="s">
        <v>383</v>
      </c>
      <c r="SBG31" s="3" t="s">
        <v>382</v>
      </c>
      <c r="SBH31" s="3" t="s">
        <v>383</v>
      </c>
      <c r="SBI31" s="3" t="s">
        <v>382</v>
      </c>
      <c r="SBJ31" s="3" t="s">
        <v>383</v>
      </c>
      <c r="SBK31" s="3" t="s">
        <v>382</v>
      </c>
      <c r="SBL31" s="3" t="s">
        <v>383</v>
      </c>
      <c r="SBM31" s="3" t="s">
        <v>382</v>
      </c>
      <c r="SBN31" s="3" t="s">
        <v>383</v>
      </c>
      <c r="SBO31" s="3" t="s">
        <v>382</v>
      </c>
      <c r="SBP31" s="3" t="s">
        <v>383</v>
      </c>
      <c r="SBQ31" s="3" t="s">
        <v>382</v>
      </c>
      <c r="SBR31" s="3" t="s">
        <v>383</v>
      </c>
      <c r="SBS31" s="3" t="s">
        <v>382</v>
      </c>
      <c r="SBT31" s="3" t="s">
        <v>383</v>
      </c>
      <c r="SBU31" s="3" t="s">
        <v>382</v>
      </c>
      <c r="SBV31" s="3" t="s">
        <v>383</v>
      </c>
      <c r="SBW31" s="3" t="s">
        <v>382</v>
      </c>
      <c r="SBX31" s="3" t="s">
        <v>383</v>
      </c>
      <c r="SBY31" s="3" t="s">
        <v>382</v>
      </c>
      <c r="SBZ31" s="3" t="s">
        <v>383</v>
      </c>
      <c r="SCA31" s="3" t="s">
        <v>382</v>
      </c>
      <c r="SCB31" s="3" t="s">
        <v>383</v>
      </c>
      <c r="SCC31" s="3" t="s">
        <v>382</v>
      </c>
      <c r="SCD31" s="3" t="s">
        <v>383</v>
      </c>
      <c r="SCE31" s="3" t="s">
        <v>382</v>
      </c>
      <c r="SCF31" s="3" t="s">
        <v>383</v>
      </c>
      <c r="SCG31" s="3" t="s">
        <v>382</v>
      </c>
      <c r="SCH31" s="3" t="s">
        <v>383</v>
      </c>
      <c r="SCI31" s="3" t="s">
        <v>382</v>
      </c>
      <c r="SCJ31" s="3" t="s">
        <v>383</v>
      </c>
      <c r="SCK31" s="3" t="s">
        <v>382</v>
      </c>
      <c r="SCL31" s="3" t="s">
        <v>383</v>
      </c>
      <c r="SCM31" s="3" t="s">
        <v>382</v>
      </c>
      <c r="SCN31" s="3" t="s">
        <v>383</v>
      </c>
      <c r="SCO31" s="3" t="s">
        <v>382</v>
      </c>
      <c r="SCP31" s="3" t="s">
        <v>383</v>
      </c>
      <c r="SCQ31" s="3" t="s">
        <v>382</v>
      </c>
      <c r="SCR31" s="3" t="s">
        <v>383</v>
      </c>
      <c r="SCS31" s="3" t="s">
        <v>382</v>
      </c>
      <c r="SCT31" s="3" t="s">
        <v>383</v>
      </c>
      <c r="SCU31" s="3" t="s">
        <v>382</v>
      </c>
      <c r="SCV31" s="3" t="s">
        <v>383</v>
      </c>
      <c r="SCW31" s="3" t="s">
        <v>382</v>
      </c>
      <c r="SCX31" s="3" t="s">
        <v>383</v>
      </c>
      <c r="SCY31" s="3" t="s">
        <v>382</v>
      </c>
      <c r="SCZ31" s="3" t="s">
        <v>383</v>
      </c>
      <c r="SDA31" s="3" t="s">
        <v>382</v>
      </c>
      <c r="SDB31" s="3" t="s">
        <v>383</v>
      </c>
      <c r="SDC31" s="3" t="s">
        <v>382</v>
      </c>
      <c r="SDD31" s="3" t="s">
        <v>383</v>
      </c>
      <c r="SDE31" s="3" t="s">
        <v>382</v>
      </c>
      <c r="SDF31" s="3" t="s">
        <v>383</v>
      </c>
      <c r="SDG31" s="3" t="s">
        <v>382</v>
      </c>
      <c r="SDH31" s="3" t="s">
        <v>383</v>
      </c>
      <c r="SDI31" s="3" t="s">
        <v>382</v>
      </c>
      <c r="SDJ31" s="3" t="s">
        <v>383</v>
      </c>
      <c r="SDK31" s="3" t="s">
        <v>382</v>
      </c>
      <c r="SDL31" s="3" t="s">
        <v>383</v>
      </c>
      <c r="SDM31" s="3" t="s">
        <v>382</v>
      </c>
      <c r="SDN31" s="3" t="s">
        <v>383</v>
      </c>
      <c r="SDO31" s="3" t="s">
        <v>382</v>
      </c>
      <c r="SDP31" s="3" t="s">
        <v>383</v>
      </c>
      <c r="SDQ31" s="3" t="s">
        <v>382</v>
      </c>
      <c r="SDR31" s="3" t="s">
        <v>383</v>
      </c>
      <c r="SDS31" s="3" t="s">
        <v>382</v>
      </c>
      <c r="SDT31" s="3" t="s">
        <v>383</v>
      </c>
      <c r="SDU31" s="3" t="s">
        <v>382</v>
      </c>
      <c r="SDV31" s="3" t="s">
        <v>383</v>
      </c>
      <c r="SDW31" s="3" t="s">
        <v>382</v>
      </c>
      <c r="SDX31" s="3" t="s">
        <v>383</v>
      </c>
      <c r="SDY31" s="3" t="s">
        <v>382</v>
      </c>
      <c r="SDZ31" s="3" t="s">
        <v>383</v>
      </c>
      <c r="SEA31" s="3" t="s">
        <v>382</v>
      </c>
      <c r="SEB31" s="3" t="s">
        <v>383</v>
      </c>
      <c r="SEC31" s="3" t="s">
        <v>382</v>
      </c>
      <c r="SED31" s="3" t="s">
        <v>383</v>
      </c>
      <c r="SEE31" s="3" t="s">
        <v>382</v>
      </c>
      <c r="SEF31" s="3" t="s">
        <v>383</v>
      </c>
      <c r="SEG31" s="3" t="s">
        <v>382</v>
      </c>
      <c r="SEH31" s="3" t="s">
        <v>383</v>
      </c>
      <c r="SEI31" s="3" t="s">
        <v>382</v>
      </c>
      <c r="SEJ31" s="3" t="s">
        <v>383</v>
      </c>
      <c r="SEK31" s="3" t="s">
        <v>382</v>
      </c>
      <c r="SEL31" s="3" t="s">
        <v>383</v>
      </c>
      <c r="SEM31" s="3" t="s">
        <v>382</v>
      </c>
      <c r="SEN31" s="3" t="s">
        <v>383</v>
      </c>
      <c r="SEO31" s="3" t="s">
        <v>382</v>
      </c>
      <c r="SEP31" s="3" t="s">
        <v>383</v>
      </c>
      <c r="SEQ31" s="3" t="s">
        <v>382</v>
      </c>
      <c r="SER31" s="3" t="s">
        <v>383</v>
      </c>
      <c r="SES31" s="3" t="s">
        <v>382</v>
      </c>
      <c r="SET31" s="3" t="s">
        <v>383</v>
      </c>
      <c r="SEU31" s="3" t="s">
        <v>382</v>
      </c>
      <c r="SEV31" s="3" t="s">
        <v>383</v>
      </c>
      <c r="SEW31" s="3" t="s">
        <v>382</v>
      </c>
      <c r="SEX31" s="3" t="s">
        <v>383</v>
      </c>
      <c r="SEY31" s="3" t="s">
        <v>382</v>
      </c>
      <c r="SEZ31" s="3" t="s">
        <v>383</v>
      </c>
      <c r="SFA31" s="3" t="s">
        <v>382</v>
      </c>
      <c r="SFB31" s="3" t="s">
        <v>383</v>
      </c>
      <c r="SFC31" s="3" t="s">
        <v>382</v>
      </c>
      <c r="SFD31" s="3" t="s">
        <v>383</v>
      </c>
      <c r="SFE31" s="3" t="s">
        <v>382</v>
      </c>
      <c r="SFF31" s="3" t="s">
        <v>383</v>
      </c>
      <c r="SFG31" s="3" t="s">
        <v>382</v>
      </c>
      <c r="SFH31" s="3" t="s">
        <v>383</v>
      </c>
      <c r="SFI31" s="3" t="s">
        <v>382</v>
      </c>
      <c r="SFJ31" s="3" t="s">
        <v>383</v>
      </c>
      <c r="SFK31" s="3" t="s">
        <v>382</v>
      </c>
      <c r="SFL31" s="3" t="s">
        <v>383</v>
      </c>
      <c r="SFM31" s="3" t="s">
        <v>382</v>
      </c>
      <c r="SFN31" s="3" t="s">
        <v>383</v>
      </c>
      <c r="SFO31" s="3" t="s">
        <v>382</v>
      </c>
      <c r="SFP31" s="3" t="s">
        <v>383</v>
      </c>
      <c r="SFQ31" s="3" t="s">
        <v>382</v>
      </c>
      <c r="SFR31" s="3" t="s">
        <v>383</v>
      </c>
      <c r="SFS31" s="3" t="s">
        <v>382</v>
      </c>
      <c r="SFT31" s="3" t="s">
        <v>383</v>
      </c>
      <c r="SFU31" s="3" t="s">
        <v>382</v>
      </c>
      <c r="SFV31" s="3" t="s">
        <v>383</v>
      </c>
      <c r="SFW31" s="3" t="s">
        <v>382</v>
      </c>
      <c r="SFX31" s="3" t="s">
        <v>383</v>
      </c>
      <c r="SFY31" s="3" t="s">
        <v>382</v>
      </c>
      <c r="SFZ31" s="3" t="s">
        <v>383</v>
      </c>
      <c r="SGA31" s="3" t="s">
        <v>382</v>
      </c>
      <c r="SGB31" s="3" t="s">
        <v>383</v>
      </c>
      <c r="SGC31" s="3" t="s">
        <v>382</v>
      </c>
      <c r="SGD31" s="3" t="s">
        <v>383</v>
      </c>
      <c r="SGE31" s="3" t="s">
        <v>382</v>
      </c>
      <c r="SGF31" s="3" t="s">
        <v>383</v>
      </c>
      <c r="SGG31" s="3" t="s">
        <v>382</v>
      </c>
      <c r="SGH31" s="3" t="s">
        <v>383</v>
      </c>
      <c r="SGI31" s="3" t="s">
        <v>382</v>
      </c>
      <c r="SGJ31" s="3" t="s">
        <v>383</v>
      </c>
      <c r="SGK31" s="3" t="s">
        <v>382</v>
      </c>
      <c r="SGL31" s="3" t="s">
        <v>383</v>
      </c>
      <c r="SGM31" s="3" t="s">
        <v>382</v>
      </c>
      <c r="SGN31" s="3" t="s">
        <v>383</v>
      </c>
      <c r="SGO31" s="3" t="s">
        <v>382</v>
      </c>
      <c r="SGP31" s="3" t="s">
        <v>383</v>
      </c>
      <c r="SGQ31" s="3" t="s">
        <v>382</v>
      </c>
      <c r="SGR31" s="3" t="s">
        <v>383</v>
      </c>
      <c r="SGS31" s="3" t="s">
        <v>382</v>
      </c>
      <c r="SGT31" s="3" t="s">
        <v>383</v>
      </c>
      <c r="SGU31" s="3" t="s">
        <v>382</v>
      </c>
      <c r="SGV31" s="3" t="s">
        <v>383</v>
      </c>
      <c r="SGW31" s="3" t="s">
        <v>382</v>
      </c>
      <c r="SGX31" s="3" t="s">
        <v>383</v>
      </c>
      <c r="SGY31" s="3" t="s">
        <v>382</v>
      </c>
      <c r="SGZ31" s="3" t="s">
        <v>383</v>
      </c>
      <c r="SHA31" s="3" t="s">
        <v>382</v>
      </c>
      <c r="SHB31" s="3" t="s">
        <v>383</v>
      </c>
      <c r="SHC31" s="3" t="s">
        <v>382</v>
      </c>
      <c r="SHD31" s="3" t="s">
        <v>383</v>
      </c>
      <c r="SHE31" s="3" t="s">
        <v>382</v>
      </c>
      <c r="SHF31" s="3" t="s">
        <v>383</v>
      </c>
      <c r="SHG31" s="3" t="s">
        <v>382</v>
      </c>
      <c r="SHH31" s="3" t="s">
        <v>383</v>
      </c>
      <c r="SHI31" s="3" t="s">
        <v>382</v>
      </c>
      <c r="SHJ31" s="3" t="s">
        <v>383</v>
      </c>
      <c r="SHK31" s="3" t="s">
        <v>382</v>
      </c>
      <c r="SHL31" s="3" t="s">
        <v>383</v>
      </c>
      <c r="SHM31" s="3" t="s">
        <v>382</v>
      </c>
      <c r="SHN31" s="3" t="s">
        <v>383</v>
      </c>
      <c r="SHO31" s="3" t="s">
        <v>382</v>
      </c>
      <c r="SHP31" s="3" t="s">
        <v>383</v>
      </c>
      <c r="SHQ31" s="3" t="s">
        <v>382</v>
      </c>
      <c r="SHR31" s="3" t="s">
        <v>383</v>
      </c>
      <c r="SHS31" s="3" t="s">
        <v>382</v>
      </c>
      <c r="SHT31" s="3" t="s">
        <v>383</v>
      </c>
      <c r="SHU31" s="3" t="s">
        <v>382</v>
      </c>
      <c r="SHV31" s="3" t="s">
        <v>383</v>
      </c>
      <c r="SHW31" s="3" t="s">
        <v>382</v>
      </c>
      <c r="SHX31" s="3" t="s">
        <v>383</v>
      </c>
      <c r="SHY31" s="3" t="s">
        <v>382</v>
      </c>
      <c r="SHZ31" s="3" t="s">
        <v>383</v>
      </c>
      <c r="SIA31" s="3" t="s">
        <v>382</v>
      </c>
      <c r="SIB31" s="3" t="s">
        <v>383</v>
      </c>
      <c r="SIC31" s="3" t="s">
        <v>382</v>
      </c>
      <c r="SID31" s="3" t="s">
        <v>383</v>
      </c>
      <c r="SIE31" s="3" t="s">
        <v>382</v>
      </c>
      <c r="SIF31" s="3" t="s">
        <v>383</v>
      </c>
      <c r="SIG31" s="3" t="s">
        <v>382</v>
      </c>
      <c r="SIH31" s="3" t="s">
        <v>383</v>
      </c>
      <c r="SII31" s="3" t="s">
        <v>382</v>
      </c>
      <c r="SIJ31" s="3" t="s">
        <v>383</v>
      </c>
      <c r="SIK31" s="3" t="s">
        <v>382</v>
      </c>
      <c r="SIL31" s="3" t="s">
        <v>383</v>
      </c>
      <c r="SIM31" s="3" t="s">
        <v>382</v>
      </c>
      <c r="SIN31" s="3" t="s">
        <v>383</v>
      </c>
      <c r="SIO31" s="3" t="s">
        <v>382</v>
      </c>
      <c r="SIP31" s="3" t="s">
        <v>383</v>
      </c>
      <c r="SIQ31" s="3" t="s">
        <v>382</v>
      </c>
      <c r="SIR31" s="3" t="s">
        <v>383</v>
      </c>
      <c r="SIS31" s="3" t="s">
        <v>382</v>
      </c>
      <c r="SIT31" s="3" t="s">
        <v>383</v>
      </c>
      <c r="SIU31" s="3" t="s">
        <v>382</v>
      </c>
      <c r="SIV31" s="3" t="s">
        <v>383</v>
      </c>
      <c r="SIW31" s="3" t="s">
        <v>382</v>
      </c>
      <c r="SIX31" s="3" t="s">
        <v>383</v>
      </c>
      <c r="SIY31" s="3" t="s">
        <v>382</v>
      </c>
      <c r="SIZ31" s="3" t="s">
        <v>383</v>
      </c>
      <c r="SJA31" s="3" t="s">
        <v>382</v>
      </c>
      <c r="SJB31" s="3" t="s">
        <v>383</v>
      </c>
      <c r="SJC31" s="3" t="s">
        <v>382</v>
      </c>
      <c r="SJD31" s="3" t="s">
        <v>383</v>
      </c>
      <c r="SJE31" s="3" t="s">
        <v>382</v>
      </c>
      <c r="SJF31" s="3" t="s">
        <v>383</v>
      </c>
      <c r="SJG31" s="3" t="s">
        <v>382</v>
      </c>
      <c r="SJH31" s="3" t="s">
        <v>383</v>
      </c>
      <c r="SJI31" s="3" t="s">
        <v>382</v>
      </c>
      <c r="SJJ31" s="3" t="s">
        <v>383</v>
      </c>
      <c r="SJK31" s="3" t="s">
        <v>382</v>
      </c>
      <c r="SJL31" s="3" t="s">
        <v>383</v>
      </c>
      <c r="SJM31" s="3" t="s">
        <v>382</v>
      </c>
      <c r="SJN31" s="3" t="s">
        <v>383</v>
      </c>
      <c r="SJO31" s="3" t="s">
        <v>382</v>
      </c>
      <c r="SJP31" s="3" t="s">
        <v>383</v>
      </c>
      <c r="SJQ31" s="3" t="s">
        <v>382</v>
      </c>
      <c r="SJR31" s="3" t="s">
        <v>383</v>
      </c>
      <c r="SJS31" s="3" t="s">
        <v>382</v>
      </c>
      <c r="SJT31" s="3" t="s">
        <v>383</v>
      </c>
      <c r="SJU31" s="3" t="s">
        <v>382</v>
      </c>
      <c r="SJV31" s="3" t="s">
        <v>383</v>
      </c>
      <c r="SJW31" s="3" t="s">
        <v>382</v>
      </c>
      <c r="SJX31" s="3" t="s">
        <v>383</v>
      </c>
      <c r="SJY31" s="3" t="s">
        <v>382</v>
      </c>
      <c r="SJZ31" s="3" t="s">
        <v>383</v>
      </c>
      <c r="SKA31" s="3" t="s">
        <v>382</v>
      </c>
      <c r="SKB31" s="3" t="s">
        <v>383</v>
      </c>
      <c r="SKC31" s="3" t="s">
        <v>382</v>
      </c>
      <c r="SKD31" s="3" t="s">
        <v>383</v>
      </c>
      <c r="SKE31" s="3" t="s">
        <v>382</v>
      </c>
      <c r="SKF31" s="3" t="s">
        <v>383</v>
      </c>
      <c r="SKG31" s="3" t="s">
        <v>382</v>
      </c>
      <c r="SKH31" s="3" t="s">
        <v>383</v>
      </c>
      <c r="SKI31" s="3" t="s">
        <v>382</v>
      </c>
      <c r="SKJ31" s="3" t="s">
        <v>383</v>
      </c>
      <c r="SKK31" s="3" t="s">
        <v>382</v>
      </c>
      <c r="SKL31" s="3" t="s">
        <v>383</v>
      </c>
      <c r="SKM31" s="3" t="s">
        <v>382</v>
      </c>
      <c r="SKN31" s="3" t="s">
        <v>383</v>
      </c>
      <c r="SKO31" s="3" t="s">
        <v>382</v>
      </c>
      <c r="SKP31" s="3" t="s">
        <v>383</v>
      </c>
      <c r="SKQ31" s="3" t="s">
        <v>382</v>
      </c>
      <c r="SKR31" s="3" t="s">
        <v>383</v>
      </c>
      <c r="SKS31" s="3" t="s">
        <v>382</v>
      </c>
      <c r="SKT31" s="3" t="s">
        <v>383</v>
      </c>
      <c r="SKU31" s="3" t="s">
        <v>382</v>
      </c>
      <c r="SKV31" s="3" t="s">
        <v>383</v>
      </c>
      <c r="SKW31" s="3" t="s">
        <v>382</v>
      </c>
      <c r="SKX31" s="3" t="s">
        <v>383</v>
      </c>
      <c r="SKY31" s="3" t="s">
        <v>382</v>
      </c>
      <c r="SKZ31" s="3" t="s">
        <v>383</v>
      </c>
      <c r="SLA31" s="3" t="s">
        <v>382</v>
      </c>
      <c r="SLB31" s="3" t="s">
        <v>383</v>
      </c>
      <c r="SLC31" s="3" t="s">
        <v>382</v>
      </c>
      <c r="SLD31" s="3" t="s">
        <v>383</v>
      </c>
      <c r="SLE31" s="3" t="s">
        <v>382</v>
      </c>
      <c r="SLF31" s="3" t="s">
        <v>383</v>
      </c>
      <c r="SLG31" s="3" t="s">
        <v>382</v>
      </c>
      <c r="SLH31" s="3" t="s">
        <v>383</v>
      </c>
      <c r="SLI31" s="3" t="s">
        <v>382</v>
      </c>
      <c r="SLJ31" s="3" t="s">
        <v>383</v>
      </c>
      <c r="SLK31" s="3" t="s">
        <v>382</v>
      </c>
      <c r="SLL31" s="3" t="s">
        <v>383</v>
      </c>
      <c r="SLM31" s="3" t="s">
        <v>382</v>
      </c>
      <c r="SLN31" s="3" t="s">
        <v>383</v>
      </c>
      <c r="SLO31" s="3" t="s">
        <v>382</v>
      </c>
      <c r="SLP31" s="3" t="s">
        <v>383</v>
      </c>
      <c r="SLQ31" s="3" t="s">
        <v>382</v>
      </c>
      <c r="SLR31" s="3" t="s">
        <v>383</v>
      </c>
      <c r="SLS31" s="3" t="s">
        <v>382</v>
      </c>
      <c r="SLT31" s="3" t="s">
        <v>383</v>
      </c>
      <c r="SLU31" s="3" t="s">
        <v>382</v>
      </c>
      <c r="SLV31" s="3" t="s">
        <v>383</v>
      </c>
      <c r="SLW31" s="3" t="s">
        <v>382</v>
      </c>
      <c r="SLX31" s="3" t="s">
        <v>383</v>
      </c>
      <c r="SLY31" s="3" t="s">
        <v>382</v>
      </c>
      <c r="SLZ31" s="3" t="s">
        <v>383</v>
      </c>
      <c r="SMA31" s="3" t="s">
        <v>382</v>
      </c>
      <c r="SMB31" s="3" t="s">
        <v>383</v>
      </c>
      <c r="SMC31" s="3" t="s">
        <v>382</v>
      </c>
      <c r="SMD31" s="3" t="s">
        <v>383</v>
      </c>
      <c r="SME31" s="3" t="s">
        <v>382</v>
      </c>
      <c r="SMF31" s="3" t="s">
        <v>383</v>
      </c>
      <c r="SMG31" s="3" t="s">
        <v>382</v>
      </c>
      <c r="SMH31" s="3" t="s">
        <v>383</v>
      </c>
      <c r="SMI31" s="3" t="s">
        <v>382</v>
      </c>
      <c r="SMJ31" s="3" t="s">
        <v>383</v>
      </c>
      <c r="SMK31" s="3" t="s">
        <v>382</v>
      </c>
      <c r="SML31" s="3" t="s">
        <v>383</v>
      </c>
      <c r="SMM31" s="3" t="s">
        <v>382</v>
      </c>
      <c r="SMN31" s="3" t="s">
        <v>383</v>
      </c>
      <c r="SMO31" s="3" t="s">
        <v>382</v>
      </c>
      <c r="SMP31" s="3" t="s">
        <v>383</v>
      </c>
      <c r="SMQ31" s="3" t="s">
        <v>382</v>
      </c>
      <c r="SMR31" s="3" t="s">
        <v>383</v>
      </c>
      <c r="SMS31" s="3" t="s">
        <v>382</v>
      </c>
      <c r="SMT31" s="3" t="s">
        <v>383</v>
      </c>
      <c r="SMU31" s="3" t="s">
        <v>382</v>
      </c>
      <c r="SMV31" s="3" t="s">
        <v>383</v>
      </c>
      <c r="SMW31" s="3" t="s">
        <v>382</v>
      </c>
      <c r="SMX31" s="3" t="s">
        <v>383</v>
      </c>
      <c r="SMY31" s="3" t="s">
        <v>382</v>
      </c>
      <c r="SMZ31" s="3" t="s">
        <v>383</v>
      </c>
      <c r="SNA31" s="3" t="s">
        <v>382</v>
      </c>
      <c r="SNB31" s="3" t="s">
        <v>383</v>
      </c>
      <c r="SNC31" s="3" t="s">
        <v>382</v>
      </c>
      <c r="SND31" s="3" t="s">
        <v>383</v>
      </c>
      <c r="SNE31" s="3" t="s">
        <v>382</v>
      </c>
      <c r="SNF31" s="3" t="s">
        <v>383</v>
      </c>
      <c r="SNG31" s="3" t="s">
        <v>382</v>
      </c>
      <c r="SNH31" s="3" t="s">
        <v>383</v>
      </c>
      <c r="SNI31" s="3" t="s">
        <v>382</v>
      </c>
      <c r="SNJ31" s="3" t="s">
        <v>383</v>
      </c>
      <c r="SNK31" s="3" t="s">
        <v>382</v>
      </c>
      <c r="SNL31" s="3" t="s">
        <v>383</v>
      </c>
      <c r="SNM31" s="3" t="s">
        <v>382</v>
      </c>
      <c r="SNN31" s="3" t="s">
        <v>383</v>
      </c>
      <c r="SNO31" s="3" t="s">
        <v>382</v>
      </c>
      <c r="SNP31" s="3" t="s">
        <v>383</v>
      </c>
      <c r="SNQ31" s="3" t="s">
        <v>382</v>
      </c>
      <c r="SNR31" s="3" t="s">
        <v>383</v>
      </c>
      <c r="SNS31" s="3" t="s">
        <v>382</v>
      </c>
      <c r="SNT31" s="3" t="s">
        <v>383</v>
      </c>
      <c r="SNU31" s="3" t="s">
        <v>382</v>
      </c>
      <c r="SNV31" s="3" t="s">
        <v>383</v>
      </c>
      <c r="SNW31" s="3" t="s">
        <v>382</v>
      </c>
      <c r="SNX31" s="3" t="s">
        <v>383</v>
      </c>
      <c r="SNY31" s="3" t="s">
        <v>382</v>
      </c>
      <c r="SNZ31" s="3" t="s">
        <v>383</v>
      </c>
      <c r="SOA31" s="3" t="s">
        <v>382</v>
      </c>
      <c r="SOB31" s="3" t="s">
        <v>383</v>
      </c>
      <c r="SOC31" s="3" t="s">
        <v>382</v>
      </c>
      <c r="SOD31" s="3" t="s">
        <v>383</v>
      </c>
      <c r="SOE31" s="3" t="s">
        <v>382</v>
      </c>
      <c r="SOF31" s="3" t="s">
        <v>383</v>
      </c>
      <c r="SOG31" s="3" t="s">
        <v>382</v>
      </c>
      <c r="SOH31" s="3" t="s">
        <v>383</v>
      </c>
      <c r="SOI31" s="3" t="s">
        <v>382</v>
      </c>
      <c r="SOJ31" s="3" t="s">
        <v>383</v>
      </c>
      <c r="SOK31" s="3" t="s">
        <v>382</v>
      </c>
      <c r="SOL31" s="3" t="s">
        <v>383</v>
      </c>
      <c r="SOM31" s="3" t="s">
        <v>382</v>
      </c>
      <c r="SON31" s="3" t="s">
        <v>383</v>
      </c>
      <c r="SOO31" s="3" t="s">
        <v>382</v>
      </c>
      <c r="SOP31" s="3" t="s">
        <v>383</v>
      </c>
      <c r="SOQ31" s="3" t="s">
        <v>382</v>
      </c>
      <c r="SOR31" s="3" t="s">
        <v>383</v>
      </c>
      <c r="SOS31" s="3" t="s">
        <v>382</v>
      </c>
      <c r="SOT31" s="3" t="s">
        <v>383</v>
      </c>
      <c r="SOU31" s="3" t="s">
        <v>382</v>
      </c>
      <c r="SOV31" s="3" t="s">
        <v>383</v>
      </c>
      <c r="SOW31" s="3" t="s">
        <v>382</v>
      </c>
      <c r="SOX31" s="3" t="s">
        <v>383</v>
      </c>
      <c r="SOY31" s="3" t="s">
        <v>382</v>
      </c>
      <c r="SOZ31" s="3" t="s">
        <v>383</v>
      </c>
      <c r="SPA31" s="3" t="s">
        <v>382</v>
      </c>
      <c r="SPB31" s="3" t="s">
        <v>383</v>
      </c>
      <c r="SPC31" s="3" t="s">
        <v>382</v>
      </c>
      <c r="SPD31" s="3" t="s">
        <v>383</v>
      </c>
      <c r="SPE31" s="3" t="s">
        <v>382</v>
      </c>
      <c r="SPF31" s="3" t="s">
        <v>383</v>
      </c>
      <c r="SPG31" s="3" t="s">
        <v>382</v>
      </c>
      <c r="SPH31" s="3" t="s">
        <v>383</v>
      </c>
      <c r="SPI31" s="3" t="s">
        <v>382</v>
      </c>
      <c r="SPJ31" s="3" t="s">
        <v>383</v>
      </c>
      <c r="SPK31" s="3" t="s">
        <v>382</v>
      </c>
      <c r="SPL31" s="3" t="s">
        <v>383</v>
      </c>
      <c r="SPM31" s="3" t="s">
        <v>382</v>
      </c>
      <c r="SPN31" s="3" t="s">
        <v>383</v>
      </c>
      <c r="SPO31" s="3" t="s">
        <v>382</v>
      </c>
      <c r="SPP31" s="3" t="s">
        <v>383</v>
      </c>
      <c r="SPQ31" s="3" t="s">
        <v>382</v>
      </c>
      <c r="SPR31" s="3" t="s">
        <v>383</v>
      </c>
      <c r="SPS31" s="3" t="s">
        <v>382</v>
      </c>
      <c r="SPT31" s="3" t="s">
        <v>383</v>
      </c>
      <c r="SPU31" s="3" t="s">
        <v>382</v>
      </c>
      <c r="SPV31" s="3" t="s">
        <v>383</v>
      </c>
      <c r="SPW31" s="3" t="s">
        <v>382</v>
      </c>
      <c r="SPX31" s="3" t="s">
        <v>383</v>
      </c>
      <c r="SPY31" s="3" t="s">
        <v>382</v>
      </c>
      <c r="SPZ31" s="3" t="s">
        <v>383</v>
      </c>
      <c r="SQA31" s="3" t="s">
        <v>382</v>
      </c>
      <c r="SQB31" s="3" t="s">
        <v>383</v>
      </c>
      <c r="SQC31" s="3" t="s">
        <v>382</v>
      </c>
      <c r="SQD31" s="3" t="s">
        <v>383</v>
      </c>
      <c r="SQE31" s="3" t="s">
        <v>382</v>
      </c>
      <c r="SQF31" s="3" t="s">
        <v>383</v>
      </c>
      <c r="SQG31" s="3" t="s">
        <v>382</v>
      </c>
      <c r="SQH31" s="3" t="s">
        <v>383</v>
      </c>
      <c r="SQI31" s="3" t="s">
        <v>382</v>
      </c>
      <c r="SQJ31" s="3" t="s">
        <v>383</v>
      </c>
      <c r="SQK31" s="3" t="s">
        <v>382</v>
      </c>
      <c r="SQL31" s="3" t="s">
        <v>383</v>
      </c>
      <c r="SQM31" s="3" t="s">
        <v>382</v>
      </c>
      <c r="SQN31" s="3" t="s">
        <v>383</v>
      </c>
      <c r="SQO31" s="3" t="s">
        <v>382</v>
      </c>
      <c r="SQP31" s="3" t="s">
        <v>383</v>
      </c>
      <c r="SQQ31" s="3" t="s">
        <v>382</v>
      </c>
      <c r="SQR31" s="3" t="s">
        <v>383</v>
      </c>
      <c r="SQS31" s="3" t="s">
        <v>382</v>
      </c>
      <c r="SQT31" s="3" t="s">
        <v>383</v>
      </c>
      <c r="SQU31" s="3" t="s">
        <v>382</v>
      </c>
      <c r="SQV31" s="3" t="s">
        <v>383</v>
      </c>
      <c r="SQW31" s="3" t="s">
        <v>382</v>
      </c>
      <c r="SQX31" s="3" t="s">
        <v>383</v>
      </c>
      <c r="SQY31" s="3" t="s">
        <v>382</v>
      </c>
      <c r="SQZ31" s="3" t="s">
        <v>383</v>
      </c>
      <c r="SRA31" s="3" t="s">
        <v>382</v>
      </c>
      <c r="SRB31" s="3" t="s">
        <v>383</v>
      </c>
      <c r="SRC31" s="3" t="s">
        <v>382</v>
      </c>
      <c r="SRD31" s="3" t="s">
        <v>383</v>
      </c>
      <c r="SRE31" s="3" t="s">
        <v>382</v>
      </c>
      <c r="SRF31" s="3" t="s">
        <v>383</v>
      </c>
      <c r="SRG31" s="3" t="s">
        <v>382</v>
      </c>
      <c r="SRH31" s="3" t="s">
        <v>383</v>
      </c>
      <c r="SRI31" s="3" t="s">
        <v>382</v>
      </c>
      <c r="SRJ31" s="3" t="s">
        <v>383</v>
      </c>
      <c r="SRK31" s="3" t="s">
        <v>382</v>
      </c>
      <c r="SRL31" s="3" t="s">
        <v>383</v>
      </c>
      <c r="SRM31" s="3" t="s">
        <v>382</v>
      </c>
      <c r="SRN31" s="3" t="s">
        <v>383</v>
      </c>
      <c r="SRO31" s="3" t="s">
        <v>382</v>
      </c>
      <c r="SRP31" s="3" t="s">
        <v>383</v>
      </c>
      <c r="SRQ31" s="3" t="s">
        <v>382</v>
      </c>
      <c r="SRR31" s="3" t="s">
        <v>383</v>
      </c>
      <c r="SRS31" s="3" t="s">
        <v>382</v>
      </c>
      <c r="SRT31" s="3" t="s">
        <v>383</v>
      </c>
      <c r="SRU31" s="3" t="s">
        <v>382</v>
      </c>
      <c r="SRV31" s="3" t="s">
        <v>383</v>
      </c>
      <c r="SRW31" s="3" t="s">
        <v>382</v>
      </c>
      <c r="SRX31" s="3" t="s">
        <v>383</v>
      </c>
      <c r="SRY31" s="3" t="s">
        <v>382</v>
      </c>
      <c r="SRZ31" s="3" t="s">
        <v>383</v>
      </c>
      <c r="SSA31" s="3" t="s">
        <v>382</v>
      </c>
      <c r="SSB31" s="3" t="s">
        <v>383</v>
      </c>
      <c r="SSC31" s="3" t="s">
        <v>382</v>
      </c>
      <c r="SSD31" s="3" t="s">
        <v>383</v>
      </c>
      <c r="SSE31" s="3" t="s">
        <v>382</v>
      </c>
      <c r="SSF31" s="3" t="s">
        <v>383</v>
      </c>
      <c r="SSG31" s="3" t="s">
        <v>382</v>
      </c>
      <c r="SSH31" s="3" t="s">
        <v>383</v>
      </c>
      <c r="SSI31" s="3" t="s">
        <v>382</v>
      </c>
      <c r="SSJ31" s="3" t="s">
        <v>383</v>
      </c>
      <c r="SSK31" s="3" t="s">
        <v>382</v>
      </c>
      <c r="SSL31" s="3" t="s">
        <v>383</v>
      </c>
      <c r="SSM31" s="3" t="s">
        <v>382</v>
      </c>
      <c r="SSN31" s="3" t="s">
        <v>383</v>
      </c>
      <c r="SSO31" s="3" t="s">
        <v>382</v>
      </c>
      <c r="SSP31" s="3" t="s">
        <v>383</v>
      </c>
      <c r="SSQ31" s="3" t="s">
        <v>382</v>
      </c>
      <c r="SSR31" s="3" t="s">
        <v>383</v>
      </c>
      <c r="SSS31" s="3" t="s">
        <v>382</v>
      </c>
      <c r="SST31" s="3" t="s">
        <v>383</v>
      </c>
      <c r="SSU31" s="3" t="s">
        <v>382</v>
      </c>
      <c r="SSV31" s="3" t="s">
        <v>383</v>
      </c>
      <c r="SSW31" s="3" t="s">
        <v>382</v>
      </c>
      <c r="SSX31" s="3" t="s">
        <v>383</v>
      </c>
      <c r="SSY31" s="3" t="s">
        <v>382</v>
      </c>
      <c r="SSZ31" s="3" t="s">
        <v>383</v>
      </c>
      <c r="STA31" s="3" t="s">
        <v>382</v>
      </c>
      <c r="STB31" s="3" t="s">
        <v>383</v>
      </c>
      <c r="STC31" s="3" t="s">
        <v>382</v>
      </c>
      <c r="STD31" s="3" t="s">
        <v>383</v>
      </c>
      <c r="STE31" s="3" t="s">
        <v>382</v>
      </c>
      <c r="STF31" s="3" t="s">
        <v>383</v>
      </c>
      <c r="STG31" s="3" t="s">
        <v>382</v>
      </c>
      <c r="STH31" s="3" t="s">
        <v>383</v>
      </c>
      <c r="STI31" s="3" t="s">
        <v>382</v>
      </c>
      <c r="STJ31" s="3" t="s">
        <v>383</v>
      </c>
      <c r="STK31" s="3" t="s">
        <v>382</v>
      </c>
      <c r="STL31" s="3" t="s">
        <v>383</v>
      </c>
      <c r="STM31" s="3" t="s">
        <v>382</v>
      </c>
      <c r="STN31" s="3" t="s">
        <v>383</v>
      </c>
      <c r="STO31" s="3" t="s">
        <v>382</v>
      </c>
      <c r="STP31" s="3" t="s">
        <v>383</v>
      </c>
      <c r="STQ31" s="3" t="s">
        <v>382</v>
      </c>
      <c r="STR31" s="3" t="s">
        <v>383</v>
      </c>
      <c r="STS31" s="3" t="s">
        <v>382</v>
      </c>
      <c r="STT31" s="3" t="s">
        <v>383</v>
      </c>
      <c r="STU31" s="3" t="s">
        <v>382</v>
      </c>
      <c r="STV31" s="3" t="s">
        <v>383</v>
      </c>
      <c r="STW31" s="3" t="s">
        <v>382</v>
      </c>
      <c r="STX31" s="3" t="s">
        <v>383</v>
      </c>
      <c r="STY31" s="3" t="s">
        <v>382</v>
      </c>
      <c r="STZ31" s="3" t="s">
        <v>383</v>
      </c>
      <c r="SUA31" s="3" t="s">
        <v>382</v>
      </c>
      <c r="SUB31" s="3" t="s">
        <v>383</v>
      </c>
      <c r="SUC31" s="3" t="s">
        <v>382</v>
      </c>
      <c r="SUD31" s="3" t="s">
        <v>383</v>
      </c>
      <c r="SUE31" s="3" t="s">
        <v>382</v>
      </c>
      <c r="SUF31" s="3" t="s">
        <v>383</v>
      </c>
      <c r="SUG31" s="3" t="s">
        <v>382</v>
      </c>
      <c r="SUH31" s="3" t="s">
        <v>383</v>
      </c>
      <c r="SUI31" s="3" t="s">
        <v>382</v>
      </c>
      <c r="SUJ31" s="3" t="s">
        <v>383</v>
      </c>
      <c r="SUK31" s="3" t="s">
        <v>382</v>
      </c>
      <c r="SUL31" s="3" t="s">
        <v>383</v>
      </c>
      <c r="SUM31" s="3" t="s">
        <v>382</v>
      </c>
      <c r="SUN31" s="3" t="s">
        <v>383</v>
      </c>
      <c r="SUO31" s="3" t="s">
        <v>382</v>
      </c>
      <c r="SUP31" s="3" t="s">
        <v>383</v>
      </c>
      <c r="SUQ31" s="3" t="s">
        <v>382</v>
      </c>
      <c r="SUR31" s="3" t="s">
        <v>383</v>
      </c>
      <c r="SUS31" s="3" t="s">
        <v>382</v>
      </c>
      <c r="SUT31" s="3" t="s">
        <v>383</v>
      </c>
      <c r="SUU31" s="3" t="s">
        <v>382</v>
      </c>
      <c r="SUV31" s="3" t="s">
        <v>383</v>
      </c>
      <c r="SUW31" s="3" t="s">
        <v>382</v>
      </c>
      <c r="SUX31" s="3" t="s">
        <v>383</v>
      </c>
      <c r="SUY31" s="3" t="s">
        <v>382</v>
      </c>
      <c r="SUZ31" s="3" t="s">
        <v>383</v>
      </c>
      <c r="SVA31" s="3" t="s">
        <v>382</v>
      </c>
      <c r="SVB31" s="3" t="s">
        <v>383</v>
      </c>
      <c r="SVC31" s="3" t="s">
        <v>382</v>
      </c>
      <c r="SVD31" s="3" t="s">
        <v>383</v>
      </c>
      <c r="SVE31" s="3" t="s">
        <v>382</v>
      </c>
      <c r="SVF31" s="3" t="s">
        <v>383</v>
      </c>
      <c r="SVG31" s="3" t="s">
        <v>382</v>
      </c>
      <c r="SVH31" s="3" t="s">
        <v>383</v>
      </c>
      <c r="SVI31" s="3" t="s">
        <v>382</v>
      </c>
      <c r="SVJ31" s="3" t="s">
        <v>383</v>
      </c>
      <c r="SVK31" s="3" t="s">
        <v>382</v>
      </c>
      <c r="SVL31" s="3" t="s">
        <v>383</v>
      </c>
      <c r="SVM31" s="3" t="s">
        <v>382</v>
      </c>
      <c r="SVN31" s="3" t="s">
        <v>383</v>
      </c>
      <c r="SVO31" s="3" t="s">
        <v>382</v>
      </c>
      <c r="SVP31" s="3" t="s">
        <v>383</v>
      </c>
      <c r="SVQ31" s="3" t="s">
        <v>382</v>
      </c>
      <c r="SVR31" s="3" t="s">
        <v>383</v>
      </c>
      <c r="SVS31" s="3" t="s">
        <v>382</v>
      </c>
      <c r="SVT31" s="3" t="s">
        <v>383</v>
      </c>
      <c r="SVU31" s="3" t="s">
        <v>382</v>
      </c>
      <c r="SVV31" s="3" t="s">
        <v>383</v>
      </c>
      <c r="SVW31" s="3" t="s">
        <v>382</v>
      </c>
      <c r="SVX31" s="3" t="s">
        <v>383</v>
      </c>
      <c r="SVY31" s="3" t="s">
        <v>382</v>
      </c>
      <c r="SVZ31" s="3" t="s">
        <v>383</v>
      </c>
      <c r="SWA31" s="3" t="s">
        <v>382</v>
      </c>
      <c r="SWB31" s="3" t="s">
        <v>383</v>
      </c>
      <c r="SWC31" s="3" t="s">
        <v>382</v>
      </c>
      <c r="SWD31" s="3" t="s">
        <v>383</v>
      </c>
      <c r="SWE31" s="3" t="s">
        <v>382</v>
      </c>
      <c r="SWF31" s="3" t="s">
        <v>383</v>
      </c>
      <c r="SWG31" s="3" t="s">
        <v>382</v>
      </c>
      <c r="SWH31" s="3" t="s">
        <v>383</v>
      </c>
      <c r="SWI31" s="3" t="s">
        <v>382</v>
      </c>
      <c r="SWJ31" s="3" t="s">
        <v>383</v>
      </c>
      <c r="SWK31" s="3" t="s">
        <v>382</v>
      </c>
      <c r="SWL31" s="3" t="s">
        <v>383</v>
      </c>
      <c r="SWM31" s="3" t="s">
        <v>382</v>
      </c>
      <c r="SWN31" s="3" t="s">
        <v>383</v>
      </c>
      <c r="SWO31" s="3" t="s">
        <v>382</v>
      </c>
      <c r="SWP31" s="3" t="s">
        <v>383</v>
      </c>
      <c r="SWQ31" s="3" t="s">
        <v>382</v>
      </c>
      <c r="SWR31" s="3" t="s">
        <v>383</v>
      </c>
      <c r="SWS31" s="3" t="s">
        <v>382</v>
      </c>
      <c r="SWT31" s="3" t="s">
        <v>383</v>
      </c>
      <c r="SWU31" s="3" t="s">
        <v>382</v>
      </c>
      <c r="SWV31" s="3" t="s">
        <v>383</v>
      </c>
      <c r="SWW31" s="3" t="s">
        <v>382</v>
      </c>
      <c r="SWX31" s="3" t="s">
        <v>383</v>
      </c>
      <c r="SWY31" s="3" t="s">
        <v>382</v>
      </c>
      <c r="SWZ31" s="3" t="s">
        <v>383</v>
      </c>
      <c r="SXA31" s="3" t="s">
        <v>382</v>
      </c>
      <c r="SXB31" s="3" t="s">
        <v>383</v>
      </c>
      <c r="SXC31" s="3" t="s">
        <v>382</v>
      </c>
      <c r="SXD31" s="3" t="s">
        <v>383</v>
      </c>
      <c r="SXE31" s="3" t="s">
        <v>382</v>
      </c>
      <c r="SXF31" s="3" t="s">
        <v>383</v>
      </c>
      <c r="SXG31" s="3" t="s">
        <v>382</v>
      </c>
      <c r="SXH31" s="3" t="s">
        <v>383</v>
      </c>
      <c r="SXI31" s="3" t="s">
        <v>382</v>
      </c>
      <c r="SXJ31" s="3" t="s">
        <v>383</v>
      </c>
      <c r="SXK31" s="3" t="s">
        <v>382</v>
      </c>
      <c r="SXL31" s="3" t="s">
        <v>383</v>
      </c>
      <c r="SXM31" s="3" t="s">
        <v>382</v>
      </c>
      <c r="SXN31" s="3" t="s">
        <v>383</v>
      </c>
      <c r="SXO31" s="3" t="s">
        <v>382</v>
      </c>
      <c r="SXP31" s="3" t="s">
        <v>383</v>
      </c>
      <c r="SXQ31" s="3" t="s">
        <v>382</v>
      </c>
      <c r="SXR31" s="3" t="s">
        <v>383</v>
      </c>
      <c r="SXS31" s="3" t="s">
        <v>382</v>
      </c>
      <c r="SXT31" s="3" t="s">
        <v>383</v>
      </c>
      <c r="SXU31" s="3" t="s">
        <v>382</v>
      </c>
      <c r="SXV31" s="3" t="s">
        <v>383</v>
      </c>
      <c r="SXW31" s="3" t="s">
        <v>382</v>
      </c>
      <c r="SXX31" s="3" t="s">
        <v>383</v>
      </c>
      <c r="SXY31" s="3" t="s">
        <v>382</v>
      </c>
      <c r="SXZ31" s="3" t="s">
        <v>383</v>
      </c>
      <c r="SYA31" s="3" t="s">
        <v>382</v>
      </c>
      <c r="SYB31" s="3" t="s">
        <v>383</v>
      </c>
      <c r="SYC31" s="3" t="s">
        <v>382</v>
      </c>
      <c r="SYD31" s="3" t="s">
        <v>383</v>
      </c>
      <c r="SYE31" s="3" t="s">
        <v>382</v>
      </c>
      <c r="SYF31" s="3" t="s">
        <v>383</v>
      </c>
      <c r="SYG31" s="3" t="s">
        <v>382</v>
      </c>
      <c r="SYH31" s="3" t="s">
        <v>383</v>
      </c>
      <c r="SYI31" s="3" t="s">
        <v>382</v>
      </c>
      <c r="SYJ31" s="3" t="s">
        <v>383</v>
      </c>
      <c r="SYK31" s="3" t="s">
        <v>382</v>
      </c>
      <c r="SYL31" s="3" t="s">
        <v>383</v>
      </c>
      <c r="SYM31" s="3" t="s">
        <v>382</v>
      </c>
      <c r="SYN31" s="3" t="s">
        <v>383</v>
      </c>
      <c r="SYO31" s="3" t="s">
        <v>382</v>
      </c>
      <c r="SYP31" s="3" t="s">
        <v>383</v>
      </c>
      <c r="SYQ31" s="3" t="s">
        <v>382</v>
      </c>
      <c r="SYR31" s="3" t="s">
        <v>383</v>
      </c>
      <c r="SYS31" s="3" t="s">
        <v>382</v>
      </c>
      <c r="SYT31" s="3" t="s">
        <v>383</v>
      </c>
      <c r="SYU31" s="3" t="s">
        <v>382</v>
      </c>
      <c r="SYV31" s="3" t="s">
        <v>383</v>
      </c>
      <c r="SYW31" s="3" t="s">
        <v>382</v>
      </c>
      <c r="SYX31" s="3" t="s">
        <v>383</v>
      </c>
      <c r="SYY31" s="3" t="s">
        <v>382</v>
      </c>
      <c r="SYZ31" s="3" t="s">
        <v>383</v>
      </c>
      <c r="SZA31" s="3" t="s">
        <v>382</v>
      </c>
      <c r="SZB31" s="3" t="s">
        <v>383</v>
      </c>
      <c r="SZC31" s="3" t="s">
        <v>382</v>
      </c>
      <c r="SZD31" s="3" t="s">
        <v>383</v>
      </c>
      <c r="SZE31" s="3" t="s">
        <v>382</v>
      </c>
      <c r="SZF31" s="3" t="s">
        <v>383</v>
      </c>
      <c r="SZG31" s="3" t="s">
        <v>382</v>
      </c>
      <c r="SZH31" s="3" t="s">
        <v>383</v>
      </c>
      <c r="SZI31" s="3" t="s">
        <v>382</v>
      </c>
      <c r="SZJ31" s="3" t="s">
        <v>383</v>
      </c>
      <c r="SZK31" s="3" t="s">
        <v>382</v>
      </c>
      <c r="SZL31" s="3" t="s">
        <v>383</v>
      </c>
      <c r="SZM31" s="3" t="s">
        <v>382</v>
      </c>
      <c r="SZN31" s="3" t="s">
        <v>383</v>
      </c>
      <c r="SZO31" s="3" t="s">
        <v>382</v>
      </c>
      <c r="SZP31" s="3" t="s">
        <v>383</v>
      </c>
      <c r="SZQ31" s="3" t="s">
        <v>382</v>
      </c>
      <c r="SZR31" s="3" t="s">
        <v>383</v>
      </c>
      <c r="SZS31" s="3" t="s">
        <v>382</v>
      </c>
      <c r="SZT31" s="3" t="s">
        <v>383</v>
      </c>
      <c r="SZU31" s="3" t="s">
        <v>382</v>
      </c>
      <c r="SZV31" s="3" t="s">
        <v>383</v>
      </c>
      <c r="SZW31" s="3" t="s">
        <v>382</v>
      </c>
      <c r="SZX31" s="3" t="s">
        <v>383</v>
      </c>
      <c r="SZY31" s="3" t="s">
        <v>382</v>
      </c>
      <c r="SZZ31" s="3" t="s">
        <v>383</v>
      </c>
      <c r="TAA31" s="3" t="s">
        <v>382</v>
      </c>
      <c r="TAB31" s="3" t="s">
        <v>383</v>
      </c>
      <c r="TAC31" s="3" t="s">
        <v>382</v>
      </c>
      <c r="TAD31" s="3" t="s">
        <v>383</v>
      </c>
      <c r="TAE31" s="3" t="s">
        <v>382</v>
      </c>
      <c r="TAF31" s="3" t="s">
        <v>383</v>
      </c>
      <c r="TAG31" s="3" t="s">
        <v>382</v>
      </c>
      <c r="TAH31" s="3" t="s">
        <v>383</v>
      </c>
      <c r="TAI31" s="3" t="s">
        <v>382</v>
      </c>
      <c r="TAJ31" s="3" t="s">
        <v>383</v>
      </c>
      <c r="TAK31" s="3" t="s">
        <v>382</v>
      </c>
      <c r="TAL31" s="3" t="s">
        <v>383</v>
      </c>
      <c r="TAM31" s="3" t="s">
        <v>382</v>
      </c>
      <c r="TAN31" s="3" t="s">
        <v>383</v>
      </c>
      <c r="TAO31" s="3" t="s">
        <v>382</v>
      </c>
      <c r="TAP31" s="3" t="s">
        <v>383</v>
      </c>
      <c r="TAQ31" s="3" t="s">
        <v>382</v>
      </c>
      <c r="TAR31" s="3" t="s">
        <v>383</v>
      </c>
      <c r="TAS31" s="3" t="s">
        <v>382</v>
      </c>
      <c r="TAT31" s="3" t="s">
        <v>383</v>
      </c>
      <c r="TAU31" s="3" t="s">
        <v>382</v>
      </c>
      <c r="TAV31" s="3" t="s">
        <v>383</v>
      </c>
      <c r="TAW31" s="3" t="s">
        <v>382</v>
      </c>
      <c r="TAX31" s="3" t="s">
        <v>383</v>
      </c>
      <c r="TAY31" s="3" t="s">
        <v>382</v>
      </c>
      <c r="TAZ31" s="3" t="s">
        <v>383</v>
      </c>
      <c r="TBA31" s="3" t="s">
        <v>382</v>
      </c>
      <c r="TBB31" s="3" t="s">
        <v>383</v>
      </c>
      <c r="TBC31" s="3" t="s">
        <v>382</v>
      </c>
      <c r="TBD31" s="3" t="s">
        <v>383</v>
      </c>
      <c r="TBE31" s="3" t="s">
        <v>382</v>
      </c>
      <c r="TBF31" s="3" t="s">
        <v>383</v>
      </c>
      <c r="TBG31" s="3" t="s">
        <v>382</v>
      </c>
      <c r="TBH31" s="3" t="s">
        <v>383</v>
      </c>
      <c r="TBI31" s="3" t="s">
        <v>382</v>
      </c>
      <c r="TBJ31" s="3" t="s">
        <v>383</v>
      </c>
      <c r="TBK31" s="3" t="s">
        <v>382</v>
      </c>
      <c r="TBL31" s="3" t="s">
        <v>383</v>
      </c>
      <c r="TBM31" s="3" t="s">
        <v>382</v>
      </c>
      <c r="TBN31" s="3" t="s">
        <v>383</v>
      </c>
      <c r="TBO31" s="3" t="s">
        <v>382</v>
      </c>
      <c r="TBP31" s="3" t="s">
        <v>383</v>
      </c>
      <c r="TBQ31" s="3" t="s">
        <v>382</v>
      </c>
      <c r="TBR31" s="3" t="s">
        <v>383</v>
      </c>
      <c r="TBS31" s="3" t="s">
        <v>382</v>
      </c>
      <c r="TBT31" s="3" t="s">
        <v>383</v>
      </c>
      <c r="TBU31" s="3" t="s">
        <v>382</v>
      </c>
      <c r="TBV31" s="3" t="s">
        <v>383</v>
      </c>
      <c r="TBW31" s="3" t="s">
        <v>382</v>
      </c>
      <c r="TBX31" s="3" t="s">
        <v>383</v>
      </c>
      <c r="TBY31" s="3" t="s">
        <v>382</v>
      </c>
      <c r="TBZ31" s="3" t="s">
        <v>383</v>
      </c>
      <c r="TCA31" s="3" t="s">
        <v>382</v>
      </c>
      <c r="TCB31" s="3" t="s">
        <v>383</v>
      </c>
      <c r="TCC31" s="3" t="s">
        <v>382</v>
      </c>
      <c r="TCD31" s="3" t="s">
        <v>383</v>
      </c>
      <c r="TCE31" s="3" t="s">
        <v>382</v>
      </c>
      <c r="TCF31" s="3" t="s">
        <v>383</v>
      </c>
      <c r="TCG31" s="3" t="s">
        <v>382</v>
      </c>
      <c r="TCH31" s="3" t="s">
        <v>383</v>
      </c>
      <c r="TCI31" s="3" t="s">
        <v>382</v>
      </c>
      <c r="TCJ31" s="3" t="s">
        <v>383</v>
      </c>
      <c r="TCK31" s="3" t="s">
        <v>382</v>
      </c>
      <c r="TCL31" s="3" t="s">
        <v>383</v>
      </c>
      <c r="TCM31" s="3" t="s">
        <v>382</v>
      </c>
      <c r="TCN31" s="3" t="s">
        <v>383</v>
      </c>
      <c r="TCO31" s="3" t="s">
        <v>382</v>
      </c>
      <c r="TCP31" s="3" t="s">
        <v>383</v>
      </c>
      <c r="TCQ31" s="3" t="s">
        <v>382</v>
      </c>
      <c r="TCR31" s="3" t="s">
        <v>383</v>
      </c>
      <c r="TCS31" s="3" t="s">
        <v>382</v>
      </c>
      <c r="TCT31" s="3" t="s">
        <v>383</v>
      </c>
      <c r="TCU31" s="3" t="s">
        <v>382</v>
      </c>
      <c r="TCV31" s="3" t="s">
        <v>383</v>
      </c>
      <c r="TCW31" s="3" t="s">
        <v>382</v>
      </c>
      <c r="TCX31" s="3" t="s">
        <v>383</v>
      </c>
      <c r="TCY31" s="3" t="s">
        <v>382</v>
      </c>
      <c r="TCZ31" s="3" t="s">
        <v>383</v>
      </c>
      <c r="TDA31" s="3" t="s">
        <v>382</v>
      </c>
      <c r="TDB31" s="3" t="s">
        <v>383</v>
      </c>
      <c r="TDC31" s="3" t="s">
        <v>382</v>
      </c>
      <c r="TDD31" s="3" t="s">
        <v>383</v>
      </c>
      <c r="TDE31" s="3" t="s">
        <v>382</v>
      </c>
      <c r="TDF31" s="3" t="s">
        <v>383</v>
      </c>
      <c r="TDG31" s="3" t="s">
        <v>382</v>
      </c>
      <c r="TDH31" s="3" t="s">
        <v>383</v>
      </c>
      <c r="TDI31" s="3" t="s">
        <v>382</v>
      </c>
      <c r="TDJ31" s="3" t="s">
        <v>383</v>
      </c>
      <c r="TDK31" s="3" t="s">
        <v>382</v>
      </c>
      <c r="TDL31" s="3" t="s">
        <v>383</v>
      </c>
      <c r="TDM31" s="3" t="s">
        <v>382</v>
      </c>
      <c r="TDN31" s="3" t="s">
        <v>383</v>
      </c>
      <c r="TDO31" s="3" t="s">
        <v>382</v>
      </c>
      <c r="TDP31" s="3" t="s">
        <v>383</v>
      </c>
      <c r="TDQ31" s="3" t="s">
        <v>382</v>
      </c>
      <c r="TDR31" s="3" t="s">
        <v>383</v>
      </c>
      <c r="TDS31" s="3" t="s">
        <v>382</v>
      </c>
      <c r="TDT31" s="3" t="s">
        <v>383</v>
      </c>
      <c r="TDU31" s="3" t="s">
        <v>382</v>
      </c>
      <c r="TDV31" s="3" t="s">
        <v>383</v>
      </c>
      <c r="TDW31" s="3" t="s">
        <v>382</v>
      </c>
      <c r="TDX31" s="3" t="s">
        <v>383</v>
      </c>
      <c r="TDY31" s="3" t="s">
        <v>382</v>
      </c>
      <c r="TDZ31" s="3" t="s">
        <v>383</v>
      </c>
      <c r="TEA31" s="3" t="s">
        <v>382</v>
      </c>
      <c r="TEB31" s="3" t="s">
        <v>383</v>
      </c>
      <c r="TEC31" s="3" t="s">
        <v>382</v>
      </c>
      <c r="TED31" s="3" t="s">
        <v>383</v>
      </c>
      <c r="TEE31" s="3" t="s">
        <v>382</v>
      </c>
      <c r="TEF31" s="3" t="s">
        <v>383</v>
      </c>
      <c r="TEG31" s="3" t="s">
        <v>382</v>
      </c>
      <c r="TEH31" s="3" t="s">
        <v>383</v>
      </c>
      <c r="TEI31" s="3" t="s">
        <v>382</v>
      </c>
      <c r="TEJ31" s="3" t="s">
        <v>383</v>
      </c>
      <c r="TEK31" s="3" t="s">
        <v>382</v>
      </c>
      <c r="TEL31" s="3" t="s">
        <v>383</v>
      </c>
      <c r="TEM31" s="3" t="s">
        <v>382</v>
      </c>
      <c r="TEN31" s="3" t="s">
        <v>383</v>
      </c>
      <c r="TEO31" s="3" t="s">
        <v>382</v>
      </c>
      <c r="TEP31" s="3" t="s">
        <v>383</v>
      </c>
      <c r="TEQ31" s="3" t="s">
        <v>382</v>
      </c>
      <c r="TER31" s="3" t="s">
        <v>383</v>
      </c>
      <c r="TES31" s="3" t="s">
        <v>382</v>
      </c>
      <c r="TET31" s="3" t="s">
        <v>383</v>
      </c>
      <c r="TEU31" s="3" t="s">
        <v>382</v>
      </c>
      <c r="TEV31" s="3" t="s">
        <v>383</v>
      </c>
      <c r="TEW31" s="3" t="s">
        <v>382</v>
      </c>
      <c r="TEX31" s="3" t="s">
        <v>383</v>
      </c>
      <c r="TEY31" s="3" t="s">
        <v>382</v>
      </c>
      <c r="TEZ31" s="3" t="s">
        <v>383</v>
      </c>
      <c r="TFA31" s="3" t="s">
        <v>382</v>
      </c>
      <c r="TFB31" s="3" t="s">
        <v>383</v>
      </c>
      <c r="TFC31" s="3" t="s">
        <v>382</v>
      </c>
      <c r="TFD31" s="3" t="s">
        <v>383</v>
      </c>
      <c r="TFE31" s="3" t="s">
        <v>382</v>
      </c>
      <c r="TFF31" s="3" t="s">
        <v>383</v>
      </c>
      <c r="TFG31" s="3" t="s">
        <v>382</v>
      </c>
      <c r="TFH31" s="3" t="s">
        <v>383</v>
      </c>
      <c r="TFI31" s="3" t="s">
        <v>382</v>
      </c>
      <c r="TFJ31" s="3" t="s">
        <v>383</v>
      </c>
      <c r="TFK31" s="3" t="s">
        <v>382</v>
      </c>
      <c r="TFL31" s="3" t="s">
        <v>383</v>
      </c>
      <c r="TFM31" s="3" t="s">
        <v>382</v>
      </c>
      <c r="TFN31" s="3" t="s">
        <v>383</v>
      </c>
      <c r="TFO31" s="3" t="s">
        <v>382</v>
      </c>
      <c r="TFP31" s="3" t="s">
        <v>383</v>
      </c>
      <c r="TFQ31" s="3" t="s">
        <v>382</v>
      </c>
      <c r="TFR31" s="3" t="s">
        <v>383</v>
      </c>
      <c r="TFS31" s="3" t="s">
        <v>382</v>
      </c>
      <c r="TFT31" s="3" t="s">
        <v>383</v>
      </c>
      <c r="TFU31" s="3" t="s">
        <v>382</v>
      </c>
      <c r="TFV31" s="3" t="s">
        <v>383</v>
      </c>
      <c r="TFW31" s="3" t="s">
        <v>382</v>
      </c>
      <c r="TFX31" s="3" t="s">
        <v>383</v>
      </c>
      <c r="TFY31" s="3" t="s">
        <v>382</v>
      </c>
      <c r="TFZ31" s="3" t="s">
        <v>383</v>
      </c>
      <c r="TGA31" s="3" t="s">
        <v>382</v>
      </c>
      <c r="TGB31" s="3" t="s">
        <v>383</v>
      </c>
      <c r="TGC31" s="3" t="s">
        <v>382</v>
      </c>
      <c r="TGD31" s="3" t="s">
        <v>383</v>
      </c>
      <c r="TGE31" s="3" t="s">
        <v>382</v>
      </c>
      <c r="TGF31" s="3" t="s">
        <v>383</v>
      </c>
      <c r="TGG31" s="3" t="s">
        <v>382</v>
      </c>
      <c r="TGH31" s="3" t="s">
        <v>383</v>
      </c>
      <c r="TGI31" s="3" t="s">
        <v>382</v>
      </c>
      <c r="TGJ31" s="3" t="s">
        <v>383</v>
      </c>
      <c r="TGK31" s="3" t="s">
        <v>382</v>
      </c>
      <c r="TGL31" s="3" t="s">
        <v>383</v>
      </c>
      <c r="TGM31" s="3" t="s">
        <v>382</v>
      </c>
      <c r="TGN31" s="3" t="s">
        <v>383</v>
      </c>
      <c r="TGO31" s="3" t="s">
        <v>382</v>
      </c>
      <c r="TGP31" s="3" t="s">
        <v>383</v>
      </c>
      <c r="TGQ31" s="3" t="s">
        <v>382</v>
      </c>
      <c r="TGR31" s="3" t="s">
        <v>383</v>
      </c>
      <c r="TGS31" s="3" t="s">
        <v>382</v>
      </c>
      <c r="TGT31" s="3" t="s">
        <v>383</v>
      </c>
      <c r="TGU31" s="3" t="s">
        <v>382</v>
      </c>
      <c r="TGV31" s="3" t="s">
        <v>383</v>
      </c>
      <c r="TGW31" s="3" t="s">
        <v>382</v>
      </c>
      <c r="TGX31" s="3" t="s">
        <v>383</v>
      </c>
      <c r="TGY31" s="3" t="s">
        <v>382</v>
      </c>
      <c r="TGZ31" s="3" t="s">
        <v>383</v>
      </c>
      <c r="THA31" s="3" t="s">
        <v>382</v>
      </c>
      <c r="THB31" s="3" t="s">
        <v>383</v>
      </c>
      <c r="THC31" s="3" t="s">
        <v>382</v>
      </c>
      <c r="THD31" s="3" t="s">
        <v>383</v>
      </c>
      <c r="THE31" s="3" t="s">
        <v>382</v>
      </c>
      <c r="THF31" s="3" t="s">
        <v>383</v>
      </c>
      <c r="THG31" s="3" t="s">
        <v>382</v>
      </c>
      <c r="THH31" s="3" t="s">
        <v>383</v>
      </c>
      <c r="THI31" s="3" t="s">
        <v>382</v>
      </c>
      <c r="THJ31" s="3" t="s">
        <v>383</v>
      </c>
      <c r="THK31" s="3" t="s">
        <v>382</v>
      </c>
      <c r="THL31" s="3" t="s">
        <v>383</v>
      </c>
      <c r="THM31" s="3" t="s">
        <v>382</v>
      </c>
      <c r="THN31" s="3" t="s">
        <v>383</v>
      </c>
      <c r="THO31" s="3" t="s">
        <v>382</v>
      </c>
      <c r="THP31" s="3" t="s">
        <v>383</v>
      </c>
      <c r="THQ31" s="3" t="s">
        <v>382</v>
      </c>
      <c r="THR31" s="3" t="s">
        <v>383</v>
      </c>
      <c r="THS31" s="3" t="s">
        <v>382</v>
      </c>
      <c r="THT31" s="3" t="s">
        <v>383</v>
      </c>
      <c r="THU31" s="3" t="s">
        <v>382</v>
      </c>
      <c r="THV31" s="3" t="s">
        <v>383</v>
      </c>
      <c r="THW31" s="3" t="s">
        <v>382</v>
      </c>
      <c r="THX31" s="3" t="s">
        <v>383</v>
      </c>
      <c r="THY31" s="3" t="s">
        <v>382</v>
      </c>
      <c r="THZ31" s="3" t="s">
        <v>383</v>
      </c>
      <c r="TIA31" s="3" t="s">
        <v>382</v>
      </c>
      <c r="TIB31" s="3" t="s">
        <v>383</v>
      </c>
      <c r="TIC31" s="3" t="s">
        <v>382</v>
      </c>
      <c r="TID31" s="3" t="s">
        <v>383</v>
      </c>
      <c r="TIE31" s="3" t="s">
        <v>382</v>
      </c>
      <c r="TIF31" s="3" t="s">
        <v>383</v>
      </c>
      <c r="TIG31" s="3" t="s">
        <v>382</v>
      </c>
      <c r="TIH31" s="3" t="s">
        <v>383</v>
      </c>
      <c r="TII31" s="3" t="s">
        <v>382</v>
      </c>
      <c r="TIJ31" s="3" t="s">
        <v>383</v>
      </c>
      <c r="TIK31" s="3" t="s">
        <v>382</v>
      </c>
      <c r="TIL31" s="3" t="s">
        <v>383</v>
      </c>
      <c r="TIM31" s="3" t="s">
        <v>382</v>
      </c>
      <c r="TIN31" s="3" t="s">
        <v>383</v>
      </c>
      <c r="TIO31" s="3" t="s">
        <v>382</v>
      </c>
      <c r="TIP31" s="3" t="s">
        <v>383</v>
      </c>
      <c r="TIQ31" s="3" t="s">
        <v>382</v>
      </c>
      <c r="TIR31" s="3" t="s">
        <v>383</v>
      </c>
      <c r="TIS31" s="3" t="s">
        <v>382</v>
      </c>
      <c r="TIT31" s="3" t="s">
        <v>383</v>
      </c>
      <c r="TIU31" s="3" t="s">
        <v>382</v>
      </c>
      <c r="TIV31" s="3" t="s">
        <v>383</v>
      </c>
      <c r="TIW31" s="3" t="s">
        <v>382</v>
      </c>
      <c r="TIX31" s="3" t="s">
        <v>383</v>
      </c>
      <c r="TIY31" s="3" t="s">
        <v>382</v>
      </c>
      <c r="TIZ31" s="3" t="s">
        <v>383</v>
      </c>
      <c r="TJA31" s="3" t="s">
        <v>382</v>
      </c>
      <c r="TJB31" s="3" t="s">
        <v>383</v>
      </c>
      <c r="TJC31" s="3" t="s">
        <v>382</v>
      </c>
      <c r="TJD31" s="3" t="s">
        <v>383</v>
      </c>
      <c r="TJE31" s="3" t="s">
        <v>382</v>
      </c>
      <c r="TJF31" s="3" t="s">
        <v>383</v>
      </c>
      <c r="TJG31" s="3" t="s">
        <v>382</v>
      </c>
      <c r="TJH31" s="3" t="s">
        <v>383</v>
      </c>
      <c r="TJI31" s="3" t="s">
        <v>382</v>
      </c>
      <c r="TJJ31" s="3" t="s">
        <v>383</v>
      </c>
      <c r="TJK31" s="3" t="s">
        <v>382</v>
      </c>
      <c r="TJL31" s="3" t="s">
        <v>383</v>
      </c>
      <c r="TJM31" s="3" t="s">
        <v>382</v>
      </c>
      <c r="TJN31" s="3" t="s">
        <v>383</v>
      </c>
      <c r="TJO31" s="3" t="s">
        <v>382</v>
      </c>
      <c r="TJP31" s="3" t="s">
        <v>383</v>
      </c>
      <c r="TJQ31" s="3" t="s">
        <v>382</v>
      </c>
      <c r="TJR31" s="3" t="s">
        <v>383</v>
      </c>
      <c r="TJS31" s="3" t="s">
        <v>382</v>
      </c>
      <c r="TJT31" s="3" t="s">
        <v>383</v>
      </c>
      <c r="TJU31" s="3" t="s">
        <v>382</v>
      </c>
      <c r="TJV31" s="3" t="s">
        <v>383</v>
      </c>
      <c r="TJW31" s="3" t="s">
        <v>382</v>
      </c>
      <c r="TJX31" s="3" t="s">
        <v>383</v>
      </c>
      <c r="TJY31" s="3" t="s">
        <v>382</v>
      </c>
      <c r="TJZ31" s="3" t="s">
        <v>383</v>
      </c>
      <c r="TKA31" s="3" t="s">
        <v>382</v>
      </c>
      <c r="TKB31" s="3" t="s">
        <v>383</v>
      </c>
      <c r="TKC31" s="3" t="s">
        <v>382</v>
      </c>
      <c r="TKD31" s="3" t="s">
        <v>383</v>
      </c>
      <c r="TKE31" s="3" t="s">
        <v>382</v>
      </c>
      <c r="TKF31" s="3" t="s">
        <v>383</v>
      </c>
      <c r="TKG31" s="3" t="s">
        <v>382</v>
      </c>
      <c r="TKH31" s="3" t="s">
        <v>383</v>
      </c>
      <c r="TKI31" s="3" t="s">
        <v>382</v>
      </c>
      <c r="TKJ31" s="3" t="s">
        <v>383</v>
      </c>
      <c r="TKK31" s="3" t="s">
        <v>382</v>
      </c>
      <c r="TKL31" s="3" t="s">
        <v>383</v>
      </c>
      <c r="TKM31" s="3" t="s">
        <v>382</v>
      </c>
      <c r="TKN31" s="3" t="s">
        <v>383</v>
      </c>
      <c r="TKO31" s="3" t="s">
        <v>382</v>
      </c>
      <c r="TKP31" s="3" t="s">
        <v>383</v>
      </c>
      <c r="TKQ31" s="3" t="s">
        <v>382</v>
      </c>
      <c r="TKR31" s="3" t="s">
        <v>383</v>
      </c>
      <c r="TKS31" s="3" t="s">
        <v>382</v>
      </c>
      <c r="TKT31" s="3" t="s">
        <v>383</v>
      </c>
      <c r="TKU31" s="3" t="s">
        <v>382</v>
      </c>
      <c r="TKV31" s="3" t="s">
        <v>383</v>
      </c>
      <c r="TKW31" s="3" t="s">
        <v>382</v>
      </c>
      <c r="TKX31" s="3" t="s">
        <v>383</v>
      </c>
      <c r="TKY31" s="3" t="s">
        <v>382</v>
      </c>
      <c r="TKZ31" s="3" t="s">
        <v>383</v>
      </c>
      <c r="TLA31" s="3" t="s">
        <v>382</v>
      </c>
      <c r="TLB31" s="3" t="s">
        <v>383</v>
      </c>
      <c r="TLC31" s="3" t="s">
        <v>382</v>
      </c>
      <c r="TLD31" s="3" t="s">
        <v>383</v>
      </c>
      <c r="TLE31" s="3" t="s">
        <v>382</v>
      </c>
      <c r="TLF31" s="3" t="s">
        <v>383</v>
      </c>
      <c r="TLG31" s="3" t="s">
        <v>382</v>
      </c>
      <c r="TLH31" s="3" t="s">
        <v>383</v>
      </c>
      <c r="TLI31" s="3" t="s">
        <v>382</v>
      </c>
      <c r="TLJ31" s="3" t="s">
        <v>383</v>
      </c>
      <c r="TLK31" s="3" t="s">
        <v>382</v>
      </c>
      <c r="TLL31" s="3" t="s">
        <v>383</v>
      </c>
      <c r="TLM31" s="3" t="s">
        <v>382</v>
      </c>
      <c r="TLN31" s="3" t="s">
        <v>383</v>
      </c>
      <c r="TLO31" s="3" t="s">
        <v>382</v>
      </c>
      <c r="TLP31" s="3" t="s">
        <v>383</v>
      </c>
      <c r="TLQ31" s="3" t="s">
        <v>382</v>
      </c>
      <c r="TLR31" s="3" t="s">
        <v>383</v>
      </c>
      <c r="TLS31" s="3" t="s">
        <v>382</v>
      </c>
      <c r="TLT31" s="3" t="s">
        <v>383</v>
      </c>
      <c r="TLU31" s="3" t="s">
        <v>382</v>
      </c>
      <c r="TLV31" s="3" t="s">
        <v>383</v>
      </c>
      <c r="TLW31" s="3" t="s">
        <v>382</v>
      </c>
      <c r="TLX31" s="3" t="s">
        <v>383</v>
      </c>
      <c r="TLY31" s="3" t="s">
        <v>382</v>
      </c>
      <c r="TLZ31" s="3" t="s">
        <v>383</v>
      </c>
      <c r="TMA31" s="3" t="s">
        <v>382</v>
      </c>
      <c r="TMB31" s="3" t="s">
        <v>383</v>
      </c>
      <c r="TMC31" s="3" t="s">
        <v>382</v>
      </c>
      <c r="TMD31" s="3" t="s">
        <v>383</v>
      </c>
      <c r="TME31" s="3" t="s">
        <v>382</v>
      </c>
      <c r="TMF31" s="3" t="s">
        <v>383</v>
      </c>
      <c r="TMG31" s="3" t="s">
        <v>382</v>
      </c>
      <c r="TMH31" s="3" t="s">
        <v>383</v>
      </c>
      <c r="TMI31" s="3" t="s">
        <v>382</v>
      </c>
      <c r="TMJ31" s="3" t="s">
        <v>383</v>
      </c>
      <c r="TMK31" s="3" t="s">
        <v>382</v>
      </c>
      <c r="TML31" s="3" t="s">
        <v>383</v>
      </c>
      <c r="TMM31" s="3" t="s">
        <v>382</v>
      </c>
      <c r="TMN31" s="3" t="s">
        <v>383</v>
      </c>
      <c r="TMO31" s="3" t="s">
        <v>382</v>
      </c>
      <c r="TMP31" s="3" t="s">
        <v>383</v>
      </c>
      <c r="TMQ31" s="3" t="s">
        <v>382</v>
      </c>
      <c r="TMR31" s="3" t="s">
        <v>383</v>
      </c>
      <c r="TMS31" s="3" t="s">
        <v>382</v>
      </c>
      <c r="TMT31" s="3" t="s">
        <v>383</v>
      </c>
      <c r="TMU31" s="3" t="s">
        <v>382</v>
      </c>
      <c r="TMV31" s="3" t="s">
        <v>383</v>
      </c>
      <c r="TMW31" s="3" t="s">
        <v>382</v>
      </c>
      <c r="TMX31" s="3" t="s">
        <v>383</v>
      </c>
      <c r="TMY31" s="3" t="s">
        <v>382</v>
      </c>
      <c r="TMZ31" s="3" t="s">
        <v>383</v>
      </c>
      <c r="TNA31" s="3" t="s">
        <v>382</v>
      </c>
      <c r="TNB31" s="3" t="s">
        <v>383</v>
      </c>
      <c r="TNC31" s="3" t="s">
        <v>382</v>
      </c>
      <c r="TND31" s="3" t="s">
        <v>383</v>
      </c>
      <c r="TNE31" s="3" t="s">
        <v>382</v>
      </c>
      <c r="TNF31" s="3" t="s">
        <v>383</v>
      </c>
      <c r="TNG31" s="3" t="s">
        <v>382</v>
      </c>
      <c r="TNH31" s="3" t="s">
        <v>383</v>
      </c>
      <c r="TNI31" s="3" t="s">
        <v>382</v>
      </c>
      <c r="TNJ31" s="3" t="s">
        <v>383</v>
      </c>
      <c r="TNK31" s="3" t="s">
        <v>382</v>
      </c>
      <c r="TNL31" s="3" t="s">
        <v>383</v>
      </c>
      <c r="TNM31" s="3" t="s">
        <v>382</v>
      </c>
      <c r="TNN31" s="3" t="s">
        <v>383</v>
      </c>
      <c r="TNO31" s="3" t="s">
        <v>382</v>
      </c>
      <c r="TNP31" s="3" t="s">
        <v>383</v>
      </c>
      <c r="TNQ31" s="3" t="s">
        <v>382</v>
      </c>
      <c r="TNR31" s="3" t="s">
        <v>383</v>
      </c>
      <c r="TNS31" s="3" t="s">
        <v>382</v>
      </c>
      <c r="TNT31" s="3" t="s">
        <v>383</v>
      </c>
      <c r="TNU31" s="3" t="s">
        <v>382</v>
      </c>
      <c r="TNV31" s="3" t="s">
        <v>383</v>
      </c>
      <c r="TNW31" s="3" t="s">
        <v>382</v>
      </c>
      <c r="TNX31" s="3" t="s">
        <v>383</v>
      </c>
      <c r="TNY31" s="3" t="s">
        <v>382</v>
      </c>
      <c r="TNZ31" s="3" t="s">
        <v>383</v>
      </c>
      <c r="TOA31" s="3" t="s">
        <v>382</v>
      </c>
      <c r="TOB31" s="3" t="s">
        <v>383</v>
      </c>
      <c r="TOC31" s="3" t="s">
        <v>382</v>
      </c>
      <c r="TOD31" s="3" t="s">
        <v>383</v>
      </c>
      <c r="TOE31" s="3" t="s">
        <v>382</v>
      </c>
      <c r="TOF31" s="3" t="s">
        <v>383</v>
      </c>
      <c r="TOG31" s="3" t="s">
        <v>382</v>
      </c>
      <c r="TOH31" s="3" t="s">
        <v>383</v>
      </c>
      <c r="TOI31" s="3" t="s">
        <v>382</v>
      </c>
      <c r="TOJ31" s="3" t="s">
        <v>383</v>
      </c>
      <c r="TOK31" s="3" t="s">
        <v>382</v>
      </c>
      <c r="TOL31" s="3" t="s">
        <v>383</v>
      </c>
      <c r="TOM31" s="3" t="s">
        <v>382</v>
      </c>
      <c r="TON31" s="3" t="s">
        <v>383</v>
      </c>
      <c r="TOO31" s="3" t="s">
        <v>382</v>
      </c>
      <c r="TOP31" s="3" t="s">
        <v>383</v>
      </c>
      <c r="TOQ31" s="3" t="s">
        <v>382</v>
      </c>
      <c r="TOR31" s="3" t="s">
        <v>383</v>
      </c>
      <c r="TOS31" s="3" t="s">
        <v>382</v>
      </c>
      <c r="TOT31" s="3" t="s">
        <v>383</v>
      </c>
      <c r="TOU31" s="3" t="s">
        <v>382</v>
      </c>
      <c r="TOV31" s="3" t="s">
        <v>383</v>
      </c>
      <c r="TOW31" s="3" t="s">
        <v>382</v>
      </c>
      <c r="TOX31" s="3" t="s">
        <v>383</v>
      </c>
      <c r="TOY31" s="3" t="s">
        <v>382</v>
      </c>
      <c r="TOZ31" s="3" t="s">
        <v>383</v>
      </c>
      <c r="TPA31" s="3" t="s">
        <v>382</v>
      </c>
      <c r="TPB31" s="3" t="s">
        <v>383</v>
      </c>
      <c r="TPC31" s="3" t="s">
        <v>382</v>
      </c>
      <c r="TPD31" s="3" t="s">
        <v>383</v>
      </c>
      <c r="TPE31" s="3" t="s">
        <v>382</v>
      </c>
      <c r="TPF31" s="3" t="s">
        <v>383</v>
      </c>
      <c r="TPG31" s="3" t="s">
        <v>382</v>
      </c>
      <c r="TPH31" s="3" t="s">
        <v>383</v>
      </c>
      <c r="TPI31" s="3" t="s">
        <v>382</v>
      </c>
      <c r="TPJ31" s="3" t="s">
        <v>383</v>
      </c>
      <c r="TPK31" s="3" t="s">
        <v>382</v>
      </c>
      <c r="TPL31" s="3" t="s">
        <v>383</v>
      </c>
      <c r="TPM31" s="3" t="s">
        <v>382</v>
      </c>
      <c r="TPN31" s="3" t="s">
        <v>383</v>
      </c>
      <c r="TPO31" s="3" t="s">
        <v>382</v>
      </c>
      <c r="TPP31" s="3" t="s">
        <v>383</v>
      </c>
      <c r="TPQ31" s="3" t="s">
        <v>382</v>
      </c>
      <c r="TPR31" s="3" t="s">
        <v>383</v>
      </c>
      <c r="TPS31" s="3" t="s">
        <v>382</v>
      </c>
      <c r="TPT31" s="3" t="s">
        <v>383</v>
      </c>
      <c r="TPU31" s="3" t="s">
        <v>382</v>
      </c>
      <c r="TPV31" s="3" t="s">
        <v>383</v>
      </c>
      <c r="TPW31" s="3" t="s">
        <v>382</v>
      </c>
      <c r="TPX31" s="3" t="s">
        <v>383</v>
      </c>
      <c r="TPY31" s="3" t="s">
        <v>382</v>
      </c>
      <c r="TPZ31" s="3" t="s">
        <v>383</v>
      </c>
      <c r="TQA31" s="3" t="s">
        <v>382</v>
      </c>
      <c r="TQB31" s="3" t="s">
        <v>383</v>
      </c>
      <c r="TQC31" s="3" t="s">
        <v>382</v>
      </c>
      <c r="TQD31" s="3" t="s">
        <v>383</v>
      </c>
      <c r="TQE31" s="3" t="s">
        <v>382</v>
      </c>
      <c r="TQF31" s="3" t="s">
        <v>383</v>
      </c>
      <c r="TQG31" s="3" t="s">
        <v>382</v>
      </c>
      <c r="TQH31" s="3" t="s">
        <v>383</v>
      </c>
      <c r="TQI31" s="3" t="s">
        <v>382</v>
      </c>
      <c r="TQJ31" s="3" t="s">
        <v>383</v>
      </c>
      <c r="TQK31" s="3" t="s">
        <v>382</v>
      </c>
      <c r="TQL31" s="3" t="s">
        <v>383</v>
      </c>
      <c r="TQM31" s="3" t="s">
        <v>382</v>
      </c>
      <c r="TQN31" s="3" t="s">
        <v>383</v>
      </c>
      <c r="TQO31" s="3" t="s">
        <v>382</v>
      </c>
      <c r="TQP31" s="3" t="s">
        <v>383</v>
      </c>
      <c r="TQQ31" s="3" t="s">
        <v>382</v>
      </c>
      <c r="TQR31" s="3" t="s">
        <v>383</v>
      </c>
      <c r="TQS31" s="3" t="s">
        <v>382</v>
      </c>
      <c r="TQT31" s="3" t="s">
        <v>383</v>
      </c>
      <c r="TQU31" s="3" t="s">
        <v>382</v>
      </c>
      <c r="TQV31" s="3" t="s">
        <v>383</v>
      </c>
      <c r="TQW31" s="3" t="s">
        <v>382</v>
      </c>
      <c r="TQX31" s="3" t="s">
        <v>383</v>
      </c>
      <c r="TQY31" s="3" t="s">
        <v>382</v>
      </c>
      <c r="TQZ31" s="3" t="s">
        <v>383</v>
      </c>
      <c r="TRA31" s="3" t="s">
        <v>382</v>
      </c>
      <c r="TRB31" s="3" t="s">
        <v>383</v>
      </c>
      <c r="TRC31" s="3" t="s">
        <v>382</v>
      </c>
      <c r="TRD31" s="3" t="s">
        <v>383</v>
      </c>
      <c r="TRE31" s="3" t="s">
        <v>382</v>
      </c>
      <c r="TRF31" s="3" t="s">
        <v>383</v>
      </c>
      <c r="TRG31" s="3" t="s">
        <v>382</v>
      </c>
      <c r="TRH31" s="3" t="s">
        <v>383</v>
      </c>
      <c r="TRI31" s="3" t="s">
        <v>382</v>
      </c>
      <c r="TRJ31" s="3" t="s">
        <v>383</v>
      </c>
      <c r="TRK31" s="3" t="s">
        <v>382</v>
      </c>
      <c r="TRL31" s="3" t="s">
        <v>383</v>
      </c>
      <c r="TRM31" s="3" t="s">
        <v>382</v>
      </c>
      <c r="TRN31" s="3" t="s">
        <v>383</v>
      </c>
      <c r="TRO31" s="3" t="s">
        <v>382</v>
      </c>
      <c r="TRP31" s="3" t="s">
        <v>383</v>
      </c>
      <c r="TRQ31" s="3" t="s">
        <v>382</v>
      </c>
      <c r="TRR31" s="3" t="s">
        <v>383</v>
      </c>
      <c r="TRS31" s="3" t="s">
        <v>382</v>
      </c>
      <c r="TRT31" s="3" t="s">
        <v>383</v>
      </c>
      <c r="TRU31" s="3" t="s">
        <v>382</v>
      </c>
      <c r="TRV31" s="3" t="s">
        <v>383</v>
      </c>
      <c r="TRW31" s="3" t="s">
        <v>382</v>
      </c>
      <c r="TRX31" s="3" t="s">
        <v>383</v>
      </c>
      <c r="TRY31" s="3" t="s">
        <v>382</v>
      </c>
      <c r="TRZ31" s="3" t="s">
        <v>383</v>
      </c>
      <c r="TSA31" s="3" t="s">
        <v>382</v>
      </c>
      <c r="TSB31" s="3" t="s">
        <v>383</v>
      </c>
      <c r="TSC31" s="3" t="s">
        <v>382</v>
      </c>
      <c r="TSD31" s="3" t="s">
        <v>383</v>
      </c>
      <c r="TSE31" s="3" t="s">
        <v>382</v>
      </c>
      <c r="TSF31" s="3" t="s">
        <v>383</v>
      </c>
      <c r="TSG31" s="3" t="s">
        <v>382</v>
      </c>
      <c r="TSH31" s="3" t="s">
        <v>383</v>
      </c>
      <c r="TSI31" s="3" t="s">
        <v>382</v>
      </c>
      <c r="TSJ31" s="3" t="s">
        <v>383</v>
      </c>
      <c r="TSK31" s="3" t="s">
        <v>382</v>
      </c>
      <c r="TSL31" s="3" t="s">
        <v>383</v>
      </c>
      <c r="TSM31" s="3" t="s">
        <v>382</v>
      </c>
      <c r="TSN31" s="3" t="s">
        <v>383</v>
      </c>
      <c r="TSO31" s="3" t="s">
        <v>382</v>
      </c>
      <c r="TSP31" s="3" t="s">
        <v>383</v>
      </c>
      <c r="TSQ31" s="3" t="s">
        <v>382</v>
      </c>
      <c r="TSR31" s="3" t="s">
        <v>383</v>
      </c>
      <c r="TSS31" s="3" t="s">
        <v>382</v>
      </c>
      <c r="TST31" s="3" t="s">
        <v>383</v>
      </c>
      <c r="TSU31" s="3" t="s">
        <v>382</v>
      </c>
      <c r="TSV31" s="3" t="s">
        <v>383</v>
      </c>
      <c r="TSW31" s="3" t="s">
        <v>382</v>
      </c>
      <c r="TSX31" s="3" t="s">
        <v>383</v>
      </c>
      <c r="TSY31" s="3" t="s">
        <v>382</v>
      </c>
      <c r="TSZ31" s="3" t="s">
        <v>383</v>
      </c>
      <c r="TTA31" s="3" t="s">
        <v>382</v>
      </c>
      <c r="TTB31" s="3" t="s">
        <v>383</v>
      </c>
      <c r="TTC31" s="3" t="s">
        <v>382</v>
      </c>
      <c r="TTD31" s="3" t="s">
        <v>383</v>
      </c>
      <c r="TTE31" s="3" t="s">
        <v>382</v>
      </c>
      <c r="TTF31" s="3" t="s">
        <v>383</v>
      </c>
      <c r="TTG31" s="3" t="s">
        <v>382</v>
      </c>
      <c r="TTH31" s="3" t="s">
        <v>383</v>
      </c>
      <c r="TTI31" s="3" t="s">
        <v>382</v>
      </c>
      <c r="TTJ31" s="3" t="s">
        <v>383</v>
      </c>
      <c r="TTK31" s="3" t="s">
        <v>382</v>
      </c>
      <c r="TTL31" s="3" t="s">
        <v>383</v>
      </c>
      <c r="TTM31" s="3" t="s">
        <v>382</v>
      </c>
      <c r="TTN31" s="3" t="s">
        <v>383</v>
      </c>
      <c r="TTO31" s="3" t="s">
        <v>382</v>
      </c>
      <c r="TTP31" s="3" t="s">
        <v>383</v>
      </c>
      <c r="TTQ31" s="3" t="s">
        <v>382</v>
      </c>
      <c r="TTR31" s="3" t="s">
        <v>383</v>
      </c>
      <c r="TTS31" s="3" t="s">
        <v>382</v>
      </c>
      <c r="TTT31" s="3" t="s">
        <v>383</v>
      </c>
      <c r="TTU31" s="3" t="s">
        <v>382</v>
      </c>
      <c r="TTV31" s="3" t="s">
        <v>383</v>
      </c>
      <c r="TTW31" s="3" t="s">
        <v>382</v>
      </c>
      <c r="TTX31" s="3" t="s">
        <v>383</v>
      </c>
      <c r="TTY31" s="3" t="s">
        <v>382</v>
      </c>
      <c r="TTZ31" s="3" t="s">
        <v>383</v>
      </c>
      <c r="TUA31" s="3" t="s">
        <v>382</v>
      </c>
      <c r="TUB31" s="3" t="s">
        <v>383</v>
      </c>
      <c r="TUC31" s="3" t="s">
        <v>382</v>
      </c>
      <c r="TUD31" s="3" t="s">
        <v>383</v>
      </c>
      <c r="TUE31" s="3" t="s">
        <v>382</v>
      </c>
      <c r="TUF31" s="3" t="s">
        <v>383</v>
      </c>
      <c r="TUG31" s="3" t="s">
        <v>382</v>
      </c>
      <c r="TUH31" s="3" t="s">
        <v>383</v>
      </c>
      <c r="TUI31" s="3" t="s">
        <v>382</v>
      </c>
      <c r="TUJ31" s="3" t="s">
        <v>383</v>
      </c>
      <c r="TUK31" s="3" t="s">
        <v>382</v>
      </c>
      <c r="TUL31" s="3" t="s">
        <v>383</v>
      </c>
      <c r="TUM31" s="3" t="s">
        <v>382</v>
      </c>
      <c r="TUN31" s="3" t="s">
        <v>383</v>
      </c>
      <c r="TUO31" s="3" t="s">
        <v>382</v>
      </c>
      <c r="TUP31" s="3" t="s">
        <v>383</v>
      </c>
      <c r="TUQ31" s="3" t="s">
        <v>382</v>
      </c>
      <c r="TUR31" s="3" t="s">
        <v>383</v>
      </c>
      <c r="TUS31" s="3" t="s">
        <v>382</v>
      </c>
      <c r="TUT31" s="3" t="s">
        <v>383</v>
      </c>
      <c r="TUU31" s="3" t="s">
        <v>382</v>
      </c>
      <c r="TUV31" s="3" t="s">
        <v>383</v>
      </c>
      <c r="TUW31" s="3" t="s">
        <v>382</v>
      </c>
      <c r="TUX31" s="3" t="s">
        <v>383</v>
      </c>
      <c r="TUY31" s="3" t="s">
        <v>382</v>
      </c>
      <c r="TUZ31" s="3" t="s">
        <v>383</v>
      </c>
      <c r="TVA31" s="3" t="s">
        <v>382</v>
      </c>
      <c r="TVB31" s="3" t="s">
        <v>383</v>
      </c>
      <c r="TVC31" s="3" t="s">
        <v>382</v>
      </c>
      <c r="TVD31" s="3" t="s">
        <v>383</v>
      </c>
      <c r="TVE31" s="3" t="s">
        <v>382</v>
      </c>
      <c r="TVF31" s="3" t="s">
        <v>383</v>
      </c>
      <c r="TVG31" s="3" t="s">
        <v>382</v>
      </c>
      <c r="TVH31" s="3" t="s">
        <v>383</v>
      </c>
      <c r="TVI31" s="3" t="s">
        <v>382</v>
      </c>
      <c r="TVJ31" s="3" t="s">
        <v>383</v>
      </c>
      <c r="TVK31" s="3" t="s">
        <v>382</v>
      </c>
      <c r="TVL31" s="3" t="s">
        <v>383</v>
      </c>
      <c r="TVM31" s="3" t="s">
        <v>382</v>
      </c>
      <c r="TVN31" s="3" t="s">
        <v>383</v>
      </c>
      <c r="TVO31" s="3" t="s">
        <v>382</v>
      </c>
      <c r="TVP31" s="3" t="s">
        <v>383</v>
      </c>
      <c r="TVQ31" s="3" t="s">
        <v>382</v>
      </c>
      <c r="TVR31" s="3" t="s">
        <v>383</v>
      </c>
      <c r="TVS31" s="3" t="s">
        <v>382</v>
      </c>
      <c r="TVT31" s="3" t="s">
        <v>383</v>
      </c>
      <c r="TVU31" s="3" t="s">
        <v>382</v>
      </c>
      <c r="TVV31" s="3" t="s">
        <v>383</v>
      </c>
      <c r="TVW31" s="3" t="s">
        <v>382</v>
      </c>
      <c r="TVX31" s="3" t="s">
        <v>383</v>
      </c>
      <c r="TVY31" s="3" t="s">
        <v>382</v>
      </c>
      <c r="TVZ31" s="3" t="s">
        <v>383</v>
      </c>
      <c r="TWA31" s="3" t="s">
        <v>382</v>
      </c>
      <c r="TWB31" s="3" t="s">
        <v>383</v>
      </c>
      <c r="TWC31" s="3" t="s">
        <v>382</v>
      </c>
      <c r="TWD31" s="3" t="s">
        <v>383</v>
      </c>
      <c r="TWE31" s="3" t="s">
        <v>382</v>
      </c>
      <c r="TWF31" s="3" t="s">
        <v>383</v>
      </c>
      <c r="TWG31" s="3" t="s">
        <v>382</v>
      </c>
      <c r="TWH31" s="3" t="s">
        <v>383</v>
      </c>
      <c r="TWI31" s="3" t="s">
        <v>382</v>
      </c>
      <c r="TWJ31" s="3" t="s">
        <v>383</v>
      </c>
      <c r="TWK31" s="3" t="s">
        <v>382</v>
      </c>
      <c r="TWL31" s="3" t="s">
        <v>383</v>
      </c>
      <c r="TWM31" s="3" t="s">
        <v>382</v>
      </c>
      <c r="TWN31" s="3" t="s">
        <v>383</v>
      </c>
      <c r="TWO31" s="3" t="s">
        <v>382</v>
      </c>
      <c r="TWP31" s="3" t="s">
        <v>383</v>
      </c>
      <c r="TWQ31" s="3" t="s">
        <v>382</v>
      </c>
      <c r="TWR31" s="3" t="s">
        <v>383</v>
      </c>
      <c r="TWS31" s="3" t="s">
        <v>382</v>
      </c>
      <c r="TWT31" s="3" t="s">
        <v>383</v>
      </c>
      <c r="TWU31" s="3" t="s">
        <v>382</v>
      </c>
      <c r="TWV31" s="3" t="s">
        <v>383</v>
      </c>
      <c r="TWW31" s="3" t="s">
        <v>382</v>
      </c>
      <c r="TWX31" s="3" t="s">
        <v>383</v>
      </c>
      <c r="TWY31" s="3" t="s">
        <v>382</v>
      </c>
      <c r="TWZ31" s="3" t="s">
        <v>383</v>
      </c>
      <c r="TXA31" s="3" t="s">
        <v>382</v>
      </c>
      <c r="TXB31" s="3" t="s">
        <v>383</v>
      </c>
      <c r="TXC31" s="3" t="s">
        <v>382</v>
      </c>
      <c r="TXD31" s="3" t="s">
        <v>383</v>
      </c>
      <c r="TXE31" s="3" t="s">
        <v>382</v>
      </c>
      <c r="TXF31" s="3" t="s">
        <v>383</v>
      </c>
      <c r="TXG31" s="3" t="s">
        <v>382</v>
      </c>
      <c r="TXH31" s="3" t="s">
        <v>383</v>
      </c>
      <c r="TXI31" s="3" t="s">
        <v>382</v>
      </c>
      <c r="TXJ31" s="3" t="s">
        <v>383</v>
      </c>
      <c r="TXK31" s="3" t="s">
        <v>382</v>
      </c>
      <c r="TXL31" s="3" t="s">
        <v>383</v>
      </c>
      <c r="TXM31" s="3" t="s">
        <v>382</v>
      </c>
      <c r="TXN31" s="3" t="s">
        <v>383</v>
      </c>
      <c r="TXO31" s="3" t="s">
        <v>382</v>
      </c>
      <c r="TXP31" s="3" t="s">
        <v>383</v>
      </c>
      <c r="TXQ31" s="3" t="s">
        <v>382</v>
      </c>
      <c r="TXR31" s="3" t="s">
        <v>383</v>
      </c>
      <c r="TXS31" s="3" t="s">
        <v>382</v>
      </c>
      <c r="TXT31" s="3" t="s">
        <v>383</v>
      </c>
      <c r="TXU31" s="3" t="s">
        <v>382</v>
      </c>
      <c r="TXV31" s="3" t="s">
        <v>383</v>
      </c>
      <c r="TXW31" s="3" t="s">
        <v>382</v>
      </c>
      <c r="TXX31" s="3" t="s">
        <v>383</v>
      </c>
      <c r="TXY31" s="3" t="s">
        <v>382</v>
      </c>
      <c r="TXZ31" s="3" t="s">
        <v>383</v>
      </c>
      <c r="TYA31" s="3" t="s">
        <v>382</v>
      </c>
      <c r="TYB31" s="3" t="s">
        <v>383</v>
      </c>
      <c r="TYC31" s="3" t="s">
        <v>382</v>
      </c>
      <c r="TYD31" s="3" t="s">
        <v>383</v>
      </c>
      <c r="TYE31" s="3" t="s">
        <v>382</v>
      </c>
      <c r="TYF31" s="3" t="s">
        <v>383</v>
      </c>
      <c r="TYG31" s="3" t="s">
        <v>382</v>
      </c>
      <c r="TYH31" s="3" t="s">
        <v>383</v>
      </c>
      <c r="TYI31" s="3" t="s">
        <v>382</v>
      </c>
      <c r="TYJ31" s="3" t="s">
        <v>383</v>
      </c>
      <c r="TYK31" s="3" t="s">
        <v>382</v>
      </c>
      <c r="TYL31" s="3" t="s">
        <v>383</v>
      </c>
      <c r="TYM31" s="3" t="s">
        <v>382</v>
      </c>
      <c r="TYN31" s="3" t="s">
        <v>383</v>
      </c>
      <c r="TYO31" s="3" t="s">
        <v>382</v>
      </c>
      <c r="TYP31" s="3" t="s">
        <v>383</v>
      </c>
      <c r="TYQ31" s="3" t="s">
        <v>382</v>
      </c>
      <c r="TYR31" s="3" t="s">
        <v>383</v>
      </c>
      <c r="TYS31" s="3" t="s">
        <v>382</v>
      </c>
      <c r="TYT31" s="3" t="s">
        <v>383</v>
      </c>
      <c r="TYU31" s="3" t="s">
        <v>382</v>
      </c>
      <c r="TYV31" s="3" t="s">
        <v>383</v>
      </c>
      <c r="TYW31" s="3" t="s">
        <v>382</v>
      </c>
      <c r="TYX31" s="3" t="s">
        <v>383</v>
      </c>
      <c r="TYY31" s="3" t="s">
        <v>382</v>
      </c>
      <c r="TYZ31" s="3" t="s">
        <v>383</v>
      </c>
      <c r="TZA31" s="3" t="s">
        <v>382</v>
      </c>
      <c r="TZB31" s="3" t="s">
        <v>383</v>
      </c>
      <c r="TZC31" s="3" t="s">
        <v>382</v>
      </c>
      <c r="TZD31" s="3" t="s">
        <v>383</v>
      </c>
      <c r="TZE31" s="3" t="s">
        <v>382</v>
      </c>
      <c r="TZF31" s="3" t="s">
        <v>383</v>
      </c>
      <c r="TZG31" s="3" t="s">
        <v>382</v>
      </c>
      <c r="TZH31" s="3" t="s">
        <v>383</v>
      </c>
      <c r="TZI31" s="3" t="s">
        <v>382</v>
      </c>
      <c r="TZJ31" s="3" t="s">
        <v>383</v>
      </c>
      <c r="TZK31" s="3" t="s">
        <v>382</v>
      </c>
      <c r="TZL31" s="3" t="s">
        <v>383</v>
      </c>
      <c r="TZM31" s="3" t="s">
        <v>382</v>
      </c>
      <c r="TZN31" s="3" t="s">
        <v>383</v>
      </c>
      <c r="TZO31" s="3" t="s">
        <v>382</v>
      </c>
      <c r="TZP31" s="3" t="s">
        <v>383</v>
      </c>
      <c r="TZQ31" s="3" t="s">
        <v>382</v>
      </c>
      <c r="TZR31" s="3" t="s">
        <v>383</v>
      </c>
      <c r="TZS31" s="3" t="s">
        <v>382</v>
      </c>
      <c r="TZT31" s="3" t="s">
        <v>383</v>
      </c>
      <c r="TZU31" s="3" t="s">
        <v>382</v>
      </c>
      <c r="TZV31" s="3" t="s">
        <v>383</v>
      </c>
      <c r="TZW31" s="3" t="s">
        <v>382</v>
      </c>
      <c r="TZX31" s="3" t="s">
        <v>383</v>
      </c>
      <c r="TZY31" s="3" t="s">
        <v>382</v>
      </c>
      <c r="TZZ31" s="3" t="s">
        <v>383</v>
      </c>
      <c r="UAA31" s="3" t="s">
        <v>382</v>
      </c>
      <c r="UAB31" s="3" t="s">
        <v>383</v>
      </c>
      <c r="UAC31" s="3" t="s">
        <v>382</v>
      </c>
      <c r="UAD31" s="3" t="s">
        <v>383</v>
      </c>
      <c r="UAE31" s="3" t="s">
        <v>382</v>
      </c>
      <c r="UAF31" s="3" t="s">
        <v>383</v>
      </c>
      <c r="UAG31" s="3" t="s">
        <v>382</v>
      </c>
      <c r="UAH31" s="3" t="s">
        <v>383</v>
      </c>
      <c r="UAI31" s="3" t="s">
        <v>382</v>
      </c>
      <c r="UAJ31" s="3" t="s">
        <v>383</v>
      </c>
      <c r="UAK31" s="3" t="s">
        <v>382</v>
      </c>
      <c r="UAL31" s="3" t="s">
        <v>383</v>
      </c>
      <c r="UAM31" s="3" t="s">
        <v>382</v>
      </c>
      <c r="UAN31" s="3" t="s">
        <v>383</v>
      </c>
      <c r="UAO31" s="3" t="s">
        <v>382</v>
      </c>
      <c r="UAP31" s="3" t="s">
        <v>383</v>
      </c>
      <c r="UAQ31" s="3" t="s">
        <v>382</v>
      </c>
      <c r="UAR31" s="3" t="s">
        <v>383</v>
      </c>
      <c r="UAS31" s="3" t="s">
        <v>382</v>
      </c>
      <c r="UAT31" s="3" t="s">
        <v>383</v>
      </c>
      <c r="UAU31" s="3" t="s">
        <v>382</v>
      </c>
      <c r="UAV31" s="3" t="s">
        <v>383</v>
      </c>
      <c r="UAW31" s="3" t="s">
        <v>382</v>
      </c>
      <c r="UAX31" s="3" t="s">
        <v>383</v>
      </c>
      <c r="UAY31" s="3" t="s">
        <v>382</v>
      </c>
      <c r="UAZ31" s="3" t="s">
        <v>383</v>
      </c>
      <c r="UBA31" s="3" t="s">
        <v>382</v>
      </c>
      <c r="UBB31" s="3" t="s">
        <v>383</v>
      </c>
      <c r="UBC31" s="3" t="s">
        <v>382</v>
      </c>
      <c r="UBD31" s="3" t="s">
        <v>383</v>
      </c>
      <c r="UBE31" s="3" t="s">
        <v>382</v>
      </c>
      <c r="UBF31" s="3" t="s">
        <v>383</v>
      </c>
      <c r="UBG31" s="3" t="s">
        <v>382</v>
      </c>
      <c r="UBH31" s="3" t="s">
        <v>383</v>
      </c>
      <c r="UBI31" s="3" t="s">
        <v>382</v>
      </c>
      <c r="UBJ31" s="3" t="s">
        <v>383</v>
      </c>
      <c r="UBK31" s="3" t="s">
        <v>382</v>
      </c>
      <c r="UBL31" s="3" t="s">
        <v>383</v>
      </c>
      <c r="UBM31" s="3" t="s">
        <v>382</v>
      </c>
      <c r="UBN31" s="3" t="s">
        <v>383</v>
      </c>
      <c r="UBO31" s="3" t="s">
        <v>382</v>
      </c>
      <c r="UBP31" s="3" t="s">
        <v>383</v>
      </c>
      <c r="UBQ31" s="3" t="s">
        <v>382</v>
      </c>
      <c r="UBR31" s="3" t="s">
        <v>383</v>
      </c>
      <c r="UBS31" s="3" t="s">
        <v>382</v>
      </c>
      <c r="UBT31" s="3" t="s">
        <v>383</v>
      </c>
      <c r="UBU31" s="3" t="s">
        <v>382</v>
      </c>
      <c r="UBV31" s="3" t="s">
        <v>383</v>
      </c>
      <c r="UBW31" s="3" t="s">
        <v>382</v>
      </c>
      <c r="UBX31" s="3" t="s">
        <v>383</v>
      </c>
      <c r="UBY31" s="3" t="s">
        <v>382</v>
      </c>
      <c r="UBZ31" s="3" t="s">
        <v>383</v>
      </c>
      <c r="UCA31" s="3" t="s">
        <v>382</v>
      </c>
      <c r="UCB31" s="3" t="s">
        <v>383</v>
      </c>
      <c r="UCC31" s="3" t="s">
        <v>382</v>
      </c>
      <c r="UCD31" s="3" t="s">
        <v>383</v>
      </c>
      <c r="UCE31" s="3" t="s">
        <v>382</v>
      </c>
      <c r="UCF31" s="3" t="s">
        <v>383</v>
      </c>
      <c r="UCG31" s="3" t="s">
        <v>382</v>
      </c>
      <c r="UCH31" s="3" t="s">
        <v>383</v>
      </c>
      <c r="UCI31" s="3" t="s">
        <v>382</v>
      </c>
      <c r="UCJ31" s="3" t="s">
        <v>383</v>
      </c>
      <c r="UCK31" s="3" t="s">
        <v>382</v>
      </c>
      <c r="UCL31" s="3" t="s">
        <v>383</v>
      </c>
      <c r="UCM31" s="3" t="s">
        <v>382</v>
      </c>
      <c r="UCN31" s="3" t="s">
        <v>383</v>
      </c>
      <c r="UCO31" s="3" t="s">
        <v>382</v>
      </c>
      <c r="UCP31" s="3" t="s">
        <v>383</v>
      </c>
      <c r="UCQ31" s="3" t="s">
        <v>382</v>
      </c>
      <c r="UCR31" s="3" t="s">
        <v>383</v>
      </c>
      <c r="UCS31" s="3" t="s">
        <v>382</v>
      </c>
      <c r="UCT31" s="3" t="s">
        <v>383</v>
      </c>
      <c r="UCU31" s="3" t="s">
        <v>382</v>
      </c>
      <c r="UCV31" s="3" t="s">
        <v>383</v>
      </c>
      <c r="UCW31" s="3" t="s">
        <v>382</v>
      </c>
      <c r="UCX31" s="3" t="s">
        <v>383</v>
      </c>
      <c r="UCY31" s="3" t="s">
        <v>382</v>
      </c>
      <c r="UCZ31" s="3" t="s">
        <v>383</v>
      </c>
      <c r="UDA31" s="3" t="s">
        <v>382</v>
      </c>
      <c r="UDB31" s="3" t="s">
        <v>383</v>
      </c>
      <c r="UDC31" s="3" t="s">
        <v>382</v>
      </c>
      <c r="UDD31" s="3" t="s">
        <v>383</v>
      </c>
      <c r="UDE31" s="3" t="s">
        <v>382</v>
      </c>
      <c r="UDF31" s="3" t="s">
        <v>383</v>
      </c>
      <c r="UDG31" s="3" t="s">
        <v>382</v>
      </c>
      <c r="UDH31" s="3" t="s">
        <v>383</v>
      </c>
      <c r="UDI31" s="3" t="s">
        <v>382</v>
      </c>
      <c r="UDJ31" s="3" t="s">
        <v>383</v>
      </c>
      <c r="UDK31" s="3" t="s">
        <v>382</v>
      </c>
      <c r="UDL31" s="3" t="s">
        <v>383</v>
      </c>
      <c r="UDM31" s="3" t="s">
        <v>382</v>
      </c>
      <c r="UDN31" s="3" t="s">
        <v>383</v>
      </c>
      <c r="UDO31" s="3" t="s">
        <v>382</v>
      </c>
      <c r="UDP31" s="3" t="s">
        <v>383</v>
      </c>
      <c r="UDQ31" s="3" t="s">
        <v>382</v>
      </c>
      <c r="UDR31" s="3" t="s">
        <v>383</v>
      </c>
      <c r="UDS31" s="3" t="s">
        <v>382</v>
      </c>
      <c r="UDT31" s="3" t="s">
        <v>383</v>
      </c>
      <c r="UDU31" s="3" t="s">
        <v>382</v>
      </c>
      <c r="UDV31" s="3" t="s">
        <v>383</v>
      </c>
      <c r="UDW31" s="3" t="s">
        <v>382</v>
      </c>
      <c r="UDX31" s="3" t="s">
        <v>383</v>
      </c>
      <c r="UDY31" s="3" t="s">
        <v>382</v>
      </c>
      <c r="UDZ31" s="3" t="s">
        <v>383</v>
      </c>
      <c r="UEA31" s="3" t="s">
        <v>382</v>
      </c>
      <c r="UEB31" s="3" t="s">
        <v>383</v>
      </c>
      <c r="UEC31" s="3" t="s">
        <v>382</v>
      </c>
      <c r="UED31" s="3" t="s">
        <v>383</v>
      </c>
      <c r="UEE31" s="3" t="s">
        <v>382</v>
      </c>
      <c r="UEF31" s="3" t="s">
        <v>383</v>
      </c>
      <c r="UEG31" s="3" t="s">
        <v>382</v>
      </c>
      <c r="UEH31" s="3" t="s">
        <v>383</v>
      </c>
      <c r="UEI31" s="3" t="s">
        <v>382</v>
      </c>
      <c r="UEJ31" s="3" t="s">
        <v>383</v>
      </c>
      <c r="UEK31" s="3" t="s">
        <v>382</v>
      </c>
      <c r="UEL31" s="3" t="s">
        <v>383</v>
      </c>
      <c r="UEM31" s="3" t="s">
        <v>382</v>
      </c>
      <c r="UEN31" s="3" t="s">
        <v>383</v>
      </c>
      <c r="UEO31" s="3" t="s">
        <v>382</v>
      </c>
      <c r="UEP31" s="3" t="s">
        <v>383</v>
      </c>
      <c r="UEQ31" s="3" t="s">
        <v>382</v>
      </c>
      <c r="UER31" s="3" t="s">
        <v>383</v>
      </c>
      <c r="UES31" s="3" t="s">
        <v>382</v>
      </c>
      <c r="UET31" s="3" t="s">
        <v>383</v>
      </c>
      <c r="UEU31" s="3" t="s">
        <v>382</v>
      </c>
      <c r="UEV31" s="3" t="s">
        <v>383</v>
      </c>
      <c r="UEW31" s="3" t="s">
        <v>382</v>
      </c>
      <c r="UEX31" s="3" t="s">
        <v>383</v>
      </c>
      <c r="UEY31" s="3" t="s">
        <v>382</v>
      </c>
      <c r="UEZ31" s="3" t="s">
        <v>383</v>
      </c>
      <c r="UFA31" s="3" t="s">
        <v>382</v>
      </c>
      <c r="UFB31" s="3" t="s">
        <v>383</v>
      </c>
      <c r="UFC31" s="3" t="s">
        <v>382</v>
      </c>
      <c r="UFD31" s="3" t="s">
        <v>383</v>
      </c>
      <c r="UFE31" s="3" t="s">
        <v>382</v>
      </c>
      <c r="UFF31" s="3" t="s">
        <v>383</v>
      </c>
      <c r="UFG31" s="3" t="s">
        <v>382</v>
      </c>
      <c r="UFH31" s="3" t="s">
        <v>383</v>
      </c>
      <c r="UFI31" s="3" t="s">
        <v>382</v>
      </c>
      <c r="UFJ31" s="3" t="s">
        <v>383</v>
      </c>
      <c r="UFK31" s="3" t="s">
        <v>382</v>
      </c>
      <c r="UFL31" s="3" t="s">
        <v>383</v>
      </c>
      <c r="UFM31" s="3" t="s">
        <v>382</v>
      </c>
      <c r="UFN31" s="3" t="s">
        <v>383</v>
      </c>
      <c r="UFO31" s="3" t="s">
        <v>382</v>
      </c>
      <c r="UFP31" s="3" t="s">
        <v>383</v>
      </c>
      <c r="UFQ31" s="3" t="s">
        <v>382</v>
      </c>
      <c r="UFR31" s="3" t="s">
        <v>383</v>
      </c>
      <c r="UFS31" s="3" t="s">
        <v>382</v>
      </c>
      <c r="UFT31" s="3" t="s">
        <v>383</v>
      </c>
      <c r="UFU31" s="3" t="s">
        <v>382</v>
      </c>
      <c r="UFV31" s="3" t="s">
        <v>383</v>
      </c>
      <c r="UFW31" s="3" t="s">
        <v>382</v>
      </c>
      <c r="UFX31" s="3" t="s">
        <v>383</v>
      </c>
      <c r="UFY31" s="3" t="s">
        <v>382</v>
      </c>
      <c r="UFZ31" s="3" t="s">
        <v>383</v>
      </c>
      <c r="UGA31" s="3" t="s">
        <v>382</v>
      </c>
      <c r="UGB31" s="3" t="s">
        <v>383</v>
      </c>
      <c r="UGC31" s="3" t="s">
        <v>382</v>
      </c>
      <c r="UGD31" s="3" t="s">
        <v>383</v>
      </c>
      <c r="UGE31" s="3" t="s">
        <v>382</v>
      </c>
      <c r="UGF31" s="3" t="s">
        <v>383</v>
      </c>
      <c r="UGG31" s="3" t="s">
        <v>382</v>
      </c>
      <c r="UGH31" s="3" t="s">
        <v>383</v>
      </c>
      <c r="UGI31" s="3" t="s">
        <v>382</v>
      </c>
      <c r="UGJ31" s="3" t="s">
        <v>383</v>
      </c>
      <c r="UGK31" s="3" t="s">
        <v>382</v>
      </c>
      <c r="UGL31" s="3" t="s">
        <v>383</v>
      </c>
      <c r="UGM31" s="3" t="s">
        <v>382</v>
      </c>
      <c r="UGN31" s="3" t="s">
        <v>383</v>
      </c>
      <c r="UGO31" s="3" t="s">
        <v>382</v>
      </c>
      <c r="UGP31" s="3" t="s">
        <v>383</v>
      </c>
      <c r="UGQ31" s="3" t="s">
        <v>382</v>
      </c>
      <c r="UGR31" s="3" t="s">
        <v>383</v>
      </c>
      <c r="UGS31" s="3" t="s">
        <v>382</v>
      </c>
      <c r="UGT31" s="3" t="s">
        <v>383</v>
      </c>
      <c r="UGU31" s="3" t="s">
        <v>382</v>
      </c>
      <c r="UGV31" s="3" t="s">
        <v>383</v>
      </c>
      <c r="UGW31" s="3" t="s">
        <v>382</v>
      </c>
      <c r="UGX31" s="3" t="s">
        <v>383</v>
      </c>
      <c r="UGY31" s="3" t="s">
        <v>382</v>
      </c>
      <c r="UGZ31" s="3" t="s">
        <v>383</v>
      </c>
      <c r="UHA31" s="3" t="s">
        <v>382</v>
      </c>
      <c r="UHB31" s="3" t="s">
        <v>383</v>
      </c>
      <c r="UHC31" s="3" t="s">
        <v>382</v>
      </c>
      <c r="UHD31" s="3" t="s">
        <v>383</v>
      </c>
      <c r="UHE31" s="3" t="s">
        <v>382</v>
      </c>
      <c r="UHF31" s="3" t="s">
        <v>383</v>
      </c>
      <c r="UHG31" s="3" t="s">
        <v>382</v>
      </c>
      <c r="UHH31" s="3" t="s">
        <v>383</v>
      </c>
      <c r="UHI31" s="3" t="s">
        <v>382</v>
      </c>
      <c r="UHJ31" s="3" t="s">
        <v>383</v>
      </c>
      <c r="UHK31" s="3" t="s">
        <v>382</v>
      </c>
      <c r="UHL31" s="3" t="s">
        <v>383</v>
      </c>
      <c r="UHM31" s="3" t="s">
        <v>382</v>
      </c>
      <c r="UHN31" s="3" t="s">
        <v>383</v>
      </c>
      <c r="UHO31" s="3" t="s">
        <v>382</v>
      </c>
      <c r="UHP31" s="3" t="s">
        <v>383</v>
      </c>
      <c r="UHQ31" s="3" t="s">
        <v>382</v>
      </c>
      <c r="UHR31" s="3" t="s">
        <v>383</v>
      </c>
      <c r="UHS31" s="3" t="s">
        <v>382</v>
      </c>
      <c r="UHT31" s="3" t="s">
        <v>383</v>
      </c>
      <c r="UHU31" s="3" t="s">
        <v>382</v>
      </c>
      <c r="UHV31" s="3" t="s">
        <v>383</v>
      </c>
      <c r="UHW31" s="3" t="s">
        <v>382</v>
      </c>
      <c r="UHX31" s="3" t="s">
        <v>383</v>
      </c>
      <c r="UHY31" s="3" t="s">
        <v>382</v>
      </c>
      <c r="UHZ31" s="3" t="s">
        <v>383</v>
      </c>
      <c r="UIA31" s="3" t="s">
        <v>382</v>
      </c>
      <c r="UIB31" s="3" t="s">
        <v>383</v>
      </c>
      <c r="UIC31" s="3" t="s">
        <v>382</v>
      </c>
      <c r="UID31" s="3" t="s">
        <v>383</v>
      </c>
      <c r="UIE31" s="3" t="s">
        <v>382</v>
      </c>
      <c r="UIF31" s="3" t="s">
        <v>383</v>
      </c>
      <c r="UIG31" s="3" t="s">
        <v>382</v>
      </c>
      <c r="UIH31" s="3" t="s">
        <v>383</v>
      </c>
      <c r="UII31" s="3" t="s">
        <v>382</v>
      </c>
      <c r="UIJ31" s="3" t="s">
        <v>383</v>
      </c>
      <c r="UIK31" s="3" t="s">
        <v>382</v>
      </c>
      <c r="UIL31" s="3" t="s">
        <v>383</v>
      </c>
      <c r="UIM31" s="3" t="s">
        <v>382</v>
      </c>
      <c r="UIN31" s="3" t="s">
        <v>383</v>
      </c>
      <c r="UIO31" s="3" t="s">
        <v>382</v>
      </c>
      <c r="UIP31" s="3" t="s">
        <v>383</v>
      </c>
      <c r="UIQ31" s="3" t="s">
        <v>382</v>
      </c>
      <c r="UIR31" s="3" t="s">
        <v>383</v>
      </c>
      <c r="UIS31" s="3" t="s">
        <v>382</v>
      </c>
      <c r="UIT31" s="3" t="s">
        <v>383</v>
      </c>
      <c r="UIU31" s="3" t="s">
        <v>382</v>
      </c>
      <c r="UIV31" s="3" t="s">
        <v>383</v>
      </c>
      <c r="UIW31" s="3" t="s">
        <v>382</v>
      </c>
      <c r="UIX31" s="3" t="s">
        <v>383</v>
      </c>
      <c r="UIY31" s="3" t="s">
        <v>382</v>
      </c>
      <c r="UIZ31" s="3" t="s">
        <v>383</v>
      </c>
      <c r="UJA31" s="3" t="s">
        <v>382</v>
      </c>
      <c r="UJB31" s="3" t="s">
        <v>383</v>
      </c>
      <c r="UJC31" s="3" t="s">
        <v>382</v>
      </c>
      <c r="UJD31" s="3" t="s">
        <v>383</v>
      </c>
      <c r="UJE31" s="3" t="s">
        <v>382</v>
      </c>
      <c r="UJF31" s="3" t="s">
        <v>383</v>
      </c>
      <c r="UJG31" s="3" t="s">
        <v>382</v>
      </c>
      <c r="UJH31" s="3" t="s">
        <v>383</v>
      </c>
      <c r="UJI31" s="3" t="s">
        <v>382</v>
      </c>
      <c r="UJJ31" s="3" t="s">
        <v>383</v>
      </c>
      <c r="UJK31" s="3" t="s">
        <v>382</v>
      </c>
      <c r="UJL31" s="3" t="s">
        <v>383</v>
      </c>
      <c r="UJM31" s="3" t="s">
        <v>382</v>
      </c>
      <c r="UJN31" s="3" t="s">
        <v>383</v>
      </c>
      <c r="UJO31" s="3" t="s">
        <v>382</v>
      </c>
      <c r="UJP31" s="3" t="s">
        <v>383</v>
      </c>
      <c r="UJQ31" s="3" t="s">
        <v>382</v>
      </c>
      <c r="UJR31" s="3" t="s">
        <v>383</v>
      </c>
      <c r="UJS31" s="3" t="s">
        <v>382</v>
      </c>
      <c r="UJT31" s="3" t="s">
        <v>383</v>
      </c>
      <c r="UJU31" s="3" t="s">
        <v>382</v>
      </c>
      <c r="UJV31" s="3" t="s">
        <v>383</v>
      </c>
      <c r="UJW31" s="3" t="s">
        <v>382</v>
      </c>
      <c r="UJX31" s="3" t="s">
        <v>383</v>
      </c>
      <c r="UJY31" s="3" t="s">
        <v>382</v>
      </c>
      <c r="UJZ31" s="3" t="s">
        <v>383</v>
      </c>
      <c r="UKA31" s="3" t="s">
        <v>382</v>
      </c>
      <c r="UKB31" s="3" t="s">
        <v>383</v>
      </c>
      <c r="UKC31" s="3" t="s">
        <v>382</v>
      </c>
      <c r="UKD31" s="3" t="s">
        <v>383</v>
      </c>
      <c r="UKE31" s="3" t="s">
        <v>382</v>
      </c>
      <c r="UKF31" s="3" t="s">
        <v>383</v>
      </c>
      <c r="UKG31" s="3" t="s">
        <v>382</v>
      </c>
      <c r="UKH31" s="3" t="s">
        <v>383</v>
      </c>
      <c r="UKI31" s="3" t="s">
        <v>382</v>
      </c>
      <c r="UKJ31" s="3" t="s">
        <v>383</v>
      </c>
      <c r="UKK31" s="3" t="s">
        <v>382</v>
      </c>
      <c r="UKL31" s="3" t="s">
        <v>383</v>
      </c>
      <c r="UKM31" s="3" t="s">
        <v>382</v>
      </c>
      <c r="UKN31" s="3" t="s">
        <v>383</v>
      </c>
      <c r="UKO31" s="3" t="s">
        <v>382</v>
      </c>
      <c r="UKP31" s="3" t="s">
        <v>383</v>
      </c>
      <c r="UKQ31" s="3" t="s">
        <v>382</v>
      </c>
      <c r="UKR31" s="3" t="s">
        <v>383</v>
      </c>
      <c r="UKS31" s="3" t="s">
        <v>382</v>
      </c>
      <c r="UKT31" s="3" t="s">
        <v>383</v>
      </c>
      <c r="UKU31" s="3" t="s">
        <v>382</v>
      </c>
      <c r="UKV31" s="3" t="s">
        <v>383</v>
      </c>
      <c r="UKW31" s="3" t="s">
        <v>382</v>
      </c>
      <c r="UKX31" s="3" t="s">
        <v>383</v>
      </c>
      <c r="UKY31" s="3" t="s">
        <v>382</v>
      </c>
      <c r="UKZ31" s="3" t="s">
        <v>383</v>
      </c>
      <c r="ULA31" s="3" t="s">
        <v>382</v>
      </c>
      <c r="ULB31" s="3" t="s">
        <v>383</v>
      </c>
      <c r="ULC31" s="3" t="s">
        <v>382</v>
      </c>
      <c r="ULD31" s="3" t="s">
        <v>383</v>
      </c>
      <c r="ULE31" s="3" t="s">
        <v>382</v>
      </c>
      <c r="ULF31" s="3" t="s">
        <v>383</v>
      </c>
      <c r="ULG31" s="3" t="s">
        <v>382</v>
      </c>
      <c r="ULH31" s="3" t="s">
        <v>383</v>
      </c>
      <c r="ULI31" s="3" t="s">
        <v>382</v>
      </c>
      <c r="ULJ31" s="3" t="s">
        <v>383</v>
      </c>
      <c r="ULK31" s="3" t="s">
        <v>382</v>
      </c>
      <c r="ULL31" s="3" t="s">
        <v>383</v>
      </c>
      <c r="ULM31" s="3" t="s">
        <v>382</v>
      </c>
      <c r="ULN31" s="3" t="s">
        <v>383</v>
      </c>
      <c r="ULO31" s="3" t="s">
        <v>382</v>
      </c>
      <c r="ULP31" s="3" t="s">
        <v>383</v>
      </c>
      <c r="ULQ31" s="3" t="s">
        <v>382</v>
      </c>
      <c r="ULR31" s="3" t="s">
        <v>383</v>
      </c>
      <c r="ULS31" s="3" t="s">
        <v>382</v>
      </c>
      <c r="ULT31" s="3" t="s">
        <v>383</v>
      </c>
      <c r="ULU31" s="3" t="s">
        <v>382</v>
      </c>
      <c r="ULV31" s="3" t="s">
        <v>383</v>
      </c>
      <c r="ULW31" s="3" t="s">
        <v>382</v>
      </c>
      <c r="ULX31" s="3" t="s">
        <v>383</v>
      </c>
      <c r="ULY31" s="3" t="s">
        <v>382</v>
      </c>
      <c r="ULZ31" s="3" t="s">
        <v>383</v>
      </c>
      <c r="UMA31" s="3" t="s">
        <v>382</v>
      </c>
      <c r="UMB31" s="3" t="s">
        <v>383</v>
      </c>
      <c r="UMC31" s="3" t="s">
        <v>382</v>
      </c>
      <c r="UMD31" s="3" t="s">
        <v>383</v>
      </c>
      <c r="UME31" s="3" t="s">
        <v>382</v>
      </c>
      <c r="UMF31" s="3" t="s">
        <v>383</v>
      </c>
      <c r="UMG31" s="3" t="s">
        <v>382</v>
      </c>
      <c r="UMH31" s="3" t="s">
        <v>383</v>
      </c>
      <c r="UMI31" s="3" t="s">
        <v>382</v>
      </c>
      <c r="UMJ31" s="3" t="s">
        <v>383</v>
      </c>
      <c r="UMK31" s="3" t="s">
        <v>382</v>
      </c>
      <c r="UML31" s="3" t="s">
        <v>383</v>
      </c>
      <c r="UMM31" s="3" t="s">
        <v>382</v>
      </c>
      <c r="UMN31" s="3" t="s">
        <v>383</v>
      </c>
      <c r="UMO31" s="3" t="s">
        <v>382</v>
      </c>
      <c r="UMP31" s="3" t="s">
        <v>383</v>
      </c>
      <c r="UMQ31" s="3" t="s">
        <v>382</v>
      </c>
      <c r="UMR31" s="3" t="s">
        <v>383</v>
      </c>
      <c r="UMS31" s="3" t="s">
        <v>382</v>
      </c>
      <c r="UMT31" s="3" t="s">
        <v>383</v>
      </c>
      <c r="UMU31" s="3" t="s">
        <v>382</v>
      </c>
      <c r="UMV31" s="3" t="s">
        <v>383</v>
      </c>
      <c r="UMW31" s="3" t="s">
        <v>382</v>
      </c>
      <c r="UMX31" s="3" t="s">
        <v>383</v>
      </c>
      <c r="UMY31" s="3" t="s">
        <v>382</v>
      </c>
      <c r="UMZ31" s="3" t="s">
        <v>383</v>
      </c>
      <c r="UNA31" s="3" t="s">
        <v>382</v>
      </c>
      <c r="UNB31" s="3" t="s">
        <v>383</v>
      </c>
      <c r="UNC31" s="3" t="s">
        <v>382</v>
      </c>
      <c r="UND31" s="3" t="s">
        <v>383</v>
      </c>
      <c r="UNE31" s="3" t="s">
        <v>382</v>
      </c>
      <c r="UNF31" s="3" t="s">
        <v>383</v>
      </c>
      <c r="UNG31" s="3" t="s">
        <v>382</v>
      </c>
      <c r="UNH31" s="3" t="s">
        <v>383</v>
      </c>
      <c r="UNI31" s="3" t="s">
        <v>382</v>
      </c>
      <c r="UNJ31" s="3" t="s">
        <v>383</v>
      </c>
      <c r="UNK31" s="3" t="s">
        <v>382</v>
      </c>
      <c r="UNL31" s="3" t="s">
        <v>383</v>
      </c>
      <c r="UNM31" s="3" t="s">
        <v>382</v>
      </c>
      <c r="UNN31" s="3" t="s">
        <v>383</v>
      </c>
      <c r="UNO31" s="3" t="s">
        <v>382</v>
      </c>
      <c r="UNP31" s="3" t="s">
        <v>383</v>
      </c>
      <c r="UNQ31" s="3" t="s">
        <v>382</v>
      </c>
      <c r="UNR31" s="3" t="s">
        <v>383</v>
      </c>
      <c r="UNS31" s="3" t="s">
        <v>382</v>
      </c>
      <c r="UNT31" s="3" t="s">
        <v>383</v>
      </c>
      <c r="UNU31" s="3" t="s">
        <v>382</v>
      </c>
      <c r="UNV31" s="3" t="s">
        <v>383</v>
      </c>
      <c r="UNW31" s="3" t="s">
        <v>382</v>
      </c>
      <c r="UNX31" s="3" t="s">
        <v>383</v>
      </c>
      <c r="UNY31" s="3" t="s">
        <v>382</v>
      </c>
      <c r="UNZ31" s="3" t="s">
        <v>383</v>
      </c>
      <c r="UOA31" s="3" t="s">
        <v>382</v>
      </c>
      <c r="UOB31" s="3" t="s">
        <v>383</v>
      </c>
      <c r="UOC31" s="3" t="s">
        <v>382</v>
      </c>
      <c r="UOD31" s="3" t="s">
        <v>383</v>
      </c>
      <c r="UOE31" s="3" t="s">
        <v>382</v>
      </c>
      <c r="UOF31" s="3" t="s">
        <v>383</v>
      </c>
      <c r="UOG31" s="3" t="s">
        <v>382</v>
      </c>
      <c r="UOH31" s="3" t="s">
        <v>383</v>
      </c>
      <c r="UOI31" s="3" t="s">
        <v>382</v>
      </c>
      <c r="UOJ31" s="3" t="s">
        <v>383</v>
      </c>
      <c r="UOK31" s="3" t="s">
        <v>382</v>
      </c>
      <c r="UOL31" s="3" t="s">
        <v>383</v>
      </c>
      <c r="UOM31" s="3" t="s">
        <v>382</v>
      </c>
      <c r="UON31" s="3" t="s">
        <v>383</v>
      </c>
      <c r="UOO31" s="3" t="s">
        <v>382</v>
      </c>
      <c r="UOP31" s="3" t="s">
        <v>383</v>
      </c>
      <c r="UOQ31" s="3" t="s">
        <v>382</v>
      </c>
      <c r="UOR31" s="3" t="s">
        <v>383</v>
      </c>
      <c r="UOS31" s="3" t="s">
        <v>382</v>
      </c>
      <c r="UOT31" s="3" t="s">
        <v>383</v>
      </c>
      <c r="UOU31" s="3" t="s">
        <v>382</v>
      </c>
      <c r="UOV31" s="3" t="s">
        <v>383</v>
      </c>
      <c r="UOW31" s="3" t="s">
        <v>382</v>
      </c>
      <c r="UOX31" s="3" t="s">
        <v>383</v>
      </c>
      <c r="UOY31" s="3" t="s">
        <v>382</v>
      </c>
      <c r="UOZ31" s="3" t="s">
        <v>383</v>
      </c>
      <c r="UPA31" s="3" t="s">
        <v>382</v>
      </c>
      <c r="UPB31" s="3" t="s">
        <v>383</v>
      </c>
      <c r="UPC31" s="3" t="s">
        <v>382</v>
      </c>
      <c r="UPD31" s="3" t="s">
        <v>383</v>
      </c>
      <c r="UPE31" s="3" t="s">
        <v>382</v>
      </c>
      <c r="UPF31" s="3" t="s">
        <v>383</v>
      </c>
      <c r="UPG31" s="3" t="s">
        <v>382</v>
      </c>
      <c r="UPH31" s="3" t="s">
        <v>383</v>
      </c>
      <c r="UPI31" s="3" t="s">
        <v>382</v>
      </c>
      <c r="UPJ31" s="3" t="s">
        <v>383</v>
      </c>
      <c r="UPK31" s="3" t="s">
        <v>382</v>
      </c>
      <c r="UPL31" s="3" t="s">
        <v>383</v>
      </c>
      <c r="UPM31" s="3" t="s">
        <v>382</v>
      </c>
      <c r="UPN31" s="3" t="s">
        <v>383</v>
      </c>
      <c r="UPO31" s="3" t="s">
        <v>382</v>
      </c>
      <c r="UPP31" s="3" t="s">
        <v>383</v>
      </c>
      <c r="UPQ31" s="3" t="s">
        <v>382</v>
      </c>
      <c r="UPR31" s="3" t="s">
        <v>383</v>
      </c>
      <c r="UPS31" s="3" t="s">
        <v>382</v>
      </c>
      <c r="UPT31" s="3" t="s">
        <v>383</v>
      </c>
      <c r="UPU31" s="3" t="s">
        <v>382</v>
      </c>
      <c r="UPV31" s="3" t="s">
        <v>383</v>
      </c>
      <c r="UPW31" s="3" t="s">
        <v>382</v>
      </c>
      <c r="UPX31" s="3" t="s">
        <v>383</v>
      </c>
      <c r="UPY31" s="3" t="s">
        <v>382</v>
      </c>
      <c r="UPZ31" s="3" t="s">
        <v>383</v>
      </c>
      <c r="UQA31" s="3" t="s">
        <v>382</v>
      </c>
      <c r="UQB31" s="3" t="s">
        <v>383</v>
      </c>
      <c r="UQC31" s="3" t="s">
        <v>382</v>
      </c>
      <c r="UQD31" s="3" t="s">
        <v>383</v>
      </c>
      <c r="UQE31" s="3" t="s">
        <v>382</v>
      </c>
      <c r="UQF31" s="3" t="s">
        <v>383</v>
      </c>
      <c r="UQG31" s="3" t="s">
        <v>382</v>
      </c>
      <c r="UQH31" s="3" t="s">
        <v>383</v>
      </c>
      <c r="UQI31" s="3" t="s">
        <v>382</v>
      </c>
      <c r="UQJ31" s="3" t="s">
        <v>383</v>
      </c>
      <c r="UQK31" s="3" t="s">
        <v>382</v>
      </c>
      <c r="UQL31" s="3" t="s">
        <v>383</v>
      </c>
      <c r="UQM31" s="3" t="s">
        <v>382</v>
      </c>
      <c r="UQN31" s="3" t="s">
        <v>383</v>
      </c>
      <c r="UQO31" s="3" t="s">
        <v>382</v>
      </c>
      <c r="UQP31" s="3" t="s">
        <v>383</v>
      </c>
      <c r="UQQ31" s="3" t="s">
        <v>382</v>
      </c>
      <c r="UQR31" s="3" t="s">
        <v>383</v>
      </c>
      <c r="UQS31" s="3" t="s">
        <v>382</v>
      </c>
      <c r="UQT31" s="3" t="s">
        <v>383</v>
      </c>
      <c r="UQU31" s="3" t="s">
        <v>382</v>
      </c>
      <c r="UQV31" s="3" t="s">
        <v>383</v>
      </c>
      <c r="UQW31" s="3" t="s">
        <v>382</v>
      </c>
      <c r="UQX31" s="3" t="s">
        <v>383</v>
      </c>
      <c r="UQY31" s="3" t="s">
        <v>382</v>
      </c>
      <c r="UQZ31" s="3" t="s">
        <v>383</v>
      </c>
      <c r="URA31" s="3" t="s">
        <v>382</v>
      </c>
      <c r="URB31" s="3" t="s">
        <v>383</v>
      </c>
      <c r="URC31" s="3" t="s">
        <v>382</v>
      </c>
      <c r="URD31" s="3" t="s">
        <v>383</v>
      </c>
      <c r="URE31" s="3" t="s">
        <v>382</v>
      </c>
      <c r="URF31" s="3" t="s">
        <v>383</v>
      </c>
      <c r="URG31" s="3" t="s">
        <v>382</v>
      </c>
      <c r="URH31" s="3" t="s">
        <v>383</v>
      </c>
      <c r="URI31" s="3" t="s">
        <v>382</v>
      </c>
      <c r="URJ31" s="3" t="s">
        <v>383</v>
      </c>
      <c r="URK31" s="3" t="s">
        <v>382</v>
      </c>
      <c r="URL31" s="3" t="s">
        <v>383</v>
      </c>
      <c r="URM31" s="3" t="s">
        <v>382</v>
      </c>
      <c r="URN31" s="3" t="s">
        <v>383</v>
      </c>
      <c r="URO31" s="3" t="s">
        <v>382</v>
      </c>
      <c r="URP31" s="3" t="s">
        <v>383</v>
      </c>
      <c r="URQ31" s="3" t="s">
        <v>382</v>
      </c>
      <c r="URR31" s="3" t="s">
        <v>383</v>
      </c>
      <c r="URS31" s="3" t="s">
        <v>382</v>
      </c>
      <c r="URT31" s="3" t="s">
        <v>383</v>
      </c>
      <c r="URU31" s="3" t="s">
        <v>382</v>
      </c>
      <c r="URV31" s="3" t="s">
        <v>383</v>
      </c>
      <c r="URW31" s="3" t="s">
        <v>382</v>
      </c>
      <c r="URX31" s="3" t="s">
        <v>383</v>
      </c>
      <c r="URY31" s="3" t="s">
        <v>382</v>
      </c>
      <c r="URZ31" s="3" t="s">
        <v>383</v>
      </c>
      <c r="USA31" s="3" t="s">
        <v>382</v>
      </c>
      <c r="USB31" s="3" t="s">
        <v>383</v>
      </c>
      <c r="USC31" s="3" t="s">
        <v>382</v>
      </c>
      <c r="USD31" s="3" t="s">
        <v>383</v>
      </c>
      <c r="USE31" s="3" t="s">
        <v>382</v>
      </c>
      <c r="USF31" s="3" t="s">
        <v>383</v>
      </c>
      <c r="USG31" s="3" t="s">
        <v>382</v>
      </c>
      <c r="USH31" s="3" t="s">
        <v>383</v>
      </c>
      <c r="USI31" s="3" t="s">
        <v>382</v>
      </c>
      <c r="USJ31" s="3" t="s">
        <v>383</v>
      </c>
      <c r="USK31" s="3" t="s">
        <v>382</v>
      </c>
      <c r="USL31" s="3" t="s">
        <v>383</v>
      </c>
      <c r="USM31" s="3" t="s">
        <v>382</v>
      </c>
      <c r="USN31" s="3" t="s">
        <v>383</v>
      </c>
      <c r="USO31" s="3" t="s">
        <v>382</v>
      </c>
      <c r="USP31" s="3" t="s">
        <v>383</v>
      </c>
      <c r="USQ31" s="3" t="s">
        <v>382</v>
      </c>
      <c r="USR31" s="3" t="s">
        <v>383</v>
      </c>
      <c r="USS31" s="3" t="s">
        <v>382</v>
      </c>
      <c r="UST31" s="3" t="s">
        <v>383</v>
      </c>
      <c r="USU31" s="3" t="s">
        <v>382</v>
      </c>
      <c r="USV31" s="3" t="s">
        <v>383</v>
      </c>
      <c r="USW31" s="3" t="s">
        <v>382</v>
      </c>
      <c r="USX31" s="3" t="s">
        <v>383</v>
      </c>
      <c r="USY31" s="3" t="s">
        <v>382</v>
      </c>
      <c r="USZ31" s="3" t="s">
        <v>383</v>
      </c>
      <c r="UTA31" s="3" t="s">
        <v>382</v>
      </c>
      <c r="UTB31" s="3" t="s">
        <v>383</v>
      </c>
      <c r="UTC31" s="3" t="s">
        <v>382</v>
      </c>
      <c r="UTD31" s="3" t="s">
        <v>383</v>
      </c>
      <c r="UTE31" s="3" t="s">
        <v>382</v>
      </c>
      <c r="UTF31" s="3" t="s">
        <v>383</v>
      </c>
      <c r="UTG31" s="3" t="s">
        <v>382</v>
      </c>
      <c r="UTH31" s="3" t="s">
        <v>383</v>
      </c>
      <c r="UTI31" s="3" t="s">
        <v>382</v>
      </c>
      <c r="UTJ31" s="3" t="s">
        <v>383</v>
      </c>
      <c r="UTK31" s="3" t="s">
        <v>382</v>
      </c>
      <c r="UTL31" s="3" t="s">
        <v>383</v>
      </c>
      <c r="UTM31" s="3" t="s">
        <v>382</v>
      </c>
      <c r="UTN31" s="3" t="s">
        <v>383</v>
      </c>
      <c r="UTO31" s="3" t="s">
        <v>382</v>
      </c>
      <c r="UTP31" s="3" t="s">
        <v>383</v>
      </c>
      <c r="UTQ31" s="3" t="s">
        <v>382</v>
      </c>
      <c r="UTR31" s="3" t="s">
        <v>383</v>
      </c>
      <c r="UTS31" s="3" t="s">
        <v>382</v>
      </c>
      <c r="UTT31" s="3" t="s">
        <v>383</v>
      </c>
      <c r="UTU31" s="3" t="s">
        <v>382</v>
      </c>
      <c r="UTV31" s="3" t="s">
        <v>383</v>
      </c>
      <c r="UTW31" s="3" t="s">
        <v>382</v>
      </c>
      <c r="UTX31" s="3" t="s">
        <v>383</v>
      </c>
      <c r="UTY31" s="3" t="s">
        <v>382</v>
      </c>
      <c r="UTZ31" s="3" t="s">
        <v>383</v>
      </c>
      <c r="UUA31" s="3" t="s">
        <v>382</v>
      </c>
      <c r="UUB31" s="3" t="s">
        <v>383</v>
      </c>
      <c r="UUC31" s="3" t="s">
        <v>382</v>
      </c>
      <c r="UUD31" s="3" t="s">
        <v>383</v>
      </c>
      <c r="UUE31" s="3" t="s">
        <v>382</v>
      </c>
      <c r="UUF31" s="3" t="s">
        <v>383</v>
      </c>
      <c r="UUG31" s="3" t="s">
        <v>382</v>
      </c>
      <c r="UUH31" s="3" t="s">
        <v>383</v>
      </c>
      <c r="UUI31" s="3" t="s">
        <v>382</v>
      </c>
      <c r="UUJ31" s="3" t="s">
        <v>383</v>
      </c>
      <c r="UUK31" s="3" t="s">
        <v>382</v>
      </c>
      <c r="UUL31" s="3" t="s">
        <v>383</v>
      </c>
      <c r="UUM31" s="3" t="s">
        <v>382</v>
      </c>
      <c r="UUN31" s="3" t="s">
        <v>383</v>
      </c>
      <c r="UUO31" s="3" t="s">
        <v>382</v>
      </c>
      <c r="UUP31" s="3" t="s">
        <v>383</v>
      </c>
      <c r="UUQ31" s="3" t="s">
        <v>382</v>
      </c>
      <c r="UUR31" s="3" t="s">
        <v>383</v>
      </c>
      <c r="UUS31" s="3" t="s">
        <v>382</v>
      </c>
      <c r="UUT31" s="3" t="s">
        <v>383</v>
      </c>
      <c r="UUU31" s="3" t="s">
        <v>382</v>
      </c>
      <c r="UUV31" s="3" t="s">
        <v>383</v>
      </c>
      <c r="UUW31" s="3" t="s">
        <v>382</v>
      </c>
      <c r="UUX31" s="3" t="s">
        <v>383</v>
      </c>
      <c r="UUY31" s="3" t="s">
        <v>382</v>
      </c>
      <c r="UUZ31" s="3" t="s">
        <v>383</v>
      </c>
      <c r="UVA31" s="3" t="s">
        <v>382</v>
      </c>
      <c r="UVB31" s="3" t="s">
        <v>383</v>
      </c>
      <c r="UVC31" s="3" t="s">
        <v>382</v>
      </c>
      <c r="UVD31" s="3" t="s">
        <v>383</v>
      </c>
      <c r="UVE31" s="3" t="s">
        <v>382</v>
      </c>
      <c r="UVF31" s="3" t="s">
        <v>383</v>
      </c>
      <c r="UVG31" s="3" t="s">
        <v>382</v>
      </c>
      <c r="UVH31" s="3" t="s">
        <v>383</v>
      </c>
      <c r="UVI31" s="3" t="s">
        <v>382</v>
      </c>
      <c r="UVJ31" s="3" t="s">
        <v>383</v>
      </c>
      <c r="UVK31" s="3" t="s">
        <v>382</v>
      </c>
      <c r="UVL31" s="3" t="s">
        <v>383</v>
      </c>
      <c r="UVM31" s="3" t="s">
        <v>382</v>
      </c>
      <c r="UVN31" s="3" t="s">
        <v>383</v>
      </c>
      <c r="UVO31" s="3" t="s">
        <v>382</v>
      </c>
      <c r="UVP31" s="3" t="s">
        <v>383</v>
      </c>
      <c r="UVQ31" s="3" t="s">
        <v>382</v>
      </c>
      <c r="UVR31" s="3" t="s">
        <v>383</v>
      </c>
      <c r="UVS31" s="3" t="s">
        <v>382</v>
      </c>
      <c r="UVT31" s="3" t="s">
        <v>383</v>
      </c>
      <c r="UVU31" s="3" t="s">
        <v>382</v>
      </c>
      <c r="UVV31" s="3" t="s">
        <v>383</v>
      </c>
      <c r="UVW31" s="3" t="s">
        <v>382</v>
      </c>
      <c r="UVX31" s="3" t="s">
        <v>383</v>
      </c>
      <c r="UVY31" s="3" t="s">
        <v>382</v>
      </c>
      <c r="UVZ31" s="3" t="s">
        <v>383</v>
      </c>
      <c r="UWA31" s="3" t="s">
        <v>382</v>
      </c>
      <c r="UWB31" s="3" t="s">
        <v>383</v>
      </c>
      <c r="UWC31" s="3" t="s">
        <v>382</v>
      </c>
      <c r="UWD31" s="3" t="s">
        <v>383</v>
      </c>
      <c r="UWE31" s="3" t="s">
        <v>382</v>
      </c>
      <c r="UWF31" s="3" t="s">
        <v>383</v>
      </c>
      <c r="UWG31" s="3" t="s">
        <v>382</v>
      </c>
      <c r="UWH31" s="3" t="s">
        <v>383</v>
      </c>
      <c r="UWI31" s="3" t="s">
        <v>382</v>
      </c>
      <c r="UWJ31" s="3" t="s">
        <v>383</v>
      </c>
      <c r="UWK31" s="3" t="s">
        <v>382</v>
      </c>
      <c r="UWL31" s="3" t="s">
        <v>383</v>
      </c>
      <c r="UWM31" s="3" t="s">
        <v>382</v>
      </c>
      <c r="UWN31" s="3" t="s">
        <v>383</v>
      </c>
      <c r="UWO31" s="3" t="s">
        <v>382</v>
      </c>
      <c r="UWP31" s="3" t="s">
        <v>383</v>
      </c>
      <c r="UWQ31" s="3" t="s">
        <v>382</v>
      </c>
      <c r="UWR31" s="3" t="s">
        <v>383</v>
      </c>
      <c r="UWS31" s="3" t="s">
        <v>382</v>
      </c>
      <c r="UWT31" s="3" t="s">
        <v>383</v>
      </c>
      <c r="UWU31" s="3" t="s">
        <v>382</v>
      </c>
      <c r="UWV31" s="3" t="s">
        <v>383</v>
      </c>
      <c r="UWW31" s="3" t="s">
        <v>382</v>
      </c>
      <c r="UWX31" s="3" t="s">
        <v>383</v>
      </c>
      <c r="UWY31" s="3" t="s">
        <v>382</v>
      </c>
      <c r="UWZ31" s="3" t="s">
        <v>383</v>
      </c>
      <c r="UXA31" s="3" t="s">
        <v>382</v>
      </c>
      <c r="UXB31" s="3" t="s">
        <v>383</v>
      </c>
      <c r="UXC31" s="3" t="s">
        <v>382</v>
      </c>
      <c r="UXD31" s="3" t="s">
        <v>383</v>
      </c>
      <c r="UXE31" s="3" t="s">
        <v>382</v>
      </c>
      <c r="UXF31" s="3" t="s">
        <v>383</v>
      </c>
      <c r="UXG31" s="3" t="s">
        <v>382</v>
      </c>
      <c r="UXH31" s="3" t="s">
        <v>383</v>
      </c>
      <c r="UXI31" s="3" t="s">
        <v>382</v>
      </c>
      <c r="UXJ31" s="3" t="s">
        <v>383</v>
      </c>
      <c r="UXK31" s="3" t="s">
        <v>382</v>
      </c>
      <c r="UXL31" s="3" t="s">
        <v>383</v>
      </c>
      <c r="UXM31" s="3" t="s">
        <v>382</v>
      </c>
      <c r="UXN31" s="3" t="s">
        <v>383</v>
      </c>
      <c r="UXO31" s="3" t="s">
        <v>382</v>
      </c>
      <c r="UXP31" s="3" t="s">
        <v>383</v>
      </c>
      <c r="UXQ31" s="3" t="s">
        <v>382</v>
      </c>
      <c r="UXR31" s="3" t="s">
        <v>383</v>
      </c>
      <c r="UXS31" s="3" t="s">
        <v>382</v>
      </c>
      <c r="UXT31" s="3" t="s">
        <v>383</v>
      </c>
      <c r="UXU31" s="3" t="s">
        <v>382</v>
      </c>
      <c r="UXV31" s="3" t="s">
        <v>383</v>
      </c>
      <c r="UXW31" s="3" t="s">
        <v>382</v>
      </c>
      <c r="UXX31" s="3" t="s">
        <v>383</v>
      </c>
      <c r="UXY31" s="3" t="s">
        <v>382</v>
      </c>
      <c r="UXZ31" s="3" t="s">
        <v>383</v>
      </c>
      <c r="UYA31" s="3" t="s">
        <v>382</v>
      </c>
      <c r="UYB31" s="3" t="s">
        <v>383</v>
      </c>
      <c r="UYC31" s="3" t="s">
        <v>382</v>
      </c>
      <c r="UYD31" s="3" t="s">
        <v>383</v>
      </c>
      <c r="UYE31" s="3" t="s">
        <v>382</v>
      </c>
      <c r="UYF31" s="3" t="s">
        <v>383</v>
      </c>
      <c r="UYG31" s="3" t="s">
        <v>382</v>
      </c>
      <c r="UYH31" s="3" t="s">
        <v>383</v>
      </c>
      <c r="UYI31" s="3" t="s">
        <v>382</v>
      </c>
      <c r="UYJ31" s="3" t="s">
        <v>383</v>
      </c>
      <c r="UYK31" s="3" t="s">
        <v>382</v>
      </c>
      <c r="UYL31" s="3" t="s">
        <v>383</v>
      </c>
      <c r="UYM31" s="3" t="s">
        <v>382</v>
      </c>
      <c r="UYN31" s="3" t="s">
        <v>383</v>
      </c>
      <c r="UYO31" s="3" t="s">
        <v>382</v>
      </c>
      <c r="UYP31" s="3" t="s">
        <v>383</v>
      </c>
      <c r="UYQ31" s="3" t="s">
        <v>382</v>
      </c>
      <c r="UYR31" s="3" t="s">
        <v>383</v>
      </c>
      <c r="UYS31" s="3" t="s">
        <v>382</v>
      </c>
      <c r="UYT31" s="3" t="s">
        <v>383</v>
      </c>
      <c r="UYU31" s="3" t="s">
        <v>382</v>
      </c>
      <c r="UYV31" s="3" t="s">
        <v>383</v>
      </c>
      <c r="UYW31" s="3" t="s">
        <v>382</v>
      </c>
      <c r="UYX31" s="3" t="s">
        <v>383</v>
      </c>
      <c r="UYY31" s="3" t="s">
        <v>382</v>
      </c>
      <c r="UYZ31" s="3" t="s">
        <v>383</v>
      </c>
      <c r="UZA31" s="3" t="s">
        <v>382</v>
      </c>
      <c r="UZB31" s="3" t="s">
        <v>383</v>
      </c>
      <c r="UZC31" s="3" t="s">
        <v>382</v>
      </c>
      <c r="UZD31" s="3" t="s">
        <v>383</v>
      </c>
      <c r="UZE31" s="3" t="s">
        <v>382</v>
      </c>
      <c r="UZF31" s="3" t="s">
        <v>383</v>
      </c>
      <c r="UZG31" s="3" t="s">
        <v>382</v>
      </c>
      <c r="UZH31" s="3" t="s">
        <v>383</v>
      </c>
      <c r="UZI31" s="3" t="s">
        <v>382</v>
      </c>
      <c r="UZJ31" s="3" t="s">
        <v>383</v>
      </c>
      <c r="UZK31" s="3" t="s">
        <v>382</v>
      </c>
      <c r="UZL31" s="3" t="s">
        <v>383</v>
      </c>
      <c r="UZM31" s="3" t="s">
        <v>382</v>
      </c>
      <c r="UZN31" s="3" t="s">
        <v>383</v>
      </c>
      <c r="UZO31" s="3" t="s">
        <v>382</v>
      </c>
      <c r="UZP31" s="3" t="s">
        <v>383</v>
      </c>
      <c r="UZQ31" s="3" t="s">
        <v>382</v>
      </c>
      <c r="UZR31" s="3" t="s">
        <v>383</v>
      </c>
      <c r="UZS31" s="3" t="s">
        <v>382</v>
      </c>
      <c r="UZT31" s="3" t="s">
        <v>383</v>
      </c>
      <c r="UZU31" s="3" t="s">
        <v>382</v>
      </c>
      <c r="UZV31" s="3" t="s">
        <v>383</v>
      </c>
      <c r="UZW31" s="3" t="s">
        <v>382</v>
      </c>
      <c r="UZX31" s="3" t="s">
        <v>383</v>
      </c>
      <c r="UZY31" s="3" t="s">
        <v>382</v>
      </c>
      <c r="UZZ31" s="3" t="s">
        <v>383</v>
      </c>
      <c r="VAA31" s="3" t="s">
        <v>382</v>
      </c>
      <c r="VAB31" s="3" t="s">
        <v>383</v>
      </c>
      <c r="VAC31" s="3" t="s">
        <v>382</v>
      </c>
      <c r="VAD31" s="3" t="s">
        <v>383</v>
      </c>
      <c r="VAE31" s="3" t="s">
        <v>382</v>
      </c>
      <c r="VAF31" s="3" t="s">
        <v>383</v>
      </c>
      <c r="VAG31" s="3" t="s">
        <v>382</v>
      </c>
      <c r="VAH31" s="3" t="s">
        <v>383</v>
      </c>
      <c r="VAI31" s="3" t="s">
        <v>382</v>
      </c>
      <c r="VAJ31" s="3" t="s">
        <v>383</v>
      </c>
      <c r="VAK31" s="3" t="s">
        <v>382</v>
      </c>
      <c r="VAL31" s="3" t="s">
        <v>383</v>
      </c>
      <c r="VAM31" s="3" t="s">
        <v>382</v>
      </c>
      <c r="VAN31" s="3" t="s">
        <v>383</v>
      </c>
      <c r="VAO31" s="3" t="s">
        <v>382</v>
      </c>
      <c r="VAP31" s="3" t="s">
        <v>383</v>
      </c>
      <c r="VAQ31" s="3" t="s">
        <v>382</v>
      </c>
      <c r="VAR31" s="3" t="s">
        <v>383</v>
      </c>
      <c r="VAS31" s="3" t="s">
        <v>382</v>
      </c>
      <c r="VAT31" s="3" t="s">
        <v>383</v>
      </c>
      <c r="VAU31" s="3" t="s">
        <v>382</v>
      </c>
      <c r="VAV31" s="3" t="s">
        <v>383</v>
      </c>
      <c r="VAW31" s="3" t="s">
        <v>382</v>
      </c>
      <c r="VAX31" s="3" t="s">
        <v>383</v>
      </c>
      <c r="VAY31" s="3" t="s">
        <v>382</v>
      </c>
      <c r="VAZ31" s="3" t="s">
        <v>383</v>
      </c>
      <c r="VBA31" s="3" t="s">
        <v>382</v>
      </c>
      <c r="VBB31" s="3" t="s">
        <v>383</v>
      </c>
      <c r="VBC31" s="3" t="s">
        <v>382</v>
      </c>
      <c r="VBD31" s="3" t="s">
        <v>383</v>
      </c>
      <c r="VBE31" s="3" t="s">
        <v>382</v>
      </c>
      <c r="VBF31" s="3" t="s">
        <v>383</v>
      </c>
      <c r="VBG31" s="3" t="s">
        <v>382</v>
      </c>
      <c r="VBH31" s="3" t="s">
        <v>383</v>
      </c>
      <c r="VBI31" s="3" t="s">
        <v>382</v>
      </c>
      <c r="VBJ31" s="3" t="s">
        <v>383</v>
      </c>
      <c r="VBK31" s="3" t="s">
        <v>382</v>
      </c>
      <c r="VBL31" s="3" t="s">
        <v>383</v>
      </c>
      <c r="VBM31" s="3" t="s">
        <v>382</v>
      </c>
      <c r="VBN31" s="3" t="s">
        <v>383</v>
      </c>
      <c r="VBO31" s="3" t="s">
        <v>382</v>
      </c>
      <c r="VBP31" s="3" t="s">
        <v>383</v>
      </c>
      <c r="VBQ31" s="3" t="s">
        <v>382</v>
      </c>
      <c r="VBR31" s="3" t="s">
        <v>383</v>
      </c>
      <c r="VBS31" s="3" t="s">
        <v>382</v>
      </c>
      <c r="VBT31" s="3" t="s">
        <v>383</v>
      </c>
      <c r="VBU31" s="3" t="s">
        <v>382</v>
      </c>
      <c r="VBV31" s="3" t="s">
        <v>383</v>
      </c>
      <c r="VBW31" s="3" t="s">
        <v>382</v>
      </c>
      <c r="VBX31" s="3" t="s">
        <v>383</v>
      </c>
      <c r="VBY31" s="3" t="s">
        <v>382</v>
      </c>
      <c r="VBZ31" s="3" t="s">
        <v>383</v>
      </c>
      <c r="VCA31" s="3" t="s">
        <v>382</v>
      </c>
      <c r="VCB31" s="3" t="s">
        <v>383</v>
      </c>
      <c r="VCC31" s="3" t="s">
        <v>382</v>
      </c>
      <c r="VCD31" s="3" t="s">
        <v>383</v>
      </c>
      <c r="VCE31" s="3" t="s">
        <v>382</v>
      </c>
      <c r="VCF31" s="3" t="s">
        <v>383</v>
      </c>
      <c r="VCG31" s="3" t="s">
        <v>382</v>
      </c>
      <c r="VCH31" s="3" t="s">
        <v>383</v>
      </c>
      <c r="VCI31" s="3" t="s">
        <v>382</v>
      </c>
      <c r="VCJ31" s="3" t="s">
        <v>383</v>
      </c>
      <c r="VCK31" s="3" t="s">
        <v>382</v>
      </c>
      <c r="VCL31" s="3" t="s">
        <v>383</v>
      </c>
      <c r="VCM31" s="3" t="s">
        <v>382</v>
      </c>
      <c r="VCN31" s="3" t="s">
        <v>383</v>
      </c>
      <c r="VCO31" s="3" t="s">
        <v>382</v>
      </c>
      <c r="VCP31" s="3" t="s">
        <v>383</v>
      </c>
      <c r="VCQ31" s="3" t="s">
        <v>382</v>
      </c>
      <c r="VCR31" s="3" t="s">
        <v>383</v>
      </c>
      <c r="VCS31" s="3" t="s">
        <v>382</v>
      </c>
      <c r="VCT31" s="3" t="s">
        <v>383</v>
      </c>
      <c r="VCU31" s="3" t="s">
        <v>382</v>
      </c>
      <c r="VCV31" s="3" t="s">
        <v>383</v>
      </c>
      <c r="VCW31" s="3" t="s">
        <v>382</v>
      </c>
      <c r="VCX31" s="3" t="s">
        <v>383</v>
      </c>
      <c r="VCY31" s="3" t="s">
        <v>382</v>
      </c>
      <c r="VCZ31" s="3" t="s">
        <v>383</v>
      </c>
      <c r="VDA31" s="3" t="s">
        <v>382</v>
      </c>
      <c r="VDB31" s="3" t="s">
        <v>383</v>
      </c>
      <c r="VDC31" s="3" t="s">
        <v>382</v>
      </c>
      <c r="VDD31" s="3" t="s">
        <v>383</v>
      </c>
      <c r="VDE31" s="3" t="s">
        <v>382</v>
      </c>
      <c r="VDF31" s="3" t="s">
        <v>383</v>
      </c>
      <c r="VDG31" s="3" t="s">
        <v>382</v>
      </c>
      <c r="VDH31" s="3" t="s">
        <v>383</v>
      </c>
      <c r="VDI31" s="3" t="s">
        <v>382</v>
      </c>
      <c r="VDJ31" s="3" t="s">
        <v>383</v>
      </c>
      <c r="VDK31" s="3" t="s">
        <v>382</v>
      </c>
      <c r="VDL31" s="3" t="s">
        <v>383</v>
      </c>
      <c r="VDM31" s="3" t="s">
        <v>382</v>
      </c>
      <c r="VDN31" s="3" t="s">
        <v>383</v>
      </c>
      <c r="VDO31" s="3" t="s">
        <v>382</v>
      </c>
      <c r="VDP31" s="3" t="s">
        <v>383</v>
      </c>
      <c r="VDQ31" s="3" t="s">
        <v>382</v>
      </c>
      <c r="VDR31" s="3" t="s">
        <v>383</v>
      </c>
      <c r="VDS31" s="3" t="s">
        <v>382</v>
      </c>
      <c r="VDT31" s="3" t="s">
        <v>383</v>
      </c>
      <c r="VDU31" s="3" t="s">
        <v>382</v>
      </c>
      <c r="VDV31" s="3" t="s">
        <v>383</v>
      </c>
      <c r="VDW31" s="3" t="s">
        <v>382</v>
      </c>
      <c r="VDX31" s="3" t="s">
        <v>383</v>
      </c>
      <c r="VDY31" s="3" t="s">
        <v>382</v>
      </c>
      <c r="VDZ31" s="3" t="s">
        <v>383</v>
      </c>
      <c r="VEA31" s="3" t="s">
        <v>382</v>
      </c>
      <c r="VEB31" s="3" t="s">
        <v>383</v>
      </c>
      <c r="VEC31" s="3" t="s">
        <v>382</v>
      </c>
      <c r="VED31" s="3" t="s">
        <v>383</v>
      </c>
      <c r="VEE31" s="3" t="s">
        <v>382</v>
      </c>
      <c r="VEF31" s="3" t="s">
        <v>383</v>
      </c>
      <c r="VEG31" s="3" t="s">
        <v>382</v>
      </c>
      <c r="VEH31" s="3" t="s">
        <v>383</v>
      </c>
      <c r="VEI31" s="3" t="s">
        <v>382</v>
      </c>
      <c r="VEJ31" s="3" t="s">
        <v>383</v>
      </c>
      <c r="VEK31" s="3" t="s">
        <v>382</v>
      </c>
      <c r="VEL31" s="3" t="s">
        <v>383</v>
      </c>
      <c r="VEM31" s="3" t="s">
        <v>382</v>
      </c>
      <c r="VEN31" s="3" t="s">
        <v>383</v>
      </c>
      <c r="VEO31" s="3" t="s">
        <v>382</v>
      </c>
      <c r="VEP31" s="3" t="s">
        <v>383</v>
      </c>
      <c r="VEQ31" s="3" t="s">
        <v>382</v>
      </c>
      <c r="VER31" s="3" t="s">
        <v>383</v>
      </c>
      <c r="VES31" s="3" t="s">
        <v>382</v>
      </c>
      <c r="VET31" s="3" t="s">
        <v>383</v>
      </c>
      <c r="VEU31" s="3" t="s">
        <v>382</v>
      </c>
      <c r="VEV31" s="3" t="s">
        <v>383</v>
      </c>
      <c r="VEW31" s="3" t="s">
        <v>382</v>
      </c>
      <c r="VEX31" s="3" t="s">
        <v>383</v>
      </c>
      <c r="VEY31" s="3" t="s">
        <v>382</v>
      </c>
      <c r="VEZ31" s="3" t="s">
        <v>383</v>
      </c>
      <c r="VFA31" s="3" t="s">
        <v>382</v>
      </c>
      <c r="VFB31" s="3" t="s">
        <v>383</v>
      </c>
      <c r="VFC31" s="3" t="s">
        <v>382</v>
      </c>
      <c r="VFD31" s="3" t="s">
        <v>383</v>
      </c>
      <c r="VFE31" s="3" t="s">
        <v>382</v>
      </c>
      <c r="VFF31" s="3" t="s">
        <v>383</v>
      </c>
      <c r="VFG31" s="3" t="s">
        <v>382</v>
      </c>
      <c r="VFH31" s="3" t="s">
        <v>383</v>
      </c>
      <c r="VFI31" s="3" t="s">
        <v>382</v>
      </c>
      <c r="VFJ31" s="3" t="s">
        <v>383</v>
      </c>
      <c r="VFK31" s="3" t="s">
        <v>382</v>
      </c>
      <c r="VFL31" s="3" t="s">
        <v>383</v>
      </c>
      <c r="VFM31" s="3" t="s">
        <v>382</v>
      </c>
      <c r="VFN31" s="3" t="s">
        <v>383</v>
      </c>
      <c r="VFO31" s="3" t="s">
        <v>382</v>
      </c>
      <c r="VFP31" s="3" t="s">
        <v>383</v>
      </c>
      <c r="VFQ31" s="3" t="s">
        <v>382</v>
      </c>
      <c r="VFR31" s="3" t="s">
        <v>383</v>
      </c>
      <c r="VFS31" s="3" t="s">
        <v>382</v>
      </c>
      <c r="VFT31" s="3" t="s">
        <v>383</v>
      </c>
      <c r="VFU31" s="3" t="s">
        <v>382</v>
      </c>
      <c r="VFV31" s="3" t="s">
        <v>383</v>
      </c>
      <c r="VFW31" s="3" t="s">
        <v>382</v>
      </c>
      <c r="VFX31" s="3" t="s">
        <v>383</v>
      </c>
      <c r="VFY31" s="3" t="s">
        <v>382</v>
      </c>
      <c r="VFZ31" s="3" t="s">
        <v>383</v>
      </c>
      <c r="VGA31" s="3" t="s">
        <v>382</v>
      </c>
      <c r="VGB31" s="3" t="s">
        <v>383</v>
      </c>
      <c r="VGC31" s="3" t="s">
        <v>382</v>
      </c>
      <c r="VGD31" s="3" t="s">
        <v>383</v>
      </c>
      <c r="VGE31" s="3" t="s">
        <v>382</v>
      </c>
      <c r="VGF31" s="3" t="s">
        <v>383</v>
      </c>
      <c r="VGG31" s="3" t="s">
        <v>382</v>
      </c>
      <c r="VGH31" s="3" t="s">
        <v>383</v>
      </c>
      <c r="VGI31" s="3" t="s">
        <v>382</v>
      </c>
      <c r="VGJ31" s="3" t="s">
        <v>383</v>
      </c>
      <c r="VGK31" s="3" t="s">
        <v>382</v>
      </c>
      <c r="VGL31" s="3" t="s">
        <v>383</v>
      </c>
      <c r="VGM31" s="3" t="s">
        <v>382</v>
      </c>
      <c r="VGN31" s="3" t="s">
        <v>383</v>
      </c>
      <c r="VGO31" s="3" t="s">
        <v>382</v>
      </c>
      <c r="VGP31" s="3" t="s">
        <v>383</v>
      </c>
      <c r="VGQ31" s="3" t="s">
        <v>382</v>
      </c>
      <c r="VGR31" s="3" t="s">
        <v>383</v>
      </c>
      <c r="VGS31" s="3" t="s">
        <v>382</v>
      </c>
      <c r="VGT31" s="3" t="s">
        <v>383</v>
      </c>
      <c r="VGU31" s="3" t="s">
        <v>382</v>
      </c>
      <c r="VGV31" s="3" t="s">
        <v>383</v>
      </c>
      <c r="VGW31" s="3" t="s">
        <v>382</v>
      </c>
      <c r="VGX31" s="3" t="s">
        <v>383</v>
      </c>
      <c r="VGY31" s="3" t="s">
        <v>382</v>
      </c>
      <c r="VGZ31" s="3" t="s">
        <v>383</v>
      </c>
      <c r="VHA31" s="3" t="s">
        <v>382</v>
      </c>
      <c r="VHB31" s="3" t="s">
        <v>383</v>
      </c>
      <c r="VHC31" s="3" t="s">
        <v>382</v>
      </c>
      <c r="VHD31" s="3" t="s">
        <v>383</v>
      </c>
      <c r="VHE31" s="3" t="s">
        <v>382</v>
      </c>
      <c r="VHF31" s="3" t="s">
        <v>383</v>
      </c>
      <c r="VHG31" s="3" t="s">
        <v>382</v>
      </c>
      <c r="VHH31" s="3" t="s">
        <v>383</v>
      </c>
      <c r="VHI31" s="3" t="s">
        <v>382</v>
      </c>
      <c r="VHJ31" s="3" t="s">
        <v>383</v>
      </c>
      <c r="VHK31" s="3" t="s">
        <v>382</v>
      </c>
      <c r="VHL31" s="3" t="s">
        <v>383</v>
      </c>
      <c r="VHM31" s="3" t="s">
        <v>382</v>
      </c>
      <c r="VHN31" s="3" t="s">
        <v>383</v>
      </c>
      <c r="VHO31" s="3" t="s">
        <v>382</v>
      </c>
      <c r="VHP31" s="3" t="s">
        <v>383</v>
      </c>
      <c r="VHQ31" s="3" t="s">
        <v>382</v>
      </c>
      <c r="VHR31" s="3" t="s">
        <v>383</v>
      </c>
      <c r="VHS31" s="3" t="s">
        <v>382</v>
      </c>
      <c r="VHT31" s="3" t="s">
        <v>383</v>
      </c>
      <c r="VHU31" s="3" t="s">
        <v>382</v>
      </c>
      <c r="VHV31" s="3" t="s">
        <v>383</v>
      </c>
      <c r="VHW31" s="3" t="s">
        <v>382</v>
      </c>
      <c r="VHX31" s="3" t="s">
        <v>383</v>
      </c>
      <c r="VHY31" s="3" t="s">
        <v>382</v>
      </c>
      <c r="VHZ31" s="3" t="s">
        <v>383</v>
      </c>
      <c r="VIA31" s="3" t="s">
        <v>382</v>
      </c>
      <c r="VIB31" s="3" t="s">
        <v>383</v>
      </c>
      <c r="VIC31" s="3" t="s">
        <v>382</v>
      </c>
      <c r="VID31" s="3" t="s">
        <v>383</v>
      </c>
      <c r="VIE31" s="3" t="s">
        <v>382</v>
      </c>
      <c r="VIF31" s="3" t="s">
        <v>383</v>
      </c>
      <c r="VIG31" s="3" t="s">
        <v>382</v>
      </c>
      <c r="VIH31" s="3" t="s">
        <v>383</v>
      </c>
      <c r="VII31" s="3" t="s">
        <v>382</v>
      </c>
      <c r="VIJ31" s="3" t="s">
        <v>383</v>
      </c>
      <c r="VIK31" s="3" t="s">
        <v>382</v>
      </c>
      <c r="VIL31" s="3" t="s">
        <v>383</v>
      </c>
      <c r="VIM31" s="3" t="s">
        <v>382</v>
      </c>
      <c r="VIN31" s="3" t="s">
        <v>383</v>
      </c>
      <c r="VIO31" s="3" t="s">
        <v>382</v>
      </c>
      <c r="VIP31" s="3" t="s">
        <v>383</v>
      </c>
      <c r="VIQ31" s="3" t="s">
        <v>382</v>
      </c>
      <c r="VIR31" s="3" t="s">
        <v>383</v>
      </c>
      <c r="VIS31" s="3" t="s">
        <v>382</v>
      </c>
      <c r="VIT31" s="3" t="s">
        <v>383</v>
      </c>
      <c r="VIU31" s="3" t="s">
        <v>382</v>
      </c>
      <c r="VIV31" s="3" t="s">
        <v>383</v>
      </c>
      <c r="VIW31" s="3" t="s">
        <v>382</v>
      </c>
      <c r="VIX31" s="3" t="s">
        <v>383</v>
      </c>
      <c r="VIY31" s="3" t="s">
        <v>382</v>
      </c>
      <c r="VIZ31" s="3" t="s">
        <v>383</v>
      </c>
      <c r="VJA31" s="3" t="s">
        <v>382</v>
      </c>
      <c r="VJB31" s="3" t="s">
        <v>383</v>
      </c>
      <c r="VJC31" s="3" t="s">
        <v>382</v>
      </c>
      <c r="VJD31" s="3" t="s">
        <v>383</v>
      </c>
      <c r="VJE31" s="3" t="s">
        <v>382</v>
      </c>
      <c r="VJF31" s="3" t="s">
        <v>383</v>
      </c>
      <c r="VJG31" s="3" t="s">
        <v>382</v>
      </c>
      <c r="VJH31" s="3" t="s">
        <v>383</v>
      </c>
      <c r="VJI31" s="3" t="s">
        <v>382</v>
      </c>
      <c r="VJJ31" s="3" t="s">
        <v>383</v>
      </c>
      <c r="VJK31" s="3" t="s">
        <v>382</v>
      </c>
      <c r="VJL31" s="3" t="s">
        <v>383</v>
      </c>
      <c r="VJM31" s="3" t="s">
        <v>382</v>
      </c>
      <c r="VJN31" s="3" t="s">
        <v>383</v>
      </c>
      <c r="VJO31" s="3" t="s">
        <v>382</v>
      </c>
      <c r="VJP31" s="3" t="s">
        <v>383</v>
      </c>
      <c r="VJQ31" s="3" t="s">
        <v>382</v>
      </c>
      <c r="VJR31" s="3" t="s">
        <v>383</v>
      </c>
      <c r="VJS31" s="3" t="s">
        <v>382</v>
      </c>
      <c r="VJT31" s="3" t="s">
        <v>383</v>
      </c>
      <c r="VJU31" s="3" t="s">
        <v>382</v>
      </c>
      <c r="VJV31" s="3" t="s">
        <v>383</v>
      </c>
      <c r="VJW31" s="3" t="s">
        <v>382</v>
      </c>
      <c r="VJX31" s="3" t="s">
        <v>383</v>
      </c>
      <c r="VJY31" s="3" t="s">
        <v>382</v>
      </c>
      <c r="VJZ31" s="3" t="s">
        <v>383</v>
      </c>
      <c r="VKA31" s="3" t="s">
        <v>382</v>
      </c>
      <c r="VKB31" s="3" t="s">
        <v>383</v>
      </c>
      <c r="VKC31" s="3" t="s">
        <v>382</v>
      </c>
      <c r="VKD31" s="3" t="s">
        <v>383</v>
      </c>
      <c r="VKE31" s="3" t="s">
        <v>382</v>
      </c>
      <c r="VKF31" s="3" t="s">
        <v>383</v>
      </c>
      <c r="VKG31" s="3" t="s">
        <v>382</v>
      </c>
      <c r="VKH31" s="3" t="s">
        <v>383</v>
      </c>
      <c r="VKI31" s="3" t="s">
        <v>382</v>
      </c>
      <c r="VKJ31" s="3" t="s">
        <v>383</v>
      </c>
      <c r="VKK31" s="3" t="s">
        <v>382</v>
      </c>
      <c r="VKL31" s="3" t="s">
        <v>383</v>
      </c>
      <c r="VKM31" s="3" t="s">
        <v>382</v>
      </c>
      <c r="VKN31" s="3" t="s">
        <v>383</v>
      </c>
      <c r="VKO31" s="3" t="s">
        <v>382</v>
      </c>
      <c r="VKP31" s="3" t="s">
        <v>383</v>
      </c>
      <c r="VKQ31" s="3" t="s">
        <v>382</v>
      </c>
      <c r="VKR31" s="3" t="s">
        <v>383</v>
      </c>
      <c r="VKS31" s="3" t="s">
        <v>382</v>
      </c>
      <c r="VKT31" s="3" t="s">
        <v>383</v>
      </c>
      <c r="VKU31" s="3" t="s">
        <v>382</v>
      </c>
      <c r="VKV31" s="3" t="s">
        <v>383</v>
      </c>
      <c r="VKW31" s="3" t="s">
        <v>382</v>
      </c>
      <c r="VKX31" s="3" t="s">
        <v>383</v>
      </c>
      <c r="VKY31" s="3" t="s">
        <v>382</v>
      </c>
      <c r="VKZ31" s="3" t="s">
        <v>383</v>
      </c>
      <c r="VLA31" s="3" t="s">
        <v>382</v>
      </c>
      <c r="VLB31" s="3" t="s">
        <v>383</v>
      </c>
      <c r="VLC31" s="3" t="s">
        <v>382</v>
      </c>
      <c r="VLD31" s="3" t="s">
        <v>383</v>
      </c>
      <c r="VLE31" s="3" t="s">
        <v>382</v>
      </c>
      <c r="VLF31" s="3" t="s">
        <v>383</v>
      </c>
      <c r="VLG31" s="3" t="s">
        <v>382</v>
      </c>
      <c r="VLH31" s="3" t="s">
        <v>383</v>
      </c>
      <c r="VLI31" s="3" t="s">
        <v>382</v>
      </c>
      <c r="VLJ31" s="3" t="s">
        <v>383</v>
      </c>
      <c r="VLK31" s="3" t="s">
        <v>382</v>
      </c>
      <c r="VLL31" s="3" t="s">
        <v>383</v>
      </c>
      <c r="VLM31" s="3" t="s">
        <v>382</v>
      </c>
      <c r="VLN31" s="3" t="s">
        <v>383</v>
      </c>
      <c r="VLO31" s="3" t="s">
        <v>382</v>
      </c>
      <c r="VLP31" s="3" t="s">
        <v>383</v>
      </c>
      <c r="VLQ31" s="3" t="s">
        <v>382</v>
      </c>
      <c r="VLR31" s="3" t="s">
        <v>383</v>
      </c>
      <c r="VLS31" s="3" t="s">
        <v>382</v>
      </c>
      <c r="VLT31" s="3" t="s">
        <v>383</v>
      </c>
      <c r="VLU31" s="3" t="s">
        <v>382</v>
      </c>
      <c r="VLV31" s="3" t="s">
        <v>383</v>
      </c>
      <c r="VLW31" s="3" t="s">
        <v>382</v>
      </c>
      <c r="VLX31" s="3" t="s">
        <v>383</v>
      </c>
      <c r="VLY31" s="3" t="s">
        <v>382</v>
      </c>
      <c r="VLZ31" s="3" t="s">
        <v>383</v>
      </c>
      <c r="VMA31" s="3" t="s">
        <v>382</v>
      </c>
      <c r="VMB31" s="3" t="s">
        <v>383</v>
      </c>
      <c r="VMC31" s="3" t="s">
        <v>382</v>
      </c>
      <c r="VMD31" s="3" t="s">
        <v>383</v>
      </c>
      <c r="VME31" s="3" t="s">
        <v>382</v>
      </c>
      <c r="VMF31" s="3" t="s">
        <v>383</v>
      </c>
      <c r="VMG31" s="3" t="s">
        <v>382</v>
      </c>
      <c r="VMH31" s="3" t="s">
        <v>383</v>
      </c>
      <c r="VMI31" s="3" t="s">
        <v>382</v>
      </c>
      <c r="VMJ31" s="3" t="s">
        <v>383</v>
      </c>
      <c r="VMK31" s="3" t="s">
        <v>382</v>
      </c>
      <c r="VML31" s="3" t="s">
        <v>383</v>
      </c>
      <c r="VMM31" s="3" t="s">
        <v>382</v>
      </c>
      <c r="VMN31" s="3" t="s">
        <v>383</v>
      </c>
      <c r="VMO31" s="3" t="s">
        <v>382</v>
      </c>
      <c r="VMP31" s="3" t="s">
        <v>383</v>
      </c>
      <c r="VMQ31" s="3" t="s">
        <v>382</v>
      </c>
      <c r="VMR31" s="3" t="s">
        <v>383</v>
      </c>
      <c r="VMS31" s="3" t="s">
        <v>382</v>
      </c>
      <c r="VMT31" s="3" t="s">
        <v>383</v>
      </c>
      <c r="VMU31" s="3" t="s">
        <v>382</v>
      </c>
      <c r="VMV31" s="3" t="s">
        <v>383</v>
      </c>
      <c r="VMW31" s="3" t="s">
        <v>382</v>
      </c>
      <c r="VMX31" s="3" t="s">
        <v>383</v>
      </c>
      <c r="VMY31" s="3" t="s">
        <v>382</v>
      </c>
      <c r="VMZ31" s="3" t="s">
        <v>383</v>
      </c>
      <c r="VNA31" s="3" t="s">
        <v>382</v>
      </c>
      <c r="VNB31" s="3" t="s">
        <v>383</v>
      </c>
      <c r="VNC31" s="3" t="s">
        <v>382</v>
      </c>
      <c r="VND31" s="3" t="s">
        <v>383</v>
      </c>
      <c r="VNE31" s="3" t="s">
        <v>382</v>
      </c>
      <c r="VNF31" s="3" t="s">
        <v>383</v>
      </c>
      <c r="VNG31" s="3" t="s">
        <v>382</v>
      </c>
      <c r="VNH31" s="3" t="s">
        <v>383</v>
      </c>
      <c r="VNI31" s="3" t="s">
        <v>382</v>
      </c>
      <c r="VNJ31" s="3" t="s">
        <v>383</v>
      </c>
      <c r="VNK31" s="3" t="s">
        <v>382</v>
      </c>
      <c r="VNL31" s="3" t="s">
        <v>383</v>
      </c>
      <c r="VNM31" s="3" t="s">
        <v>382</v>
      </c>
      <c r="VNN31" s="3" t="s">
        <v>383</v>
      </c>
      <c r="VNO31" s="3" t="s">
        <v>382</v>
      </c>
      <c r="VNP31" s="3" t="s">
        <v>383</v>
      </c>
      <c r="VNQ31" s="3" t="s">
        <v>382</v>
      </c>
      <c r="VNR31" s="3" t="s">
        <v>383</v>
      </c>
      <c r="VNS31" s="3" t="s">
        <v>382</v>
      </c>
      <c r="VNT31" s="3" t="s">
        <v>383</v>
      </c>
      <c r="VNU31" s="3" t="s">
        <v>382</v>
      </c>
      <c r="VNV31" s="3" t="s">
        <v>383</v>
      </c>
      <c r="VNW31" s="3" t="s">
        <v>382</v>
      </c>
      <c r="VNX31" s="3" t="s">
        <v>383</v>
      </c>
      <c r="VNY31" s="3" t="s">
        <v>382</v>
      </c>
      <c r="VNZ31" s="3" t="s">
        <v>383</v>
      </c>
      <c r="VOA31" s="3" t="s">
        <v>382</v>
      </c>
      <c r="VOB31" s="3" t="s">
        <v>383</v>
      </c>
      <c r="VOC31" s="3" t="s">
        <v>382</v>
      </c>
      <c r="VOD31" s="3" t="s">
        <v>383</v>
      </c>
      <c r="VOE31" s="3" t="s">
        <v>382</v>
      </c>
      <c r="VOF31" s="3" t="s">
        <v>383</v>
      </c>
      <c r="VOG31" s="3" t="s">
        <v>382</v>
      </c>
      <c r="VOH31" s="3" t="s">
        <v>383</v>
      </c>
      <c r="VOI31" s="3" t="s">
        <v>382</v>
      </c>
      <c r="VOJ31" s="3" t="s">
        <v>383</v>
      </c>
      <c r="VOK31" s="3" t="s">
        <v>382</v>
      </c>
      <c r="VOL31" s="3" t="s">
        <v>383</v>
      </c>
      <c r="VOM31" s="3" t="s">
        <v>382</v>
      </c>
      <c r="VON31" s="3" t="s">
        <v>383</v>
      </c>
      <c r="VOO31" s="3" t="s">
        <v>382</v>
      </c>
      <c r="VOP31" s="3" t="s">
        <v>383</v>
      </c>
      <c r="VOQ31" s="3" t="s">
        <v>382</v>
      </c>
      <c r="VOR31" s="3" t="s">
        <v>383</v>
      </c>
      <c r="VOS31" s="3" t="s">
        <v>382</v>
      </c>
      <c r="VOT31" s="3" t="s">
        <v>383</v>
      </c>
      <c r="VOU31" s="3" t="s">
        <v>382</v>
      </c>
      <c r="VOV31" s="3" t="s">
        <v>383</v>
      </c>
      <c r="VOW31" s="3" t="s">
        <v>382</v>
      </c>
      <c r="VOX31" s="3" t="s">
        <v>383</v>
      </c>
      <c r="VOY31" s="3" t="s">
        <v>382</v>
      </c>
      <c r="VOZ31" s="3" t="s">
        <v>383</v>
      </c>
      <c r="VPA31" s="3" t="s">
        <v>382</v>
      </c>
      <c r="VPB31" s="3" t="s">
        <v>383</v>
      </c>
      <c r="VPC31" s="3" t="s">
        <v>382</v>
      </c>
      <c r="VPD31" s="3" t="s">
        <v>383</v>
      </c>
      <c r="VPE31" s="3" t="s">
        <v>382</v>
      </c>
      <c r="VPF31" s="3" t="s">
        <v>383</v>
      </c>
      <c r="VPG31" s="3" t="s">
        <v>382</v>
      </c>
      <c r="VPH31" s="3" t="s">
        <v>383</v>
      </c>
      <c r="VPI31" s="3" t="s">
        <v>382</v>
      </c>
      <c r="VPJ31" s="3" t="s">
        <v>383</v>
      </c>
      <c r="VPK31" s="3" t="s">
        <v>382</v>
      </c>
      <c r="VPL31" s="3" t="s">
        <v>383</v>
      </c>
      <c r="VPM31" s="3" t="s">
        <v>382</v>
      </c>
      <c r="VPN31" s="3" t="s">
        <v>383</v>
      </c>
      <c r="VPO31" s="3" t="s">
        <v>382</v>
      </c>
      <c r="VPP31" s="3" t="s">
        <v>383</v>
      </c>
      <c r="VPQ31" s="3" t="s">
        <v>382</v>
      </c>
      <c r="VPR31" s="3" t="s">
        <v>383</v>
      </c>
      <c r="VPS31" s="3" t="s">
        <v>382</v>
      </c>
      <c r="VPT31" s="3" t="s">
        <v>383</v>
      </c>
      <c r="VPU31" s="3" t="s">
        <v>382</v>
      </c>
      <c r="VPV31" s="3" t="s">
        <v>383</v>
      </c>
      <c r="VPW31" s="3" t="s">
        <v>382</v>
      </c>
      <c r="VPX31" s="3" t="s">
        <v>383</v>
      </c>
      <c r="VPY31" s="3" t="s">
        <v>382</v>
      </c>
      <c r="VPZ31" s="3" t="s">
        <v>383</v>
      </c>
      <c r="VQA31" s="3" t="s">
        <v>382</v>
      </c>
      <c r="VQB31" s="3" t="s">
        <v>383</v>
      </c>
      <c r="VQC31" s="3" t="s">
        <v>382</v>
      </c>
      <c r="VQD31" s="3" t="s">
        <v>383</v>
      </c>
      <c r="VQE31" s="3" t="s">
        <v>382</v>
      </c>
      <c r="VQF31" s="3" t="s">
        <v>383</v>
      </c>
      <c r="VQG31" s="3" t="s">
        <v>382</v>
      </c>
      <c r="VQH31" s="3" t="s">
        <v>383</v>
      </c>
      <c r="VQI31" s="3" t="s">
        <v>382</v>
      </c>
      <c r="VQJ31" s="3" t="s">
        <v>383</v>
      </c>
      <c r="VQK31" s="3" t="s">
        <v>382</v>
      </c>
      <c r="VQL31" s="3" t="s">
        <v>383</v>
      </c>
      <c r="VQM31" s="3" t="s">
        <v>382</v>
      </c>
      <c r="VQN31" s="3" t="s">
        <v>383</v>
      </c>
      <c r="VQO31" s="3" t="s">
        <v>382</v>
      </c>
      <c r="VQP31" s="3" t="s">
        <v>383</v>
      </c>
      <c r="VQQ31" s="3" t="s">
        <v>382</v>
      </c>
      <c r="VQR31" s="3" t="s">
        <v>383</v>
      </c>
      <c r="VQS31" s="3" t="s">
        <v>382</v>
      </c>
      <c r="VQT31" s="3" t="s">
        <v>383</v>
      </c>
      <c r="VQU31" s="3" t="s">
        <v>382</v>
      </c>
      <c r="VQV31" s="3" t="s">
        <v>383</v>
      </c>
      <c r="VQW31" s="3" t="s">
        <v>382</v>
      </c>
      <c r="VQX31" s="3" t="s">
        <v>383</v>
      </c>
      <c r="VQY31" s="3" t="s">
        <v>382</v>
      </c>
      <c r="VQZ31" s="3" t="s">
        <v>383</v>
      </c>
      <c r="VRA31" s="3" t="s">
        <v>382</v>
      </c>
      <c r="VRB31" s="3" t="s">
        <v>383</v>
      </c>
      <c r="VRC31" s="3" t="s">
        <v>382</v>
      </c>
      <c r="VRD31" s="3" t="s">
        <v>383</v>
      </c>
      <c r="VRE31" s="3" t="s">
        <v>382</v>
      </c>
      <c r="VRF31" s="3" t="s">
        <v>383</v>
      </c>
      <c r="VRG31" s="3" t="s">
        <v>382</v>
      </c>
      <c r="VRH31" s="3" t="s">
        <v>383</v>
      </c>
      <c r="VRI31" s="3" t="s">
        <v>382</v>
      </c>
      <c r="VRJ31" s="3" t="s">
        <v>383</v>
      </c>
      <c r="VRK31" s="3" t="s">
        <v>382</v>
      </c>
      <c r="VRL31" s="3" t="s">
        <v>383</v>
      </c>
      <c r="VRM31" s="3" t="s">
        <v>382</v>
      </c>
      <c r="VRN31" s="3" t="s">
        <v>383</v>
      </c>
      <c r="VRO31" s="3" t="s">
        <v>382</v>
      </c>
      <c r="VRP31" s="3" t="s">
        <v>383</v>
      </c>
      <c r="VRQ31" s="3" t="s">
        <v>382</v>
      </c>
      <c r="VRR31" s="3" t="s">
        <v>383</v>
      </c>
      <c r="VRS31" s="3" t="s">
        <v>382</v>
      </c>
      <c r="VRT31" s="3" t="s">
        <v>383</v>
      </c>
      <c r="VRU31" s="3" t="s">
        <v>382</v>
      </c>
      <c r="VRV31" s="3" t="s">
        <v>383</v>
      </c>
      <c r="VRW31" s="3" t="s">
        <v>382</v>
      </c>
      <c r="VRX31" s="3" t="s">
        <v>383</v>
      </c>
      <c r="VRY31" s="3" t="s">
        <v>382</v>
      </c>
      <c r="VRZ31" s="3" t="s">
        <v>383</v>
      </c>
      <c r="VSA31" s="3" t="s">
        <v>382</v>
      </c>
      <c r="VSB31" s="3" t="s">
        <v>383</v>
      </c>
      <c r="VSC31" s="3" t="s">
        <v>382</v>
      </c>
      <c r="VSD31" s="3" t="s">
        <v>383</v>
      </c>
      <c r="VSE31" s="3" t="s">
        <v>382</v>
      </c>
      <c r="VSF31" s="3" t="s">
        <v>383</v>
      </c>
      <c r="VSG31" s="3" t="s">
        <v>382</v>
      </c>
      <c r="VSH31" s="3" t="s">
        <v>383</v>
      </c>
      <c r="VSI31" s="3" t="s">
        <v>382</v>
      </c>
      <c r="VSJ31" s="3" t="s">
        <v>383</v>
      </c>
      <c r="VSK31" s="3" t="s">
        <v>382</v>
      </c>
      <c r="VSL31" s="3" t="s">
        <v>383</v>
      </c>
      <c r="VSM31" s="3" t="s">
        <v>382</v>
      </c>
      <c r="VSN31" s="3" t="s">
        <v>383</v>
      </c>
      <c r="VSO31" s="3" t="s">
        <v>382</v>
      </c>
      <c r="VSP31" s="3" t="s">
        <v>383</v>
      </c>
      <c r="VSQ31" s="3" t="s">
        <v>382</v>
      </c>
      <c r="VSR31" s="3" t="s">
        <v>383</v>
      </c>
      <c r="VSS31" s="3" t="s">
        <v>382</v>
      </c>
      <c r="VST31" s="3" t="s">
        <v>383</v>
      </c>
      <c r="VSU31" s="3" t="s">
        <v>382</v>
      </c>
      <c r="VSV31" s="3" t="s">
        <v>383</v>
      </c>
      <c r="VSW31" s="3" t="s">
        <v>382</v>
      </c>
      <c r="VSX31" s="3" t="s">
        <v>383</v>
      </c>
      <c r="VSY31" s="3" t="s">
        <v>382</v>
      </c>
      <c r="VSZ31" s="3" t="s">
        <v>383</v>
      </c>
      <c r="VTA31" s="3" t="s">
        <v>382</v>
      </c>
      <c r="VTB31" s="3" t="s">
        <v>383</v>
      </c>
      <c r="VTC31" s="3" t="s">
        <v>382</v>
      </c>
      <c r="VTD31" s="3" t="s">
        <v>383</v>
      </c>
      <c r="VTE31" s="3" t="s">
        <v>382</v>
      </c>
      <c r="VTF31" s="3" t="s">
        <v>383</v>
      </c>
      <c r="VTG31" s="3" t="s">
        <v>382</v>
      </c>
      <c r="VTH31" s="3" t="s">
        <v>383</v>
      </c>
      <c r="VTI31" s="3" t="s">
        <v>382</v>
      </c>
      <c r="VTJ31" s="3" t="s">
        <v>383</v>
      </c>
      <c r="VTK31" s="3" t="s">
        <v>382</v>
      </c>
      <c r="VTL31" s="3" t="s">
        <v>383</v>
      </c>
      <c r="VTM31" s="3" t="s">
        <v>382</v>
      </c>
      <c r="VTN31" s="3" t="s">
        <v>383</v>
      </c>
      <c r="VTO31" s="3" t="s">
        <v>382</v>
      </c>
      <c r="VTP31" s="3" t="s">
        <v>383</v>
      </c>
      <c r="VTQ31" s="3" t="s">
        <v>382</v>
      </c>
      <c r="VTR31" s="3" t="s">
        <v>383</v>
      </c>
      <c r="VTS31" s="3" t="s">
        <v>382</v>
      </c>
      <c r="VTT31" s="3" t="s">
        <v>383</v>
      </c>
      <c r="VTU31" s="3" t="s">
        <v>382</v>
      </c>
      <c r="VTV31" s="3" t="s">
        <v>383</v>
      </c>
      <c r="VTW31" s="3" t="s">
        <v>382</v>
      </c>
      <c r="VTX31" s="3" t="s">
        <v>383</v>
      </c>
      <c r="VTY31" s="3" t="s">
        <v>382</v>
      </c>
      <c r="VTZ31" s="3" t="s">
        <v>383</v>
      </c>
      <c r="VUA31" s="3" t="s">
        <v>382</v>
      </c>
      <c r="VUB31" s="3" t="s">
        <v>383</v>
      </c>
      <c r="VUC31" s="3" t="s">
        <v>382</v>
      </c>
      <c r="VUD31" s="3" t="s">
        <v>383</v>
      </c>
      <c r="VUE31" s="3" t="s">
        <v>382</v>
      </c>
      <c r="VUF31" s="3" t="s">
        <v>383</v>
      </c>
      <c r="VUG31" s="3" t="s">
        <v>382</v>
      </c>
      <c r="VUH31" s="3" t="s">
        <v>383</v>
      </c>
      <c r="VUI31" s="3" t="s">
        <v>382</v>
      </c>
      <c r="VUJ31" s="3" t="s">
        <v>383</v>
      </c>
      <c r="VUK31" s="3" t="s">
        <v>382</v>
      </c>
      <c r="VUL31" s="3" t="s">
        <v>383</v>
      </c>
      <c r="VUM31" s="3" t="s">
        <v>382</v>
      </c>
      <c r="VUN31" s="3" t="s">
        <v>383</v>
      </c>
      <c r="VUO31" s="3" t="s">
        <v>382</v>
      </c>
      <c r="VUP31" s="3" t="s">
        <v>383</v>
      </c>
      <c r="VUQ31" s="3" t="s">
        <v>382</v>
      </c>
      <c r="VUR31" s="3" t="s">
        <v>383</v>
      </c>
      <c r="VUS31" s="3" t="s">
        <v>382</v>
      </c>
      <c r="VUT31" s="3" t="s">
        <v>383</v>
      </c>
      <c r="VUU31" s="3" t="s">
        <v>382</v>
      </c>
      <c r="VUV31" s="3" t="s">
        <v>383</v>
      </c>
      <c r="VUW31" s="3" t="s">
        <v>382</v>
      </c>
      <c r="VUX31" s="3" t="s">
        <v>383</v>
      </c>
      <c r="VUY31" s="3" t="s">
        <v>382</v>
      </c>
      <c r="VUZ31" s="3" t="s">
        <v>383</v>
      </c>
      <c r="VVA31" s="3" t="s">
        <v>382</v>
      </c>
      <c r="VVB31" s="3" t="s">
        <v>383</v>
      </c>
      <c r="VVC31" s="3" t="s">
        <v>382</v>
      </c>
      <c r="VVD31" s="3" t="s">
        <v>383</v>
      </c>
      <c r="VVE31" s="3" t="s">
        <v>382</v>
      </c>
      <c r="VVF31" s="3" t="s">
        <v>383</v>
      </c>
      <c r="VVG31" s="3" t="s">
        <v>382</v>
      </c>
      <c r="VVH31" s="3" t="s">
        <v>383</v>
      </c>
      <c r="VVI31" s="3" t="s">
        <v>382</v>
      </c>
      <c r="VVJ31" s="3" t="s">
        <v>383</v>
      </c>
      <c r="VVK31" s="3" t="s">
        <v>382</v>
      </c>
      <c r="VVL31" s="3" t="s">
        <v>383</v>
      </c>
      <c r="VVM31" s="3" t="s">
        <v>382</v>
      </c>
      <c r="VVN31" s="3" t="s">
        <v>383</v>
      </c>
      <c r="VVO31" s="3" t="s">
        <v>382</v>
      </c>
      <c r="VVP31" s="3" t="s">
        <v>383</v>
      </c>
      <c r="VVQ31" s="3" t="s">
        <v>382</v>
      </c>
      <c r="VVR31" s="3" t="s">
        <v>383</v>
      </c>
      <c r="VVS31" s="3" t="s">
        <v>382</v>
      </c>
      <c r="VVT31" s="3" t="s">
        <v>383</v>
      </c>
      <c r="VVU31" s="3" t="s">
        <v>382</v>
      </c>
      <c r="VVV31" s="3" t="s">
        <v>383</v>
      </c>
      <c r="VVW31" s="3" t="s">
        <v>382</v>
      </c>
      <c r="VVX31" s="3" t="s">
        <v>383</v>
      </c>
      <c r="VVY31" s="3" t="s">
        <v>382</v>
      </c>
      <c r="VVZ31" s="3" t="s">
        <v>383</v>
      </c>
      <c r="VWA31" s="3" t="s">
        <v>382</v>
      </c>
      <c r="VWB31" s="3" t="s">
        <v>383</v>
      </c>
      <c r="VWC31" s="3" t="s">
        <v>382</v>
      </c>
      <c r="VWD31" s="3" t="s">
        <v>383</v>
      </c>
      <c r="VWE31" s="3" t="s">
        <v>382</v>
      </c>
      <c r="VWF31" s="3" t="s">
        <v>383</v>
      </c>
      <c r="VWG31" s="3" t="s">
        <v>382</v>
      </c>
      <c r="VWH31" s="3" t="s">
        <v>383</v>
      </c>
      <c r="VWI31" s="3" t="s">
        <v>382</v>
      </c>
      <c r="VWJ31" s="3" t="s">
        <v>383</v>
      </c>
      <c r="VWK31" s="3" t="s">
        <v>382</v>
      </c>
      <c r="VWL31" s="3" t="s">
        <v>383</v>
      </c>
      <c r="VWM31" s="3" t="s">
        <v>382</v>
      </c>
      <c r="VWN31" s="3" t="s">
        <v>383</v>
      </c>
      <c r="VWO31" s="3" t="s">
        <v>382</v>
      </c>
      <c r="VWP31" s="3" t="s">
        <v>383</v>
      </c>
      <c r="VWQ31" s="3" t="s">
        <v>382</v>
      </c>
      <c r="VWR31" s="3" t="s">
        <v>383</v>
      </c>
      <c r="VWS31" s="3" t="s">
        <v>382</v>
      </c>
      <c r="VWT31" s="3" t="s">
        <v>383</v>
      </c>
      <c r="VWU31" s="3" t="s">
        <v>382</v>
      </c>
      <c r="VWV31" s="3" t="s">
        <v>383</v>
      </c>
      <c r="VWW31" s="3" t="s">
        <v>382</v>
      </c>
      <c r="VWX31" s="3" t="s">
        <v>383</v>
      </c>
      <c r="VWY31" s="3" t="s">
        <v>382</v>
      </c>
      <c r="VWZ31" s="3" t="s">
        <v>383</v>
      </c>
      <c r="VXA31" s="3" t="s">
        <v>382</v>
      </c>
      <c r="VXB31" s="3" t="s">
        <v>383</v>
      </c>
      <c r="VXC31" s="3" t="s">
        <v>382</v>
      </c>
      <c r="VXD31" s="3" t="s">
        <v>383</v>
      </c>
      <c r="VXE31" s="3" t="s">
        <v>382</v>
      </c>
      <c r="VXF31" s="3" t="s">
        <v>383</v>
      </c>
      <c r="VXG31" s="3" t="s">
        <v>382</v>
      </c>
      <c r="VXH31" s="3" t="s">
        <v>383</v>
      </c>
      <c r="VXI31" s="3" t="s">
        <v>382</v>
      </c>
      <c r="VXJ31" s="3" t="s">
        <v>383</v>
      </c>
      <c r="VXK31" s="3" t="s">
        <v>382</v>
      </c>
      <c r="VXL31" s="3" t="s">
        <v>383</v>
      </c>
      <c r="VXM31" s="3" t="s">
        <v>382</v>
      </c>
      <c r="VXN31" s="3" t="s">
        <v>383</v>
      </c>
      <c r="VXO31" s="3" t="s">
        <v>382</v>
      </c>
      <c r="VXP31" s="3" t="s">
        <v>383</v>
      </c>
      <c r="VXQ31" s="3" t="s">
        <v>382</v>
      </c>
      <c r="VXR31" s="3" t="s">
        <v>383</v>
      </c>
      <c r="VXS31" s="3" t="s">
        <v>382</v>
      </c>
      <c r="VXT31" s="3" t="s">
        <v>383</v>
      </c>
      <c r="VXU31" s="3" t="s">
        <v>382</v>
      </c>
      <c r="VXV31" s="3" t="s">
        <v>383</v>
      </c>
      <c r="VXW31" s="3" t="s">
        <v>382</v>
      </c>
      <c r="VXX31" s="3" t="s">
        <v>383</v>
      </c>
      <c r="VXY31" s="3" t="s">
        <v>382</v>
      </c>
      <c r="VXZ31" s="3" t="s">
        <v>383</v>
      </c>
      <c r="VYA31" s="3" t="s">
        <v>382</v>
      </c>
      <c r="VYB31" s="3" t="s">
        <v>383</v>
      </c>
      <c r="VYC31" s="3" t="s">
        <v>382</v>
      </c>
      <c r="VYD31" s="3" t="s">
        <v>383</v>
      </c>
      <c r="VYE31" s="3" t="s">
        <v>382</v>
      </c>
      <c r="VYF31" s="3" t="s">
        <v>383</v>
      </c>
      <c r="VYG31" s="3" t="s">
        <v>382</v>
      </c>
      <c r="VYH31" s="3" t="s">
        <v>383</v>
      </c>
      <c r="VYI31" s="3" t="s">
        <v>382</v>
      </c>
      <c r="VYJ31" s="3" t="s">
        <v>383</v>
      </c>
      <c r="VYK31" s="3" t="s">
        <v>382</v>
      </c>
      <c r="VYL31" s="3" t="s">
        <v>383</v>
      </c>
      <c r="VYM31" s="3" t="s">
        <v>382</v>
      </c>
      <c r="VYN31" s="3" t="s">
        <v>383</v>
      </c>
      <c r="VYO31" s="3" t="s">
        <v>382</v>
      </c>
      <c r="VYP31" s="3" t="s">
        <v>383</v>
      </c>
      <c r="VYQ31" s="3" t="s">
        <v>382</v>
      </c>
      <c r="VYR31" s="3" t="s">
        <v>383</v>
      </c>
      <c r="VYS31" s="3" t="s">
        <v>382</v>
      </c>
      <c r="VYT31" s="3" t="s">
        <v>383</v>
      </c>
      <c r="VYU31" s="3" t="s">
        <v>382</v>
      </c>
      <c r="VYV31" s="3" t="s">
        <v>383</v>
      </c>
      <c r="VYW31" s="3" t="s">
        <v>382</v>
      </c>
      <c r="VYX31" s="3" t="s">
        <v>383</v>
      </c>
      <c r="VYY31" s="3" t="s">
        <v>382</v>
      </c>
      <c r="VYZ31" s="3" t="s">
        <v>383</v>
      </c>
      <c r="VZA31" s="3" t="s">
        <v>382</v>
      </c>
      <c r="VZB31" s="3" t="s">
        <v>383</v>
      </c>
      <c r="VZC31" s="3" t="s">
        <v>382</v>
      </c>
      <c r="VZD31" s="3" t="s">
        <v>383</v>
      </c>
      <c r="VZE31" s="3" t="s">
        <v>382</v>
      </c>
      <c r="VZF31" s="3" t="s">
        <v>383</v>
      </c>
      <c r="VZG31" s="3" t="s">
        <v>382</v>
      </c>
      <c r="VZH31" s="3" t="s">
        <v>383</v>
      </c>
      <c r="VZI31" s="3" t="s">
        <v>382</v>
      </c>
      <c r="VZJ31" s="3" t="s">
        <v>383</v>
      </c>
      <c r="VZK31" s="3" t="s">
        <v>382</v>
      </c>
      <c r="VZL31" s="3" t="s">
        <v>383</v>
      </c>
      <c r="VZM31" s="3" t="s">
        <v>382</v>
      </c>
      <c r="VZN31" s="3" t="s">
        <v>383</v>
      </c>
      <c r="VZO31" s="3" t="s">
        <v>382</v>
      </c>
      <c r="VZP31" s="3" t="s">
        <v>383</v>
      </c>
      <c r="VZQ31" s="3" t="s">
        <v>382</v>
      </c>
      <c r="VZR31" s="3" t="s">
        <v>383</v>
      </c>
      <c r="VZS31" s="3" t="s">
        <v>382</v>
      </c>
      <c r="VZT31" s="3" t="s">
        <v>383</v>
      </c>
      <c r="VZU31" s="3" t="s">
        <v>382</v>
      </c>
      <c r="VZV31" s="3" t="s">
        <v>383</v>
      </c>
      <c r="VZW31" s="3" t="s">
        <v>382</v>
      </c>
      <c r="VZX31" s="3" t="s">
        <v>383</v>
      </c>
      <c r="VZY31" s="3" t="s">
        <v>382</v>
      </c>
      <c r="VZZ31" s="3" t="s">
        <v>383</v>
      </c>
      <c r="WAA31" s="3" t="s">
        <v>382</v>
      </c>
      <c r="WAB31" s="3" t="s">
        <v>383</v>
      </c>
      <c r="WAC31" s="3" t="s">
        <v>382</v>
      </c>
      <c r="WAD31" s="3" t="s">
        <v>383</v>
      </c>
      <c r="WAE31" s="3" t="s">
        <v>382</v>
      </c>
      <c r="WAF31" s="3" t="s">
        <v>383</v>
      </c>
      <c r="WAG31" s="3" t="s">
        <v>382</v>
      </c>
      <c r="WAH31" s="3" t="s">
        <v>383</v>
      </c>
      <c r="WAI31" s="3" t="s">
        <v>382</v>
      </c>
      <c r="WAJ31" s="3" t="s">
        <v>383</v>
      </c>
      <c r="WAK31" s="3" t="s">
        <v>382</v>
      </c>
      <c r="WAL31" s="3" t="s">
        <v>383</v>
      </c>
      <c r="WAM31" s="3" t="s">
        <v>382</v>
      </c>
      <c r="WAN31" s="3" t="s">
        <v>383</v>
      </c>
      <c r="WAO31" s="3" t="s">
        <v>382</v>
      </c>
      <c r="WAP31" s="3" t="s">
        <v>383</v>
      </c>
      <c r="WAQ31" s="3" t="s">
        <v>382</v>
      </c>
      <c r="WAR31" s="3" t="s">
        <v>383</v>
      </c>
      <c r="WAS31" s="3" t="s">
        <v>382</v>
      </c>
      <c r="WAT31" s="3" t="s">
        <v>383</v>
      </c>
      <c r="WAU31" s="3" t="s">
        <v>382</v>
      </c>
      <c r="WAV31" s="3" t="s">
        <v>383</v>
      </c>
      <c r="WAW31" s="3" t="s">
        <v>382</v>
      </c>
      <c r="WAX31" s="3" t="s">
        <v>383</v>
      </c>
      <c r="WAY31" s="3" t="s">
        <v>382</v>
      </c>
      <c r="WAZ31" s="3" t="s">
        <v>383</v>
      </c>
      <c r="WBA31" s="3" t="s">
        <v>382</v>
      </c>
      <c r="WBB31" s="3" t="s">
        <v>383</v>
      </c>
      <c r="WBC31" s="3" t="s">
        <v>382</v>
      </c>
      <c r="WBD31" s="3" t="s">
        <v>383</v>
      </c>
      <c r="WBE31" s="3" t="s">
        <v>382</v>
      </c>
      <c r="WBF31" s="3" t="s">
        <v>383</v>
      </c>
      <c r="WBG31" s="3" t="s">
        <v>382</v>
      </c>
      <c r="WBH31" s="3" t="s">
        <v>383</v>
      </c>
      <c r="WBI31" s="3" t="s">
        <v>382</v>
      </c>
      <c r="WBJ31" s="3" t="s">
        <v>383</v>
      </c>
      <c r="WBK31" s="3" t="s">
        <v>382</v>
      </c>
      <c r="WBL31" s="3" t="s">
        <v>383</v>
      </c>
      <c r="WBM31" s="3" t="s">
        <v>382</v>
      </c>
      <c r="WBN31" s="3" t="s">
        <v>383</v>
      </c>
      <c r="WBO31" s="3" t="s">
        <v>382</v>
      </c>
      <c r="WBP31" s="3" t="s">
        <v>383</v>
      </c>
      <c r="WBQ31" s="3" t="s">
        <v>382</v>
      </c>
      <c r="WBR31" s="3" t="s">
        <v>383</v>
      </c>
      <c r="WBS31" s="3" t="s">
        <v>382</v>
      </c>
      <c r="WBT31" s="3" t="s">
        <v>383</v>
      </c>
      <c r="WBU31" s="3" t="s">
        <v>382</v>
      </c>
      <c r="WBV31" s="3" t="s">
        <v>383</v>
      </c>
      <c r="WBW31" s="3" t="s">
        <v>382</v>
      </c>
      <c r="WBX31" s="3" t="s">
        <v>383</v>
      </c>
      <c r="WBY31" s="3" t="s">
        <v>382</v>
      </c>
      <c r="WBZ31" s="3" t="s">
        <v>383</v>
      </c>
      <c r="WCA31" s="3" t="s">
        <v>382</v>
      </c>
      <c r="WCB31" s="3" t="s">
        <v>383</v>
      </c>
      <c r="WCC31" s="3" t="s">
        <v>382</v>
      </c>
      <c r="WCD31" s="3" t="s">
        <v>383</v>
      </c>
      <c r="WCE31" s="3" t="s">
        <v>382</v>
      </c>
      <c r="WCF31" s="3" t="s">
        <v>383</v>
      </c>
      <c r="WCG31" s="3" t="s">
        <v>382</v>
      </c>
      <c r="WCH31" s="3" t="s">
        <v>383</v>
      </c>
      <c r="WCI31" s="3" t="s">
        <v>382</v>
      </c>
      <c r="WCJ31" s="3" t="s">
        <v>383</v>
      </c>
      <c r="WCK31" s="3" t="s">
        <v>382</v>
      </c>
      <c r="WCL31" s="3" t="s">
        <v>383</v>
      </c>
      <c r="WCM31" s="3" t="s">
        <v>382</v>
      </c>
      <c r="WCN31" s="3" t="s">
        <v>383</v>
      </c>
      <c r="WCO31" s="3" t="s">
        <v>382</v>
      </c>
      <c r="WCP31" s="3" t="s">
        <v>383</v>
      </c>
      <c r="WCQ31" s="3" t="s">
        <v>382</v>
      </c>
      <c r="WCR31" s="3" t="s">
        <v>383</v>
      </c>
      <c r="WCS31" s="3" t="s">
        <v>382</v>
      </c>
      <c r="WCT31" s="3" t="s">
        <v>383</v>
      </c>
      <c r="WCU31" s="3" t="s">
        <v>382</v>
      </c>
      <c r="WCV31" s="3" t="s">
        <v>383</v>
      </c>
      <c r="WCW31" s="3" t="s">
        <v>382</v>
      </c>
      <c r="WCX31" s="3" t="s">
        <v>383</v>
      </c>
      <c r="WCY31" s="3" t="s">
        <v>382</v>
      </c>
      <c r="WCZ31" s="3" t="s">
        <v>383</v>
      </c>
      <c r="WDA31" s="3" t="s">
        <v>382</v>
      </c>
      <c r="WDB31" s="3" t="s">
        <v>383</v>
      </c>
      <c r="WDC31" s="3" t="s">
        <v>382</v>
      </c>
      <c r="WDD31" s="3" t="s">
        <v>383</v>
      </c>
      <c r="WDE31" s="3" t="s">
        <v>382</v>
      </c>
      <c r="WDF31" s="3" t="s">
        <v>383</v>
      </c>
      <c r="WDG31" s="3" t="s">
        <v>382</v>
      </c>
      <c r="WDH31" s="3" t="s">
        <v>383</v>
      </c>
      <c r="WDI31" s="3" t="s">
        <v>382</v>
      </c>
      <c r="WDJ31" s="3" t="s">
        <v>383</v>
      </c>
      <c r="WDK31" s="3" t="s">
        <v>382</v>
      </c>
      <c r="WDL31" s="3" t="s">
        <v>383</v>
      </c>
      <c r="WDM31" s="3" t="s">
        <v>382</v>
      </c>
      <c r="WDN31" s="3" t="s">
        <v>383</v>
      </c>
      <c r="WDO31" s="3" t="s">
        <v>382</v>
      </c>
      <c r="WDP31" s="3" t="s">
        <v>383</v>
      </c>
      <c r="WDQ31" s="3" t="s">
        <v>382</v>
      </c>
      <c r="WDR31" s="3" t="s">
        <v>383</v>
      </c>
      <c r="WDS31" s="3" t="s">
        <v>382</v>
      </c>
      <c r="WDT31" s="3" t="s">
        <v>383</v>
      </c>
      <c r="WDU31" s="3" t="s">
        <v>382</v>
      </c>
      <c r="WDV31" s="3" t="s">
        <v>383</v>
      </c>
      <c r="WDW31" s="3" t="s">
        <v>382</v>
      </c>
      <c r="WDX31" s="3" t="s">
        <v>383</v>
      </c>
      <c r="WDY31" s="3" t="s">
        <v>382</v>
      </c>
      <c r="WDZ31" s="3" t="s">
        <v>383</v>
      </c>
      <c r="WEA31" s="3" t="s">
        <v>382</v>
      </c>
      <c r="WEB31" s="3" t="s">
        <v>383</v>
      </c>
      <c r="WEC31" s="3" t="s">
        <v>382</v>
      </c>
      <c r="WED31" s="3" t="s">
        <v>383</v>
      </c>
      <c r="WEE31" s="3" t="s">
        <v>382</v>
      </c>
      <c r="WEF31" s="3" t="s">
        <v>383</v>
      </c>
      <c r="WEG31" s="3" t="s">
        <v>382</v>
      </c>
      <c r="WEH31" s="3" t="s">
        <v>383</v>
      </c>
      <c r="WEI31" s="3" t="s">
        <v>382</v>
      </c>
      <c r="WEJ31" s="3" t="s">
        <v>383</v>
      </c>
      <c r="WEK31" s="3" t="s">
        <v>382</v>
      </c>
      <c r="WEL31" s="3" t="s">
        <v>383</v>
      </c>
      <c r="WEM31" s="3" t="s">
        <v>382</v>
      </c>
      <c r="WEN31" s="3" t="s">
        <v>383</v>
      </c>
      <c r="WEO31" s="3" t="s">
        <v>382</v>
      </c>
      <c r="WEP31" s="3" t="s">
        <v>383</v>
      </c>
      <c r="WEQ31" s="3" t="s">
        <v>382</v>
      </c>
      <c r="WER31" s="3" t="s">
        <v>383</v>
      </c>
      <c r="WES31" s="3" t="s">
        <v>382</v>
      </c>
      <c r="WET31" s="3" t="s">
        <v>383</v>
      </c>
      <c r="WEU31" s="3" t="s">
        <v>382</v>
      </c>
      <c r="WEV31" s="3" t="s">
        <v>383</v>
      </c>
      <c r="WEW31" s="3" t="s">
        <v>382</v>
      </c>
      <c r="WEX31" s="3" t="s">
        <v>383</v>
      </c>
      <c r="WEY31" s="3" t="s">
        <v>382</v>
      </c>
      <c r="WEZ31" s="3" t="s">
        <v>383</v>
      </c>
      <c r="WFA31" s="3" t="s">
        <v>382</v>
      </c>
      <c r="WFB31" s="3" t="s">
        <v>383</v>
      </c>
      <c r="WFC31" s="3" t="s">
        <v>382</v>
      </c>
      <c r="WFD31" s="3" t="s">
        <v>383</v>
      </c>
      <c r="WFE31" s="3" t="s">
        <v>382</v>
      </c>
      <c r="WFF31" s="3" t="s">
        <v>383</v>
      </c>
      <c r="WFG31" s="3" t="s">
        <v>382</v>
      </c>
      <c r="WFH31" s="3" t="s">
        <v>383</v>
      </c>
      <c r="WFI31" s="3" t="s">
        <v>382</v>
      </c>
      <c r="WFJ31" s="3" t="s">
        <v>383</v>
      </c>
      <c r="WFK31" s="3" t="s">
        <v>382</v>
      </c>
      <c r="WFL31" s="3" t="s">
        <v>383</v>
      </c>
      <c r="WFM31" s="3" t="s">
        <v>382</v>
      </c>
      <c r="WFN31" s="3" t="s">
        <v>383</v>
      </c>
      <c r="WFO31" s="3" t="s">
        <v>382</v>
      </c>
      <c r="WFP31" s="3" t="s">
        <v>383</v>
      </c>
      <c r="WFQ31" s="3" t="s">
        <v>382</v>
      </c>
      <c r="WFR31" s="3" t="s">
        <v>383</v>
      </c>
      <c r="WFS31" s="3" t="s">
        <v>382</v>
      </c>
      <c r="WFT31" s="3" t="s">
        <v>383</v>
      </c>
      <c r="WFU31" s="3" t="s">
        <v>382</v>
      </c>
      <c r="WFV31" s="3" t="s">
        <v>383</v>
      </c>
      <c r="WFW31" s="3" t="s">
        <v>382</v>
      </c>
      <c r="WFX31" s="3" t="s">
        <v>383</v>
      </c>
      <c r="WFY31" s="3" t="s">
        <v>382</v>
      </c>
      <c r="WFZ31" s="3" t="s">
        <v>383</v>
      </c>
      <c r="WGA31" s="3" t="s">
        <v>382</v>
      </c>
      <c r="WGB31" s="3" t="s">
        <v>383</v>
      </c>
      <c r="WGC31" s="3" t="s">
        <v>382</v>
      </c>
      <c r="WGD31" s="3" t="s">
        <v>383</v>
      </c>
      <c r="WGE31" s="3" t="s">
        <v>382</v>
      </c>
      <c r="WGF31" s="3" t="s">
        <v>383</v>
      </c>
      <c r="WGG31" s="3" t="s">
        <v>382</v>
      </c>
      <c r="WGH31" s="3" t="s">
        <v>383</v>
      </c>
      <c r="WGI31" s="3" t="s">
        <v>382</v>
      </c>
      <c r="WGJ31" s="3" t="s">
        <v>383</v>
      </c>
      <c r="WGK31" s="3" t="s">
        <v>382</v>
      </c>
      <c r="WGL31" s="3" t="s">
        <v>383</v>
      </c>
      <c r="WGM31" s="3" t="s">
        <v>382</v>
      </c>
      <c r="WGN31" s="3" t="s">
        <v>383</v>
      </c>
      <c r="WGO31" s="3" t="s">
        <v>382</v>
      </c>
      <c r="WGP31" s="3" t="s">
        <v>383</v>
      </c>
      <c r="WGQ31" s="3" t="s">
        <v>382</v>
      </c>
      <c r="WGR31" s="3" t="s">
        <v>383</v>
      </c>
      <c r="WGS31" s="3" t="s">
        <v>382</v>
      </c>
      <c r="WGT31" s="3" t="s">
        <v>383</v>
      </c>
      <c r="WGU31" s="3" t="s">
        <v>382</v>
      </c>
      <c r="WGV31" s="3" t="s">
        <v>383</v>
      </c>
      <c r="WGW31" s="3" t="s">
        <v>382</v>
      </c>
      <c r="WGX31" s="3" t="s">
        <v>383</v>
      </c>
      <c r="WGY31" s="3" t="s">
        <v>382</v>
      </c>
      <c r="WGZ31" s="3" t="s">
        <v>383</v>
      </c>
      <c r="WHA31" s="3" t="s">
        <v>382</v>
      </c>
      <c r="WHB31" s="3" t="s">
        <v>383</v>
      </c>
      <c r="WHC31" s="3" t="s">
        <v>382</v>
      </c>
      <c r="WHD31" s="3" t="s">
        <v>383</v>
      </c>
      <c r="WHE31" s="3" t="s">
        <v>382</v>
      </c>
      <c r="WHF31" s="3" t="s">
        <v>383</v>
      </c>
      <c r="WHG31" s="3" t="s">
        <v>382</v>
      </c>
      <c r="WHH31" s="3" t="s">
        <v>383</v>
      </c>
      <c r="WHI31" s="3" t="s">
        <v>382</v>
      </c>
      <c r="WHJ31" s="3" t="s">
        <v>383</v>
      </c>
      <c r="WHK31" s="3" t="s">
        <v>382</v>
      </c>
      <c r="WHL31" s="3" t="s">
        <v>383</v>
      </c>
      <c r="WHM31" s="3" t="s">
        <v>382</v>
      </c>
      <c r="WHN31" s="3" t="s">
        <v>383</v>
      </c>
      <c r="WHO31" s="3" t="s">
        <v>382</v>
      </c>
      <c r="WHP31" s="3" t="s">
        <v>383</v>
      </c>
      <c r="WHQ31" s="3" t="s">
        <v>382</v>
      </c>
      <c r="WHR31" s="3" t="s">
        <v>383</v>
      </c>
      <c r="WHS31" s="3" t="s">
        <v>382</v>
      </c>
      <c r="WHT31" s="3" t="s">
        <v>383</v>
      </c>
      <c r="WHU31" s="3" t="s">
        <v>382</v>
      </c>
      <c r="WHV31" s="3" t="s">
        <v>383</v>
      </c>
      <c r="WHW31" s="3" t="s">
        <v>382</v>
      </c>
      <c r="WHX31" s="3" t="s">
        <v>383</v>
      </c>
      <c r="WHY31" s="3" t="s">
        <v>382</v>
      </c>
      <c r="WHZ31" s="3" t="s">
        <v>383</v>
      </c>
      <c r="WIA31" s="3" t="s">
        <v>382</v>
      </c>
      <c r="WIB31" s="3" t="s">
        <v>383</v>
      </c>
      <c r="WIC31" s="3" t="s">
        <v>382</v>
      </c>
      <c r="WID31" s="3" t="s">
        <v>383</v>
      </c>
      <c r="WIE31" s="3" t="s">
        <v>382</v>
      </c>
      <c r="WIF31" s="3" t="s">
        <v>383</v>
      </c>
      <c r="WIG31" s="3" t="s">
        <v>382</v>
      </c>
      <c r="WIH31" s="3" t="s">
        <v>383</v>
      </c>
      <c r="WII31" s="3" t="s">
        <v>382</v>
      </c>
      <c r="WIJ31" s="3" t="s">
        <v>383</v>
      </c>
      <c r="WIK31" s="3" t="s">
        <v>382</v>
      </c>
      <c r="WIL31" s="3" t="s">
        <v>383</v>
      </c>
      <c r="WIM31" s="3" t="s">
        <v>382</v>
      </c>
      <c r="WIN31" s="3" t="s">
        <v>383</v>
      </c>
      <c r="WIO31" s="3" t="s">
        <v>382</v>
      </c>
      <c r="WIP31" s="3" t="s">
        <v>383</v>
      </c>
      <c r="WIQ31" s="3" t="s">
        <v>382</v>
      </c>
      <c r="WIR31" s="3" t="s">
        <v>383</v>
      </c>
      <c r="WIS31" s="3" t="s">
        <v>382</v>
      </c>
      <c r="WIT31" s="3" t="s">
        <v>383</v>
      </c>
      <c r="WIU31" s="3" t="s">
        <v>382</v>
      </c>
      <c r="WIV31" s="3" t="s">
        <v>383</v>
      </c>
      <c r="WIW31" s="3" t="s">
        <v>382</v>
      </c>
      <c r="WIX31" s="3" t="s">
        <v>383</v>
      </c>
      <c r="WIY31" s="3" t="s">
        <v>382</v>
      </c>
      <c r="WIZ31" s="3" t="s">
        <v>383</v>
      </c>
      <c r="WJA31" s="3" t="s">
        <v>382</v>
      </c>
      <c r="WJB31" s="3" t="s">
        <v>383</v>
      </c>
      <c r="WJC31" s="3" t="s">
        <v>382</v>
      </c>
      <c r="WJD31" s="3" t="s">
        <v>383</v>
      </c>
      <c r="WJE31" s="3" t="s">
        <v>382</v>
      </c>
      <c r="WJF31" s="3" t="s">
        <v>383</v>
      </c>
      <c r="WJG31" s="3" t="s">
        <v>382</v>
      </c>
      <c r="WJH31" s="3" t="s">
        <v>383</v>
      </c>
      <c r="WJI31" s="3" t="s">
        <v>382</v>
      </c>
      <c r="WJJ31" s="3" t="s">
        <v>383</v>
      </c>
      <c r="WJK31" s="3" t="s">
        <v>382</v>
      </c>
      <c r="WJL31" s="3" t="s">
        <v>383</v>
      </c>
      <c r="WJM31" s="3" t="s">
        <v>382</v>
      </c>
      <c r="WJN31" s="3" t="s">
        <v>383</v>
      </c>
      <c r="WJO31" s="3" t="s">
        <v>382</v>
      </c>
      <c r="WJP31" s="3" t="s">
        <v>383</v>
      </c>
      <c r="WJQ31" s="3" t="s">
        <v>382</v>
      </c>
      <c r="WJR31" s="3" t="s">
        <v>383</v>
      </c>
      <c r="WJS31" s="3" t="s">
        <v>382</v>
      </c>
      <c r="WJT31" s="3" t="s">
        <v>383</v>
      </c>
      <c r="WJU31" s="3" t="s">
        <v>382</v>
      </c>
      <c r="WJV31" s="3" t="s">
        <v>383</v>
      </c>
      <c r="WJW31" s="3" t="s">
        <v>382</v>
      </c>
      <c r="WJX31" s="3" t="s">
        <v>383</v>
      </c>
      <c r="WJY31" s="3" t="s">
        <v>382</v>
      </c>
      <c r="WJZ31" s="3" t="s">
        <v>383</v>
      </c>
      <c r="WKA31" s="3" t="s">
        <v>382</v>
      </c>
      <c r="WKB31" s="3" t="s">
        <v>383</v>
      </c>
      <c r="WKC31" s="3" t="s">
        <v>382</v>
      </c>
      <c r="WKD31" s="3" t="s">
        <v>383</v>
      </c>
      <c r="WKE31" s="3" t="s">
        <v>382</v>
      </c>
      <c r="WKF31" s="3" t="s">
        <v>383</v>
      </c>
      <c r="WKG31" s="3" t="s">
        <v>382</v>
      </c>
      <c r="WKH31" s="3" t="s">
        <v>383</v>
      </c>
      <c r="WKI31" s="3" t="s">
        <v>382</v>
      </c>
      <c r="WKJ31" s="3" t="s">
        <v>383</v>
      </c>
      <c r="WKK31" s="3" t="s">
        <v>382</v>
      </c>
      <c r="WKL31" s="3" t="s">
        <v>383</v>
      </c>
      <c r="WKM31" s="3" t="s">
        <v>382</v>
      </c>
      <c r="WKN31" s="3" t="s">
        <v>383</v>
      </c>
      <c r="WKO31" s="3" t="s">
        <v>382</v>
      </c>
      <c r="WKP31" s="3" t="s">
        <v>383</v>
      </c>
      <c r="WKQ31" s="3" t="s">
        <v>382</v>
      </c>
      <c r="WKR31" s="3" t="s">
        <v>383</v>
      </c>
      <c r="WKS31" s="3" t="s">
        <v>382</v>
      </c>
      <c r="WKT31" s="3" t="s">
        <v>383</v>
      </c>
      <c r="WKU31" s="3" t="s">
        <v>382</v>
      </c>
      <c r="WKV31" s="3" t="s">
        <v>383</v>
      </c>
      <c r="WKW31" s="3" t="s">
        <v>382</v>
      </c>
      <c r="WKX31" s="3" t="s">
        <v>383</v>
      </c>
      <c r="WKY31" s="3" t="s">
        <v>382</v>
      </c>
      <c r="WKZ31" s="3" t="s">
        <v>383</v>
      </c>
      <c r="WLA31" s="3" t="s">
        <v>382</v>
      </c>
      <c r="WLB31" s="3" t="s">
        <v>383</v>
      </c>
      <c r="WLC31" s="3" t="s">
        <v>382</v>
      </c>
      <c r="WLD31" s="3" t="s">
        <v>383</v>
      </c>
      <c r="WLE31" s="3" t="s">
        <v>382</v>
      </c>
      <c r="WLF31" s="3" t="s">
        <v>383</v>
      </c>
      <c r="WLG31" s="3" t="s">
        <v>382</v>
      </c>
      <c r="WLH31" s="3" t="s">
        <v>383</v>
      </c>
      <c r="WLI31" s="3" t="s">
        <v>382</v>
      </c>
      <c r="WLJ31" s="3" t="s">
        <v>383</v>
      </c>
      <c r="WLK31" s="3" t="s">
        <v>382</v>
      </c>
      <c r="WLL31" s="3" t="s">
        <v>383</v>
      </c>
      <c r="WLM31" s="3" t="s">
        <v>382</v>
      </c>
      <c r="WLN31" s="3" t="s">
        <v>383</v>
      </c>
      <c r="WLO31" s="3" t="s">
        <v>382</v>
      </c>
      <c r="WLP31" s="3" t="s">
        <v>383</v>
      </c>
      <c r="WLQ31" s="3" t="s">
        <v>382</v>
      </c>
      <c r="WLR31" s="3" t="s">
        <v>383</v>
      </c>
      <c r="WLS31" s="3" t="s">
        <v>382</v>
      </c>
      <c r="WLT31" s="3" t="s">
        <v>383</v>
      </c>
      <c r="WLU31" s="3" t="s">
        <v>382</v>
      </c>
      <c r="WLV31" s="3" t="s">
        <v>383</v>
      </c>
      <c r="WLW31" s="3" t="s">
        <v>382</v>
      </c>
      <c r="WLX31" s="3" t="s">
        <v>383</v>
      </c>
      <c r="WLY31" s="3" t="s">
        <v>382</v>
      </c>
      <c r="WLZ31" s="3" t="s">
        <v>383</v>
      </c>
      <c r="WMA31" s="3" t="s">
        <v>382</v>
      </c>
      <c r="WMB31" s="3" t="s">
        <v>383</v>
      </c>
      <c r="WMC31" s="3" t="s">
        <v>382</v>
      </c>
      <c r="WMD31" s="3" t="s">
        <v>383</v>
      </c>
      <c r="WME31" s="3" t="s">
        <v>382</v>
      </c>
      <c r="WMF31" s="3" t="s">
        <v>383</v>
      </c>
      <c r="WMG31" s="3" t="s">
        <v>382</v>
      </c>
      <c r="WMH31" s="3" t="s">
        <v>383</v>
      </c>
      <c r="WMI31" s="3" t="s">
        <v>382</v>
      </c>
      <c r="WMJ31" s="3" t="s">
        <v>383</v>
      </c>
      <c r="WMK31" s="3" t="s">
        <v>382</v>
      </c>
      <c r="WML31" s="3" t="s">
        <v>383</v>
      </c>
      <c r="WMM31" s="3" t="s">
        <v>382</v>
      </c>
      <c r="WMN31" s="3" t="s">
        <v>383</v>
      </c>
      <c r="WMO31" s="3" t="s">
        <v>382</v>
      </c>
      <c r="WMP31" s="3" t="s">
        <v>383</v>
      </c>
      <c r="WMQ31" s="3" t="s">
        <v>382</v>
      </c>
      <c r="WMR31" s="3" t="s">
        <v>383</v>
      </c>
      <c r="WMS31" s="3" t="s">
        <v>382</v>
      </c>
      <c r="WMT31" s="3" t="s">
        <v>383</v>
      </c>
      <c r="WMU31" s="3" t="s">
        <v>382</v>
      </c>
      <c r="WMV31" s="3" t="s">
        <v>383</v>
      </c>
      <c r="WMW31" s="3" t="s">
        <v>382</v>
      </c>
      <c r="WMX31" s="3" t="s">
        <v>383</v>
      </c>
      <c r="WMY31" s="3" t="s">
        <v>382</v>
      </c>
      <c r="WMZ31" s="3" t="s">
        <v>383</v>
      </c>
      <c r="WNA31" s="3" t="s">
        <v>382</v>
      </c>
      <c r="WNB31" s="3" t="s">
        <v>383</v>
      </c>
      <c r="WNC31" s="3" t="s">
        <v>382</v>
      </c>
      <c r="WND31" s="3" t="s">
        <v>383</v>
      </c>
      <c r="WNE31" s="3" t="s">
        <v>382</v>
      </c>
      <c r="WNF31" s="3" t="s">
        <v>383</v>
      </c>
      <c r="WNG31" s="3" t="s">
        <v>382</v>
      </c>
      <c r="WNH31" s="3" t="s">
        <v>383</v>
      </c>
      <c r="WNI31" s="3" t="s">
        <v>382</v>
      </c>
      <c r="WNJ31" s="3" t="s">
        <v>383</v>
      </c>
      <c r="WNK31" s="3" t="s">
        <v>382</v>
      </c>
      <c r="WNL31" s="3" t="s">
        <v>383</v>
      </c>
      <c r="WNM31" s="3" t="s">
        <v>382</v>
      </c>
      <c r="WNN31" s="3" t="s">
        <v>383</v>
      </c>
      <c r="WNO31" s="3" t="s">
        <v>382</v>
      </c>
      <c r="WNP31" s="3" t="s">
        <v>383</v>
      </c>
      <c r="WNQ31" s="3" t="s">
        <v>382</v>
      </c>
      <c r="WNR31" s="3" t="s">
        <v>383</v>
      </c>
      <c r="WNS31" s="3" t="s">
        <v>382</v>
      </c>
      <c r="WNT31" s="3" t="s">
        <v>383</v>
      </c>
      <c r="WNU31" s="3" t="s">
        <v>382</v>
      </c>
      <c r="WNV31" s="3" t="s">
        <v>383</v>
      </c>
      <c r="WNW31" s="3" t="s">
        <v>382</v>
      </c>
      <c r="WNX31" s="3" t="s">
        <v>383</v>
      </c>
      <c r="WNY31" s="3" t="s">
        <v>382</v>
      </c>
      <c r="WNZ31" s="3" t="s">
        <v>383</v>
      </c>
      <c r="WOA31" s="3" t="s">
        <v>382</v>
      </c>
      <c r="WOB31" s="3" t="s">
        <v>383</v>
      </c>
      <c r="WOC31" s="3" t="s">
        <v>382</v>
      </c>
      <c r="WOD31" s="3" t="s">
        <v>383</v>
      </c>
      <c r="WOE31" s="3" t="s">
        <v>382</v>
      </c>
      <c r="WOF31" s="3" t="s">
        <v>383</v>
      </c>
      <c r="WOG31" s="3" t="s">
        <v>382</v>
      </c>
      <c r="WOH31" s="3" t="s">
        <v>383</v>
      </c>
      <c r="WOI31" s="3" t="s">
        <v>382</v>
      </c>
      <c r="WOJ31" s="3" t="s">
        <v>383</v>
      </c>
      <c r="WOK31" s="3" t="s">
        <v>382</v>
      </c>
      <c r="WOL31" s="3" t="s">
        <v>383</v>
      </c>
      <c r="WOM31" s="3" t="s">
        <v>382</v>
      </c>
      <c r="WON31" s="3" t="s">
        <v>383</v>
      </c>
      <c r="WOO31" s="3" t="s">
        <v>382</v>
      </c>
      <c r="WOP31" s="3" t="s">
        <v>383</v>
      </c>
      <c r="WOQ31" s="3" t="s">
        <v>382</v>
      </c>
      <c r="WOR31" s="3" t="s">
        <v>383</v>
      </c>
      <c r="WOS31" s="3" t="s">
        <v>382</v>
      </c>
      <c r="WOT31" s="3" t="s">
        <v>383</v>
      </c>
      <c r="WOU31" s="3" t="s">
        <v>382</v>
      </c>
      <c r="WOV31" s="3" t="s">
        <v>383</v>
      </c>
      <c r="WOW31" s="3" t="s">
        <v>382</v>
      </c>
      <c r="WOX31" s="3" t="s">
        <v>383</v>
      </c>
      <c r="WOY31" s="3" t="s">
        <v>382</v>
      </c>
      <c r="WOZ31" s="3" t="s">
        <v>383</v>
      </c>
      <c r="WPA31" s="3" t="s">
        <v>382</v>
      </c>
      <c r="WPB31" s="3" t="s">
        <v>383</v>
      </c>
      <c r="WPC31" s="3" t="s">
        <v>382</v>
      </c>
      <c r="WPD31" s="3" t="s">
        <v>383</v>
      </c>
      <c r="WPE31" s="3" t="s">
        <v>382</v>
      </c>
      <c r="WPF31" s="3" t="s">
        <v>383</v>
      </c>
      <c r="WPG31" s="3" t="s">
        <v>382</v>
      </c>
      <c r="WPH31" s="3" t="s">
        <v>383</v>
      </c>
      <c r="WPI31" s="3" t="s">
        <v>382</v>
      </c>
      <c r="WPJ31" s="3" t="s">
        <v>383</v>
      </c>
      <c r="WPK31" s="3" t="s">
        <v>382</v>
      </c>
      <c r="WPL31" s="3" t="s">
        <v>383</v>
      </c>
      <c r="WPM31" s="3" t="s">
        <v>382</v>
      </c>
      <c r="WPN31" s="3" t="s">
        <v>383</v>
      </c>
      <c r="WPO31" s="3" t="s">
        <v>382</v>
      </c>
      <c r="WPP31" s="3" t="s">
        <v>383</v>
      </c>
      <c r="WPQ31" s="3" t="s">
        <v>382</v>
      </c>
      <c r="WPR31" s="3" t="s">
        <v>383</v>
      </c>
      <c r="WPS31" s="3" t="s">
        <v>382</v>
      </c>
      <c r="WPT31" s="3" t="s">
        <v>383</v>
      </c>
      <c r="WPU31" s="3" t="s">
        <v>382</v>
      </c>
      <c r="WPV31" s="3" t="s">
        <v>383</v>
      </c>
      <c r="WPW31" s="3" t="s">
        <v>382</v>
      </c>
      <c r="WPX31" s="3" t="s">
        <v>383</v>
      </c>
      <c r="WPY31" s="3" t="s">
        <v>382</v>
      </c>
      <c r="WPZ31" s="3" t="s">
        <v>383</v>
      </c>
      <c r="WQA31" s="3" t="s">
        <v>382</v>
      </c>
      <c r="WQB31" s="3" t="s">
        <v>383</v>
      </c>
      <c r="WQC31" s="3" t="s">
        <v>382</v>
      </c>
      <c r="WQD31" s="3" t="s">
        <v>383</v>
      </c>
      <c r="WQE31" s="3" t="s">
        <v>382</v>
      </c>
      <c r="WQF31" s="3" t="s">
        <v>383</v>
      </c>
      <c r="WQG31" s="3" t="s">
        <v>382</v>
      </c>
      <c r="WQH31" s="3" t="s">
        <v>383</v>
      </c>
      <c r="WQI31" s="3" t="s">
        <v>382</v>
      </c>
      <c r="WQJ31" s="3" t="s">
        <v>383</v>
      </c>
      <c r="WQK31" s="3" t="s">
        <v>382</v>
      </c>
      <c r="WQL31" s="3" t="s">
        <v>383</v>
      </c>
      <c r="WQM31" s="3" t="s">
        <v>382</v>
      </c>
      <c r="WQN31" s="3" t="s">
        <v>383</v>
      </c>
      <c r="WQO31" s="3" t="s">
        <v>382</v>
      </c>
      <c r="WQP31" s="3" t="s">
        <v>383</v>
      </c>
      <c r="WQQ31" s="3" t="s">
        <v>382</v>
      </c>
      <c r="WQR31" s="3" t="s">
        <v>383</v>
      </c>
      <c r="WQS31" s="3" t="s">
        <v>382</v>
      </c>
      <c r="WQT31" s="3" t="s">
        <v>383</v>
      </c>
      <c r="WQU31" s="3" t="s">
        <v>382</v>
      </c>
      <c r="WQV31" s="3" t="s">
        <v>383</v>
      </c>
      <c r="WQW31" s="3" t="s">
        <v>382</v>
      </c>
      <c r="WQX31" s="3" t="s">
        <v>383</v>
      </c>
      <c r="WQY31" s="3" t="s">
        <v>382</v>
      </c>
      <c r="WQZ31" s="3" t="s">
        <v>383</v>
      </c>
      <c r="WRA31" s="3" t="s">
        <v>382</v>
      </c>
      <c r="WRB31" s="3" t="s">
        <v>383</v>
      </c>
      <c r="WRC31" s="3" t="s">
        <v>382</v>
      </c>
      <c r="WRD31" s="3" t="s">
        <v>383</v>
      </c>
      <c r="WRE31" s="3" t="s">
        <v>382</v>
      </c>
      <c r="WRF31" s="3" t="s">
        <v>383</v>
      </c>
      <c r="WRG31" s="3" t="s">
        <v>382</v>
      </c>
      <c r="WRH31" s="3" t="s">
        <v>383</v>
      </c>
      <c r="WRI31" s="3" t="s">
        <v>382</v>
      </c>
      <c r="WRJ31" s="3" t="s">
        <v>383</v>
      </c>
      <c r="WRK31" s="3" t="s">
        <v>382</v>
      </c>
      <c r="WRL31" s="3" t="s">
        <v>383</v>
      </c>
      <c r="WRM31" s="3" t="s">
        <v>382</v>
      </c>
      <c r="WRN31" s="3" t="s">
        <v>383</v>
      </c>
      <c r="WRO31" s="3" t="s">
        <v>382</v>
      </c>
      <c r="WRP31" s="3" t="s">
        <v>383</v>
      </c>
      <c r="WRQ31" s="3" t="s">
        <v>382</v>
      </c>
      <c r="WRR31" s="3" t="s">
        <v>383</v>
      </c>
      <c r="WRS31" s="3" t="s">
        <v>382</v>
      </c>
      <c r="WRT31" s="3" t="s">
        <v>383</v>
      </c>
      <c r="WRU31" s="3" t="s">
        <v>382</v>
      </c>
      <c r="WRV31" s="3" t="s">
        <v>383</v>
      </c>
      <c r="WRW31" s="3" t="s">
        <v>382</v>
      </c>
      <c r="WRX31" s="3" t="s">
        <v>383</v>
      </c>
      <c r="WRY31" s="3" t="s">
        <v>382</v>
      </c>
      <c r="WRZ31" s="3" t="s">
        <v>383</v>
      </c>
      <c r="WSA31" s="3" t="s">
        <v>382</v>
      </c>
      <c r="WSB31" s="3" t="s">
        <v>383</v>
      </c>
      <c r="WSC31" s="3" t="s">
        <v>382</v>
      </c>
      <c r="WSD31" s="3" t="s">
        <v>383</v>
      </c>
      <c r="WSE31" s="3" t="s">
        <v>382</v>
      </c>
      <c r="WSF31" s="3" t="s">
        <v>383</v>
      </c>
      <c r="WSG31" s="3" t="s">
        <v>382</v>
      </c>
      <c r="WSH31" s="3" t="s">
        <v>383</v>
      </c>
      <c r="WSI31" s="3" t="s">
        <v>382</v>
      </c>
      <c r="WSJ31" s="3" t="s">
        <v>383</v>
      </c>
      <c r="WSK31" s="3" t="s">
        <v>382</v>
      </c>
      <c r="WSL31" s="3" t="s">
        <v>383</v>
      </c>
      <c r="WSM31" s="3" t="s">
        <v>382</v>
      </c>
      <c r="WSN31" s="3" t="s">
        <v>383</v>
      </c>
      <c r="WSO31" s="3" t="s">
        <v>382</v>
      </c>
      <c r="WSP31" s="3" t="s">
        <v>383</v>
      </c>
      <c r="WSQ31" s="3" t="s">
        <v>382</v>
      </c>
      <c r="WSR31" s="3" t="s">
        <v>383</v>
      </c>
      <c r="WSS31" s="3" t="s">
        <v>382</v>
      </c>
      <c r="WST31" s="3" t="s">
        <v>383</v>
      </c>
      <c r="WSU31" s="3" t="s">
        <v>382</v>
      </c>
      <c r="WSV31" s="3" t="s">
        <v>383</v>
      </c>
      <c r="WSW31" s="3" t="s">
        <v>382</v>
      </c>
      <c r="WSX31" s="3" t="s">
        <v>383</v>
      </c>
      <c r="WSY31" s="3" t="s">
        <v>382</v>
      </c>
      <c r="WSZ31" s="3" t="s">
        <v>383</v>
      </c>
      <c r="WTA31" s="3" t="s">
        <v>382</v>
      </c>
      <c r="WTB31" s="3" t="s">
        <v>383</v>
      </c>
      <c r="WTC31" s="3" t="s">
        <v>382</v>
      </c>
      <c r="WTD31" s="3" t="s">
        <v>383</v>
      </c>
      <c r="WTE31" s="3" t="s">
        <v>382</v>
      </c>
      <c r="WTF31" s="3" t="s">
        <v>383</v>
      </c>
      <c r="WTG31" s="3" t="s">
        <v>382</v>
      </c>
      <c r="WTH31" s="3" t="s">
        <v>383</v>
      </c>
      <c r="WTI31" s="3" t="s">
        <v>382</v>
      </c>
      <c r="WTJ31" s="3" t="s">
        <v>383</v>
      </c>
      <c r="WTK31" s="3" t="s">
        <v>382</v>
      </c>
      <c r="WTL31" s="3" t="s">
        <v>383</v>
      </c>
      <c r="WTM31" s="3" t="s">
        <v>382</v>
      </c>
      <c r="WTN31" s="3" t="s">
        <v>383</v>
      </c>
      <c r="WTO31" s="3" t="s">
        <v>382</v>
      </c>
      <c r="WTP31" s="3" t="s">
        <v>383</v>
      </c>
      <c r="WTQ31" s="3" t="s">
        <v>382</v>
      </c>
      <c r="WTR31" s="3" t="s">
        <v>383</v>
      </c>
      <c r="WTS31" s="3" t="s">
        <v>382</v>
      </c>
      <c r="WTT31" s="3" t="s">
        <v>383</v>
      </c>
      <c r="WTU31" s="3" t="s">
        <v>382</v>
      </c>
      <c r="WTV31" s="3" t="s">
        <v>383</v>
      </c>
      <c r="WTW31" s="3" t="s">
        <v>382</v>
      </c>
      <c r="WTX31" s="3" t="s">
        <v>383</v>
      </c>
      <c r="WTY31" s="3" t="s">
        <v>382</v>
      </c>
      <c r="WTZ31" s="3" t="s">
        <v>383</v>
      </c>
      <c r="WUA31" s="3" t="s">
        <v>382</v>
      </c>
      <c r="WUB31" s="3" t="s">
        <v>383</v>
      </c>
      <c r="WUC31" s="3" t="s">
        <v>382</v>
      </c>
      <c r="WUD31" s="3" t="s">
        <v>383</v>
      </c>
      <c r="WUE31" s="3" t="s">
        <v>382</v>
      </c>
      <c r="WUF31" s="3" t="s">
        <v>383</v>
      </c>
      <c r="WUG31" s="3" t="s">
        <v>382</v>
      </c>
      <c r="WUH31" s="3" t="s">
        <v>383</v>
      </c>
      <c r="WUI31" s="3" t="s">
        <v>382</v>
      </c>
      <c r="WUJ31" s="3" t="s">
        <v>383</v>
      </c>
      <c r="WUK31" s="3" t="s">
        <v>382</v>
      </c>
      <c r="WUL31" s="3" t="s">
        <v>383</v>
      </c>
      <c r="WUM31" s="3" t="s">
        <v>382</v>
      </c>
      <c r="WUN31" s="3" t="s">
        <v>383</v>
      </c>
      <c r="WUO31" s="3" t="s">
        <v>382</v>
      </c>
      <c r="WUP31" s="3" t="s">
        <v>383</v>
      </c>
      <c r="WUQ31" s="3" t="s">
        <v>382</v>
      </c>
      <c r="WUR31" s="3" t="s">
        <v>383</v>
      </c>
      <c r="WUS31" s="3" t="s">
        <v>382</v>
      </c>
      <c r="WUT31" s="3" t="s">
        <v>383</v>
      </c>
      <c r="WUU31" s="3" t="s">
        <v>382</v>
      </c>
      <c r="WUV31" s="3" t="s">
        <v>383</v>
      </c>
      <c r="WUW31" s="3" t="s">
        <v>382</v>
      </c>
      <c r="WUX31" s="3" t="s">
        <v>383</v>
      </c>
      <c r="WUY31" s="3" t="s">
        <v>382</v>
      </c>
      <c r="WUZ31" s="3" t="s">
        <v>383</v>
      </c>
      <c r="WVA31" s="3" t="s">
        <v>382</v>
      </c>
      <c r="WVB31" s="3" t="s">
        <v>383</v>
      </c>
      <c r="WVC31" s="3" t="s">
        <v>382</v>
      </c>
      <c r="WVD31" s="3" t="s">
        <v>383</v>
      </c>
      <c r="WVE31" s="3" t="s">
        <v>382</v>
      </c>
      <c r="WVF31" s="3" t="s">
        <v>383</v>
      </c>
      <c r="WVG31" s="3" t="s">
        <v>382</v>
      </c>
      <c r="WVH31" s="3" t="s">
        <v>383</v>
      </c>
      <c r="WVI31" s="3" t="s">
        <v>382</v>
      </c>
      <c r="WVJ31" s="3" t="s">
        <v>383</v>
      </c>
      <c r="WVK31" s="3" t="s">
        <v>382</v>
      </c>
      <c r="WVL31" s="3" t="s">
        <v>383</v>
      </c>
      <c r="WVM31" s="3" t="s">
        <v>382</v>
      </c>
      <c r="WVN31" s="3" t="s">
        <v>383</v>
      </c>
      <c r="WVO31" s="3" t="s">
        <v>382</v>
      </c>
      <c r="WVP31" s="3" t="s">
        <v>383</v>
      </c>
      <c r="WVQ31" s="3" t="s">
        <v>382</v>
      </c>
      <c r="WVR31" s="3" t="s">
        <v>383</v>
      </c>
      <c r="WVS31" s="3" t="s">
        <v>382</v>
      </c>
      <c r="WVT31" s="3" t="s">
        <v>383</v>
      </c>
      <c r="WVU31" s="3" t="s">
        <v>382</v>
      </c>
      <c r="WVV31" s="3" t="s">
        <v>383</v>
      </c>
      <c r="WVW31" s="3" t="s">
        <v>382</v>
      </c>
      <c r="WVX31" s="3" t="s">
        <v>383</v>
      </c>
      <c r="WVY31" s="3" t="s">
        <v>382</v>
      </c>
      <c r="WVZ31" s="3" t="s">
        <v>383</v>
      </c>
      <c r="WWA31" s="3" t="s">
        <v>382</v>
      </c>
      <c r="WWB31" s="3" t="s">
        <v>383</v>
      </c>
      <c r="WWC31" s="3" t="s">
        <v>382</v>
      </c>
      <c r="WWD31" s="3" t="s">
        <v>383</v>
      </c>
      <c r="WWE31" s="3" t="s">
        <v>382</v>
      </c>
      <c r="WWF31" s="3" t="s">
        <v>383</v>
      </c>
      <c r="WWG31" s="3" t="s">
        <v>382</v>
      </c>
      <c r="WWH31" s="3" t="s">
        <v>383</v>
      </c>
      <c r="WWI31" s="3" t="s">
        <v>382</v>
      </c>
      <c r="WWJ31" s="3" t="s">
        <v>383</v>
      </c>
      <c r="WWK31" s="3" t="s">
        <v>382</v>
      </c>
      <c r="WWL31" s="3" t="s">
        <v>383</v>
      </c>
      <c r="WWM31" s="3" t="s">
        <v>382</v>
      </c>
      <c r="WWN31" s="3" t="s">
        <v>383</v>
      </c>
      <c r="WWO31" s="3" t="s">
        <v>382</v>
      </c>
      <c r="WWP31" s="3" t="s">
        <v>383</v>
      </c>
      <c r="WWQ31" s="3" t="s">
        <v>382</v>
      </c>
      <c r="WWR31" s="3" t="s">
        <v>383</v>
      </c>
      <c r="WWS31" s="3" t="s">
        <v>382</v>
      </c>
      <c r="WWT31" s="3" t="s">
        <v>383</v>
      </c>
      <c r="WWU31" s="3" t="s">
        <v>382</v>
      </c>
      <c r="WWV31" s="3" t="s">
        <v>383</v>
      </c>
      <c r="WWW31" s="3" t="s">
        <v>382</v>
      </c>
      <c r="WWX31" s="3" t="s">
        <v>383</v>
      </c>
      <c r="WWY31" s="3" t="s">
        <v>382</v>
      </c>
      <c r="WWZ31" s="3" t="s">
        <v>383</v>
      </c>
      <c r="WXA31" s="3" t="s">
        <v>382</v>
      </c>
      <c r="WXB31" s="3" t="s">
        <v>383</v>
      </c>
      <c r="WXC31" s="3" t="s">
        <v>382</v>
      </c>
      <c r="WXD31" s="3" t="s">
        <v>383</v>
      </c>
      <c r="WXE31" s="3" t="s">
        <v>382</v>
      </c>
      <c r="WXF31" s="3" t="s">
        <v>383</v>
      </c>
      <c r="WXG31" s="3" t="s">
        <v>382</v>
      </c>
      <c r="WXH31" s="3" t="s">
        <v>383</v>
      </c>
      <c r="WXI31" s="3" t="s">
        <v>382</v>
      </c>
      <c r="WXJ31" s="3" t="s">
        <v>383</v>
      </c>
      <c r="WXK31" s="3" t="s">
        <v>382</v>
      </c>
      <c r="WXL31" s="3" t="s">
        <v>383</v>
      </c>
      <c r="WXM31" s="3" t="s">
        <v>382</v>
      </c>
      <c r="WXN31" s="3" t="s">
        <v>383</v>
      </c>
      <c r="WXO31" s="3" t="s">
        <v>382</v>
      </c>
      <c r="WXP31" s="3" t="s">
        <v>383</v>
      </c>
      <c r="WXQ31" s="3" t="s">
        <v>382</v>
      </c>
      <c r="WXR31" s="3" t="s">
        <v>383</v>
      </c>
      <c r="WXS31" s="3" t="s">
        <v>382</v>
      </c>
      <c r="WXT31" s="3" t="s">
        <v>383</v>
      </c>
      <c r="WXU31" s="3" t="s">
        <v>382</v>
      </c>
      <c r="WXV31" s="3" t="s">
        <v>383</v>
      </c>
      <c r="WXW31" s="3" t="s">
        <v>382</v>
      </c>
      <c r="WXX31" s="3" t="s">
        <v>383</v>
      </c>
      <c r="WXY31" s="3" t="s">
        <v>382</v>
      </c>
      <c r="WXZ31" s="3" t="s">
        <v>383</v>
      </c>
      <c r="WYA31" s="3" t="s">
        <v>382</v>
      </c>
      <c r="WYB31" s="3" t="s">
        <v>383</v>
      </c>
      <c r="WYC31" s="3" t="s">
        <v>382</v>
      </c>
      <c r="WYD31" s="3" t="s">
        <v>383</v>
      </c>
      <c r="WYE31" s="3" t="s">
        <v>382</v>
      </c>
      <c r="WYF31" s="3" t="s">
        <v>383</v>
      </c>
      <c r="WYG31" s="3" t="s">
        <v>382</v>
      </c>
      <c r="WYH31" s="3" t="s">
        <v>383</v>
      </c>
      <c r="WYI31" s="3" t="s">
        <v>382</v>
      </c>
      <c r="WYJ31" s="3" t="s">
        <v>383</v>
      </c>
      <c r="WYK31" s="3" t="s">
        <v>382</v>
      </c>
      <c r="WYL31" s="3" t="s">
        <v>383</v>
      </c>
      <c r="WYM31" s="3" t="s">
        <v>382</v>
      </c>
      <c r="WYN31" s="3" t="s">
        <v>383</v>
      </c>
      <c r="WYO31" s="3" t="s">
        <v>382</v>
      </c>
      <c r="WYP31" s="3" t="s">
        <v>383</v>
      </c>
      <c r="WYQ31" s="3" t="s">
        <v>382</v>
      </c>
      <c r="WYR31" s="3" t="s">
        <v>383</v>
      </c>
      <c r="WYS31" s="3" t="s">
        <v>382</v>
      </c>
      <c r="WYT31" s="3" t="s">
        <v>383</v>
      </c>
      <c r="WYU31" s="3" t="s">
        <v>382</v>
      </c>
      <c r="WYV31" s="3" t="s">
        <v>383</v>
      </c>
      <c r="WYW31" s="3" t="s">
        <v>382</v>
      </c>
      <c r="WYX31" s="3" t="s">
        <v>383</v>
      </c>
      <c r="WYY31" s="3" t="s">
        <v>382</v>
      </c>
      <c r="WYZ31" s="3" t="s">
        <v>383</v>
      </c>
      <c r="WZA31" s="3" t="s">
        <v>382</v>
      </c>
      <c r="WZB31" s="3" t="s">
        <v>383</v>
      </c>
      <c r="WZC31" s="3" t="s">
        <v>382</v>
      </c>
      <c r="WZD31" s="3" t="s">
        <v>383</v>
      </c>
      <c r="WZE31" s="3" t="s">
        <v>382</v>
      </c>
      <c r="WZF31" s="3" t="s">
        <v>383</v>
      </c>
      <c r="WZG31" s="3" t="s">
        <v>382</v>
      </c>
      <c r="WZH31" s="3" t="s">
        <v>383</v>
      </c>
      <c r="WZI31" s="3" t="s">
        <v>382</v>
      </c>
      <c r="WZJ31" s="3" t="s">
        <v>383</v>
      </c>
      <c r="WZK31" s="3" t="s">
        <v>382</v>
      </c>
      <c r="WZL31" s="3" t="s">
        <v>383</v>
      </c>
      <c r="WZM31" s="3" t="s">
        <v>382</v>
      </c>
      <c r="WZN31" s="3" t="s">
        <v>383</v>
      </c>
      <c r="WZO31" s="3" t="s">
        <v>382</v>
      </c>
      <c r="WZP31" s="3" t="s">
        <v>383</v>
      </c>
      <c r="WZQ31" s="3" t="s">
        <v>382</v>
      </c>
      <c r="WZR31" s="3" t="s">
        <v>383</v>
      </c>
      <c r="WZS31" s="3" t="s">
        <v>382</v>
      </c>
      <c r="WZT31" s="3" t="s">
        <v>383</v>
      </c>
      <c r="WZU31" s="3" t="s">
        <v>382</v>
      </c>
      <c r="WZV31" s="3" t="s">
        <v>383</v>
      </c>
      <c r="WZW31" s="3" t="s">
        <v>382</v>
      </c>
      <c r="WZX31" s="3" t="s">
        <v>383</v>
      </c>
      <c r="WZY31" s="3" t="s">
        <v>382</v>
      </c>
      <c r="WZZ31" s="3" t="s">
        <v>383</v>
      </c>
      <c r="XAA31" s="3" t="s">
        <v>382</v>
      </c>
      <c r="XAB31" s="3" t="s">
        <v>383</v>
      </c>
      <c r="XAC31" s="3" t="s">
        <v>382</v>
      </c>
      <c r="XAD31" s="3" t="s">
        <v>383</v>
      </c>
      <c r="XAE31" s="3" t="s">
        <v>382</v>
      </c>
      <c r="XAF31" s="3" t="s">
        <v>383</v>
      </c>
      <c r="XAG31" s="3" t="s">
        <v>382</v>
      </c>
      <c r="XAH31" s="3" t="s">
        <v>383</v>
      </c>
      <c r="XAI31" s="3" t="s">
        <v>382</v>
      </c>
      <c r="XAJ31" s="3" t="s">
        <v>383</v>
      </c>
      <c r="XAK31" s="3" t="s">
        <v>382</v>
      </c>
      <c r="XAL31" s="3" t="s">
        <v>383</v>
      </c>
      <c r="XAM31" s="3" t="s">
        <v>382</v>
      </c>
      <c r="XAN31" s="3" t="s">
        <v>383</v>
      </c>
      <c r="XAO31" s="3" t="s">
        <v>382</v>
      </c>
      <c r="XAP31" s="3" t="s">
        <v>383</v>
      </c>
      <c r="XAQ31" s="3" t="s">
        <v>382</v>
      </c>
      <c r="XAR31" s="3" t="s">
        <v>383</v>
      </c>
      <c r="XAS31" s="3" t="s">
        <v>382</v>
      </c>
      <c r="XAT31" s="3" t="s">
        <v>383</v>
      </c>
      <c r="XAU31" s="3" t="s">
        <v>382</v>
      </c>
      <c r="XAV31" s="3" t="s">
        <v>383</v>
      </c>
      <c r="XAW31" s="3" t="s">
        <v>382</v>
      </c>
      <c r="XAX31" s="3" t="s">
        <v>383</v>
      </c>
      <c r="XAY31" s="3" t="s">
        <v>382</v>
      </c>
      <c r="XAZ31" s="3" t="s">
        <v>383</v>
      </c>
      <c r="XBA31" s="3" t="s">
        <v>382</v>
      </c>
      <c r="XBB31" s="3" t="s">
        <v>383</v>
      </c>
      <c r="XBC31" s="3" t="s">
        <v>382</v>
      </c>
      <c r="XBD31" s="3" t="s">
        <v>383</v>
      </c>
      <c r="XBE31" s="3" t="s">
        <v>382</v>
      </c>
      <c r="XBF31" s="3" t="s">
        <v>383</v>
      </c>
      <c r="XBG31" s="3" t="s">
        <v>382</v>
      </c>
      <c r="XBH31" s="3" t="s">
        <v>383</v>
      </c>
      <c r="XBI31" s="3" t="s">
        <v>382</v>
      </c>
      <c r="XBJ31" s="3" t="s">
        <v>383</v>
      </c>
      <c r="XBK31" s="3" t="s">
        <v>382</v>
      </c>
      <c r="XBL31" s="3" t="s">
        <v>383</v>
      </c>
      <c r="XBM31" s="3" t="s">
        <v>382</v>
      </c>
      <c r="XBN31" s="3" t="s">
        <v>383</v>
      </c>
      <c r="XBO31" s="3" t="s">
        <v>382</v>
      </c>
      <c r="XBP31" s="3" t="s">
        <v>383</v>
      </c>
      <c r="XBQ31" s="3" t="s">
        <v>382</v>
      </c>
      <c r="XBR31" s="3" t="s">
        <v>383</v>
      </c>
      <c r="XBS31" s="3" t="s">
        <v>382</v>
      </c>
      <c r="XBT31" s="3" t="s">
        <v>383</v>
      </c>
      <c r="XBU31" s="3" t="s">
        <v>382</v>
      </c>
      <c r="XBV31" s="3" t="s">
        <v>383</v>
      </c>
      <c r="XBW31" s="3" t="s">
        <v>382</v>
      </c>
      <c r="XBX31" s="3" t="s">
        <v>383</v>
      </c>
      <c r="XBY31" s="3" t="s">
        <v>382</v>
      </c>
      <c r="XBZ31" s="3" t="s">
        <v>383</v>
      </c>
      <c r="XCA31" s="3" t="s">
        <v>382</v>
      </c>
      <c r="XCB31" s="3" t="s">
        <v>383</v>
      </c>
      <c r="XCC31" s="3" t="s">
        <v>382</v>
      </c>
      <c r="XCD31" s="3" t="s">
        <v>383</v>
      </c>
      <c r="XCE31" s="3" t="s">
        <v>382</v>
      </c>
      <c r="XCF31" s="3" t="s">
        <v>383</v>
      </c>
      <c r="XCG31" s="3" t="s">
        <v>382</v>
      </c>
      <c r="XCH31" s="3" t="s">
        <v>383</v>
      </c>
      <c r="XCI31" s="3" t="s">
        <v>382</v>
      </c>
      <c r="XCJ31" s="3" t="s">
        <v>383</v>
      </c>
      <c r="XCK31" s="3" t="s">
        <v>382</v>
      </c>
      <c r="XCL31" s="3" t="s">
        <v>383</v>
      </c>
      <c r="XCM31" s="3" t="s">
        <v>382</v>
      </c>
      <c r="XCN31" s="3" t="s">
        <v>383</v>
      </c>
      <c r="XCO31" s="3" t="s">
        <v>382</v>
      </c>
      <c r="XCP31" s="3" t="s">
        <v>383</v>
      </c>
      <c r="XCQ31" s="3" t="s">
        <v>382</v>
      </c>
      <c r="XCR31" s="3" t="s">
        <v>383</v>
      </c>
      <c r="XCS31" s="3" t="s">
        <v>382</v>
      </c>
      <c r="XCT31" s="3" t="s">
        <v>383</v>
      </c>
      <c r="XCU31" s="3" t="s">
        <v>382</v>
      </c>
      <c r="XCV31" s="3" t="s">
        <v>383</v>
      </c>
      <c r="XCW31" s="3" t="s">
        <v>382</v>
      </c>
      <c r="XCX31" s="3" t="s">
        <v>383</v>
      </c>
      <c r="XCY31" s="3" t="s">
        <v>382</v>
      </c>
      <c r="XCZ31" s="3" t="s">
        <v>383</v>
      </c>
      <c r="XDA31" s="3" t="s">
        <v>382</v>
      </c>
      <c r="XDB31" s="3" t="s">
        <v>383</v>
      </c>
      <c r="XDC31" s="3" t="s">
        <v>382</v>
      </c>
      <c r="XDD31" s="3" t="s">
        <v>383</v>
      </c>
      <c r="XDE31" s="3" t="s">
        <v>382</v>
      </c>
      <c r="XDF31" s="3" t="s">
        <v>383</v>
      </c>
      <c r="XDG31" s="3" t="s">
        <v>382</v>
      </c>
      <c r="XDH31" s="3" t="s">
        <v>383</v>
      </c>
      <c r="XDI31" s="3" t="s">
        <v>382</v>
      </c>
      <c r="XDJ31" s="3" t="s">
        <v>383</v>
      </c>
      <c r="XDK31" s="3" t="s">
        <v>382</v>
      </c>
      <c r="XDL31" s="3" t="s">
        <v>383</v>
      </c>
      <c r="XDM31" s="3" t="s">
        <v>382</v>
      </c>
      <c r="XDN31" s="3" t="s">
        <v>383</v>
      </c>
      <c r="XDO31" s="3" t="s">
        <v>382</v>
      </c>
      <c r="XDP31" s="3" t="s">
        <v>383</v>
      </c>
      <c r="XDQ31" s="3" t="s">
        <v>382</v>
      </c>
      <c r="XDR31" s="3" t="s">
        <v>383</v>
      </c>
      <c r="XDS31" s="3" t="s">
        <v>382</v>
      </c>
      <c r="XDT31" s="3" t="s">
        <v>383</v>
      </c>
      <c r="XDU31" s="3" t="s">
        <v>382</v>
      </c>
      <c r="XDV31" s="3" t="s">
        <v>383</v>
      </c>
      <c r="XDW31" s="3" t="s">
        <v>382</v>
      </c>
      <c r="XDX31" s="3" t="s">
        <v>383</v>
      </c>
      <c r="XDY31" s="3" t="s">
        <v>382</v>
      </c>
      <c r="XDZ31" s="3" t="s">
        <v>383</v>
      </c>
      <c r="XEA31" s="3" t="s">
        <v>382</v>
      </c>
      <c r="XEB31" s="3" t="s">
        <v>383</v>
      </c>
      <c r="XEC31" s="3" t="s">
        <v>382</v>
      </c>
      <c r="XED31" s="3" t="s">
        <v>383</v>
      </c>
      <c r="XEE31" s="3" t="s">
        <v>382</v>
      </c>
      <c r="XEF31" s="3" t="s">
        <v>383</v>
      </c>
      <c r="XEG31" s="3" t="s">
        <v>382</v>
      </c>
      <c r="XEH31" s="3" t="s">
        <v>383</v>
      </c>
      <c r="XEI31" s="3" t="s">
        <v>382</v>
      </c>
      <c r="XEJ31" s="3" t="s">
        <v>383</v>
      </c>
      <c r="XEK31" s="3" t="s">
        <v>382</v>
      </c>
      <c r="XEL31" s="3" t="s">
        <v>383</v>
      </c>
      <c r="XEM31" s="3" t="s">
        <v>382</v>
      </c>
      <c r="XEN31" s="3" t="s">
        <v>383</v>
      </c>
      <c r="XEO31" s="3" t="s">
        <v>382</v>
      </c>
      <c r="XEP31" s="3" t="s">
        <v>383</v>
      </c>
      <c r="XEQ31" s="3" t="s">
        <v>382</v>
      </c>
      <c r="XER31" s="3" t="s">
        <v>383</v>
      </c>
      <c r="XES31" s="3" t="s">
        <v>382</v>
      </c>
      <c r="XET31" s="3" t="s">
        <v>383</v>
      </c>
      <c r="XEU31" s="3" t="s">
        <v>382</v>
      </c>
      <c r="XEV31" s="3" t="s">
        <v>383</v>
      </c>
      <c r="XEW31" s="3" t="s">
        <v>382</v>
      </c>
      <c r="XEX31" s="3" t="s">
        <v>383</v>
      </c>
      <c r="XEY31" s="3" t="s">
        <v>382</v>
      </c>
      <c r="XEZ31" s="3" t="s">
        <v>383</v>
      </c>
      <c r="XFA31" s="3" t="s">
        <v>382</v>
      </c>
      <c r="XFB31" s="3" t="s">
        <v>383</v>
      </c>
      <c r="XFC31" s="3" t="s">
        <v>382</v>
      </c>
      <c r="XFD31" s="3" t="s">
        <v>383</v>
      </c>
    </row>
    <row r="32" spans="1:16384" x14ac:dyDescent="0.25">
      <c r="A32" s="2" t="s">
        <v>404</v>
      </c>
      <c r="B32" s="3" t="s">
        <v>405</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614-6AE3-4BA9-B8C1-16E822BE3079}">
  <sheetPr codeName="Planilha7"/>
  <dimension ref="A1:BA105"/>
  <sheetViews>
    <sheetView workbookViewId="0">
      <selection activeCell="A2" sqref="A2:A7"/>
    </sheetView>
  </sheetViews>
  <sheetFormatPr defaultRowHeight="15" x14ac:dyDescent="0.25"/>
  <cols>
    <col min="4" max="4" width="5.42578125" customWidth="1"/>
    <col min="14" max="14" width="2.42578125" customWidth="1"/>
    <col min="24" max="24" width="2.42578125" customWidth="1"/>
    <col min="34" max="34" width="2.140625" customWidth="1"/>
    <col min="44" max="44" width="2.42578125" customWidth="1"/>
  </cols>
  <sheetData>
    <row r="1" spans="1:53" ht="15.75" x14ac:dyDescent="0.25">
      <c r="A1" s="61" t="s">
        <v>3750</v>
      </c>
      <c r="E1" s="4" t="s">
        <v>3256</v>
      </c>
      <c r="F1" s="4" t="s">
        <v>3257</v>
      </c>
      <c r="G1" s="4" t="s">
        <v>3258</v>
      </c>
      <c r="H1" s="4" t="s">
        <v>3259</v>
      </c>
      <c r="I1" s="5" t="s">
        <v>3260</v>
      </c>
      <c r="J1" s="5" t="s">
        <v>3261</v>
      </c>
      <c r="K1" s="5" t="s">
        <v>3262</v>
      </c>
      <c r="L1" s="5" t="s">
        <v>3260</v>
      </c>
      <c r="M1" s="5" t="s">
        <v>3262</v>
      </c>
      <c r="O1" s="4" t="s">
        <v>3256</v>
      </c>
      <c r="P1" s="4" t="s">
        <v>3257</v>
      </c>
      <c r="Q1" s="4" t="s">
        <v>3258</v>
      </c>
      <c r="R1" s="4" t="s">
        <v>3259</v>
      </c>
      <c r="S1" s="5" t="s">
        <v>3260</v>
      </c>
      <c r="T1" s="5" t="s">
        <v>3261</v>
      </c>
      <c r="U1" s="5" t="s">
        <v>3262</v>
      </c>
      <c r="V1" s="5" t="s">
        <v>3260</v>
      </c>
      <c r="W1" s="5" t="s">
        <v>3262</v>
      </c>
      <c r="Y1" s="4" t="s">
        <v>3256</v>
      </c>
      <c r="Z1" s="4" t="s">
        <v>3257</v>
      </c>
      <c r="AA1" s="4" t="s">
        <v>3258</v>
      </c>
      <c r="AB1" s="4" t="s">
        <v>3259</v>
      </c>
      <c r="AC1" s="5" t="s">
        <v>3260</v>
      </c>
      <c r="AD1" s="5" t="s">
        <v>3261</v>
      </c>
      <c r="AE1" s="5" t="s">
        <v>3262</v>
      </c>
      <c r="AF1" s="5" t="s">
        <v>3260</v>
      </c>
      <c r="AG1" s="5" t="s">
        <v>3262</v>
      </c>
      <c r="AI1" s="4" t="s">
        <v>3256</v>
      </c>
      <c r="AJ1" s="4" t="s">
        <v>3257</v>
      </c>
      <c r="AK1" s="4" t="s">
        <v>3258</v>
      </c>
      <c r="AL1" s="4" t="s">
        <v>3259</v>
      </c>
      <c r="AM1" s="5" t="s">
        <v>3260</v>
      </c>
      <c r="AN1" s="5" t="s">
        <v>3261</v>
      </c>
      <c r="AO1" s="5" t="s">
        <v>3262</v>
      </c>
      <c r="AP1" s="5" t="s">
        <v>3260</v>
      </c>
      <c r="AQ1" s="5" t="s">
        <v>3262</v>
      </c>
      <c r="AS1" s="4" t="s">
        <v>3256</v>
      </c>
      <c r="AT1" s="4" t="s">
        <v>3257</v>
      </c>
      <c r="AU1" s="4" t="s">
        <v>3258</v>
      </c>
      <c r="AV1" s="4" t="s">
        <v>3259</v>
      </c>
      <c r="AW1" s="5" t="s">
        <v>3260</v>
      </c>
      <c r="AX1" s="5" t="s">
        <v>3261</v>
      </c>
      <c r="AY1" s="5" t="s">
        <v>3262</v>
      </c>
      <c r="AZ1" s="5" t="s">
        <v>3260</v>
      </c>
      <c r="BA1" s="5" t="s">
        <v>3262</v>
      </c>
    </row>
    <row r="2" spans="1:53" x14ac:dyDescent="0.25">
      <c r="A2" s="1" t="s">
        <v>154</v>
      </c>
      <c r="B2" t="s">
        <v>155</v>
      </c>
      <c r="E2">
        <v>2023</v>
      </c>
      <c r="F2" s="6">
        <v>149</v>
      </c>
      <c r="G2" s="6" t="s">
        <v>3263</v>
      </c>
      <c r="H2" s="6" t="s">
        <v>3264</v>
      </c>
      <c r="I2" s="7">
        <v>2009</v>
      </c>
      <c r="J2" s="7">
        <v>2</v>
      </c>
      <c r="K2" s="8">
        <v>2.8069999999999999</v>
      </c>
      <c r="L2" s="17">
        <v>804</v>
      </c>
      <c r="M2" s="9">
        <f>SUM(K3,K6,K8,K14,K19,K21,K26,K30,K35,K38,K42,K46,K51:K52,K55,K58,K60,K62,K65:K66,K68)</f>
        <v>73288.462</v>
      </c>
      <c r="N2" s="6"/>
      <c r="O2">
        <v>2022</v>
      </c>
      <c r="P2">
        <v>149</v>
      </c>
      <c r="Q2" s="6" t="s">
        <v>3263</v>
      </c>
      <c r="R2" s="6" t="s">
        <v>3264</v>
      </c>
      <c r="S2" s="10">
        <v>804</v>
      </c>
      <c r="T2" s="10">
        <v>7</v>
      </c>
      <c r="U2" s="8">
        <v>4353.6629999999996</v>
      </c>
      <c r="V2" s="18">
        <v>804</v>
      </c>
      <c r="W2" s="9">
        <f>SUM(U2,U6,U10,U12,U17:U18,U22,U26,U33,U37,U41,U45:U47,U50,U53,U55,U57,U59)</f>
        <v>64131.453999999991</v>
      </c>
      <c r="Y2">
        <v>2021</v>
      </c>
      <c r="Z2">
        <v>149</v>
      </c>
      <c r="AA2" s="6" t="s">
        <v>3263</v>
      </c>
      <c r="AB2" s="6" t="s">
        <v>3264</v>
      </c>
      <c r="AC2" s="10">
        <v>804</v>
      </c>
      <c r="AD2" s="10">
        <v>5</v>
      </c>
      <c r="AE2" s="8">
        <v>4303.6239999999998</v>
      </c>
      <c r="AF2" s="17">
        <v>804</v>
      </c>
      <c r="AG2" s="9">
        <f>SUM(AE2,AE5,AE8,AE10,AE13,AE18,AE20,AE25,AE28,AE30,AE35,AE39,AE43,AE47,AE48,AE50,AE53,AE55,AE58,AE61:AE62)</f>
        <v>93720.224000000017</v>
      </c>
      <c r="AI2">
        <v>2020</v>
      </c>
      <c r="AJ2">
        <v>149</v>
      </c>
      <c r="AK2" s="6" t="s">
        <v>3263</v>
      </c>
      <c r="AL2" s="6" t="s">
        <v>3264</v>
      </c>
      <c r="AM2" s="10">
        <v>804</v>
      </c>
      <c r="AN2" s="10">
        <v>9</v>
      </c>
      <c r="AO2" s="8">
        <v>5651.51</v>
      </c>
      <c r="AP2" s="17">
        <v>804</v>
      </c>
      <c r="AQ2" s="9">
        <f>SUM(AO2,AO7,AO13,AO17,AO19,AO21,AO25,AO29,AO31,AO34,AO36,AO40,AO42,AO46:AO47,AO50,AO53,AO55,AO57,AO60:AO61)</f>
        <v>74966.484000000011</v>
      </c>
      <c r="AS2">
        <v>2019</v>
      </c>
      <c r="AT2">
        <v>149</v>
      </c>
      <c r="AU2" s="6" t="s">
        <v>3263</v>
      </c>
      <c r="AV2" s="6" t="s">
        <v>3264</v>
      </c>
      <c r="AW2" s="10">
        <v>804</v>
      </c>
      <c r="AX2" s="10">
        <v>8</v>
      </c>
      <c r="AY2" s="8">
        <v>4157.4870000000001</v>
      </c>
      <c r="AZ2" s="17">
        <v>804</v>
      </c>
      <c r="BA2" s="9">
        <f>SUM(AY2,AY6,AY10:AY11,AY15,AY18,AY22,AY25,AY27,AY34,AY38,AY43,AY47:AY48,AY51,AY53,AY56,AY59:AY61)</f>
        <v>70281.678</v>
      </c>
    </row>
    <row r="3" spans="1:53" x14ac:dyDescent="0.25">
      <c r="A3" s="2" t="s">
        <v>392</v>
      </c>
      <c r="B3" s="3" t="s">
        <v>393</v>
      </c>
      <c r="E3">
        <v>2023</v>
      </c>
      <c r="F3" s="6">
        <v>149</v>
      </c>
      <c r="G3" s="6" t="s">
        <v>3263</v>
      </c>
      <c r="H3" s="6" t="s">
        <v>3264</v>
      </c>
      <c r="I3" s="7">
        <v>804</v>
      </c>
      <c r="J3" s="7">
        <v>6</v>
      </c>
      <c r="K3" s="8">
        <v>5239.7380000000003</v>
      </c>
      <c r="L3" s="17">
        <v>805</v>
      </c>
      <c r="M3" s="9">
        <f>SUM(K4,K9,K15,K22,K47,K53,K56,K63)</f>
        <v>14141.477000000001</v>
      </c>
      <c r="N3" s="6"/>
      <c r="O3">
        <v>2022</v>
      </c>
      <c r="P3">
        <v>149</v>
      </c>
      <c r="Q3" s="6" t="s">
        <v>3263</v>
      </c>
      <c r="R3" s="6" t="s">
        <v>3264</v>
      </c>
      <c r="S3" s="10">
        <v>805</v>
      </c>
      <c r="T3" s="10">
        <v>2</v>
      </c>
      <c r="U3" s="8">
        <v>66.959999999999994</v>
      </c>
      <c r="V3" s="18">
        <v>805</v>
      </c>
      <c r="W3" s="9">
        <f>SUM(U3,U7,U13,U19,U42,U48,U52,U60)</f>
        <v>14335.773999999998</v>
      </c>
      <c r="Y3">
        <v>2021</v>
      </c>
      <c r="Z3">
        <v>149</v>
      </c>
      <c r="AA3" s="6" t="s">
        <v>3263</v>
      </c>
      <c r="AB3" s="6" t="s">
        <v>3264</v>
      </c>
      <c r="AC3" s="10">
        <v>805</v>
      </c>
      <c r="AD3" s="10">
        <v>4</v>
      </c>
      <c r="AE3" s="8">
        <v>86.4</v>
      </c>
      <c r="AF3" s="17">
        <v>805</v>
      </c>
      <c r="AG3" s="9">
        <f>SUM(AE3,AE14,AE21,AE44,AE49,AE51,AE56,AE59)</f>
        <v>16839.245999999996</v>
      </c>
      <c r="AI3">
        <v>2020</v>
      </c>
      <c r="AJ3">
        <v>149</v>
      </c>
      <c r="AK3" s="6" t="s">
        <v>3263</v>
      </c>
      <c r="AL3" s="6" t="s">
        <v>3264</v>
      </c>
      <c r="AM3" s="10">
        <v>805</v>
      </c>
      <c r="AN3" s="10">
        <v>3</v>
      </c>
      <c r="AO3" s="8">
        <v>151.19999999999999</v>
      </c>
      <c r="AP3" s="17">
        <v>805</v>
      </c>
      <c r="AQ3" s="9">
        <f>SUM(AO3,AO14,AO22,AO32,AO43,AO48,AO51,AO56,AO58)</f>
        <v>14868.061999999998</v>
      </c>
      <c r="AS3">
        <v>2019</v>
      </c>
      <c r="AT3">
        <v>149</v>
      </c>
      <c r="AU3" s="6" t="s">
        <v>3263</v>
      </c>
      <c r="AV3" s="6" t="s">
        <v>3264</v>
      </c>
      <c r="AW3" s="10">
        <v>805</v>
      </c>
      <c r="AX3" s="10">
        <v>7</v>
      </c>
      <c r="AY3" s="8">
        <v>203.904</v>
      </c>
      <c r="AZ3" s="17">
        <v>805</v>
      </c>
      <c r="BA3" s="9">
        <f>SUM(AY3,AY12,AY16,AY19,AY44,AY49,AY54,AY57)</f>
        <v>14443.460000000001</v>
      </c>
    </row>
    <row r="4" spans="1:53" x14ac:dyDescent="0.25">
      <c r="A4" s="2" t="s">
        <v>168</v>
      </c>
      <c r="B4" s="3" t="s">
        <v>169</v>
      </c>
      <c r="E4">
        <v>2023</v>
      </c>
      <c r="F4" s="6">
        <v>149</v>
      </c>
      <c r="G4" s="6" t="s">
        <v>3263</v>
      </c>
      <c r="H4" s="6" t="s">
        <v>3264</v>
      </c>
      <c r="I4" s="7">
        <v>805</v>
      </c>
      <c r="J4" s="7">
        <v>4</v>
      </c>
      <c r="K4" s="8">
        <v>177.12899999999999</v>
      </c>
      <c r="L4" s="17">
        <v>806</v>
      </c>
      <c r="M4" s="9">
        <f>SUM(K5,K7,K11:K12,K16,K18,K20,K23,K27,K34,K36,K41,K44,K48,K54,K57,K59,K61,K67,K69)</f>
        <v>48042.580999999998</v>
      </c>
      <c r="N4" s="6"/>
      <c r="O4">
        <v>2022</v>
      </c>
      <c r="P4">
        <v>149</v>
      </c>
      <c r="Q4" s="6" t="s">
        <v>3263</v>
      </c>
      <c r="R4" s="6" t="s">
        <v>3264</v>
      </c>
      <c r="S4" s="10">
        <v>806</v>
      </c>
      <c r="T4" s="10">
        <v>5</v>
      </c>
      <c r="U4" s="8">
        <v>257.947</v>
      </c>
      <c r="V4" s="18">
        <v>806</v>
      </c>
      <c r="W4" s="9">
        <f>SUM(U4,U11,U14,U16,U20,U23,U30,U31,U36,U39,U43,U49,U51,U58,U54,U61)</f>
        <v>34170.159</v>
      </c>
      <c r="Y4">
        <v>2021</v>
      </c>
      <c r="Z4">
        <v>149</v>
      </c>
      <c r="AA4" s="6" t="s">
        <v>3263</v>
      </c>
      <c r="AB4" s="6" t="s">
        <v>3264</v>
      </c>
      <c r="AC4" s="10">
        <v>806</v>
      </c>
      <c r="AD4" s="10">
        <v>5</v>
      </c>
      <c r="AE4" s="8">
        <v>142.90199999999999</v>
      </c>
      <c r="AF4" s="17">
        <v>806</v>
      </c>
      <c r="AG4" s="9">
        <f>SUM(AE4,AE6,AE11,AE15,AE17,AE19,AE22,AE26,AE33,AE36,AE38,AE41,AE45,AE52,AE54,AE57)</f>
        <v>50426.39</v>
      </c>
      <c r="AI4">
        <v>2020</v>
      </c>
      <c r="AJ4">
        <v>149</v>
      </c>
      <c r="AK4" s="6" t="s">
        <v>3263</v>
      </c>
      <c r="AL4" s="6" t="s">
        <v>3264</v>
      </c>
      <c r="AM4" s="10">
        <v>806</v>
      </c>
      <c r="AN4" s="10">
        <v>1</v>
      </c>
      <c r="AO4" s="8">
        <v>14.76</v>
      </c>
      <c r="AP4" s="17">
        <v>806</v>
      </c>
      <c r="AQ4" s="9">
        <f>SUM(AO4,AO5,AO11,AO15,AO18,AO20,AO23,AO26,AO35,AO44,AO49,AO52,AO54)</f>
        <v>32936.011999999995</v>
      </c>
      <c r="AS4">
        <v>2019</v>
      </c>
      <c r="AT4">
        <v>149</v>
      </c>
      <c r="AU4" s="6" t="s">
        <v>3263</v>
      </c>
      <c r="AV4" s="6" t="s">
        <v>3264</v>
      </c>
      <c r="AW4" s="10">
        <v>806</v>
      </c>
      <c r="AX4" s="10">
        <v>1</v>
      </c>
      <c r="AY4" s="8">
        <v>1.2E-2</v>
      </c>
      <c r="AZ4" s="17">
        <v>806</v>
      </c>
      <c r="BA4" s="9">
        <f>SUM(AY4,AY13,AY14,AY17,AY20,AY23,AY28,AY30,AY32,AY33,AY37,AY40:AY41,AY45,AY50,AY52,AY55,AY58,AY62)</f>
        <v>32778.035000000003</v>
      </c>
    </row>
    <row r="5" spans="1:53" x14ac:dyDescent="0.25">
      <c r="A5" s="2" t="s">
        <v>156</v>
      </c>
      <c r="B5" s="3" t="s">
        <v>157</v>
      </c>
      <c r="E5">
        <v>2023</v>
      </c>
      <c r="F5" s="6">
        <v>149</v>
      </c>
      <c r="G5" s="6" t="s">
        <v>3263</v>
      </c>
      <c r="H5" s="6" t="s">
        <v>3264</v>
      </c>
      <c r="I5" s="7">
        <v>806</v>
      </c>
      <c r="J5" s="7">
        <v>7</v>
      </c>
      <c r="K5" s="8">
        <v>594.22500000000002</v>
      </c>
      <c r="L5" s="17">
        <v>811</v>
      </c>
      <c r="M5" s="9">
        <f>SUM(K17,K28,K31:K33,K40,K43,K50)</f>
        <v>824.94600000000003</v>
      </c>
      <c r="N5" s="6"/>
      <c r="O5">
        <v>2022</v>
      </c>
      <c r="P5">
        <v>158</v>
      </c>
      <c r="Q5" s="6" t="s">
        <v>3056</v>
      </c>
      <c r="R5" s="6" t="s">
        <v>3265</v>
      </c>
      <c r="S5" s="10">
        <v>2009</v>
      </c>
      <c r="T5" s="10">
        <v>2</v>
      </c>
      <c r="U5" s="8">
        <v>50.27</v>
      </c>
      <c r="V5" s="18">
        <v>811</v>
      </c>
      <c r="W5" s="9">
        <f>SUM(U15,U24,U27,U28,U29,U35,U38,U44)</f>
        <v>1036.924</v>
      </c>
      <c r="Y5">
        <v>2021</v>
      </c>
      <c r="Z5">
        <v>154</v>
      </c>
      <c r="AA5" s="6" t="s">
        <v>3266</v>
      </c>
      <c r="AB5" s="6" t="s">
        <v>3267</v>
      </c>
      <c r="AC5" s="10">
        <v>804</v>
      </c>
      <c r="AD5" s="10">
        <v>3</v>
      </c>
      <c r="AE5" s="8">
        <v>5.6159999999999997</v>
      </c>
      <c r="AF5" s="17">
        <v>811</v>
      </c>
      <c r="AG5" s="9">
        <f>SUM(AE16,AE27,AE31:AE32,AE40,AE46)</f>
        <v>701.12100000000009</v>
      </c>
      <c r="AI5">
        <v>2020</v>
      </c>
      <c r="AJ5">
        <v>154</v>
      </c>
      <c r="AK5" s="6" t="s">
        <v>3266</v>
      </c>
      <c r="AL5" s="6" t="s">
        <v>3267</v>
      </c>
      <c r="AM5" s="10">
        <v>806</v>
      </c>
      <c r="AN5" s="10">
        <v>1</v>
      </c>
      <c r="AO5" s="8">
        <v>0.24</v>
      </c>
      <c r="AP5" s="17">
        <v>811</v>
      </c>
      <c r="AQ5" s="9">
        <f>SUM(AO9,AO16,AO27,AO30,AO33,AO38:AO39,AO45)</f>
        <v>647.96600000000001</v>
      </c>
      <c r="AS5">
        <v>2019</v>
      </c>
      <c r="AT5">
        <v>158</v>
      </c>
      <c r="AU5" s="6" t="s">
        <v>3056</v>
      </c>
      <c r="AV5" s="6" t="s">
        <v>3265</v>
      </c>
      <c r="AW5" s="10">
        <v>2009</v>
      </c>
      <c r="AX5" s="10">
        <v>3</v>
      </c>
      <c r="AY5" s="8">
        <v>75.45</v>
      </c>
      <c r="AZ5" s="17">
        <v>811</v>
      </c>
      <c r="BA5" s="9">
        <f>SUM(AY24,AY29,AY31,AY36,AY39,AY46,AY63)</f>
        <v>863.274</v>
      </c>
    </row>
    <row r="6" spans="1:53" x14ac:dyDescent="0.25">
      <c r="A6" s="2" t="s">
        <v>158</v>
      </c>
      <c r="B6" s="3" t="s">
        <v>159</v>
      </c>
      <c r="E6">
        <v>2023</v>
      </c>
      <c r="F6" s="6">
        <v>154</v>
      </c>
      <c r="G6" s="6" t="s">
        <v>3266</v>
      </c>
      <c r="H6" s="6" t="s">
        <v>3267</v>
      </c>
      <c r="I6" s="7">
        <v>804</v>
      </c>
      <c r="J6" s="7">
        <v>1</v>
      </c>
      <c r="K6" s="8">
        <v>8.0000000000000002E-3</v>
      </c>
      <c r="L6" s="17">
        <v>2009</v>
      </c>
      <c r="M6" s="9">
        <f>SUM(K2,K10,K13,K25,K29,K37,K39,K45,K64)</f>
        <v>997.3900000000001</v>
      </c>
      <c r="N6" s="6"/>
      <c r="O6">
        <v>2022</v>
      </c>
      <c r="P6">
        <v>158</v>
      </c>
      <c r="Q6" s="6" t="s">
        <v>3056</v>
      </c>
      <c r="R6" s="6" t="s">
        <v>3265</v>
      </c>
      <c r="S6" s="10">
        <v>804</v>
      </c>
      <c r="T6" s="10">
        <v>10</v>
      </c>
      <c r="U6" s="8">
        <v>2021.76</v>
      </c>
      <c r="V6" s="18">
        <v>2009</v>
      </c>
      <c r="W6" s="9">
        <f>SUM(U5,U8:U9,U21,U25,U32,U34,U40,U56)</f>
        <v>1314.1949999999999</v>
      </c>
      <c r="Y6">
        <v>2021</v>
      </c>
      <c r="Z6">
        <v>154</v>
      </c>
      <c r="AA6" s="6" t="s">
        <v>3266</v>
      </c>
      <c r="AB6" s="6" t="s">
        <v>3267</v>
      </c>
      <c r="AC6" s="10">
        <v>806</v>
      </c>
      <c r="AD6" s="10">
        <v>1</v>
      </c>
      <c r="AE6" s="8">
        <v>2.4</v>
      </c>
      <c r="AF6" s="17">
        <v>2009</v>
      </c>
      <c r="AG6" s="9">
        <f>SUM(AE7,AE9,AE12,AE24,AE29,AE34,AE37,AE42,AE60)</f>
        <v>1531.5309999999999</v>
      </c>
      <c r="AI6">
        <v>2020</v>
      </c>
      <c r="AJ6">
        <v>158</v>
      </c>
      <c r="AK6" s="6" t="s">
        <v>3056</v>
      </c>
      <c r="AL6" s="6" t="s">
        <v>3265</v>
      </c>
      <c r="AM6" s="10">
        <v>2009</v>
      </c>
      <c r="AN6" s="10">
        <v>3</v>
      </c>
      <c r="AO6" s="8">
        <v>124.10599999999999</v>
      </c>
      <c r="AP6" s="17">
        <v>2009</v>
      </c>
      <c r="AQ6" s="9">
        <f>SUM(AO6,AO8,AO10,AO12,AO24,AO28,AO37,AO41,AO59)</f>
        <v>1163.9829999999999</v>
      </c>
      <c r="AS6">
        <v>2019</v>
      </c>
      <c r="AT6">
        <v>158</v>
      </c>
      <c r="AU6" s="6" t="s">
        <v>3056</v>
      </c>
      <c r="AV6" s="6" t="s">
        <v>3265</v>
      </c>
      <c r="AW6" s="10">
        <v>804</v>
      </c>
      <c r="AX6" s="10">
        <v>5</v>
      </c>
      <c r="AY6" s="8">
        <v>177.98400000000001</v>
      </c>
      <c r="AZ6" s="17">
        <v>2009</v>
      </c>
      <c r="BA6" s="9">
        <f>SUM(AY5,AY8:AY9,AY21,AY26,AY35,AY42)</f>
        <v>1167.587</v>
      </c>
    </row>
    <row r="7" spans="1:53" x14ac:dyDescent="0.25">
      <c r="A7" s="2" t="s">
        <v>160</v>
      </c>
      <c r="B7" s="3" t="s">
        <v>161</v>
      </c>
      <c r="E7">
        <v>2023</v>
      </c>
      <c r="F7" s="6">
        <v>154</v>
      </c>
      <c r="G7" s="6" t="s">
        <v>3266</v>
      </c>
      <c r="H7" s="6" t="s">
        <v>3267</v>
      </c>
      <c r="I7" s="7">
        <v>806</v>
      </c>
      <c r="J7" s="7">
        <v>2</v>
      </c>
      <c r="K7" s="8">
        <v>1.2</v>
      </c>
      <c r="L7" s="6"/>
      <c r="M7" s="6"/>
      <c r="N7" s="6"/>
      <c r="O7">
        <v>2022</v>
      </c>
      <c r="P7">
        <v>158</v>
      </c>
      <c r="Q7" s="6" t="s">
        <v>3056</v>
      </c>
      <c r="R7" s="6" t="s">
        <v>3265</v>
      </c>
      <c r="S7" s="10">
        <v>805</v>
      </c>
      <c r="T7" s="10">
        <v>3</v>
      </c>
      <c r="U7" s="8">
        <v>67.5</v>
      </c>
      <c r="Y7">
        <v>2021</v>
      </c>
      <c r="Z7">
        <v>158</v>
      </c>
      <c r="AA7" s="6" t="s">
        <v>3056</v>
      </c>
      <c r="AB7" s="6" t="s">
        <v>3265</v>
      </c>
      <c r="AC7" s="10">
        <v>2009</v>
      </c>
      <c r="AD7" s="10">
        <v>5</v>
      </c>
      <c r="AE7" s="8">
        <v>149.792</v>
      </c>
      <c r="AI7">
        <v>2020</v>
      </c>
      <c r="AJ7">
        <v>158</v>
      </c>
      <c r="AK7" s="6" t="s">
        <v>3056</v>
      </c>
      <c r="AL7" s="6" t="s">
        <v>3265</v>
      </c>
      <c r="AM7" s="10">
        <v>804</v>
      </c>
      <c r="AN7" s="10">
        <v>4</v>
      </c>
      <c r="AO7" s="8">
        <v>291.596</v>
      </c>
      <c r="AS7">
        <v>2019</v>
      </c>
      <c r="AT7">
        <v>160</v>
      </c>
      <c r="AU7" s="6" t="s">
        <v>3057</v>
      </c>
      <c r="AV7" s="6" t="s">
        <v>3267</v>
      </c>
      <c r="AW7" s="10">
        <v>2009</v>
      </c>
      <c r="AX7" s="10">
        <v>6</v>
      </c>
      <c r="AY7" s="8">
        <v>161</v>
      </c>
      <c r="AZ7" s="1"/>
    </row>
    <row r="8" spans="1:53" x14ac:dyDescent="0.25">
      <c r="A8" s="60" t="s">
        <v>3751</v>
      </c>
      <c r="E8">
        <v>2023</v>
      </c>
      <c r="F8" s="6">
        <v>158</v>
      </c>
      <c r="G8" s="6" t="s">
        <v>3056</v>
      </c>
      <c r="H8" s="6" t="s">
        <v>3265</v>
      </c>
      <c r="I8" s="7">
        <v>804</v>
      </c>
      <c r="J8" s="7">
        <v>7</v>
      </c>
      <c r="K8" s="8">
        <v>673.05600000000004</v>
      </c>
      <c r="L8" s="6"/>
      <c r="M8" s="12"/>
      <c r="N8" s="6"/>
      <c r="O8">
        <v>2022</v>
      </c>
      <c r="P8">
        <v>160</v>
      </c>
      <c r="Q8" s="6" t="s">
        <v>3057</v>
      </c>
      <c r="R8" s="6" t="s">
        <v>3267</v>
      </c>
      <c r="S8" s="10">
        <v>2009</v>
      </c>
      <c r="T8" s="10">
        <v>4</v>
      </c>
      <c r="U8" s="8">
        <v>87.173000000000002</v>
      </c>
      <c r="W8" s="12"/>
      <c r="Y8">
        <v>2021</v>
      </c>
      <c r="Z8">
        <v>158</v>
      </c>
      <c r="AA8" s="6" t="s">
        <v>3056</v>
      </c>
      <c r="AB8" s="6" t="s">
        <v>3265</v>
      </c>
      <c r="AC8" s="10">
        <v>804</v>
      </c>
      <c r="AD8" s="10">
        <v>9</v>
      </c>
      <c r="AE8" s="8">
        <v>2110.46</v>
      </c>
      <c r="AG8" s="12"/>
      <c r="AI8">
        <v>2020</v>
      </c>
      <c r="AJ8">
        <v>160</v>
      </c>
      <c r="AK8" s="6" t="s">
        <v>3057</v>
      </c>
      <c r="AL8" s="6" t="s">
        <v>3267</v>
      </c>
      <c r="AM8" s="10">
        <v>2009</v>
      </c>
      <c r="AN8" s="10">
        <v>4</v>
      </c>
      <c r="AO8" s="8">
        <v>70.05</v>
      </c>
      <c r="AP8" s="1"/>
      <c r="AQ8" s="12"/>
      <c r="AS8">
        <v>2019</v>
      </c>
      <c r="AT8">
        <v>187</v>
      </c>
      <c r="AU8" s="6" t="s">
        <v>3268</v>
      </c>
      <c r="AV8" s="6" t="s">
        <v>3267</v>
      </c>
      <c r="AW8" s="10">
        <v>2009</v>
      </c>
      <c r="AX8" s="10">
        <v>1</v>
      </c>
      <c r="AY8" s="8">
        <v>8.0039999999999996</v>
      </c>
      <c r="BA8" s="12"/>
    </row>
    <row r="9" spans="1:53" x14ac:dyDescent="0.25">
      <c r="E9">
        <v>2023</v>
      </c>
      <c r="F9" s="6">
        <v>158</v>
      </c>
      <c r="G9" s="6" t="s">
        <v>3056</v>
      </c>
      <c r="H9" s="6" t="s">
        <v>3265</v>
      </c>
      <c r="I9" s="7">
        <v>805</v>
      </c>
      <c r="J9" s="7">
        <v>1</v>
      </c>
      <c r="K9" s="8">
        <v>0</v>
      </c>
      <c r="L9" s="6"/>
      <c r="M9" s="6"/>
      <c r="N9" s="6"/>
      <c r="O9">
        <v>2022</v>
      </c>
      <c r="P9">
        <v>190</v>
      </c>
      <c r="Q9" s="6" t="s">
        <v>3269</v>
      </c>
      <c r="R9" s="6" t="s">
        <v>3267</v>
      </c>
      <c r="S9" s="10">
        <v>2009</v>
      </c>
      <c r="T9" s="10">
        <v>1</v>
      </c>
      <c r="U9" s="8">
        <v>4.0019999999999998</v>
      </c>
      <c r="Y9">
        <v>2021</v>
      </c>
      <c r="Z9">
        <v>160</v>
      </c>
      <c r="AA9" s="6" t="s">
        <v>3057</v>
      </c>
      <c r="AB9" s="6" t="s">
        <v>3267</v>
      </c>
      <c r="AC9" s="10">
        <v>2009</v>
      </c>
      <c r="AD9" s="10">
        <v>3</v>
      </c>
      <c r="AE9" s="8">
        <v>72.91</v>
      </c>
      <c r="AI9">
        <v>2020</v>
      </c>
      <c r="AJ9">
        <v>160</v>
      </c>
      <c r="AK9" s="6" t="s">
        <v>3057</v>
      </c>
      <c r="AL9" s="6" t="s">
        <v>3267</v>
      </c>
      <c r="AM9" s="10">
        <v>811</v>
      </c>
      <c r="AN9" s="10">
        <v>1</v>
      </c>
      <c r="AO9" s="8">
        <v>2E-3</v>
      </c>
      <c r="AS9">
        <v>2019</v>
      </c>
      <c r="AT9">
        <v>190</v>
      </c>
      <c r="AU9" s="6" t="s">
        <v>3269</v>
      </c>
      <c r="AV9" s="6" t="s">
        <v>3267</v>
      </c>
      <c r="AW9" s="10">
        <v>2009</v>
      </c>
      <c r="AX9" s="10">
        <v>2</v>
      </c>
      <c r="AY9" s="8">
        <v>11.016999999999999</v>
      </c>
    </row>
    <row r="10" spans="1:53" x14ac:dyDescent="0.25">
      <c r="E10">
        <v>2023</v>
      </c>
      <c r="F10" s="6">
        <v>160</v>
      </c>
      <c r="G10" s="6" t="s">
        <v>3057</v>
      </c>
      <c r="H10" s="6" t="s">
        <v>3267</v>
      </c>
      <c r="I10" s="7">
        <v>2009</v>
      </c>
      <c r="J10" s="7">
        <v>4</v>
      </c>
      <c r="K10" s="8">
        <v>89.93</v>
      </c>
      <c r="L10" s="6"/>
      <c r="M10" s="6"/>
      <c r="N10" s="6"/>
      <c r="O10">
        <v>2022</v>
      </c>
      <c r="P10">
        <v>198</v>
      </c>
      <c r="Q10" s="6" t="s">
        <v>3270</v>
      </c>
      <c r="R10" s="6" t="s">
        <v>3267</v>
      </c>
      <c r="S10" s="10">
        <v>804</v>
      </c>
      <c r="T10" s="10">
        <v>1</v>
      </c>
      <c r="U10" s="8">
        <v>5.5439999999999996</v>
      </c>
      <c r="Y10">
        <v>2021</v>
      </c>
      <c r="Z10">
        <v>198</v>
      </c>
      <c r="AA10" s="6" t="s">
        <v>3270</v>
      </c>
      <c r="AB10" s="6" t="s">
        <v>3267</v>
      </c>
      <c r="AC10" s="10">
        <v>804</v>
      </c>
      <c r="AD10" s="10">
        <v>3</v>
      </c>
      <c r="AE10" s="8">
        <v>7.3920000000000003</v>
      </c>
      <c r="AI10">
        <v>2020</v>
      </c>
      <c r="AJ10">
        <v>190</v>
      </c>
      <c r="AK10" s="6" t="s">
        <v>3269</v>
      </c>
      <c r="AL10" s="6" t="s">
        <v>3267</v>
      </c>
      <c r="AM10" s="10">
        <v>2009</v>
      </c>
      <c r="AN10" s="10">
        <v>1</v>
      </c>
      <c r="AO10" s="8">
        <v>9.1080000000000005</v>
      </c>
      <c r="AS10">
        <v>2019</v>
      </c>
      <c r="AT10">
        <v>190</v>
      </c>
      <c r="AU10" s="6" t="s">
        <v>3269</v>
      </c>
      <c r="AV10" s="6" t="s">
        <v>3267</v>
      </c>
      <c r="AW10" s="10">
        <v>804</v>
      </c>
      <c r="AX10" s="10">
        <v>2</v>
      </c>
      <c r="AY10" s="8">
        <v>5.74</v>
      </c>
    </row>
    <row r="11" spans="1:53" x14ac:dyDescent="0.25">
      <c r="E11">
        <v>2023</v>
      </c>
      <c r="F11" s="6">
        <v>160</v>
      </c>
      <c r="G11" s="6" t="s">
        <v>3057</v>
      </c>
      <c r="H11" s="6" t="s">
        <v>3267</v>
      </c>
      <c r="I11" s="7">
        <v>806</v>
      </c>
      <c r="J11" s="7">
        <v>1</v>
      </c>
      <c r="K11" s="8">
        <v>0.42599999999999999</v>
      </c>
      <c r="L11" s="6"/>
      <c r="M11" s="6"/>
      <c r="N11" s="6"/>
      <c r="O11">
        <v>2022</v>
      </c>
      <c r="P11">
        <v>198</v>
      </c>
      <c r="Q11" s="6" t="s">
        <v>3270</v>
      </c>
      <c r="R11" s="6" t="s">
        <v>3267</v>
      </c>
      <c r="S11" s="10">
        <v>806</v>
      </c>
      <c r="T11" s="10">
        <v>2</v>
      </c>
      <c r="U11" s="8">
        <v>3.5</v>
      </c>
      <c r="Y11">
        <v>2021</v>
      </c>
      <c r="Z11">
        <v>198</v>
      </c>
      <c r="AA11" s="6" t="s">
        <v>3270</v>
      </c>
      <c r="AB11" s="6" t="s">
        <v>3267</v>
      </c>
      <c r="AC11" s="10">
        <v>806</v>
      </c>
      <c r="AD11" s="10">
        <v>6</v>
      </c>
      <c r="AE11" s="8">
        <v>13.955</v>
      </c>
      <c r="AI11">
        <v>2020</v>
      </c>
      <c r="AJ11">
        <v>198</v>
      </c>
      <c r="AK11" s="6" t="s">
        <v>3270</v>
      </c>
      <c r="AL11" s="6" t="s">
        <v>3267</v>
      </c>
      <c r="AM11" s="10">
        <v>806</v>
      </c>
      <c r="AN11" s="10">
        <v>1</v>
      </c>
      <c r="AO11" s="8">
        <v>1.573</v>
      </c>
      <c r="AS11">
        <v>2019</v>
      </c>
      <c r="AT11">
        <v>23</v>
      </c>
      <c r="AU11" s="6" t="s">
        <v>3271</v>
      </c>
      <c r="AV11" s="6" t="s">
        <v>3272</v>
      </c>
      <c r="AW11" s="10">
        <v>804</v>
      </c>
      <c r="AX11" s="10">
        <v>6</v>
      </c>
      <c r="AY11" s="8">
        <v>68.28</v>
      </c>
    </row>
    <row r="12" spans="1:53" x14ac:dyDescent="0.25">
      <c r="E12">
        <v>2023</v>
      </c>
      <c r="F12" s="6">
        <v>198</v>
      </c>
      <c r="G12" s="6" t="s">
        <v>3270</v>
      </c>
      <c r="H12" s="6" t="s">
        <v>3267</v>
      </c>
      <c r="I12" s="7">
        <v>806</v>
      </c>
      <c r="J12" s="7">
        <v>1</v>
      </c>
      <c r="K12" s="8">
        <v>1.5</v>
      </c>
      <c r="L12" s="6"/>
      <c r="M12" s="6"/>
      <c r="N12" s="6"/>
      <c r="O12">
        <v>2022</v>
      </c>
      <c r="P12">
        <v>23</v>
      </c>
      <c r="Q12" s="6" t="s">
        <v>3271</v>
      </c>
      <c r="R12" s="6" t="s">
        <v>3272</v>
      </c>
      <c r="S12" s="10">
        <v>804</v>
      </c>
      <c r="T12" s="10">
        <v>6</v>
      </c>
      <c r="U12" s="8">
        <v>178.05799999999999</v>
      </c>
      <c r="Y12">
        <v>2021</v>
      </c>
      <c r="Z12">
        <v>23</v>
      </c>
      <c r="AA12" s="6" t="s">
        <v>3271</v>
      </c>
      <c r="AB12" s="6" t="s">
        <v>3272</v>
      </c>
      <c r="AC12" s="10">
        <v>2009</v>
      </c>
      <c r="AD12" s="10">
        <v>3</v>
      </c>
      <c r="AE12" s="8">
        <v>67.754999999999995</v>
      </c>
      <c r="AI12">
        <v>2020</v>
      </c>
      <c r="AJ12">
        <v>23</v>
      </c>
      <c r="AK12" s="6" t="s">
        <v>3271</v>
      </c>
      <c r="AL12" s="6" t="s">
        <v>3272</v>
      </c>
      <c r="AM12" s="10">
        <v>2009</v>
      </c>
      <c r="AN12" s="10">
        <v>5</v>
      </c>
      <c r="AO12" s="8">
        <v>107.83</v>
      </c>
      <c r="AS12">
        <v>2019</v>
      </c>
      <c r="AT12">
        <v>23</v>
      </c>
      <c r="AU12" s="6" t="s">
        <v>3271</v>
      </c>
      <c r="AV12" s="6" t="s">
        <v>3272</v>
      </c>
      <c r="AW12" s="10">
        <v>805</v>
      </c>
      <c r="AX12" s="10">
        <v>10</v>
      </c>
      <c r="AY12" s="8">
        <v>7.1999999999999995E-2</v>
      </c>
    </row>
    <row r="13" spans="1:53" x14ac:dyDescent="0.25">
      <c r="E13">
        <v>2023</v>
      </c>
      <c r="F13" s="6">
        <v>23</v>
      </c>
      <c r="G13" s="6" t="s">
        <v>3271</v>
      </c>
      <c r="H13" s="6" t="s">
        <v>3272</v>
      </c>
      <c r="I13" s="7">
        <v>2009</v>
      </c>
      <c r="J13" s="7">
        <v>2</v>
      </c>
      <c r="K13" s="8">
        <v>42.9</v>
      </c>
      <c r="L13" s="6"/>
      <c r="M13" s="6"/>
      <c r="N13" s="6"/>
      <c r="O13">
        <v>2022</v>
      </c>
      <c r="P13">
        <v>23</v>
      </c>
      <c r="Q13" s="6" t="s">
        <v>3271</v>
      </c>
      <c r="R13" s="6" t="s">
        <v>3272</v>
      </c>
      <c r="S13" s="10">
        <v>805</v>
      </c>
      <c r="T13" s="10">
        <v>9</v>
      </c>
      <c r="U13" s="8">
        <v>23.82</v>
      </c>
      <c r="Y13">
        <v>2021</v>
      </c>
      <c r="Z13">
        <v>23</v>
      </c>
      <c r="AA13" s="6" t="s">
        <v>3271</v>
      </c>
      <c r="AB13" s="6" t="s">
        <v>3272</v>
      </c>
      <c r="AC13" s="10">
        <v>804</v>
      </c>
      <c r="AD13" s="10">
        <v>7</v>
      </c>
      <c r="AE13" s="8">
        <v>172.928</v>
      </c>
      <c r="AI13">
        <v>2020</v>
      </c>
      <c r="AJ13">
        <v>23</v>
      </c>
      <c r="AK13" s="6" t="s">
        <v>3271</v>
      </c>
      <c r="AL13" s="6" t="s">
        <v>3272</v>
      </c>
      <c r="AM13" s="10">
        <v>804</v>
      </c>
      <c r="AN13" s="10">
        <v>8</v>
      </c>
      <c r="AO13" s="8">
        <v>6.4370000000000003</v>
      </c>
      <c r="AS13">
        <v>2019</v>
      </c>
      <c r="AT13">
        <v>23</v>
      </c>
      <c r="AU13" s="6" t="s">
        <v>3271</v>
      </c>
      <c r="AV13" s="6" t="s">
        <v>3272</v>
      </c>
      <c r="AW13" s="10">
        <v>806</v>
      </c>
      <c r="AX13" s="10">
        <v>9</v>
      </c>
      <c r="AY13" s="8">
        <v>1304.53</v>
      </c>
    </row>
    <row r="14" spans="1:53" x14ac:dyDescent="0.25">
      <c r="E14">
        <v>2023</v>
      </c>
      <c r="F14" s="6">
        <v>23</v>
      </c>
      <c r="G14" s="6" t="s">
        <v>3271</v>
      </c>
      <c r="H14" s="6" t="s">
        <v>3272</v>
      </c>
      <c r="I14" s="7">
        <v>804</v>
      </c>
      <c r="J14" s="7">
        <v>6</v>
      </c>
      <c r="K14" s="8">
        <v>77.78</v>
      </c>
      <c r="L14" s="6"/>
      <c r="M14" s="6"/>
      <c r="N14" s="6"/>
      <c r="O14">
        <v>2022</v>
      </c>
      <c r="P14">
        <v>23</v>
      </c>
      <c r="Q14" s="6" t="s">
        <v>3271</v>
      </c>
      <c r="R14" s="6" t="s">
        <v>3272</v>
      </c>
      <c r="S14" s="10">
        <v>806</v>
      </c>
      <c r="T14" s="10">
        <v>6</v>
      </c>
      <c r="U14" s="8">
        <v>546.346</v>
      </c>
      <c r="Y14">
        <v>2021</v>
      </c>
      <c r="Z14">
        <v>23</v>
      </c>
      <c r="AA14" s="6" t="s">
        <v>3271</v>
      </c>
      <c r="AB14" s="6" t="s">
        <v>3272</v>
      </c>
      <c r="AC14" s="10">
        <v>805</v>
      </c>
      <c r="AD14" s="10">
        <v>7</v>
      </c>
      <c r="AE14" s="8">
        <v>10.14</v>
      </c>
      <c r="AI14">
        <v>2020</v>
      </c>
      <c r="AJ14">
        <v>23</v>
      </c>
      <c r="AK14" s="6" t="s">
        <v>3271</v>
      </c>
      <c r="AL14" s="6" t="s">
        <v>3272</v>
      </c>
      <c r="AM14" s="10">
        <v>805</v>
      </c>
      <c r="AN14" s="10">
        <v>10</v>
      </c>
      <c r="AO14" s="8">
        <v>10.191000000000001</v>
      </c>
      <c r="AS14">
        <v>2019</v>
      </c>
      <c r="AT14">
        <v>232</v>
      </c>
      <c r="AU14" s="6" t="s">
        <v>3273</v>
      </c>
      <c r="AV14" s="6" t="s">
        <v>3272</v>
      </c>
      <c r="AW14" s="10">
        <v>806</v>
      </c>
      <c r="AX14" s="10">
        <v>2</v>
      </c>
      <c r="AY14" s="8">
        <v>36.024999999999999</v>
      </c>
    </row>
    <row r="15" spans="1:53" x14ac:dyDescent="0.25">
      <c r="E15">
        <v>2023</v>
      </c>
      <c r="F15" s="6">
        <v>23</v>
      </c>
      <c r="G15" s="6" t="s">
        <v>3271</v>
      </c>
      <c r="H15" s="6" t="s">
        <v>3272</v>
      </c>
      <c r="I15" s="7">
        <v>805</v>
      </c>
      <c r="J15" s="7">
        <v>8</v>
      </c>
      <c r="K15" s="8">
        <v>4.8000000000000001E-2</v>
      </c>
      <c r="L15" s="6"/>
      <c r="M15" s="6"/>
      <c r="N15" s="6"/>
      <c r="O15">
        <v>2022</v>
      </c>
      <c r="P15">
        <v>23</v>
      </c>
      <c r="Q15" s="6" t="s">
        <v>3271</v>
      </c>
      <c r="R15" s="6" t="s">
        <v>3272</v>
      </c>
      <c r="S15" s="10">
        <v>811</v>
      </c>
      <c r="T15" s="10">
        <v>3</v>
      </c>
      <c r="U15" s="8">
        <v>140.04</v>
      </c>
      <c r="Y15">
        <v>2021</v>
      </c>
      <c r="Z15">
        <v>23</v>
      </c>
      <c r="AA15" s="6" t="s">
        <v>3271</v>
      </c>
      <c r="AB15" s="6" t="s">
        <v>3272</v>
      </c>
      <c r="AC15" s="10">
        <v>806</v>
      </c>
      <c r="AD15" s="10">
        <v>6</v>
      </c>
      <c r="AE15" s="8">
        <v>1244.8969999999999</v>
      </c>
      <c r="AI15">
        <v>2020</v>
      </c>
      <c r="AJ15">
        <v>23</v>
      </c>
      <c r="AK15" s="6" t="s">
        <v>3271</v>
      </c>
      <c r="AL15" s="6" t="s">
        <v>3272</v>
      </c>
      <c r="AM15" s="10">
        <v>806</v>
      </c>
      <c r="AN15" s="10">
        <v>8</v>
      </c>
      <c r="AO15" s="8">
        <v>945.93899999999996</v>
      </c>
      <c r="AS15">
        <v>2019</v>
      </c>
      <c r="AT15">
        <v>244</v>
      </c>
      <c r="AU15" s="6" t="s">
        <v>3274</v>
      </c>
      <c r="AV15" s="6" t="s">
        <v>3267</v>
      </c>
      <c r="AW15" s="10">
        <v>804</v>
      </c>
      <c r="AX15" s="10">
        <v>5</v>
      </c>
      <c r="AY15" s="8">
        <v>192.78299999999999</v>
      </c>
    </row>
    <row r="16" spans="1:53" x14ac:dyDescent="0.25">
      <c r="E16">
        <v>2023</v>
      </c>
      <c r="F16" s="6">
        <v>23</v>
      </c>
      <c r="G16" s="6" t="s">
        <v>3271</v>
      </c>
      <c r="H16" s="6" t="s">
        <v>3272</v>
      </c>
      <c r="I16" s="7">
        <v>806</v>
      </c>
      <c r="J16" s="7">
        <v>8</v>
      </c>
      <c r="K16" s="8">
        <v>1364.9639999999999</v>
      </c>
      <c r="L16" s="6"/>
      <c r="M16" s="6"/>
      <c r="N16" s="6"/>
      <c r="O16">
        <v>2022</v>
      </c>
      <c r="P16">
        <v>232</v>
      </c>
      <c r="Q16" s="6" t="s">
        <v>3273</v>
      </c>
      <c r="R16" s="6" t="s">
        <v>3272</v>
      </c>
      <c r="S16" s="10">
        <v>806</v>
      </c>
      <c r="T16" s="10">
        <v>1</v>
      </c>
      <c r="U16" s="8">
        <v>24.96</v>
      </c>
      <c r="Y16">
        <v>2021</v>
      </c>
      <c r="Z16">
        <v>23</v>
      </c>
      <c r="AA16" s="6" t="s">
        <v>3271</v>
      </c>
      <c r="AB16" s="6" t="s">
        <v>3272</v>
      </c>
      <c r="AC16" s="10">
        <v>811</v>
      </c>
      <c r="AD16" s="10">
        <v>4</v>
      </c>
      <c r="AE16" s="8">
        <v>122.4</v>
      </c>
      <c r="AI16">
        <v>2020</v>
      </c>
      <c r="AJ16">
        <v>23</v>
      </c>
      <c r="AK16" s="6" t="s">
        <v>3271</v>
      </c>
      <c r="AL16" s="6" t="s">
        <v>3272</v>
      </c>
      <c r="AM16" s="10">
        <v>811</v>
      </c>
      <c r="AN16" s="10">
        <v>6</v>
      </c>
      <c r="AO16" s="8">
        <v>132.804</v>
      </c>
      <c r="AS16">
        <v>2019</v>
      </c>
      <c r="AT16">
        <v>244</v>
      </c>
      <c r="AU16" s="6" t="s">
        <v>3274</v>
      </c>
      <c r="AV16" s="6" t="s">
        <v>3267</v>
      </c>
      <c r="AW16" s="10">
        <v>805</v>
      </c>
      <c r="AX16" s="10">
        <v>2</v>
      </c>
      <c r="AY16" s="8">
        <v>0.153</v>
      </c>
    </row>
    <row r="17" spans="5:51" x14ac:dyDescent="0.25">
      <c r="E17">
        <v>2023</v>
      </c>
      <c r="F17" s="6">
        <v>23</v>
      </c>
      <c r="G17" s="6" t="s">
        <v>3271</v>
      </c>
      <c r="H17" s="6" t="s">
        <v>3272</v>
      </c>
      <c r="I17" s="7">
        <v>811</v>
      </c>
      <c r="J17" s="7">
        <v>5</v>
      </c>
      <c r="K17" s="8">
        <v>124.164</v>
      </c>
      <c r="L17" s="6"/>
      <c r="M17" s="6"/>
      <c r="N17" s="6"/>
      <c r="O17">
        <v>2022</v>
      </c>
      <c r="P17">
        <v>244</v>
      </c>
      <c r="Q17" s="6" t="s">
        <v>3274</v>
      </c>
      <c r="R17" s="6" t="s">
        <v>3267</v>
      </c>
      <c r="S17" s="10">
        <v>804</v>
      </c>
      <c r="T17" s="10">
        <v>2</v>
      </c>
      <c r="U17" s="8">
        <v>6.0060000000000002</v>
      </c>
      <c r="Y17">
        <v>2021</v>
      </c>
      <c r="Z17">
        <v>232</v>
      </c>
      <c r="AA17" s="6" t="s">
        <v>3273</v>
      </c>
      <c r="AB17" s="6" t="s">
        <v>3272</v>
      </c>
      <c r="AC17" s="10">
        <v>806</v>
      </c>
      <c r="AD17" s="10">
        <v>3</v>
      </c>
      <c r="AE17" s="8">
        <v>108</v>
      </c>
      <c r="AI17">
        <v>2020</v>
      </c>
      <c r="AJ17">
        <v>232</v>
      </c>
      <c r="AK17" s="6" t="s">
        <v>3273</v>
      </c>
      <c r="AL17" s="6" t="s">
        <v>3272</v>
      </c>
      <c r="AM17" s="10">
        <v>804</v>
      </c>
      <c r="AN17" s="10">
        <v>1</v>
      </c>
      <c r="AO17" s="8">
        <v>1.1519999999999999</v>
      </c>
      <c r="AS17">
        <v>2019</v>
      </c>
      <c r="AT17">
        <v>244</v>
      </c>
      <c r="AU17" s="6" t="s">
        <v>3274</v>
      </c>
      <c r="AV17" s="6" t="s">
        <v>3267</v>
      </c>
      <c r="AW17" s="10">
        <v>806</v>
      </c>
      <c r="AX17" s="10">
        <v>6</v>
      </c>
      <c r="AY17" s="8">
        <v>124.23</v>
      </c>
    </row>
    <row r="18" spans="5:51" x14ac:dyDescent="0.25">
      <c r="E18">
        <v>2023</v>
      </c>
      <c r="F18" s="6">
        <v>232</v>
      </c>
      <c r="G18" s="6" t="s">
        <v>3273</v>
      </c>
      <c r="H18" s="6" t="s">
        <v>3272</v>
      </c>
      <c r="I18" s="7">
        <v>806</v>
      </c>
      <c r="J18" s="7">
        <v>1</v>
      </c>
      <c r="K18" s="8">
        <v>100.122</v>
      </c>
      <c r="L18" s="6"/>
      <c r="M18" s="6"/>
      <c r="N18" s="6"/>
      <c r="O18">
        <v>2022</v>
      </c>
      <c r="P18">
        <v>245</v>
      </c>
      <c r="Q18" s="6" t="s">
        <v>3275</v>
      </c>
      <c r="R18" s="6" t="s">
        <v>3272</v>
      </c>
      <c r="S18" s="10">
        <v>804</v>
      </c>
      <c r="T18" s="10">
        <v>12</v>
      </c>
      <c r="U18" s="8">
        <v>12632.878000000001</v>
      </c>
      <c r="Y18">
        <v>2021</v>
      </c>
      <c r="Z18">
        <v>244</v>
      </c>
      <c r="AA18" s="6" t="s">
        <v>3274</v>
      </c>
      <c r="AB18" s="6" t="s">
        <v>3267</v>
      </c>
      <c r="AC18" s="10">
        <v>804</v>
      </c>
      <c r="AD18" s="10">
        <v>4</v>
      </c>
      <c r="AE18" s="8">
        <v>94.841999999999999</v>
      </c>
      <c r="AI18">
        <v>2020</v>
      </c>
      <c r="AJ18">
        <v>232</v>
      </c>
      <c r="AK18" s="6" t="s">
        <v>3273</v>
      </c>
      <c r="AL18" s="6" t="s">
        <v>3272</v>
      </c>
      <c r="AM18" s="10">
        <v>806</v>
      </c>
      <c r="AN18" s="10">
        <v>2</v>
      </c>
      <c r="AO18" s="8">
        <v>60</v>
      </c>
      <c r="AS18">
        <v>2019</v>
      </c>
      <c r="AT18">
        <v>245</v>
      </c>
      <c r="AU18" s="6" t="s">
        <v>3275</v>
      </c>
      <c r="AV18" s="6" t="s">
        <v>3272</v>
      </c>
      <c r="AW18" s="10">
        <v>804</v>
      </c>
      <c r="AX18" s="10">
        <v>12</v>
      </c>
      <c r="AY18" s="8">
        <v>10416.593999999999</v>
      </c>
    </row>
    <row r="19" spans="5:51" x14ac:dyDescent="0.25">
      <c r="E19">
        <v>2023</v>
      </c>
      <c r="F19" s="6">
        <v>244</v>
      </c>
      <c r="G19" s="6" t="s">
        <v>3274</v>
      </c>
      <c r="H19" s="6" t="s">
        <v>3272</v>
      </c>
      <c r="I19" s="7">
        <v>804</v>
      </c>
      <c r="J19" s="7">
        <v>1</v>
      </c>
      <c r="K19" s="8">
        <v>23.117999999999999</v>
      </c>
      <c r="L19" s="6"/>
      <c r="M19" s="6"/>
      <c r="N19" s="6"/>
      <c r="O19">
        <v>2022</v>
      </c>
      <c r="P19">
        <v>245</v>
      </c>
      <c r="Q19" s="6" t="s">
        <v>3275</v>
      </c>
      <c r="R19" s="6" t="s">
        <v>3272</v>
      </c>
      <c r="S19" s="10">
        <v>805</v>
      </c>
      <c r="T19" s="10">
        <v>2</v>
      </c>
      <c r="U19" s="8">
        <v>118.8</v>
      </c>
      <c r="Y19">
        <v>2021</v>
      </c>
      <c r="Z19">
        <v>244</v>
      </c>
      <c r="AA19" s="6" t="s">
        <v>3274</v>
      </c>
      <c r="AB19" s="6" t="s">
        <v>3267</v>
      </c>
      <c r="AC19" s="10">
        <v>806</v>
      </c>
      <c r="AD19" s="10">
        <v>1</v>
      </c>
      <c r="AE19" s="8">
        <v>0.84</v>
      </c>
      <c r="AI19">
        <v>2020</v>
      </c>
      <c r="AJ19">
        <v>244</v>
      </c>
      <c r="AK19" s="6" t="s">
        <v>3274</v>
      </c>
      <c r="AL19" s="6" t="s">
        <v>3267</v>
      </c>
      <c r="AM19" s="10">
        <v>804</v>
      </c>
      <c r="AN19" s="10">
        <v>1</v>
      </c>
      <c r="AO19" s="8">
        <v>1.248</v>
      </c>
      <c r="AS19">
        <v>2019</v>
      </c>
      <c r="AT19">
        <v>245</v>
      </c>
      <c r="AU19" s="6" t="s">
        <v>3275</v>
      </c>
      <c r="AV19" s="6" t="s">
        <v>3272</v>
      </c>
      <c r="AW19" s="10">
        <v>805</v>
      </c>
      <c r="AX19" s="10">
        <v>5</v>
      </c>
      <c r="AY19" s="8">
        <v>146.88</v>
      </c>
    </row>
    <row r="20" spans="5:51" x14ac:dyDescent="0.25">
      <c r="E20">
        <v>2023</v>
      </c>
      <c r="F20" s="6">
        <v>244</v>
      </c>
      <c r="G20" s="6" t="s">
        <v>3274</v>
      </c>
      <c r="H20" s="6" t="s">
        <v>3272</v>
      </c>
      <c r="I20" s="7">
        <v>806</v>
      </c>
      <c r="J20" s="7">
        <v>4</v>
      </c>
      <c r="K20" s="8">
        <v>7.8</v>
      </c>
      <c r="L20" s="6"/>
      <c r="M20" s="6"/>
      <c r="N20" s="6"/>
      <c r="O20">
        <v>2022</v>
      </c>
      <c r="P20">
        <v>245</v>
      </c>
      <c r="Q20" s="6" t="s">
        <v>3275</v>
      </c>
      <c r="R20" s="6" t="s">
        <v>3272</v>
      </c>
      <c r="S20" s="10">
        <v>806</v>
      </c>
      <c r="T20" s="10">
        <v>7</v>
      </c>
      <c r="U20" s="8">
        <v>2061.6640000000002</v>
      </c>
      <c r="Y20">
        <v>2021</v>
      </c>
      <c r="Z20">
        <v>245</v>
      </c>
      <c r="AA20" s="6" t="s">
        <v>3275</v>
      </c>
      <c r="AB20" s="6" t="s">
        <v>3272</v>
      </c>
      <c r="AC20" s="10">
        <v>804</v>
      </c>
      <c r="AD20" s="10">
        <v>12</v>
      </c>
      <c r="AE20" s="8">
        <v>23189.539000000001</v>
      </c>
      <c r="AI20">
        <v>2020</v>
      </c>
      <c r="AJ20">
        <v>244</v>
      </c>
      <c r="AK20" s="6" t="s">
        <v>3274</v>
      </c>
      <c r="AL20" s="6" t="s">
        <v>3267</v>
      </c>
      <c r="AM20" s="10">
        <v>806</v>
      </c>
      <c r="AN20" s="10">
        <v>6</v>
      </c>
      <c r="AO20" s="8">
        <v>144.93100000000001</v>
      </c>
      <c r="AS20">
        <v>2019</v>
      </c>
      <c r="AT20">
        <v>245</v>
      </c>
      <c r="AU20" s="6" t="s">
        <v>3275</v>
      </c>
      <c r="AV20" s="6" t="s">
        <v>3272</v>
      </c>
      <c r="AW20" s="10">
        <v>806</v>
      </c>
      <c r="AX20" s="10">
        <v>7</v>
      </c>
      <c r="AY20" s="8">
        <v>798.48299999999995</v>
      </c>
    </row>
    <row r="21" spans="5:51" x14ac:dyDescent="0.25">
      <c r="E21">
        <v>2023</v>
      </c>
      <c r="F21" s="6">
        <v>245</v>
      </c>
      <c r="G21" s="6" t="s">
        <v>3275</v>
      </c>
      <c r="H21" s="6" t="s">
        <v>3272</v>
      </c>
      <c r="I21" s="7">
        <v>804</v>
      </c>
      <c r="J21" s="7">
        <v>12</v>
      </c>
      <c r="K21" s="8">
        <v>12934.344999999999</v>
      </c>
      <c r="L21" s="6"/>
      <c r="M21" s="6"/>
      <c r="N21" s="6"/>
      <c r="O21">
        <v>2022</v>
      </c>
      <c r="P21">
        <v>249</v>
      </c>
      <c r="Q21" s="6" t="s">
        <v>3276</v>
      </c>
      <c r="R21" s="6" t="s">
        <v>3264</v>
      </c>
      <c r="S21" s="10">
        <v>2009</v>
      </c>
      <c r="T21" s="10">
        <v>5</v>
      </c>
      <c r="U21" s="8">
        <v>48.12</v>
      </c>
      <c r="Y21">
        <v>2021</v>
      </c>
      <c r="Z21">
        <v>245</v>
      </c>
      <c r="AA21" s="6" t="s">
        <v>3275</v>
      </c>
      <c r="AB21" s="6" t="s">
        <v>3272</v>
      </c>
      <c r="AC21" s="10">
        <v>805</v>
      </c>
      <c r="AD21" s="10">
        <v>4</v>
      </c>
      <c r="AE21" s="8">
        <v>238.74</v>
      </c>
      <c r="AI21">
        <v>2020</v>
      </c>
      <c r="AJ21">
        <v>245</v>
      </c>
      <c r="AK21" s="6" t="s">
        <v>3275</v>
      </c>
      <c r="AL21" s="6" t="s">
        <v>3272</v>
      </c>
      <c r="AM21" s="10">
        <v>804</v>
      </c>
      <c r="AN21" s="10">
        <v>12</v>
      </c>
      <c r="AO21" s="8">
        <v>15813.361999999999</v>
      </c>
      <c r="AS21">
        <v>2019</v>
      </c>
      <c r="AT21">
        <v>249</v>
      </c>
      <c r="AU21" s="6" t="s">
        <v>3276</v>
      </c>
      <c r="AV21" s="6" t="s">
        <v>3264</v>
      </c>
      <c r="AW21" s="10">
        <v>2009</v>
      </c>
      <c r="AX21" s="10">
        <v>6</v>
      </c>
      <c r="AY21" s="8">
        <v>151.065</v>
      </c>
    </row>
    <row r="22" spans="5:51" x14ac:dyDescent="0.25">
      <c r="E22">
        <v>2023</v>
      </c>
      <c r="F22" s="6">
        <v>245</v>
      </c>
      <c r="G22" s="6" t="s">
        <v>3275</v>
      </c>
      <c r="H22" s="6" t="s">
        <v>3272</v>
      </c>
      <c r="I22" s="7">
        <v>805</v>
      </c>
      <c r="J22" s="7">
        <v>3</v>
      </c>
      <c r="K22" s="8">
        <v>146.82599999999999</v>
      </c>
      <c r="L22" s="6"/>
      <c r="M22" s="6"/>
      <c r="N22" s="6"/>
      <c r="O22">
        <v>2022</v>
      </c>
      <c r="P22">
        <v>249</v>
      </c>
      <c r="Q22" s="6" t="s">
        <v>3276</v>
      </c>
      <c r="R22" s="6" t="s">
        <v>3264</v>
      </c>
      <c r="S22" s="10">
        <v>804</v>
      </c>
      <c r="T22" s="10">
        <v>6</v>
      </c>
      <c r="U22" s="8">
        <v>4659.0990000000002</v>
      </c>
      <c r="Y22">
        <v>2021</v>
      </c>
      <c r="Z22">
        <v>245</v>
      </c>
      <c r="AA22" s="6" t="s">
        <v>3275</v>
      </c>
      <c r="AB22" s="6" t="s">
        <v>3272</v>
      </c>
      <c r="AC22" s="10">
        <v>806</v>
      </c>
      <c r="AD22" s="10">
        <v>9</v>
      </c>
      <c r="AE22" s="8">
        <v>2864.665</v>
      </c>
      <c r="AI22">
        <v>2020</v>
      </c>
      <c r="AJ22">
        <v>245</v>
      </c>
      <c r="AK22" s="6" t="s">
        <v>3275</v>
      </c>
      <c r="AL22" s="6" t="s">
        <v>3272</v>
      </c>
      <c r="AM22" s="10">
        <v>805</v>
      </c>
      <c r="AN22" s="10">
        <v>4</v>
      </c>
      <c r="AO22" s="8">
        <v>146.16</v>
      </c>
      <c r="AS22">
        <v>2019</v>
      </c>
      <c r="AT22">
        <v>249</v>
      </c>
      <c r="AU22" s="6" t="s">
        <v>3276</v>
      </c>
      <c r="AV22" s="6" t="s">
        <v>3264</v>
      </c>
      <c r="AW22" s="10">
        <v>804</v>
      </c>
      <c r="AX22" s="10">
        <v>5</v>
      </c>
      <c r="AY22" s="8">
        <v>6610.8739999999998</v>
      </c>
    </row>
    <row r="23" spans="5:51" x14ac:dyDescent="0.25">
      <c r="E23">
        <v>2023</v>
      </c>
      <c r="F23" s="6">
        <v>245</v>
      </c>
      <c r="G23" s="6" t="s">
        <v>3275</v>
      </c>
      <c r="H23" s="6" t="s">
        <v>3272</v>
      </c>
      <c r="I23" s="7">
        <v>806</v>
      </c>
      <c r="J23" s="7">
        <v>6</v>
      </c>
      <c r="K23" s="8">
        <v>1809.423</v>
      </c>
      <c r="L23" s="6"/>
      <c r="M23" s="6"/>
      <c r="N23" s="6"/>
      <c r="O23">
        <v>2022</v>
      </c>
      <c r="P23">
        <v>249</v>
      </c>
      <c r="Q23" s="6" t="s">
        <v>3276</v>
      </c>
      <c r="R23" s="6" t="s">
        <v>3264</v>
      </c>
      <c r="S23" s="10">
        <v>806</v>
      </c>
      <c r="T23" s="10">
        <v>11</v>
      </c>
      <c r="U23" s="8">
        <v>7166.6959999999999</v>
      </c>
      <c r="Y23">
        <v>2021</v>
      </c>
      <c r="Z23">
        <v>245</v>
      </c>
      <c r="AA23" s="6" t="s">
        <v>3275</v>
      </c>
      <c r="AB23" s="6" t="s">
        <v>3272</v>
      </c>
      <c r="AC23" s="10">
        <v>807</v>
      </c>
      <c r="AD23" s="10">
        <v>2</v>
      </c>
      <c r="AE23" s="8">
        <v>42.107999999999997</v>
      </c>
      <c r="AI23">
        <v>2020</v>
      </c>
      <c r="AJ23">
        <v>245</v>
      </c>
      <c r="AK23" s="6" t="s">
        <v>3275</v>
      </c>
      <c r="AL23" s="6" t="s">
        <v>3272</v>
      </c>
      <c r="AM23" s="10">
        <v>806</v>
      </c>
      <c r="AN23" s="10">
        <v>9</v>
      </c>
      <c r="AO23" s="8">
        <v>1349.104</v>
      </c>
      <c r="AS23">
        <v>2019</v>
      </c>
      <c r="AT23">
        <v>249</v>
      </c>
      <c r="AU23" s="6" t="s">
        <v>3276</v>
      </c>
      <c r="AV23" s="6" t="s">
        <v>3264</v>
      </c>
      <c r="AW23" s="10">
        <v>806</v>
      </c>
      <c r="AX23" s="10">
        <v>11</v>
      </c>
      <c r="AY23" s="8">
        <v>4232.1390000000001</v>
      </c>
    </row>
    <row r="24" spans="5:51" x14ac:dyDescent="0.25">
      <c r="E24">
        <v>2023</v>
      </c>
      <c r="F24" s="6">
        <v>245</v>
      </c>
      <c r="G24" s="6" t="s">
        <v>3275</v>
      </c>
      <c r="H24" s="6" t="s">
        <v>3272</v>
      </c>
      <c r="I24" s="7">
        <v>807</v>
      </c>
      <c r="J24" s="7">
        <v>4</v>
      </c>
      <c r="K24" s="8">
        <v>184.14</v>
      </c>
      <c r="L24" s="6"/>
      <c r="M24" s="6"/>
      <c r="N24" s="6"/>
      <c r="O24">
        <v>2022</v>
      </c>
      <c r="P24">
        <v>249</v>
      </c>
      <c r="Q24" s="6" t="s">
        <v>3276</v>
      </c>
      <c r="R24" s="6" t="s">
        <v>3264</v>
      </c>
      <c r="S24" s="10">
        <v>811</v>
      </c>
      <c r="T24" s="10">
        <v>11</v>
      </c>
      <c r="U24" s="8">
        <v>645.84</v>
      </c>
      <c r="Y24">
        <v>2021</v>
      </c>
      <c r="Z24">
        <v>249</v>
      </c>
      <c r="AA24" s="6" t="s">
        <v>3276</v>
      </c>
      <c r="AB24" s="6" t="s">
        <v>3264</v>
      </c>
      <c r="AC24" s="10">
        <v>2009</v>
      </c>
      <c r="AD24" s="10">
        <v>5</v>
      </c>
      <c r="AE24" s="8">
        <v>94.353999999999999</v>
      </c>
      <c r="AI24">
        <v>2020</v>
      </c>
      <c r="AJ24">
        <v>249</v>
      </c>
      <c r="AK24" s="6" t="s">
        <v>3276</v>
      </c>
      <c r="AL24" s="6" t="s">
        <v>3264</v>
      </c>
      <c r="AM24" s="10">
        <v>2009</v>
      </c>
      <c r="AN24" s="10">
        <v>4</v>
      </c>
      <c r="AO24" s="8">
        <v>78.899000000000001</v>
      </c>
      <c r="AS24">
        <v>2019</v>
      </c>
      <c r="AT24">
        <v>249</v>
      </c>
      <c r="AU24" s="6" t="s">
        <v>3276</v>
      </c>
      <c r="AV24" s="6" t="s">
        <v>3264</v>
      </c>
      <c r="AW24" s="10">
        <v>811</v>
      </c>
      <c r="AX24" s="10">
        <v>9</v>
      </c>
      <c r="AY24" s="8">
        <v>239.489</v>
      </c>
    </row>
    <row r="25" spans="5:51" x14ac:dyDescent="0.25">
      <c r="E25">
        <v>2023</v>
      </c>
      <c r="F25" s="6">
        <v>249</v>
      </c>
      <c r="G25" s="6" t="s">
        <v>3276</v>
      </c>
      <c r="H25" s="6" t="s">
        <v>3264</v>
      </c>
      <c r="I25" s="7">
        <v>2009</v>
      </c>
      <c r="J25" s="7">
        <v>2</v>
      </c>
      <c r="K25" s="8">
        <v>13.574999999999999</v>
      </c>
      <c r="L25" s="6"/>
      <c r="M25" s="6"/>
      <c r="N25" s="6"/>
      <c r="O25">
        <v>2022</v>
      </c>
      <c r="P25">
        <v>275</v>
      </c>
      <c r="Q25" s="6" t="s">
        <v>3277</v>
      </c>
      <c r="R25" s="6" t="s">
        <v>3272</v>
      </c>
      <c r="S25" s="10">
        <v>2009</v>
      </c>
      <c r="T25" s="10">
        <v>7</v>
      </c>
      <c r="U25" s="8">
        <v>322.36099999999999</v>
      </c>
      <c r="Y25">
        <v>2021</v>
      </c>
      <c r="Z25">
        <v>249</v>
      </c>
      <c r="AA25" s="6" t="s">
        <v>3276</v>
      </c>
      <c r="AB25" s="6" t="s">
        <v>3264</v>
      </c>
      <c r="AC25" s="10">
        <v>804</v>
      </c>
      <c r="AD25" s="10">
        <v>7</v>
      </c>
      <c r="AE25" s="8">
        <v>8622.3330000000005</v>
      </c>
      <c r="AI25">
        <v>2020</v>
      </c>
      <c r="AJ25">
        <v>249</v>
      </c>
      <c r="AK25" s="6" t="s">
        <v>3276</v>
      </c>
      <c r="AL25" s="6" t="s">
        <v>3264</v>
      </c>
      <c r="AM25" s="10">
        <v>804</v>
      </c>
      <c r="AN25" s="10">
        <v>6</v>
      </c>
      <c r="AO25" s="8">
        <v>7986.5510000000004</v>
      </c>
      <c r="AS25">
        <v>2019</v>
      </c>
      <c r="AT25">
        <v>271</v>
      </c>
      <c r="AU25" s="6" t="s">
        <v>3278</v>
      </c>
      <c r="AV25" s="6" t="s">
        <v>3272</v>
      </c>
      <c r="AW25" s="10">
        <v>804</v>
      </c>
      <c r="AX25" s="10">
        <v>1</v>
      </c>
      <c r="AY25" s="8">
        <v>21.12</v>
      </c>
    </row>
    <row r="26" spans="5:51" x14ac:dyDescent="0.25">
      <c r="E26">
        <v>2023</v>
      </c>
      <c r="F26" s="6">
        <v>249</v>
      </c>
      <c r="G26" s="6" t="s">
        <v>3276</v>
      </c>
      <c r="H26" s="6" t="s">
        <v>3264</v>
      </c>
      <c r="I26" s="7">
        <v>804</v>
      </c>
      <c r="J26" s="7">
        <v>6</v>
      </c>
      <c r="K26" s="8">
        <v>6727.817</v>
      </c>
      <c r="L26" s="6"/>
      <c r="M26" s="6"/>
      <c r="N26" s="6"/>
      <c r="O26">
        <v>2022</v>
      </c>
      <c r="P26">
        <v>275</v>
      </c>
      <c r="Q26" s="6" t="s">
        <v>3277</v>
      </c>
      <c r="R26" s="6" t="s">
        <v>3272</v>
      </c>
      <c r="S26" s="10">
        <v>804</v>
      </c>
      <c r="T26" s="10">
        <v>2</v>
      </c>
      <c r="U26" s="8">
        <v>52.258000000000003</v>
      </c>
      <c r="Y26">
        <v>2021</v>
      </c>
      <c r="Z26">
        <v>249</v>
      </c>
      <c r="AA26" s="6" t="s">
        <v>3276</v>
      </c>
      <c r="AB26" s="6" t="s">
        <v>3264</v>
      </c>
      <c r="AC26" s="10">
        <v>806</v>
      </c>
      <c r="AD26" s="10">
        <v>11</v>
      </c>
      <c r="AE26" s="8">
        <v>10094.217000000001</v>
      </c>
      <c r="AI26">
        <v>2020</v>
      </c>
      <c r="AJ26">
        <v>249</v>
      </c>
      <c r="AK26" s="6" t="s">
        <v>3276</v>
      </c>
      <c r="AL26" s="6" t="s">
        <v>3264</v>
      </c>
      <c r="AM26" s="10">
        <v>806</v>
      </c>
      <c r="AN26" s="10">
        <v>11</v>
      </c>
      <c r="AO26" s="8">
        <v>5666.5129999999999</v>
      </c>
      <c r="AS26">
        <v>2019</v>
      </c>
      <c r="AT26">
        <v>275</v>
      </c>
      <c r="AU26" s="6" t="s">
        <v>3277</v>
      </c>
      <c r="AV26" s="6" t="s">
        <v>3272</v>
      </c>
      <c r="AW26" s="10">
        <v>2009</v>
      </c>
      <c r="AX26" s="10">
        <v>5</v>
      </c>
      <c r="AY26" s="8">
        <v>110.63</v>
      </c>
    </row>
    <row r="27" spans="5:51" x14ac:dyDescent="0.25">
      <c r="E27">
        <v>2023</v>
      </c>
      <c r="F27" s="6">
        <v>249</v>
      </c>
      <c r="G27" s="6" t="s">
        <v>3276</v>
      </c>
      <c r="H27" s="6" t="s">
        <v>3264</v>
      </c>
      <c r="I27" s="7">
        <v>806</v>
      </c>
      <c r="J27" s="7">
        <v>11</v>
      </c>
      <c r="K27" s="8">
        <v>14228.763000000001</v>
      </c>
      <c r="L27" s="6"/>
      <c r="M27" s="6"/>
      <c r="N27" s="6"/>
      <c r="O27">
        <v>2022</v>
      </c>
      <c r="P27">
        <v>275</v>
      </c>
      <c r="Q27" s="6" t="s">
        <v>3277</v>
      </c>
      <c r="R27" s="6" t="s">
        <v>3272</v>
      </c>
      <c r="S27" s="10">
        <v>811</v>
      </c>
      <c r="T27" s="10">
        <v>3</v>
      </c>
      <c r="U27" s="8">
        <v>45.54</v>
      </c>
      <c r="Y27">
        <v>2021</v>
      </c>
      <c r="Z27">
        <v>249</v>
      </c>
      <c r="AA27" s="6" t="s">
        <v>3276</v>
      </c>
      <c r="AB27" s="6" t="s">
        <v>3264</v>
      </c>
      <c r="AC27" s="10">
        <v>811</v>
      </c>
      <c r="AD27" s="10">
        <v>4</v>
      </c>
      <c r="AE27" s="8">
        <v>136.44</v>
      </c>
      <c r="AI27">
        <v>2020</v>
      </c>
      <c r="AJ27">
        <v>249</v>
      </c>
      <c r="AK27" s="6" t="s">
        <v>3276</v>
      </c>
      <c r="AL27" s="6" t="s">
        <v>3264</v>
      </c>
      <c r="AM27" s="10">
        <v>811</v>
      </c>
      <c r="AN27" s="10">
        <v>4</v>
      </c>
      <c r="AO27" s="8">
        <v>259.54199999999997</v>
      </c>
      <c r="AS27">
        <v>2019</v>
      </c>
      <c r="AT27">
        <v>275</v>
      </c>
      <c r="AU27" s="6" t="s">
        <v>3277</v>
      </c>
      <c r="AV27" s="6" t="s">
        <v>3272</v>
      </c>
      <c r="AW27" s="10">
        <v>804</v>
      </c>
      <c r="AX27" s="10">
        <v>4</v>
      </c>
      <c r="AY27" s="8">
        <v>15.342000000000001</v>
      </c>
    </row>
    <row r="28" spans="5:51" x14ac:dyDescent="0.25">
      <c r="E28">
        <v>2023</v>
      </c>
      <c r="F28" s="6">
        <v>249</v>
      </c>
      <c r="G28" s="6" t="s">
        <v>3276</v>
      </c>
      <c r="H28" s="6" t="s">
        <v>3264</v>
      </c>
      <c r="I28" s="7">
        <v>811</v>
      </c>
      <c r="J28" s="7">
        <v>8</v>
      </c>
      <c r="K28" s="8">
        <v>432.36</v>
      </c>
      <c r="L28" s="6"/>
      <c r="M28" s="6"/>
      <c r="N28" s="6"/>
      <c r="O28">
        <v>2022</v>
      </c>
      <c r="P28">
        <v>309</v>
      </c>
      <c r="Q28" s="6" t="s">
        <v>3279</v>
      </c>
      <c r="R28" s="6" t="s">
        <v>3280</v>
      </c>
      <c r="S28" s="10">
        <v>811</v>
      </c>
      <c r="T28" s="10">
        <v>2</v>
      </c>
      <c r="U28" s="8">
        <v>39.24</v>
      </c>
      <c r="Y28">
        <v>2021</v>
      </c>
      <c r="Z28">
        <v>271</v>
      </c>
      <c r="AA28" s="6" t="s">
        <v>3278</v>
      </c>
      <c r="AB28" s="6" t="s">
        <v>3272</v>
      </c>
      <c r="AC28" s="10">
        <v>804</v>
      </c>
      <c r="AD28" s="10">
        <v>2</v>
      </c>
      <c r="AE28" s="8">
        <v>3.36</v>
      </c>
      <c r="AI28">
        <v>2020</v>
      </c>
      <c r="AJ28">
        <v>275</v>
      </c>
      <c r="AK28" s="6" t="s">
        <v>3277</v>
      </c>
      <c r="AL28" s="6" t="s">
        <v>3272</v>
      </c>
      <c r="AM28" s="10">
        <v>2009</v>
      </c>
      <c r="AN28" s="10">
        <v>6</v>
      </c>
      <c r="AO28" s="8">
        <v>200.68</v>
      </c>
      <c r="AS28">
        <v>2019</v>
      </c>
      <c r="AT28">
        <v>275</v>
      </c>
      <c r="AU28" s="6" t="s">
        <v>3277</v>
      </c>
      <c r="AV28" s="6" t="s">
        <v>3272</v>
      </c>
      <c r="AW28" s="10">
        <v>806</v>
      </c>
      <c r="AX28" s="10">
        <v>2</v>
      </c>
      <c r="AY28" s="8">
        <v>1.056</v>
      </c>
    </row>
    <row r="29" spans="5:51" x14ac:dyDescent="0.25">
      <c r="E29">
        <v>2023</v>
      </c>
      <c r="F29" s="6">
        <v>275</v>
      </c>
      <c r="G29" s="6" t="s">
        <v>3277</v>
      </c>
      <c r="H29" s="6" t="s">
        <v>3272</v>
      </c>
      <c r="I29" s="7">
        <v>2009</v>
      </c>
      <c r="J29" s="7">
        <v>6</v>
      </c>
      <c r="K29" s="8">
        <v>173.19</v>
      </c>
      <c r="L29" s="6"/>
      <c r="M29" s="6"/>
      <c r="N29" s="6"/>
      <c r="O29">
        <v>2022</v>
      </c>
      <c r="P29">
        <v>317</v>
      </c>
      <c r="Q29" s="6" t="s">
        <v>3281</v>
      </c>
      <c r="R29" s="6" t="s">
        <v>3280</v>
      </c>
      <c r="S29" s="10">
        <v>811</v>
      </c>
      <c r="T29" s="10">
        <v>1</v>
      </c>
      <c r="U29" s="8">
        <v>9</v>
      </c>
      <c r="Y29">
        <v>2021</v>
      </c>
      <c r="Z29">
        <v>275</v>
      </c>
      <c r="AA29" s="6" t="s">
        <v>3277</v>
      </c>
      <c r="AB29" s="6" t="s">
        <v>3272</v>
      </c>
      <c r="AC29" s="10">
        <v>2009</v>
      </c>
      <c r="AD29" s="10">
        <v>6</v>
      </c>
      <c r="AE29" s="8">
        <v>162.64500000000001</v>
      </c>
      <c r="AI29">
        <v>2020</v>
      </c>
      <c r="AJ29">
        <v>275</v>
      </c>
      <c r="AK29" s="6" t="s">
        <v>3277</v>
      </c>
      <c r="AL29" s="6" t="s">
        <v>3272</v>
      </c>
      <c r="AM29" s="10">
        <v>804</v>
      </c>
      <c r="AN29" s="10">
        <v>2</v>
      </c>
      <c r="AO29" s="8">
        <v>5.61</v>
      </c>
      <c r="AS29">
        <v>2019</v>
      </c>
      <c r="AT29">
        <v>275</v>
      </c>
      <c r="AU29" s="6" t="s">
        <v>3277</v>
      </c>
      <c r="AV29" s="6" t="s">
        <v>3272</v>
      </c>
      <c r="AW29" s="10">
        <v>811</v>
      </c>
      <c r="AX29" s="10">
        <v>2</v>
      </c>
      <c r="AY29" s="8">
        <v>34.74</v>
      </c>
    </row>
    <row r="30" spans="5:51" x14ac:dyDescent="0.25">
      <c r="E30">
        <v>2023</v>
      </c>
      <c r="F30" s="6">
        <v>275</v>
      </c>
      <c r="G30" s="6" t="s">
        <v>3277</v>
      </c>
      <c r="H30" s="6" t="s">
        <v>3272</v>
      </c>
      <c r="I30" s="7">
        <v>804</v>
      </c>
      <c r="J30" s="7">
        <v>4</v>
      </c>
      <c r="K30" s="8">
        <v>81.867000000000004</v>
      </c>
      <c r="L30" s="6"/>
      <c r="M30" s="6"/>
      <c r="N30" s="6"/>
      <c r="O30">
        <v>2022</v>
      </c>
      <c r="P30">
        <v>351</v>
      </c>
      <c r="Q30" s="6" t="s">
        <v>3282</v>
      </c>
      <c r="R30" s="6" t="s">
        <v>3280</v>
      </c>
      <c r="S30" s="10">
        <v>806</v>
      </c>
      <c r="T30" s="10">
        <v>2</v>
      </c>
      <c r="U30" s="8">
        <v>1.3520000000000001</v>
      </c>
      <c r="Y30">
        <v>2021</v>
      </c>
      <c r="Z30">
        <v>275</v>
      </c>
      <c r="AA30" s="6" t="s">
        <v>3277</v>
      </c>
      <c r="AB30" s="6" t="s">
        <v>3272</v>
      </c>
      <c r="AC30" s="10">
        <v>804</v>
      </c>
      <c r="AD30" s="10">
        <v>5</v>
      </c>
      <c r="AE30" s="8">
        <v>55.497999999999998</v>
      </c>
      <c r="AI30">
        <v>2020</v>
      </c>
      <c r="AJ30">
        <v>275</v>
      </c>
      <c r="AK30" s="6" t="s">
        <v>3277</v>
      </c>
      <c r="AL30" s="6" t="s">
        <v>3272</v>
      </c>
      <c r="AM30" s="10">
        <v>811</v>
      </c>
      <c r="AN30" s="10">
        <v>2</v>
      </c>
      <c r="AO30" s="8">
        <v>36.72</v>
      </c>
      <c r="AS30">
        <v>2019</v>
      </c>
      <c r="AT30">
        <v>291</v>
      </c>
      <c r="AU30" s="6" t="s">
        <v>3283</v>
      </c>
      <c r="AV30" s="6" t="s">
        <v>3272</v>
      </c>
      <c r="AW30" s="10">
        <v>806</v>
      </c>
      <c r="AX30" s="10">
        <v>1</v>
      </c>
      <c r="AY30" s="8">
        <v>26.928000000000001</v>
      </c>
    </row>
    <row r="31" spans="5:51" x14ac:dyDescent="0.25">
      <c r="E31">
        <v>2023</v>
      </c>
      <c r="F31" s="6">
        <v>275</v>
      </c>
      <c r="G31" s="6" t="s">
        <v>3277</v>
      </c>
      <c r="H31" s="6" t="s">
        <v>3272</v>
      </c>
      <c r="I31" s="7">
        <v>811</v>
      </c>
      <c r="J31" s="7">
        <v>2</v>
      </c>
      <c r="K31" s="8">
        <v>24.66</v>
      </c>
      <c r="L31" s="6"/>
      <c r="M31" s="6"/>
      <c r="N31" s="6"/>
      <c r="O31">
        <v>2022</v>
      </c>
      <c r="P31">
        <v>375</v>
      </c>
      <c r="Q31" s="6" t="s">
        <v>3284</v>
      </c>
      <c r="R31" s="6" t="s">
        <v>3272</v>
      </c>
      <c r="S31" s="10">
        <v>806</v>
      </c>
      <c r="T31" s="10">
        <v>6</v>
      </c>
      <c r="U31" s="8">
        <v>945.45399999999995</v>
      </c>
      <c r="Y31">
        <v>2021</v>
      </c>
      <c r="Z31">
        <v>275</v>
      </c>
      <c r="AA31" s="6" t="s">
        <v>3277</v>
      </c>
      <c r="AB31" s="6" t="s">
        <v>3272</v>
      </c>
      <c r="AC31" s="10">
        <v>811</v>
      </c>
      <c r="AD31" s="10">
        <v>3</v>
      </c>
      <c r="AE31" s="8">
        <v>49.32</v>
      </c>
      <c r="AI31">
        <v>2020</v>
      </c>
      <c r="AJ31">
        <v>301</v>
      </c>
      <c r="AK31" s="6" t="s">
        <v>3285</v>
      </c>
      <c r="AL31" s="6" t="s">
        <v>3272</v>
      </c>
      <c r="AM31" s="10">
        <v>804</v>
      </c>
      <c r="AN31" s="10">
        <v>1</v>
      </c>
      <c r="AO31" s="8">
        <v>1.248</v>
      </c>
      <c r="AS31">
        <v>2019</v>
      </c>
      <c r="AT31">
        <v>309</v>
      </c>
      <c r="AU31" s="6" t="s">
        <v>3279</v>
      </c>
      <c r="AV31" s="6" t="s">
        <v>3280</v>
      </c>
      <c r="AW31" s="10">
        <v>811</v>
      </c>
      <c r="AX31" s="10">
        <v>4</v>
      </c>
      <c r="AY31" s="8">
        <v>50.4</v>
      </c>
    </row>
    <row r="32" spans="5:51" x14ac:dyDescent="0.25">
      <c r="E32">
        <v>2023</v>
      </c>
      <c r="F32" s="6">
        <v>309</v>
      </c>
      <c r="G32" s="6" t="s">
        <v>3279</v>
      </c>
      <c r="H32" s="6" t="s">
        <v>3280</v>
      </c>
      <c r="I32" s="7">
        <v>811</v>
      </c>
      <c r="J32" s="7">
        <v>2</v>
      </c>
      <c r="K32" s="8">
        <v>48.24</v>
      </c>
      <c r="L32" s="6"/>
      <c r="M32" s="6"/>
      <c r="N32" s="6"/>
      <c r="O32">
        <v>2022</v>
      </c>
      <c r="P32">
        <v>383</v>
      </c>
      <c r="Q32" s="6" t="s">
        <v>3286</v>
      </c>
      <c r="R32" s="6" t="s">
        <v>3267</v>
      </c>
      <c r="S32" s="10">
        <v>2009</v>
      </c>
      <c r="T32" s="10">
        <v>6</v>
      </c>
      <c r="U32" s="8">
        <v>150.59200000000001</v>
      </c>
      <c r="Y32">
        <v>2021</v>
      </c>
      <c r="Z32">
        <v>309</v>
      </c>
      <c r="AA32" s="6" t="s">
        <v>3279</v>
      </c>
      <c r="AB32" s="6" t="s">
        <v>3280</v>
      </c>
      <c r="AC32" s="10">
        <v>811</v>
      </c>
      <c r="AD32" s="10">
        <v>1</v>
      </c>
      <c r="AE32" s="8">
        <v>12.6</v>
      </c>
      <c r="AI32">
        <v>2020</v>
      </c>
      <c r="AJ32">
        <v>301</v>
      </c>
      <c r="AK32" s="6" t="s">
        <v>3285</v>
      </c>
      <c r="AL32" s="6" t="s">
        <v>3272</v>
      </c>
      <c r="AM32" s="10">
        <v>805</v>
      </c>
      <c r="AN32" s="10">
        <v>1</v>
      </c>
      <c r="AO32" s="8">
        <v>5.6159999999999997</v>
      </c>
      <c r="AS32">
        <v>2019</v>
      </c>
      <c r="AT32">
        <v>351</v>
      </c>
      <c r="AU32" s="6" t="s">
        <v>3282</v>
      </c>
      <c r="AV32" s="6" t="s">
        <v>3280</v>
      </c>
      <c r="AW32" s="10">
        <v>806</v>
      </c>
      <c r="AX32" s="10">
        <v>4</v>
      </c>
      <c r="AY32" s="8">
        <v>8.2479999999999993</v>
      </c>
    </row>
    <row r="33" spans="5:51" x14ac:dyDescent="0.25">
      <c r="E33">
        <v>2023</v>
      </c>
      <c r="F33" s="6">
        <v>337</v>
      </c>
      <c r="G33" s="6" t="s">
        <v>3287</v>
      </c>
      <c r="H33" s="6" t="s">
        <v>3265</v>
      </c>
      <c r="I33" s="7">
        <v>811</v>
      </c>
      <c r="J33" s="7">
        <v>1</v>
      </c>
      <c r="K33" s="8">
        <v>48.24</v>
      </c>
      <c r="L33" s="6"/>
      <c r="M33" s="6"/>
      <c r="N33" s="6"/>
      <c r="O33">
        <v>2022</v>
      </c>
      <c r="P33">
        <v>386</v>
      </c>
      <c r="Q33" s="6" t="s">
        <v>3288</v>
      </c>
      <c r="R33" s="6" t="s">
        <v>3272</v>
      </c>
      <c r="S33" s="10">
        <v>804</v>
      </c>
      <c r="T33" s="10">
        <v>7</v>
      </c>
      <c r="U33" s="8">
        <v>137.136</v>
      </c>
      <c r="Y33">
        <v>2021</v>
      </c>
      <c r="Z33">
        <v>375</v>
      </c>
      <c r="AA33" s="6" t="s">
        <v>3284</v>
      </c>
      <c r="AB33" s="6" t="s">
        <v>3272</v>
      </c>
      <c r="AC33" s="10">
        <v>806</v>
      </c>
      <c r="AD33" s="10">
        <v>7</v>
      </c>
      <c r="AE33" s="8">
        <v>1125.9929999999999</v>
      </c>
      <c r="AI33">
        <v>2020</v>
      </c>
      <c r="AJ33">
        <v>309</v>
      </c>
      <c r="AK33" s="6" t="s">
        <v>3279</v>
      </c>
      <c r="AL33" s="6" t="s">
        <v>3280</v>
      </c>
      <c r="AM33" s="10">
        <v>811</v>
      </c>
      <c r="AN33" s="10">
        <v>2</v>
      </c>
      <c r="AO33" s="8">
        <v>36.72</v>
      </c>
      <c r="AS33">
        <v>2019</v>
      </c>
      <c r="AT33">
        <v>375</v>
      </c>
      <c r="AU33" s="6" t="s">
        <v>3284</v>
      </c>
      <c r="AV33" s="6" t="s">
        <v>3272</v>
      </c>
      <c r="AW33" s="10">
        <v>806</v>
      </c>
      <c r="AX33" s="10">
        <v>6</v>
      </c>
      <c r="AY33" s="8">
        <v>417.57</v>
      </c>
    </row>
    <row r="34" spans="5:51" x14ac:dyDescent="0.25">
      <c r="E34">
        <v>2023</v>
      </c>
      <c r="F34" s="6">
        <v>351</v>
      </c>
      <c r="G34" s="6" t="s">
        <v>3282</v>
      </c>
      <c r="H34" s="6" t="s">
        <v>3280</v>
      </c>
      <c r="I34" s="7">
        <v>806</v>
      </c>
      <c r="J34" s="7">
        <v>1</v>
      </c>
      <c r="K34" s="8">
        <v>13.94</v>
      </c>
      <c r="L34" s="6"/>
      <c r="M34" s="6"/>
      <c r="N34" s="6"/>
      <c r="O34">
        <v>2022</v>
      </c>
      <c r="P34">
        <v>399</v>
      </c>
      <c r="Q34" s="6" t="s">
        <v>3289</v>
      </c>
      <c r="R34" s="6" t="s">
        <v>3267</v>
      </c>
      <c r="S34" s="10">
        <v>2009</v>
      </c>
      <c r="T34" s="10">
        <v>4</v>
      </c>
      <c r="U34" s="8">
        <v>18.198</v>
      </c>
      <c r="Y34">
        <v>2021</v>
      </c>
      <c r="Z34">
        <v>383</v>
      </c>
      <c r="AA34" s="6" t="s">
        <v>3286</v>
      </c>
      <c r="AB34" s="6" t="s">
        <v>3267</v>
      </c>
      <c r="AC34" s="10">
        <v>2009</v>
      </c>
      <c r="AD34" s="10">
        <v>5</v>
      </c>
      <c r="AE34" s="8">
        <v>200.56</v>
      </c>
      <c r="AI34">
        <v>2020</v>
      </c>
      <c r="AJ34">
        <v>351</v>
      </c>
      <c r="AK34" s="6" t="s">
        <v>3282</v>
      </c>
      <c r="AL34" s="6" t="s">
        <v>3280</v>
      </c>
      <c r="AM34" s="10">
        <v>804</v>
      </c>
      <c r="AN34" s="10">
        <v>1</v>
      </c>
      <c r="AO34" s="8">
        <v>1.1839999999999999</v>
      </c>
      <c r="AS34">
        <v>2019</v>
      </c>
      <c r="AT34">
        <v>386</v>
      </c>
      <c r="AU34" s="6" t="s">
        <v>3288</v>
      </c>
      <c r="AV34" s="6" t="s">
        <v>3272</v>
      </c>
      <c r="AW34" s="10">
        <v>804</v>
      </c>
      <c r="AX34" s="10">
        <v>3</v>
      </c>
      <c r="AY34" s="8">
        <v>4.6079999999999997</v>
      </c>
    </row>
    <row r="35" spans="5:51" x14ac:dyDescent="0.25">
      <c r="E35">
        <v>2023</v>
      </c>
      <c r="F35" s="6">
        <v>375</v>
      </c>
      <c r="G35" s="6" t="s">
        <v>3284</v>
      </c>
      <c r="H35" s="6" t="s">
        <v>3272</v>
      </c>
      <c r="I35" s="7">
        <v>804</v>
      </c>
      <c r="J35" s="7">
        <v>3</v>
      </c>
      <c r="K35" s="8">
        <v>28.08</v>
      </c>
      <c r="L35" s="6"/>
      <c r="M35" s="6"/>
      <c r="N35" s="6"/>
      <c r="O35">
        <v>2022</v>
      </c>
      <c r="P35">
        <v>399</v>
      </c>
      <c r="Q35" s="6" t="s">
        <v>3289</v>
      </c>
      <c r="R35" s="6" t="s">
        <v>3267</v>
      </c>
      <c r="S35" s="10">
        <v>811</v>
      </c>
      <c r="T35" s="10">
        <v>6</v>
      </c>
      <c r="U35" s="8">
        <v>1.6879999999999999</v>
      </c>
      <c r="Y35">
        <v>2021</v>
      </c>
      <c r="Z35">
        <v>386</v>
      </c>
      <c r="AA35" s="6" t="s">
        <v>3288</v>
      </c>
      <c r="AB35" s="6" t="s">
        <v>3272</v>
      </c>
      <c r="AC35" s="10">
        <v>804</v>
      </c>
      <c r="AD35" s="10">
        <v>5</v>
      </c>
      <c r="AE35" s="8">
        <v>71.085999999999999</v>
      </c>
      <c r="AI35">
        <v>2020</v>
      </c>
      <c r="AJ35">
        <v>375</v>
      </c>
      <c r="AK35" s="6" t="s">
        <v>3284</v>
      </c>
      <c r="AL35" s="6" t="s">
        <v>3272</v>
      </c>
      <c r="AM35" s="10">
        <v>806</v>
      </c>
      <c r="AN35" s="10">
        <v>7</v>
      </c>
      <c r="AO35" s="8">
        <v>635.70500000000004</v>
      </c>
      <c r="AS35">
        <v>2019</v>
      </c>
      <c r="AT35">
        <v>399</v>
      </c>
      <c r="AU35" s="6" t="s">
        <v>3289</v>
      </c>
      <c r="AV35" s="6" t="s">
        <v>3267</v>
      </c>
      <c r="AW35" s="10">
        <v>2009</v>
      </c>
      <c r="AX35" s="10">
        <v>7</v>
      </c>
      <c r="AY35" s="8">
        <v>32.238</v>
      </c>
    </row>
    <row r="36" spans="5:51" x14ac:dyDescent="0.25">
      <c r="E36">
        <v>2023</v>
      </c>
      <c r="F36" s="6">
        <v>375</v>
      </c>
      <c r="G36" s="6" t="s">
        <v>3284</v>
      </c>
      <c r="H36" s="6" t="s">
        <v>3272</v>
      </c>
      <c r="I36" s="7">
        <v>806</v>
      </c>
      <c r="J36" s="7">
        <v>7</v>
      </c>
      <c r="K36" s="8">
        <v>577.40499999999997</v>
      </c>
      <c r="L36" s="6"/>
      <c r="M36" s="6"/>
      <c r="N36" s="6"/>
      <c r="O36">
        <v>2022</v>
      </c>
      <c r="P36">
        <v>442</v>
      </c>
      <c r="Q36" s="6" t="s">
        <v>3290</v>
      </c>
      <c r="R36" s="6" t="s">
        <v>3272</v>
      </c>
      <c r="S36" s="10">
        <v>806</v>
      </c>
      <c r="T36" s="10">
        <v>1</v>
      </c>
      <c r="U36" s="8">
        <v>30.167999999999999</v>
      </c>
      <c r="Y36">
        <v>2021</v>
      </c>
      <c r="Z36">
        <v>386</v>
      </c>
      <c r="AA36" s="6" t="s">
        <v>3288</v>
      </c>
      <c r="AB36" s="6" t="s">
        <v>3272</v>
      </c>
      <c r="AC36" s="10">
        <v>806</v>
      </c>
      <c r="AD36" s="10">
        <v>1</v>
      </c>
      <c r="AE36" s="8">
        <v>9.875</v>
      </c>
      <c r="AI36">
        <v>2020</v>
      </c>
      <c r="AJ36">
        <v>386</v>
      </c>
      <c r="AK36" s="6" t="s">
        <v>3288</v>
      </c>
      <c r="AL36" s="6" t="s">
        <v>3272</v>
      </c>
      <c r="AM36" s="10">
        <v>804</v>
      </c>
      <c r="AN36" s="10">
        <v>3</v>
      </c>
      <c r="AO36" s="8">
        <v>16.367999999999999</v>
      </c>
      <c r="AS36">
        <v>2019</v>
      </c>
      <c r="AT36">
        <v>399</v>
      </c>
      <c r="AU36" s="6" t="s">
        <v>3289</v>
      </c>
      <c r="AV36" s="6" t="s">
        <v>3267</v>
      </c>
      <c r="AW36" s="10">
        <v>811</v>
      </c>
      <c r="AX36" s="10">
        <v>3</v>
      </c>
      <c r="AY36" s="8">
        <v>0.82</v>
      </c>
    </row>
    <row r="37" spans="5:51" x14ac:dyDescent="0.25">
      <c r="E37">
        <v>2023</v>
      </c>
      <c r="F37" s="6">
        <v>383</v>
      </c>
      <c r="G37" s="6" t="s">
        <v>3286</v>
      </c>
      <c r="H37" s="6" t="s">
        <v>3267</v>
      </c>
      <c r="I37" s="7">
        <v>2009</v>
      </c>
      <c r="J37" s="7">
        <v>2</v>
      </c>
      <c r="K37" s="8">
        <v>74.52</v>
      </c>
      <c r="L37" s="6"/>
      <c r="M37" s="6"/>
      <c r="N37" s="6"/>
      <c r="O37">
        <v>2022</v>
      </c>
      <c r="P37">
        <v>445</v>
      </c>
      <c r="Q37" s="6" t="s">
        <v>3291</v>
      </c>
      <c r="R37" s="6" t="s">
        <v>3272</v>
      </c>
      <c r="S37" s="10">
        <v>804</v>
      </c>
      <c r="T37" s="10">
        <v>3</v>
      </c>
      <c r="U37" s="8">
        <v>134.78399999999999</v>
      </c>
      <c r="Y37">
        <v>2021</v>
      </c>
      <c r="Z37">
        <v>399</v>
      </c>
      <c r="AA37" s="6" t="s">
        <v>3289</v>
      </c>
      <c r="AB37" s="6" t="s">
        <v>3267</v>
      </c>
      <c r="AC37" s="10">
        <v>2009</v>
      </c>
      <c r="AD37" s="10">
        <v>3</v>
      </c>
      <c r="AE37" s="8">
        <v>15.875</v>
      </c>
      <c r="AI37">
        <v>2020</v>
      </c>
      <c r="AJ37">
        <v>399</v>
      </c>
      <c r="AK37" s="6" t="s">
        <v>3289</v>
      </c>
      <c r="AL37" s="6" t="s">
        <v>3267</v>
      </c>
      <c r="AM37" s="10">
        <v>2009</v>
      </c>
      <c r="AN37" s="10">
        <v>4</v>
      </c>
      <c r="AO37" s="8">
        <v>3.6539999999999999</v>
      </c>
      <c r="AS37">
        <v>2019</v>
      </c>
      <c r="AT37">
        <v>403</v>
      </c>
      <c r="AU37" s="6" t="s">
        <v>3292</v>
      </c>
      <c r="AV37" s="6" t="s">
        <v>3267</v>
      </c>
      <c r="AW37" s="10">
        <v>806</v>
      </c>
      <c r="AX37" s="10">
        <v>1</v>
      </c>
      <c r="AY37" s="8">
        <v>0.24</v>
      </c>
    </row>
    <row r="38" spans="5:51" x14ac:dyDescent="0.25">
      <c r="E38">
        <v>2023</v>
      </c>
      <c r="F38" s="6">
        <v>386</v>
      </c>
      <c r="G38" s="6" t="s">
        <v>3288</v>
      </c>
      <c r="H38" s="6" t="s">
        <v>3272</v>
      </c>
      <c r="I38" s="7">
        <v>804</v>
      </c>
      <c r="J38" s="7">
        <v>4</v>
      </c>
      <c r="K38" s="8">
        <v>45.432000000000002</v>
      </c>
      <c r="L38" s="6"/>
      <c r="M38" s="6"/>
      <c r="N38" s="6"/>
      <c r="O38">
        <v>2022</v>
      </c>
      <c r="P38">
        <v>477</v>
      </c>
      <c r="Q38" s="6" t="s">
        <v>3293</v>
      </c>
      <c r="R38" s="6" t="s">
        <v>3280</v>
      </c>
      <c r="S38" s="10">
        <v>811</v>
      </c>
      <c r="T38" s="10">
        <v>1</v>
      </c>
      <c r="U38" s="8">
        <v>12.6</v>
      </c>
      <c r="Y38">
        <v>2021</v>
      </c>
      <c r="Z38">
        <v>442</v>
      </c>
      <c r="AA38" s="6" t="s">
        <v>3290</v>
      </c>
      <c r="AB38" s="6" t="s">
        <v>3272</v>
      </c>
      <c r="AC38" s="10">
        <v>806</v>
      </c>
      <c r="AD38" s="10">
        <v>1</v>
      </c>
      <c r="AE38" s="8">
        <v>15.15</v>
      </c>
      <c r="AI38">
        <v>2020</v>
      </c>
      <c r="AJ38">
        <v>399</v>
      </c>
      <c r="AK38" s="6" t="s">
        <v>3289</v>
      </c>
      <c r="AL38" s="6" t="s">
        <v>3267</v>
      </c>
      <c r="AM38" s="10">
        <v>811</v>
      </c>
      <c r="AN38" s="10">
        <v>3</v>
      </c>
      <c r="AO38" s="8">
        <v>2.0739999999999998</v>
      </c>
      <c r="AS38">
        <v>2019</v>
      </c>
      <c r="AT38">
        <v>431</v>
      </c>
      <c r="AU38" s="6" t="s">
        <v>3294</v>
      </c>
      <c r="AV38" s="6" t="s">
        <v>3295</v>
      </c>
      <c r="AW38" s="10">
        <v>804</v>
      </c>
      <c r="AX38" s="10">
        <v>2</v>
      </c>
      <c r="AY38" s="8">
        <v>11.88</v>
      </c>
    </row>
    <row r="39" spans="5:51" x14ac:dyDescent="0.25">
      <c r="E39">
        <v>2023</v>
      </c>
      <c r="F39" s="6">
        <v>399</v>
      </c>
      <c r="G39" s="6" t="s">
        <v>3289</v>
      </c>
      <c r="H39" s="6" t="s">
        <v>3267</v>
      </c>
      <c r="I39" s="7">
        <v>2009</v>
      </c>
      <c r="J39" s="7">
        <v>2</v>
      </c>
      <c r="K39" s="8">
        <v>33.85</v>
      </c>
      <c r="L39" s="6"/>
      <c r="M39" s="6"/>
      <c r="N39" s="6"/>
      <c r="O39">
        <v>2022</v>
      </c>
      <c r="P39">
        <v>538</v>
      </c>
      <c r="Q39" s="6" t="s">
        <v>3296</v>
      </c>
      <c r="R39" s="6" t="s">
        <v>3272</v>
      </c>
      <c r="S39" s="10">
        <v>806</v>
      </c>
      <c r="T39" s="10">
        <v>3</v>
      </c>
      <c r="U39" s="8">
        <v>197.76</v>
      </c>
      <c r="Y39">
        <v>2021</v>
      </c>
      <c r="Z39">
        <v>445</v>
      </c>
      <c r="AA39" s="6" t="s">
        <v>3291</v>
      </c>
      <c r="AB39" s="6" t="s">
        <v>3272</v>
      </c>
      <c r="AC39" s="10">
        <v>804</v>
      </c>
      <c r="AD39" s="10">
        <v>4</v>
      </c>
      <c r="AE39" s="8">
        <v>89.855999999999995</v>
      </c>
      <c r="AI39">
        <v>2020</v>
      </c>
      <c r="AJ39">
        <v>477</v>
      </c>
      <c r="AK39" s="6" t="s">
        <v>3293</v>
      </c>
      <c r="AL39" s="6" t="s">
        <v>3280</v>
      </c>
      <c r="AM39" s="10">
        <v>811</v>
      </c>
      <c r="AN39" s="10">
        <v>1</v>
      </c>
      <c r="AO39" s="8">
        <v>12.602</v>
      </c>
      <c r="AS39">
        <v>2019</v>
      </c>
      <c r="AT39">
        <v>477</v>
      </c>
      <c r="AU39" s="6" t="s">
        <v>3293</v>
      </c>
      <c r="AV39" s="6" t="s">
        <v>3280</v>
      </c>
      <c r="AW39" s="10">
        <v>811</v>
      </c>
      <c r="AX39" s="10">
        <v>4</v>
      </c>
      <c r="AY39" s="8">
        <v>97.56</v>
      </c>
    </row>
    <row r="40" spans="5:51" x14ac:dyDescent="0.25">
      <c r="E40">
        <v>2023</v>
      </c>
      <c r="F40" s="6">
        <v>399</v>
      </c>
      <c r="G40" s="6" t="s">
        <v>3289</v>
      </c>
      <c r="H40" s="6" t="s">
        <v>3267</v>
      </c>
      <c r="I40" s="7">
        <v>811</v>
      </c>
      <c r="J40" s="7">
        <v>2</v>
      </c>
      <c r="K40" s="8">
        <v>0.51</v>
      </c>
      <c r="L40" s="6"/>
      <c r="M40" s="6"/>
      <c r="N40" s="6"/>
      <c r="O40">
        <v>2022</v>
      </c>
      <c r="P40">
        <v>573</v>
      </c>
      <c r="Q40" s="6" t="s">
        <v>3297</v>
      </c>
      <c r="R40" s="6" t="s">
        <v>3272</v>
      </c>
      <c r="S40" s="10">
        <v>2009</v>
      </c>
      <c r="T40" s="10">
        <v>11</v>
      </c>
      <c r="U40" s="8">
        <v>459.73700000000002</v>
      </c>
      <c r="Y40">
        <v>2021</v>
      </c>
      <c r="Z40">
        <v>477</v>
      </c>
      <c r="AA40" s="6" t="s">
        <v>3293</v>
      </c>
      <c r="AB40" s="6" t="s">
        <v>3280</v>
      </c>
      <c r="AC40" s="10">
        <v>811</v>
      </c>
      <c r="AD40" s="10">
        <v>2</v>
      </c>
      <c r="AE40" s="8">
        <v>36.72</v>
      </c>
      <c r="AI40">
        <v>2020</v>
      </c>
      <c r="AJ40">
        <v>53</v>
      </c>
      <c r="AK40" s="6" t="s">
        <v>3298</v>
      </c>
      <c r="AL40" s="6" t="s">
        <v>3267</v>
      </c>
      <c r="AM40" s="10">
        <v>804</v>
      </c>
      <c r="AN40" s="10">
        <v>1</v>
      </c>
      <c r="AO40" s="8">
        <v>22.175999999999998</v>
      </c>
      <c r="AS40">
        <v>2019</v>
      </c>
      <c r="AT40">
        <v>53</v>
      </c>
      <c r="AU40" s="6" t="s">
        <v>3298</v>
      </c>
      <c r="AV40" s="6" t="s">
        <v>3267</v>
      </c>
      <c r="AW40" s="10">
        <v>806</v>
      </c>
      <c r="AX40" s="10">
        <v>2</v>
      </c>
      <c r="AY40" s="8">
        <v>163.19999999999999</v>
      </c>
    </row>
    <row r="41" spans="5:51" x14ac:dyDescent="0.25">
      <c r="E41">
        <v>2023</v>
      </c>
      <c r="F41" s="6">
        <v>442</v>
      </c>
      <c r="G41" s="6" t="s">
        <v>3290</v>
      </c>
      <c r="H41" s="6" t="s">
        <v>3272</v>
      </c>
      <c r="I41" s="7">
        <v>806</v>
      </c>
      <c r="J41" s="7">
        <v>1</v>
      </c>
      <c r="K41" s="8">
        <v>46.040999999999997</v>
      </c>
      <c r="L41" s="6"/>
      <c r="M41" s="6"/>
      <c r="N41" s="6"/>
      <c r="O41">
        <v>2022</v>
      </c>
      <c r="P41">
        <v>573</v>
      </c>
      <c r="Q41" s="6" t="s">
        <v>3297</v>
      </c>
      <c r="R41" s="6" t="s">
        <v>3272</v>
      </c>
      <c r="S41" s="10">
        <v>804</v>
      </c>
      <c r="T41" s="10">
        <v>12</v>
      </c>
      <c r="U41" s="8">
        <v>30729.652999999998</v>
      </c>
      <c r="Y41">
        <v>2021</v>
      </c>
      <c r="Z41">
        <v>538</v>
      </c>
      <c r="AA41" s="6" t="s">
        <v>3296</v>
      </c>
      <c r="AB41" s="6" t="s">
        <v>3272</v>
      </c>
      <c r="AC41" s="10">
        <v>806</v>
      </c>
      <c r="AD41" s="10">
        <v>1</v>
      </c>
      <c r="AE41" s="8">
        <v>24</v>
      </c>
      <c r="AI41">
        <v>2020</v>
      </c>
      <c r="AJ41">
        <v>573</v>
      </c>
      <c r="AK41" s="6" t="s">
        <v>3297</v>
      </c>
      <c r="AL41" s="6" t="s">
        <v>3272</v>
      </c>
      <c r="AM41" s="10">
        <v>2009</v>
      </c>
      <c r="AN41" s="10">
        <v>11</v>
      </c>
      <c r="AO41" s="8">
        <v>529.86300000000006</v>
      </c>
      <c r="AS41">
        <v>2019</v>
      </c>
      <c r="AT41">
        <v>538</v>
      </c>
      <c r="AU41" s="6" t="s">
        <v>3296</v>
      </c>
      <c r="AV41" s="6" t="s">
        <v>3272</v>
      </c>
      <c r="AW41" s="10">
        <v>806</v>
      </c>
      <c r="AX41" s="10">
        <v>2</v>
      </c>
      <c r="AY41" s="8">
        <v>24.38</v>
      </c>
    </row>
    <row r="42" spans="5:51" x14ac:dyDescent="0.25">
      <c r="E42">
        <v>2023</v>
      </c>
      <c r="F42" s="6">
        <v>474</v>
      </c>
      <c r="G42" s="6" t="s">
        <v>3299</v>
      </c>
      <c r="H42" s="6" t="s">
        <v>3295</v>
      </c>
      <c r="I42" s="7">
        <v>804</v>
      </c>
      <c r="J42" s="7">
        <v>2</v>
      </c>
      <c r="K42" s="8">
        <v>45.695999999999998</v>
      </c>
      <c r="L42" s="6"/>
      <c r="M42" s="6"/>
      <c r="N42" s="6"/>
      <c r="O42">
        <v>2022</v>
      </c>
      <c r="P42">
        <v>573</v>
      </c>
      <c r="Q42" s="6" t="s">
        <v>3297</v>
      </c>
      <c r="R42" s="6" t="s">
        <v>3272</v>
      </c>
      <c r="S42" s="10">
        <v>805</v>
      </c>
      <c r="T42" s="10">
        <v>11</v>
      </c>
      <c r="U42" s="8">
        <v>10023.477999999999</v>
      </c>
      <c r="Y42">
        <v>2021</v>
      </c>
      <c r="Z42">
        <v>573</v>
      </c>
      <c r="AA42" s="6" t="s">
        <v>3297</v>
      </c>
      <c r="AB42" s="6" t="s">
        <v>3272</v>
      </c>
      <c r="AC42" s="10">
        <v>2009</v>
      </c>
      <c r="AD42" s="10">
        <v>11</v>
      </c>
      <c r="AE42" s="8">
        <v>579.67600000000004</v>
      </c>
      <c r="AI42">
        <v>2020</v>
      </c>
      <c r="AJ42">
        <v>573</v>
      </c>
      <c r="AK42" s="6" t="s">
        <v>3297</v>
      </c>
      <c r="AL42" s="6" t="s">
        <v>3272</v>
      </c>
      <c r="AM42" s="10">
        <v>804</v>
      </c>
      <c r="AN42" s="10">
        <v>12</v>
      </c>
      <c r="AO42" s="8">
        <v>36463.978999999999</v>
      </c>
      <c r="AS42">
        <v>2019</v>
      </c>
      <c r="AT42">
        <v>573</v>
      </c>
      <c r="AU42" s="6" t="s">
        <v>3297</v>
      </c>
      <c r="AV42" s="6" t="s">
        <v>3272</v>
      </c>
      <c r="AW42" s="10">
        <v>2009</v>
      </c>
      <c r="AX42" s="10">
        <v>12</v>
      </c>
      <c r="AY42" s="8">
        <v>779.18299999999999</v>
      </c>
    </row>
    <row r="43" spans="5:51" x14ac:dyDescent="0.25">
      <c r="E43">
        <v>2023</v>
      </c>
      <c r="F43" s="6">
        <v>477</v>
      </c>
      <c r="G43" s="6" t="s">
        <v>3293</v>
      </c>
      <c r="H43" s="6" t="s">
        <v>3280</v>
      </c>
      <c r="I43" s="7">
        <v>811</v>
      </c>
      <c r="J43" s="7">
        <v>2</v>
      </c>
      <c r="K43" s="8">
        <v>42.12</v>
      </c>
      <c r="L43" s="6"/>
      <c r="M43" s="6"/>
      <c r="N43" s="6"/>
      <c r="O43">
        <v>2022</v>
      </c>
      <c r="P43">
        <v>573</v>
      </c>
      <c r="Q43" s="6" t="s">
        <v>3297</v>
      </c>
      <c r="R43" s="6" t="s">
        <v>3272</v>
      </c>
      <c r="S43" s="10">
        <v>806</v>
      </c>
      <c r="T43" s="10">
        <v>9</v>
      </c>
      <c r="U43" s="8">
        <v>12175.903</v>
      </c>
      <c r="Y43">
        <v>2021</v>
      </c>
      <c r="Z43">
        <v>573</v>
      </c>
      <c r="AA43" s="6" t="s">
        <v>3297</v>
      </c>
      <c r="AB43" s="6" t="s">
        <v>3272</v>
      </c>
      <c r="AC43" s="10">
        <v>804</v>
      </c>
      <c r="AD43" s="10">
        <v>12</v>
      </c>
      <c r="AE43" s="8">
        <v>40209.044000000002</v>
      </c>
      <c r="AI43">
        <v>2020</v>
      </c>
      <c r="AJ43">
        <v>573</v>
      </c>
      <c r="AK43" s="6" t="s">
        <v>3297</v>
      </c>
      <c r="AL43" s="6" t="s">
        <v>3272</v>
      </c>
      <c r="AM43" s="10">
        <v>805</v>
      </c>
      <c r="AN43" s="10">
        <v>12</v>
      </c>
      <c r="AO43" s="8">
        <v>8035.08</v>
      </c>
      <c r="AS43">
        <v>2019</v>
      </c>
      <c r="AT43">
        <v>573</v>
      </c>
      <c r="AU43" s="6" t="s">
        <v>3297</v>
      </c>
      <c r="AV43" s="6" t="s">
        <v>3272</v>
      </c>
      <c r="AW43" s="10">
        <v>804</v>
      </c>
      <c r="AX43" s="10">
        <v>12</v>
      </c>
      <c r="AY43" s="8">
        <v>39264.171000000002</v>
      </c>
    </row>
    <row r="44" spans="5:51" x14ac:dyDescent="0.25">
      <c r="E44">
        <v>2023</v>
      </c>
      <c r="F44" s="6">
        <v>538</v>
      </c>
      <c r="G44" s="6" t="s">
        <v>3296</v>
      </c>
      <c r="H44" s="6" t="s">
        <v>3272</v>
      </c>
      <c r="I44" s="7">
        <v>806</v>
      </c>
      <c r="J44" s="7">
        <v>4</v>
      </c>
      <c r="K44" s="8">
        <v>447.84</v>
      </c>
      <c r="L44" s="6"/>
      <c r="M44" s="6"/>
      <c r="N44" s="6"/>
      <c r="O44">
        <v>2022</v>
      </c>
      <c r="P44">
        <v>573</v>
      </c>
      <c r="Q44" s="6" t="s">
        <v>3297</v>
      </c>
      <c r="R44" s="6" t="s">
        <v>3272</v>
      </c>
      <c r="S44" s="10">
        <v>811</v>
      </c>
      <c r="T44" s="10">
        <v>5</v>
      </c>
      <c r="U44" s="8">
        <v>142.976</v>
      </c>
      <c r="Y44">
        <v>2021</v>
      </c>
      <c r="Z44">
        <v>573</v>
      </c>
      <c r="AA44" s="6" t="s">
        <v>3297</v>
      </c>
      <c r="AB44" s="6" t="s">
        <v>3272</v>
      </c>
      <c r="AC44" s="10">
        <v>805</v>
      </c>
      <c r="AD44" s="10">
        <v>12</v>
      </c>
      <c r="AE44" s="8">
        <v>10951.05</v>
      </c>
      <c r="AI44">
        <v>2020</v>
      </c>
      <c r="AJ44">
        <v>573</v>
      </c>
      <c r="AK44" s="6" t="s">
        <v>3297</v>
      </c>
      <c r="AL44" s="6" t="s">
        <v>3272</v>
      </c>
      <c r="AM44" s="10">
        <v>806</v>
      </c>
      <c r="AN44" s="10">
        <v>10</v>
      </c>
      <c r="AO44" s="8">
        <v>13743.731</v>
      </c>
      <c r="AS44">
        <v>2019</v>
      </c>
      <c r="AT44">
        <v>573</v>
      </c>
      <c r="AU44" s="6" t="s">
        <v>3297</v>
      </c>
      <c r="AV44" s="6" t="s">
        <v>3272</v>
      </c>
      <c r="AW44" s="10">
        <v>805</v>
      </c>
      <c r="AX44" s="10">
        <v>12</v>
      </c>
      <c r="AY44" s="8">
        <v>7910.7809999999999</v>
      </c>
    </row>
    <row r="45" spans="5:51" x14ac:dyDescent="0.25">
      <c r="E45">
        <v>2023</v>
      </c>
      <c r="F45" s="6">
        <v>573</v>
      </c>
      <c r="G45" s="6" t="s">
        <v>3297</v>
      </c>
      <c r="H45" s="6" t="s">
        <v>3272</v>
      </c>
      <c r="I45" s="7">
        <v>2009</v>
      </c>
      <c r="J45" s="7">
        <v>11</v>
      </c>
      <c r="K45" s="8">
        <v>484.03399999999999</v>
      </c>
      <c r="L45" s="6"/>
      <c r="M45" s="6"/>
      <c r="N45" s="6"/>
      <c r="O45">
        <v>2022</v>
      </c>
      <c r="P45">
        <v>603</v>
      </c>
      <c r="Q45" s="6" t="s">
        <v>3300</v>
      </c>
      <c r="R45" s="6" t="s">
        <v>3272</v>
      </c>
      <c r="S45" s="10">
        <v>804</v>
      </c>
      <c r="T45" s="10">
        <v>1</v>
      </c>
      <c r="U45" s="8">
        <v>1.6E-2</v>
      </c>
      <c r="Y45">
        <v>2021</v>
      </c>
      <c r="Z45">
        <v>573</v>
      </c>
      <c r="AA45" s="6" t="s">
        <v>3297</v>
      </c>
      <c r="AB45" s="6" t="s">
        <v>3272</v>
      </c>
      <c r="AC45" s="10">
        <v>806</v>
      </c>
      <c r="AD45" s="10">
        <v>11</v>
      </c>
      <c r="AE45" s="8">
        <v>21741.291000000001</v>
      </c>
      <c r="AI45">
        <v>2020</v>
      </c>
      <c r="AJ45">
        <v>573</v>
      </c>
      <c r="AK45" s="6" t="s">
        <v>3297</v>
      </c>
      <c r="AL45" s="6" t="s">
        <v>3272</v>
      </c>
      <c r="AM45" s="10">
        <v>811</v>
      </c>
      <c r="AN45" s="10">
        <v>9</v>
      </c>
      <c r="AO45" s="8">
        <v>167.50200000000001</v>
      </c>
      <c r="AS45">
        <v>2019</v>
      </c>
      <c r="AT45">
        <v>573</v>
      </c>
      <c r="AU45" s="6" t="s">
        <v>3297</v>
      </c>
      <c r="AV45" s="6" t="s">
        <v>3272</v>
      </c>
      <c r="AW45" s="10">
        <v>806</v>
      </c>
      <c r="AX45" s="10">
        <v>10</v>
      </c>
      <c r="AY45" s="8">
        <v>14430.848</v>
      </c>
    </row>
    <row r="46" spans="5:51" x14ac:dyDescent="0.25">
      <c r="E46">
        <v>2023</v>
      </c>
      <c r="F46" s="6">
        <v>573</v>
      </c>
      <c r="G46" s="6" t="s">
        <v>3297</v>
      </c>
      <c r="H46" s="6" t="s">
        <v>3272</v>
      </c>
      <c r="I46" s="7">
        <v>804</v>
      </c>
      <c r="J46" s="7">
        <v>12</v>
      </c>
      <c r="K46" s="8">
        <v>38967.881000000001</v>
      </c>
      <c r="L46" s="6"/>
      <c r="M46" s="6"/>
      <c r="N46" s="6"/>
      <c r="O46">
        <v>2022</v>
      </c>
      <c r="P46">
        <v>607</v>
      </c>
      <c r="Q46" s="6" t="s">
        <v>3301</v>
      </c>
      <c r="R46" s="6" t="s">
        <v>3272</v>
      </c>
      <c r="S46" s="10">
        <v>804</v>
      </c>
      <c r="T46" s="10">
        <v>12</v>
      </c>
      <c r="U46" s="8">
        <v>3267.2440000000001</v>
      </c>
      <c r="Y46">
        <v>2021</v>
      </c>
      <c r="Z46">
        <v>573</v>
      </c>
      <c r="AA46" s="6" t="s">
        <v>3297</v>
      </c>
      <c r="AB46" s="6" t="s">
        <v>3272</v>
      </c>
      <c r="AC46" s="10">
        <v>811</v>
      </c>
      <c r="AD46" s="10">
        <v>8</v>
      </c>
      <c r="AE46" s="8">
        <v>343.64100000000002</v>
      </c>
      <c r="AI46">
        <v>2020</v>
      </c>
      <c r="AJ46">
        <v>603</v>
      </c>
      <c r="AK46" s="6" t="s">
        <v>3300</v>
      </c>
      <c r="AL46" s="6" t="s">
        <v>3272</v>
      </c>
      <c r="AM46" s="10">
        <v>804</v>
      </c>
      <c r="AN46" s="10">
        <v>6</v>
      </c>
      <c r="AO46" s="8">
        <v>265.93599999999998</v>
      </c>
      <c r="AS46">
        <v>2019</v>
      </c>
      <c r="AT46">
        <v>573</v>
      </c>
      <c r="AU46" s="6" t="s">
        <v>3297</v>
      </c>
      <c r="AV46" s="6" t="s">
        <v>3272</v>
      </c>
      <c r="AW46" s="10">
        <v>811</v>
      </c>
      <c r="AX46" s="10">
        <v>11</v>
      </c>
      <c r="AY46" s="8">
        <v>415.60500000000002</v>
      </c>
    </row>
    <row r="47" spans="5:51" x14ac:dyDescent="0.25">
      <c r="E47">
        <v>2023</v>
      </c>
      <c r="F47" s="6">
        <v>573</v>
      </c>
      <c r="G47" s="6" t="s">
        <v>3297</v>
      </c>
      <c r="H47" s="6" t="s">
        <v>3272</v>
      </c>
      <c r="I47" s="7">
        <v>805</v>
      </c>
      <c r="J47" s="7">
        <v>11</v>
      </c>
      <c r="K47" s="8">
        <v>9995.9120000000003</v>
      </c>
      <c r="L47" s="6"/>
      <c r="M47" s="6"/>
      <c r="N47" s="6"/>
      <c r="O47">
        <v>2022</v>
      </c>
      <c r="P47">
        <v>628</v>
      </c>
      <c r="Q47" s="6" t="s">
        <v>3302</v>
      </c>
      <c r="R47" s="6" t="s">
        <v>3272</v>
      </c>
      <c r="S47" s="10">
        <v>804</v>
      </c>
      <c r="T47" s="10">
        <v>11</v>
      </c>
      <c r="U47" s="8">
        <v>4423.8469999999998</v>
      </c>
      <c r="Y47">
        <v>2021</v>
      </c>
      <c r="Z47">
        <v>603</v>
      </c>
      <c r="AA47" s="6" t="s">
        <v>3300</v>
      </c>
      <c r="AB47" s="6" t="s">
        <v>3272</v>
      </c>
      <c r="AC47" s="10">
        <v>804</v>
      </c>
      <c r="AD47" s="10">
        <v>3</v>
      </c>
      <c r="AE47" s="8">
        <v>118.976</v>
      </c>
      <c r="AI47">
        <v>2020</v>
      </c>
      <c r="AJ47">
        <v>607</v>
      </c>
      <c r="AK47" s="6" t="s">
        <v>3301</v>
      </c>
      <c r="AL47" s="6" t="s">
        <v>3272</v>
      </c>
      <c r="AM47" s="10">
        <v>804</v>
      </c>
      <c r="AN47" s="10">
        <v>8</v>
      </c>
      <c r="AO47" s="8">
        <v>1107.83</v>
      </c>
      <c r="AS47">
        <v>2019</v>
      </c>
      <c r="AT47">
        <v>607</v>
      </c>
      <c r="AU47" s="6" t="s">
        <v>3301</v>
      </c>
      <c r="AV47" s="6" t="s">
        <v>3272</v>
      </c>
      <c r="AW47" s="10">
        <v>804</v>
      </c>
      <c r="AX47" s="10">
        <v>12</v>
      </c>
      <c r="AY47" s="8">
        <v>375.06900000000002</v>
      </c>
    </row>
    <row r="48" spans="5:51" x14ac:dyDescent="0.25">
      <c r="E48">
        <v>2023</v>
      </c>
      <c r="F48" s="6">
        <v>573</v>
      </c>
      <c r="G48" s="6" t="s">
        <v>3297</v>
      </c>
      <c r="H48" s="6" t="s">
        <v>3272</v>
      </c>
      <c r="I48" s="7">
        <v>806</v>
      </c>
      <c r="J48" s="7">
        <v>11</v>
      </c>
      <c r="K48" s="8">
        <v>17620.277999999998</v>
      </c>
      <c r="L48" s="6"/>
      <c r="M48" s="6"/>
      <c r="N48" s="6"/>
      <c r="O48">
        <v>2022</v>
      </c>
      <c r="P48">
        <v>628</v>
      </c>
      <c r="Q48" s="6" t="s">
        <v>3302</v>
      </c>
      <c r="R48" s="6" t="s">
        <v>3272</v>
      </c>
      <c r="S48" s="10">
        <v>805</v>
      </c>
      <c r="T48" s="10">
        <v>12</v>
      </c>
      <c r="U48" s="8">
        <v>3722.2559999999999</v>
      </c>
      <c r="Y48">
        <v>2021</v>
      </c>
      <c r="Z48">
        <v>607</v>
      </c>
      <c r="AA48" s="6" t="s">
        <v>3301</v>
      </c>
      <c r="AB48" s="6" t="s">
        <v>3272</v>
      </c>
      <c r="AC48" s="10">
        <v>804</v>
      </c>
      <c r="AD48" s="10">
        <v>11</v>
      </c>
      <c r="AE48" s="8">
        <v>5010.5240000000003</v>
      </c>
      <c r="AI48">
        <v>2020</v>
      </c>
      <c r="AJ48">
        <v>607</v>
      </c>
      <c r="AK48" s="6" t="s">
        <v>3301</v>
      </c>
      <c r="AL48" s="6" t="s">
        <v>3272</v>
      </c>
      <c r="AM48" s="10">
        <v>805</v>
      </c>
      <c r="AN48" s="10">
        <v>1</v>
      </c>
      <c r="AO48" s="8">
        <v>48.140999999999998</v>
      </c>
      <c r="AS48">
        <v>2019</v>
      </c>
      <c r="AT48">
        <v>628</v>
      </c>
      <c r="AU48" s="6" t="s">
        <v>3302</v>
      </c>
      <c r="AV48" s="6" t="s">
        <v>3272</v>
      </c>
      <c r="AW48" s="10">
        <v>804</v>
      </c>
      <c r="AX48" s="10">
        <v>12</v>
      </c>
      <c r="AY48" s="8">
        <v>6856.0630000000001</v>
      </c>
    </row>
    <row r="49" spans="5:51" x14ac:dyDescent="0.25">
      <c r="E49">
        <v>2023</v>
      </c>
      <c r="F49" s="6">
        <v>573</v>
      </c>
      <c r="G49" s="6" t="s">
        <v>3297</v>
      </c>
      <c r="H49" s="6" t="s">
        <v>3272</v>
      </c>
      <c r="I49" s="7">
        <v>807</v>
      </c>
      <c r="J49" s="7">
        <v>1</v>
      </c>
      <c r="K49" s="8">
        <v>20.16</v>
      </c>
      <c r="L49" s="6"/>
      <c r="M49" s="6"/>
      <c r="N49" s="6"/>
      <c r="O49">
        <v>2022</v>
      </c>
      <c r="P49">
        <v>628</v>
      </c>
      <c r="Q49" s="6" t="s">
        <v>3302</v>
      </c>
      <c r="R49" s="6" t="s">
        <v>3272</v>
      </c>
      <c r="S49" s="10">
        <v>806</v>
      </c>
      <c r="T49" s="10">
        <v>12</v>
      </c>
      <c r="U49" s="8">
        <v>8017.81</v>
      </c>
      <c r="Y49">
        <v>2021</v>
      </c>
      <c r="Z49">
        <v>607</v>
      </c>
      <c r="AA49" s="6" t="s">
        <v>3301</v>
      </c>
      <c r="AB49" s="6" t="s">
        <v>3272</v>
      </c>
      <c r="AC49" s="10">
        <v>805</v>
      </c>
      <c r="AD49" s="10">
        <v>4</v>
      </c>
      <c r="AE49" s="8">
        <v>118.8</v>
      </c>
      <c r="AI49">
        <v>2020</v>
      </c>
      <c r="AJ49">
        <v>607</v>
      </c>
      <c r="AK49" s="6" t="s">
        <v>3301</v>
      </c>
      <c r="AL49" s="6" t="s">
        <v>3272</v>
      </c>
      <c r="AM49" s="10">
        <v>806</v>
      </c>
      <c r="AN49" s="10">
        <v>1</v>
      </c>
      <c r="AO49" s="8">
        <v>14.497999999999999</v>
      </c>
      <c r="AS49">
        <v>2019</v>
      </c>
      <c r="AT49">
        <v>628</v>
      </c>
      <c r="AU49" s="6" t="s">
        <v>3302</v>
      </c>
      <c r="AV49" s="6" t="s">
        <v>3272</v>
      </c>
      <c r="AW49" s="10">
        <v>805</v>
      </c>
      <c r="AX49" s="10">
        <v>12</v>
      </c>
      <c r="AY49" s="8">
        <v>5025.3500000000004</v>
      </c>
    </row>
    <row r="50" spans="5:51" x14ac:dyDescent="0.25">
      <c r="E50">
        <v>2023</v>
      </c>
      <c r="F50" s="6">
        <v>573</v>
      </c>
      <c r="G50" s="6" t="s">
        <v>3297</v>
      </c>
      <c r="H50" s="6" t="s">
        <v>3272</v>
      </c>
      <c r="I50" s="7">
        <v>811</v>
      </c>
      <c r="J50" s="7">
        <v>7</v>
      </c>
      <c r="K50" s="8">
        <v>104.652</v>
      </c>
      <c r="L50" s="6"/>
      <c r="M50" s="6"/>
      <c r="N50" s="6"/>
      <c r="O50">
        <v>2022</v>
      </c>
      <c r="P50">
        <v>63</v>
      </c>
      <c r="Q50" s="6" t="s">
        <v>3303</v>
      </c>
      <c r="R50" s="6" t="s">
        <v>3265</v>
      </c>
      <c r="S50" s="10">
        <v>804</v>
      </c>
      <c r="T50" s="10">
        <v>9</v>
      </c>
      <c r="U50" s="8">
        <v>1306.912</v>
      </c>
      <c r="Y50">
        <v>2021</v>
      </c>
      <c r="Z50">
        <v>628</v>
      </c>
      <c r="AA50" s="6" t="s">
        <v>3302</v>
      </c>
      <c r="AB50" s="6" t="s">
        <v>3272</v>
      </c>
      <c r="AC50" s="10">
        <v>804</v>
      </c>
      <c r="AD50" s="10">
        <v>9</v>
      </c>
      <c r="AE50" s="8">
        <v>6626.44</v>
      </c>
      <c r="AI50">
        <v>2020</v>
      </c>
      <c r="AJ50">
        <v>628</v>
      </c>
      <c r="AK50" s="6" t="s">
        <v>3302</v>
      </c>
      <c r="AL50" s="6" t="s">
        <v>3272</v>
      </c>
      <c r="AM50" s="10">
        <v>804</v>
      </c>
      <c r="AN50" s="10">
        <v>12</v>
      </c>
      <c r="AO50" s="8">
        <v>5969.393</v>
      </c>
      <c r="AS50">
        <v>2019</v>
      </c>
      <c r="AT50">
        <v>628</v>
      </c>
      <c r="AU50" s="6" t="s">
        <v>3302</v>
      </c>
      <c r="AV50" s="6" t="s">
        <v>3272</v>
      </c>
      <c r="AW50" s="10">
        <v>806</v>
      </c>
      <c r="AX50" s="10">
        <v>12</v>
      </c>
      <c r="AY50" s="8">
        <v>10242.897999999999</v>
      </c>
    </row>
    <row r="51" spans="5:51" x14ac:dyDescent="0.25">
      <c r="E51">
        <v>2023</v>
      </c>
      <c r="F51" s="6">
        <v>603</v>
      </c>
      <c r="G51" s="6" t="s">
        <v>3300</v>
      </c>
      <c r="H51" s="6" t="s">
        <v>3272</v>
      </c>
      <c r="I51" s="7">
        <v>804</v>
      </c>
      <c r="J51" s="7">
        <v>5</v>
      </c>
      <c r="K51" s="8">
        <v>78.912000000000006</v>
      </c>
      <c r="L51" s="6"/>
      <c r="M51" s="6"/>
      <c r="N51" s="6"/>
      <c r="O51">
        <v>2022</v>
      </c>
      <c r="P51">
        <v>63</v>
      </c>
      <c r="Q51" s="6" t="s">
        <v>3303</v>
      </c>
      <c r="R51" s="6" t="s">
        <v>3265</v>
      </c>
      <c r="S51" s="10">
        <v>806</v>
      </c>
      <c r="T51" s="10">
        <v>9</v>
      </c>
      <c r="U51" s="8">
        <v>2660.3910000000001</v>
      </c>
      <c r="Y51">
        <v>2021</v>
      </c>
      <c r="Z51">
        <v>628</v>
      </c>
      <c r="AA51" s="6" t="s">
        <v>3302</v>
      </c>
      <c r="AB51" s="6" t="s">
        <v>3272</v>
      </c>
      <c r="AC51" s="10">
        <v>805</v>
      </c>
      <c r="AD51" s="10">
        <v>12</v>
      </c>
      <c r="AE51" s="8">
        <v>4744.3559999999998</v>
      </c>
      <c r="AI51">
        <v>2020</v>
      </c>
      <c r="AJ51">
        <v>628</v>
      </c>
      <c r="AK51" s="6" t="s">
        <v>3302</v>
      </c>
      <c r="AL51" s="6" t="s">
        <v>3272</v>
      </c>
      <c r="AM51" s="10">
        <v>805</v>
      </c>
      <c r="AN51" s="10">
        <v>12</v>
      </c>
      <c r="AO51" s="8">
        <v>5749.5140000000001</v>
      </c>
      <c r="AS51">
        <v>2019</v>
      </c>
      <c r="AT51">
        <v>63</v>
      </c>
      <c r="AU51" s="6" t="s">
        <v>3303</v>
      </c>
      <c r="AV51" s="6" t="s">
        <v>3265</v>
      </c>
      <c r="AW51" s="10">
        <v>804</v>
      </c>
      <c r="AX51" s="10">
        <v>8</v>
      </c>
      <c r="AY51" s="8">
        <v>285.72800000000001</v>
      </c>
    </row>
    <row r="52" spans="5:51" x14ac:dyDescent="0.25">
      <c r="E52">
        <v>2023</v>
      </c>
      <c r="F52" s="6">
        <v>607</v>
      </c>
      <c r="G52" s="6" t="s">
        <v>3301</v>
      </c>
      <c r="H52" s="6" t="s">
        <v>3272</v>
      </c>
      <c r="I52" s="7">
        <v>804</v>
      </c>
      <c r="J52" s="7">
        <v>11</v>
      </c>
      <c r="K52" s="8">
        <v>366.392</v>
      </c>
      <c r="L52" s="6"/>
      <c r="M52" s="6"/>
      <c r="N52" s="6"/>
      <c r="O52">
        <v>2022</v>
      </c>
      <c r="P52">
        <v>676</v>
      </c>
      <c r="Q52" s="6" t="s">
        <v>3304</v>
      </c>
      <c r="R52" s="6" t="s">
        <v>3267</v>
      </c>
      <c r="S52" s="10">
        <v>805</v>
      </c>
      <c r="T52" s="10">
        <v>2</v>
      </c>
      <c r="U52" s="8">
        <v>120.24</v>
      </c>
      <c r="Y52">
        <v>2021</v>
      </c>
      <c r="Z52">
        <v>628</v>
      </c>
      <c r="AA52" s="6" t="s">
        <v>3302</v>
      </c>
      <c r="AB52" s="6" t="s">
        <v>3272</v>
      </c>
      <c r="AC52" s="10">
        <v>806</v>
      </c>
      <c r="AD52" s="10">
        <v>12</v>
      </c>
      <c r="AE52" s="8">
        <v>11149.451999999999</v>
      </c>
      <c r="AI52">
        <v>2020</v>
      </c>
      <c r="AJ52">
        <v>628</v>
      </c>
      <c r="AK52" s="6" t="s">
        <v>3302</v>
      </c>
      <c r="AL52" s="6" t="s">
        <v>3272</v>
      </c>
      <c r="AM52" s="10">
        <v>806</v>
      </c>
      <c r="AN52" s="10">
        <v>12</v>
      </c>
      <c r="AO52" s="8">
        <v>9705.3179999999993</v>
      </c>
      <c r="AS52">
        <v>2019</v>
      </c>
      <c r="AT52">
        <v>63</v>
      </c>
      <c r="AU52" s="6" t="s">
        <v>3303</v>
      </c>
      <c r="AV52" s="6" t="s">
        <v>3265</v>
      </c>
      <c r="AW52" s="10">
        <v>806</v>
      </c>
      <c r="AX52" s="10">
        <v>6</v>
      </c>
      <c r="AY52" s="8">
        <v>870.00800000000004</v>
      </c>
    </row>
    <row r="53" spans="5:51" x14ac:dyDescent="0.25">
      <c r="E53">
        <v>2023</v>
      </c>
      <c r="F53" s="6">
        <v>607</v>
      </c>
      <c r="G53" s="6" t="s">
        <v>3301</v>
      </c>
      <c r="H53" s="6" t="s">
        <v>3272</v>
      </c>
      <c r="I53" s="7">
        <v>805</v>
      </c>
      <c r="J53" s="7">
        <v>1</v>
      </c>
      <c r="K53" s="8">
        <v>4.2119999999999997</v>
      </c>
      <c r="L53" s="6"/>
      <c r="M53" s="6"/>
      <c r="N53" s="6"/>
      <c r="O53">
        <v>2022</v>
      </c>
      <c r="P53">
        <v>691</v>
      </c>
      <c r="Q53" s="6" t="s">
        <v>3305</v>
      </c>
      <c r="R53" s="6" t="s">
        <v>3306</v>
      </c>
      <c r="S53" s="10">
        <v>804</v>
      </c>
      <c r="T53" s="10">
        <v>2</v>
      </c>
      <c r="U53" s="8">
        <v>69.091999999999999</v>
      </c>
      <c r="Y53">
        <v>2021</v>
      </c>
      <c r="Z53">
        <v>63</v>
      </c>
      <c r="AA53" s="6" t="s">
        <v>3303</v>
      </c>
      <c r="AB53" s="6" t="s">
        <v>3265</v>
      </c>
      <c r="AC53" s="10">
        <v>804</v>
      </c>
      <c r="AD53" s="10">
        <v>11</v>
      </c>
      <c r="AE53" s="8">
        <v>1947.96</v>
      </c>
      <c r="AI53">
        <v>2020</v>
      </c>
      <c r="AJ53">
        <v>63</v>
      </c>
      <c r="AK53" s="6" t="s">
        <v>3303</v>
      </c>
      <c r="AL53" s="6" t="s">
        <v>3265</v>
      </c>
      <c r="AM53" s="10">
        <v>804</v>
      </c>
      <c r="AN53" s="10">
        <v>9</v>
      </c>
      <c r="AO53" s="8">
        <v>801.72799999999995</v>
      </c>
      <c r="AS53">
        <v>2019</v>
      </c>
      <c r="AT53">
        <v>676</v>
      </c>
      <c r="AU53" s="6" t="s">
        <v>3304</v>
      </c>
      <c r="AV53" s="6" t="s">
        <v>3267</v>
      </c>
      <c r="AW53" s="10">
        <v>804</v>
      </c>
      <c r="AX53" s="10">
        <v>12</v>
      </c>
      <c r="AY53" s="8">
        <v>1443.9870000000001</v>
      </c>
    </row>
    <row r="54" spans="5:51" x14ac:dyDescent="0.25">
      <c r="E54">
        <v>2023</v>
      </c>
      <c r="F54" s="6">
        <v>607</v>
      </c>
      <c r="G54" s="6" t="s">
        <v>3301</v>
      </c>
      <c r="H54" s="6" t="s">
        <v>3272</v>
      </c>
      <c r="I54" s="7">
        <v>806</v>
      </c>
      <c r="J54" s="7">
        <v>1</v>
      </c>
      <c r="K54" s="8">
        <v>12.5</v>
      </c>
      <c r="L54" s="6"/>
      <c r="M54" s="6"/>
      <c r="N54" s="6"/>
      <c r="O54">
        <v>2022</v>
      </c>
      <c r="P54">
        <v>741</v>
      </c>
      <c r="Q54" s="6" t="s">
        <v>3307</v>
      </c>
      <c r="R54" s="6" t="s">
        <v>3267</v>
      </c>
      <c r="S54" s="10">
        <v>806</v>
      </c>
      <c r="T54" s="10">
        <v>1</v>
      </c>
      <c r="U54" s="8">
        <v>8.0000000000000002E-3</v>
      </c>
      <c r="Y54">
        <v>2021</v>
      </c>
      <c r="Z54">
        <v>63</v>
      </c>
      <c r="AA54" s="6" t="s">
        <v>3303</v>
      </c>
      <c r="AB54" s="6" t="s">
        <v>3265</v>
      </c>
      <c r="AC54" s="10">
        <v>806</v>
      </c>
      <c r="AD54" s="10">
        <v>7</v>
      </c>
      <c r="AE54" s="8">
        <v>1843.9059999999999</v>
      </c>
      <c r="AI54">
        <v>2020</v>
      </c>
      <c r="AJ54">
        <v>63</v>
      </c>
      <c r="AK54" s="6" t="s">
        <v>3303</v>
      </c>
      <c r="AL54" s="6" t="s">
        <v>3265</v>
      </c>
      <c r="AM54" s="10">
        <v>806</v>
      </c>
      <c r="AN54" s="10">
        <v>8</v>
      </c>
      <c r="AO54" s="8">
        <v>653.70000000000005</v>
      </c>
      <c r="AS54">
        <v>2019</v>
      </c>
      <c r="AT54">
        <v>676</v>
      </c>
      <c r="AU54" s="6" t="s">
        <v>3304</v>
      </c>
      <c r="AV54" s="6" t="s">
        <v>3267</v>
      </c>
      <c r="AW54" s="10">
        <v>805</v>
      </c>
      <c r="AX54" s="10">
        <v>11</v>
      </c>
      <c r="AY54" s="8">
        <v>1107.3599999999999</v>
      </c>
    </row>
    <row r="55" spans="5:51" x14ac:dyDescent="0.25">
      <c r="E55">
        <v>2023</v>
      </c>
      <c r="F55" s="6">
        <v>628</v>
      </c>
      <c r="G55" s="6" t="s">
        <v>3302</v>
      </c>
      <c r="H55" s="6" t="s">
        <v>3272</v>
      </c>
      <c r="I55" s="7">
        <v>804</v>
      </c>
      <c r="J55" s="7">
        <v>10</v>
      </c>
      <c r="K55" s="8">
        <v>6282.5879999999997</v>
      </c>
      <c r="L55" s="6"/>
      <c r="M55" s="6"/>
      <c r="N55" s="6"/>
      <c r="O55">
        <v>2022</v>
      </c>
      <c r="P55">
        <v>756</v>
      </c>
      <c r="Q55" s="6" t="s">
        <v>3308</v>
      </c>
      <c r="R55" s="6" t="s">
        <v>3295</v>
      </c>
      <c r="S55" s="10">
        <v>804</v>
      </c>
      <c r="T55" s="10">
        <v>3</v>
      </c>
      <c r="U55" s="8">
        <v>66.528000000000006</v>
      </c>
      <c r="Y55">
        <v>2021</v>
      </c>
      <c r="Z55">
        <v>676</v>
      </c>
      <c r="AA55" s="6" t="s">
        <v>3304</v>
      </c>
      <c r="AB55" s="6" t="s">
        <v>3267</v>
      </c>
      <c r="AC55" s="10">
        <v>804</v>
      </c>
      <c r="AD55" s="10">
        <v>7</v>
      </c>
      <c r="AE55" s="8">
        <v>838.226</v>
      </c>
      <c r="AI55">
        <v>2020</v>
      </c>
      <c r="AJ55">
        <v>676</v>
      </c>
      <c r="AK55" s="6" t="s">
        <v>3304</v>
      </c>
      <c r="AL55" s="6" t="s">
        <v>3267</v>
      </c>
      <c r="AM55" s="10">
        <v>804</v>
      </c>
      <c r="AN55" s="10">
        <v>7</v>
      </c>
      <c r="AO55" s="8">
        <v>334.92599999999999</v>
      </c>
      <c r="AS55">
        <v>2019</v>
      </c>
      <c r="AT55">
        <v>741</v>
      </c>
      <c r="AU55" s="6" t="s">
        <v>3307</v>
      </c>
      <c r="AV55" s="6" t="s">
        <v>3267</v>
      </c>
      <c r="AW55" s="10">
        <v>806</v>
      </c>
      <c r="AX55" s="10">
        <v>1</v>
      </c>
      <c r="AY55" s="8">
        <v>0.24</v>
      </c>
    </row>
    <row r="56" spans="5:51" x14ac:dyDescent="0.25">
      <c r="E56">
        <v>2023</v>
      </c>
      <c r="F56" s="6">
        <v>628</v>
      </c>
      <c r="G56" s="6" t="s">
        <v>3302</v>
      </c>
      <c r="H56" s="6" t="s">
        <v>3272</v>
      </c>
      <c r="I56" s="7">
        <v>805</v>
      </c>
      <c r="J56" s="7">
        <v>11</v>
      </c>
      <c r="K56" s="8">
        <v>3793.59</v>
      </c>
      <c r="L56" s="6"/>
      <c r="M56" s="6"/>
      <c r="N56" s="6"/>
      <c r="O56">
        <v>2022</v>
      </c>
      <c r="P56">
        <v>767</v>
      </c>
      <c r="Q56" s="6" t="s">
        <v>3309</v>
      </c>
      <c r="R56" s="6" t="s">
        <v>3272</v>
      </c>
      <c r="S56" s="10">
        <v>2009</v>
      </c>
      <c r="T56" s="10">
        <v>5</v>
      </c>
      <c r="U56" s="8">
        <v>173.74199999999999</v>
      </c>
      <c r="Y56">
        <v>2021</v>
      </c>
      <c r="Z56">
        <v>676</v>
      </c>
      <c r="AA56" s="6" t="s">
        <v>3304</v>
      </c>
      <c r="AB56" s="6" t="s">
        <v>3267</v>
      </c>
      <c r="AC56" s="10">
        <v>805</v>
      </c>
      <c r="AD56" s="10">
        <v>10</v>
      </c>
      <c r="AE56" s="8">
        <v>666</v>
      </c>
      <c r="AI56">
        <v>2020</v>
      </c>
      <c r="AJ56">
        <v>676</v>
      </c>
      <c r="AK56" s="6" t="s">
        <v>3304</v>
      </c>
      <c r="AL56" s="6" t="s">
        <v>3267</v>
      </c>
      <c r="AM56" s="10">
        <v>805</v>
      </c>
      <c r="AN56" s="10">
        <v>9</v>
      </c>
      <c r="AO56" s="8">
        <v>673.92</v>
      </c>
      <c r="AS56">
        <v>2019</v>
      </c>
      <c r="AT56">
        <v>756</v>
      </c>
      <c r="AU56" s="6" t="s">
        <v>3308</v>
      </c>
      <c r="AV56" s="6" t="s">
        <v>3295</v>
      </c>
      <c r="AW56" s="10">
        <v>804</v>
      </c>
      <c r="AX56" s="10">
        <v>5</v>
      </c>
      <c r="AY56" s="8">
        <v>258.14400000000001</v>
      </c>
    </row>
    <row r="57" spans="5:51" x14ac:dyDescent="0.25">
      <c r="E57">
        <v>2023</v>
      </c>
      <c r="F57" s="6">
        <v>628</v>
      </c>
      <c r="G57" s="6" t="s">
        <v>3302</v>
      </c>
      <c r="H57" s="6" t="s">
        <v>3272</v>
      </c>
      <c r="I57" s="7">
        <v>806</v>
      </c>
      <c r="J57" s="7">
        <v>12</v>
      </c>
      <c r="K57" s="8">
        <v>9644.4</v>
      </c>
      <c r="L57" s="6"/>
      <c r="M57" s="6"/>
      <c r="N57" s="6"/>
      <c r="O57">
        <v>2022</v>
      </c>
      <c r="P57">
        <v>767</v>
      </c>
      <c r="Q57" s="6" t="s">
        <v>3309</v>
      </c>
      <c r="R57" s="6" t="s">
        <v>3272</v>
      </c>
      <c r="S57" s="10">
        <v>804</v>
      </c>
      <c r="T57" s="10">
        <v>5</v>
      </c>
      <c r="U57" s="8">
        <v>44.735999999999997</v>
      </c>
      <c r="Y57">
        <v>2021</v>
      </c>
      <c r="Z57">
        <v>676</v>
      </c>
      <c r="AA57" s="6" t="s">
        <v>3304</v>
      </c>
      <c r="AB57" s="6" t="s">
        <v>3267</v>
      </c>
      <c r="AC57" s="10">
        <v>806</v>
      </c>
      <c r="AD57" s="10">
        <v>2</v>
      </c>
      <c r="AE57" s="8">
        <v>44.847000000000001</v>
      </c>
      <c r="AI57">
        <v>2020</v>
      </c>
      <c r="AJ57">
        <v>756</v>
      </c>
      <c r="AK57" s="6" t="s">
        <v>3308</v>
      </c>
      <c r="AL57" s="6" t="s">
        <v>3295</v>
      </c>
      <c r="AM57" s="10">
        <v>804</v>
      </c>
      <c r="AN57" s="10">
        <v>3</v>
      </c>
      <c r="AO57" s="8">
        <v>88.703999999999994</v>
      </c>
      <c r="AS57">
        <v>2019</v>
      </c>
      <c r="AT57">
        <v>756</v>
      </c>
      <c r="AU57" s="6" t="s">
        <v>3308</v>
      </c>
      <c r="AV57" s="6" t="s">
        <v>3295</v>
      </c>
      <c r="AW57" s="10">
        <v>805</v>
      </c>
      <c r="AX57" s="10">
        <v>2</v>
      </c>
      <c r="AY57" s="8">
        <v>48.96</v>
      </c>
    </row>
    <row r="58" spans="5:51" x14ac:dyDescent="0.25">
      <c r="E58">
        <v>2023</v>
      </c>
      <c r="F58" s="6">
        <v>63</v>
      </c>
      <c r="G58" s="6" t="s">
        <v>3303</v>
      </c>
      <c r="H58" s="6" t="s">
        <v>3265</v>
      </c>
      <c r="I58" s="7">
        <v>804</v>
      </c>
      <c r="J58" s="7">
        <v>9</v>
      </c>
      <c r="K58" s="8">
        <v>1368.3440000000001</v>
      </c>
      <c r="L58" s="6"/>
      <c r="M58" s="6"/>
      <c r="N58" s="6"/>
      <c r="O58">
        <v>2022</v>
      </c>
      <c r="P58">
        <v>845</v>
      </c>
      <c r="Q58" s="6" t="s">
        <v>3310</v>
      </c>
      <c r="R58" s="6" t="s">
        <v>3265</v>
      </c>
      <c r="S58" s="10">
        <v>806</v>
      </c>
      <c r="T58" s="10">
        <v>3</v>
      </c>
      <c r="U58" s="8">
        <v>41.2</v>
      </c>
      <c r="Y58">
        <v>2021</v>
      </c>
      <c r="Z58">
        <v>756</v>
      </c>
      <c r="AA58" s="6" t="s">
        <v>3308</v>
      </c>
      <c r="AB58" s="6" t="s">
        <v>3295</v>
      </c>
      <c r="AC58" s="10">
        <v>804</v>
      </c>
      <c r="AD58" s="10">
        <v>3</v>
      </c>
      <c r="AE58" s="8">
        <v>66.528000000000006</v>
      </c>
      <c r="AI58">
        <v>2020</v>
      </c>
      <c r="AJ58">
        <v>756</v>
      </c>
      <c r="AK58" s="6" t="s">
        <v>3308</v>
      </c>
      <c r="AL58" s="6" t="s">
        <v>3295</v>
      </c>
      <c r="AM58" s="10">
        <v>805</v>
      </c>
      <c r="AN58" s="10">
        <v>2</v>
      </c>
      <c r="AO58" s="8">
        <v>48.24</v>
      </c>
      <c r="AS58">
        <v>2019</v>
      </c>
      <c r="AT58">
        <v>764</v>
      </c>
      <c r="AU58" s="6" t="s">
        <v>3311</v>
      </c>
      <c r="AV58" s="6" t="s">
        <v>3272</v>
      </c>
      <c r="AW58" s="10">
        <v>806</v>
      </c>
      <c r="AX58" s="10">
        <v>2</v>
      </c>
      <c r="AY58" s="8">
        <v>72</v>
      </c>
    </row>
    <row r="59" spans="5:51" x14ac:dyDescent="0.25">
      <c r="E59">
        <v>2023</v>
      </c>
      <c r="F59" s="6">
        <v>63</v>
      </c>
      <c r="G59" s="6" t="s">
        <v>3303</v>
      </c>
      <c r="H59" s="6" t="s">
        <v>3265</v>
      </c>
      <c r="I59" s="7">
        <v>806</v>
      </c>
      <c r="J59" s="7">
        <v>8</v>
      </c>
      <c r="K59" s="8">
        <v>1394.6880000000001</v>
      </c>
      <c r="L59" s="6"/>
      <c r="M59" s="6"/>
      <c r="N59" s="6"/>
      <c r="O59">
        <v>2022</v>
      </c>
      <c r="P59">
        <v>87</v>
      </c>
      <c r="Q59" s="6" t="s">
        <v>3312</v>
      </c>
      <c r="R59" s="6" t="s">
        <v>3272</v>
      </c>
      <c r="S59" s="10">
        <v>804</v>
      </c>
      <c r="T59" s="10">
        <v>1</v>
      </c>
      <c r="U59" s="8">
        <v>42.24</v>
      </c>
      <c r="Y59">
        <v>2021</v>
      </c>
      <c r="Z59">
        <v>756</v>
      </c>
      <c r="AA59" s="6" t="s">
        <v>3308</v>
      </c>
      <c r="AB59" s="6" t="s">
        <v>3295</v>
      </c>
      <c r="AC59" s="10">
        <v>805</v>
      </c>
      <c r="AD59" s="10">
        <v>1</v>
      </c>
      <c r="AE59" s="8">
        <v>23.76</v>
      </c>
      <c r="AI59">
        <v>2020</v>
      </c>
      <c r="AJ59">
        <v>767</v>
      </c>
      <c r="AK59" s="6" t="s">
        <v>3309</v>
      </c>
      <c r="AL59" s="6" t="s">
        <v>3272</v>
      </c>
      <c r="AM59" s="10">
        <v>2009</v>
      </c>
      <c r="AN59" s="10">
        <v>2</v>
      </c>
      <c r="AO59" s="8">
        <v>39.792999999999999</v>
      </c>
      <c r="AS59">
        <v>2019</v>
      </c>
      <c r="AT59">
        <v>767</v>
      </c>
      <c r="AU59" s="6" t="s">
        <v>3309</v>
      </c>
      <c r="AV59" s="6" t="s">
        <v>3272</v>
      </c>
      <c r="AW59" s="10">
        <v>804</v>
      </c>
      <c r="AX59" s="10">
        <v>2</v>
      </c>
      <c r="AY59" s="8">
        <v>2.9279999999999999</v>
      </c>
    </row>
    <row r="60" spans="5:51" x14ac:dyDescent="0.25">
      <c r="E60">
        <v>2023</v>
      </c>
      <c r="F60" s="6">
        <v>691</v>
      </c>
      <c r="G60" s="6" t="s">
        <v>3305</v>
      </c>
      <c r="H60" s="6" t="s">
        <v>3306</v>
      </c>
      <c r="I60" s="7">
        <v>804</v>
      </c>
      <c r="J60" s="7">
        <v>1</v>
      </c>
      <c r="K60" s="8">
        <v>22.175999999999998</v>
      </c>
      <c r="L60" s="6"/>
      <c r="M60" s="6"/>
      <c r="N60" s="6"/>
      <c r="O60">
        <v>2022</v>
      </c>
      <c r="P60">
        <v>87</v>
      </c>
      <c r="Q60" s="6" t="s">
        <v>3312</v>
      </c>
      <c r="R60" s="6" t="s">
        <v>3272</v>
      </c>
      <c r="S60" s="10">
        <v>805</v>
      </c>
      <c r="T60" s="10">
        <v>1</v>
      </c>
      <c r="U60" s="8">
        <v>192.72</v>
      </c>
      <c r="Y60">
        <v>2021</v>
      </c>
      <c r="Z60">
        <v>767</v>
      </c>
      <c r="AA60" s="6" t="s">
        <v>3309</v>
      </c>
      <c r="AB60" s="6" t="s">
        <v>3272</v>
      </c>
      <c r="AC60" s="10">
        <v>2009</v>
      </c>
      <c r="AD60" s="10">
        <v>7</v>
      </c>
      <c r="AE60" s="8">
        <v>187.964</v>
      </c>
      <c r="AI60">
        <v>2020</v>
      </c>
      <c r="AJ60">
        <v>767</v>
      </c>
      <c r="AK60" s="6" t="s">
        <v>3309</v>
      </c>
      <c r="AL60" s="6" t="s">
        <v>3272</v>
      </c>
      <c r="AM60" s="10">
        <v>804</v>
      </c>
      <c r="AN60" s="10">
        <v>5</v>
      </c>
      <c r="AO60" s="8">
        <v>30.96</v>
      </c>
      <c r="AS60">
        <v>2019</v>
      </c>
      <c r="AT60">
        <v>831</v>
      </c>
      <c r="AU60" s="6" t="s">
        <v>3313</v>
      </c>
      <c r="AV60" s="6" t="s">
        <v>3272</v>
      </c>
      <c r="AW60" s="10">
        <v>804</v>
      </c>
      <c r="AX60" s="10">
        <v>2</v>
      </c>
      <c r="AY60" s="8">
        <v>45.024000000000001</v>
      </c>
    </row>
    <row r="61" spans="5:51" x14ac:dyDescent="0.25">
      <c r="E61">
        <v>2023</v>
      </c>
      <c r="F61" s="6">
        <v>741</v>
      </c>
      <c r="G61" s="6" t="s">
        <v>3307</v>
      </c>
      <c r="H61" s="6" t="s">
        <v>3267</v>
      </c>
      <c r="I61" s="7">
        <v>806</v>
      </c>
      <c r="J61" s="7">
        <v>1</v>
      </c>
      <c r="K61" s="8">
        <v>0.01</v>
      </c>
      <c r="L61" s="6"/>
      <c r="M61" s="6"/>
      <c r="N61" s="6"/>
      <c r="O61">
        <v>2022</v>
      </c>
      <c r="P61">
        <v>87</v>
      </c>
      <c r="Q61" s="6" t="s">
        <v>3312</v>
      </c>
      <c r="R61" s="6" t="s">
        <v>3272</v>
      </c>
      <c r="S61" s="10">
        <v>806</v>
      </c>
      <c r="T61" s="10">
        <v>1</v>
      </c>
      <c r="U61" s="8">
        <v>39</v>
      </c>
      <c r="Y61">
        <v>2021</v>
      </c>
      <c r="Z61">
        <v>767</v>
      </c>
      <c r="AA61" s="6" t="s">
        <v>3309</v>
      </c>
      <c r="AB61" s="6" t="s">
        <v>3272</v>
      </c>
      <c r="AC61" s="10">
        <v>804</v>
      </c>
      <c r="AD61" s="10">
        <v>5</v>
      </c>
      <c r="AE61" s="8">
        <v>28.632000000000001</v>
      </c>
      <c r="AI61">
        <v>2020</v>
      </c>
      <c r="AJ61">
        <v>87</v>
      </c>
      <c r="AK61" s="6" t="s">
        <v>3312</v>
      </c>
      <c r="AL61" s="6" t="s">
        <v>3272</v>
      </c>
      <c r="AM61" s="10">
        <v>804</v>
      </c>
      <c r="AN61" s="10">
        <v>5</v>
      </c>
      <c r="AO61" s="8">
        <v>104.586</v>
      </c>
      <c r="AP61" s="13"/>
      <c r="AQ61" s="13"/>
      <c r="AS61">
        <v>2019</v>
      </c>
      <c r="AT61">
        <v>87</v>
      </c>
      <c r="AU61" s="6" t="s">
        <v>3312</v>
      </c>
      <c r="AV61" s="6" t="s">
        <v>3272</v>
      </c>
      <c r="AW61" s="10">
        <v>804</v>
      </c>
      <c r="AX61" s="10">
        <v>2</v>
      </c>
      <c r="AY61" s="8">
        <v>67.872</v>
      </c>
    </row>
    <row r="62" spans="5:51" x14ac:dyDescent="0.25">
      <c r="E62">
        <v>2023</v>
      </c>
      <c r="F62" s="6">
        <v>756</v>
      </c>
      <c r="G62" s="6" t="s">
        <v>3308</v>
      </c>
      <c r="H62" s="6" t="s">
        <v>3295</v>
      </c>
      <c r="I62" s="7">
        <v>804</v>
      </c>
      <c r="J62" s="7">
        <v>3</v>
      </c>
      <c r="K62" s="8">
        <v>88.736000000000004</v>
      </c>
      <c r="L62" s="6"/>
      <c r="M62" s="6"/>
      <c r="N62" s="6"/>
      <c r="S62" s="10"/>
      <c r="T62" s="14">
        <f>SUM(T2:T61)</f>
        <v>310</v>
      </c>
      <c r="U62" s="14">
        <f>SUM(U2:U61)</f>
        <v>114988.50600000001</v>
      </c>
      <c r="Y62">
        <v>2021</v>
      </c>
      <c r="Z62">
        <v>87</v>
      </c>
      <c r="AA62" s="6" t="s">
        <v>3312</v>
      </c>
      <c r="AB62" s="6" t="s">
        <v>3272</v>
      </c>
      <c r="AC62" s="10">
        <v>804</v>
      </c>
      <c r="AD62" s="10">
        <v>4</v>
      </c>
      <c r="AE62" s="8">
        <v>147.36000000000001</v>
      </c>
      <c r="AM62" s="10"/>
      <c r="AN62" s="15">
        <f>SUM(AN2:AN61)</f>
        <v>315</v>
      </c>
      <c r="AO62" s="15">
        <f>SUM(AO2:AO61)</f>
        <v>124582.50700000003</v>
      </c>
      <c r="AR62" s="13"/>
      <c r="AS62">
        <v>2019</v>
      </c>
      <c r="AT62">
        <v>87</v>
      </c>
      <c r="AU62" s="6" t="s">
        <v>3312</v>
      </c>
      <c r="AV62" s="6" t="s">
        <v>3272</v>
      </c>
      <c r="AW62" s="10">
        <v>806</v>
      </c>
      <c r="AX62" s="10">
        <v>1</v>
      </c>
      <c r="AY62" s="8">
        <v>25</v>
      </c>
    </row>
    <row r="63" spans="5:51" x14ac:dyDescent="0.25">
      <c r="E63">
        <v>2023</v>
      </c>
      <c r="F63" s="6">
        <v>756</v>
      </c>
      <c r="G63" s="6" t="s">
        <v>3308</v>
      </c>
      <c r="H63" s="6" t="s">
        <v>3295</v>
      </c>
      <c r="I63" s="7">
        <v>805</v>
      </c>
      <c r="J63" s="7">
        <v>1</v>
      </c>
      <c r="K63" s="8">
        <v>23.76</v>
      </c>
      <c r="L63" s="6"/>
      <c r="M63" s="6"/>
      <c r="N63" s="6"/>
      <c r="S63" s="10"/>
      <c r="T63" s="10"/>
      <c r="U63" s="10"/>
      <c r="AC63" s="10"/>
      <c r="AD63" s="15">
        <f>SUM(AD2:AD62)</f>
        <v>341</v>
      </c>
      <c r="AE63" s="15">
        <f>SUM(AE2:AE62)</f>
        <v>163260.61999999997</v>
      </c>
      <c r="AM63" s="10"/>
      <c r="AN63" s="10"/>
      <c r="AO63" s="10"/>
      <c r="AS63">
        <v>2019</v>
      </c>
      <c r="AT63">
        <v>87</v>
      </c>
      <c r="AU63" s="6" t="s">
        <v>3312</v>
      </c>
      <c r="AV63" s="6" t="s">
        <v>3272</v>
      </c>
      <c r="AW63" s="10">
        <v>811</v>
      </c>
      <c r="AX63" s="10">
        <v>1</v>
      </c>
      <c r="AY63" s="8">
        <v>24.66</v>
      </c>
    </row>
    <row r="64" spans="5:51" x14ac:dyDescent="0.25">
      <c r="E64">
        <v>2023</v>
      </c>
      <c r="F64" s="6">
        <v>767</v>
      </c>
      <c r="G64" s="6" t="s">
        <v>3309</v>
      </c>
      <c r="H64" s="6" t="s">
        <v>3272</v>
      </c>
      <c r="I64" s="7">
        <v>2009</v>
      </c>
      <c r="J64" s="7">
        <v>3</v>
      </c>
      <c r="K64" s="8">
        <v>82.584000000000003</v>
      </c>
      <c r="L64" s="6"/>
      <c r="M64" s="6"/>
      <c r="N64" s="6"/>
      <c r="S64" s="10"/>
      <c r="T64" s="10"/>
      <c r="U64" s="10"/>
      <c r="AC64" s="10"/>
      <c r="AD64" s="10"/>
      <c r="AE64" s="10"/>
      <c r="AM64" s="10"/>
      <c r="AN64" s="10"/>
      <c r="AO64" s="10"/>
      <c r="AW64" s="10"/>
      <c r="AX64" s="15">
        <f>SUM(AX2:AX63)</f>
        <v>343</v>
      </c>
      <c r="AY64" s="15">
        <f>SUM(AY2:AY63)</f>
        <v>119695.03400000004</v>
      </c>
    </row>
    <row r="65" spans="5:51" x14ac:dyDescent="0.25">
      <c r="E65">
        <v>2023</v>
      </c>
      <c r="F65" s="6">
        <v>767</v>
      </c>
      <c r="G65" s="6" t="s">
        <v>3309</v>
      </c>
      <c r="H65" s="6" t="s">
        <v>3272</v>
      </c>
      <c r="I65" s="7">
        <v>804</v>
      </c>
      <c r="J65" s="7">
        <v>4</v>
      </c>
      <c r="K65" s="8">
        <v>61.536000000000001</v>
      </c>
      <c r="L65" s="6"/>
      <c r="M65" s="6"/>
      <c r="N65" s="6"/>
      <c r="S65" s="10"/>
      <c r="T65" s="10"/>
      <c r="U65" s="10"/>
      <c r="AC65" s="10"/>
      <c r="AD65" s="10"/>
      <c r="AE65" s="10"/>
      <c r="AM65" s="10"/>
      <c r="AN65" s="10"/>
      <c r="AO65" s="10"/>
      <c r="AW65" s="10"/>
      <c r="AX65" s="10"/>
      <c r="AY65" s="10"/>
    </row>
    <row r="66" spans="5:51" x14ac:dyDescent="0.25">
      <c r="E66">
        <v>2023</v>
      </c>
      <c r="F66" s="6">
        <v>845</v>
      </c>
      <c r="G66" s="6" t="s">
        <v>3310</v>
      </c>
      <c r="H66" s="6" t="s">
        <v>3265</v>
      </c>
      <c r="I66" s="7">
        <v>804</v>
      </c>
      <c r="J66" s="7">
        <v>5</v>
      </c>
      <c r="K66" s="8">
        <v>159.6</v>
      </c>
      <c r="L66" s="6"/>
      <c r="M66" s="6"/>
      <c r="N66" s="6"/>
      <c r="S66" s="10"/>
      <c r="T66" s="10"/>
      <c r="U66" s="10"/>
      <c r="AC66" s="10"/>
      <c r="AD66" s="10"/>
      <c r="AE66" s="10"/>
      <c r="AM66" s="10"/>
      <c r="AN66" s="10"/>
      <c r="AO66" s="10"/>
      <c r="AW66" s="10"/>
      <c r="AX66" s="10"/>
      <c r="AY66" s="10"/>
    </row>
    <row r="67" spans="5:51" x14ac:dyDescent="0.25">
      <c r="E67">
        <v>2023</v>
      </c>
      <c r="F67" s="6">
        <v>845</v>
      </c>
      <c r="G67" s="6" t="s">
        <v>3310</v>
      </c>
      <c r="H67" s="6" t="s">
        <v>3265</v>
      </c>
      <c r="I67" s="7">
        <v>806</v>
      </c>
      <c r="J67" s="7">
        <v>7</v>
      </c>
      <c r="K67" s="8">
        <v>117.28</v>
      </c>
      <c r="L67" s="6"/>
      <c r="M67" s="6"/>
      <c r="N67" s="6"/>
      <c r="S67" s="10"/>
      <c r="T67" s="10"/>
      <c r="U67" s="10"/>
      <c r="AC67" s="10"/>
      <c r="AD67" s="10"/>
      <c r="AE67" s="10"/>
      <c r="AM67" s="10"/>
      <c r="AN67" s="10"/>
      <c r="AO67" s="10"/>
      <c r="AW67" s="10"/>
      <c r="AX67" s="10"/>
      <c r="AY67" s="10"/>
    </row>
    <row r="68" spans="5:51" x14ac:dyDescent="0.25">
      <c r="E68">
        <v>2023</v>
      </c>
      <c r="F68" s="6">
        <v>97</v>
      </c>
      <c r="G68" s="6" t="s">
        <v>3314</v>
      </c>
      <c r="H68" s="6" t="s">
        <v>3265</v>
      </c>
      <c r="I68" s="7">
        <v>804</v>
      </c>
      <c r="J68" s="7">
        <v>1</v>
      </c>
      <c r="K68" s="8">
        <v>15.36</v>
      </c>
      <c r="L68" s="6"/>
      <c r="M68" s="6"/>
      <c r="N68" s="6"/>
      <c r="S68" s="10"/>
      <c r="T68" s="10"/>
      <c r="U68" s="10"/>
      <c r="AC68" s="10"/>
      <c r="AD68" s="10"/>
      <c r="AE68" s="10"/>
      <c r="AM68" s="10"/>
      <c r="AN68" s="10"/>
      <c r="AO68" s="10"/>
      <c r="AW68" s="10"/>
      <c r="AX68" s="10"/>
      <c r="AY68" s="10"/>
    </row>
    <row r="69" spans="5:51" x14ac:dyDescent="0.25">
      <c r="E69">
        <v>2023</v>
      </c>
      <c r="F69" s="6">
        <v>97</v>
      </c>
      <c r="G69" s="6" t="s">
        <v>3314</v>
      </c>
      <c r="H69" s="6" t="s">
        <v>3265</v>
      </c>
      <c r="I69" s="7">
        <v>806</v>
      </c>
      <c r="J69" s="7">
        <v>3</v>
      </c>
      <c r="K69" s="8">
        <v>59.776000000000003</v>
      </c>
      <c r="L69" s="9"/>
      <c r="M69" s="9"/>
      <c r="N69" s="6"/>
      <c r="S69" s="10"/>
      <c r="T69" s="10"/>
      <c r="U69" s="10"/>
      <c r="AC69" s="10"/>
      <c r="AD69" s="10"/>
      <c r="AE69" s="10"/>
      <c r="AM69" s="10"/>
      <c r="AN69" s="10"/>
      <c r="AO69" s="10"/>
      <c r="AW69" s="10"/>
      <c r="AX69" s="10"/>
      <c r="AY69" s="10"/>
    </row>
    <row r="70" spans="5:51" x14ac:dyDescent="0.25">
      <c r="F70" s="6"/>
      <c r="G70" s="6"/>
      <c r="H70" s="6"/>
      <c r="I70" s="7"/>
      <c r="J70" s="14">
        <f>SUM(J2:J69)</f>
        <v>318</v>
      </c>
      <c r="K70" s="14">
        <f>SUM(K2:K69)</f>
        <v>137499.15600000005</v>
      </c>
      <c r="L70" s="6"/>
      <c r="M70" s="6"/>
      <c r="N70" s="9"/>
      <c r="O70" s="9"/>
      <c r="P70" s="9"/>
      <c r="Q70" s="9"/>
      <c r="R70" s="9"/>
      <c r="S70" s="16"/>
      <c r="T70" s="16"/>
      <c r="U70" s="16"/>
      <c r="AC70" s="10"/>
      <c r="AD70" s="10"/>
      <c r="AE70" s="10"/>
      <c r="AM70" s="10"/>
      <c r="AN70" s="10"/>
      <c r="AO70" s="10"/>
      <c r="AW70" s="10"/>
      <c r="AX70" s="10"/>
      <c r="AY70" s="10"/>
    </row>
    <row r="71" spans="5:51" x14ac:dyDescent="0.25">
      <c r="F71" s="6"/>
      <c r="G71" s="6"/>
      <c r="H71" s="6"/>
      <c r="I71" s="7"/>
      <c r="J71" s="7"/>
      <c r="K71" s="7"/>
      <c r="N71" s="6"/>
      <c r="S71" s="10"/>
      <c r="T71" s="10"/>
      <c r="U71" s="10"/>
      <c r="AC71" s="10"/>
      <c r="AD71" s="10"/>
      <c r="AE71" s="10"/>
      <c r="AM71" s="10"/>
      <c r="AN71" s="10"/>
      <c r="AO71" s="10"/>
      <c r="AW71" s="10"/>
      <c r="AX71" s="10"/>
      <c r="AY71" s="10"/>
    </row>
    <row r="72" spans="5:51" x14ac:dyDescent="0.25">
      <c r="F72" s="6"/>
      <c r="G72" s="6"/>
      <c r="H72" s="6"/>
      <c r="I72" s="7"/>
      <c r="J72" s="7"/>
      <c r="K72" s="7"/>
      <c r="S72" s="10"/>
      <c r="T72" s="10"/>
      <c r="U72" s="10"/>
      <c r="AC72" s="10"/>
      <c r="AD72" s="10"/>
      <c r="AE72" s="10"/>
      <c r="AM72" s="10"/>
      <c r="AN72" s="10"/>
      <c r="AO72" s="10"/>
      <c r="AW72" s="10"/>
      <c r="AX72" s="10"/>
      <c r="AY72" s="10"/>
    </row>
    <row r="73" spans="5:51" x14ac:dyDescent="0.25">
      <c r="F73" s="6"/>
      <c r="G73" s="6"/>
      <c r="H73" s="6"/>
      <c r="I73" s="7"/>
      <c r="J73" s="7"/>
      <c r="K73" s="7"/>
      <c r="S73" s="10"/>
      <c r="T73" s="10"/>
      <c r="U73" s="10"/>
      <c r="AC73" s="10"/>
      <c r="AD73" s="10"/>
      <c r="AE73" s="10"/>
      <c r="AM73" s="10"/>
      <c r="AN73" s="10"/>
      <c r="AO73" s="10"/>
      <c r="AW73" s="10"/>
      <c r="AX73" s="10"/>
      <c r="AY73" s="10"/>
    </row>
    <row r="74" spans="5:51" x14ac:dyDescent="0.25">
      <c r="F74" s="6"/>
      <c r="G74" s="6"/>
      <c r="H74" s="6"/>
      <c r="I74" s="7"/>
      <c r="J74" s="7"/>
      <c r="K74" s="7"/>
      <c r="S74" s="10"/>
      <c r="T74" s="10"/>
      <c r="U74" s="10"/>
      <c r="AC74" s="10"/>
      <c r="AD74" s="10"/>
      <c r="AE74" s="10"/>
      <c r="AM74" s="10"/>
      <c r="AN74" s="10"/>
      <c r="AO74" s="10"/>
      <c r="AW74" s="10"/>
      <c r="AX74" s="10"/>
      <c r="AY74" s="10"/>
    </row>
    <row r="75" spans="5:51" x14ac:dyDescent="0.25">
      <c r="F75" s="6"/>
      <c r="G75" s="6"/>
      <c r="H75" s="6"/>
      <c r="I75" s="7"/>
      <c r="J75" s="7"/>
      <c r="K75" s="7"/>
      <c r="S75" s="10"/>
      <c r="T75" s="10"/>
      <c r="U75" s="10"/>
      <c r="AC75" s="10"/>
      <c r="AD75" s="10"/>
      <c r="AE75" s="10"/>
      <c r="AM75" s="10"/>
      <c r="AN75" s="10"/>
      <c r="AO75" s="10"/>
      <c r="AW75" s="10"/>
      <c r="AX75" s="10"/>
      <c r="AY75" s="10"/>
    </row>
    <row r="76" spans="5:51" x14ac:dyDescent="0.25">
      <c r="F76" s="6"/>
      <c r="G76" s="6"/>
      <c r="H76" s="6"/>
      <c r="I76" s="7"/>
      <c r="J76" s="7"/>
      <c r="K76" s="7"/>
      <c r="S76" s="10"/>
      <c r="T76" s="10"/>
      <c r="U76" s="10"/>
      <c r="AC76" s="10"/>
      <c r="AD76" s="10"/>
      <c r="AE76" s="10"/>
      <c r="AM76" s="10"/>
      <c r="AN76" s="10"/>
      <c r="AO76" s="10"/>
      <c r="AW76" s="10"/>
      <c r="AX76" s="10"/>
      <c r="AY76" s="10"/>
    </row>
    <row r="77" spans="5:51" x14ac:dyDescent="0.25">
      <c r="F77" s="6"/>
      <c r="G77" s="6"/>
      <c r="H77" s="6"/>
      <c r="I77" s="7"/>
      <c r="J77" s="7"/>
      <c r="K77" s="7"/>
      <c r="S77" s="10"/>
      <c r="T77" s="10"/>
      <c r="U77" s="10"/>
      <c r="AC77" s="10"/>
      <c r="AD77" s="10"/>
      <c r="AE77" s="10"/>
      <c r="AM77" s="10"/>
      <c r="AN77" s="10"/>
      <c r="AO77" s="10"/>
      <c r="AW77" s="10"/>
      <c r="AX77" s="10"/>
      <c r="AY77" s="10"/>
    </row>
    <row r="78" spans="5:51" x14ac:dyDescent="0.25">
      <c r="F78" s="6"/>
      <c r="G78" s="6"/>
      <c r="H78" s="6"/>
      <c r="I78" s="7"/>
      <c r="J78" s="7"/>
      <c r="K78" s="7"/>
      <c r="S78" s="10"/>
      <c r="T78" s="10"/>
      <c r="U78" s="10"/>
      <c r="AC78" s="10"/>
      <c r="AD78" s="10"/>
      <c r="AE78" s="10"/>
      <c r="AM78" s="10"/>
      <c r="AN78" s="10"/>
      <c r="AO78" s="10"/>
      <c r="AW78" s="10"/>
      <c r="AX78" s="10"/>
      <c r="AY78" s="10"/>
    </row>
    <row r="79" spans="5:51" x14ac:dyDescent="0.25">
      <c r="F79" s="6"/>
      <c r="G79" s="6"/>
      <c r="H79" s="6"/>
      <c r="I79" s="7"/>
      <c r="J79" s="7"/>
      <c r="K79" s="7"/>
      <c r="S79" s="10"/>
      <c r="T79" s="10"/>
      <c r="U79" s="10"/>
      <c r="AC79" s="10"/>
      <c r="AD79" s="10"/>
      <c r="AE79" s="10"/>
      <c r="AM79" s="10"/>
      <c r="AN79" s="10"/>
      <c r="AO79" s="10"/>
      <c r="AW79" s="10"/>
      <c r="AX79" s="10"/>
      <c r="AY79" s="10"/>
    </row>
    <row r="80" spans="5:51" x14ac:dyDescent="0.25">
      <c r="F80" s="6"/>
      <c r="G80" s="6"/>
      <c r="H80" s="6"/>
      <c r="I80" s="7"/>
      <c r="J80" s="7"/>
      <c r="K80" s="7"/>
      <c r="S80" s="10"/>
      <c r="T80" s="10"/>
      <c r="U80" s="10"/>
      <c r="AC80" s="10"/>
      <c r="AD80" s="10"/>
      <c r="AE80" s="10"/>
      <c r="AM80" s="10"/>
      <c r="AN80" s="10"/>
      <c r="AO80" s="10"/>
      <c r="AW80" s="10"/>
      <c r="AX80" s="10"/>
      <c r="AY80" s="10"/>
    </row>
    <row r="81" spans="6:51" x14ac:dyDescent="0.25">
      <c r="F81" s="6"/>
      <c r="G81" s="6"/>
      <c r="H81" s="6"/>
      <c r="I81" s="7"/>
      <c r="J81" s="7"/>
      <c r="K81" s="7"/>
      <c r="S81" s="10"/>
      <c r="T81" s="10"/>
      <c r="U81" s="10"/>
      <c r="AC81" s="10"/>
      <c r="AD81" s="10"/>
      <c r="AE81" s="10"/>
      <c r="AM81" s="10"/>
      <c r="AN81" s="10"/>
      <c r="AO81" s="10"/>
      <c r="AW81" s="10"/>
      <c r="AX81" s="10"/>
      <c r="AY81" s="10"/>
    </row>
    <row r="82" spans="6:51" x14ac:dyDescent="0.25">
      <c r="F82" s="6"/>
      <c r="G82" s="6"/>
      <c r="H82" s="6"/>
      <c r="I82" s="7"/>
      <c r="J82" s="7"/>
      <c r="K82" s="7"/>
      <c r="S82" s="10"/>
      <c r="T82" s="10"/>
      <c r="U82" s="10"/>
      <c r="AC82" s="10"/>
      <c r="AD82" s="10"/>
      <c r="AE82" s="10"/>
      <c r="AM82" s="10"/>
      <c r="AN82" s="10"/>
      <c r="AO82" s="10"/>
      <c r="AW82" s="10"/>
      <c r="AX82" s="10"/>
      <c r="AY82" s="10"/>
    </row>
    <row r="83" spans="6:51" x14ac:dyDescent="0.25">
      <c r="F83" s="6"/>
      <c r="G83" s="6"/>
      <c r="H83" s="6"/>
      <c r="I83" s="7"/>
      <c r="J83" s="7"/>
      <c r="K83" s="7"/>
      <c r="S83" s="10"/>
      <c r="T83" s="10"/>
      <c r="U83" s="10"/>
      <c r="AC83" s="10"/>
      <c r="AD83" s="10"/>
      <c r="AE83" s="10"/>
      <c r="AM83" s="10"/>
      <c r="AN83" s="10"/>
      <c r="AO83" s="10"/>
      <c r="AW83" s="10"/>
      <c r="AX83" s="10"/>
      <c r="AY83" s="10"/>
    </row>
    <row r="84" spans="6:51" x14ac:dyDescent="0.25">
      <c r="F84" s="6"/>
      <c r="G84" s="6"/>
      <c r="H84" s="6"/>
      <c r="I84" s="7"/>
      <c r="J84" s="7"/>
      <c r="K84" s="7"/>
      <c r="S84" s="10"/>
      <c r="T84" s="10"/>
      <c r="U84" s="10"/>
      <c r="AC84" s="10"/>
      <c r="AD84" s="10"/>
      <c r="AE84" s="10"/>
      <c r="AM84" s="10"/>
      <c r="AN84" s="10"/>
      <c r="AO84" s="10"/>
      <c r="AW84" s="10"/>
      <c r="AX84" s="10"/>
      <c r="AY84" s="10"/>
    </row>
    <row r="85" spans="6:51" x14ac:dyDescent="0.25">
      <c r="F85" s="6"/>
      <c r="G85" s="6"/>
      <c r="H85" s="6"/>
      <c r="I85" s="7"/>
      <c r="J85" s="7"/>
      <c r="K85" s="7"/>
      <c r="S85" s="10"/>
      <c r="T85" s="10"/>
      <c r="U85" s="10"/>
      <c r="AC85" s="10"/>
      <c r="AD85" s="10"/>
      <c r="AE85" s="10"/>
      <c r="AM85" s="10"/>
      <c r="AN85" s="10"/>
      <c r="AO85" s="10"/>
      <c r="AW85" s="10"/>
      <c r="AX85" s="10"/>
      <c r="AY85" s="10"/>
    </row>
    <row r="86" spans="6:51" x14ac:dyDescent="0.25">
      <c r="F86" s="6"/>
      <c r="G86" s="6"/>
      <c r="H86" s="6"/>
      <c r="I86" s="7"/>
      <c r="J86" s="7"/>
      <c r="K86" s="7"/>
      <c r="S86" s="10"/>
      <c r="T86" s="10"/>
      <c r="U86" s="10"/>
      <c r="AC86" s="10"/>
      <c r="AD86" s="10"/>
      <c r="AE86" s="10"/>
      <c r="AM86" s="10"/>
      <c r="AN86" s="10"/>
      <c r="AO86" s="10"/>
      <c r="AW86" s="10"/>
      <c r="AX86" s="10"/>
      <c r="AY86" s="10"/>
    </row>
    <row r="87" spans="6:51" x14ac:dyDescent="0.25">
      <c r="F87" s="6"/>
      <c r="G87" s="6"/>
      <c r="H87" s="6"/>
      <c r="I87" s="7"/>
      <c r="J87" s="7"/>
      <c r="K87" s="7"/>
      <c r="S87" s="10"/>
      <c r="T87" s="10"/>
      <c r="U87" s="10"/>
      <c r="AC87" s="10"/>
      <c r="AD87" s="10"/>
      <c r="AE87" s="10"/>
      <c r="AM87" s="10"/>
      <c r="AN87" s="10"/>
      <c r="AO87" s="10"/>
      <c r="AW87" s="10"/>
      <c r="AX87" s="10"/>
      <c r="AY87" s="10"/>
    </row>
    <row r="88" spans="6:51" x14ac:dyDescent="0.25">
      <c r="F88" s="6"/>
      <c r="G88" s="6"/>
      <c r="H88" s="6"/>
      <c r="I88" s="7"/>
      <c r="J88" s="7"/>
      <c r="K88" s="7"/>
      <c r="S88" s="10"/>
      <c r="T88" s="10"/>
      <c r="U88" s="10"/>
      <c r="AC88" s="10"/>
      <c r="AD88" s="10"/>
      <c r="AE88" s="10"/>
      <c r="AM88" s="10"/>
      <c r="AN88" s="10"/>
      <c r="AO88" s="10"/>
      <c r="AW88" s="10"/>
      <c r="AX88" s="10"/>
      <c r="AY88" s="10"/>
    </row>
    <row r="89" spans="6:51" x14ac:dyDescent="0.25">
      <c r="F89" s="6"/>
      <c r="G89" s="6"/>
      <c r="H89" s="6"/>
      <c r="I89" s="7"/>
      <c r="J89" s="7"/>
      <c r="K89" s="7"/>
      <c r="S89" s="10"/>
      <c r="T89" s="10"/>
      <c r="U89" s="10"/>
      <c r="AC89" s="10"/>
      <c r="AD89" s="10"/>
      <c r="AE89" s="10"/>
      <c r="AM89" s="10"/>
      <c r="AN89" s="10"/>
      <c r="AO89" s="10"/>
      <c r="AW89" s="10"/>
      <c r="AX89" s="10"/>
      <c r="AY89" s="10"/>
    </row>
    <row r="90" spans="6:51" x14ac:dyDescent="0.25">
      <c r="F90" s="6"/>
      <c r="G90" s="6"/>
      <c r="H90" s="6"/>
      <c r="I90" s="7"/>
      <c r="J90" s="7"/>
      <c r="K90" s="7"/>
      <c r="S90" s="10"/>
      <c r="T90" s="10"/>
      <c r="U90" s="10"/>
      <c r="AC90" s="10"/>
      <c r="AD90" s="10"/>
      <c r="AE90" s="10"/>
      <c r="AM90" s="10"/>
      <c r="AN90" s="10"/>
      <c r="AO90" s="10"/>
      <c r="AW90" s="10"/>
      <c r="AX90" s="10"/>
      <c r="AY90" s="10"/>
    </row>
    <row r="91" spans="6:51" x14ac:dyDescent="0.25">
      <c r="F91" s="6"/>
      <c r="G91" s="6"/>
      <c r="H91" s="6"/>
      <c r="I91" s="7"/>
      <c r="J91" s="7"/>
      <c r="K91" s="7"/>
      <c r="S91" s="10"/>
      <c r="T91" s="10"/>
      <c r="U91" s="10"/>
      <c r="AC91" s="10"/>
      <c r="AD91" s="10"/>
      <c r="AE91" s="10"/>
      <c r="AM91" s="10"/>
      <c r="AN91" s="10"/>
      <c r="AO91" s="10"/>
      <c r="AW91" s="10"/>
      <c r="AX91" s="10"/>
      <c r="AY91" s="10"/>
    </row>
    <row r="92" spans="6:51" x14ac:dyDescent="0.25">
      <c r="F92" s="6"/>
      <c r="G92" s="6"/>
      <c r="H92" s="6"/>
      <c r="I92" s="7"/>
      <c r="J92" s="7"/>
      <c r="K92" s="7"/>
      <c r="S92" s="10"/>
      <c r="T92" s="10"/>
      <c r="U92" s="10"/>
      <c r="AC92" s="10"/>
      <c r="AD92" s="10"/>
      <c r="AE92" s="10"/>
      <c r="AM92" s="10"/>
      <c r="AN92" s="10"/>
      <c r="AO92" s="10"/>
      <c r="AW92" s="10"/>
      <c r="AX92" s="10"/>
      <c r="AY92" s="10"/>
    </row>
    <row r="93" spans="6:51" x14ac:dyDescent="0.25">
      <c r="F93" s="6"/>
      <c r="G93" s="6"/>
      <c r="H93" s="6"/>
      <c r="I93" s="7"/>
      <c r="J93" s="7"/>
      <c r="K93" s="7"/>
      <c r="S93" s="10"/>
      <c r="T93" s="10"/>
      <c r="U93" s="10"/>
      <c r="AC93" s="10"/>
      <c r="AD93" s="10"/>
      <c r="AE93" s="10"/>
      <c r="AM93" s="10"/>
      <c r="AN93" s="10"/>
      <c r="AO93" s="10"/>
      <c r="AW93" s="10"/>
      <c r="AX93" s="10"/>
      <c r="AY93" s="10"/>
    </row>
    <row r="94" spans="6:51" x14ac:dyDescent="0.25">
      <c r="F94" s="6"/>
      <c r="G94" s="6"/>
      <c r="H94" s="6"/>
      <c r="I94" s="7"/>
      <c r="J94" s="7"/>
      <c r="K94" s="7"/>
      <c r="S94" s="10"/>
      <c r="T94" s="10"/>
      <c r="U94" s="10"/>
      <c r="AC94" s="10"/>
      <c r="AD94" s="10"/>
      <c r="AE94" s="10"/>
      <c r="AM94" s="10"/>
      <c r="AN94" s="10"/>
      <c r="AO94" s="10"/>
      <c r="AW94" s="10"/>
      <c r="AX94" s="10"/>
      <c r="AY94" s="10"/>
    </row>
    <row r="95" spans="6:51" x14ac:dyDescent="0.25">
      <c r="F95" s="6"/>
      <c r="G95" s="6"/>
      <c r="H95" s="6"/>
      <c r="I95" s="7"/>
      <c r="J95" s="7"/>
      <c r="K95" s="7"/>
      <c r="S95" s="10"/>
      <c r="T95" s="10"/>
      <c r="U95" s="10"/>
      <c r="AC95" s="10"/>
      <c r="AD95" s="10"/>
      <c r="AE95" s="10"/>
      <c r="AM95" s="10"/>
      <c r="AN95" s="10"/>
      <c r="AO95" s="10"/>
      <c r="AW95" s="10"/>
      <c r="AX95" s="10"/>
      <c r="AY95" s="10"/>
    </row>
    <row r="96" spans="6:51" x14ac:dyDescent="0.25">
      <c r="F96" s="6"/>
      <c r="G96" s="6"/>
      <c r="H96" s="6"/>
      <c r="I96" s="7"/>
      <c r="J96" s="7"/>
      <c r="K96" s="7"/>
      <c r="S96" s="10"/>
      <c r="T96" s="10"/>
      <c r="U96" s="10"/>
      <c r="AC96" s="10"/>
      <c r="AD96" s="10"/>
      <c r="AE96" s="10"/>
      <c r="AM96" s="10"/>
      <c r="AN96" s="10"/>
      <c r="AO96" s="10"/>
      <c r="AW96" s="10"/>
      <c r="AX96" s="10"/>
      <c r="AY96" s="10"/>
    </row>
    <row r="97" spans="6:51" x14ac:dyDescent="0.25">
      <c r="F97" s="6"/>
      <c r="G97" s="6"/>
      <c r="H97" s="6"/>
      <c r="I97" s="7"/>
      <c r="J97" s="7"/>
      <c r="K97" s="7"/>
      <c r="S97" s="10"/>
      <c r="T97" s="10"/>
      <c r="U97" s="10"/>
      <c r="AC97" s="10"/>
      <c r="AD97" s="10"/>
      <c r="AE97" s="10"/>
      <c r="AM97" s="10"/>
      <c r="AN97" s="10"/>
      <c r="AO97" s="10"/>
      <c r="AW97" s="10"/>
      <c r="AX97" s="10"/>
      <c r="AY97" s="10"/>
    </row>
    <row r="98" spans="6:51" x14ac:dyDescent="0.25">
      <c r="F98" s="6"/>
      <c r="G98" s="6"/>
      <c r="H98" s="6"/>
      <c r="I98" s="7"/>
      <c r="J98" s="7"/>
      <c r="K98" s="7"/>
      <c r="S98" s="10"/>
      <c r="T98" s="10"/>
      <c r="U98" s="10"/>
      <c r="AC98" s="10"/>
      <c r="AD98" s="10"/>
      <c r="AE98" s="10"/>
      <c r="AM98" s="10"/>
      <c r="AN98" s="10"/>
      <c r="AO98" s="10"/>
      <c r="AW98" s="10"/>
      <c r="AX98" s="10"/>
      <c r="AY98" s="10"/>
    </row>
    <row r="99" spans="6:51" x14ac:dyDescent="0.25">
      <c r="F99" s="6"/>
      <c r="G99" s="6"/>
      <c r="H99" s="6"/>
      <c r="I99" s="7"/>
      <c r="J99" s="7"/>
      <c r="K99" s="7"/>
      <c r="S99" s="10"/>
      <c r="T99" s="10"/>
      <c r="U99" s="10"/>
      <c r="AC99" s="10"/>
      <c r="AD99" s="10"/>
      <c r="AE99" s="10"/>
      <c r="AM99" s="10"/>
      <c r="AN99" s="10"/>
      <c r="AO99" s="10"/>
      <c r="AW99" s="10"/>
      <c r="AX99" s="10"/>
      <c r="AY99" s="10"/>
    </row>
    <row r="100" spans="6:51" x14ac:dyDescent="0.25">
      <c r="F100" s="6"/>
      <c r="G100" s="6"/>
      <c r="H100" s="6"/>
      <c r="I100" s="7"/>
      <c r="J100" s="7"/>
      <c r="K100" s="7"/>
      <c r="S100" s="10"/>
      <c r="T100" s="10"/>
      <c r="U100" s="10"/>
      <c r="AC100" s="10"/>
      <c r="AD100" s="10"/>
      <c r="AE100" s="10"/>
      <c r="AM100" s="10"/>
      <c r="AN100" s="10"/>
      <c r="AO100" s="10"/>
      <c r="AW100" s="10"/>
      <c r="AX100" s="10"/>
      <c r="AY100" s="10"/>
    </row>
    <row r="101" spans="6:51" x14ac:dyDescent="0.25">
      <c r="F101" s="6"/>
      <c r="G101" s="6"/>
      <c r="H101" s="6"/>
      <c r="I101" s="7"/>
      <c r="J101" s="7"/>
      <c r="K101" s="7"/>
      <c r="S101" s="10"/>
      <c r="T101" s="10"/>
      <c r="U101" s="10"/>
      <c r="AC101" s="10"/>
      <c r="AD101" s="10"/>
      <c r="AE101" s="10"/>
      <c r="AM101" s="10"/>
      <c r="AN101" s="10"/>
      <c r="AO101" s="10"/>
      <c r="AW101" s="10"/>
      <c r="AX101" s="10"/>
      <c r="AY101" s="10"/>
    </row>
    <row r="102" spans="6:51" x14ac:dyDescent="0.25">
      <c r="F102" s="6"/>
      <c r="G102" s="6"/>
      <c r="H102" s="6"/>
      <c r="I102" s="7"/>
      <c r="J102" s="7"/>
      <c r="K102" s="7"/>
      <c r="S102" s="10"/>
      <c r="T102" s="10"/>
      <c r="U102" s="10"/>
      <c r="AC102" s="10"/>
      <c r="AD102" s="10"/>
      <c r="AE102" s="10"/>
      <c r="AM102" s="10"/>
      <c r="AN102" s="10"/>
      <c r="AO102" s="10"/>
      <c r="AW102" s="10"/>
      <c r="AX102" s="10"/>
      <c r="AY102" s="10"/>
    </row>
    <row r="103" spans="6:51" x14ac:dyDescent="0.25">
      <c r="F103" s="6"/>
      <c r="G103" s="6"/>
      <c r="H103" s="6"/>
      <c r="I103" s="7"/>
      <c r="J103" s="7"/>
      <c r="K103" s="7"/>
      <c r="S103" s="10"/>
      <c r="T103" s="10"/>
      <c r="U103" s="10"/>
      <c r="AC103" s="10"/>
      <c r="AD103" s="10"/>
      <c r="AE103" s="10"/>
      <c r="AM103" s="10"/>
      <c r="AN103" s="10"/>
      <c r="AO103" s="10"/>
      <c r="AW103" s="10"/>
      <c r="AX103" s="10"/>
      <c r="AY103" s="10"/>
    </row>
    <row r="104" spans="6:51" x14ac:dyDescent="0.25">
      <c r="F104" s="6"/>
      <c r="G104" s="6"/>
      <c r="H104" s="6"/>
      <c r="I104" s="7"/>
      <c r="J104" s="7"/>
      <c r="K104" s="7"/>
      <c r="S104" s="10"/>
      <c r="T104" s="10"/>
      <c r="U104" s="10"/>
      <c r="AC104" s="10"/>
      <c r="AD104" s="10"/>
      <c r="AE104" s="10"/>
      <c r="AM104" s="10"/>
      <c r="AN104" s="10"/>
      <c r="AO104" s="10"/>
      <c r="AW104" s="10"/>
      <c r="AX104" s="10"/>
      <c r="AY104" s="10"/>
    </row>
    <row r="105" spans="6:51" x14ac:dyDescent="0.25">
      <c r="F105" s="6"/>
      <c r="G105" s="6"/>
      <c r="H105" s="6"/>
      <c r="I105" s="7"/>
      <c r="J105" s="7"/>
      <c r="K105" s="7"/>
      <c r="S105" s="10"/>
      <c r="T105" s="10"/>
      <c r="U105" s="10"/>
      <c r="AC105" s="10"/>
      <c r="AD105" s="10"/>
      <c r="AE105" s="10"/>
      <c r="AM105" s="10"/>
      <c r="AN105" s="10"/>
      <c r="AO105" s="10"/>
      <c r="AW105" s="10"/>
      <c r="AX105" s="10"/>
      <c r="AY105" s="10"/>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901CD-2DE7-4610-97F0-BC190F79BA5E}">
  <sheetPr codeName="Planilha8"/>
  <dimension ref="A1:Q313"/>
  <sheetViews>
    <sheetView workbookViewId="0">
      <selection activeCell="Q3" sqref="Q3:Q16"/>
    </sheetView>
  </sheetViews>
  <sheetFormatPr defaultRowHeight="15" x14ac:dyDescent="0.25"/>
  <cols>
    <col min="2" max="2" width="9.140625" style="6"/>
    <col min="5" max="5" width="9.140625" style="6"/>
  </cols>
  <sheetData>
    <row r="1" spans="1:17" ht="15.75" x14ac:dyDescent="0.25">
      <c r="A1" s="61" t="s">
        <v>3752</v>
      </c>
    </row>
    <row r="2" spans="1:17" x14ac:dyDescent="0.25">
      <c r="A2" s="4" t="s">
        <v>3256</v>
      </c>
      <c r="B2" s="4" t="s">
        <v>3257</v>
      </c>
      <c r="C2" s="4" t="s">
        <v>3258</v>
      </c>
      <c r="D2" s="4" t="s">
        <v>3259</v>
      </c>
      <c r="E2" s="5" t="s">
        <v>3260</v>
      </c>
      <c r="F2" s="5" t="s">
        <v>3261</v>
      </c>
      <c r="G2" s="5" t="s">
        <v>3262</v>
      </c>
      <c r="I2" s="4" t="s">
        <v>3256</v>
      </c>
      <c r="J2" s="4" t="s">
        <v>4225</v>
      </c>
      <c r="K2" s="4" t="s">
        <v>3257</v>
      </c>
      <c r="L2" s="4" t="s">
        <v>3258</v>
      </c>
      <c r="M2" s="5" t="s">
        <v>4224</v>
      </c>
      <c r="N2" s="4" t="s">
        <v>3259</v>
      </c>
      <c r="O2" s="5" t="s">
        <v>3260</v>
      </c>
      <c r="P2" s="5" t="s">
        <v>3261</v>
      </c>
      <c r="Q2" s="5" t="s">
        <v>3262</v>
      </c>
    </row>
    <row r="3" spans="1:17" x14ac:dyDescent="0.25">
      <c r="A3">
        <v>2019</v>
      </c>
      <c r="B3" s="6">
        <v>149</v>
      </c>
      <c r="C3" s="6" t="s">
        <v>3263</v>
      </c>
      <c r="D3" s="6" t="s">
        <v>3264</v>
      </c>
      <c r="E3" s="7">
        <v>804</v>
      </c>
      <c r="F3" s="10">
        <v>8</v>
      </c>
      <c r="G3" s="8">
        <v>4157.4870000000001</v>
      </c>
      <c r="L3" s="435"/>
      <c r="M3" s="435"/>
    </row>
    <row r="4" spans="1:17" x14ac:dyDescent="0.25">
      <c r="A4">
        <v>2019</v>
      </c>
      <c r="B4" s="6">
        <v>149</v>
      </c>
      <c r="C4" s="6" t="s">
        <v>3263</v>
      </c>
      <c r="D4" s="6" t="s">
        <v>3264</v>
      </c>
      <c r="E4" s="7">
        <v>805</v>
      </c>
      <c r="F4" s="10">
        <v>7</v>
      </c>
      <c r="G4" s="8">
        <v>203.904</v>
      </c>
      <c r="L4" s="435"/>
      <c r="M4" s="435"/>
    </row>
    <row r="5" spans="1:17" x14ac:dyDescent="0.25">
      <c r="A5">
        <v>2019</v>
      </c>
      <c r="B5" s="6">
        <v>149</v>
      </c>
      <c r="C5" s="6" t="s">
        <v>3263</v>
      </c>
      <c r="D5" s="6" t="s">
        <v>3264</v>
      </c>
      <c r="E5" s="7">
        <v>806</v>
      </c>
      <c r="F5" s="10">
        <v>1</v>
      </c>
      <c r="G5" s="8">
        <v>1.2E-2</v>
      </c>
      <c r="L5" s="435"/>
      <c r="M5" s="435"/>
    </row>
    <row r="6" spans="1:17" x14ac:dyDescent="0.25">
      <c r="A6">
        <v>2019</v>
      </c>
      <c r="B6" s="6">
        <v>158</v>
      </c>
      <c r="C6" s="6" t="s">
        <v>3056</v>
      </c>
      <c r="D6" s="6" t="s">
        <v>3265</v>
      </c>
      <c r="E6" s="7">
        <v>2009</v>
      </c>
      <c r="F6" s="10">
        <v>3</v>
      </c>
      <c r="G6" s="8">
        <v>75.45</v>
      </c>
      <c r="L6" s="435"/>
      <c r="M6" s="435"/>
    </row>
    <row r="7" spans="1:17" x14ac:dyDescent="0.25">
      <c r="A7">
        <v>2019</v>
      </c>
      <c r="B7" s="6">
        <v>158</v>
      </c>
      <c r="C7" s="6" t="s">
        <v>3056</v>
      </c>
      <c r="D7" s="6" t="s">
        <v>3265</v>
      </c>
      <c r="E7" s="7">
        <v>804</v>
      </c>
      <c r="F7" s="10">
        <v>5</v>
      </c>
      <c r="G7" s="8">
        <v>177.98400000000001</v>
      </c>
      <c r="L7" s="435"/>
      <c r="M7" s="435"/>
    </row>
    <row r="8" spans="1:17" x14ac:dyDescent="0.25">
      <c r="A8">
        <v>2019</v>
      </c>
      <c r="B8" s="6">
        <v>160</v>
      </c>
      <c r="C8" s="6" t="s">
        <v>3057</v>
      </c>
      <c r="D8" s="6" t="s">
        <v>3267</v>
      </c>
      <c r="E8" s="7">
        <v>2009</v>
      </c>
      <c r="F8" s="10">
        <v>6</v>
      </c>
      <c r="G8" s="8">
        <v>161</v>
      </c>
      <c r="L8" s="435"/>
      <c r="M8" s="435"/>
    </row>
    <row r="9" spans="1:17" x14ac:dyDescent="0.25">
      <c r="A9">
        <v>2019</v>
      </c>
      <c r="B9" s="6">
        <v>187</v>
      </c>
      <c r="C9" s="6" t="s">
        <v>3268</v>
      </c>
      <c r="D9" s="6" t="s">
        <v>3267</v>
      </c>
      <c r="E9" s="7">
        <v>2009</v>
      </c>
      <c r="F9" s="10">
        <v>1</v>
      </c>
      <c r="G9" s="8">
        <v>8.0039999999999996</v>
      </c>
      <c r="L9" s="435"/>
      <c r="M9" s="435"/>
    </row>
    <row r="10" spans="1:17" x14ac:dyDescent="0.25">
      <c r="A10">
        <v>2019</v>
      </c>
      <c r="B10" s="6">
        <v>190</v>
      </c>
      <c r="C10" s="6" t="s">
        <v>3269</v>
      </c>
      <c r="D10" s="6" t="s">
        <v>3267</v>
      </c>
      <c r="E10" s="7">
        <v>2009</v>
      </c>
      <c r="F10" s="10">
        <v>2</v>
      </c>
      <c r="G10" s="8">
        <v>11.016999999999999</v>
      </c>
      <c r="L10" s="435"/>
      <c r="M10" s="435"/>
    </row>
    <row r="11" spans="1:17" x14ac:dyDescent="0.25">
      <c r="A11">
        <v>2019</v>
      </c>
      <c r="B11" s="6">
        <v>190</v>
      </c>
      <c r="C11" s="6" t="s">
        <v>3269</v>
      </c>
      <c r="D11" s="6" t="s">
        <v>3267</v>
      </c>
      <c r="E11" s="7">
        <v>804</v>
      </c>
      <c r="F11" s="10">
        <v>2</v>
      </c>
      <c r="G11" s="8">
        <v>5.74</v>
      </c>
      <c r="L11" s="435"/>
      <c r="M11" s="435"/>
    </row>
    <row r="12" spans="1:17" x14ac:dyDescent="0.25">
      <c r="A12">
        <v>2019</v>
      </c>
      <c r="B12" s="6">
        <v>23</v>
      </c>
      <c r="C12" s="6" t="s">
        <v>3271</v>
      </c>
      <c r="D12" s="6" t="s">
        <v>3272</v>
      </c>
      <c r="E12" s="7">
        <v>804</v>
      </c>
      <c r="F12" s="10">
        <v>6</v>
      </c>
      <c r="G12" s="8">
        <v>68.28</v>
      </c>
      <c r="L12" s="435"/>
      <c r="M12" s="435"/>
    </row>
    <row r="13" spans="1:17" x14ac:dyDescent="0.25">
      <c r="A13">
        <v>2019</v>
      </c>
      <c r="B13" s="6">
        <v>23</v>
      </c>
      <c r="C13" s="6" t="s">
        <v>3271</v>
      </c>
      <c r="D13" s="6" t="s">
        <v>3272</v>
      </c>
      <c r="E13" s="7">
        <v>805</v>
      </c>
      <c r="F13" s="10">
        <v>10</v>
      </c>
      <c r="G13" s="8">
        <v>7.1999999999999995E-2</v>
      </c>
      <c r="L13" s="435"/>
      <c r="M13" s="435"/>
    </row>
    <row r="14" spans="1:17" x14ac:dyDescent="0.25">
      <c r="A14">
        <v>2019</v>
      </c>
      <c r="B14" s="6">
        <v>23</v>
      </c>
      <c r="C14" s="6" t="s">
        <v>3271</v>
      </c>
      <c r="D14" s="6" t="s">
        <v>3272</v>
      </c>
      <c r="E14" s="7">
        <v>806</v>
      </c>
      <c r="F14" s="10">
        <v>9</v>
      </c>
      <c r="G14" s="8">
        <v>1304.53</v>
      </c>
    </row>
    <row r="15" spans="1:17" x14ac:dyDescent="0.25">
      <c r="A15">
        <v>2019</v>
      </c>
      <c r="B15" s="6">
        <v>232</v>
      </c>
      <c r="C15" s="6" t="s">
        <v>3273</v>
      </c>
      <c r="D15" s="6" t="s">
        <v>3272</v>
      </c>
      <c r="E15" s="7">
        <v>806</v>
      </c>
      <c r="F15" s="10">
        <v>2</v>
      </c>
      <c r="G15" s="8">
        <v>36.024999999999999</v>
      </c>
    </row>
    <row r="16" spans="1:17" x14ac:dyDescent="0.25">
      <c r="A16">
        <v>2019</v>
      </c>
      <c r="B16" s="6">
        <v>244</v>
      </c>
      <c r="C16" s="6" t="s">
        <v>3274</v>
      </c>
      <c r="D16" s="6" t="s">
        <v>3267</v>
      </c>
      <c r="E16" s="7">
        <v>804</v>
      </c>
      <c r="F16" s="10">
        <v>5</v>
      </c>
      <c r="G16" s="8">
        <v>192.78299999999999</v>
      </c>
    </row>
    <row r="17" spans="1:7" x14ac:dyDescent="0.25">
      <c r="A17">
        <v>2019</v>
      </c>
      <c r="B17" s="6">
        <v>244</v>
      </c>
      <c r="C17" s="6" t="s">
        <v>3274</v>
      </c>
      <c r="D17" s="6" t="s">
        <v>3267</v>
      </c>
      <c r="E17" s="7">
        <v>805</v>
      </c>
      <c r="F17" s="10">
        <v>2</v>
      </c>
      <c r="G17" s="8">
        <v>0.153</v>
      </c>
    </row>
    <row r="18" spans="1:7" x14ac:dyDescent="0.25">
      <c r="A18">
        <v>2019</v>
      </c>
      <c r="B18" s="6">
        <v>244</v>
      </c>
      <c r="C18" s="6" t="s">
        <v>3274</v>
      </c>
      <c r="D18" s="6" t="s">
        <v>3267</v>
      </c>
      <c r="E18" s="7">
        <v>806</v>
      </c>
      <c r="F18" s="10">
        <v>6</v>
      </c>
      <c r="G18" s="8">
        <v>124.23</v>
      </c>
    </row>
    <row r="19" spans="1:7" x14ac:dyDescent="0.25">
      <c r="A19">
        <v>2019</v>
      </c>
      <c r="B19" s="6">
        <v>245</v>
      </c>
      <c r="C19" s="6" t="s">
        <v>3275</v>
      </c>
      <c r="D19" s="6" t="s">
        <v>3272</v>
      </c>
      <c r="E19" s="7">
        <v>804</v>
      </c>
      <c r="F19" s="10">
        <v>12</v>
      </c>
      <c r="G19" s="8">
        <v>10416.593999999999</v>
      </c>
    </row>
    <row r="20" spans="1:7" x14ac:dyDescent="0.25">
      <c r="A20">
        <v>2019</v>
      </c>
      <c r="B20" s="6">
        <v>245</v>
      </c>
      <c r="C20" s="6" t="s">
        <v>3275</v>
      </c>
      <c r="D20" s="6" t="s">
        <v>3272</v>
      </c>
      <c r="E20" s="7">
        <v>805</v>
      </c>
      <c r="F20" s="10">
        <v>5</v>
      </c>
      <c r="G20" s="8">
        <v>146.88</v>
      </c>
    </row>
    <row r="21" spans="1:7" x14ac:dyDescent="0.25">
      <c r="A21">
        <v>2019</v>
      </c>
      <c r="B21" s="6">
        <v>245</v>
      </c>
      <c r="C21" s="6" t="s">
        <v>3275</v>
      </c>
      <c r="D21" s="6" t="s">
        <v>3272</v>
      </c>
      <c r="E21" s="7">
        <v>806</v>
      </c>
      <c r="F21" s="10">
        <v>7</v>
      </c>
      <c r="G21" s="8">
        <v>798.48299999999995</v>
      </c>
    </row>
    <row r="22" spans="1:7" x14ac:dyDescent="0.25">
      <c r="A22">
        <v>2019</v>
      </c>
      <c r="B22" s="6">
        <v>249</v>
      </c>
      <c r="C22" s="6" t="s">
        <v>3276</v>
      </c>
      <c r="D22" s="6" t="s">
        <v>3264</v>
      </c>
      <c r="E22" s="7">
        <v>2009</v>
      </c>
      <c r="F22" s="10">
        <v>6</v>
      </c>
      <c r="G22" s="8">
        <v>151.065</v>
      </c>
    </row>
    <row r="23" spans="1:7" x14ac:dyDescent="0.25">
      <c r="A23">
        <v>2019</v>
      </c>
      <c r="B23" s="6">
        <v>249</v>
      </c>
      <c r="C23" s="6" t="s">
        <v>3276</v>
      </c>
      <c r="D23" s="6" t="s">
        <v>3264</v>
      </c>
      <c r="E23" s="7">
        <v>804</v>
      </c>
      <c r="F23" s="10">
        <v>5</v>
      </c>
      <c r="G23" s="8">
        <v>6610.8739999999998</v>
      </c>
    </row>
    <row r="24" spans="1:7" x14ac:dyDescent="0.25">
      <c r="A24">
        <v>2019</v>
      </c>
      <c r="B24" s="6">
        <v>249</v>
      </c>
      <c r="C24" s="6" t="s">
        <v>3276</v>
      </c>
      <c r="D24" s="6" t="s">
        <v>3264</v>
      </c>
      <c r="E24" s="7">
        <v>806</v>
      </c>
      <c r="F24" s="10">
        <v>11</v>
      </c>
      <c r="G24" s="8">
        <v>4232.1390000000001</v>
      </c>
    </row>
    <row r="25" spans="1:7" x14ac:dyDescent="0.25">
      <c r="A25">
        <v>2019</v>
      </c>
      <c r="B25" s="6">
        <v>249</v>
      </c>
      <c r="C25" s="6" t="s">
        <v>3276</v>
      </c>
      <c r="D25" s="6" t="s">
        <v>3264</v>
      </c>
      <c r="E25" s="7">
        <v>811</v>
      </c>
      <c r="F25" s="10">
        <v>9</v>
      </c>
      <c r="G25" s="8">
        <v>239.489</v>
      </c>
    </row>
    <row r="26" spans="1:7" x14ac:dyDescent="0.25">
      <c r="A26">
        <v>2019</v>
      </c>
      <c r="B26" s="6">
        <v>271</v>
      </c>
      <c r="C26" s="6" t="s">
        <v>3278</v>
      </c>
      <c r="D26" s="6" t="s">
        <v>3272</v>
      </c>
      <c r="E26" s="7">
        <v>804</v>
      </c>
      <c r="F26" s="10">
        <v>1</v>
      </c>
      <c r="G26" s="8">
        <v>21.12</v>
      </c>
    </row>
    <row r="27" spans="1:7" x14ac:dyDescent="0.25">
      <c r="A27">
        <v>2019</v>
      </c>
      <c r="B27" s="6">
        <v>275</v>
      </c>
      <c r="C27" s="6" t="s">
        <v>3277</v>
      </c>
      <c r="D27" s="6" t="s">
        <v>3272</v>
      </c>
      <c r="E27" s="7">
        <v>2009</v>
      </c>
      <c r="F27" s="10">
        <v>5</v>
      </c>
      <c r="G27" s="8">
        <v>110.63</v>
      </c>
    </row>
    <row r="28" spans="1:7" x14ac:dyDescent="0.25">
      <c r="A28">
        <v>2019</v>
      </c>
      <c r="B28" s="6">
        <v>275</v>
      </c>
      <c r="C28" s="6" t="s">
        <v>3277</v>
      </c>
      <c r="D28" s="6" t="s">
        <v>3272</v>
      </c>
      <c r="E28" s="7">
        <v>804</v>
      </c>
      <c r="F28" s="10">
        <v>4</v>
      </c>
      <c r="G28" s="8">
        <v>15.342000000000001</v>
      </c>
    </row>
    <row r="29" spans="1:7" x14ac:dyDescent="0.25">
      <c r="A29">
        <v>2019</v>
      </c>
      <c r="B29" s="6">
        <v>275</v>
      </c>
      <c r="C29" s="6" t="s">
        <v>3277</v>
      </c>
      <c r="D29" s="6" t="s">
        <v>3272</v>
      </c>
      <c r="E29" s="7">
        <v>806</v>
      </c>
      <c r="F29" s="10">
        <v>2</v>
      </c>
      <c r="G29" s="8">
        <v>1.056</v>
      </c>
    </row>
    <row r="30" spans="1:7" x14ac:dyDescent="0.25">
      <c r="A30">
        <v>2019</v>
      </c>
      <c r="B30" s="6">
        <v>275</v>
      </c>
      <c r="C30" s="6" t="s">
        <v>3277</v>
      </c>
      <c r="D30" s="6" t="s">
        <v>3272</v>
      </c>
      <c r="E30" s="7">
        <v>811</v>
      </c>
      <c r="F30" s="10">
        <v>2</v>
      </c>
      <c r="G30" s="8">
        <v>34.74</v>
      </c>
    </row>
    <row r="31" spans="1:7" x14ac:dyDescent="0.25">
      <c r="A31">
        <v>2019</v>
      </c>
      <c r="B31" s="6">
        <v>291</v>
      </c>
      <c r="C31" s="6" t="s">
        <v>3283</v>
      </c>
      <c r="D31" s="6" t="s">
        <v>3272</v>
      </c>
      <c r="E31" s="7">
        <v>806</v>
      </c>
      <c r="F31" s="10">
        <v>1</v>
      </c>
      <c r="G31" s="8">
        <v>26.928000000000001</v>
      </c>
    </row>
    <row r="32" spans="1:7" x14ac:dyDescent="0.25">
      <c r="A32">
        <v>2019</v>
      </c>
      <c r="B32" s="6">
        <v>309</v>
      </c>
      <c r="C32" s="6" t="s">
        <v>3279</v>
      </c>
      <c r="D32" s="6" t="s">
        <v>3280</v>
      </c>
      <c r="E32" s="7">
        <v>811</v>
      </c>
      <c r="F32" s="10">
        <v>4</v>
      </c>
      <c r="G32" s="8">
        <v>50.4</v>
      </c>
    </row>
    <row r="33" spans="1:7" x14ac:dyDescent="0.25">
      <c r="A33">
        <v>2019</v>
      </c>
      <c r="B33" s="6">
        <v>351</v>
      </c>
      <c r="C33" s="6" t="s">
        <v>3282</v>
      </c>
      <c r="D33" s="6" t="s">
        <v>3280</v>
      </c>
      <c r="E33" s="7">
        <v>806</v>
      </c>
      <c r="F33" s="10">
        <v>4</v>
      </c>
      <c r="G33" s="8">
        <v>8.2479999999999993</v>
      </c>
    </row>
    <row r="34" spans="1:7" x14ac:dyDescent="0.25">
      <c r="A34">
        <v>2019</v>
      </c>
      <c r="B34" s="6">
        <v>375</v>
      </c>
      <c r="C34" s="6" t="s">
        <v>3284</v>
      </c>
      <c r="D34" s="6" t="s">
        <v>3272</v>
      </c>
      <c r="E34" s="7">
        <v>806</v>
      </c>
      <c r="F34" s="10">
        <v>6</v>
      </c>
      <c r="G34" s="8">
        <v>417.57</v>
      </c>
    </row>
    <row r="35" spans="1:7" x14ac:dyDescent="0.25">
      <c r="A35">
        <v>2019</v>
      </c>
      <c r="B35" s="6">
        <v>386</v>
      </c>
      <c r="C35" s="6" t="s">
        <v>3288</v>
      </c>
      <c r="D35" s="6" t="s">
        <v>3272</v>
      </c>
      <c r="E35" s="7">
        <v>804</v>
      </c>
      <c r="F35" s="10">
        <v>3</v>
      </c>
      <c r="G35" s="8">
        <v>4.6079999999999997</v>
      </c>
    </row>
    <row r="36" spans="1:7" x14ac:dyDescent="0.25">
      <c r="A36">
        <v>2019</v>
      </c>
      <c r="B36" s="6">
        <v>399</v>
      </c>
      <c r="C36" s="6" t="s">
        <v>3289</v>
      </c>
      <c r="D36" s="6" t="s">
        <v>3267</v>
      </c>
      <c r="E36" s="7">
        <v>2009</v>
      </c>
      <c r="F36" s="10">
        <v>7</v>
      </c>
      <c r="G36" s="8">
        <v>32.238</v>
      </c>
    </row>
    <row r="37" spans="1:7" x14ac:dyDescent="0.25">
      <c r="A37">
        <v>2019</v>
      </c>
      <c r="B37" s="6">
        <v>399</v>
      </c>
      <c r="C37" s="6" t="s">
        <v>3289</v>
      </c>
      <c r="D37" s="6" t="s">
        <v>3267</v>
      </c>
      <c r="E37" s="7">
        <v>811</v>
      </c>
      <c r="F37" s="10">
        <v>3</v>
      </c>
      <c r="G37" s="8">
        <v>0.82</v>
      </c>
    </row>
    <row r="38" spans="1:7" x14ac:dyDescent="0.25">
      <c r="A38">
        <v>2019</v>
      </c>
      <c r="B38" s="6">
        <v>403</v>
      </c>
      <c r="C38" s="6" t="s">
        <v>3292</v>
      </c>
      <c r="D38" s="6" t="s">
        <v>3267</v>
      </c>
      <c r="E38" s="7">
        <v>806</v>
      </c>
      <c r="F38" s="10">
        <v>1</v>
      </c>
      <c r="G38" s="8">
        <v>0.24</v>
      </c>
    </row>
    <row r="39" spans="1:7" x14ac:dyDescent="0.25">
      <c r="A39">
        <v>2019</v>
      </c>
      <c r="B39" s="6">
        <v>431</v>
      </c>
      <c r="C39" s="6" t="s">
        <v>3294</v>
      </c>
      <c r="D39" s="6" t="s">
        <v>3295</v>
      </c>
      <c r="E39" s="7">
        <v>804</v>
      </c>
      <c r="F39" s="10">
        <v>2</v>
      </c>
      <c r="G39" s="8">
        <v>11.88</v>
      </c>
    </row>
    <row r="40" spans="1:7" x14ac:dyDescent="0.25">
      <c r="A40">
        <v>2019</v>
      </c>
      <c r="B40" s="6">
        <v>477</v>
      </c>
      <c r="C40" s="6" t="s">
        <v>3293</v>
      </c>
      <c r="D40" s="6" t="s">
        <v>3280</v>
      </c>
      <c r="E40" s="7">
        <v>811</v>
      </c>
      <c r="F40" s="10">
        <v>4</v>
      </c>
      <c r="G40" s="8">
        <v>97.56</v>
      </c>
    </row>
    <row r="41" spans="1:7" x14ac:dyDescent="0.25">
      <c r="A41">
        <v>2019</v>
      </c>
      <c r="B41" s="6">
        <v>53</v>
      </c>
      <c r="C41" s="6" t="s">
        <v>3298</v>
      </c>
      <c r="D41" s="6" t="s">
        <v>3267</v>
      </c>
      <c r="E41" s="7">
        <v>806</v>
      </c>
      <c r="F41" s="10">
        <v>2</v>
      </c>
      <c r="G41" s="8">
        <v>163.19999999999999</v>
      </c>
    </row>
    <row r="42" spans="1:7" x14ac:dyDescent="0.25">
      <c r="A42">
        <v>2019</v>
      </c>
      <c r="B42" s="6">
        <v>538</v>
      </c>
      <c r="C42" s="6" t="s">
        <v>3296</v>
      </c>
      <c r="D42" s="6" t="s">
        <v>3272</v>
      </c>
      <c r="E42" s="7">
        <v>806</v>
      </c>
      <c r="F42" s="10">
        <v>2</v>
      </c>
      <c r="G42" s="8">
        <v>24.38</v>
      </c>
    </row>
    <row r="43" spans="1:7" x14ac:dyDescent="0.25">
      <c r="A43">
        <v>2019</v>
      </c>
      <c r="B43" s="6">
        <v>573</v>
      </c>
      <c r="C43" s="6" t="s">
        <v>3297</v>
      </c>
      <c r="D43" s="6" t="s">
        <v>3272</v>
      </c>
      <c r="E43" s="7">
        <v>2009</v>
      </c>
      <c r="F43" s="10">
        <v>12</v>
      </c>
      <c r="G43" s="8">
        <v>779.18299999999999</v>
      </c>
    </row>
    <row r="44" spans="1:7" x14ac:dyDescent="0.25">
      <c r="A44">
        <v>2019</v>
      </c>
      <c r="B44" s="6">
        <v>573</v>
      </c>
      <c r="C44" s="6" t="s">
        <v>3297</v>
      </c>
      <c r="D44" s="6" t="s">
        <v>3272</v>
      </c>
      <c r="E44" s="7">
        <v>804</v>
      </c>
      <c r="F44" s="10">
        <v>12</v>
      </c>
      <c r="G44" s="8">
        <v>39264.171000000002</v>
      </c>
    </row>
    <row r="45" spans="1:7" x14ac:dyDescent="0.25">
      <c r="A45">
        <v>2019</v>
      </c>
      <c r="B45" s="6">
        <v>573</v>
      </c>
      <c r="C45" s="6" t="s">
        <v>3297</v>
      </c>
      <c r="D45" s="6" t="s">
        <v>3272</v>
      </c>
      <c r="E45" s="7">
        <v>805</v>
      </c>
      <c r="F45" s="10">
        <v>12</v>
      </c>
      <c r="G45" s="8">
        <v>7910.7809999999999</v>
      </c>
    </row>
    <row r="46" spans="1:7" x14ac:dyDescent="0.25">
      <c r="A46">
        <v>2019</v>
      </c>
      <c r="B46" s="6">
        <v>573</v>
      </c>
      <c r="C46" s="6" t="s">
        <v>3297</v>
      </c>
      <c r="D46" s="6" t="s">
        <v>3272</v>
      </c>
      <c r="E46" s="7">
        <v>806</v>
      </c>
      <c r="F46" s="10">
        <v>10</v>
      </c>
      <c r="G46" s="8">
        <v>14430.848</v>
      </c>
    </row>
    <row r="47" spans="1:7" x14ac:dyDescent="0.25">
      <c r="A47">
        <v>2019</v>
      </c>
      <c r="B47" s="6">
        <v>573</v>
      </c>
      <c r="C47" s="6" t="s">
        <v>3297</v>
      </c>
      <c r="D47" s="6" t="s">
        <v>3272</v>
      </c>
      <c r="E47" s="7">
        <v>811</v>
      </c>
      <c r="F47" s="10">
        <v>11</v>
      </c>
      <c r="G47" s="8">
        <v>415.60500000000002</v>
      </c>
    </row>
    <row r="48" spans="1:7" x14ac:dyDescent="0.25">
      <c r="A48">
        <v>2019</v>
      </c>
      <c r="B48" s="6">
        <v>607</v>
      </c>
      <c r="C48" s="6" t="s">
        <v>3301</v>
      </c>
      <c r="D48" s="6" t="s">
        <v>3272</v>
      </c>
      <c r="E48" s="7">
        <v>804</v>
      </c>
      <c r="F48" s="10">
        <v>12</v>
      </c>
      <c r="G48" s="8">
        <v>375.06900000000002</v>
      </c>
    </row>
    <row r="49" spans="1:7" x14ac:dyDescent="0.25">
      <c r="A49">
        <v>2019</v>
      </c>
      <c r="B49" s="6">
        <v>628</v>
      </c>
      <c r="C49" s="6" t="s">
        <v>3302</v>
      </c>
      <c r="D49" s="6" t="s">
        <v>3272</v>
      </c>
      <c r="E49" s="7">
        <v>804</v>
      </c>
      <c r="F49" s="10">
        <v>12</v>
      </c>
      <c r="G49" s="8">
        <v>6856.0630000000001</v>
      </c>
    </row>
    <row r="50" spans="1:7" x14ac:dyDescent="0.25">
      <c r="A50">
        <v>2019</v>
      </c>
      <c r="B50" s="6">
        <v>628</v>
      </c>
      <c r="C50" s="6" t="s">
        <v>3302</v>
      </c>
      <c r="D50" s="6" t="s">
        <v>3272</v>
      </c>
      <c r="E50" s="7">
        <v>805</v>
      </c>
      <c r="F50" s="10">
        <v>12</v>
      </c>
      <c r="G50" s="8">
        <v>5025.3500000000004</v>
      </c>
    </row>
    <row r="51" spans="1:7" x14ac:dyDescent="0.25">
      <c r="A51">
        <v>2019</v>
      </c>
      <c r="B51" s="6">
        <v>628</v>
      </c>
      <c r="C51" s="6" t="s">
        <v>3302</v>
      </c>
      <c r="D51" s="6" t="s">
        <v>3272</v>
      </c>
      <c r="E51" s="7">
        <v>806</v>
      </c>
      <c r="F51" s="10">
        <v>12</v>
      </c>
      <c r="G51" s="8">
        <v>10242.897999999999</v>
      </c>
    </row>
    <row r="52" spans="1:7" x14ac:dyDescent="0.25">
      <c r="A52">
        <v>2019</v>
      </c>
      <c r="B52" s="6">
        <v>63</v>
      </c>
      <c r="C52" s="6" t="s">
        <v>3303</v>
      </c>
      <c r="D52" s="6" t="s">
        <v>3265</v>
      </c>
      <c r="E52" s="7">
        <v>804</v>
      </c>
      <c r="F52" s="10">
        <v>8</v>
      </c>
      <c r="G52" s="8">
        <v>285.72800000000001</v>
      </c>
    </row>
    <row r="53" spans="1:7" x14ac:dyDescent="0.25">
      <c r="A53">
        <v>2019</v>
      </c>
      <c r="B53" s="6">
        <v>63</v>
      </c>
      <c r="C53" s="6" t="s">
        <v>3303</v>
      </c>
      <c r="D53" s="6" t="s">
        <v>3265</v>
      </c>
      <c r="E53" s="7">
        <v>806</v>
      </c>
      <c r="F53" s="10">
        <v>6</v>
      </c>
      <c r="G53" s="8">
        <v>870.00800000000004</v>
      </c>
    </row>
    <row r="54" spans="1:7" x14ac:dyDescent="0.25">
      <c r="A54">
        <v>2019</v>
      </c>
      <c r="B54" s="6">
        <v>676</v>
      </c>
      <c r="C54" s="6" t="s">
        <v>3304</v>
      </c>
      <c r="D54" s="6" t="s">
        <v>3267</v>
      </c>
      <c r="E54" s="7">
        <v>804</v>
      </c>
      <c r="F54" s="10">
        <v>12</v>
      </c>
      <c r="G54" s="8">
        <v>1443.9870000000001</v>
      </c>
    </row>
    <row r="55" spans="1:7" x14ac:dyDescent="0.25">
      <c r="A55">
        <v>2019</v>
      </c>
      <c r="B55" s="6">
        <v>676</v>
      </c>
      <c r="C55" s="6" t="s">
        <v>3304</v>
      </c>
      <c r="D55" s="6" t="s">
        <v>3267</v>
      </c>
      <c r="E55" s="7">
        <v>805</v>
      </c>
      <c r="F55" s="10">
        <v>11</v>
      </c>
      <c r="G55" s="8">
        <v>1107.3599999999999</v>
      </c>
    </row>
    <row r="56" spans="1:7" x14ac:dyDescent="0.25">
      <c r="A56">
        <v>2019</v>
      </c>
      <c r="B56" s="6">
        <v>741</v>
      </c>
      <c r="C56" s="6" t="s">
        <v>3307</v>
      </c>
      <c r="D56" s="6" t="s">
        <v>3267</v>
      </c>
      <c r="E56" s="7">
        <v>806</v>
      </c>
      <c r="F56" s="10">
        <v>1</v>
      </c>
      <c r="G56" s="8">
        <v>0.24</v>
      </c>
    </row>
    <row r="57" spans="1:7" x14ac:dyDescent="0.25">
      <c r="A57">
        <v>2019</v>
      </c>
      <c r="B57" s="6">
        <v>756</v>
      </c>
      <c r="C57" s="6" t="s">
        <v>3308</v>
      </c>
      <c r="D57" s="6" t="s">
        <v>3295</v>
      </c>
      <c r="E57" s="7">
        <v>804</v>
      </c>
      <c r="F57" s="10">
        <v>5</v>
      </c>
      <c r="G57" s="8">
        <v>258.14400000000001</v>
      </c>
    </row>
    <row r="58" spans="1:7" x14ac:dyDescent="0.25">
      <c r="A58">
        <v>2019</v>
      </c>
      <c r="B58" s="6">
        <v>756</v>
      </c>
      <c r="C58" s="6" t="s">
        <v>3308</v>
      </c>
      <c r="D58" s="6" t="s">
        <v>3295</v>
      </c>
      <c r="E58" s="7">
        <v>805</v>
      </c>
      <c r="F58" s="10">
        <v>2</v>
      </c>
      <c r="G58" s="8">
        <v>48.96</v>
      </c>
    </row>
    <row r="59" spans="1:7" x14ac:dyDescent="0.25">
      <c r="A59">
        <v>2019</v>
      </c>
      <c r="B59" s="6">
        <v>764</v>
      </c>
      <c r="C59" s="6" t="s">
        <v>3311</v>
      </c>
      <c r="D59" s="6" t="s">
        <v>3272</v>
      </c>
      <c r="E59" s="7">
        <v>806</v>
      </c>
      <c r="F59" s="10">
        <v>2</v>
      </c>
      <c r="G59" s="8">
        <v>72</v>
      </c>
    </row>
    <row r="60" spans="1:7" x14ac:dyDescent="0.25">
      <c r="A60">
        <v>2019</v>
      </c>
      <c r="B60" s="6">
        <v>767</v>
      </c>
      <c r="C60" s="6" t="s">
        <v>3309</v>
      </c>
      <c r="D60" s="6" t="s">
        <v>3272</v>
      </c>
      <c r="E60" s="7">
        <v>804</v>
      </c>
      <c r="F60" s="10">
        <v>2</v>
      </c>
      <c r="G60" s="8">
        <v>2.9279999999999999</v>
      </c>
    </row>
    <row r="61" spans="1:7" x14ac:dyDescent="0.25">
      <c r="A61">
        <v>2019</v>
      </c>
      <c r="B61" s="6">
        <v>831</v>
      </c>
      <c r="C61" s="6" t="s">
        <v>3313</v>
      </c>
      <c r="D61" s="6" t="s">
        <v>3272</v>
      </c>
      <c r="E61" s="7">
        <v>804</v>
      </c>
      <c r="F61" s="10">
        <v>2</v>
      </c>
      <c r="G61" s="8">
        <v>45.024000000000001</v>
      </c>
    </row>
    <row r="62" spans="1:7" x14ac:dyDescent="0.25">
      <c r="A62">
        <v>2019</v>
      </c>
      <c r="B62" s="6">
        <v>87</v>
      </c>
      <c r="C62" s="6" t="s">
        <v>3312</v>
      </c>
      <c r="D62" s="6" t="s">
        <v>3272</v>
      </c>
      <c r="E62" s="7">
        <v>804</v>
      </c>
      <c r="F62" s="10">
        <v>2</v>
      </c>
      <c r="G62" s="8">
        <v>67.872</v>
      </c>
    </row>
    <row r="63" spans="1:7" x14ac:dyDescent="0.25">
      <c r="A63">
        <v>2019</v>
      </c>
      <c r="B63" s="6">
        <v>87</v>
      </c>
      <c r="C63" s="6" t="s">
        <v>3312</v>
      </c>
      <c r="D63" s="6" t="s">
        <v>3272</v>
      </c>
      <c r="E63" s="7">
        <v>806</v>
      </c>
      <c r="F63" s="10">
        <v>1</v>
      </c>
      <c r="G63" s="8">
        <v>25</v>
      </c>
    </row>
    <row r="64" spans="1:7" x14ac:dyDescent="0.25">
      <c r="A64">
        <v>2019</v>
      </c>
      <c r="B64" s="6">
        <v>87</v>
      </c>
      <c r="C64" s="6" t="s">
        <v>3312</v>
      </c>
      <c r="D64" s="6" t="s">
        <v>3272</v>
      </c>
      <c r="E64" s="7">
        <v>811</v>
      </c>
      <c r="F64" s="10">
        <v>1</v>
      </c>
      <c r="G64" s="8">
        <v>24.66</v>
      </c>
    </row>
    <row r="65" spans="1:7" x14ac:dyDescent="0.25">
      <c r="A65">
        <v>2020</v>
      </c>
      <c r="B65" s="6">
        <v>149</v>
      </c>
      <c r="C65" s="6" t="s">
        <v>3263</v>
      </c>
      <c r="D65" s="6" t="s">
        <v>3264</v>
      </c>
      <c r="E65" s="7">
        <v>804</v>
      </c>
      <c r="F65" s="10">
        <v>9</v>
      </c>
      <c r="G65" s="8">
        <v>5651.51</v>
      </c>
    </row>
    <row r="66" spans="1:7" x14ac:dyDescent="0.25">
      <c r="A66">
        <v>2020</v>
      </c>
      <c r="B66" s="6">
        <v>149</v>
      </c>
      <c r="C66" s="6" t="s">
        <v>3263</v>
      </c>
      <c r="D66" s="6" t="s">
        <v>3264</v>
      </c>
      <c r="E66" s="7">
        <v>805</v>
      </c>
      <c r="F66" s="10">
        <v>3</v>
      </c>
      <c r="G66" s="8">
        <v>151.19999999999999</v>
      </c>
    </row>
    <row r="67" spans="1:7" x14ac:dyDescent="0.25">
      <c r="A67">
        <v>2020</v>
      </c>
      <c r="B67" s="6">
        <v>149</v>
      </c>
      <c r="C67" s="6" t="s">
        <v>3263</v>
      </c>
      <c r="D67" s="6" t="s">
        <v>3264</v>
      </c>
      <c r="E67" s="7">
        <v>806</v>
      </c>
      <c r="F67" s="10">
        <v>1</v>
      </c>
      <c r="G67" s="8">
        <v>14.76</v>
      </c>
    </row>
    <row r="68" spans="1:7" x14ac:dyDescent="0.25">
      <c r="A68">
        <v>2020</v>
      </c>
      <c r="B68" s="6">
        <v>154</v>
      </c>
      <c r="C68" s="6" t="s">
        <v>3266</v>
      </c>
      <c r="D68" s="6" t="s">
        <v>3267</v>
      </c>
      <c r="E68" s="7">
        <v>806</v>
      </c>
      <c r="F68" s="10">
        <v>1</v>
      </c>
      <c r="G68" s="8">
        <v>0.24</v>
      </c>
    </row>
    <row r="69" spans="1:7" x14ac:dyDescent="0.25">
      <c r="A69">
        <v>2020</v>
      </c>
      <c r="B69" s="6">
        <v>158</v>
      </c>
      <c r="C69" s="6" t="s">
        <v>3056</v>
      </c>
      <c r="D69" s="6" t="s">
        <v>3265</v>
      </c>
      <c r="E69" s="7">
        <v>2009</v>
      </c>
      <c r="F69" s="10">
        <v>3</v>
      </c>
      <c r="G69" s="8">
        <v>124.10599999999999</v>
      </c>
    </row>
    <row r="70" spans="1:7" x14ac:dyDescent="0.25">
      <c r="A70">
        <v>2020</v>
      </c>
      <c r="B70" s="6">
        <v>158</v>
      </c>
      <c r="C70" s="6" t="s">
        <v>3056</v>
      </c>
      <c r="D70" s="6" t="s">
        <v>3265</v>
      </c>
      <c r="E70" s="7">
        <v>804</v>
      </c>
      <c r="F70" s="10">
        <v>4</v>
      </c>
      <c r="G70" s="8">
        <v>291.596</v>
      </c>
    </row>
    <row r="71" spans="1:7" x14ac:dyDescent="0.25">
      <c r="A71">
        <v>2020</v>
      </c>
      <c r="B71" s="6">
        <v>160</v>
      </c>
      <c r="C71" s="6" t="s">
        <v>3057</v>
      </c>
      <c r="D71" s="6" t="s">
        <v>3267</v>
      </c>
      <c r="E71" s="7">
        <v>2009</v>
      </c>
      <c r="F71" s="10">
        <v>4</v>
      </c>
      <c r="G71" s="8">
        <v>70.05</v>
      </c>
    </row>
    <row r="72" spans="1:7" x14ac:dyDescent="0.25">
      <c r="A72">
        <v>2020</v>
      </c>
      <c r="B72" s="6">
        <v>160</v>
      </c>
      <c r="C72" s="6" t="s">
        <v>3057</v>
      </c>
      <c r="D72" s="6" t="s">
        <v>3267</v>
      </c>
      <c r="E72" s="7">
        <v>811</v>
      </c>
      <c r="F72" s="10">
        <v>1</v>
      </c>
      <c r="G72" s="8">
        <v>2E-3</v>
      </c>
    </row>
    <row r="73" spans="1:7" x14ac:dyDescent="0.25">
      <c r="A73">
        <v>2020</v>
      </c>
      <c r="B73" s="6">
        <v>190</v>
      </c>
      <c r="C73" s="6" t="s">
        <v>3269</v>
      </c>
      <c r="D73" s="6" t="s">
        <v>3267</v>
      </c>
      <c r="E73" s="7">
        <v>2009</v>
      </c>
      <c r="F73" s="10">
        <v>1</v>
      </c>
      <c r="G73" s="8">
        <v>9.1080000000000005</v>
      </c>
    </row>
    <row r="74" spans="1:7" x14ac:dyDescent="0.25">
      <c r="A74">
        <v>2020</v>
      </c>
      <c r="B74" s="6">
        <v>198</v>
      </c>
      <c r="C74" s="6" t="s">
        <v>3270</v>
      </c>
      <c r="D74" s="6" t="s">
        <v>3267</v>
      </c>
      <c r="E74" s="7">
        <v>806</v>
      </c>
      <c r="F74" s="10">
        <v>1</v>
      </c>
      <c r="G74" s="8">
        <v>1.573</v>
      </c>
    </row>
    <row r="75" spans="1:7" x14ac:dyDescent="0.25">
      <c r="A75">
        <v>2020</v>
      </c>
      <c r="B75" s="6">
        <v>23</v>
      </c>
      <c r="C75" s="6" t="s">
        <v>3271</v>
      </c>
      <c r="D75" s="6" t="s">
        <v>3272</v>
      </c>
      <c r="E75" s="7">
        <v>2009</v>
      </c>
      <c r="F75" s="10">
        <v>5</v>
      </c>
      <c r="G75" s="8">
        <v>107.83</v>
      </c>
    </row>
    <row r="76" spans="1:7" x14ac:dyDescent="0.25">
      <c r="A76">
        <v>2020</v>
      </c>
      <c r="B76" s="6">
        <v>23</v>
      </c>
      <c r="C76" s="6" t="s">
        <v>3271</v>
      </c>
      <c r="D76" s="6" t="s">
        <v>3272</v>
      </c>
      <c r="E76" s="7">
        <v>804</v>
      </c>
      <c r="F76" s="10">
        <v>8</v>
      </c>
      <c r="G76" s="8">
        <v>6.4370000000000003</v>
      </c>
    </row>
    <row r="77" spans="1:7" x14ac:dyDescent="0.25">
      <c r="A77">
        <v>2020</v>
      </c>
      <c r="B77" s="6">
        <v>23</v>
      </c>
      <c r="C77" s="6" t="s">
        <v>3271</v>
      </c>
      <c r="D77" s="6" t="s">
        <v>3272</v>
      </c>
      <c r="E77" s="7">
        <v>805</v>
      </c>
      <c r="F77" s="10">
        <v>10</v>
      </c>
      <c r="G77" s="8">
        <v>10.191000000000001</v>
      </c>
    </row>
    <row r="78" spans="1:7" x14ac:dyDescent="0.25">
      <c r="A78">
        <v>2020</v>
      </c>
      <c r="B78" s="6">
        <v>23</v>
      </c>
      <c r="C78" s="6" t="s">
        <v>3271</v>
      </c>
      <c r="D78" s="6" t="s">
        <v>3272</v>
      </c>
      <c r="E78" s="7">
        <v>806</v>
      </c>
      <c r="F78" s="10">
        <v>8</v>
      </c>
      <c r="G78" s="8">
        <v>945.93899999999996</v>
      </c>
    </row>
    <row r="79" spans="1:7" x14ac:dyDescent="0.25">
      <c r="A79">
        <v>2020</v>
      </c>
      <c r="B79" s="6">
        <v>23</v>
      </c>
      <c r="C79" s="6" t="s">
        <v>3271</v>
      </c>
      <c r="D79" s="6" t="s">
        <v>3272</v>
      </c>
      <c r="E79" s="7">
        <v>811</v>
      </c>
      <c r="F79" s="10">
        <v>6</v>
      </c>
      <c r="G79" s="8">
        <v>132.804</v>
      </c>
    </row>
    <row r="80" spans="1:7" x14ac:dyDescent="0.25">
      <c r="A80">
        <v>2020</v>
      </c>
      <c r="B80" s="6">
        <v>232</v>
      </c>
      <c r="C80" s="6" t="s">
        <v>3273</v>
      </c>
      <c r="D80" s="6" t="s">
        <v>3272</v>
      </c>
      <c r="E80" s="7">
        <v>804</v>
      </c>
      <c r="F80" s="10">
        <v>1</v>
      </c>
      <c r="G80" s="8">
        <v>1.1519999999999999</v>
      </c>
    </row>
    <row r="81" spans="1:7" x14ac:dyDescent="0.25">
      <c r="A81">
        <v>2020</v>
      </c>
      <c r="B81" s="6">
        <v>232</v>
      </c>
      <c r="C81" s="6" t="s">
        <v>3273</v>
      </c>
      <c r="D81" s="6" t="s">
        <v>3272</v>
      </c>
      <c r="E81" s="7">
        <v>806</v>
      </c>
      <c r="F81" s="10">
        <v>2</v>
      </c>
      <c r="G81" s="8">
        <v>60</v>
      </c>
    </row>
    <row r="82" spans="1:7" x14ac:dyDescent="0.25">
      <c r="A82">
        <v>2020</v>
      </c>
      <c r="B82" s="6">
        <v>244</v>
      </c>
      <c r="C82" s="6" t="s">
        <v>3274</v>
      </c>
      <c r="D82" s="6" t="s">
        <v>3267</v>
      </c>
      <c r="E82" s="7">
        <v>804</v>
      </c>
      <c r="F82" s="10">
        <v>1</v>
      </c>
      <c r="G82" s="8">
        <v>1.248</v>
      </c>
    </row>
    <row r="83" spans="1:7" x14ac:dyDescent="0.25">
      <c r="A83">
        <v>2020</v>
      </c>
      <c r="B83" s="6">
        <v>244</v>
      </c>
      <c r="C83" s="6" t="s">
        <v>3274</v>
      </c>
      <c r="D83" s="6" t="s">
        <v>3267</v>
      </c>
      <c r="E83" s="7">
        <v>806</v>
      </c>
      <c r="F83" s="10">
        <v>6</v>
      </c>
      <c r="G83" s="8">
        <v>144.93100000000001</v>
      </c>
    </row>
    <row r="84" spans="1:7" x14ac:dyDescent="0.25">
      <c r="A84">
        <v>2020</v>
      </c>
      <c r="B84" s="6">
        <v>245</v>
      </c>
      <c r="C84" s="6" t="s">
        <v>3275</v>
      </c>
      <c r="D84" s="6" t="s">
        <v>3272</v>
      </c>
      <c r="E84" s="7">
        <v>804</v>
      </c>
      <c r="F84" s="10">
        <v>12</v>
      </c>
      <c r="G84" s="8">
        <v>15813.361999999999</v>
      </c>
    </row>
    <row r="85" spans="1:7" x14ac:dyDescent="0.25">
      <c r="A85">
        <v>2020</v>
      </c>
      <c r="B85" s="6">
        <v>245</v>
      </c>
      <c r="C85" s="6" t="s">
        <v>3275</v>
      </c>
      <c r="D85" s="6" t="s">
        <v>3272</v>
      </c>
      <c r="E85" s="7">
        <v>805</v>
      </c>
      <c r="F85" s="10">
        <v>4</v>
      </c>
      <c r="G85" s="8">
        <v>146.16</v>
      </c>
    </row>
    <row r="86" spans="1:7" x14ac:dyDescent="0.25">
      <c r="A86">
        <v>2020</v>
      </c>
      <c r="B86" s="6">
        <v>245</v>
      </c>
      <c r="C86" s="6" t="s">
        <v>3275</v>
      </c>
      <c r="D86" s="6" t="s">
        <v>3272</v>
      </c>
      <c r="E86" s="7">
        <v>806</v>
      </c>
      <c r="F86" s="10">
        <v>9</v>
      </c>
      <c r="G86" s="8">
        <v>1349.104</v>
      </c>
    </row>
    <row r="87" spans="1:7" x14ac:dyDescent="0.25">
      <c r="A87">
        <v>2020</v>
      </c>
      <c r="B87" s="6">
        <v>249</v>
      </c>
      <c r="C87" s="6" t="s">
        <v>3276</v>
      </c>
      <c r="D87" s="6" t="s">
        <v>3264</v>
      </c>
      <c r="E87" s="7">
        <v>2009</v>
      </c>
      <c r="F87" s="10">
        <v>4</v>
      </c>
      <c r="G87" s="8">
        <v>78.899000000000001</v>
      </c>
    </row>
    <row r="88" spans="1:7" x14ac:dyDescent="0.25">
      <c r="A88">
        <v>2020</v>
      </c>
      <c r="B88" s="6">
        <v>249</v>
      </c>
      <c r="C88" s="6" t="s">
        <v>3276</v>
      </c>
      <c r="D88" s="6" t="s">
        <v>3264</v>
      </c>
      <c r="E88" s="7">
        <v>804</v>
      </c>
      <c r="F88" s="10">
        <v>6</v>
      </c>
      <c r="G88" s="8">
        <v>7986.5510000000004</v>
      </c>
    </row>
    <row r="89" spans="1:7" x14ac:dyDescent="0.25">
      <c r="A89">
        <v>2020</v>
      </c>
      <c r="B89" s="6">
        <v>249</v>
      </c>
      <c r="C89" s="6" t="s">
        <v>3276</v>
      </c>
      <c r="D89" s="6" t="s">
        <v>3264</v>
      </c>
      <c r="E89" s="7">
        <v>806</v>
      </c>
      <c r="F89" s="10">
        <v>11</v>
      </c>
      <c r="G89" s="8">
        <v>5666.5129999999999</v>
      </c>
    </row>
    <row r="90" spans="1:7" x14ac:dyDescent="0.25">
      <c r="A90">
        <v>2020</v>
      </c>
      <c r="B90" s="6">
        <v>249</v>
      </c>
      <c r="C90" s="6" t="s">
        <v>3276</v>
      </c>
      <c r="D90" s="6" t="s">
        <v>3264</v>
      </c>
      <c r="E90" s="7">
        <v>811</v>
      </c>
      <c r="F90" s="10">
        <v>4</v>
      </c>
      <c r="G90" s="8">
        <v>259.54199999999997</v>
      </c>
    </row>
    <row r="91" spans="1:7" x14ac:dyDescent="0.25">
      <c r="A91">
        <v>2020</v>
      </c>
      <c r="B91" s="6">
        <v>275</v>
      </c>
      <c r="C91" s="6" t="s">
        <v>3277</v>
      </c>
      <c r="D91" s="6" t="s">
        <v>3272</v>
      </c>
      <c r="E91" s="7">
        <v>2009</v>
      </c>
      <c r="F91" s="10">
        <v>6</v>
      </c>
      <c r="G91" s="8">
        <v>200.68</v>
      </c>
    </row>
    <row r="92" spans="1:7" x14ac:dyDescent="0.25">
      <c r="A92">
        <v>2020</v>
      </c>
      <c r="B92" s="6">
        <v>275</v>
      </c>
      <c r="C92" s="6" t="s">
        <v>3277</v>
      </c>
      <c r="D92" s="6" t="s">
        <v>3272</v>
      </c>
      <c r="E92" s="7">
        <v>804</v>
      </c>
      <c r="F92" s="10">
        <v>2</v>
      </c>
      <c r="G92" s="8">
        <v>5.61</v>
      </c>
    </row>
    <row r="93" spans="1:7" x14ac:dyDescent="0.25">
      <c r="A93">
        <v>2020</v>
      </c>
      <c r="B93" s="6">
        <v>275</v>
      </c>
      <c r="C93" s="6" t="s">
        <v>3277</v>
      </c>
      <c r="D93" s="6" t="s">
        <v>3272</v>
      </c>
      <c r="E93" s="7">
        <v>811</v>
      </c>
      <c r="F93" s="10">
        <v>2</v>
      </c>
      <c r="G93" s="8">
        <v>36.72</v>
      </c>
    </row>
    <row r="94" spans="1:7" x14ac:dyDescent="0.25">
      <c r="A94">
        <v>2020</v>
      </c>
      <c r="B94" s="6">
        <v>301</v>
      </c>
      <c r="C94" s="6" t="s">
        <v>3285</v>
      </c>
      <c r="D94" s="6" t="s">
        <v>3272</v>
      </c>
      <c r="E94" s="7">
        <v>804</v>
      </c>
      <c r="F94" s="10">
        <v>1</v>
      </c>
      <c r="G94" s="8">
        <v>1.248</v>
      </c>
    </row>
    <row r="95" spans="1:7" x14ac:dyDescent="0.25">
      <c r="A95">
        <v>2020</v>
      </c>
      <c r="B95" s="6">
        <v>301</v>
      </c>
      <c r="C95" s="6" t="s">
        <v>3285</v>
      </c>
      <c r="D95" s="6" t="s">
        <v>3272</v>
      </c>
      <c r="E95" s="7">
        <v>805</v>
      </c>
      <c r="F95" s="10">
        <v>1</v>
      </c>
      <c r="G95" s="8">
        <v>5.6159999999999997</v>
      </c>
    </row>
    <row r="96" spans="1:7" x14ac:dyDescent="0.25">
      <c r="A96">
        <v>2020</v>
      </c>
      <c r="B96" s="6">
        <v>309</v>
      </c>
      <c r="C96" s="6" t="s">
        <v>3279</v>
      </c>
      <c r="D96" s="6" t="s">
        <v>3280</v>
      </c>
      <c r="E96" s="7">
        <v>811</v>
      </c>
      <c r="F96" s="10">
        <v>2</v>
      </c>
      <c r="G96" s="8">
        <v>36.72</v>
      </c>
    </row>
    <row r="97" spans="1:7" x14ac:dyDescent="0.25">
      <c r="A97">
        <v>2020</v>
      </c>
      <c r="B97" s="6">
        <v>351</v>
      </c>
      <c r="C97" s="6" t="s">
        <v>3282</v>
      </c>
      <c r="D97" s="6" t="s">
        <v>3280</v>
      </c>
      <c r="E97" s="7">
        <v>804</v>
      </c>
      <c r="F97" s="10">
        <v>1</v>
      </c>
      <c r="G97" s="8">
        <v>1.1839999999999999</v>
      </c>
    </row>
    <row r="98" spans="1:7" x14ac:dyDescent="0.25">
      <c r="A98">
        <v>2020</v>
      </c>
      <c r="B98" s="6">
        <v>375</v>
      </c>
      <c r="C98" s="6" t="s">
        <v>3284</v>
      </c>
      <c r="D98" s="6" t="s">
        <v>3272</v>
      </c>
      <c r="E98" s="7">
        <v>806</v>
      </c>
      <c r="F98" s="10">
        <v>7</v>
      </c>
      <c r="G98" s="8">
        <v>635.70500000000004</v>
      </c>
    </row>
    <row r="99" spans="1:7" x14ac:dyDescent="0.25">
      <c r="A99">
        <v>2020</v>
      </c>
      <c r="B99" s="6">
        <v>386</v>
      </c>
      <c r="C99" s="6" t="s">
        <v>3288</v>
      </c>
      <c r="D99" s="6" t="s">
        <v>3272</v>
      </c>
      <c r="E99" s="7">
        <v>804</v>
      </c>
      <c r="F99" s="10">
        <v>3</v>
      </c>
      <c r="G99" s="8">
        <v>16.367999999999999</v>
      </c>
    </row>
    <row r="100" spans="1:7" x14ac:dyDescent="0.25">
      <c r="A100">
        <v>2020</v>
      </c>
      <c r="B100" s="6">
        <v>399</v>
      </c>
      <c r="C100" s="6" t="s">
        <v>3289</v>
      </c>
      <c r="D100" s="6" t="s">
        <v>3267</v>
      </c>
      <c r="E100" s="7">
        <v>2009</v>
      </c>
      <c r="F100" s="10">
        <v>4</v>
      </c>
      <c r="G100" s="8">
        <v>3.6539999999999999</v>
      </c>
    </row>
    <row r="101" spans="1:7" x14ac:dyDescent="0.25">
      <c r="A101">
        <v>2020</v>
      </c>
      <c r="B101" s="6">
        <v>399</v>
      </c>
      <c r="C101" s="6" t="s">
        <v>3289</v>
      </c>
      <c r="D101" s="6" t="s">
        <v>3267</v>
      </c>
      <c r="E101" s="7">
        <v>811</v>
      </c>
      <c r="F101" s="10">
        <v>3</v>
      </c>
      <c r="G101" s="8">
        <v>2.0739999999999998</v>
      </c>
    </row>
    <row r="102" spans="1:7" x14ac:dyDescent="0.25">
      <c r="A102">
        <v>2020</v>
      </c>
      <c r="B102" s="6">
        <v>477</v>
      </c>
      <c r="C102" s="6" t="s">
        <v>3293</v>
      </c>
      <c r="D102" s="6" t="s">
        <v>3280</v>
      </c>
      <c r="E102" s="7">
        <v>811</v>
      </c>
      <c r="F102" s="10">
        <v>1</v>
      </c>
      <c r="G102" s="8">
        <v>12.602</v>
      </c>
    </row>
    <row r="103" spans="1:7" x14ac:dyDescent="0.25">
      <c r="A103">
        <v>2020</v>
      </c>
      <c r="B103" s="6">
        <v>53</v>
      </c>
      <c r="C103" s="6" t="s">
        <v>3298</v>
      </c>
      <c r="D103" s="6" t="s">
        <v>3267</v>
      </c>
      <c r="E103" s="7">
        <v>804</v>
      </c>
      <c r="F103" s="10">
        <v>1</v>
      </c>
      <c r="G103" s="8">
        <v>22.175999999999998</v>
      </c>
    </row>
    <row r="104" spans="1:7" x14ac:dyDescent="0.25">
      <c r="A104">
        <v>2020</v>
      </c>
      <c r="B104" s="6">
        <v>573</v>
      </c>
      <c r="C104" s="6" t="s">
        <v>3297</v>
      </c>
      <c r="D104" s="6" t="s">
        <v>3272</v>
      </c>
      <c r="E104" s="7">
        <v>2009</v>
      </c>
      <c r="F104" s="10">
        <v>11</v>
      </c>
      <c r="G104" s="8">
        <v>529.86300000000006</v>
      </c>
    </row>
    <row r="105" spans="1:7" x14ac:dyDescent="0.25">
      <c r="A105">
        <v>2020</v>
      </c>
      <c r="B105" s="6">
        <v>573</v>
      </c>
      <c r="C105" s="6" t="s">
        <v>3297</v>
      </c>
      <c r="D105" s="6" t="s">
        <v>3272</v>
      </c>
      <c r="E105" s="7">
        <v>804</v>
      </c>
      <c r="F105" s="10">
        <v>12</v>
      </c>
      <c r="G105" s="8">
        <v>36463.978999999999</v>
      </c>
    </row>
    <row r="106" spans="1:7" x14ac:dyDescent="0.25">
      <c r="A106">
        <v>2020</v>
      </c>
      <c r="B106" s="6">
        <v>573</v>
      </c>
      <c r="C106" s="6" t="s">
        <v>3297</v>
      </c>
      <c r="D106" s="6" t="s">
        <v>3272</v>
      </c>
      <c r="E106" s="7">
        <v>805</v>
      </c>
      <c r="F106" s="10">
        <v>12</v>
      </c>
      <c r="G106" s="8">
        <v>8035.08</v>
      </c>
    </row>
    <row r="107" spans="1:7" x14ac:dyDescent="0.25">
      <c r="A107">
        <v>2020</v>
      </c>
      <c r="B107" s="6">
        <v>573</v>
      </c>
      <c r="C107" s="6" t="s">
        <v>3297</v>
      </c>
      <c r="D107" s="6" t="s">
        <v>3272</v>
      </c>
      <c r="E107" s="7">
        <v>806</v>
      </c>
      <c r="F107" s="10">
        <v>10</v>
      </c>
      <c r="G107" s="8">
        <v>13743.731</v>
      </c>
    </row>
    <row r="108" spans="1:7" x14ac:dyDescent="0.25">
      <c r="A108">
        <v>2020</v>
      </c>
      <c r="B108" s="6">
        <v>573</v>
      </c>
      <c r="C108" s="6" t="s">
        <v>3297</v>
      </c>
      <c r="D108" s="6" t="s">
        <v>3272</v>
      </c>
      <c r="E108" s="7">
        <v>811</v>
      </c>
      <c r="F108" s="10">
        <v>9</v>
      </c>
      <c r="G108" s="8">
        <v>167.50200000000001</v>
      </c>
    </row>
    <row r="109" spans="1:7" x14ac:dyDescent="0.25">
      <c r="A109">
        <v>2020</v>
      </c>
      <c r="B109" s="6">
        <v>603</v>
      </c>
      <c r="C109" s="6" t="s">
        <v>3300</v>
      </c>
      <c r="D109" s="6" t="s">
        <v>3272</v>
      </c>
      <c r="E109" s="7">
        <v>804</v>
      </c>
      <c r="F109" s="10">
        <v>6</v>
      </c>
      <c r="G109" s="8">
        <v>265.93599999999998</v>
      </c>
    </row>
    <row r="110" spans="1:7" x14ac:dyDescent="0.25">
      <c r="A110">
        <v>2020</v>
      </c>
      <c r="B110" s="6">
        <v>607</v>
      </c>
      <c r="C110" s="6" t="s">
        <v>3301</v>
      </c>
      <c r="D110" s="6" t="s">
        <v>3272</v>
      </c>
      <c r="E110" s="7">
        <v>804</v>
      </c>
      <c r="F110" s="10">
        <v>8</v>
      </c>
      <c r="G110" s="8">
        <v>1107.83</v>
      </c>
    </row>
    <row r="111" spans="1:7" x14ac:dyDescent="0.25">
      <c r="A111">
        <v>2020</v>
      </c>
      <c r="B111" s="6">
        <v>607</v>
      </c>
      <c r="C111" s="6" t="s">
        <v>3301</v>
      </c>
      <c r="D111" s="6" t="s">
        <v>3272</v>
      </c>
      <c r="E111" s="7">
        <v>805</v>
      </c>
      <c r="F111" s="10">
        <v>1</v>
      </c>
      <c r="G111" s="8">
        <v>48.140999999999998</v>
      </c>
    </row>
    <row r="112" spans="1:7" x14ac:dyDescent="0.25">
      <c r="A112">
        <v>2020</v>
      </c>
      <c r="B112" s="6">
        <v>607</v>
      </c>
      <c r="C112" s="6" t="s">
        <v>3301</v>
      </c>
      <c r="D112" s="6" t="s">
        <v>3272</v>
      </c>
      <c r="E112" s="7">
        <v>806</v>
      </c>
      <c r="F112" s="10">
        <v>1</v>
      </c>
      <c r="G112" s="8">
        <v>14.497999999999999</v>
      </c>
    </row>
    <row r="113" spans="1:7" x14ac:dyDescent="0.25">
      <c r="A113">
        <v>2020</v>
      </c>
      <c r="B113" s="6">
        <v>628</v>
      </c>
      <c r="C113" s="6" t="s">
        <v>3302</v>
      </c>
      <c r="D113" s="6" t="s">
        <v>3272</v>
      </c>
      <c r="E113" s="7">
        <v>804</v>
      </c>
      <c r="F113" s="10">
        <v>12</v>
      </c>
      <c r="G113" s="8">
        <v>5969.393</v>
      </c>
    </row>
    <row r="114" spans="1:7" x14ac:dyDescent="0.25">
      <c r="A114">
        <v>2020</v>
      </c>
      <c r="B114" s="6">
        <v>628</v>
      </c>
      <c r="C114" s="6" t="s">
        <v>3302</v>
      </c>
      <c r="D114" s="6" t="s">
        <v>3272</v>
      </c>
      <c r="E114" s="7">
        <v>805</v>
      </c>
      <c r="F114" s="10">
        <v>12</v>
      </c>
      <c r="G114" s="8">
        <v>5749.5140000000001</v>
      </c>
    </row>
    <row r="115" spans="1:7" x14ac:dyDescent="0.25">
      <c r="A115">
        <v>2020</v>
      </c>
      <c r="B115" s="6">
        <v>628</v>
      </c>
      <c r="C115" s="6" t="s">
        <v>3302</v>
      </c>
      <c r="D115" s="6" t="s">
        <v>3272</v>
      </c>
      <c r="E115" s="7">
        <v>806</v>
      </c>
      <c r="F115" s="10">
        <v>12</v>
      </c>
      <c r="G115" s="8">
        <v>9705.3179999999993</v>
      </c>
    </row>
    <row r="116" spans="1:7" x14ac:dyDescent="0.25">
      <c r="A116">
        <v>2020</v>
      </c>
      <c r="B116" s="6">
        <v>63</v>
      </c>
      <c r="C116" s="6" t="s">
        <v>3303</v>
      </c>
      <c r="D116" s="6" t="s">
        <v>3265</v>
      </c>
      <c r="E116" s="7">
        <v>804</v>
      </c>
      <c r="F116" s="10">
        <v>9</v>
      </c>
      <c r="G116" s="8">
        <v>801.72799999999995</v>
      </c>
    </row>
    <row r="117" spans="1:7" x14ac:dyDescent="0.25">
      <c r="A117">
        <v>2020</v>
      </c>
      <c r="B117" s="6">
        <v>63</v>
      </c>
      <c r="C117" s="6" t="s">
        <v>3303</v>
      </c>
      <c r="D117" s="6" t="s">
        <v>3265</v>
      </c>
      <c r="E117" s="7">
        <v>806</v>
      </c>
      <c r="F117" s="10">
        <v>8</v>
      </c>
      <c r="G117" s="8">
        <v>653.70000000000005</v>
      </c>
    </row>
    <row r="118" spans="1:7" x14ac:dyDescent="0.25">
      <c r="A118">
        <v>2020</v>
      </c>
      <c r="B118" s="6">
        <v>676</v>
      </c>
      <c r="C118" s="6" t="s">
        <v>3304</v>
      </c>
      <c r="D118" s="6" t="s">
        <v>3267</v>
      </c>
      <c r="E118" s="7">
        <v>804</v>
      </c>
      <c r="F118" s="10">
        <v>7</v>
      </c>
      <c r="G118" s="8">
        <v>334.92599999999999</v>
      </c>
    </row>
    <row r="119" spans="1:7" x14ac:dyDescent="0.25">
      <c r="A119">
        <v>2020</v>
      </c>
      <c r="B119" s="6">
        <v>676</v>
      </c>
      <c r="C119" s="6" t="s">
        <v>3304</v>
      </c>
      <c r="D119" s="6" t="s">
        <v>3267</v>
      </c>
      <c r="E119" s="7">
        <v>805</v>
      </c>
      <c r="F119" s="10">
        <v>9</v>
      </c>
      <c r="G119" s="8">
        <v>673.92</v>
      </c>
    </row>
    <row r="120" spans="1:7" x14ac:dyDescent="0.25">
      <c r="A120">
        <v>2020</v>
      </c>
      <c r="B120" s="6">
        <v>756</v>
      </c>
      <c r="C120" s="6" t="s">
        <v>3308</v>
      </c>
      <c r="D120" s="6" t="s">
        <v>3295</v>
      </c>
      <c r="E120" s="7">
        <v>804</v>
      </c>
      <c r="F120" s="10">
        <v>3</v>
      </c>
      <c r="G120" s="8">
        <v>88.703999999999994</v>
      </c>
    </row>
    <row r="121" spans="1:7" x14ac:dyDescent="0.25">
      <c r="A121">
        <v>2020</v>
      </c>
      <c r="B121" s="6">
        <v>756</v>
      </c>
      <c r="C121" s="6" t="s">
        <v>3308</v>
      </c>
      <c r="D121" s="6" t="s">
        <v>3295</v>
      </c>
      <c r="E121" s="7">
        <v>805</v>
      </c>
      <c r="F121" s="10">
        <v>2</v>
      </c>
      <c r="G121" s="8">
        <v>48.24</v>
      </c>
    </row>
    <row r="122" spans="1:7" x14ac:dyDescent="0.25">
      <c r="A122">
        <v>2020</v>
      </c>
      <c r="B122" s="6">
        <v>767</v>
      </c>
      <c r="C122" s="6" t="s">
        <v>3309</v>
      </c>
      <c r="D122" s="6" t="s">
        <v>3272</v>
      </c>
      <c r="E122" s="7">
        <v>2009</v>
      </c>
      <c r="F122" s="10">
        <v>2</v>
      </c>
      <c r="G122" s="8">
        <v>39.792999999999999</v>
      </c>
    </row>
    <row r="123" spans="1:7" x14ac:dyDescent="0.25">
      <c r="A123">
        <v>2020</v>
      </c>
      <c r="B123" s="6">
        <v>767</v>
      </c>
      <c r="C123" s="6" t="s">
        <v>3309</v>
      </c>
      <c r="D123" s="6" t="s">
        <v>3272</v>
      </c>
      <c r="E123" s="7">
        <v>804</v>
      </c>
      <c r="F123" s="10">
        <v>5</v>
      </c>
      <c r="G123" s="8">
        <v>30.96</v>
      </c>
    </row>
    <row r="124" spans="1:7" x14ac:dyDescent="0.25">
      <c r="A124">
        <v>2020</v>
      </c>
      <c r="B124" s="6">
        <v>87</v>
      </c>
      <c r="C124" s="6" t="s">
        <v>3312</v>
      </c>
      <c r="D124" s="6" t="s">
        <v>3272</v>
      </c>
      <c r="E124" s="7">
        <v>804</v>
      </c>
      <c r="F124" s="10">
        <v>5</v>
      </c>
      <c r="G124" s="8">
        <v>104.586</v>
      </c>
    </row>
    <row r="125" spans="1:7" x14ac:dyDescent="0.25">
      <c r="A125">
        <v>2021</v>
      </c>
      <c r="B125" s="6">
        <v>149</v>
      </c>
      <c r="C125" s="6" t="s">
        <v>3263</v>
      </c>
      <c r="D125" s="6" t="s">
        <v>3264</v>
      </c>
      <c r="E125" s="7">
        <v>804</v>
      </c>
      <c r="F125" s="10">
        <v>5</v>
      </c>
      <c r="G125" s="8">
        <v>4303.6239999999998</v>
      </c>
    </row>
    <row r="126" spans="1:7" x14ac:dyDescent="0.25">
      <c r="A126">
        <v>2021</v>
      </c>
      <c r="B126" s="6">
        <v>149</v>
      </c>
      <c r="C126" s="6" t="s">
        <v>3263</v>
      </c>
      <c r="D126" s="6" t="s">
        <v>3264</v>
      </c>
      <c r="E126" s="7">
        <v>805</v>
      </c>
      <c r="F126" s="10">
        <v>4</v>
      </c>
      <c r="G126" s="8">
        <v>86.4</v>
      </c>
    </row>
    <row r="127" spans="1:7" x14ac:dyDescent="0.25">
      <c r="A127">
        <v>2021</v>
      </c>
      <c r="B127" s="6">
        <v>149</v>
      </c>
      <c r="C127" s="6" t="s">
        <v>3263</v>
      </c>
      <c r="D127" s="6" t="s">
        <v>3264</v>
      </c>
      <c r="E127" s="7">
        <v>806</v>
      </c>
      <c r="F127" s="10">
        <v>5</v>
      </c>
      <c r="G127" s="8">
        <v>142.90199999999999</v>
      </c>
    </row>
    <row r="128" spans="1:7" x14ac:dyDescent="0.25">
      <c r="A128">
        <v>2021</v>
      </c>
      <c r="B128" s="6">
        <v>154</v>
      </c>
      <c r="C128" s="6" t="s">
        <v>3266</v>
      </c>
      <c r="D128" s="6" t="s">
        <v>3267</v>
      </c>
      <c r="E128" s="7">
        <v>804</v>
      </c>
      <c r="F128" s="10">
        <v>3</v>
      </c>
      <c r="G128" s="8">
        <v>5.6159999999999997</v>
      </c>
    </row>
    <row r="129" spans="1:7" x14ac:dyDescent="0.25">
      <c r="A129">
        <v>2021</v>
      </c>
      <c r="B129" s="6">
        <v>154</v>
      </c>
      <c r="C129" s="6" t="s">
        <v>3266</v>
      </c>
      <c r="D129" s="6" t="s">
        <v>3267</v>
      </c>
      <c r="E129" s="7">
        <v>806</v>
      </c>
      <c r="F129" s="10">
        <v>1</v>
      </c>
      <c r="G129" s="8">
        <v>2.4</v>
      </c>
    </row>
    <row r="130" spans="1:7" x14ac:dyDescent="0.25">
      <c r="A130">
        <v>2021</v>
      </c>
      <c r="B130" s="6">
        <v>158</v>
      </c>
      <c r="C130" s="6" t="s">
        <v>3056</v>
      </c>
      <c r="D130" s="6" t="s">
        <v>3265</v>
      </c>
      <c r="E130" s="7">
        <v>2009</v>
      </c>
      <c r="F130" s="10">
        <v>5</v>
      </c>
      <c r="G130" s="8">
        <v>149.792</v>
      </c>
    </row>
    <row r="131" spans="1:7" x14ac:dyDescent="0.25">
      <c r="A131">
        <v>2021</v>
      </c>
      <c r="B131" s="6">
        <v>158</v>
      </c>
      <c r="C131" s="6" t="s">
        <v>3056</v>
      </c>
      <c r="D131" s="6" t="s">
        <v>3265</v>
      </c>
      <c r="E131" s="7">
        <v>804</v>
      </c>
      <c r="F131" s="10">
        <v>9</v>
      </c>
      <c r="G131" s="8">
        <v>2110.46</v>
      </c>
    </row>
    <row r="132" spans="1:7" x14ac:dyDescent="0.25">
      <c r="A132">
        <v>2021</v>
      </c>
      <c r="B132" s="6">
        <v>160</v>
      </c>
      <c r="C132" s="6" t="s">
        <v>3057</v>
      </c>
      <c r="D132" s="6" t="s">
        <v>3267</v>
      </c>
      <c r="E132" s="7">
        <v>2009</v>
      </c>
      <c r="F132" s="10">
        <v>3</v>
      </c>
      <c r="G132" s="8">
        <v>72.91</v>
      </c>
    </row>
    <row r="133" spans="1:7" x14ac:dyDescent="0.25">
      <c r="A133">
        <v>2021</v>
      </c>
      <c r="B133" s="6">
        <v>198</v>
      </c>
      <c r="C133" s="6" t="s">
        <v>3270</v>
      </c>
      <c r="D133" s="6" t="s">
        <v>3267</v>
      </c>
      <c r="E133" s="7">
        <v>804</v>
      </c>
      <c r="F133" s="10">
        <v>3</v>
      </c>
      <c r="G133" s="8">
        <v>7.3920000000000003</v>
      </c>
    </row>
    <row r="134" spans="1:7" x14ac:dyDescent="0.25">
      <c r="A134">
        <v>2021</v>
      </c>
      <c r="B134" s="6">
        <v>198</v>
      </c>
      <c r="C134" s="6" t="s">
        <v>3270</v>
      </c>
      <c r="D134" s="6" t="s">
        <v>3267</v>
      </c>
      <c r="E134" s="7">
        <v>806</v>
      </c>
      <c r="F134" s="10">
        <v>6</v>
      </c>
      <c r="G134" s="8">
        <v>13.955</v>
      </c>
    </row>
    <row r="135" spans="1:7" x14ac:dyDescent="0.25">
      <c r="A135">
        <v>2021</v>
      </c>
      <c r="B135" s="6">
        <v>23</v>
      </c>
      <c r="C135" s="6" t="s">
        <v>3271</v>
      </c>
      <c r="D135" s="6" t="s">
        <v>3272</v>
      </c>
      <c r="E135" s="7">
        <v>2009</v>
      </c>
      <c r="F135" s="10">
        <v>3</v>
      </c>
      <c r="G135" s="8">
        <v>67.754999999999995</v>
      </c>
    </row>
    <row r="136" spans="1:7" x14ac:dyDescent="0.25">
      <c r="A136">
        <v>2021</v>
      </c>
      <c r="B136" s="6">
        <v>23</v>
      </c>
      <c r="C136" s="6" t="s">
        <v>3271</v>
      </c>
      <c r="D136" s="6" t="s">
        <v>3272</v>
      </c>
      <c r="E136" s="7">
        <v>804</v>
      </c>
      <c r="F136" s="10">
        <v>7</v>
      </c>
      <c r="G136" s="8">
        <v>172.928</v>
      </c>
    </row>
    <row r="137" spans="1:7" x14ac:dyDescent="0.25">
      <c r="A137">
        <v>2021</v>
      </c>
      <c r="B137" s="6">
        <v>23</v>
      </c>
      <c r="C137" s="6" t="s">
        <v>3271</v>
      </c>
      <c r="D137" s="6" t="s">
        <v>3272</v>
      </c>
      <c r="E137" s="7">
        <v>805</v>
      </c>
      <c r="F137" s="10">
        <v>7</v>
      </c>
      <c r="G137" s="8">
        <v>10.14</v>
      </c>
    </row>
    <row r="138" spans="1:7" x14ac:dyDescent="0.25">
      <c r="A138">
        <v>2021</v>
      </c>
      <c r="B138" s="6">
        <v>23</v>
      </c>
      <c r="C138" s="6" t="s">
        <v>3271</v>
      </c>
      <c r="D138" s="6" t="s">
        <v>3272</v>
      </c>
      <c r="E138" s="7">
        <v>806</v>
      </c>
      <c r="F138" s="10">
        <v>6</v>
      </c>
      <c r="G138" s="8">
        <v>1244.8969999999999</v>
      </c>
    </row>
    <row r="139" spans="1:7" x14ac:dyDescent="0.25">
      <c r="A139">
        <v>2021</v>
      </c>
      <c r="B139" s="6">
        <v>23</v>
      </c>
      <c r="C139" s="6" t="s">
        <v>3271</v>
      </c>
      <c r="D139" s="6" t="s">
        <v>3272</v>
      </c>
      <c r="E139" s="7">
        <v>811</v>
      </c>
      <c r="F139" s="10">
        <v>4</v>
      </c>
      <c r="G139" s="8">
        <v>122.4</v>
      </c>
    </row>
    <row r="140" spans="1:7" x14ac:dyDescent="0.25">
      <c r="A140">
        <v>2021</v>
      </c>
      <c r="B140" s="6">
        <v>232</v>
      </c>
      <c r="C140" s="6" t="s">
        <v>3273</v>
      </c>
      <c r="D140" s="6" t="s">
        <v>3272</v>
      </c>
      <c r="E140" s="7">
        <v>806</v>
      </c>
      <c r="F140" s="10">
        <v>3</v>
      </c>
      <c r="G140" s="8">
        <v>108</v>
      </c>
    </row>
    <row r="141" spans="1:7" x14ac:dyDescent="0.25">
      <c r="A141">
        <v>2021</v>
      </c>
      <c r="B141" s="6">
        <v>244</v>
      </c>
      <c r="C141" s="6" t="s">
        <v>3274</v>
      </c>
      <c r="D141" s="6" t="s">
        <v>3267</v>
      </c>
      <c r="E141" s="7">
        <v>804</v>
      </c>
      <c r="F141" s="10">
        <v>4</v>
      </c>
      <c r="G141" s="8">
        <v>94.841999999999999</v>
      </c>
    </row>
    <row r="142" spans="1:7" x14ac:dyDescent="0.25">
      <c r="A142">
        <v>2021</v>
      </c>
      <c r="B142" s="6">
        <v>244</v>
      </c>
      <c r="C142" s="6" t="s">
        <v>3274</v>
      </c>
      <c r="D142" s="6" t="s">
        <v>3267</v>
      </c>
      <c r="E142" s="7">
        <v>806</v>
      </c>
      <c r="F142" s="10">
        <v>1</v>
      </c>
      <c r="G142" s="8">
        <v>0.84</v>
      </c>
    </row>
    <row r="143" spans="1:7" x14ac:dyDescent="0.25">
      <c r="A143">
        <v>2021</v>
      </c>
      <c r="B143" s="6">
        <v>245</v>
      </c>
      <c r="C143" s="6" t="s">
        <v>3275</v>
      </c>
      <c r="D143" s="6" t="s">
        <v>3272</v>
      </c>
      <c r="E143" s="7">
        <v>804</v>
      </c>
      <c r="F143" s="10">
        <v>12</v>
      </c>
      <c r="G143" s="8">
        <v>23189.539000000001</v>
      </c>
    </row>
    <row r="144" spans="1:7" x14ac:dyDescent="0.25">
      <c r="A144">
        <v>2021</v>
      </c>
      <c r="B144" s="6">
        <v>245</v>
      </c>
      <c r="C144" s="6" t="s">
        <v>3275</v>
      </c>
      <c r="D144" s="6" t="s">
        <v>3272</v>
      </c>
      <c r="E144" s="7">
        <v>805</v>
      </c>
      <c r="F144" s="10">
        <v>4</v>
      </c>
      <c r="G144" s="8">
        <v>238.74</v>
      </c>
    </row>
    <row r="145" spans="1:7" x14ac:dyDescent="0.25">
      <c r="A145">
        <v>2021</v>
      </c>
      <c r="B145" s="6">
        <v>245</v>
      </c>
      <c r="C145" s="6" t="s">
        <v>3275</v>
      </c>
      <c r="D145" s="6" t="s">
        <v>3272</v>
      </c>
      <c r="E145" s="7">
        <v>806</v>
      </c>
      <c r="F145" s="10">
        <v>9</v>
      </c>
      <c r="G145" s="8">
        <v>2864.665</v>
      </c>
    </row>
    <row r="146" spans="1:7" x14ac:dyDescent="0.25">
      <c r="A146">
        <v>2021</v>
      </c>
      <c r="B146" s="6">
        <v>245</v>
      </c>
      <c r="C146" s="6" t="s">
        <v>3275</v>
      </c>
      <c r="D146" s="6" t="s">
        <v>3272</v>
      </c>
      <c r="E146" s="7">
        <v>807</v>
      </c>
      <c r="F146" s="10">
        <v>2</v>
      </c>
      <c r="G146" s="8">
        <v>42.107999999999997</v>
      </c>
    </row>
    <row r="147" spans="1:7" x14ac:dyDescent="0.25">
      <c r="A147">
        <v>2021</v>
      </c>
      <c r="B147" s="6">
        <v>249</v>
      </c>
      <c r="C147" s="6" t="s">
        <v>3276</v>
      </c>
      <c r="D147" s="6" t="s">
        <v>3264</v>
      </c>
      <c r="E147" s="7">
        <v>2009</v>
      </c>
      <c r="F147" s="10">
        <v>5</v>
      </c>
      <c r="G147" s="8">
        <v>94.353999999999999</v>
      </c>
    </row>
    <row r="148" spans="1:7" x14ac:dyDescent="0.25">
      <c r="A148">
        <v>2021</v>
      </c>
      <c r="B148" s="6">
        <v>249</v>
      </c>
      <c r="C148" s="6" t="s">
        <v>3276</v>
      </c>
      <c r="D148" s="6" t="s">
        <v>3264</v>
      </c>
      <c r="E148" s="7">
        <v>804</v>
      </c>
      <c r="F148" s="10">
        <v>7</v>
      </c>
      <c r="G148" s="8">
        <v>8622.3330000000005</v>
      </c>
    </row>
    <row r="149" spans="1:7" x14ac:dyDescent="0.25">
      <c r="A149">
        <v>2021</v>
      </c>
      <c r="B149" s="6">
        <v>249</v>
      </c>
      <c r="C149" s="6" t="s">
        <v>3276</v>
      </c>
      <c r="D149" s="6" t="s">
        <v>3264</v>
      </c>
      <c r="E149" s="7">
        <v>806</v>
      </c>
      <c r="F149" s="10">
        <v>11</v>
      </c>
      <c r="G149" s="8">
        <v>10094.217000000001</v>
      </c>
    </row>
    <row r="150" spans="1:7" x14ac:dyDescent="0.25">
      <c r="A150">
        <v>2021</v>
      </c>
      <c r="B150" s="6">
        <v>249</v>
      </c>
      <c r="C150" s="6" t="s">
        <v>3276</v>
      </c>
      <c r="D150" s="6" t="s">
        <v>3264</v>
      </c>
      <c r="E150" s="7">
        <v>811</v>
      </c>
      <c r="F150" s="10">
        <v>4</v>
      </c>
      <c r="G150" s="8">
        <v>136.44</v>
      </c>
    </row>
    <row r="151" spans="1:7" x14ac:dyDescent="0.25">
      <c r="A151">
        <v>2021</v>
      </c>
      <c r="B151" s="6">
        <v>271</v>
      </c>
      <c r="C151" s="6" t="s">
        <v>3278</v>
      </c>
      <c r="D151" s="6" t="s">
        <v>3272</v>
      </c>
      <c r="E151" s="7">
        <v>804</v>
      </c>
      <c r="F151" s="10">
        <v>2</v>
      </c>
      <c r="G151" s="8">
        <v>3.36</v>
      </c>
    </row>
    <row r="152" spans="1:7" x14ac:dyDescent="0.25">
      <c r="A152">
        <v>2021</v>
      </c>
      <c r="B152" s="6">
        <v>275</v>
      </c>
      <c r="C152" s="6" t="s">
        <v>3277</v>
      </c>
      <c r="D152" s="6" t="s">
        <v>3272</v>
      </c>
      <c r="E152" s="7">
        <v>2009</v>
      </c>
      <c r="F152" s="10">
        <v>6</v>
      </c>
      <c r="G152" s="8">
        <v>162.64500000000001</v>
      </c>
    </row>
    <row r="153" spans="1:7" x14ac:dyDescent="0.25">
      <c r="A153">
        <v>2021</v>
      </c>
      <c r="B153" s="6">
        <v>275</v>
      </c>
      <c r="C153" s="6" t="s">
        <v>3277</v>
      </c>
      <c r="D153" s="6" t="s">
        <v>3272</v>
      </c>
      <c r="E153" s="7">
        <v>804</v>
      </c>
      <c r="F153" s="10">
        <v>5</v>
      </c>
      <c r="G153" s="8">
        <v>55.497999999999998</v>
      </c>
    </row>
    <row r="154" spans="1:7" x14ac:dyDescent="0.25">
      <c r="A154">
        <v>2021</v>
      </c>
      <c r="B154" s="6">
        <v>275</v>
      </c>
      <c r="C154" s="6" t="s">
        <v>3277</v>
      </c>
      <c r="D154" s="6" t="s">
        <v>3272</v>
      </c>
      <c r="E154" s="7">
        <v>811</v>
      </c>
      <c r="F154" s="10">
        <v>3</v>
      </c>
      <c r="G154" s="8">
        <v>49.32</v>
      </c>
    </row>
    <row r="155" spans="1:7" x14ac:dyDescent="0.25">
      <c r="A155">
        <v>2021</v>
      </c>
      <c r="B155" s="6">
        <v>309</v>
      </c>
      <c r="C155" s="6" t="s">
        <v>3279</v>
      </c>
      <c r="D155" s="6" t="s">
        <v>3280</v>
      </c>
      <c r="E155" s="7">
        <v>811</v>
      </c>
      <c r="F155" s="10">
        <v>1</v>
      </c>
      <c r="G155" s="8">
        <v>12.6</v>
      </c>
    </row>
    <row r="156" spans="1:7" x14ac:dyDescent="0.25">
      <c r="A156">
        <v>2021</v>
      </c>
      <c r="B156" s="6">
        <v>375</v>
      </c>
      <c r="C156" s="6" t="s">
        <v>3284</v>
      </c>
      <c r="D156" s="6" t="s">
        <v>3272</v>
      </c>
      <c r="E156" s="7">
        <v>806</v>
      </c>
      <c r="F156" s="10">
        <v>7</v>
      </c>
      <c r="G156" s="8">
        <v>1125.9929999999999</v>
      </c>
    </row>
    <row r="157" spans="1:7" x14ac:dyDescent="0.25">
      <c r="A157">
        <v>2021</v>
      </c>
      <c r="B157" s="6">
        <v>383</v>
      </c>
      <c r="C157" s="6" t="s">
        <v>3286</v>
      </c>
      <c r="D157" s="6" t="s">
        <v>3267</v>
      </c>
      <c r="E157" s="7">
        <v>2009</v>
      </c>
      <c r="F157" s="10">
        <v>5</v>
      </c>
      <c r="G157" s="8">
        <v>200.56</v>
      </c>
    </row>
    <row r="158" spans="1:7" x14ac:dyDescent="0.25">
      <c r="A158">
        <v>2021</v>
      </c>
      <c r="B158" s="6">
        <v>386</v>
      </c>
      <c r="C158" s="6" t="s">
        <v>3288</v>
      </c>
      <c r="D158" s="6" t="s">
        <v>3272</v>
      </c>
      <c r="E158" s="7">
        <v>804</v>
      </c>
      <c r="F158" s="10">
        <v>5</v>
      </c>
      <c r="G158" s="8">
        <v>71.085999999999999</v>
      </c>
    </row>
    <row r="159" spans="1:7" x14ac:dyDescent="0.25">
      <c r="A159">
        <v>2021</v>
      </c>
      <c r="B159" s="6">
        <v>386</v>
      </c>
      <c r="C159" s="6" t="s">
        <v>3288</v>
      </c>
      <c r="D159" s="6" t="s">
        <v>3272</v>
      </c>
      <c r="E159" s="7">
        <v>806</v>
      </c>
      <c r="F159" s="10">
        <v>1</v>
      </c>
      <c r="G159" s="8">
        <v>9.875</v>
      </c>
    </row>
    <row r="160" spans="1:7" x14ac:dyDescent="0.25">
      <c r="A160">
        <v>2021</v>
      </c>
      <c r="B160" s="6">
        <v>399</v>
      </c>
      <c r="C160" s="6" t="s">
        <v>3289</v>
      </c>
      <c r="D160" s="6" t="s">
        <v>3267</v>
      </c>
      <c r="E160" s="7">
        <v>2009</v>
      </c>
      <c r="F160" s="10">
        <v>3</v>
      </c>
      <c r="G160" s="8">
        <v>15.875</v>
      </c>
    </row>
    <row r="161" spans="1:7" x14ac:dyDescent="0.25">
      <c r="A161">
        <v>2021</v>
      </c>
      <c r="B161" s="6">
        <v>442</v>
      </c>
      <c r="C161" s="6" t="s">
        <v>3290</v>
      </c>
      <c r="D161" s="6" t="s">
        <v>3272</v>
      </c>
      <c r="E161" s="7">
        <v>806</v>
      </c>
      <c r="F161" s="10">
        <v>1</v>
      </c>
      <c r="G161" s="8">
        <v>15.15</v>
      </c>
    </row>
    <row r="162" spans="1:7" x14ac:dyDescent="0.25">
      <c r="A162">
        <v>2021</v>
      </c>
      <c r="B162" s="6">
        <v>445</v>
      </c>
      <c r="C162" s="6" t="s">
        <v>3291</v>
      </c>
      <c r="D162" s="6" t="s">
        <v>3272</v>
      </c>
      <c r="E162" s="7">
        <v>804</v>
      </c>
      <c r="F162" s="10">
        <v>4</v>
      </c>
      <c r="G162" s="8">
        <v>89.855999999999995</v>
      </c>
    </row>
    <row r="163" spans="1:7" x14ac:dyDescent="0.25">
      <c r="A163">
        <v>2021</v>
      </c>
      <c r="B163" s="6">
        <v>477</v>
      </c>
      <c r="C163" s="6" t="s">
        <v>3293</v>
      </c>
      <c r="D163" s="6" t="s">
        <v>3280</v>
      </c>
      <c r="E163" s="7">
        <v>811</v>
      </c>
      <c r="F163" s="10">
        <v>2</v>
      </c>
      <c r="G163" s="8">
        <v>36.72</v>
      </c>
    </row>
    <row r="164" spans="1:7" x14ac:dyDescent="0.25">
      <c r="A164">
        <v>2021</v>
      </c>
      <c r="B164" s="6">
        <v>538</v>
      </c>
      <c r="C164" s="6" t="s">
        <v>3296</v>
      </c>
      <c r="D164" s="6" t="s">
        <v>3272</v>
      </c>
      <c r="E164" s="7">
        <v>806</v>
      </c>
      <c r="F164" s="10">
        <v>1</v>
      </c>
      <c r="G164" s="8">
        <v>24</v>
      </c>
    </row>
    <row r="165" spans="1:7" x14ac:dyDescent="0.25">
      <c r="A165">
        <v>2021</v>
      </c>
      <c r="B165" s="6">
        <v>573</v>
      </c>
      <c r="C165" s="6" t="s">
        <v>3297</v>
      </c>
      <c r="D165" s="6" t="s">
        <v>3272</v>
      </c>
      <c r="E165" s="7">
        <v>2009</v>
      </c>
      <c r="F165" s="10">
        <v>11</v>
      </c>
      <c r="G165" s="8">
        <v>579.67600000000004</v>
      </c>
    </row>
    <row r="166" spans="1:7" x14ac:dyDescent="0.25">
      <c r="A166">
        <v>2021</v>
      </c>
      <c r="B166" s="6">
        <v>573</v>
      </c>
      <c r="C166" s="6" t="s">
        <v>3297</v>
      </c>
      <c r="D166" s="6" t="s">
        <v>3272</v>
      </c>
      <c r="E166" s="7">
        <v>804</v>
      </c>
      <c r="F166" s="10">
        <v>12</v>
      </c>
      <c r="G166" s="8">
        <v>40209.044000000002</v>
      </c>
    </row>
    <row r="167" spans="1:7" x14ac:dyDescent="0.25">
      <c r="A167">
        <v>2021</v>
      </c>
      <c r="B167" s="6">
        <v>573</v>
      </c>
      <c r="C167" s="6" t="s">
        <v>3297</v>
      </c>
      <c r="D167" s="6" t="s">
        <v>3272</v>
      </c>
      <c r="E167" s="7">
        <v>805</v>
      </c>
      <c r="F167" s="10">
        <v>12</v>
      </c>
      <c r="G167" s="8">
        <v>10951.05</v>
      </c>
    </row>
    <row r="168" spans="1:7" x14ac:dyDescent="0.25">
      <c r="A168">
        <v>2021</v>
      </c>
      <c r="B168" s="6">
        <v>573</v>
      </c>
      <c r="C168" s="6" t="s">
        <v>3297</v>
      </c>
      <c r="D168" s="6" t="s">
        <v>3272</v>
      </c>
      <c r="E168" s="7">
        <v>806</v>
      </c>
      <c r="F168" s="10">
        <v>11</v>
      </c>
      <c r="G168" s="8">
        <v>21741.291000000001</v>
      </c>
    </row>
    <row r="169" spans="1:7" x14ac:dyDescent="0.25">
      <c r="A169">
        <v>2021</v>
      </c>
      <c r="B169" s="6">
        <v>573</v>
      </c>
      <c r="C169" s="6" t="s">
        <v>3297</v>
      </c>
      <c r="D169" s="6" t="s">
        <v>3272</v>
      </c>
      <c r="E169" s="7">
        <v>811</v>
      </c>
      <c r="F169" s="10">
        <v>8</v>
      </c>
      <c r="G169" s="8">
        <v>343.64100000000002</v>
      </c>
    </row>
    <row r="170" spans="1:7" x14ac:dyDescent="0.25">
      <c r="A170">
        <v>2021</v>
      </c>
      <c r="B170" s="6">
        <v>603</v>
      </c>
      <c r="C170" s="6" t="s">
        <v>3300</v>
      </c>
      <c r="D170" s="6" t="s">
        <v>3272</v>
      </c>
      <c r="E170" s="7">
        <v>804</v>
      </c>
      <c r="F170" s="10">
        <v>3</v>
      </c>
      <c r="G170" s="8">
        <v>118.976</v>
      </c>
    </row>
    <row r="171" spans="1:7" x14ac:dyDescent="0.25">
      <c r="A171">
        <v>2021</v>
      </c>
      <c r="B171" s="6">
        <v>607</v>
      </c>
      <c r="C171" s="6" t="s">
        <v>3301</v>
      </c>
      <c r="D171" s="6" t="s">
        <v>3272</v>
      </c>
      <c r="E171" s="7">
        <v>804</v>
      </c>
      <c r="F171" s="10">
        <v>11</v>
      </c>
      <c r="G171" s="8">
        <v>5010.5240000000003</v>
      </c>
    </row>
    <row r="172" spans="1:7" x14ac:dyDescent="0.25">
      <c r="A172">
        <v>2021</v>
      </c>
      <c r="B172" s="6">
        <v>607</v>
      </c>
      <c r="C172" s="6" t="s">
        <v>3301</v>
      </c>
      <c r="D172" s="6" t="s">
        <v>3272</v>
      </c>
      <c r="E172" s="7">
        <v>805</v>
      </c>
      <c r="F172" s="10">
        <v>4</v>
      </c>
      <c r="G172" s="8">
        <v>118.8</v>
      </c>
    </row>
    <row r="173" spans="1:7" x14ac:dyDescent="0.25">
      <c r="A173">
        <v>2021</v>
      </c>
      <c r="B173" s="6">
        <v>628</v>
      </c>
      <c r="C173" s="6" t="s">
        <v>3302</v>
      </c>
      <c r="D173" s="6" t="s">
        <v>3272</v>
      </c>
      <c r="E173" s="7">
        <v>804</v>
      </c>
      <c r="F173" s="10">
        <v>9</v>
      </c>
      <c r="G173" s="8">
        <v>6626.44</v>
      </c>
    </row>
    <row r="174" spans="1:7" x14ac:dyDescent="0.25">
      <c r="A174">
        <v>2021</v>
      </c>
      <c r="B174" s="6">
        <v>628</v>
      </c>
      <c r="C174" s="6" t="s">
        <v>3302</v>
      </c>
      <c r="D174" s="6" t="s">
        <v>3272</v>
      </c>
      <c r="E174" s="7">
        <v>805</v>
      </c>
      <c r="F174" s="10">
        <v>12</v>
      </c>
      <c r="G174" s="8">
        <v>4744.3559999999998</v>
      </c>
    </row>
    <row r="175" spans="1:7" x14ac:dyDescent="0.25">
      <c r="A175">
        <v>2021</v>
      </c>
      <c r="B175" s="6">
        <v>628</v>
      </c>
      <c r="C175" s="6" t="s">
        <v>3302</v>
      </c>
      <c r="D175" s="6" t="s">
        <v>3272</v>
      </c>
      <c r="E175" s="7">
        <v>806</v>
      </c>
      <c r="F175" s="10">
        <v>12</v>
      </c>
      <c r="G175" s="8">
        <v>11149.451999999999</v>
      </c>
    </row>
    <row r="176" spans="1:7" x14ac:dyDescent="0.25">
      <c r="A176">
        <v>2021</v>
      </c>
      <c r="B176" s="6">
        <v>63</v>
      </c>
      <c r="C176" s="6" t="s">
        <v>3303</v>
      </c>
      <c r="D176" s="6" t="s">
        <v>3265</v>
      </c>
      <c r="E176" s="7">
        <v>804</v>
      </c>
      <c r="F176" s="10">
        <v>11</v>
      </c>
      <c r="G176" s="8">
        <v>1947.96</v>
      </c>
    </row>
    <row r="177" spans="1:7" x14ac:dyDescent="0.25">
      <c r="A177">
        <v>2021</v>
      </c>
      <c r="B177" s="6">
        <v>63</v>
      </c>
      <c r="C177" s="6" t="s">
        <v>3303</v>
      </c>
      <c r="D177" s="6" t="s">
        <v>3265</v>
      </c>
      <c r="E177" s="7">
        <v>806</v>
      </c>
      <c r="F177" s="10">
        <v>7</v>
      </c>
      <c r="G177" s="8">
        <v>1843.9059999999999</v>
      </c>
    </row>
    <row r="178" spans="1:7" x14ac:dyDescent="0.25">
      <c r="A178">
        <v>2021</v>
      </c>
      <c r="B178" s="6">
        <v>676</v>
      </c>
      <c r="C178" s="6" t="s">
        <v>3304</v>
      </c>
      <c r="D178" s="6" t="s">
        <v>3267</v>
      </c>
      <c r="E178" s="7">
        <v>804</v>
      </c>
      <c r="F178" s="10">
        <v>7</v>
      </c>
      <c r="G178" s="8">
        <v>838.226</v>
      </c>
    </row>
    <row r="179" spans="1:7" x14ac:dyDescent="0.25">
      <c r="A179">
        <v>2021</v>
      </c>
      <c r="B179" s="6">
        <v>676</v>
      </c>
      <c r="C179" s="6" t="s">
        <v>3304</v>
      </c>
      <c r="D179" s="6" t="s">
        <v>3267</v>
      </c>
      <c r="E179" s="7">
        <v>805</v>
      </c>
      <c r="F179" s="10">
        <v>10</v>
      </c>
      <c r="G179" s="8">
        <v>666</v>
      </c>
    </row>
    <row r="180" spans="1:7" x14ac:dyDescent="0.25">
      <c r="A180">
        <v>2021</v>
      </c>
      <c r="B180" s="6">
        <v>676</v>
      </c>
      <c r="C180" s="6" t="s">
        <v>3304</v>
      </c>
      <c r="D180" s="6" t="s">
        <v>3267</v>
      </c>
      <c r="E180" s="7">
        <v>806</v>
      </c>
      <c r="F180" s="10">
        <v>2</v>
      </c>
      <c r="G180" s="8">
        <v>44.847000000000001</v>
      </c>
    </row>
    <row r="181" spans="1:7" x14ac:dyDescent="0.25">
      <c r="A181">
        <v>2021</v>
      </c>
      <c r="B181" s="6">
        <v>756</v>
      </c>
      <c r="C181" s="6" t="s">
        <v>3308</v>
      </c>
      <c r="D181" s="6" t="s">
        <v>3295</v>
      </c>
      <c r="E181" s="7">
        <v>804</v>
      </c>
      <c r="F181" s="10">
        <v>3</v>
      </c>
      <c r="G181" s="8">
        <v>66.528000000000006</v>
      </c>
    </row>
    <row r="182" spans="1:7" x14ac:dyDescent="0.25">
      <c r="A182">
        <v>2021</v>
      </c>
      <c r="B182" s="6">
        <v>756</v>
      </c>
      <c r="C182" s="6" t="s">
        <v>3308</v>
      </c>
      <c r="D182" s="6" t="s">
        <v>3295</v>
      </c>
      <c r="E182" s="7">
        <v>805</v>
      </c>
      <c r="F182" s="10">
        <v>1</v>
      </c>
      <c r="G182" s="8">
        <v>23.76</v>
      </c>
    </row>
    <row r="183" spans="1:7" x14ac:dyDescent="0.25">
      <c r="A183">
        <v>2021</v>
      </c>
      <c r="B183" s="6">
        <v>767</v>
      </c>
      <c r="C183" s="6" t="s">
        <v>3309</v>
      </c>
      <c r="D183" s="6" t="s">
        <v>3272</v>
      </c>
      <c r="E183" s="7">
        <v>2009</v>
      </c>
      <c r="F183" s="10">
        <v>7</v>
      </c>
      <c r="G183" s="8">
        <v>187.964</v>
      </c>
    </row>
    <row r="184" spans="1:7" x14ac:dyDescent="0.25">
      <c r="A184">
        <v>2021</v>
      </c>
      <c r="B184" s="6">
        <v>767</v>
      </c>
      <c r="C184" s="6" t="s">
        <v>3309</v>
      </c>
      <c r="D184" s="6" t="s">
        <v>3272</v>
      </c>
      <c r="E184" s="7">
        <v>804</v>
      </c>
      <c r="F184" s="10">
        <v>5</v>
      </c>
      <c r="G184" s="8">
        <v>28.632000000000001</v>
      </c>
    </row>
    <row r="185" spans="1:7" x14ac:dyDescent="0.25">
      <c r="A185">
        <v>2021</v>
      </c>
      <c r="B185" s="6">
        <v>87</v>
      </c>
      <c r="C185" s="6" t="s">
        <v>3312</v>
      </c>
      <c r="D185" s="6" t="s">
        <v>3272</v>
      </c>
      <c r="E185" s="7">
        <v>804</v>
      </c>
      <c r="F185" s="10">
        <v>4</v>
      </c>
      <c r="G185" s="8">
        <v>147.36000000000001</v>
      </c>
    </row>
    <row r="186" spans="1:7" x14ac:dyDescent="0.25">
      <c r="A186">
        <v>2022</v>
      </c>
      <c r="B186" s="6">
        <v>149</v>
      </c>
      <c r="C186" s="6" t="s">
        <v>3263</v>
      </c>
      <c r="D186" s="6" t="s">
        <v>3264</v>
      </c>
      <c r="E186" s="7">
        <v>804</v>
      </c>
      <c r="F186" s="10">
        <v>7</v>
      </c>
      <c r="G186" s="8">
        <v>4353.6629999999996</v>
      </c>
    </row>
    <row r="187" spans="1:7" x14ac:dyDescent="0.25">
      <c r="A187">
        <v>2022</v>
      </c>
      <c r="B187" s="6">
        <v>149</v>
      </c>
      <c r="C187" s="6" t="s">
        <v>3263</v>
      </c>
      <c r="D187" s="6" t="s">
        <v>3264</v>
      </c>
      <c r="E187" s="7">
        <v>805</v>
      </c>
      <c r="F187" s="10">
        <v>2</v>
      </c>
      <c r="G187" s="8">
        <v>66.959999999999994</v>
      </c>
    </row>
    <row r="188" spans="1:7" x14ac:dyDescent="0.25">
      <c r="A188">
        <v>2022</v>
      </c>
      <c r="B188" s="6">
        <v>149</v>
      </c>
      <c r="C188" s="6" t="s">
        <v>3263</v>
      </c>
      <c r="D188" s="6" t="s">
        <v>3264</v>
      </c>
      <c r="E188" s="7">
        <v>806</v>
      </c>
      <c r="F188" s="10">
        <v>5</v>
      </c>
      <c r="G188" s="8">
        <v>257.947</v>
      </c>
    </row>
    <row r="189" spans="1:7" x14ac:dyDescent="0.25">
      <c r="A189">
        <v>2022</v>
      </c>
      <c r="B189" s="6">
        <v>158</v>
      </c>
      <c r="C189" s="6" t="s">
        <v>3056</v>
      </c>
      <c r="D189" s="6" t="s">
        <v>3265</v>
      </c>
      <c r="E189" s="7">
        <v>2009</v>
      </c>
      <c r="F189" s="10">
        <v>2</v>
      </c>
      <c r="G189" s="8">
        <v>50.27</v>
      </c>
    </row>
    <row r="190" spans="1:7" x14ac:dyDescent="0.25">
      <c r="A190">
        <v>2022</v>
      </c>
      <c r="B190" s="6">
        <v>158</v>
      </c>
      <c r="C190" s="6" t="s">
        <v>3056</v>
      </c>
      <c r="D190" s="6" t="s">
        <v>3265</v>
      </c>
      <c r="E190" s="7">
        <v>804</v>
      </c>
      <c r="F190" s="10">
        <v>10</v>
      </c>
      <c r="G190" s="8">
        <v>2021.76</v>
      </c>
    </row>
    <row r="191" spans="1:7" x14ac:dyDescent="0.25">
      <c r="A191">
        <v>2022</v>
      </c>
      <c r="B191" s="6">
        <v>158</v>
      </c>
      <c r="C191" s="6" t="s">
        <v>3056</v>
      </c>
      <c r="D191" s="6" t="s">
        <v>3265</v>
      </c>
      <c r="E191" s="7">
        <v>805</v>
      </c>
      <c r="F191" s="10">
        <v>3</v>
      </c>
      <c r="G191" s="8">
        <v>67.5</v>
      </c>
    </row>
    <row r="192" spans="1:7" x14ac:dyDescent="0.25">
      <c r="A192">
        <v>2022</v>
      </c>
      <c r="B192" s="6">
        <v>160</v>
      </c>
      <c r="C192" s="6" t="s">
        <v>3057</v>
      </c>
      <c r="D192" s="6" t="s">
        <v>3267</v>
      </c>
      <c r="E192" s="7">
        <v>2009</v>
      </c>
      <c r="F192" s="10">
        <v>4</v>
      </c>
      <c r="G192" s="8">
        <v>87.173000000000002</v>
      </c>
    </row>
    <row r="193" spans="1:7" x14ac:dyDescent="0.25">
      <c r="A193">
        <v>2022</v>
      </c>
      <c r="B193" s="6">
        <v>190</v>
      </c>
      <c r="C193" s="6" t="s">
        <v>3269</v>
      </c>
      <c r="D193" s="6" t="s">
        <v>3267</v>
      </c>
      <c r="E193" s="7">
        <v>2009</v>
      </c>
      <c r="F193" s="10">
        <v>1</v>
      </c>
      <c r="G193" s="8">
        <v>4.0019999999999998</v>
      </c>
    </row>
    <row r="194" spans="1:7" x14ac:dyDescent="0.25">
      <c r="A194">
        <v>2022</v>
      </c>
      <c r="B194" s="6">
        <v>198</v>
      </c>
      <c r="C194" s="6" t="s">
        <v>3270</v>
      </c>
      <c r="D194" s="6" t="s">
        <v>3267</v>
      </c>
      <c r="E194" s="7">
        <v>804</v>
      </c>
      <c r="F194" s="10">
        <v>1</v>
      </c>
      <c r="G194" s="8">
        <v>5.5439999999999996</v>
      </c>
    </row>
    <row r="195" spans="1:7" x14ac:dyDescent="0.25">
      <c r="A195">
        <v>2022</v>
      </c>
      <c r="B195" s="6">
        <v>198</v>
      </c>
      <c r="C195" s="6" t="s">
        <v>3270</v>
      </c>
      <c r="D195" s="6" t="s">
        <v>3267</v>
      </c>
      <c r="E195" s="7">
        <v>806</v>
      </c>
      <c r="F195" s="10">
        <v>2</v>
      </c>
      <c r="G195" s="8">
        <v>3.5</v>
      </c>
    </row>
    <row r="196" spans="1:7" x14ac:dyDescent="0.25">
      <c r="A196">
        <v>2022</v>
      </c>
      <c r="B196" s="6">
        <v>23</v>
      </c>
      <c r="C196" s="6" t="s">
        <v>3271</v>
      </c>
      <c r="D196" s="6" t="s">
        <v>3272</v>
      </c>
      <c r="E196" s="7">
        <v>804</v>
      </c>
      <c r="F196" s="10">
        <v>6</v>
      </c>
      <c r="G196" s="8">
        <v>178.05799999999999</v>
      </c>
    </row>
    <row r="197" spans="1:7" x14ac:dyDescent="0.25">
      <c r="A197">
        <v>2022</v>
      </c>
      <c r="B197" s="6">
        <v>23</v>
      </c>
      <c r="C197" s="6" t="s">
        <v>3271</v>
      </c>
      <c r="D197" s="6" t="s">
        <v>3272</v>
      </c>
      <c r="E197" s="7">
        <v>805</v>
      </c>
      <c r="F197" s="10">
        <v>9</v>
      </c>
      <c r="G197" s="8">
        <v>23.82</v>
      </c>
    </row>
    <row r="198" spans="1:7" x14ac:dyDescent="0.25">
      <c r="A198">
        <v>2022</v>
      </c>
      <c r="B198" s="6">
        <v>23</v>
      </c>
      <c r="C198" s="6" t="s">
        <v>3271</v>
      </c>
      <c r="D198" s="6" t="s">
        <v>3272</v>
      </c>
      <c r="E198" s="7">
        <v>806</v>
      </c>
      <c r="F198" s="10">
        <v>6</v>
      </c>
      <c r="G198" s="8">
        <v>546.346</v>
      </c>
    </row>
    <row r="199" spans="1:7" x14ac:dyDescent="0.25">
      <c r="A199">
        <v>2022</v>
      </c>
      <c r="B199" s="6">
        <v>23</v>
      </c>
      <c r="C199" s="6" t="s">
        <v>3271</v>
      </c>
      <c r="D199" s="6" t="s">
        <v>3272</v>
      </c>
      <c r="E199" s="7">
        <v>811</v>
      </c>
      <c r="F199" s="10">
        <v>3</v>
      </c>
      <c r="G199" s="8">
        <v>140.04</v>
      </c>
    </row>
    <row r="200" spans="1:7" x14ac:dyDescent="0.25">
      <c r="A200">
        <v>2022</v>
      </c>
      <c r="B200" s="6">
        <v>232</v>
      </c>
      <c r="C200" s="6" t="s">
        <v>3273</v>
      </c>
      <c r="D200" s="6" t="s">
        <v>3272</v>
      </c>
      <c r="E200" s="7">
        <v>806</v>
      </c>
      <c r="F200" s="10">
        <v>1</v>
      </c>
      <c r="G200" s="8">
        <v>24.96</v>
      </c>
    </row>
    <row r="201" spans="1:7" x14ac:dyDescent="0.25">
      <c r="A201">
        <v>2022</v>
      </c>
      <c r="B201" s="6">
        <v>244</v>
      </c>
      <c r="C201" s="6" t="s">
        <v>3274</v>
      </c>
      <c r="D201" s="6" t="s">
        <v>3267</v>
      </c>
      <c r="E201" s="7">
        <v>804</v>
      </c>
      <c r="F201" s="10">
        <v>2</v>
      </c>
      <c r="G201" s="8">
        <v>6.0060000000000002</v>
      </c>
    </row>
    <row r="202" spans="1:7" x14ac:dyDescent="0.25">
      <c r="A202">
        <v>2022</v>
      </c>
      <c r="B202" s="6">
        <v>245</v>
      </c>
      <c r="C202" s="6" t="s">
        <v>3275</v>
      </c>
      <c r="D202" s="6" t="s">
        <v>3272</v>
      </c>
      <c r="E202" s="7">
        <v>804</v>
      </c>
      <c r="F202" s="10">
        <v>12</v>
      </c>
      <c r="G202" s="8">
        <v>12632.878000000001</v>
      </c>
    </row>
    <row r="203" spans="1:7" x14ac:dyDescent="0.25">
      <c r="A203">
        <v>2022</v>
      </c>
      <c r="B203" s="6">
        <v>245</v>
      </c>
      <c r="C203" s="6" t="s">
        <v>3275</v>
      </c>
      <c r="D203" s="6" t="s">
        <v>3272</v>
      </c>
      <c r="E203" s="7">
        <v>805</v>
      </c>
      <c r="F203" s="10">
        <v>2</v>
      </c>
      <c r="G203" s="8">
        <v>118.8</v>
      </c>
    </row>
    <row r="204" spans="1:7" x14ac:dyDescent="0.25">
      <c r="A204">
        <v>2022</v>
      </c>
      <c r="B204" s="6">
        <v>245</v>
      </c>
      <c r="C204" s="6" t="s">
        <v>3275</v>
      </c>
      <c r="D204" s="6" t="s">
        <v>3272</v>
      </c>
      <c r="E204" s="7">
        <v>806</v>
      </c>
      <c r="F204" s="10">
        <v>7</v>
      </c>
      <c r="G204" s="8">
        <v>2061.6640000000002</v>
      </c>
    </row>
    <row r="205" spans="1:7" x14ac:dyDescent="0.25">
      <c r="A205">
        <v>2022</v>
      </c>
      <c r="B205" s="6">
        <v>249</v>
      </c>
      <c r="C205" s="6" t="s">
        <v>3276</v>
      </c>
      <c r="D205" s="6" t="s">
        <v>3264</v>
      </c>
      <c r="E205" s="7">
        <v>2009</v>
      </c>
      <c r="F205" s="10">
        <v>5</v>
      </c>
      <c r="G205" s="8">
        <v>48.12</v>
      </c>
    </row>
    <row r="206" spans="1:7" x14ac:dyDescent="0.25">
      <c r="A206">
        <v>2022</v>
      </c>
      <c r="B206" s="6">
        <v>249</v>
      </c>
      <c r="C206" s="6" t="s">
        <v>3276</v>
      </c>
      <c r="D206" s="6" t="s">
        <v>3264</v>
      </c>
      <c r="E206" s="7">
        <v>804</v>
      </c>
      <c r="F206" s="10">
        <v>6</v>
      </c>
      <c r="G206" s="8">
        <v>4659.0990000000002</v>
      </c>
    </row>
    <row r="207" spans="1:7" x14ac:dyDescent="0.25">
      <c r="A207">
        <v>2022</v>
      </c>
      <c r="B207" s="6">
        <v>249</v>
      </c>
      <c r="C207" s="6" t="s">
        <v>3276</v>
      </c>
      <c r="D207" s="6" t="s">
        <v>3264</v>
      </c>
      <c r="E207" s="7">
        <v>806</v>
      </c>
      <c r="F207" s="10">
        <v>11</v>
      </c>
      <c r="G207" s="8">
        <v>7166.6959999999999</v>
      </c>
    </row>
    <row r="208" spans="1:7" x14ac:dyDescent="0.25">
      <c r="A208">
        <v>2022</v>
      </c>
      <c r="B208" s="6">
        <v>249</v>
      </c>
      <c r="C208" s="6" t="s">
        <v>3276</v>
      </c>
      <c r="D208" s="6" t="s">
        <v>3264</v>
      </c>
      <c r="E208" s="7">
        <v>811</v>
      </c>
      <c r="F208" s="10">
        <v>11</v>
      </c>
      <c r="G208" s="8">
        <v>645.84</v>
      </c>
    </row>
    <row r="209" spans="1:7" x14ac:dyDescent="0.25">
      <c r="A209">
        <v>2022</v>
      </c>
      <c r="B209" s="6">
        <v>275</v>
      </c>
      <c r="C209" s="6" t="s">
        <v>3277</v>
      </c>
      <c r="D209" s="6" t="s">
        <v>3272</v>
      </c>
      <c r="E209" s="7">
        <v>2009</v>
      </c>
      <c r="F209" s="10">
        <v>7</v>
      </c>
      <c r="G209" s="8">
        <v>322.36099999999999</v>
      </c>
    </row>
    <row r="210" spans="1:7" x14ac:dyDescent="0.25">
      <c r="A210">
        <v>2022</v>
      </c>
      <c r="B210" s="6">
        <v>275</v>
      </c>
      <c r="C210" s="6" t="s">
        <v>3277</v>
      </c>
      <c r="D210" s="6" t="s">
        <v>3272</v>
      </c>
      <c r="E210" s="7">
        <v>804</v>
      </c>
      <c r="F210" s="10">
        <v>2</v>
      </c>
      <c r="G210" s="8">
        <v>52.258000000000003</v>
      </c>
    </row>
    <row r="211" spans="1:7" x14ac:dyDescent="0.25">
      <c r="A211">
        <v>2022</v>
      </c>
      <c r="B211" s="6">
        <v>275</v>
      </c>
      <c r="C211" s="6" t="s">
        <v>3277</v>
      </c>
      <c r="D211" s="6" t="s">
        <v>3272</v>
      </c>
      <c r="E211" s="7">
        <v>811</v>
      </c>
      <c r="F211" s="10">
        <v>3</v>
      </c>
      <c r="G211" s="8">
        <v>45.54</v>
      </c>
    </row>
    <row r="212" spans="1:7" x14ac:dyDescent="0.25">
      <c r="A212">
        <v>2022</v>
      </c>
      <c r="B212" s="6">
        <v>309</v>
      </c>
      <c r="C212" s="6" t="s">
        <v>3279</v>
      </c>
      <c r="D212" s="6" t="s">
        <v>3280</v>
      </c>
      <c r="E212" s="7">
        <v>811</v>
      </c>
      <c r="F212" s="10">
        <v>2</v>
      </c>
      <c r="G212" s="8">
        <v>39.24</v>
      </c>
    </row>
    <row r="213" spans="1:7" x14ac:dyDescent="0.25">
      <c r="A213">
        <v>2022</v>
      </c>
      <c r="B213" s="6">
        <v>317</v>
      </c>
      <c r="C213" s="6" t="s">
        <v>3281</v>
      </c>
      <c r="D213" s="6" t="s">
        <v>3280</v>
      </c>
      <c r="E213" s="7">
        <v>811</v>
      </c>
      <c r="F213" s="10">
        <v>1</v>
      </c>
      <c r="G213" s="8">
        <v>9</v>
      </c>
    </row>
    <row r="214" spans="1:7" x14ac:dyDescent="0.25">
      <c r="A214">
        <v>2022</v>
      </c>
      <c r="B214" s="6">
        <v>351</v>
      </c>
      <c r="C214" s="6" t="s">
        <v>3282</v>
      </c>
      <c r="D214" s="6" t="s">
        <v>3280</v>
      </c>
      <c r="E214" s="7">
        <v>806</v>
      </c>
      <c r="F214" s="10">
        <v>2</v>
      </c>
      <c r="G214" s="8">
        <v>1.3520000000000001</v>
      </c>
    </row>
    <row r="215" spans="1:7" x14ac:dyDescent="0.25">
      <c r="A215">
        <v>2022</v>
      </c>
      <c r="B215" s="6">
        <v>375</v>
      </c>
      <c r="C215" s="6" t="s">
        <v>3284</v>
      </c>
      <c r="D215" s="6" t="s">
        <v>3272</v>
      </c>
      <c r="E215" s="7">
        <v>806</v>
      </c>
      <c r="F215" s="10">
        <v>6</v>
      </c>
      <c r="G215" s="8">
        <v>945.45399999999995</v>
      </c>
    </row>
    <row r="216" spans="1:7" x14ac:dyDescent="0.25">
      <c r="A216">
        <v>2022</v>
      </c>
      <c r="B216" s="6">
        <v>383</v>
      </c>
      <c r="C216" s="6" t="s">
        <v>3286</v>
      </c>
      <c r="D216" s="6" t="s">
        <v>3267</v>
      </c>
      <c r="E216" s="7">
        <v>2009</v>
      </c>
      <c r="F216" s="10">
        <v>6</v>
      </c>
      <c r="G216" s="8">
        <v>150.59200000000001</v>
      </c>
    </row>
    <row r="217" spans="1:7" x14ac:dyDescent="0.25">
      <c r="A217">
        <v>2022</v>
      </c>
      <c r="B217" s="6">
        <v>386</v>
      </c>
      <c r="C217" s="6" t="s">
        <v>3288</v>
      </c>
      <c r="D217" s="6" t="s">
        <v>3272</v>
      </c>
      <c r="E217" s="7">
        <v>804</v>
      </c>
      <c r="F217" s="10">
        <v>7</v>
      </c>
      <c r="G217" s="8">
        <v>137.136</v>
      </c>
    </row>
    <row r="218" spans="1:7" x14ac:dyDescent="0.25">
      <c r="A218">
        <v>2022</v>
      </c>
      <c r="B218" s="6">
        <v>399</v>
      </c>
      <c r="C218" s="6" t="s">
        <v>3289</v>
      </c>
      <c r="D218" s="6" t="s">
        <v>3267</v>
      </c>
      <c r="E218" s="7">
        <v>2009</v>
      </c>
      <c r="F218" s="10">
        <v>4</v>
      </c>
      <c r="G218" s="8">
        <v>18.198</v>
      </c>
    </row>
    <row r="219" spans="1:7" x14ac:dyDescent="0.25">
      <c r="A219">
        <v>2022</v>
      </c>
      <c r="B219" s="6">
        <v>399</v>
      </c>
      <c r="C219" s="6" t="s">
        <v>3289</v>
      </c>
      <c r="D219" s="6" t="s">
        <v>3267</v>
      </c>
      <c r="E219" s="7">
        <v>811</v>
      </c>
      <c r="F219" s="10">
        <v>6</v>
      </c>
      <c r="G219" s="8">
        <v>1.6879999999999999</v>
      </c>
    </row>
    <row r="220" spans="1:7" x14ac:dyDescent="0.25">
      <c r="A220">
        <v>2022</v>
      </c>
      <c r="B220" s="6">
        <v>442</v>
      </c>
      <c r="C220" s="6" t="s">
        <v>3290</v>
      </c>
      <c r="D220" s="6" t="s">
        <v>3272</v>
      </c>
      <c r="E220" s="7">
        <v>806</v>
      </c>
      <c r="F220" s="10">
        <v>1</v>
      </c>
      <c r="G220" s="8">
        <v>30.167999999999999</v>
      </c>
    </row>
    <row r="221" spans="1:7" x14ac:dyDescent="0.25">
      <c r="A221">
        <v>2022</v>
      </c>
      <c r="B221" s="6">
        <v>445</v>
      </c>
      <c r="C221" s="6" t="s">
        <v>3291</v>
      </c>
      <c r="D221" s="6" t="s">
        <v>3272</v>
      </c>
      <c r="E221" s="7">
        <v>804</v>
      </c>
      <c r="F221" s="10">
        <v>3</v>
      </c>
      <c r="G221" s="8">
        <v>134.78399999999999</v>
      </c>
    </row>
    <row r="222" spans="1:7" x14ac:dyDescent="0.25">
      <c r="A222">
        <v>2022</v>
      </c>
      <c r="B222" s="6">
        <v>477</v>
      </c>
      <c r="C222" s="6" t="s">
        <v>3293</v>
      </c>
      <c r="D222" s="6" t="s">
        <v>3280</v>
      </c>
      <c r="E222" s="7">
        <v>811</v>
      </c>
      <c r="F222" s="10">
        <v>1</v>
      </c>
      <c r="G222" s="8">
        <v>12.6</v>
      </c>
    </row>
    <row r="223" spans="1:7" x14ac:dyDescent="0.25">
      <c r="A223">
        <v>2022</v>
      </c>
      <c r="B223" s="6">
        <v>538</v>
      </c>
      <c r="C223" s="6" t="s">
        <v>3296</v>
      </c>
      <c r="D223" s="6" t="s">
        <v>3272</v>
      </c>
      <c r="E223" s="7">
        <v>806</v>
      </c>
      <c r="F223" s="10">
        <v>3</v>
      </c>
      <c r="G223" s="8">
        <v>197.76</v>
      </c>
    </row>
    <row r="224" spans="1:7" x14ac:dyDescent="0.25">
      <c r="A224">
        <v>2022</v>
      </c>
      <c r="B224" s="6">
        <v>573</v>
      </c>
      <c r="C224" s="6" t="s">
        <v>3297</v>
      </c>
      <c r="D224" s="6" t="s">
        <v>3272</v>
      </c>
      <c r="E224" s="7">
        <v>2009</v>
      </c>
      <c r="F224" s="10">
        <v>11</v>
      </c>
      <c r="G224" s="8">
        <v>459.73700000000002</v>
      </c>
    </row>
    <row r="225" spans="1:7" x14ac:dyDescent="0.25">
      <c r="A225">
        <v>2022</v>
      </c>
      <c r="B225" s="6">
        <v>573</v>
      </c>
      <c r="C225" s="6" t="s">
        <v>3297</v>
      </c>
      <c r="D225" s="6" t="s">
        <v>3272</v>
      </c>
      <c r="E225" s="7">
        <v>804</v>
      </c>
      <c r="F225" s="10">
        <v>12</v>
      </c>
      <c r="G225" s="8">
        <v>30729.652999999998</v>
      </c>
    </row>
    <row r="226" spans="1:7" x14ac:dyDescent="0.25">
      <c r="A226">
        <v>2022</v>
      </c>
      <c r="B226" s="6">
        <v>573</v>
      </c>
      <c r="C226" s="6" t="s">
        <v>3297</v>
      </c>
      <c r="D226" s="6" t="s">
        <v>3272</v>
      </c>
      <c r="E226" s="7">
        <v>805</v>
      </c>
      <c r="F226" s="10">
        <v>11</v>
      </c>
      <c r="G226" s="8">
        <v>10023.477999999999</v>
      </c>
    </row>
    <row r="227" spans="1:7" x14ac:dyDescent="0.25">
      <c r="A227">
        <v>2022</v>
      </c>
      <c r="B227" s="6">
        <v>573</v>
      </c>
      <c r="C227" s="6" t="s">
        <v>3297</v>
      </c>
      <c r="D227" s="6" t="s">
        <v>3272</v>
      </c>
      <c r="E227" s="7">
        <v>806</v>
      </c>
      <c r="F227" s="10">
        <v>9</v>
      </c>
      <c r="G227" s="8">
        <v>12175.903</v>
      </c>
    </row>
    <row r="228" spans="1:7" x14ac:dyDescent="0.25">
      <c r="A228">
        <v>2022</v>
      </c>
      <c r="B228" s="6">
        <v>573</v>
      </c>
      <c r="C228" s="6" t="s">
        <v>3297</v>
      </c>
      <c r="D228" s="6" t="s">
        <v>3272</v>
      </c>
      <c r="E228" s="7">
        <v>811</v>
      </c>
      <c r="F228" s="10">
        <v>5</v>
      </c>
      <c r="G228" s="8">
        <v>142.976</v>
      </c>
    </row>
    <row r="229" spans="1:7" x14ac:dyDescent="0.25">
      <c r="A229">
        <v>2022</v>
      </c>
      <c r="B229" s="6">
        <v>603</v>
      </c>
      <c r="C229" s="6" t="s">
        <v>3300</v>
      </c>
      <c r="D229" s="6" t="s">
        <v>3272</v>
      </c>
      <c r="E229" s="7">
        <v>804</v>
      </c>
      <c r="F229" s="10">
        <v>1</v>
      </c>
      <c r="G229" s="8">
        <v>1.6E-2</v>
      </c>
    </row>
    <row r="230" spans="1:7" x14ac:dyDescent="0.25">
      <c r="A230">
        <v>2022</v>
      </c>
      <c r="B230" s="6">
        <v>607</v>
      </c>
      <c r="C230" s="6" t="s">
        <v>3301</v>
      </c>
      <c r="D230" s="6" t="s">
        <v>3272</v>
      </c>
      <c r="E230" s="7">
        <v>804</v>
      </c>
      <c r="F230" s="10">
        <v>12</v>
      </c>
      <c r="G230" s="8">
        <v>3267.2440000000001</v>
      </c>
    </row>
    <row r="231" spans="1:7" x14ac:dyDescent="0.25">
      <c r="A231">
        <v>2022</v>
      </c>
      <c r="B231" s="6">
        <v>628</v>
      </c>
      <c r="C231" s="6" t="s">
        <v>3302</v>
      </c>
      <c r="D231" s="6" t="s">
        <v>3272</v>
      </c>
      <c r="E231" s="7">
        <v>804</v>
      </c>
      <c r="F231" s="10">
        <v>11</v>
      </c>
      <c r="G231" s="8">
        <v>4423.8469999999998</v>
      </c>
    </row>
    <row r="232" spans="1:7" x14ac:dyDescent="0.25">
      <c r="A232">
        <v>2022</v>
      </c>
      <c r="B232" s="6">
        <v>628</v>
      </c>
      <c r="C232" s="6" t="s">
        <v>3302</v>
      </c>
      <c r="D232" s="6" t="s">
        <v>3272</v>
      </c>
      <c r="E232" s="7">
        <v>805</v>
      </c>
      <c r="F232" s="10">
        <v>12</v>
      </c>
      <c r="G232" s="8">
        <v>3722.2559999999999</v>
      </c>
    </row>
    <row r="233" spans="1:7" x14ac:dyDescent="0.25">
      <c r="A233">
        <v>2022</v>
      </c>
      <c r="B233" s="6">
        <v>628</v>
      </c>
      <c r="C233" s="6" t="s">
        <v>3302</v>
      </c>
      <c r="D233" s="6" t="s">
        <v>3272</v>
      </c>
      <c r="E233" s="7">
        <v>806</v>
      </c>
      <c r="F233" s="10">
        <v>12</v>
      </c>
      <c r="G233" s="8">
        <v>8017.81</v>
      </c>
    </row>
    <row r="234" spans="1:7" x14ac:dyDescent="0.25">
      <c r="A234">
        <v>2022</v>
      </c>
      <c r="B234" s="6">
        <v>63</v>
      </c>
      <c r="C234" s="6" t="s">
        <v>3303</v>
      </c>
      <c r="D234" s="6" t="s">
        <v>3265</v>
      </c>
      <c r="E234" s="7">
        <v>804</v>
      </c>
      <c r="F234" s="10">
        <v>9</v>
      </c>
      <c r="G234" s="8">
        <v>1306.912</v>
      </c>
    </row>
    <row r="235" spans="1:7" x14ac:dyDescent="0.25">
      <c r="A235">
        <v>2022</v>
      </c>
      <c r="B235" s="6">
        <v>63</v>
      </c>
      <c r="C235" s="6" t="s">
        <v>3303</v>
      </c>
      <c r="D235" s="6" t="s">
        <v>3265</v>
      </c>
      <c r="E235" s="7">
        <v>806</v>
      </c>
      <c r="F235" s="10">
        <v>9</v>
      </c>
      <c r="G235" s="8">
        <v>2660.3910000000001</v>
      </c>
    </row>
    <row r="236" spans="1:7" x14ac:dyDescent="0.25">
      <c r="A236">
        <v>2022</v>
      </c>
      <c r="B236" s="6">
        <v>676</v>
      </c>
      <c r="C236" s="6" t="s">
        <v>3304</v>
      </c>
      <c r="D236" s="6" t="s">
        <v>3267</v>
      </c>
      <c r="E236" s="7">
        <v>805</v>
      </c>
      <c r="F236" s="10">
        <v>2</v>
      </c>
      <c r="G236" s="8">
        <v>120.24</v>
      </c>
    </row>
    <row r="237" spans="1:7" x14ac:dyDescent="0.25">
      <c r="A237">
        <v>2022</v>
      </c>
      <c r="B237" s="6">
        <v>691</v>
      </c>
      <c r="C237" s="6" t="s">
        <v>3305</v>
      </c>
      <c r="D237" s="6" t="s">
        <v>3306</v>
      </c>
      <c r="E237" s="7">
        <v>804</v>
      </c>
      <c r="F237" s="10">
        <v>2</v>
      </c>
      <c r="G237" s="8">
        <v>69.091999999999999</v>
      </c>
    </row>
    <row r="238" spans="1:7" x14ac:dyDescent="0.25">
      <c r="A238">
        <v>2022</v>
      </c>
      <c r="B238" s="6">
        <v>741</v>
      </c>
      <c r="C238" s="6" t="s">
        <v>3307</v>
      </c>
      <c r="D238" s="6" t="s">
        <v>3267</v>
      </c>
      <c r="E238" s="7">
        <v>806</v>
      </c>
      <c r="F238" s="10">
        <v>1</v>
      </c>
      <c r="G238" s="8">
        <v>8.0000000000000002E-3</v>
      </c>
    </row>
    <row r="239" spans="1:7" x14ac:dyDescent="0.25">
      <c r="A239">
        <v>2022</v>
      </c>
      <c r="B239" s="6">
        <v>756</v>
      </c>
      <c r="C239" s="6" t="s">
        <v>3308</v>
      </c>
      <c r="D239" s="6" t="s">
        <v>3295</v>
      </c>
      <c r="E239" s="7">
        <v>804</v>
      </c>
      <c r="F239" s="10">
        <v>3</v>
      </c>
      <c r="G239" s="8">
        <v>66.528000000000006</v>
      </c>
    </row>
    <row r="240" spans="1:7" x14ac:dyDescent="0.25">
      <c r="A240">
        <v>2022</v>
      </c>
      <c r="B240" s="6">
        <v>767</v>
      </c>
      <c r="C240" s="6" t="s">
        <v>3309</v>
      </c>
      <c r="D240" s="6" t="s">
        <v>3272</v>
      </c>
      <c r="E240" s="7">
        <v>2009</v>
      </c>
      <c r="F240" s="10">
        <v>5</v>
      </c>
      <c r="G240" s="8">
        <v>173.74199999999999</v>
      </c>
    </row>
    <row r="241" spans="1:7" x14ac:dyDescent="0.25">
      <c r="A241">
        <v>2022</v>
      </c>
      <c r="B241" s="6">
        <v>767</v>
      </c>
      <c r="C241" s="6" t="s">
        <v>3309</v>
      </c>
      <c r="D241" s="6" t="s">
        <v>3272</v>
      </c>
      <c r="E241" s="7">
        <v>804</v>
      </c>
      <c r="F241" s="10">
        <v>5</v>
      </c>
      <c r="G241" s="8">
        <v>44.735999999999997</v>
      </c>
    </row>
    <row r="242" spans="1:7" x14ac:dyDescent="0.25">
      <c r="A242">
        <v>2022</v>
      </c>
      <c r="B242" s="6">
        <v>845</v>
      </c>
      <c r="C242" s="6" t="s">
        <v>3310</v>
      </c>
      <c r="D242" s="6" t="s">
        <v>3265</v>
      </c>
      <c r="E242" s="7">
        <v>806</v>
      </c>
      <c r="F242" s="10">
        <v>3</v>
      </c>
      <c r="G242" s="8">
        <v>41.2</v>
      </c>
    </row>
    <row r="243" spans="1:7" x14ac:dyDescent="0.25">
      <c r="A243">
        <v>2022</v>
      </c>
      <c r="B243" s="6">
        <v>87</v>
      </c>
      <c r="C243" s="6" t="s">
        <v>3312</v>
      </c>
      <c r="D243" s="6" t="s">
        <v>3272</v>
      </c>
      <c r="E243" s="7">
        <v>804</v>
      </c>
      <c r="F243" s="10">
        <v>1</v>
      </c>
      <c r="G243" s="8">
        <v>42.24</v>
      </c>
    </row>
    <row r="244" spans="1:7" x14ac:dyDescent="0.25">
      <c r="A244">
        <v>2022</v>
      </c>
      <c r="B244" s="6">
        <v>87</v>
      </c>
      <c r="C244" s="6" t="s">
        <v>3312</v>
      </c>
      <c r="D244" s="6" t="s">
        <v>3272</v>
      </c>
      <c r="E244" s="7">
        <v>805</v>
      </c>
      <c r="F244" s="10">
        <v>1</v>
      </c>
      <c r="G244" s="8">
        <v>192.72</v>
      </c>
    </row>
    <row r="245" spans="1:7" x14ac:dyDescent="0.25">
      <c r="A245">
        <v>2022</v>
      </c>
      <c r="B245" s="6">
        <v>87</v>
      </c>
      <c r="C245" s="6" t="s">
        <v>3312</v>
      </c>
      <c r="D245" s="6" t="s">
        <v>3272</v>
      </c>
      <c r="E245" s="7">
        <v>806</v>
      </c>
      <c r="F245" s="10">
        <v>1</v>
      </c>
      <c r="G245" s="8">
        <v>39</v>
      </c>
    </row>
    <row r="246" spans="1:7" x14ac:dyDescent="0.25">
      <c r="A246">
        <v>2023</v>
      </c>
      <c r="B246" s="6">
        <v>149</v>
      </c>
      <c r="C246" s="6" t="s">
        <v>3263</v>
      </c>
      <c r="D246" s="6" t="s">
        <v>3264</v>
      </c>
      <c r="E246" s="7">
        <v>2009</v>
      </c>
      <c r="F246" s="7">
        <v>2</v>
      </c>
      <c r="G246" s="8">
        <v>2.8069999999999999</v>
      </c>
    </row>
    <row r="247" spans="1:7" x14ac:dyDescent="0.25">
      <c r="A247">
        <v>2023</v>
      </c>
      <c r="B247" s="6">
        <v>149</v>
      </c>
      <c r="C247" s="6" t="s">
        <v>3263</v>
      </c>
      <c r="D247" s="6" t="s">
        <v>3264</v>
      </c>
      <c r="E247" s="7">
        <v>804</v>
      </c>
      <c r="F247" s="7">
        <v>6</v>
      </c>
      <c r="G247" s="8">
        <v>5239.7380000000003</v>
      </c>
    </row>
    <row r="248" spans="1:7" x14ac:dyDescent="0.25">
      <c r="A248">
        <v>2023</v>
      </c>
      <c r="B248" s="6">
        <v>149</v>
      </c>
      <c r="C248" s="6" t="s">
        <v>3263</v>
      </c>
      <c r="D248" s="6" t="s">
        <v>3264</v>
      </c>
      <c r="E248" s="7">
        <v>805</v>
      </c>
      <c r="F248" s="7">
        <v>4</v>
      </c>
      <c r="G248" s="8">
        <v>177.12899999999999</v>
      </c>
    </row>
    <row r="249" spans="1:7" x14ac:dyDescent="0.25">
      <c r="A249">
        <v>2023</v>
      </c>
      <c r="B249" s="6">
        <v>149</v>
      </c>
      <c r="C249" s="6" t="s">
        <v>3263</v>
      </c>
      <c r="D249" s="6" t="s">
        <v>3264</v>
      </c>
      <c r="E249" s="7">
        <v>806</v>
      </c>
      <c r="F249" s="7">
        <v>7</v>
      </c>
      <c r="G249" s="8">
        <v>594.22500000000002</v>
      </c>
    </row>
    <row r="250" spans="1:7" x14ac:dyDescent="0.25">
      <c r="A250">
        <v>2023</v>
      </c>
      <c r="B250" s="6">
        <v>154</v>
      </c>
      <c r="C250" s="6" t="s">
        <v>3266</v>
      </c>
      <c r="D250" s="6" t="s">
        <v>3267</v>
      </c>
      <c r="E250" s="7">
        <v>804</v>
      </c>
      <c r="F250" s="7">
        <v>1</v>
      </c>
      <c r="G250" s="8">
        <v>8.0000000000000002E-3</v>
      </c>
    </row>
    <row r="251" spans="1:7" x14ac:dyDescent="0.25">
      <c r="A251">
        <v>2023</v>
      </c>
      <c r="B251" s="6">
        <v>154</v>
      </c>
      <c r="C251" s="6" t="s">
        <v>3266</v>
      </c>
      <c r="D251" s="6" t="s">
        <v>3267</v>
      </c>
      <c r="E251" s="7">
        <v>806</v>
      </c>
      <c r="F251" s="7">
        <v>2</v>
      </c>
      <c r="G251" s="8">
        <v>1.2</v>
      </c>
    </row>
    <row r="252" spans="1:7" x14ac:dyDescent="0.25">
      <c r="A252">
        <v>2023</v>
      </c>
      <c r="B252" s="6">
        <v>158</v>
      </c>
      <c r="C252" s="6" t="s">
        <v>3056</v>
      </c>
      <c r="D252" s="6" t="s">
        <v>3265</v>
      </c>
      <c r="E252" s="7">
        <v>804</v>
      </c>
      <c r="F252" s="7">
        <v>7</v>
      </c>
      <c r="G252" s="8">
        <v>673.05600000000004</v>
      </c>
    </row>
    <row r="253" spans="1:7" x14ac:dyDescent="0.25">
      <c r="A253">
        <v>2023</v>
      </c>
      <c r="B253" s="6">
        <v>158</v>
      </c>
      <c r="C253" s="6" t="s">
        <v>3056</v>
      </c>
      <c r="D253" s="6" t="s">
        <v>3265</v>
      </c>
      <c r="E253" s="7">
        <v>805</v>
      </c>
      <c r="F253" s="7">
        <v>1</v>
      </c>
      <c r="G253" s="8">
        <v>0</v>
      </c>
    </row>
    <row r="254" spans="1:7" x14ac:dyDescent="0.25">
      <c r="A254">
        <v>2023</v>
      </c>
      <c r="B254" s="6">
        <v>160</v>
      </c>
      <c r="C254" s="6" t="s">
        <v>3057</v>
      </c>
      <c r="D254" s="6" t="s">
        <v>3267</v>
      </c>
      <c r="E254" s="7">
        <v>2009</v>
      </c>
      <c r="F254" s="7">
        <v>4</v>
      </c>
      <c r="G254" s="8">
        <v>89.93</v>
      </c>
    </row>
    <row r="255" spans="1:7" x14ac:dyDescent="0.25">
      <c r="A255">
        <v>2023</v>
      </c>
      <c r="B255" s="6">
        <v>160</v>
      </c>
      <c r="C255" s="6" t="s">
        <v>3057</v>
      </c>
      <c r="D255" s="6" t="s">
        <v>3267</v>
      </c>
      <c r="E255" s="7">
        <v>806</v>
      </c>
      <c r="F255" s="7">
        <v>1</v>
      </c>
      <c r="G255" s="8">
        <v>0.42599999999999999</v>
      </c>
    </row>
    <row r="256" spans="1:7" x14ac:dyDescent="0.25">
      <c r="A256">
        <v>2023</v>
      </c>
      <c r="B256" s="6">
        <v>198</v>
      </c>
      <c r="C256" s="6" t="s">
        <v>3270</v>
      </c>
      <c r="D256" s="6" t="s">
        <v>3267</v>
      </c>
      <c r="E256" s="7">
        <v>806</v>
      </c>
      <c r="F256" s="7">
        <v>1</v>
      </c>
      <c r="G256" s="8">
        <v>1.5</v>
      </c>
    </row>
    <row r="257" spans="1:7" x14ac:dyDescent="0.25">
      <c r="A257">
        <v>2023</v>
      </c>
      <c r="B257" s="6">
        <v>23</v>
      </c>
      <c r="C257" s="6" t="s">
        <v>3271</v>
      </c>
      <c r="D257" s="6" t="s">
        <v>3272</v>
      </c>
      <c r="E257" s="7">
        <v>2009</v>
      </c>
      <c r="F257" s="7">
        <v>2</v>
      </c>
      <c r="G257" s="8">
        <v>42.9</v>
      </c>
    </row>
    <row r="258" spans="1:7" x14ac:dyDescent="0.25">
      <c r="A258">
        <v>2023</v>
      </c>
      <c r="B258" s="6">
        <v>23</v>
      </c>
      <c r="C258" s="6" t="s">
        <v>3271</v>
      </c>
      <c r="D258" s="6" t="s">
        <v>3272</v>
      </c>
      <c r="E258" s="7">
        <v>804</v>
      </c>
      <c r="F258" s="7">
        <v>6</v>
      </c>
      <c r="G258" s="8">
        <v>77.78</v>
      </c>
    </row>
    <row r="259" spans="1:7" x14ac:dyDescent="0.25">
      <c r="A259">
        <v>2023</v>
      </c>
      <c r="B259" s="6">
        <v>23</v>
      </c>
      <c r="C259" s="6" t="s">
        <v>3271</v>
      </c>
      <c r="D259" s="6" t="s">
        <v>3272</v>
      </c>
      <c r="E259" s="7">
        <v>805</v>
      </c>
      <c r="F259" s="7">
        <v>8</v>
      </c>
      <c r="G259" s="8">
        <v>4.8000000000000001E-2</v>
      </c>
    </row>
    <row r="260" spans="1:7" x14ac:dyDescent="0.25">
      <c r="A260">
        <v>2023</v>
      </c>
      <c r="B260" s="6">
        <v>23</v>
      </c>
      <c r="C260" s="6" t="s">
        <v>3271</v>
      </c>
      <c r="D260" s="6" t="s">
        <v>3272</v>
      </c>
      <c r="E260" s="7">
        <v>806</v>
      </c>
      <c r="F260" s="7">
        <v>8</v>
      </c>
      <c r="G260" s="8">
        <v>1364.9639999999999</v>
      </c>
    </row>
    <row r="261" spans="1:7" x14ac:dyDescent="0.25">
      <c r="A261">
        <v>2023</v>
      </c>
      <c r="B261" s="6">
        <v>23</v>
      </c>
      <c r="C261" s="6" t="s">
        <v>3271</v>
      </c>
      <c r="D261" s="6" t="s">
        <v>3272</v>
      </c>
      <c r="E261" s="7">
        <v>811</v>
      </c>
      <c r="F261" s="7">
        <v>5</v>
      </c>
      <c r="G261" s="8">
        <v>124.164</v>
      </c>
    </row>
    <row r="262" spans="1:7" x14ac:dyDescent="0.25">
      <c r="A262">
        <v>2023</v>
      </c>
      <c r="B262" s="6">
        <v>232</v>
      </c>
      <c r="C262" s="6" t="s">
        <v>3273</v>
      </c>
      <c r="D262" s="6" t="s">
        <v>3272</v>
      </c>
      <c r="E262" s="7">
        <v>806</v>
      </c>
      <c r="F262" s="7">
        <v>1</v>
      </c>
      <c r="G262" s="8">
        <v>100.122</v>
      </c>
    </row>
    <row r="263" spans="1:7" x14ac:dyDescent="0.25">
      <c r="A263">
        <v>2023</v>
      </c>
      <c r="B263" s="6">
        <v>244</v>
      </c>
      <c r="C263" s="6" t="s">
        <v>3274</v>
      </c>
      <c r="D263" s="6" t="s">
        <v>3272</v>
      </c>
      <c r="E263" s="7">
        <v>804</v>
      </c>
      <c r="F263" s="7">
        <v>1</v>
      </c>
      <c r="G263" s="8">
        <v>23.117999999999999</v>
      </c>
    </row>
    <row r="264" spans="1:7" x14ac:dyDescent="0.25">
      <c r="A264">
        <v>2023</v>
      </c>
      <c r="B264" s="6">
        <v>244</v>
      </c>
      <c r="C264" s="6" t="s">
        <v>3274</v>
      </c>
      <c r="D264" s="6" t="s">
        <v>3272</v>
      </c>
      <c r="E264" s="7">
        <v>806</v>
      </c>
      <c r="F264" s="7">
        <v>4</v>
      </c>
      <c r="G264" s="8">
        <v>7.8</v>
      </c>
    </row>
    <row r="265" spans="1:7" x14ac:dyDescent="0.25">
      <c r="A265">
        <v>2023</v>
      </c>
      <c r="B265" s="6">
        <v>245</v>
      </c>
      <c r="C265" s="6" t="s">
        <v>3275</v>
      </c>
      <c r="D265" s="6" t="s">
        <v>3272</v>
      </c>
      <c r="E265" s="7">
        <v>804</v>
      </c>
      <c r="F265" s="7">
        <v>12</v>
      </c>
      <c r="G265" s="8">
        <v>12934.344999999999</v>
      </c>
    </row>
    <row r="266" spans="1:7" x14ac:dyDescent="0.25">
      <c r="A266">
        <v>2023</v>
      </c>
      <c r="B266" s="6">
        <v>245</v>
      </c>
      <c r="C266" s="6" t="s">
        <v>3275</v>
      </c>
      <c r="D266" s="6" t="s">
        <v>3272</v>
      </c>
      <c r="E266" s="7">
        <v>805</v>
      </c>
      <c r="F266" s="7">
        <v>3</v>
      </c>
      <c r="G266" s="8">
        <v>146.82599999999999</v>
      </c>
    </row>
    <row r="267" spans="1:7" x14ac:dyDescent="0.25">
      <c r="A267">
        <v>2023</v>
      </c>
      <c r="B267" s="6">
        <v>245</v>
      </c>
      <c r="C267" s="6" t="s">
        <v>3275</v>
      </c>
      <c r="D267" s="6" t="s">
        <v>3272</v>
      </c>
      <c r="E267" s="7">
        <v>806</v>
      </c>
      <c r="F267" s="7">
        <v>6</v>
      </c>
      <c r="G267" s="8">
        <v>1809.423</v>
      </c>
    </row>
    <row r="268" spans="1:7" x14ac:dyDescent="0.25">
      <c r="A268">
        <v>2023</v>
      </c>
      <c r="B268" s="6">
        <v>245</v>
      </c>
      <c r="C268" s="6" t="s">
        <v>3275</v>
      </c>
      <c r="D268" s="6" t="s">
        <v>3272</v>
      </c>
      <c r="E268" s="7">
        <v>807</v>
      </c>
      <c r="F268" s="7">
        <v>4</v>
      </c>
      <c r="G268" s="8">
        <v>184.14</v>
      </c>
    </row>
    <row r="269" spans="1:7" x14ac:dyDescent="0.25">
      <c r="A269">
        <v>2023</v>
      </c>
      <c r="B269" s="6">
        <v>249</v>
      </c>
      <c r="C269" s="6" t="s">
        <v>3276</v>
      </c>
      <c r="D269" s="6" t="s">
        <v>3264</v>
      </c>
      <c r="E269" s="7">
        <v>2009</v>
      </c>
      <c r="F269" s="7">
        <v>2</v>
      </c>
      <c r="G269" s="8">
        <v>13.574999999999999</v>
      </c>
    </row>
    <row r="270" spans="1:7" x14ac:dyDescent="0.25">
      <c r="A270">
        <v>2023</v>
      </c>
      <c r="B270" s="6">
        <v>249</v>
      </c>
      <c r="C270" s="6" t="s">
        <v>3276</v>
      </c>
      <c r="D270" s="6" t="s">
        <v>3264</v>
      </c>
      <c r="E270" s="7">
        <v>804</v>
      </c>
      <c r="F270" s="7">
        <v>6</v>
      </c>
      <c r="G270" s="8">
        <v>6727.817</v>
      </c>
    </row>
    <row r="271" spans="1:7" x14ac:dyDescent="0.25">
      <c r="A271">
        <v>2023</v>
      </c>
      <c r="B271" s="6">
        <v>249</v>
      </c>
      <c r="C271" s="6" t="s">
        <v>3276</v>
      </c>
      <c r="D271" s="6" t="s">
        <v>3264</v>
      </c>
      <c r="E271" s="7">
        <v>806</v>
      </c>
      <c r="F271" s="7">
        <v>11</v>
      </c>
      <c r="G271" s="8">
        <v>14228.763000000001</v>
      </c>
    </row>
    <row r="272" spans="1:7" x14ac:dyDescent="0.25">
      <c r="A272">
        <v>2023</v>
      </c>
      <c r="B272" s="6">
        <v>249</v>
      </c>
      <c r="C272" s="6" t="s">
        <v>3276</v>
      </c>
      <c r="D272" s="6" t="s">
        <v>3264</v>
      </c>
      <c r="E272" s="7">
        <v>811</v>
      </c>
      <c r="F272" s="7">
        <v>8</v>
      </c>
      <c r="G272" s="8">
        <v>432.36</v>
      </c>
    </row>
    <row r="273" spans="1:7" x14ac:dyDescent="0.25">
      <c r="A273">
        <v>2023</v>
      </c>
      <c r="B273" s="6">
        <v>275</v>
      </c>
      <c r="C273" s="6" t="s">
        <v>3277</v>
      </c>
      <c r="D273" s="6" t="s">
        <v>3272</v>
      </c>
      <c r="E273" s="7">
        <v>2009</v>
      </c>
      <c r="F273" s="7">
        <v>6</v>
      </c>
      <c r="G273" s="8">
        <v>173.19</v>
      </c>
    </row>
    <row r="274" spans="1:7" x14ac:dyDescent="0.25">
      <c r="A274">
        <v>2023</v>
      </c>
      <c r="B274" s="6">
        <v>275</v>
      </c>
      <c r="C274" s="6" t="s">
        <v>3277</v>
      </c>
      <c r="D274" s="6" t="s">
        <v>3272</v>
      </c>
      <c r="E274" s="7">
        <v>804</v>
      </c>
      <c r="F274" s="7">
        <v>4</v>
      </c>
      <c r="G274" s="8">
        <v>81.867000000000004</v>
      </c>
    </row>
    <row r="275" spans="1:7" x14ac:dyDescent="0.25">
      <c r="A275">
        <v>2023</v>
      </c>
      <c r="B275" s="6">
        <v>275</v>
      </c>
      <c r="C275" s="6" t="s">
        <v>3277</v>
      </c>
      <c r="D275" s="6" t="s">
        <v>3272</v>
      </c>
      <c r="E275" s="7">
        <v>811</v>
      </c>
      <c r="F275" s="7">
        <v>2</v>
      </c>
      <c r="G275" s="8">
        <v>24.66</v>
      </c>
    </row>
    <row r="276" spans="1:7" x14ac:dyDescent="0.25">
      <c r="A276">
        <v>2023</v>
      </c>
      <c r="B276" s="6">
        <v>309</v>
      </c>
      <c r="C276" s="6" t="s">
        <v>3279</v>
      </c>
      <c r="D276" s="6" t="s">
        <v>3280</v>
      </c>
      <c r="E276" s="7">
        <v>811</v>
      </c>
      <c r="F276" s="7">
        <v>2</v>
      </c>
      <c r="G276" s="8">
        <v>48.24</v>
      </c>
    </row>
    <row r="277" spans="1:7" x14ac:dyDescent="0.25">
      <c r="A277">
        <v>2023</v>
      </c>
      <c r="B277" s="6">
        <v>337</v>
      </c>
      <c r="C277" s="6" t="s">
        <v>3287</v>
      </c>
      <c r="D277" s="6" t="s">
        <v>3265</v>
      </c>
      <c r="E277" s="7">
        <v>811</v>
      </c>
      <c r="F277" s="7">
        <v>1</v>
      </c>
      <c r="G277" s="8">
        <v>48.24</v>
      </c>
    </row>
    <row r="278" spans="1:7" x14ac:dyDescent="0.25">
      <c r="A278">
        <v>2023</v>
      </c>
      <c r="B278" s="6">
        <v>351</v>
      </c>
      <c r="C278" s="6" t="s">
        <v>3282</v>
      </c>
      <c r="D278" s="6" t="s">
        <v>3280</v>
      </c>
      <c r="E278" s="7">
        <v>806</v>
      </c>
      <c r="F278" s="7">
        <v>1</v>
      </c>
      <c r="G278" s="8">
        <v>13.94</v>
      </c>
    </row>
    <row r="279" spans="1:7" x14ac:dyDescent="0.25">
      <c r="A279">
        <v>2023</v>
      </c>
      <c r="B279" s="6">
        <v>375</v>
      </c>
      <c r="C279" s="6" t="s">
        <v>3284</v>
      </c>
      <c r="D279" s="6" t="s">
        <v>3272</v>
      </c>
      <c r="E279" s="7">
        <v>804</v>
      </c>
      <c r="F279" s="7">
        <v>3</v>
      </c>
      <c r="G279" s="8">
        <v>28.08</v>
      </c>
    </row>
    <row r="280" spans="1:7" x14ac:dyDescent="0.25">
      <c r="A280">
        <v>2023</v>
      </c>
      <c r="B280" s="6">
        <v>375</v>
      </c>
      <c r="C280" s="6" t="s">
        <v>3284</v>
      </c>
      <c r="D280" s="6" t="s">
        <v>3272</v>
      </c>
      <c r="E280" s="7">
        <v>806</v>
      </c>
      <c r="F280" s="7">
        <v>7</v>
      </c>
      <c r="G280" s="8">
        <v>577.40499999999997</v>
      </c>
    </row>
    <row r="281" spans="1:7" x14ac:dyDescent="0.25">
      <c r="A281">
        <v>2023</v>
      </c>
      <c r="B281" s="6">
        <v>383</v>
      </c>
      <c r="C281" s="6" t="s">
        <v>3286</v>
      </c>
      <c r="D281" s="6" t="s">
        <v>3267</v>
      </c>
      <c r="E281" s="7">
        <v>2009</v>
      </c>
      <c r="F281" s="7">
        <v>2</v>
      </c>
      <c r="G281" s="8">
        <v>74.52</v>
      </c>
    </row>
    <row r="282" spans="1:7" x14ac:dyDescent="0.25">
      <c r="A282">
        <v>2023</v>
      </c>
      <c r="B282" s="6">
        <v>386</v>
      </c>
      <c r="C282" s="6" t="s">
        <v>3288</v>
      </c>
      <c r="D282" s="6" t="s">
        <v>3272</v>
      </c>
      <c r="E282" s="7">
        <v>804</v>
      </c>
      <c r="F282" s="7">
        <v>4</v>
      </c>
      <c r="G282" s="8">
        <v>45.432000000000002</v>
      </c>
    </row>
    <row r="283" spans="1:7" x14ac:dyDescent="0.25">
      <c r="A283">
        <v>2023</v>
      </c>
      <c r="B283" s="6">
        <v>399</v>
      </c>
      <c r="C283" s="6" t="s">
        <v>3289</v>
      </c>
      <c r="D283" s="6" t="s">
        <v>3267</v>
      </c>
      <c r="E283" s="7">
        <v>2009</v>
      </c>
      <c r="F283" s="7">
        <v>2</v>
      </c>
      <c r="G283" s="8">
        <v>33.85</v>
      </c>
    </row>
    <row r="284" spans="1:7" x14ac:dyDescent="0.25">
      <c r="A284">
        <v>2023</v>
      </c>
      <c r="B284" s="6">
        <v>399</v>
      </c>
      <c r="C284" s="6" t="s">
        <v>3289</v>
      </c>
      <c r="D284" s="6" t="s">
        <v>3267</v>
      </c>
      <c r="E284" s="7">
        <v>811</v>
      </c>
      <c r="F284" s="7">
        <v>2</v>
      </c>
      <c r="G284" s="8">
        <v>0.51</v>
      </c>
    </row>
    <row r="285" spans="1:7" x14ac:dyDescent="0.25">
      <c r="A285">
        <v>2023</v>
      </c>
      <c r="B285" s="6">
        <v>442</v>
      </c>
      <c r="C285" s="6" t="s">
        <v>3290</v>
      </c>
      <c r="D285" s="6" t="s">
        <v>3272</v>
      </c>
      <c r="E285" s="7">
        <v>806</v>
      </c>
      <c r="F285" s="7">
        <v>1</v>
      </c>
      <c r="G285" s="8">
        <v>46.040999999999997</v>
      </c>
    </row>
    <row r="286" spans="1:7" x14ac:dyDescent="0.25">
      <c r="A286">
        <v>2023</v>
      </c>
      <c r="B286" s="6">
        <v>474</v>
      </c>
      <c r="C286" s="6" t="s">
        <v>3299</v>
      </c>
      <c r="D286" s="6" t="s">
        <v>3295</v>
      </c>
      <c r="E286" s="7">
        <v>804</v>
      </c>
      <c r="F286" s="7">
        <v>2</v>
      </c>
      <c r="G286" s="8">
        <v>45.695999999999998</v>
      </c>
    </row>
    <row r="287" spans="1:7" x14ac:dyDescent="0.25">
      <c r="A287">
        <v>2023</v>
      </c>
      <c r="B287" s="6">
        <v>477</v>
      </c>
      <c r="C287" s="6" t="s">
        <v>3293</v>
      </c>
      <c r="D287" s="6" t="s">
        <v>3280</v>
      </c>
      <c r="E287" s="7">
        <v>811</v>
      </c>
      <c r="F287" s="7">
        <v>2</v>
      </c>
      <c r="G287" s="8">
        <v>42.12</v>
      </c>
    </row>
    <row r="288" spans="1:7" x14ac:dyDescent="0.25">
      <c r="A288">
        <v>2023</v>
      </c>
      <c r="B288" s="6">
        <v>538</v>
      </c>
      <c r="C288" s="6" t="s">
        <v>3296</v>
      </c>
      <c r="D288" s="6" t="s">
        <v>3272</v>
      </c>
      <c r="E288" s="7">
        <v>806</v>
      </c>
      <c r="F288" s="7">
        <v>4</v>
      </c>
      <c r="G288" s="8">
        <v>447.84</v>
      </c>
    </row>
    <row r="289" spans="1:7" x14ac:dyDescent="0.25">
      <c r="A289">
        <v>2023</v>
      </c>
      <c r="B289" s="6">
        <v>573</v>
      </c>
      <c r="C289" s="6" t="s">
        <v>3297</v>
      </c>
      <c r="D289" s="6" t="s">
        <v>3272</v>
      </c>
      <c r="E289" s="7">
        <v>2009</v>
      </c>
      <c r="F289" s="7">
        <v>11</v>
      </c>
      <c r="G289" s="8">
        <v>484.03399999999999</v>
      </c>
    </row>
    <row r="290" spans="1:7" x14ac:dyDescent="0.25">
      <c r="A290">
        <v>2023</v>
      </c>
      <c r="B290" s="6">
        <v>573</v>
      </c>
      <c r="C290" s="6" t="s">
        <v>3297</v>
      </c>
      <c r="D290" s="6" t="s">
        <v>3272</v>
      </c>
      <c r="E290" s="7">
        <v>804</v>
      </c>
      <c r="F290" s="7">
        <v>12</v>
      </c>
      <c r="G290" s="8">
        <v>38967.881000000001</v>
      </c>
    </row>
    <row r="291" spans="1:7" x14ac:dyDescent="0.25">
      <c r="A291">
        <v>2023</v>
      </c>
      <c r="B291" s="6">
        <v>573</v>
      </c>
      <c r="C291" s="6" t="s">
        <v>3297</v>
      </c>
      <c r="D291" s="6" t="s">
        <v>3272</v>
      </c>
      <c r="E291" s="7">
        <v>805</v>
      </c>
      <c r="F291" s="7">
        <v>11</v>
      </c>
      <c r="G291" s="8">
        <v>9995.9120000000003</v>
      </c>
    </row>
    <row r="292" spans="1:7" x14ac:dyDescent="0.25">
      <c r="A292">
        <v>2023</v>
      </c>
      <c r="B292" s="6">
        <v>573</v>
      </c>
      <c r="C292" s="6" t="s">
        <v>3297</v>
      </c>
      <c r="D292" s="6" t="s">
        <v>3272</v>
      </c>
      <c r="E292" s="7">
        <v>806</v>
      </c>
      <c r="F292" s="7">
        <v>11</v>
      </c>
      <c r="G292" s="8">
        <v>17620.277999999998</v>
      </c>
    </row>
    <row r="293" spans="1:7" x14ac:dyDescent="0.25">
      <c r="A293">
        <v>2023</v>
      </c>
      <c r="B293" s="6">
        <v>573</v>
      </c>
      <c r="C293" s="6" t="s">
        <v>3297</v>
      </c>
      <c r="D293" s="6" t="s">
        <v>3272</v>
      </c>
      <c r="E293" s="7">
        <v>807</v>
      </c>
      <c r="F293" s="7">
        <v>1</v>
      </c>
      <c r="G293" s="8">
        <v>20.16</v>
      </c>
    </row>
    <row r="294" spans="1:7" x14ac:dyDescent="0.25">
      <c r="A294">
        <v>2023</v>
      </c>
      <c r="B294" s="6">
        <v>573</v>
      </c>
      <c r="C294" s="6" t="s">
        <v>3297</v>
      </c>
      <c r="D294" s="6" t="s">
        <v>3272</v>
      </c>
      <c r="E294" s="7">
        <v>811</v>
      </c>
      <c r="F294" s="7">
        <v>7</v>
      </c>
      <c r="G294" s="8">
        <v>104.652</v>
      </c>
    </row>
    <row r="295" spans="1:7" x14ac:dyDescent="0.25">
      <c r="A295">
        <v>2023</v>
      </c>
      <c r="B295" s="6">
        <v>603</v>
      </c>
      <c r="C295" s="6" t="s">
        <v>3300</v>
      </c>
      <c r="D295" s="6" t="s">
        <v>3272</v>
      </c>
      <c r="E295" s="7">
        <v>804</v>
      </c>
      <c r="F295" s="7">
        <v>5</v>
      </c>
      <c r="G295" s="8">
        <v>78.912000000000006</v>
      </c>
    </row>
    <row r="296" spans="1:7" x14ac:dyDescent="0.25">
      <c r="A296">
        <v>2023</v>
      </c>
      <c r="B296" s="6">
        <v>607</v>
      </c>
      <c r="C296" s="6" t="s">
        <v>3301</v>
      </c>
      <c r="D296" s="6" t="s">
        <v>3272</v>
      </c>
      <c r="E296" s="7">
        <v>804</v>
      </c>
      <c r="F296" s="7">
        <v>11</v>
      </c>
      <c r="G296" s="8">
        <v>366.392</v>
      </c>
    </row>
    <row r="297" spans="1:7" x14ac:dyDescent="0.25">
      <c r="A297">
        <v>2023</v>
      </c>
      <c r="B297" s="6">
        <v>607</v>
      </c>
      <c r="C297" s="6" t="s">
        <v>3301</v>
      </c>
      <c r="D297" s="6" t="s">
        <v>3272</v>
      </c>
      <c r="E297" s="7">
        <v>805</v>
      </c>
      <c r="F297" s="7">
        <v>1</v>
      </c>
      <c r="G297" s="8">
        <v>4.2119999999999997</v>
      </c>
    </row>
    <row r="298" spans="1:7" x14ac:dyDescent="0.25">
      <c r="A298">
        <v>2023</v>
      </c>
      <c r="B298" s="6">
        <v>607</v>
      </c>
      <c r="C298" s="6" t="s">
        <v>3301</v>
      </c>
      <c r="D298" s="6" t="s">
        <v>3272</v>
      </c>
      <c r="E298" s="7">
        <v>806</v>
      </c>
      <c r="F298" s="7">
        <v>1</v>
      </c>
      <c r="G298" s="8">
        <v>12.5</v>
      </c>
    </row>
    <row r="299" spans="1:7" x14ac:dyDescent="0.25">
      <c r="A299">
        <v>2023</v>
      </c>
      <c r="B299" s="6">
        <v>628</v>
      </c>
      <c r="C299" s="6" t="s">
        <v>3302</v>
      </c>
      <c r="D299" s="6" t="s">
        <v>3272</v>
      </c>
      <c r="E299" s="7">
        <v>804</v>
      </c>
      <c r="F299" s="7">
        <v>10</v>
      </c>
      <c r="G299" s="8">
        <v>6282.5879999999997</v>
      </c>
    </row>
    <row r="300" spans="1:7" x14ac:dyDescent="0.25">
      <c r="A300">
        <v>2023</v>
      </c>
      <c r="B300" s="6">
        <v>628</v>
      </c>
      <c r="C300" s="6" t="s">
        <v>3302</v>
      </c>
      <c r="D300" s="6" t="s">
        <v>3272</v>
      </c>
      <c r="E300" s="7">
        <v>805</v>
      </c>
      <c r="F300" s="7">
        <v>11</v>
      </c>
      <c r="G300" s="8">
        <v>3793.59</v>
      </c>
    </row>
    <row r="301" spans="1:7" x14ac:dyDescent="0.25">
      <c r="A301">
        <v>2023</v>
      </c>
      <c r="B301" s="6">
        <v>628</v>
      </c>
      <c r="C301" s="6" t="s">
        <v>3302</v>
      </c>
      <c r="D301" s="6" t="s">
        <v>3272</v>
      </c>
      <c r="E301" s="7">
        <v>806</v>
      </c>
      <c r="F301" s="7">
        <v>12</v>
      </c>
      <c r="G301" s="8">
        <v>9644.4</v>
      </c>
    </row>
    <row r="302" spans="1:7" x14ac:dyDescent="0.25">
      <c r="A302">
        <v>2023</v>
      </c>
      <c r="B302" s="6">
        <v>63</v>
      </c>
      <c r="C302" s="6" t="s">
        <v>3303</v>
      </c>
      <c r="D302" s="6" t="s">
        <v>3265</v>
      </c>
      <c r="E302" s="7">
        <v>804</v>
      </c>
      <c r="F302" s="7">
        <v>9</v>
      </c>
      <c r="G302" s="8">
        <v>1368.3440000000001</v>
      </c>
    </row>
    <row r="303" spans="1:7" x14ac:dyDescent="0.25">
      <c r="A303">
        <v>2023</v>
      </c>
      <c r="B303" s="6">
        <v>63</v>
      </c>
      <c r="C303" s="6" t="s">
        <v>3303</v>
      </c>
      <c r="D303" s="6" t="s">
        <v>3265</v>
      </c>
      <c r="E303" s="7">
        <v>806</v>
      </c>
      <c r="F303" s="7">
        <v>8</v>
      </c>
      <c r="G303" s="8">
        <v>1394.6880000000001</v>
      </c>
    </row>
    <row r="304" spans="1:7" x14ac:dyDescent="0.25">
      <c r="A304">
        <v>2023</v>
      </c>
      <c r="B304" s="6">
        <v>691</v>
      </c>
      <c r="C304" s="6" t="s">
        <v>3305</v>
      </c>
      <c r="D304" s="6" t="s">
        <v>3306</v>
      </c>
      <c r="E304" s="7">
        <v>804</v>
      </c>
      <c r="F304" s="7">
        <v>1</v>
      </c>
      <c r="G304" s="8">
        <v>22.175999999999998</v>
      </c>
    </row>
    <row r="305" spans="1:7" x14ac:dyDescent="0.25">
      <c r="A305">
        <v>2023</v>
      </c>
      <c r="B305" s="6">
        <v>741</v>
      </c>
      <c r="C305" s="6" t="s">
        <v>3307</v>
      </c>
      <c r="D305" s="6" t="s">
        <v>3267</v>
      </c>
      <c r="E305" s="7">
        <v>806</v>
      </c>
      <c r="F305" s="7">
        <v>1</v>
      </c>
      <c r="G305" s="8">
        <v>0.01</v>
      </c>
    </row>
    <row r="306" spans="1:7" x14ac:dyDescent="0.25">
      <c r="A306">
        <v>2023</v>
      </c>
      <c r="B306" s="6">
        <v>756</v>
      </c>
      <c r="C306" s="6" t="s">
        <v>3308</v>
      </c>
      <c r="D306" s="6" t="s">
        <v>3295</v>
      </c>
      <c r="E306" s="7">
        <v>804</v>
      </c>
      <c r="F306" s="7">
        <v>3</v>
      </c>
      <c r="G306" s="8">
        <v>88.736000000000004</v>
      </c>
    </row>
    <row r="307" spans="1:7" x14ac:dyDescent="0.25">
      <c r="A307">
        <v>2023</v>
      </c>
      <c r="B307" s="6">
        <v>756</v>
      </c>
      <c r="C307" s="6" t="s">
        <v>3308</v>
      </c>
      <c r="D307" s="6" t="s">
        <v>3295</v>
      </c>
      <c r="E307" s="7">
        <v>805</v>
      </c>
      <c r="F307" s="7">
        <v>1</v>
      </c>
      <c r="G307" s="8">
        <v>23.76</v>
      </c>
    </row>
    <row r="308" spans="1:7" x14ac:dyDescent="0.25">
      <c r="A308">
        <v>2023</v>
      </c>
      <c r="B308" s="6">
        <v>767</v>
      </c>
      <c r="C308" s="6" t="s">
        <v>3309</v>
      </c>
      <c r="D308" s="6" t="s">
        <v>3272</v>
      </c>
      <c r="E308" s="7">
        <v>2009</v>
      </c>
      <c r="F308" s="7">
        <v>3</v>
      </c>
      <c r="G308" s="8">
        <v>82.584000000000003</v>
      </c>
    </row>
    <row r="309" spans="1:7" x14ac:dyDescent="0.25">
      <c r="A309">
        <v>2023</v>
      </c>
      <c r="B309" s="6">
        <v>767</v>
      </c>
      <c r="C309" s="6" t="s">
        <v>3309</v>
      </c>
      <c r="D309" s="6" t="s">
        <v>3272</v>
      </c>
      <c r="E309" s="7">
        <v>804</v>
      </c>
      <c r="F309" s="7">
        <v>4</v>
      </c>
      <c r="G309" s="8">
        <v>61.536000000000001</v>
      </c>
    </row>
    <row r="310" spans="1:7" x14ac:dyDescent="0.25">
      <c r="A310">
        <v>2023</v>
      </c>
      <c r="B310" s="6">
        <v>845</v>
      </c>
      <c r="C310" s="6" t="s">
        <v>3310</v>
      </c>
      <c r="D310" s="6" t="s">
        <v>3265</v>
      </c>
      <c r="E310" s="7">
        <v>804</v>
      </c>
      <c r="F310" s="7">
        <v>5</v>
      </c>
      <c r="G310" s="8">
        <v>159.6</v>
      </c>
    </row>
    <row r="311" spans="1:7" x14ac:dyDescent="0.25">
      <c r="A311">
        <v>2023</v>
      </c>
      <c r="B311" s="6">
        <v>845</v>
      </c>
      <c r="C311" s="6" t="s">
        <v>3310</v>
      </c>
      <c r="D311" s="6" t="s">
        <v>3265</v>
      </c>
      <c r="E311" s="7">
        <v>806</v>
      </c>
      <c r="F311" s="7">
        <v>7</v>
      </c>
      <c r="G311" s="8">
        <v>117.28</v>
      </c>
    </row>
    <row r="312" spans="1:7" x14ac:dyDescent="0.25">
      <c r="A312">
        <v>2023</v>
      </c>
      <c r="B312" s="6">
        <v>97</v>
      </c>
      <c r="C312" s="6" t="s">
        <v>3314</v>
      </c>
      <c r="D312" s="6" t="s">
        <v>3265</v>
      </c>
      <c r="E312" s="7">
        <v>804</v>
      </c>
      <c r="F312" s="7">
        <v>1</v>
      </c>
      <c r="G312" s="8">
        <v>15.36</v>
      </c>
    </row>
    <row r="313" spans="1:7" x14ac:dyDescent="0.25">
      <c r="A313">
        <v>2023</v>
      </c>
      <c r="B313" s="6">
        <v>97</v>
      </c>
      <c r="C313" s="6" t="s">
        <v>3314</v>
      </c>
      <c r="D313" s="6" t="s">
        <v>3265</v>
      </c>
      <c r="E313" s="7">
        <v>806</v>
      </c>
      <c r="F313" s="7">
        <v>3</v>
      </c>
      <c r="G313" s="8">
        <v>59.776000000000003</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868AC-3227-4360-BDF1-2066D3321D64}">
  <sheetPr codeName="Planilha9"/>
  <dimension ref="A1:AC129"/>
  <sheetViews>
    <sheetView topLeftCell="A85" workbookViewId="0">
      <selection activeCell="M122" sqref="M122"/>
    </sheetView>
  </sheetViews>
  <sheetFormatPr defaultRowHeight="15" x14ac:dyDescent="0.25"/>
  <cols>
    <col min="2" max="4" width="10.5703125" style="6" bestFit="1" customWidth="1"/>
    <col min="5" max="5" width="11.5703125" style="6" bestFit="1" customWidth="1"/>
    <col min="6" max="11" width="10.5703125" style="6" bestFit="1" customWidth="1"/>
    <col min="12" max="12" width="11.5703125" style="6" bestFit="1" customWidth="1"/>
    <col min="14" max="14" width="9.5703125" bestFit="1" customWidth="1"/>
    <col min="15" max="15" width="25.28515625" bestFit="1" customWidth="1"/>
    <col min="16" max="16" width="9.5703125" bestFit="1" customWidth="1"/>
    <col min="17" max="17" width="21.7109375" bestFit="1" customWidth="1"/>
    <col min="18" max="24" width="9.5703125" bestFit="1" customWidth="1"/>
  </cols>
  <sheetData>
    <row r="1" spans="1:29" ht="15.75" x14ac:dyDescent="0.25">
      <c r="A1" s="61" t="s">
        <v>3753</v>
      </c>
      <c r="I1" s="53" t="s">
        <v>3697</v>
      </c>
    </row>
    <row r="2" spans="1:29" x14ac:dyDescent="0.25">
      <c r="A2" s="4" t="s">
        <v>3258</v>
      </c>
      <c r="B2" s="20">
        <v>2019</v>
      </c>
      <c r="C2" s="20">
        <v>2020</v>
      </c>
      <c r="D2" s="20">
        <v>2021</v>
      </c>
      <c r="E2" s="20">
        <v>2022</v>
      </c>
      <c r="F2" s="20">
        <v>2023</v>
      </c>
      <c r="G2" s="21">
        <v>2024</v>
      </c>
      <c r="H2" s="21">
        <v>2025</v>
      </c>
      <c r="I2" s="21">
        <v>2026</v>
      </c>
      <c r="J2" s="21">
        <v>2027</v>
      </c>
      <c r="K2" s="21">
        <v>2028</v>
      </c>
      <c r="L2" s="21">
        <v>2029</v>
      </c>
      <c r="N2" s="52" t="s">
        <v>3696</v>
      </c>
    </row>
    <row r="3" spans="1:29" x14ac:dyDescent="0.25">
      <c r="A3" s="6" t="s">
        <v>3263</v>
      </c>
      <c r="B3" s="19">
        <v>1740</v>
      </c>
      <c r="C3" s="19">
        <v>1660</v>
      </c>
      <c r="D3" s="19">
        <v>2009.9999999999998</v>
      </c>
      <c r="E3" s="19">
        <v>2160</v>
      </c>
      <c r="F3" s="19">
        <v>2140</v>
      </c>
      <c r="G3" s="22">
        <v>2440</v>
      </c>
      <c r="H3" s="22">
        <v>2360</v>
      </c>
      <c r="I3" s="22">
        <v>2470</v>
      </c>
      <c r="J3" s="22">
        <v>2580</v>
      </c>
      <c r="K3" s="22">
        <v>2690</v>
      </c>
      <c r="L3" s="22">
        <v>2810</v>
      </c>
      <c r="N3" s="23"/>
      <c r="O3" s="23"/>
      <c r="P3" s="23"/>
      <c r="Q3" s="23"/>
      <c r="R3" s="23"/>
      <c r="S3" s="23"/>
      <c r="T3" s="23"/>
      <c r="U3" s="23"/>
      <c r="V3" s="23"/>
      <c r="W3" s="23"/>
      <c r="X3" s="23"/>
      <c r="Y3" s="23"/>
      <c r="Z3" s="23"/>
      <c r="AA3" s="23"/>
      <c r="AB3" s="23"/>
      <c r="AC3" s="23"/>
    </row>
    <row r="4" spans="1:29" x14ac:dyDescent="0.25">
      <c r="A4" s="6"/>
      <c r="B4" s="19"/>
      <c r="C4" s="19"/>
      <c r="D4" s="19"/>
      <c r="E4" s="19"/>
      <c r="F4" s="19"/>
      <c r="G4" s="22"/>
      <c r="H4" s="24">
        <f>H3/G3-1</f>
        <v>-3.2786885245901676E-2</v>
      </c>
      <c r="I4" s="24">
        <f>I3/H3-1</f>
        <v>4.6610169491525522E-2</v>
      </c>
      <c r="J4" s="24">
        <f>J3/I3-1</f>
        <v>4.4534412955465674E-2</v>
      </c>
      <c r="K4" s="24">
        <f>K3/J3-1</f>
        <v>4.2635658914728758E-2</v>
      </c>
      <c r="L4" s="24">
        <f>L3/K3-1</f>
        <v>4.4609665427509215E-2</v>
      </c>
      <c r="N4" s="23"/>
      <c r="O4" s="23"/>
      <c r="P4" s="23"/>
      <c r="Q4" s="23"/>
      <c r="R4" s="23"/>
      <c r="S4" s="23"/>
      <c r="T4" s="23"/>
      <c r="U4" s="23"/>
      <c r="V4" s="23"/>
      <c r="W4" s="23"/>
      <c r="X4" s="23"/>
      <c r="Y4" s="23"/>
      <c r="Z4" s="23"/>
      <c r="AA4" s="23"/>
      <c r="AB4" s="23"/>
      <c r="AC4" s="23"/>
    </row>
    <row r="5" spans="1:29" x14ac:dyDescent="0.25">
      <c r="A5" s="6"/>
      <c r="B5" s="19"/>
      <c r="C5" s="19"/>
      <c r="D5" s="19"/>
      <c r="E5" s="19"/>
      <c r="F5" s="19"/>
      <c r="G5" s="22"/>
      <c r="H5" s="24">
        <f>(1+H4)</f>
        <v>0.96721311475409832</v>
      </c>
      <c r="I5" s="24">
        <f>(1+I4)</f>
        <v>1.0466101694915255</v>
      </c>
      <c r="J5" s="24">
        <f>(1+J4)</f>
        <v>1.0445344129554657</v>
      </c>
      <c r="K5" s="24">
        <f>(1+K4)</f>
        <v>1.0426356589147288</v>
      </c>
      <c r="L5" s="24">
        <f>(1+L4)</f>
        <v>1.0446096654275092</v>
      </c>
      <c r="M5" s="25">
        <f>PRODUCT(H5:L5)^(1/4)-1</f>
        <v>3.592693056799412E-2</v>
      </c>
      <c r="N5" s="11" t="s">
        <v>3319</v>
      </c>
      <c r="O5" s="23"/>
      <c r="P5" s="23"/>
      <c r="Q5" s="23"/>
      <c r="R5" s="23"/>
      <c r="S5" s="23"/>
      <c r="T5" s="23"/>
      <c r="U5" s="23"/>
      <c r="V5" s="23"/>
      <c r="W5" s="23"/>
      <c r="X5" s="23"/>
      <c r="Y5" s="23"/>
      <c r="Z5" s="23"/>
      <c r="AA5" s="23"/>
      <c r="AB5" s="23"/>
      <c r="AC5" s="23"/>
    </row>
    <row r="6" spans="1:29" x14ac:dyDescent="0.25">
      <c r="A6" s="6" t="s">
        <v>3266</v>
      </c>
      <c r="B6">
        <v>176.37</v>
      </c>
      <c r="C6">
        <v>144.41</v>
      </c>
      <c r="D6">
        <v>179.73</v>
      </c>
      <c r="E6">
        <v>236.26</v>
      </c>
      <c r="F6">
        <v>234.22</v>
      </c>
      <c r="G6" s="11">
        <v>244.69</v>
      </c>
      <c r="H6" s="11">
        <v>251.9</v>
      </c>
      <c r="I6" s="11">
        <v>269</v>
      </c>
      <c r="J6" s="11">
        <v>289.38</v>
      </c>
      <c r="K6" s="11">
        <v>302.32</v>
      </c>
      <c r="L6" s="11">
        <v>312.26</v>
      </c>
    </row>
    <row r="7" spans="1:29" x14ac:dyDescent="0.25">
      <c r="A7" s="6"/>
      <c r="B7"/>
      <c r="C7"/>
      <c r="D7"/>
      <c r="E7"/>
      <c r="F7"/>
      <c r="G7" s="11"/>
      <c r="H7" s="24">
        <f>H6/G6-1</f>
        <v>2.946585475499619E-2</v>
      </c>
      <c r="I7" s="24">
        <f>I6/H6-1</f>
        <v>6.7884080984517592E-2</v>
      </c>
      <c r="J7" s="24">
        <f>J6/I6-1</f>
        <v>7.5762081784386703E-2</v>
      </c>
      <c r="K7" s="24">
        <f>K6/J6-1</f>
        <v>4.4716289999308767E-2</v>
      </c>
      <c r="L7" s="24">
        <f>L6/K6-1</f>
        <v>3.2879068536649791E-2</v>
      </c>
      <c r="O7" s="23">
        <v>1000000000000</v>
      </c>
      <c r="P7" t="s">
        <v>3324</v>
      </c>
    </row>
    <row r="8" spans="1:29" x14ac:dyDescent="0.25">
      <c r="A8" s="6"/>
      <c r="B8"/>
      <c r="C8"/>
      <c r="D8"/>
      <c r="E8"/>
      <c r="F8"/>
      <c r="G8" s="11"/>
      <c r="H8" s="24">
        <f>(1+H7)</f>
        <v>1.0294658547549962</v>
      </c>
      <c r="I8" s="24">
        <f>(1+I7)</f>
        <v>1.0678840809845176</v>
      </c>
      <c r="J8" s="24">
        <f>(1+J7)</f>
        <v>1.0757620817843867</v>
      </c>
      <c r="K8" s="24">
        <f>(1+K7)</f>
        <v>1.0447162899993088</v>
      </c>
      <c r="L8" s="24">
        <f>(1+L7)</f>
        <v>1.0328790685366498</v>
      </c>
      <c r="M8" s="25">
        <f>PRODUCT(H8:L8)^(1/4)-1</f>
        <v>6.2857480768187868E-2</v>
      </c>
      <c r="N8" s="11" t="s">
        <v>3319</v>
      </c>
      <c r="O8" s="23">
        <v>1000000000</v>
      </c>
      <c r="P8" t="s">
        <v>3323</v>
      </c>
    </row>
    <row r="9" spans="1:29" x14ac:dyDescent="0.25">
      <c r="A9" s="6" t="s">
        <v>3056</v>
      </c>
      <c r="B9">
        <v>278.04000000000002</v>
      </c>
      <c r="C9">
        <v>254.06</v>
      </c>
      <c r="D9">
        <v>315.06</v>
      </c>
      <c r="E9">
        <v>302.16000000000003</v>
      </c>
      <c r="F9">
        <v>335.66</v>
      </c>
      <c r="G9" s="11">
        <v>333.76</v>
      </c>
      <c r="H9" s="11">
        <v>374.75</v>
      </c>
      <c r="I9" s="11">
        <v>391.39</v>
      </c>
      <c r="J9" s="11">
        <v>408.88</v>
      </c>
      <c r="K9" s="11">
        <v>426.97</v>
      </c>
      <c r="L9" s="11">
        <v>445.15</v>
      </c>
      <c r="O9" s="33">
        <v>1000000</v>
      </c>
      <c r="P9" t="s">
        <v>3322</v>
      </c>
    </row>
    <row r="10" spans="1:29" x14ac:dyDescent="0.25">
      <c r="A10" s="6"/>
      <c r="B10"/>
      <c r="C10"/>
      <c r="D10"/>
      <c r="E10"/>
      <c r="F10"/>
      <c r="G10" s="11"/>
      <c r="H10" s="24">
        <f>H9/G9-1</f>
        <v>0.12281279961649094</v>
      </c>
      <c r="I10" s="24">
        <f>I9/H9-1</f>
        <v>4.4402935290193346E-2</v>
      </c>
      <c r="J10" s="24">
        <f>J9/I9-1</f>
        <v>4.4686885204016535E-2</v>
      </c>
      <c r="K10" s="24">
        <f>K9/J9-1</f>
        <v>4.4242809626296342E-2</v>
      </c>
      <c r="L10" s="24">
        <f>L9/K9-1</f>
        <v>4.2579103918307881E-2</v>
      </c>
      <c r="O10" s="23">
        <v>1000</v>
      </c>
      <c r="P10" t="s">
        <v>3321</v>
      </c>
    </row>
    <row r="11" spans="1:29" x14ac:dyDescent="0.25">
      <c r="A11" s="6"/>
      <c r="B11"/>
      <c r="C11"/>
      <c r="D11"/>
      <c r="E11"/>
      <c r="F11"/>
      <c r="G11" s="11"/>
      <c r="H11" s="24">
        <f>(1+H10)</f>
        <v>1.1228127996164909</v>
      </c>
      <c r="I11" s="24">
        <f>(1+I10)</f>
        <v>1.0444029352901933</v>
      </c>
      <c r="J11" s="24">
        <f>(1+J10)</f>
        <v>1.0446868852040165</v>
      </c>
      <c r="K11" s="24">
        <f>(1+K10)</f>
        <v>1.0442428096262963</v>
      </c>
      <c r="L11" s="24">
        <f>(1+L10)</f>
        <v>1.0425791039183079</v>
      </c>
      <c r="M11" s="25">
        <f>PRODUCT(H11:L11)^(1/4)-1</f>
        <v>7.4652424284896934E-2</v>
      </c>
      <c r="N11" s="11" t="s">
        <v>3319</v>
      </c>
      <c r="O11" s="23">
        <f>10^9</f>
        <v>1000000000</v>
      </c>
    </row>
    <row r="12" spans="1:29" x14ac:dyDescent="0.25">
      <c r="A12" s="6" t="s">
        <v>3057</v>
      </c>
      <c r="B12" s="19">
        <v>14340</v>
      </c>
      <c r="C12" s="19">
        <v>14860</v>
      </c>
      <c r="D12" s="19">
        <v>17760</v>
      </c>
      <c r="E12" s="19">
        <v>17850</v>
      </c>
      <c r="F12" s="19">
        <v>17660</v>
      </c>
      <c r="G12" s="22">
        <v>18530</v>
      </c>
      <c r="H12" s="22">
        <v>19790</v>
      </c>
      <c r="I12" s="22">
        <v>21030</v>
      </c>
      <c r="J12" s="22">
        <v>22280</v>
      </c>
      <c r="K12" s="22">
        <v>23580</v>
      </c>
      <c r="L12" s="22">
        <v>24840</v>
      </c>
      <c r="O12" s="19">
        <f>B12*O11</f>
        <v>14340000000000</v>
      </c>
      <c r="P12">
        <v>1.1656201582398213</v>
      </c>
      <c r="Q12" s="19">
        <f>O12*P12</f>
        <v>16714993069159.039</v>
      </c>
    </row>
    <row r="13" spans="1:29" x14ac:dyDescent="0.25">
      <c r="A13" s="6"/>
      <c r="B13" s="19"/>
      <c r="C13" s="19"/>
      <c r="D13" s="19"/>
      <c r="E13" s="19"/>
      <c r="F13" s="19"/>
      <c r="G13" s="22"/>
      <c r="H13" s="24">
        <f>H12/G12-1</f>
        <v>6.7997841338370169E-2</v>
      </c>
      <c r="I13" s="24">
        <f>I12/H12-1</f>
        <v>6.2657908034360776E-2</v>
      </c>
      <c r="J13" s="24">
        <f>J12/I12-1</f>
        <v>5.9438896814075104E-2</v>
      </c>
      <c r="K13" s="24">
        <f>K12/J12-1</f>
        <v>5.8348294434470427E-2</v>
      </c>
      <c r="L13" s="24">
        <f>L12/K12-1</f>
        <v>5.3435114503816772E-2</v>
      </c>
      <c r="O13" s="19">
        <f>B13*1000000</f>
        <v>0</v>
      </c>
    </row>
    <row r="14" spans="1:29" x14ac:dyDescent="0.25">
      <c r="A14" s="6"/>
      <c r="B14" s="19"/>
      <c r="C14" s="19"/>
      <c r="D14" s="19"/>
      <c r="E14" s="19"/>
      <c r="F14" s="19"/>
      <c r="G14" s="22"/>
      <c r="H14" s="24">
        <f>(1+H13)</f>
        <v>1.0679978413383702</v>
      </c>
      <c r="I14" s="24">
        <f>(1+I13)</f>
        <v>1.0626579080343608</v>
      </c>
      <c r="J14" s="24">
        <f>(1+J13)</f>
        <v>1.0594388968140751</v>
      </c>
      <c r="K14" s="24">
        <f>(1+K13)</f>
        <v>1.0583482944344704</v>
      </c>
      <c r="L14" s="24">
        <f>(1+L13)</f>
        <v>1.0534351145038168</v>
      </c>
      <c r="M14" s="25">
        <f>PRODUCT(H14:L14)^(1/4)-1</f>
        <v>7.6016777609594577E-2</v>
      </c>
      <c r="N14" s="11" t="s">
        <v>3319</v>
      </c>
      <c r="O14" s="19">
        <f>B14*1000000</f>
        <v>0</v>
      </c>
    </row>
    <row r="15" spans="1:29" x14ac:dyDescent="0.25">
      <c r="A15" s="6" t="s">
        <v>3270</v>
      </c>
      <c r="B15" s="19">
        <v>138.69999999999999</v>
      </c>
      <c r="C15" s="19">
        <v>107.52</v>
      </c>
      <c r="D15" s="19">
        <v>141.77000000000001</v>
      </c>
      <c r="E15" s="19">
        <v>182.85</v>
      </c>
      <c r="F15" s="19">
        <v>161.78</v>
      </c>
      <c r="G15" s="22">
        <v>160.4</v>
      </c>
      <c r="H15" s="22">
        <v>163.38</v>
      </c>
      <c r="I15" s="22">
        <v>166.48</v>
      </c>
      <c r="J15" s="22">
        <v>171.14</v>
      </c>
      <c r="K15" s="22">
        <v>176.78</v>
      </c>
      <c r="L15" s="22">
        <v>183.43</v>
      </c>
      <c r="O15" s="19">
        <f>B15*O11</f>
        <v>138700000000</v>
      </c>
    </row>
    <row r="16" spans="1:29" x14ac:dyDescent="0.25">
      <c r="A16" s="6"/>
      <c r="B16" s="19"/>
      <c r="C16" s="19"/>
      <c r="D16" s="19"/>
      <c r="E16" s="19"/>
      <c r="F16" s="19"/>
      <c r="G16" s="22"/>
      <c r="H16" s="24">
        <f>H15/G15-1</f>
        <v>1.8578553615959947E-2</v>
      </c>
      <c r="I16" s="24">
        <f>I15/H15-1</f>
        <v>1.8974170645121857E-2</v>
      </c>
      <c r="J16" s="24">
        <f>J15/I15-1</f>
        <v>2.7991350312349894E-2</v>
      </c>
      <c r="K16" s="24">
        <f>K15/J15-1</f>
        <v>3.2955475049667005E-2</v>
      </c>
      <c r="L16" s="24">
        <f>L15/K15-1</f>
        <v>3.7617377531395046E-2</v>
      </c>
      <c r="O16" s="19">
        <f>B16*1000000</f>
        <v>0</v>
      </c>
    </row>
    <row r="17" spans="1:15" x14ac:dyDescent="0.25">
      <c r="A17" s="6"/>
      <c r="B17" s="19"/>
      <c r="C17" s="19"/>
      <c r="D17" s="19"/>
      <c r="E17" s="19"/>
      <c r="F17" s="19"/>
      <c r="G17" s="22"/>
      <c r="H17" s="24">
        <f>(1+H16)</f>
        <v>1.0185785536159599</v>
      </c>
      <c r="I17" s="24">
        <f>(1+I16)</f>
        <v>1.0189741706451219</v>
      </c>
      <c r="J17" s="24">
        <f>(1+J16)</f>
        <v>1.0279913503123499</v>
      </c>
      <c r="K17" s="24">
        <f>(1+K16)</f>
        <v>1.032955475049667</v>
      </c>
      <c r="L17" s="24">
        <f>(1+L16)</f>
        <v>1.037617377531395</v>
      </c>
      <c r="M17" s="25">
        <f>PRODUCT(H17:L17)^(1/4)-1</f>
        <v>3.4109434928085269E-2</v>
      </c>
      <c r="N17" s="11" t="s">
        <v>3319</v>
      </c>
      <c r="O17" s="19">
        <f>B17*1000000</f>
        <v>0</v>
      </c>
    </row>
    <row r="18" spans="1:15" x14ac:dyDescent="0.25">
      <c r="A18" s="6" t="s">
        <v>3271</v>
      </c>
      <c r="B18" s="19">
        <v>3890</v>
      </c>
      <c r="C18" s="19">
        <v>3880</v>
      </c>
      <c r="D18" s="19">
        <v>4280</v>
      </c>
      <c r="E18" s="19">
        <v>4090</v>
      </c>
      <c r="F18" s="19">
        <v>4460</v>
      </c>
      <c r="G18" s="22">
        <v>4590</v>
      </c>
      <c r="H18" s="22">
        <v>4770</v>
      </c>
      <c r="I18" s="22">
        <v>4940</v>
      </c>
      <c r="J18" s="22">
        <v>5090</v>
      </c>
      <c r="K18" s="22">
        <v>5230</v>
      </c>
      <c r="L18" s="22">
        <v>5360</v>
      </c>
      <c r="O18" s="19">
        <f>B18*1000000</f>
        <v>3890000000</v>
      </c>
    </row>
    <row r="19" spans="1:15" x14ac:dyDescent="0.25">
      <c r="A19" s="6"/>
      <c r="B19" s="19"/>
      <c r="C19" s="19"/>
      <c r="D19" s="19"/>
      <c r="E19" s="19"/>
      <c r="F19" s="19"/>
      <c r="G19" s="22"/>
      <c r="H19" s="24">
        <f>H18/G18-1</f>
        <v>3.9215686274509887E-2</v>
      </c>
      <c r="I19" s="24">
        <f>I18/H18-1</f>
        <v>3.563941299790363E-2</v>
      </c>
      <c r="J19" s="24">
        <f>J18/I18-1</f>
        <v>3.0364372469635637E-2</v>
      </c>
      <c r="K19" s="24">
        <f>K18/J18-1</f>
        <v>2.7504911591355707E-2</v>
      </c>
      <c r="L19" s="24">
        <f>L18/K18-1</f>
        <v>2.4856596558317401E-2</v>
      </c>
    </row>
    <row r="20" spans="1:15" x14ac:dyDescent="0.25">
      <c r="A20" s="6"/>
      <c r="B20" s="19"/>
      <c r="C20" s="19"/>
      <c r="D20" s="19"/>
      <c r="E20" s="19"/>
      <c r="F20" s="19"/>
      <c r="G20" s="22"/>
      <c r="H20" s="24">
        <f>(1+H19)</f>
        <v>1.0392156862745099</v>
      </c>
      <c r="I20" s="24">
        <f>(1+I19)</f>
        <v>1.0356394129979036</v>
      </c>
      <c r="J20" s="24">
        <f>(1+J19)</f>
        <v>1.0303643724696356</v>
      </c>
      <c r="K20" s="24">
        <f>(1+K19)</f>
        <v>1.0275049115913557</v>
      </c>
      <c r="L20" s="24">
        <f>(1+L19)</f>
        <v>1.0248565965583174</v>
      </c>
      <c r="M20" s="25">
        <f>PRODUCT(H20:L20)^(1/4)-1</f>
        <v>3.9532390739016821E-2</v>
      </c>
      <c r="N20" s="11" t="s">
        <v>3319</v>
      </c>
    </row>
    <row r="21" spans="1:15" x14ac:dyDescent="0.25">
      <c r="A21" s="6" t="s">
        <v>3273</v>
      </c>
      <c r="B21" s="19">
        <v>346.5</v>
      </c>
      <c r="C21" s="19">
        <v>354.76</v>
      </c>
      <c r="D21" s="19">
        <v>405.69</v>
      </c>
      <c r="E21" s="19">
        <v>400.17</v>
      </c>
      <c r="F21" s="19">
        <v>405.2</v>
      </c>
      <c r="G21" s="22">
        <v>409.99</v>
      </c>
      <c r="H21" s="22">
        <v>424.33</v>
      </c>
      <c r="I21" s="22">
        <v>441.7</v>
      </c>
      <c r="J21" s="22">
        <v>459</v>
      </c>
      <c r="K21" s="22">
        <v>477.52</v>
      </c>
      <c r="L21" s="22">
        <v>496.84</v>
      </c>
    </row>
    <row r="22" spans="1:15" x14ac:dyDescent="0.25">
      <c r="A22" s="6"/>
      <c r="B22" s="19"/>
      <c r="C22" s="19"/>
      <c r="D22" s="19"/>
      <c r="E22" s="19"/>
      <c r="F22" s="19"/>
      <c r="G22" s="22"/>
      <c r="H22" s="24">
        <f>H21/G21-1</f>
        <v>3.497646284055711E-2</v>
      </c>
      <c r="I22" s="24">
        <f>I21/H21-1</f>
        <v>4.0935121249970452E-2</v>
      </c>
      <c r="J22" s="24">
        <f>J21/I21-1</f>
        <v>3.9166855331673078E-2</v>
      </c>
      <c r="K22" s="24">
        <f>K21/J21-1</f>
        <v>4.0348583877995559E-2</v>
      </c>
      <c r="L22" s="24">
        <f>L21/K21-1</f>
        <v>4.0459038364885291E-2</v>
      </c>
    </row>
    <row r="23" spans="1:15" x14ac:dyDescent="0.25">
      <c r="A23" s="6"/>
      <c r="B23" s="19"/>
      <c r="C23" s="19"/>
      <c r="D23" s="19"/>
      <c r="E23" s="19"/>
      <c r="F23" s="19"/>
      <c r="G23" s="22"/>
      <c r="H23" s="24">
        <f>(1+H22)</f>
        <v>1.0349764628405571</v>
      </c>
      <c r="I23" s="24">
        <f>(1+I22)</f>
        <v>1.0409351212499705</v>
      </c>
      <c r="J23" s="24">
        <f>(1+J22)</f>
        <v>1.0391668553316731</v>
      </c>
      <c r="K23" s="24">
        <f>(1+K22)</f>
        <v>1.0403485838779956</v>
      </c>
      <c r="L23" s="24">
        <f>(1+L22)</f>
        <v>1.0404590383648853</v>
      </c>
      <c r="M23" s="25">
        <f>PRODUCT(H23:L23)^(1/4)-1</f>
        <v>4.9206137176077913E-2</v>
      </c>
      <c r="N23" s="11" t="s">
        <v>3319</v>
      </c>
    </row>
    <row r="24" spans="1:15" x14ac:dyDescent="0.25">
      <c r="A24" s="6" t="s">
        <v>3274</v>
      </c>
      <c r="B24">
        <v>417.99</v>
      </c>
      <c r="C24">
        <v>349.47</v>
      </c>
      <c r="D24">
        <v>415.18</v>
      </c>
      <c r="E24">
        <v>507.06</v>
      </c>
      <c r="F24">
        <v>504.17</v>
      </c>
      <c r="G24" s="11">
        <v>527.79999999999995</v>
      </c>
      <c r="H24" s="11">
        <v>550.24</v>
      </c>
      <c r="I24" s="11">
        <v>577.75</v>
      </c>
      <c r="J24" s="11">
        <v>609.47</v>
      </c>
      <c r="K24" s="11">
        <v>645.35</v>
      </c>
      <c r="L24" s="11">
        <v>685.15</v>
      </c>
    </row>
    <row r="25" spans="1:15" x14ac:dyDescent="0.25">
      <c r="A25" s="6"/>
      <c r="B25"/>
      <c r="C25"/>
      <c r="D25"/>
      <c r="E25"/>
      <c r="F25"/>
      <c r="G25" s="11"/>
      <c r="H25" s="24">
        <f>H24/G24-1</f>
        <v>4.2516104585070158E-2</v>
      </c>
      <c r="I25" s="24">
        <f>I24/H24-1</f>
        <v>4.9996365222448436E-2</v>
      </c>
      <c r="J25" s="24">
        <f>J24/I24-1</f>
        <v>5.4902639549978316E-2</v>
      </c>
      <c r="K25" s="24">
        <f>K24/J24-1</f>
        <v>5.8870822189771355E-2</v>
      </c>
      <c r="L25" s="24">
        <f>L24/K24-1</f>
        <v>6.1671960951421578E-2</v>
      </c>
    </row>
    <row r="26" spans="1:15" x14ac:dyDescent="0.25">
      <c r="A26" s="6"/>
      <c r="B26"/>
      <c r="C26"/>
      <c r="D26"/>
      <c r="E26"/>
      <c r="F26"/>
      <c r="G26" s="11"/>
      <c r="H26" s="24">
        <f>(1+H25)</f>
        <v>1.0425161045850702</v>
      </c>
      <c r="I26" s="24">
        <f>(1+I25)</f>
        <v>1.0499963652224484</v>
      </c>
      <c r="J26" s="24">
        <f>(1+J25)</f>
        <v>1.0549026395499783</v>
      </c>
      <c r="K26" s="24">
        <f>(1+K25)</f>
        <v>1.0588708221897714</v>
      </c>
      <c r="L26" s="24">
        <f>(1+L25)</f>
        <v>1.0616719609514216</v>
      </c>
      <c r="M26" s="25">
        <f>PRODUCT(H26:L26)^(1/4)-1</f>
        <v>6.7404597475728911E-2</v>
      </c>
      <c r="N26" s="11" t="s">
        <v>3319</v>
      </c>
    </row>
    <row r="27" spans="1:15" x14ac:dyDescent="0.25">
      <c r="A27" s="6" t="s">
        <v>3275</v>
      </c>
      <c r="B27" s="19">
        <v>1390</v>
      </c>
      <c r="C27" s="19">
        <v>1280</v>
      </c>
      <c r="D27" s="19">
        <v>1450</v>
      </c>
      <c r="E27" s="19">
        <v>1420</v>
      </c>
      <c r="F27" s="19">
        <v>1580</v>
      </c>
      <c r="G27" s="22">
        <v>1650</v>
      </c>
      <c r="H27" s="22">
        <v>1720</v>
      </c>
      <c r="I27" s="22">
        <v>1770</v>
      </c>
      <c r="J27" s="22">
        <v>1830</v>
      </c>
      <c r="K27" s="22">
        <v>1890</v>
      </c>
      <c r="L27" s="22">
        <v>1950</v>
      </c>
    </row>
    <row r="28" spans="1:15" x14ac:dyDescent="0.25">
      <c r="A28" s="6"/>
      <c r="B28" s="19"/>
      <c r="C28" s="19"/>
      <c r="D28" s="19"/>
      <c r="E28" s="19"/>
      <c r="F28" s="19"/>
      <c r="G28" s="22"/>
      <c r="H28" s="24">
        <f>H27/G27-1</f>
        <v>4.2424242424242475E-2</v>
      </c>
      <c r="I28" s="24">
        <f>I27/H27-1</f>
        <v>2.9069767441860517E-2</v>
      </c>
      <c r="J28" s="24">
        <f>J27/I27-1</f>
        <v>3.3898305084745672E-2</v>
      </c>
      <c r="K28" s="24">
        <f>K27/J27-1</f>
        <v>3.2786885245901676E-2</v>
      </c>
      <c r="L28" s="24">
        <f>L27/K27-1</f>
        <v>3.1746031746031855E-2</v>
      </c>
    </row>
    <row r="29" spans="1:15" x14ac:dyDescent="0.25">
      <c r="A29" s="6"/>
      <c r="B29" s="19"/>
      <c r="C29" s="19"/>
      <c r="D29" s="19"/>
      <c r="E29" s="19"/>
      <c r="F29" s="19"/>
      <c r="G29" s="22"/>
      <c r="H29" s="24">
        <f>(1+H28)</f>
        <v>1.0424242424242425</v>
      </c>
      <c r="I29" s="24">
        <f>(1+I28)</f>
        <v>1.0290697674418605</v>
      </c>
      <c r="J29" s="24">
        <f>(1+J28)</f>
        <v>1.0338983050847457</v>
      </c>
      <c r="K29" s="24">
        <f>(1+K28)</f>
        <v>1.0327868852459017</v>
      </c>
      <c r="L29" s="24">
        <f>(1+L28)</f>
        <v>1.0317460317460319</v>
      </c>
      <c r="M29" s="25">
        <f>PRODUCT(H29:L29)^(1/4)-1</f>
        <v>4.2647885438424682E-2</v>
      </c>
      <c r="N29" s="11" t="s">
        <v>3319</v>
      </c>
    </row>
    <row r="30" spans="1:15" x14ac:dyDescent="0.25">
      <c r="A30" s="6" t="s">
        <v>3276</v>
      </c>
      <c r="B30" s="19">
        <v>21520</v>
      </c>
      <c r="C30" s="19">
        <v>21320</v>
      </c>
      <c r="D30" s="19">
        <v>23590</v>
      </c>
      <c r="E30" s="19">
        <v>25740</v>
      </c>
      <c r="F30" s="19">
        <v>27360</v>
      </c>
      <c r="G30" s="22">
        <v>28780</v>
      </c>
      <c r="H30" s="22">
        <v>29840</v>
      </c>
      <c r="I30" s="22">
        <v>31020</v>
      </c>
      <c r="J30" s="22">
        <v>32270.000000000004</v>
      </c>
      <c r="K30" s="22">
        <v>33580</v>
      </c>
      <c r="L30" s="22">
        <v>34950</v>
      </c>
    </row>
    <row r="31" spans="1:15" x14ac:dyDescent="0.25">
      <c r="A31" s="6"/>
      <c r="B31" s="19"/>
      <c r="C31" s="19"/>
      <c r="D31" s="19"/>
      <c r="E31" s="19"/>
      <c r="F31" s="19"/>
      <c r="G31" s="22"/>
      <c r="H31" s="24">
        <f>H30/G30-1</f>
        <v>3.683113273106331E-2</v>
      </c>
      <c r="I31" s="24">
        <f>I30/H30-1</f>
        <v>3.9544235924932947E-2</v>
      </c>
      <c r="J31" s="24">
        <f>J30/I30-1</f>
        <v>4.0296582849774554E-2</v>
      </c>
      <c r="K31" s="24">
        <f>K30/J30-1</f>
        <v>4.0594979857452529E-2</v>
      </c>
      <c r="L31" s="24">
        <f>L30/K30-1</f>
        <v>4.079809410363322E-2</v>
      </c>
    </row>
    <row r="32" spans="1:15" x14ac:dyDescent="0.25">
      <c r="A32" s="6"/>
      <c r="B32" s="19"/>
      <c r="C32" s="19"/>
      <c r="D32" s="19"/>
      <c r="E32" s="19"/>
      <c r="F32" s="19"/>
      <c r="G32" s="22"/>
      <c r="H32" s="24">
        <f>(1+H31)</f>
        <v>1.0368311327310633</v>
      </c>
      <c r="I32" s="24">
        <f>(1+I31)</f>
        <v>1.0395442359249329</v>
      </c>
      <c r="J32" s="24">
        <f>(1+J31)</f>
        <v>1.0402965828497746</v>
      </c>
      <c r="K32" s="24">
        <f>(1+K31)</f>
        <v>1.0405949798574525</v>
      </c>
      <c r="L32" s="24">
        <f>(1+L31)</f>
        <v>1.0407980941036332</v>
      </c>
      <c r="M32" s="25">
        <f>PRODUCT(H32:L32)^(1/4)-1</f>
        <v>4.9757769462579038E-2</v>
      </c>
      <c r="N32" s="11" t="s">
        <v>3319</v>
      </c>
    </row>
    <row r="33" spans="1:14" x14ac:dyDescent="0.25">
      <c r="A33" s="6" t="s">
        <v>3278</v>
      </c>
      <c r="B33" s="19">
        <v>268.55</v>
      </c>
      <c r="C33" s="19">
        <v>271.67</v>
      </c>
      <c r="D33" s="19">
        <v>296.67</v>
      </c>
      <c r="E33" s="19">
        <v>282.11</v>
      </c>
      <c r="F33" s="19">
        <v>300.5</v>
      </c>
      <c r="G33" s="22">
        <v>308.06</v>
      </c>
      <c r="H33" s="22">
        <v>318.58</v>
      </c>
      <c r="I33" s="22">
        <v>329.77</v>
      </c>
      <c r="J33" s="22">
        <v>341.68</v>
      </c>
      <c r="K33" s="22">
        <v>353.84</v>
      </c>
      <c r="L33" s="22">
        <v>365.67</v>
      </c>
    </row>
    <row r="34" spans="1:14" x14ac:dyDescent="0.25">
      <c r="A34" s="6"/>
      <c r="B34" s="19"/>
      <c r="C34" s="19"/>
      <c r="D34" s="19"/>
      <c r="E34" s="19"/>
      <c r="F34" s="19"/>
      <c r="G34" s="22"/>
      <c r="H34" s="24">
        <f>H33/G33-1</f>
        <v>3.4149191715899363E-2</v>
      </c>
      <c r="I34" s="24">
        <f>I33/H33-1</f>
        <v>3.5124615481197718E-2</v>
      </c>
      <c r="J34" s="24">
        <f>J33/I33-1</f>
        <v>3.611608090487306E-2</v>
      </c>
      <c r="K34" s="24">
        <f>K33/J33-1</f>
        <v>3.5588855069070391E-2</v>
      </c>
      <c r="L34" s="24">
        <f>L33/K33-1</f>
        <v>3.3433190142437397E-2</v>
      </c>
    </row>
    <row r="35" spans="1:14" x14ac:dyDescent="0.25">
      <c r="A35" s="6"/>
      <c r="B35" s="19"/>
      <c r="C35" s="19"/>
      <c r="D35" s="19"/>
      <c r="E35" s="19"/>
      <c r="F35" s="19"/>
      <c r="G35" s="22"/>
      <c r="H35" s="24">
        <f>(1+H34)</f>
        <v>1.0341491917158994</v>
      </c>
      <c r="I35" s="24">
        <f>(1+I34)</f>
        <v>1.0351246154811977</v>
      </c>
      <c r="J35" s="24">
        <f>(1+J34)</f>
        <v>1.0361160809048731</v>
      </c>
      <c r="K35" s="24">
        <f>(1+K34)</f>
        <v>1.0355888550690704</v>
      </c>
      <c r="L35" s="24">
        <f>(1+L34)</f>
        <v>1.0334331901424374</v>
      </c>
      <c r="M35" s="25">
        <f>PRODUCT(H35:L35)^(1/4)-1</f>
        <v>4.3790897381078331E-2</v>
      </c>
      <c r="N35" s="11" t="s">
        <v>3319</v>
      </c>
    </row>
    <row r="36" spans="1:14" x14ac:dyDescent="0.25">
      <c r="A36" s="6" t="s">
        <v>3279</v>
      </c>
      <c r="B36" s="19">
        <v>77.16</v>
      </c>
      <c r="C36" s="19">
        <v>77.709999999999994</v>
      </c>
      <c r="D36" s="19">
        <v>86.04</v>
      </c>
      <c r="E36" s="19">
        <v>95</v>
      </c>
      <c r="F36">
        <v>102.04</v>
      </c>
      <c r="G36" s="11">
        <v>110.04</v>
      </c>
      <c r="H36" s="11">
        <v>117.99</v>
      </c>
      <c r="I36" s="11">
        <v>126.59</v>
      </c>
      <c r="J36" s="11">
        <v>138.88999999999999</v>
      </c>
      <c r="K36" s="11">
        <v>146.05000000000001</v>
      </c>
      <c r="L36" s="11">
        <v>156.97</v>
      </c>
    </row>
    <row r="37" spans="1:14" x14ac:dyDescent="0.25">
      <c r="A37" s="6"/>
      <c r="B37" s="19"/>
      <c r="C37" s="19"/>
      <c r="D37" s="19"/>
      <c r="E37" s="19"/>
      <c r="F37"/>
      <c r="G37" s="11"/>
      <c r="H37" s="24">
        <f>H36/G36-1</f>
        <v>7.2246455834241941E-2</v>
      </c>
      <c r="I37" s="24">
        <f>I36/H36-1</f>
        <v>7.2887532841766411E-2</v>
      </c>
      <c r="J37" s="24">
        <f>J36/I36-1</f>
        <v>9.7164072991547279E-2</v>
      </c>
      <c r="K37" s="24">
        <f>K36/J36-1</f>
        <v>5.1551587587299386E-2</v>
      </c>
      <c r="L37" s="24">
        <f>L36/K36-1</f>
        <v>7.4768914755220628E-2</v>
      </c>
    </row>
    <row r="38" spans="1:14" x14ac:dyDescent="0.25">
      <c r="A38" s="6"/>
      <c r="B38" s="19"/>
      <c r="C38" s="19"/>
      <c r="D38" s="19"/>
      <c r="E38" s="19"/>
      <c r="F38"/>
      <c r="G38" s="11"/>
      <c r="H38" s="24">
        <f>(1+H37)</f>
        <v>1.0722464558342419</v>
      </c>
      <c r="I38" s="24">
        <f>(1+I37)</f>
        <v>1.0728875328417664</v>
      </c>
      <c r="J38" s="24">
        <f>(1+J37)</f>
        <v>1.0971640729915473</v>
      </c>
      <c r="K38" s="24">
        <f>(1+K37)</f>
        <v>1.0515515875872994</v>
      </c>
      <c r="L38" s="24">
        <f>(1+L37)</f>
        <v>1.0747689147552206</v>
      </c>
      <c r="M38" s="25">
        <f>PRODUCT(H38:L38)^(1/4)-1</f>
        <v>9.2865004106893911E-2</v>
      </c>
      <c r="N38" s="11" t="s">
        <v>3319</v>
      </c>
    </row>
    <row r="39" spans="1:14" x14ac:dyDescent="0.25">
      <c r="A39" s="6" t="s">
        <v>3284</v>
      </c>
      <c r="B39">
        <v>398.98</v>
      </c>
      <c r="C39">
        <v>428.27</v>
      </c>
      <c r="D39">
        <v>513.73</v>
      </c>
      <c r="E39">
        <v>533.55999999999995</v>
      </c>
      <c r="F39">
        <v>545.79</v>
      </c>
      <c r="G39" s="11">
        <v>564.02</v>
      </c>
      <c r="H39" s="11">
        <v>586.86</v>
      </c>
      <c r="I39" s="11">
        <v>612.63</v>
      </c>
      <c r="J39" s="11">
        <v>639.45000000000005</v>
      </c>
      <c r="K39" s="11">
        <v>667.93</v>
      </c>
      <c r="L39" s="11">
        <v>696.95</v>
      </c>
    </row>
    <row r="40" spans="1:14" x14ac:dyDescent="0.25">
      <c r="A40" s="6"/>
      <c r="B40"/>
      <c r="C40"/>
      <c r="D40"/>
      <c r="E40"/>
      <c r="F40"/>
      <c r="G40" s="11"/>
      <c r="H40" s="24">
        <f>H39/G39-1</f>
        <v>4.0495017907166364E-2</v>
      </c>
      <c r="I40" s="24">
        <f>I39/H39-1</f>
        <v>4.3911665473877814E-2</v>
      </c>
      <c r="J40" s="24">
        <f>J39/I39-1</f>
        <v>4.3778463346554997E-2</v>
      </c>
      <c r="K40" s="24">
        <f>K39/J39-1</f>
        <v>4.453827508014685E-2</v>
      </c>
      <c r="L40" s="24">
        <f>L39/K39-1</f>
        <v>4.3447666671657448E-2</v>
      </c>
    </row>
    <row r="41" spans="1:14" x14ac:dyDescent="0.25">
      <c r="A41" s="6"/>
      <c r="B41"/>
      <c r="C41"/>
      <c r="D41"/>
      <c r="E41"/>
      <c r="F41"/>
      <c r="G41" s="11"/>
      <c r="H41" s="24">
        <f>(1+H40)</f>
        <v>1.0404950179071664</v>
      </c>
      <c r="I41" s="24">
        <f>(1+I40)</f>
        <v>1.0439116654738778</v>
      </c>
      <c r="J41" s="24">
        <f>(1+J40)</f>
        <v>1.043778463346555</v>
      </c>
      <c r="K41" s="24">
        <f>(1+K40)</f>
        <v>1.0445382750801468</v>
      </c>
      <c r="L41" s="24">
        <f>(1+L40)</f>
        <v>1.0434476666716574</v>
      </c>
      <c r="M41" s="25">
        <f>PRODUCT(H41:L41)^(1/4)-1</f>
        <v>5.4330522930407632E-2</v>
      </c>
      <c r="N41" s="11" t="s">
        <v>3319</v>
      </c>
    </row>
    <row r="42" spans="1:14" x14ac:dyDescent="0.25">
      <c r="A42" s="6" t="s">
        <v>3286</v>
      </c>
      <c r="B42">
        <v>399.65</v>
      </c>
      <c r="C42">
        <v>411.73</v>
      </c>
      <c r="D42">
        <v>489.71</v>
      </c>
      <c r="E42">
        <v>525</v>
      </c>
      <c r="F42">
        <v>509.48</v>
      </c>
      <c r="G42" s="11">
        <v>530.66</v>
      </c>
      <c r="H42" s="11">
        <v>569.51</v>
      </c>
      <c r="I42" s="11">
        <v>594.69000000000005</v>
      </c>
      <c r="J42" s="11">
        <v>621.71</v>
      </c>
      <c r="K42" s="11">
        <v>651.25</v>
      </c>
      <c r="L42" s="11">
        <v>682.28</v>
      </c>
    </row>
    <row r="43" spans="1:14" x14ac:dyDescent="0.25">
      <c r="A43" s="6"/>
      <c r="B43"/>
      <c r="C43"/>
      <c r="D43"/>
      <c r="E43"/>
      <c r="F43"/>
      <c r="G43" s="11"/>
      <c r="H43" s="24">
        <f>H42/G42-1</f>
        <v>7.3210718727622304E-2</v>
      </c>
      <c r="I43" s="24">
        <f>I42/H42-1</f>
        <v>4.4213446647117793E-2</v>
      </c>
      <c r="J43" s="24">
        <f>J42/I42-1</f>
        <v>4.5435436950343799E-2</v>
      </c>
      <c r="K43" s="24">
        <f>K42/J42-1</f>
        <v>4.7514114297662946E-2</v>
      </c>
      <c r="L43" s="24">
        <f>L42/K42-1</f>
        <v>4.7646833013435641E-2</v>
      </c>
    </row>
    <row r="44" spans="1:14" x14ac:dyDescent="0.25">
      <c r="A44" s="6"/>
      <c r="B44"/>
      <c r="C44"/>
      <c r="D44"/>
      <c r="E44"/>
      <c r="F44"/>
      <c r="G44" s="11"/>
      <c r="H44" s="24">
        <f>(1+H43)</f>
        <v>1.0732107187276223</v>
      </c>
      <c r="I44" s="24">
        <f>(1+I43)</f>
        <v>1.0442134466471178</v>
      </c>
      <c r="J44" s="24">
        <f>(1+J43)</f>
        <v>1.0454354369503438</v>
      </c>
      <c r="K44" s="24">
        <f>(1+K43)</f>
        <v>1.0475141142976629</v>
      </c>
      <c r="L44" s="24">
        <f>(1+L43)</f>
        <v>1.0476468330134356</v>
      </c>
      <c r="M44" s="25">
        <f>PRODUCT(H44:L44)^(1/4)-1</f>
        <v>6.4845431602034154E-2</v>
      </c>
      <c r="N44" s="11" t="s">
        <v>3319</v>
      </c>
    </row>
    <row r="45" spans="1:14" x14ac:dyDescent="0.25">
      <c r="A45" s="6" t="s">
        <v>3288</v>
      </c>
      <c r="B45" s="19">
        <v>2009.9999999999998</v>
      </c>
      <c r="C45" s="19">
        <v>1900</v>
      </c>
      <c r="D45" s="19">
        <v>2160</v>
      </c>
      <c r="E45" s="19">
        <v>2070</v>
      </c>
      <c r="F45" s="19">
        <v>2260</v>
      </c>
      <c r="G45" s="22">
        <v>2330</v>
      </c>
      <c r="H45" s="22">
        <v>2390</v>
      </c>
      <c r="I45" s="22">
        <v>2440</v>
      </c>
      <c r="J45" s="22">
        <v>2490</v>
      </c>
      <c r="K45" s="22">
        <v>2560</v>
      </c>
      <c r="L45" s="22">
        <v>2630</v>
      </c>
    </row>
    <row r="46" spans="1:14" x14ac:dyDescent="0.25">
      <c r="A46" s="6"/>
      <c r="B46" s="19"/>
      <c r="C46" s="19"/>
      <c r="D46" s="19"/>
      <c r="E46" s="19"/>
      <c r="F46" s="19"/>
      <c r="G46" s="22"/>
      <c r="H46" s="24">
        <f>H45/G45-1</f>
        <v>2.5751072961373467E-2</v>
      </c>
      <c r="I46" s="24">
        <f>I45/H45-1</f>
        <v>2.0920502092050208E-2</v>
      </c>
      <c r="J46" s="24">
        <f>J45/I45-1</f>
        <v>2.0491803278688492E-2</v>
      </c>
      <c r="K46" s="24">
        <f>K45/J45-1</f>
        <v>2.8112449799196693E-2</v>
      </c>
      <c r="L46" s="24">
        <f>L45/K45-1</f>
        <v>2.734375E-2</v>
      </c>
    </row>
    <row r="47" spans="1:14" x14ac:dyDescent="0.25">
      <c r="A47" s="6"/>
      <c r="B47" s="19"/>
      <c r="C47" s="19"/>
      <c r="D47" s="19"/>
      <c r="E47" s="19"/>
      <c r="F47" s="19"/>
      <c r="G47" s="22"/>
      <c r="H47" s="24">
        <f>(1+H46)</f>
        <v>1.0257510729613735</v>
      </c>
      <c r="I47" s="24">
        <f>(1+I46)</f>
        <v>1.0209205020920502</v>
      </c>
      <c r="J47" s="24">
        <f>(1+J46)</f>
        <v>1.0204918032786885</v>
      </c>
      <c r="K47" s="24">
        <f>(1+K46)</f>
        <v>1.0281124497991967</v>
      </c>
      <c r="L47" s="24">
        <f>(1+L46)</f>
        <v>1.02734375</v>
      </c>
      <c r="M47" s="25">
        <f>PRODUCT(H47:L47)^(1/4)-1</f>
        <v>3.0741962292462954E-2</v>
      </c>
      <c r="N47" s="11" t="s">
        <v>3319</v>
      </c>
    </row>
    <row r="48" spans="1:14" x14ac:dyDescent="0.25">
      <c r="A48" s="6" t="s">
        <v>3289</v>
      </c>
      <c r="B48" s="19">
        <v>5120</v>
      </c>
      <c r="C48" s="19">
        <v>5060</v>
      </c>
      <c r="D48" s="19">
        <v>5030</v>
      </c>
      <c r="E48" s="19">
        <v>4260</v>
      </c>
      <c r="F48" s="19">
        <v>4210</v>
      </c>
      <c r="G48" s="22">
        <v>4110</v>
      </c>
      <c r="H48" s="22">
        <v>4310</v>
      </c>
      <c r="I48" s="22">
        <v>4500</v>
      </c>
      <c r="J48" s="22">
        <v>4650</v>
      </c>
      <c r="K48" s="22">
        <v>4840</v>
      </c>
      <c r="L48" s="22">
        <v>4940</v>
      </c>
    </row>
    <row r="49" spans="1:14" x14ac:dyDescent="0.25">
      <c r="A49" s="6"/>
      <c r="B49" s="19"/>
      <c r="C49" s="19"/>
      <c r="D49" s="19"/>
      <c r="E49" s="19"/>
      <c r="F49" s="19"/>
      <c r="G49" s="22"/>
      <c r="H49" s="24">
        <f>H48/G48-1</f>
        <v>4.8661800486617945E-2</v>
      </c>
      <c r="I49" s="24">
        <f>I48/H48-1</f>
        <v>4.4083526682134666E-2</v>
      </c>
      <c r="J49" s="24">
        <f>J48/I48-1</f>
        <v>3.3333333333333437E-2</v>
      </c>
      <c r="K49" s="24">
        <f>K48/J48-1</f>
        <v>4.086021505376336E-2</v>
      </c>
      <c r="L49" s="24">
        <f>L48/K48-1</f>
        <v>2.0661157024793431E-2</v>
      </c>
    </row>
    <row r="50" spans="1:14" x14ac:dyDescent="0.25">
      <c r="A50" s="6"/>
      <c r="B50" s="19"/>
      <c r="C50" s="19"/>
      <c r="D50" s="19"/>
      <c r="E50" s="19"/>
      <c r="F50" s="19"/>
      <c r="G50" s="22"/>
      <c r="H50" s="24">
        <f>(1+H49)</f>
        <v>1.0486618004866179</v>
      </c>
      <c r="I50" s="24">
        <f>(1+I49)</f>
        <v>1.0440835266821347</v>
      </c>
      <c r="J50" s="24">
        <f>(1+J49)</f>
        <v>1.0333333333333334</v>
      </c>
      <c r="K50" s="24">
        <f>(1+K49)</f>
        <v>1.0408602150537634</v>
      </c>
      <c r="L50" s="24">
        <f>(1+L49)</f>
        <v>1.0206611570247934</v>
      </c>
      <c r="M50" s="25">
        <f>PRODUCT(H50:L50)^(1/4)-1</f>
        <v>4.7059307722085775E-2</v>
      </c>
      <c r="N50" s="11" t="s">
        <v>3319</v>
      </c>
    </row>
    <row r="51" spans="1:14" x14ac:dyDescent="0.25">
      <c r="A51" s="6" t="s">
        <v>3290</v>
      </c>
      <c r="B51" s="19">
        <v>54.82</v>
      </c>
      <c r="C51" s="19">
        <v>56.92</v>
      </c>
      <c r="D51" s="19">
        <v>66.84</v>
      </c>
      <c r="E51" s="19">
        <v>71.03</v>
      </c>
      <c r="F51" s="19">
        <v>77.930000000000007</v>
      </c>
      <c r="G51" s="22">
        <v>81.17</v>
      </c>
      <c r="H51" s="22">
        <v>84.73</v>
      </c>
      <c r="I51" s="22">
        <v>88.53</v>
      </c>
      <c r="J51" s="22">
        <v>92.48</v>
      </c>
      <c r="K51" s="22">
        <v>96.59</v>
      </c>
      <c r="L51" s="22">
        <v>100.77</v>
      </c>
    </row>
    <row r="52" spans="1:14" x14ac:dyDescent="0.25">
      <c r="A52" s="6"/>
      <c r="B52" s="19"/>
      <c r="C52" s="19"/>
      <c r="D52" s="19"/>
      <c r="E52" s="19"/>
      <c r="F52" s="19"/>
      <c r="G52" s="22"/>
      <c r="H52" s="24">
        <f>H51/G51-1</f>
        <v>4.385856843661462E-2</v>
      </c>
      <c r="I52" s="24">
        <f>I51/H51-1</f>
        <v>4.4848341791573265E-2</v>
      </c>
      <c r="J52" s="24">
        <f>J51/I51-1</f>
        <v>4.461764373658661E-2</v>
      </c>
      <c r="K52" s="24">
        <f>K51/J51-1</f>
        <v>4.4442041522491316E-2</v>
      </c>
      <c r="L52" s="24">
        <f>L51/K51-1</f>
        <v>4.327570141836623E-2</v>
      </c>
    </row>
    <row r="53" spans="1:14" x14ac:dyDescent="0.25">
      <c r="A53" s="6"/>
      <c r="B53" s="19"/>
      <c r="C53" s="19"/>
      <c r="D53" s="19"/>
      <c r="E53" s="19"/>
      <c r="F53" s="19"/>
      <c r="G53" s="22"/>
      <c r="H53" s="24">
        <f>(1+H52)</f>
        <v>1.0438585684366146</v>
      </c>
      <c r="I53" s="24">
        <f>(1+I52)</f>
        <v>1.0448483417915733</v>
      </c>
      <c r="J53" s="24">
        <f>(1+J52)</f>
        <v>1.0446176437365866</v>
      </c>
      <c r="K53" s="24">
        <f>(1+K52)</f>
        <v>1.0444420415224913</v>
      </c>
      <c r="L53" s="24">
        <f>(1+L52)</f>
        <v>1.0432757014183662</v>
      </c>
      <c r="M53" s="25">
        <f>PRODUCT(H53:L53)^(1/4)-1</f>
        <v>5.5562439499174276E-2</v>
      </c>
      <c r="N53" s="11" t="s">
        <v>3319</v>
      </c>
    </row>
    <row r="54" spans="1:14" x14ac:dyDescent="0.25">
      <c r="A54" s="6" t="s">
        <v>3291</v>
      </c>
      <c r="B54">
        <v>69.900000000000006</v>
      </c>
      <c r="C54">
        <v>73.64</v>
      </c>
      <c r="D54">
        <v>85.64</v>
      </c>
      <c r="E54">
        <v>81.709999999999994</v>
      </c>
      <c r="F54">
        <v>85.78</v>
      </c>
      <c r="G54" s="11">
        <v>88.56</v>
      </c>
      <c r="H54" s="11">
        <v>93.37</v>
      </c>
      <c r="I54" s="11">
        <v>97.42</v>
      </c>
      <c r="J54" s="11">
        <v>101.57</v>
      </c>
      <c r="K54" s="11">
        <v>105.83</v>
      </c>
      <c r="L54" s="11">
        <v>110.14</v>
      </c>
    </row>
    <row r="55" spans="1:14" x14ac:dyDescent="0.25">
      <c r="A55" s="6"/>
      <c r="B55"/>
      <c r="C55"/>
      <c r="D55"/>
      <c r="E55"/>
      <c r="F55"/>
      <c r="G55" s="11"/>
      <c r="H55" s="24">
        <f>H54/G54-1</f>
        <v>5.4313459801264674E-2</v>
      </c>
      <c r="I55" s="24">
        <f>I54/H54-1</f>
        <v>4.3375816643461462E-2</v>
      </c>
      <c r="J55" s="24">
        <f>J54/I54-1</f>
        <v>4.2599055635393013E-2</v>
      </c>
      <c r="K55" s="24">
        <f>K54/J54-1</f>
        <v>4.1941518164812397E-2</v>
      </c>
      <c r="L55" s="24">
        <f>L54/K54-1</f>
        <v>4.0725692147784098E-2</v>
      </c>
    </row>
    <row r="56" spans="1:14" x14ac:dyDescent="0.25">
      <c r="A56" s="6"/>
      <c r="B56"/>
      <c r="C56"/>
      <c r="D56"/>
      <c r="E56"/>
      <c r="F56"/>
      <c r="G56" s="11"/>
      <c r="H56" s="24">
        <f>(1+H55)</f>
        <v>1.0543134598012647</v>
      </c>
      <c r="I56" s="24">
        <f>(1+I55)</f>
        <v>1.0433758166434615</v>
      </c>
      <c r="J56" s="24">
        <f>(1+J55)</f>
        <v>1.042599055635393</v>
      </c>
      <c r="K56" s="24">
        <f>(1+K55)</f>
        <v>1.0419415181648124</v>
      </c>
      <c r="L56" s="24">
        <f>(1+L55)</f>
        <v>1.0407256921477841</v>
      </c>
      <c r="M56" s="25">
        <f>PRODUCT(H56:L56)^(1/4)-1</f>
        <v>5.6031483603903087E-2</v>
      </c>
      <c r="N56" s="11" t="s">
        <v>3319</v>
      </c>
    </row>
    <row r="57" spans="1:14" x14ac:dyDescent="0.25">
      <c r="A57" s="6" t="s">
        <v>3296</v>
      </c>
      <c r="B57">
        <v>408.74</v>
      </c>
      <c r="C57">
        <v>367.63</v>
      </c>
      <c r="D57">
        <v>503.37</v>
      </c>
      <c r="E57">
        <v>593.73</v>
      </c>
      <c r="F57">
        <v>485.51</v>
      </c>
      <c r="G57" s="11">
        <v>526.95000000000005</v>
      </c>
      <c r="H57" s="11">
        <v>554.78</v>
      </c>
      <c r="I57" s="11">
        <v>564.34</v>
      </c>
      <c r="J57" s="11">
        <v>581.22</v>
      </c>
      <c r="K57" s="11">
        <v>597.96</v>
      </c>
      <c r="L57" s="11">
        <v>617.1</v>
      </c>
    </row>
    <row r="58" spans="1:14" x14ac:dyDescent="0.25">
      <c r="A58" s="6"/>
      <c r="B58"/>
      <c r="C58"/>
      <c r="D58"/>
      <c r="E58"/>
      <c r="F58"/>
      <c r="G58" s="11"/>
      <c r="H58" s="24">
        <f>H57/G57-1</f>
        <v>5.2813359901318746E-2</v>
      </c>
      <c r="I58" s="24">
        <f>I57/H57-1</f>
        <v>1.7232055950106462E-2</v>
      </c>
      <c r="J58" s="24">
        <f>J57/I57-1</f>
        <v>2.991104653223231E-2</v>
      </c>
      <c r="K58" s="24">
        <f>K57/J57-1</f>
        <v>2.8801486528337028E-2</v>
      </c>
      <c r="L58" s="24">
        <f>L57/K57-1</f>
        <v>3.2008830022075108E-2</v>
      </c>
    </row>
    <row r="59" spans="1:14" x14ac:dyDescent="0.25">
      <c r="A59" s="6"/>
      <c r="B59"/>
      <c r="C59"/>
      <c r="D59"/>
      <c r="E59"/>
      <c r="F59"/>
      <c r="G59" s="11"/>
      <c r="H59" s="24">
        <f>(1+H58)</f>
        <v>1.0528133599013187</v>
      </c>
      <c r="I59" s="24">
        <f>(1+I58)</f>
        <v>1.0172320559501065</v>
      </c>
      <c r="J59" s="24">
        <f>(1+J58)</f>
        <v>1.0299110465322323</v>
      </c>
      <c r="K59" s="24">
        <f>(1+K58)</f>
        <v>1.028801486528337</v>
      </c>
      <c r="L59" s="24">
        <f>(1+L58)</f>
        <v>1.0320088300220751</v>
      </c>
      <c r="M59" s="25">
        <f>PRODUCT(H59:L59)^(1/4)-1</f>
        <v>4.0271102315526885E-2</v>
      </c>
      <c r="N59" s="11" t="s">
        <v>3319</v>
      </c>
    </row>
    <row r="60" spans="1:14" x14ac:dyDescent="0.25">
      <c r="A60" s="6" t="s">
        <v>3297</v>
      </c>
      <c r="B60">
        <v>910.3</v>
      </c>
      <c r="C60">
        <v>909.07</v>
      </c>
      <c r="D60" s="19">
        <v>1030</v>
      </c>
      <c r="E60" s="19">
        <v>1010</v>
      </c>
      <c r="F60" s="19">
        <v>1120</v>
      </c>
      <c r="G60" s="22">
        <v>1140</v>
      </c>
      <c r="H60" s="22">
        <v>1180</v>
      </c>
      <c r="I60" s="22">
        <v>1220</v>
      </c>
      <c r="J60" s="22">
        <v>1270</v>
      </c>
      <c r="K60" s="22">
        <v>1320</v>
      </c>
      <c r="L60" s="22">
        <v>1360</v>
      </c>
    </row>
    <row r="61" spans="1:14" x14ac:dyDescent="0.25">
      <c r="A61" s="6"/>
      <c r="B61"/>
      <c r="C61"/>
      <c r="D61" s="19"/>
      <c r="E61" s="19"/>
      <c r="F61" s="19"/>
      <c r="G61" s="22"/>
      <c r="H61" s="24">
        <f>H60/G60-1</f>
        <v>3.5087719298245723E-2</v>
      </c>
      <c r="I61" s="24">
        <f>I60/H60-1</f>
        <v>3.3898305084745672E-2</v>
      </c>
      <c r="J61" s="24">
        <f>J60/I60-1</f>
        <v>4.0983606557376984E-2</v>
      </c>
      <c r="K61" s="24">
        <f>K60/J60-1</f>
        <v>3.937007874015741E-2</v>
      </c>
      <c r="L61" s="24">
        <f>L60/K60-1</f>
        <v>3.0303030303030276E-2</v>
      </c>
    </row>
    <row r="62" spans="1:14" x14ac:dyDescent="0.25">
      <c r="A62" s="6"/>
      <c r="B62"/>
      <c r="C62"/>
      <c r="D62" s="19"/>
      <c r="E62" s="19"/>
      <c r="F62" s="19"/>
      <c r="G62" s="22"/>
      <c r="H62" s="24">
        <f>(1+H61)</f>
        <v>1.0350877192982457</v>
      </c>
      <c r="I62" s="24">
        <f>(1+I61)</f>
        <v>1.0338983050847457</v>
      </c>
      <c r="J62" s="24">
        <f>(1+J61)</f>
        <v>1.040983606557377</v>
      </c>
      <c r="K62" s="24">
        <f>(1+K61)</f>
        <v>1.0393700787401574</v>
      </c>
      <c r="L62" s="24">
        <f>(1+L61)</f>
        <v>1.0303030303030303</v>
      </c>
      <c r="M62" s="25">
        <f>PRODUCT(H62:L62)^(1/4)-1</f>
        <v>4.5101603934038614E-2</v>
      </c>
      <c r="N62" s="11" t="s">
        <v>3319</v>
      </c>
    </row>
    <row r="63" spans="1:14" x14ac:dyDescent="0.25">
      <c r="A63" s="6" t="s">
        <v>3300</v>
      </c>
      <c r="B63" s="19">
        <v>595.97</v>
      </c>
      <c r="C63" s="19">
        <v>599.46</v>
      </c>
      <c r="D63" s="19">
        <v>681.43</v>
      </c>
      <c r="E63" s="19">
        <v>688.25</v>
      </c>
      <c r="F63" s="19">
        <v>808.44</v>
      </c>
      <c r="G63" s="22">
        <v>844.62</v>
      </c>
      <c r="H63" s="22">
        <v>884.58</v>
      </c>
      <c r="I63" s="22">
        <v>937.79</v>
      </c>
      <c r="J63" s="22">
        <v>984.45</v>
      </c>
      <c r="K63" s="22">
        <v>1020</v>
      </c>
      <c r="L63" s="22">
        <v>1060</v>
      </c>
    </row>
    <row r="64" spans="1:14" x14ac:dyDescent="0.25">
      <c r="A64" s="6"/>
      <c r="B64" s="19"/>
      <c r="C64" s="19"/>
      <c r="D64" s="19"/>
      <c r="E64" s="19"/>
      <c r="F64" s="19"/>
      <c r="G64" s="22"/>
      <c r="H64" s="24">
        <f>H63/G63-1</f>
        <v>4.7311216878596296E-2</v>
      </c>
      <c r="I64" s="24">
        <f>I63/H63-1</f>
        <v>6.0152840896244397E-2</v>
      </c>
      <c r="J64" s="24">
        <f>J63/I63-1</f>
        <v>4.975527570138305E-2</v>
      </c>
      <c r="K64" s="24">
        <f>K63/J63-1</f>
        <v>3.6111534359286823E-2</v>
      </c>
      <c r="L64" s="24">
        <f>L63/K63-1</f>
        <v>3.9215686274509887E-2</v>
      </c>
    </row>
    <row r="65" spans="1:14" x14ac:dyDescent="0.25">
      <c r="A65" s="6"/>
      <c r="B65" s="19"/>
      <c r="C65" s="19"/>
      <c r="D65" s="19"/>
      <c r="E65" s="19"/>
      <c r="F65" s="19"/>
      <c r="G65" s="22"/>
      <c r="H65" s="24">
        <f>(1+H64)</f>
        <v>1.0473112168785963</v>
      </c>
      <c r="I65" s="24">
        <f>(1+I64)</f>
        <v>1.0601528408962444</v>
      </c>
      <c r="J65" s="24">
        <f>(1+J64)</f>
        <v>1.0497552757013831</v>
      </c>
      <c r="K65" s="24">
        <f>(1+K64)</f>
        <v>1.0361115343592868</v>
      </c>
      <c r="L65" s="24">
        <f>(1+L64)</f>
        <v>1.0392156862745099</v>
      </c>
      <c r="M65" s="25">
        <f>PRODUCT(H65:L65)^(1/4)-1</f>
        <v>5.8427526633434868E-2</v>
      </c>
      <c r="N65" s="11" t="s">
        <v>3319</v>
      </c>
    </row>
    <row r="66" spans="1:14" x14ac:dyDescent="0.25">
      <c r="A66" s="6" t="s">
        <v>3301</v>
      </c>
      <c r="B66" s="19">
        <v>240.1</v>
      </c>
      <c r="C66" s="19">
        <v>228.85</v>
      </c>
      <c r="D66" s="19">
        <v>255.71</v>
      </c>
      <c r="E66" s="19">
        <v>255.4</v>
      </c>
      <c r="F66" s="19">
        <v>287.42</v>
      </c>
      <c r="G66" s="22">
        <v>298.95</v>
      </c>
      <c r="H66" s="22">
        <v>309.70999999999998</v>
      </c>
      <c r="I66" s="22">
        <v>321.83</v>
      </c>
      <c r="J66" s="22">
        <v>334.09</v>
      </c>
      <c r="K66" s="22">
        <v>346.81</v>
      </c>
      <c r="L66" s="22">
        <v>359.66</v>
      </c>
    </row>
    <row r="67" spans="1:14" x14ac:dyDescent="0.25">
      <c r="A67" s="6"/>
      <c r="B67" s="19"/>
      <c r="C67" s="19"/>
      <c r="D67" s="19"/>
      <c r="E67" s="19"/>
      <c r="F67" s="19"/>
      <c r="G67" s="22"/>
      <c r="H67" s="24">
        <f>H66/G66-1</f>
        <v>3.5992640909851215E-2</v>
      </c>
      <c r="I67" s="24">
        <f>I66/H66-1</f>
        <v>3.9133382842013509E-2</v>
      </c>
      <c r="J67" s="24">
        <f>J66/I66-1</f>
        <v>3.8094646241804586E-2</v>
      </c>
      <c r="K67" s="24">
        <f>K66/J66-1</f>
        <v>3.8073572989314242E-2</v>
      </c>
      <c r="L67" s="24">
        <f>L66/K66-1</f>
        <v>3.705198812029642E-2</v>
      </c>
    </row>
    <row r="68" spans="1:14" x14ac:dyDescent="0.25">
      <c r="A68" s="6"/>
      <c r="B68" s="19"/>
      <c r="C68" s="19"/>
      <c r="D68" s="19"/>
      <c r="E68" s="19"/>
      <c r="F68" s="19"/>
      <c r="G68" s="22"/>
      <c r="H68" s="24">
        <f>(1+H67)</f>
        <v>1.0359926409098512</v>
      </c>
      <c r="I68" s="24">
        <f>(1+I67)</f>
        <v>1.0391333828420135</v>
      </c>
      <c r="J68" s="24">
        <f>(1+J67)</f>
        <v>1.0380946462418046</v>
      </c>
      <c r="K68" s="24">
        <f>(1+K67)</f>
        <v>1.0380735729893142</v>
      </c>
      <c r="L68" s="24">
        <f>(1+L67)</f>
        <v>1.0370519881202964</v>
      </c>
      <c r="M68" s="25">
        <f>PRODUCT(H68:L68)^(1/4)-1</f>
        <v>4.730552719853498E-2</v>
      </c>
      <c r="N68" s="11" t="s">
        <v>3319</v>
      </c>
    </row>
    <row r="69" spans="1:14" x14ac:dyDescent="0.25">
      <c r="A69" s="6" t="s">
        <v>3302</v>
      </c>
      <c r="B69" s="23">
        <v>2850</v>
      </c>
      <c r="C69" s="19">
        <v>2700</v>
      </c>
      <c r="D69" s="19">
        <v>3140</v>
      </c>
      <c r="E69" s="19">
        <v>3100</v>
      </c>
      <c r="F69" s="19">
        <v>3340</v>
      </c>
      <c r="G69" s="22">
        <v>3500</v>
      </c>
      <c r="H69" s="22">
        <v>3690</v>
      </c>
      <c r="I69" s="22">
        <v>3920</v>
      </c>
      <c r="J69" s="22">
        <v>4140</v>
      </c>
      <c r="K69" s="22">
        <v>4390</v>
      </c>
      <c r="L69" s="22">
        <v>4660</v>
      </c>
    </row>
    <row r="70" spans="1:14" x14ac:dyDescent="0.25">
      <c r="A70" s="6"/>
      <c r="B70" s="23"/>
      <c r="C70" s="19"/>
      <c r="D70" s="19"/>
      <c r="E70" s="19"/>
      <c r="F70" s="19"/>
      <c r="G70" s="22"/>
      <c r="H70" s="24">
        <f>H69/G69-1</f>
        <v>5.428571428571427E-2</v>
      </c>
      <c r="I70" s="24">
        <f>I69/H69-1</f>
        <v>6.2330623306233068E-2</v>
      </c>
      <c r="J70" s="24">
        <f>J69/I69-1</f>
        <v>5.6122448979591733E-2</v>
      </c>
      <c r="K70" s="24">
        <f>K69/J69-1</f>
        <v>6.0386473429951737E-2</v>
      </c>
      <c r="L70" s="24">
        <f>L69/K69-1</f>
        <v>6.1503416856492077E-2</v>
      </c>
    </row>
    <row r="71" spans="1:14" x14ac:dyDescent="0.25">
      <c r="A71" s="6"/>
      <c r="B71" s="23"/>
      <c r="C71" s="19"/>
      <c r="D71" s="19"/>
      <c r="E71" s="19"/>
      <c r="F71" s="19"/>
      <c r="G71" s="22"/>
      <c r="H71" s="24">
        <f>(1+H70)</f>
        <v>1.0542857142857143</v>
      </c>
      <c r="I71" s="24">
        <f>(1+I70)</f>
        <v>1.0623306233062331</v>
      </c>
      <c r="J71" s="24">
        <f>(1+J70)</f>
        <v>1.0561224489795917</v>
      </c>
      <c r="K71" s="24">
        <f>(1+K70)</f>
        <v>1.0603864734299517</v>
      </c>
      <c r="L71" s="24">
        <f>(1+L70)</f>
        <v>1.0615034168564921</v>
      </c>
      <c r="M71" s="25">
        <f>PRODUCT(H71:L71)^(1/4)-1</f>
        <v>7.418595108265702E-2</v>
      </c>
      <c r="N71" s="11" t="s">
        <v>3319</v>
      </c>
    </row>
    <row r="72" spans="1:14" x14ac:dyDescent="0.25">
      <c r="A72" s="6" t="s">
        <v>3303</v>
      </c>
      <c r="B72" s="19">
        <v>446.76</v>
      </c>
      <c r="C72" s="19">
        <v>385.22</v>
      </c>
      <c r="D72" s="19">
        <v>487.38</v>
      </c>
      <c r="E72" s="19">
        <v>630.66</v>
      </c>
      <c r="F72" s="19">
        <v>654.89</v>
      </c>
      <c r="G72" s="22">
        <v>604.26</v>
      </c>
      <c r="H72" s="22">
        <v>558.96</v>
      </c>
      <c r="I72" s="22">
        <v>592.49</v>
      </c>
      <c r="J72" s="22">
        <v>629.44000000000005</v>
      </c>
      <c r="K72" s="22">
        <v>663.4</v>
      </c>
      <c r="L72" s="22">
        <v>694.08</v>
      </c>
    </row>
    <row r="73" spans="1:14" x14ac:dyDescent="0.25">
      <c r="A73" s="6"/>
      <c r="B73" s="19"/>
      <c r="C73" s="19"/>
      <c r="D73" s="19"/>
      <c r="E73" s="19"/>
      <c r="F73" s="19"/>
      <c r="G73" s="22"/>
      <c r="H73" s="24">
        <f>H72/G72-1</f>
        <v>-7.4967729123225024E-2</v>
      </c>
      <c r="I73" s="24">
        <f>I72/H72-1</f>
        <v>5.9986403320452242E-2</v>
      </c>
      <c r="J73" s="24">
        <f>J72/I72-1</f>
        <v>6.2363921753953777E-2</v>
      </c>
      <c r="K73" s="24">
        <f>K72/J72-1</f>
        <v>5.3952719877986555E-2</v>
      </c>
      <c r="L73" s="24">
        <f>L72/K72-1</f>
        <v>4.6246608381067311E-2</v>
      </c>
    </row>
    <row r="74" spans="1:14" x14ac:dyDescent="0.25">
      <c r="A74" s="6"/>
      <c r="B74" s="19"/>
      <c r="C74" s="19"/>
      <c r="D74" s="19"/>
      <c r="E74" s="19"/>
      <c r="F74" s="19"/>
      <c r="G74" s="22"/>
      <c r="H74" s="24">
        <f>(1+H73)</f>
        <v>0.92503227087677498</v>
      </c>
      <c r="I74" s="24">
        <f>(1+I73)</f>
        <v>1.0599864033204522</v>
      </c>
      <c r="J74" s="24">
        <f>(1+J73)</f>
        <v>1.0623639217539538</v>
      </c>
      <c r="K74" s="24">
        <f>(1+K73)</f>
        <v>1.0539527198779866</v>
      </c>
      <c r="L74" s="24">
        <f>(1+L73)</f>
        <v>1.0462466083810673</v>
      </c>
      <c r="M74" s="25">
        <f>PRODUCT(H74:L74)^(1/4)-1</f>
        <v>3.5252817171746997E-2</v>
      </c>
      <c r="N74" s="11" t="s">
        <v>3319</v>
      </c>
    </row>
    <row r="75" spans="1:14" x14ac:dyDescent="0.25">
      <c r="A75" s="6" t="s">
        <v>3304</v>
      </c>
      <c r="B75" s="19">
        <v>1700</v>
      </c>
      <c r="C75" s="19">
        <v>1490</v>
      </c>
      <c r="D75" s="19">
        <v>1840</v>
      </c>
      <c r="E75" s="19">
        <v>2270</v>
      </c>
      <c r="F75" s="19">
        <v>2000</v>
      </c>
      <c r="G75" s="22">
        <v>2060</v>
      </c>
      <c r="H75" s="22">
        <v>2090</v>
      </c>
      <c r="I75" s="22">
        <v>2120</v>
      </c>
      <c r="J75" s="22">
        <v>2150</v>
      </c>
      <c r="K75" s="22">
        <v>2180</v>
      </c>
      <c r="L75" s="22">
        <v>2210</v>
      </c>
    </row>
    <row r="76" spans="1:14" x14ac:dyDescent="0.25">
      <c r="A76" s="6"/>
      <c r="B76" s="19"/>
      <c r="C76" s="19"/>
      <c r="D76" s="19"/>
      <c r="E76" s="19"/>
      <c r="F76" s="19"/>
      <c r="G76" s="22"/>
      <c r="H76" s="24">
        <f>H75/G75-1</f>
        <v>1.4563106796116498E-2</v>
      </c>
      <c r="I76" s="24">
        <f>I75/H75-1</f>
        <v>1.4354066985645897E-2</v>
      </c>
      <c r="J76" s="24">
        <f>J75/I75-1</f>
        <v>1.4150943396226356E-2</v>
      </c>
      <c r="K76" s="24">
        <f>K75/J75-1</f>
        <v>1.3953488372093092E-2</v>
      </c>
      <c r="L76" s="24">
        <f>L75/K75-1</f>
        <v>1.3761467889908285E-2</v>
      </c>
    </row>
    <row r="77" spans="1:14" x14ac:dyDescent="0.25">
      <c r="A77" s="6"/>
      <c r="B77" s="19"/>
      <c r="C77" s="19"/>
      <c r="D77" s="19"/>
      <c r="E77" s="19"/>
      <c r="F77" s="19"/>
      <c r="G77" s="22"/>
      <c r="H77" s="24">
        <f>(1+H76)</f>
        <v>1.0145631067961165</v>
      </c>
      <c r="I77" s="24">
        <f>(1+I76)</f>
        <v>1.0143540669856459</v>
      </c>
      <c r="J77" s="24">
        <f>(1+J76)</f>
        <v>1.0141509433962264</v>
      </c>
      <c r="K77" s="24">
        <f>(1+K76)</f>
        <v>1.0139534883720931</v>
      </c>
      <c r="L77" s="24">
        <f>(1+L76)</f>
        <v>1.0137614678899083</v>
      </c>
      <c r="M77" s="25">
        <f>PRODUCT(H77:L77)^(1/4)-1</f>
        <v>1.7726922557600222E-2</v>
      </c>
      <c r="N77" s="11" t="s">
        <v>3319</v>
      </c>
    </row>
    <row r="78" spans="1:14" x14ac:dyDescent="0.25">
      <c r="A78" s="6" t="s">
        <v>3308</v>
      </c>
      <c r="B78" s="19">
        <v>389.25</v>
      </c>
      <c r="C78" s="19">
        <v>338.19</v>
      </c>
      <c r="D78" s="19">
        <v>420.01</v>
      </c>
      <c r="E78" s="19">
        <v>405.11</v>
      </c>
      <c r="F78" s="19">
        <v>377.68</v>
      </c>
      <c r="G78" s="22">
        <v>373.23</v>
      </c>
      <c r="H78" s="22">
        <v>384.77</v>
      </c>
      <c r="I78" s="22">
        <v>398.06</v>
      </c>
      <c r="J78" s="22">
        <v>413.04</v>
      </c>
      <c r="K78" s="22">
        <v>427.66</v>
      </c>
      <c r="L78" s="22">
        <v>442.86</v>
      </c>
    </row>
    <row r="79" spans="1:14" x14ac:dyDescent="0.25">
      <c r="A79" s="6"/>
      <c r="B79" s="19"/>
      <c r="C79" s="19"/>
      <c r="D79" s="19"/>
      <c r="E79" s="19"/>
      <c r="F79" s="19"/>
      <c r="G79" s="22"/>
      <c r="H79" s="24">
        <f>H78/G78-1</f>
        <v>3.091927229858249E-2</v>
      </c>
      <c r="I79" s="24">
        <f>I78/H78-1</f>
        <v>3.4540114873820693E-2</v>
      </c>
      <c r="J79" s="24">
        <f>J78/I78-1</f>
        <v>3.7632517710897817E-2</v>
      </c>
      <c r="K79" s="24">
        <f>K78/J78-1</f>
        <v>3.5396087546000432E-2</v>
      </c>
      <c r="L79" s="24">
        <f>L78/K78-1</f>
        <v>3.5542253191787943E-2</v>
      </c>
    </row>
    <row r="80" spans="1:14" x14ac:dyDescent="0.25">
      <c r="A80" s="6"/>
      <c r="B80" s="19"/>
      <c r="C80" s="19"/>
      <c r="D80" s="19"/>
      <c r="E80" s="19"/>
      <c r="F80" s="19"/>
      <c r="G80" s="22"/>
      <c r="H80" s="24">
        <f>(1+H79)</f>
        <v>1.0309192722985825</v>
      </c>
      <c r="I80" s="24">
        <f>(1+I79)</f>
        <v>1.0345401148738207</v>
      </c>
      <c r="J80" s="24">
        <f>(1+J79)</f>
        <v>1.0376325177108978</v>
      </c>
      <c r="K80" s="24">
        <f>(1+K79)</f>
        <v>1.0353960875460004</v>
      </c>
      <c r="L80" s="24">
        <f>(1+L79)</f>
        <v>1.0355422531917879</v>
      </c>
      <c r="M80" s="25">
        <f>PRODUCT(H80:L80)^(1/4)-1</f>
        <v>4.3692295967328709E-2</v>
      </c>
      <c r="N80" s="11" t="s">
        <v>3319</v>
      </c>
    </row>
    <row r="81" spans="1:14" x14ac:dyDescent="0.25">
      <c r="A81" s="6" t="s">
        <v>3309</v>
      </c>
      <c r="B81">
        <v>721.83</v>
      </c>
      <c r="C81">
        <v>741.03</v>
      </c>
      <c r="D81">
        <v>812.44</v>
      </c>
      <c r="E81">
        <v>818.64</v>
      </c>
      <c r="F81">
        <v>885.14</v>
      </c>
      <c r="G81" s="11">
        <v>938.46</v>
      </c>
      <c r="H81" s="11">
        <v>971.75</v>
      </c>
      <c r="I81" s="22">
        <v>1020</v>
      </c>
      <c r="J81" s="22">
        <v>1060</v>
      </c>
      <c r="K81" s="22">
        <v>1120</v>
      </c>
      <c r="L81" s="22">
        <v>1160</v>
      </c>
    </row>
    <row r="82" spans="1:14" x14ac:dyDescent="0.25">
      <c r="A82" s="6"/>
      <c r="B82"/>
      <c r="C82"/>
      <c r="D82"/>
      <c r="E82"/>
      <c r="F82"/>
      <c r="G82" s="11"/>
      <c r="H82" s="24">
        <f>H81/G81-1</f>
        <v>3.5473008972145781E-2</v>
      </c>
      <c r="I82" s="24">
        <f>I81/H81-1</f>
        <v>4.9652688448674986E-2</v>
      </c>
      <c r="J82" s="24">
        <f>J81/I81-1</f>
        <v>3.9215686274509887E-2</v>
      </c>
      <c r="K82" s="24">
        <f>K81/J81-1</f>
        <v>5.6603773584905648E-2</v>
      </c>
      <c r="L82" s="24">
        <f>L81/K81-1</f>
        <v>3.5714285714285809E-2</v>
      </c>
    </row>
    <row r="83" spans="1:14" x14ac:dyDescent="0.25">
      <c r="A83" s="6"/>
      <c r="B83"/>
      <c r="C83"/>
      <c r="D83"/>
      <c r="E83"/>
      <c r="F83"/>
      <c r="G83" s="11"/>
      <c r="H83" s="24">
        <f>(1+H82)</f>
        <v>1.0354730089721458</v>
      </c>
      <c r="I83" s="24">
        <f>(1+I82)</f>
        <v>1.049652688448675</v>
      </c>
      <c r="J83" s="24">
        <f>(1+J82)</f>
        <v>1.0392156862745099</v>
      </c>
      <c r="K83" s="24">
        <f>(1+K82)</f>
        <v>1.0566037735849056</v>
      </c>
      <c r="L83" s="24">
        <f>(1+L82)</f>
        <v>1.0357142857142858</v>
      </c>
      <c r="M83" s="25">
        <f>PRODUCT(H83:L83)^(1/4)-1</f>
        <v>5.4412524006080432E-2</v>
      </c>
      <c r="N83" s="11" t="s">
        <v>3319</v>
      </c>
    </row>
    <row r="84" spans="1:14" x14ac:dyDescent="0.25">
      <c r="A84" s="6" t="s">
        <v>3312</v>
      </c>
      <c r="B84">
        <v>535.91999999999996</v>
      </c>
      <c r="C84">
        <v>525.84</v>
      </c>
      <c r="D84">
        <v>601.15</v>
      </c>
      <c r="E84">
        <v>538.9</v>
      </c>
      <c r="F84">
        <v>630.11</v>
      </c>
      <c r="G84" s="11">
        <v>655.19000000000005</v>
      </c>
      <c r="H84" s="11">
        <v>673.25</v>
      </c>
      <c r="I84" s="22">
        <v>693.46</v>
      </c>
      <c r="J84" s="22">
        <v>714.15</v>
      </c>
      <c r="K84" s="22">
        <v>737.17</v>
      </c>
      <c r="L84" s="22">
        <v>759.32</v>
      </c>
    </row>
    <row r="85" spans="1:14" x14ac:dyDescent="0.25">
      <c r="A85" s="6"/>
      <c r="B85"/>
      <c r="C85"/>
      <c r="D85"/>
      <c r="E85"/>
      <c r="F85"/>
      <c r="G85" s="11"/>
      <c r="H85" s="24">
        <f>H84/G84-1</f>
        <v>2.7564523268059471E-2</v>
      </c>
      <c r="I85" s="24">
        <f>I84/H84-1</f>
        <v>3.0018566654288925E-2</v>
      </c>
      <c r="J85" s="24">
        <f>J84/I84-1</f>
        <v>2.983589536526976E-2</v>
      </c>
      <c r="K85" s="24">
        <f>K84/J84-1</f>
        <v>3.2234124483651927E-2</v>
      </c>
      <c r="L85" s="24">
        <f>L84/K84-1</f>
        <v>3.0047343217982414E-2</v>
      </c>
    </row>
    <row r="86" spans="1:14" x14ac:dyDescent="0.25">
      <c r="A86" s="6"/>
      <c r="B86"/>
      <c r="C86"/>
      <c r="D86"/>
      <c r="E86"/>
      <c r="F86"/>
      <c r="G86" s="11"/>
      <c r="H86" s="24">
        <f>(1+H85)</f>
        <v>1.0275645232680595</v>
      </c>
      <c r="I86" s="24">
        <f>(1+I85)</f>
        <v>1.0300185666542889</v>
      </c>
      <c r="J86" s="24">
        <f>(1+J85)</f>
        <v>1.0298358953652698</v>
      </c>
      <c r="K86" s="24">
        <f>(1+K85)</f>
        <v>1.0322341244836519</v>
      </c>
      <c r="L86" s="24">
        <f>(1+L85)</f>
        <v>1.0300473432179824</v>
      </c>
      <c r="M86" s="25">
        <f>PRODUCT(H86:L86)^(1/4)-1</f>
        <v>3.7562805283767764E-2</v>
      </c>
      <c r="N86" s="11" t="s">
        <v>3319</v>
      </c>
    </row>
    <row r="87" spans="1:14" x14ac:dyDescent="0.25">
      <c r="A87" s="6" t="s">
        <v>3269</v>
      </c>
      <c r="B87" s="19">
        <v>1650</v>
      </c>
      <c r="C87" s="19">
        <v>1640</v>
      </c>
      <c r="D87" s="19">
        <v>1820</v>
      </c>
      <c r="E87" s="19">
        <v>1670</v>
      </c>
      <c r="F87" s="19">
        <v>1710</v>
      </c>
      <c r="G87" s="22">
        <v>1760</v>
      </c>
      <c r="H87" s="22">
        <v>1840</v>
      </c>
      <c r="I87" s="22">
        <v>1920</v>
      </c>
      <c r="J87" s="22">
        <v>2000</v>
      </c>
      <c r="K87" s="22">
        <v>2090</v>
      </c>
      <c r="L87" s="22">
        <v>2170</v>
      </c>
    </row>
    <row r="88" spans="1:14" x14ac:dyDescent="0.25">
      <c r="A88" s="6"/>
      <c r="B88" s="19"/>
      <c r="C88" s="19"/>
      <c r="D88" s="19"/>
      <c r="E88" s="19"/>
      <c r="F88" s="19"/>
      <c r="G88" s="22"/>
      <c r="H88" s="24">
        <f>H87/G87-1</f>
        <v>4.5454545454545414E-2</v>
      </c>
      <c r="I88" s="24">
        <f>I87/H87-1</f>
        <v>4.3478260869565188E-2</v>
      </c>
      <c r="J88" s="24">
        <f>J87/I87-1</f>
        <v>4.1666666666666741E-2</v>
      </c>
      <c r="K88" s="24">
        <f>K87/J87-1</f>
        <v>4.4999999999999929E-2</v>
      </c>
      <c r="L88" s="24">
        <f>L87/K87-1</f>
        <v>3.8277511961722466E-2</v>
      </c>
    </row>
    <row r="89" spans="1:14" x14ac:dyDescent="0.25">
      <c r="A89" s="6"/>
      <c r="B89" s="19"/>
      <c r="C89" s="19"/>
      <c r="D89" s="19"/>
      <c r="E89" s="19"/>
      <c r="F89" s="19"/>
      <c r="G89" s="22"/>
      <c r="H89" s="24">
        <f>(1+H88)</f>
        <v>1.0454545454545454</v>
      </c>
      <c r="I89" s="24">
        <f>(1+I88)</f>
        <v>1.0434782608695652</v>
      </c>
      <c r="J89" s="24">
        <f>(1+J88)</f>
        <v>1.0416666666666667</v>
      </c>
      <c r="K89" s="24">
        <f>(1+K88)</f>
        <v>1.0449999999999999</v>
      </c>
      <c r="L89" s="24">
        <f>(1+L88)</f>
        <v>1.0382775119617225</v>
      </c>
      <c r="M89" s="25">
        <f>PRODUCT(H89:L89)^(1/4)-1</f>
        <v>5.3748007667958397E-2</v>
      </c>
      <c r="N89" s="11" t="s">
        <v>3319</v>
      </c>
    </row>
    <row r="90" spans="1:14" x14ac:dyDescent="0.25">
      <c r="A90" s="6" t="s">
        <v>3282</v>
      </c>
      <c r="B90" s="23">
        <v>25.09</v>
      </c>
      <c r="C90" s="23">
        <v>23.83</v>
      </c>
      <c r="D90">
        <v>28.49</v>
      </c>
      <c r="E90" s="23">
        <v>31.72</v>
      </c>
      <c r="F90" s="23">
        <v>34.89</v>
      </c>
      <c r="G90" s="26">
        <v>37.35</v>
      </c>
      <c r="H90" s="26">
        <v>39.619999999999997</v>
      </c>
      <c r="I90" s="26">
        <v>41.96</v>
      </c>
      <c r="J90" s="26">
        <v>44.46</v>
      </c>
      <c r="K90" s="26">
        <v>47.11</v>
      </c>
      <c r="L90" s="26">
        <v>49.92</v>
      </c>
    </row>
    <row r="91" spans="1:14" x14ac:dyDescent="0.25">
      <c r="A91" s="6"/>
      <c r="B91" s="23"/>
      <c r="C91" s="23"/>
      <c r="D91"/>
      <c r="E91" s="23"/>
      <c r="F91" s="23"/>
      <c r="G91" s="26"/>
      <c r="H91" s="24">
        <f>H90/G90-1</f>
        <v>6.0776439089692103E-2</v>
      </c>
      <c r="I91" s="24">
        <f>I90/H90-1</f>
        <v>5.9061080262493793E-2</v>
      </c>
      <c r="J91" s="24">
        <f>J90/I90-1</f>
        <v>5.9580552907531059E-2</v>
      </c>
      <c r="K91" s="24">
        <f>K90/J90-1</f>
        <v>5.9604138551506924E-2</v>
      </c>
      <c r="L91" s="24">
        <f>L90/K90-1</f>
        <v>5.9647633198896211E-2</v>
      </c>
    </row>
    <row r="92" spans="1:14" x14ac:dyDescent="0.25">
      <c r="A92" s="6"/>
      <c r="B92" s="23"/>
      <c r="C92" s="23"/>
      <c r="D92"/>
      <c r="E92" s="23"/>
      <c r="F92" s="23"/>
      <c r="G92" s="26"/>
      <c r="H92" s="24">
        <f>(1+H91)</f>
        <v>1.0607764390896921</v>
      </c>
      <c r="I92" s="24">
        <f>(1+I91)</f>
        <v>1.0590610802624938</v>
      </c>
      <c r="J92" s="24">
        <f>(1+J91)</f>
        <v>1.0595805529075311</v>
      </c>
      <c r="K92" s="24">
        <f>(1+K91)</f>
        <v>1.0596041385515069</v>
      </c>
      <c r="L92" s="24">
        <f>(1+L91)</f>
        <v>1.0596476331988962</v>
      </c>
      <c r="M92" s="25">
        <f>PRODUCT(H92:L92)^(1/4)-1</f>
        <v>7.521667899070783E-2</v>
      </c>
      <c r="N92" s="11" t="s">
        <v>3319</v>
      </c>
    </row>
    <row r="93" spans="1:14" x14ac:dyDescent="0.25">
      <c r="A93" s="6" t="s">
        <v>3298</v>
      </c>
      <c r="B93">
        <v>838.56</v>
      </c>
      <c r="C93">
        <v>734.27</v>
      </c>
      <c r="D93">
        <v>874.16</v>
      </c>
      <c r="E93" s="19">
        <v>1110</v>
      </c>
      <c r="F93" s="19">
        <v>1070</v>
      </c>
      <c r="G93" s="22">
        <v>1110</v>
      </c>
      <c r="H93" s="22">
        <v>1170</v>
      </c>
      <c r="I93" s="22">
        <v>1230</v>
      </c>
      <c r="J93" s="22">
        <v>1290</v>
      </c>
      <c r="K93" s="22">
        <v>1350</v>
      </c>
      <c r="L93" s="22">
        <v>1430</v>
      </c>
    </row>
    <row r="94" spans="1:14" x14ac:dyDescent="0.25">
      <c r="A94" s="6"/>
      <c r="B94"/>
      <c r="C94"/>
      <c r="D94"/>
      <c r="E94" s="19"/>
      <c r="F94" s="19"/>
      <c r="G94" s="22"/>
      <c r="H94" s="24">
        <f>H93/G93-1</f>
        <v>5.4054054054053946E-2</v>
      </c>
      <c r="I94" s="24">
        <f>I93/H93-1</f>
        <v>5.1282051282051322E-2</v>
      </c>
      <c r="J94" s="24">
        <f>J93/I93-1</f>
        <v>4.8780487804878092E-2</v>
      </c>
      <c r="K94" s="24">
        <f>K93/J93-1</f>
        <v>4.6511627906976827E-2</v>
      </c>
      <c r="L94" s="24">
        <f>L93/K93-1</f>
        <v>5.9259259259259345E-2</v>
      </c>
    </row>
    <row r="95" spans="1:14" x14ac:dyDescent="0.25">
      <c r="A95" s="6"/>
      <c r="B95"/>
      <c r="C95"/>
      <c r="D95"/>
      <c r="E95" s="19"/>
      <c r="F95" s="19"/>
      <c r="G95" s="22"/>
      <c r="H95" s="24">
        <f>(1+H94)</f>
        <v>1.0540540540540539</v>
      </c>
      <c r="I95" s="24">
        <f>(1+I94)</f>
        <v>1.0512820512820513</v>
      </c>
      <c r="J95" s="24">
        <f>(1+J94)</f>
        <v>1.0487804878048781</v>
      </c>
      <c r="K95" s="24">
        <f>(1+K94)</f>
        <v>1.0465116279069768</v>
      </c>
      <c r="L95" s="24">
        <f>(1+L94)</f>
        <v>1.0592592592592593</v>
      </c>
      <c r="M95" s="25">
        <f>PRODUCT(H95:L95)^(1/4)-1</f>
        <v>6.5376872266706965E-2</v>
      </c>
      <c r="N95" s="11" t="s">
        <v>3319</v>
      </c>
    </row>
    <row r="96" spans="1:14" x14ac:dyDescent="0.25">
      <c r="A96" s="6" t="s">
        <v>3283</v>
      </c>
      <c r="B96">
        <v>17.649999999999999</v>
      </c>
      <c r="C96">
        <v>16.010000000000002</v>
      </c>
      <c r="D96">
        <v>18.850000000000001</v>
      </c>
      <c r="E96">
        <v>24.99</v>
      </c>
      <c r="F96">
        <v>30.54</v>
      </c>
      <c r="G96" s="11">
        <v>32.869999999999997</v>
      </c>
      <c r="H96" s="11">
        <v>35.549999999999997</v>
      </c>
      <c r="I96" s="11">
        <v>38.229999999999997</v>
      </c>
      <c r="J96" s="11">
        <v>41.05</v>
      </c>
      <c r="K96" s="11">
        <v>43.75</v>
      </c>
      <c r="L96" s="11">
        <v>47.55</v>
      </c>
    </row>
    <row r="97" spans="1:14" x14ac:dyDescent="0.25">
      <c r="A97" s="6"/>
      <c r="B97"/>
      <c r="C97"/>
      <c r="D97"/>
      <c r="E97"/>
      <c r="F97"/>
      <c r="G97" s="11"/>
      <c r="H97" s="24">
        <f>H96/G96-1</f>
        <v>8.1533313051414646E-2</v>
      </c>
      <c r="I97" s="24">
        <f>I96/H96-1</f>
        <v>7.5386779184247521E-2</v>
      </c>
      <c r="J97" s="24">
        <f>J96/I96-1</f>
        <v>7.3764059639026991E-2</v>
      </c>
      <c r="K97" s="24">
        <f>K96/J96-1</f>
        <v>6.577344701583443E-2</v>
      </c>
      <c r="L97" s="24">
        <f>L96/K96-1</f>
        <v>8.6857142857142744E-2</v>
      </c>
    </row>
    <row r="98" spans="1:14" x14ac:dyDescent="0.25">
      <c r="A98" s="6"/>
      <c r="B98"/>
      <c r="C98"/>
      <c r="D98"/>
      <c r="E98"/>
      <c r="F98"/>
      <c r="G98" s="11"/>
      <c r="H98" s="24">
        <f>(1+H97)</f>
        <v>1.0815333130514146</v>
      </c>
      <c r="I98" s="24">
        <f>(1+I97)</f>
        <v>1.0753867791842475</v>
      </c>
      <c r="J98" s="24">
        <f>(1+J97)</f>
        <v>1.073764059639027</v>
      </c>
      <c r="K98" s="24">
        <f>(1+K97)</f>
        <v>1.0657734470158344</v>
      </c>
      <c r="L98" s="24">
        <f>(1+L97)</f>
        <v>1.0868571428571427</v>
      </c>
      <c r="M98" s="25">
        <f>PRODUCT(H98:L98)^(1/4)-1</f>
        <v>9.6699648556829443E-2</v>
      </c>
      <c r="N98" s="11" t="s">
        <v>3319</v>
      </c>
    </row>
    <row r="99" spans="1:14" x14ac:dyDescent="0.25">
      <c r="A99" s="6" t="s">
        <v>3292</v>
      </c>
      <c r="B99">
        <v>44.57</v>
      </c>
      <c r="C99">
        <v>43.76</v>
      </c>
      <c r="D99">
        <v>46.36</v>
      </c>
      <c r="E99">
        <v>48.72</v>
      </c>
      <c r="F99">
        <v>50.99</v>
      </c>
      <c r="G99" s="11">
        <v>53.57</v>
      </c>
      <c r="H99" s="11">
        <v>56.56</v>
      </c>
      <c r="I99" s="11">
        <v>59.71</v>
      </c>
      <c r="J99" s="11">
        <v>63.04</v>
      </c>
      <c r="K99" s="11">
        <v>66.55</v>
      </c>
      <c r="L99" s="11">
        <v>70.260000000000005</v>
      </c>
    </row>
    <row r="100" spans="1:14" x14ac:dyDescent="0.25">
      <c r="A100" s="6"/>
      <c r="B100"/>
      <c r="C100"/>
      <c r="D100"/>
      <c r="E100"/>
      <c r="F100"/>
      <c r="G100" s="11"/>
      <c r="H100" s="24">
        <f>H99/G99-1</f>
        <v>5.5814821728579433E-2</v>
      </c>
      <c r="I100" s="24">
        <f>I99/H99-1</f>
        <v>5.5693069306930632E-2</v>
      </c>
      <c r="J100" s="24">
        <f>J99/I99-1</f>
        <v>5.5769552838720537E-2</v>
      </c>
      <c r="K100" s="24">
        <f>K99/J99-1</f>
        <v>5.5678934010152226E-2</v>
      </c>
      <c r="L100" s="24">
        <f>L99/K99-1</f>
        <v>5.5747558226897143E-2</v>
      </c>
    </row>
    <row r="101" spans="1:14" x14ac:dyDescent="0.25">
      <c r="A101" s="6"/>
      <c r="B101"/>
      <c r="C101"/>
      <c r="D101"/>
      <c r="E101"/>
      <c r="F101"/>
      <c r="G101" s="11"/>
      <c r="H101" s="24">
        <f>(1+H100)</f>
        <v>1.0558148217285794</v>
      </c>
      <c r="I101" s="24">
        <f>(1+I100)</f>
        <v>1.0556930693069306</v>
      </c>
      <c r="J101" s="24">
        <f>(1+J100)</f>
        <v>1.0557695528387205</v>
      </c>
      <c r="K101" s="24">
        <f>(1+K100)</f>
        <v>1.0556789340101522</v>
      </c>
      <c r="L101" s="24">
        <f>(1+L100)</f>
        <v>1.0557475582268971</v>
      </c>
      <c r="M101" s="25">
        <f>PRODUCT(H101:L101)^(1/4)-1</f>
        <v>7.0154851719840261E-2</v>
      </c>
      <c r="N101" s="11" t="s">
        <v>3319</v>
      </c>
    </row>
    <row r="102" spans="1:14" x14ac:dyDescent="0.25">
      <c r="A102" s="6" t="s">
        <v>3294</v>
      </c>
      <c r="B102">
        <v>69.28</v>
      </c>
      <c r="C102">
        <v>46.92</v>
      </c>
      <c r="D102">
        <v>35.22</v>
      </c>
      <c r="E102">
        <v>43.29</v>
      </c>
      <c r="F102">
        <v>45.01</v>
      </c>
      <c r="G102" s="11">
        <v>48.22</v>
      </c>
      <c r="H102" s="11">
        <v>50.56</v>
      </c>
      <c r="I102" s="11">
        <v>52.29</v>
      </c>
      <c r="J102" s="11">
        <v>53.02</v>
      </c>
      <c r="K102" s="11">
        <v>53.8</v>
      </c>
      <c r="L102" s="11">
        <v>55.19</v>
      </c>
    </row>
    <row r="103" spans="1:14" x14ac:dyDescent="0.25">
      <c r="A103" s="6"/>
      <c r="B103"/>
      <c r="C103"/>
      <c r="D103"/>
      <c r="E103"/>
      <c r="F103"/>
      <c r="G103" s="11"/>
      <c r="H103" s="24">
        <f>H102/G102-1</f>
        <v>4.8527581916217422E-2</v>
      </c>
      <c r="I103" s="24">
        <f>I102/H102-1</f>
        <v>3.4216772151898667E-2</v>
      </c>
      <c r="J103" s="24">
        <f>J102/I102-1</f>
        <v>1.3960604322050152E-2</v>
      </c>
      <c r="K103" s="24">
        <f>K102/J102-1</f>
        <v>1.4711429649188812E-2</v>
      </c>
      <c r="L103" s="24">
        <f>L102/K102-1</f>
        <v>2.5836431226765821E-2</v>
      </c>
    </row>
    <row r="104" spans="1:14" x14ac:dyDescent="0.25">
      <c r="A104" s="6"/>
      <c r="B104"/>
      <c r="C104"/>
      <c r="D104"/>
      <c r="E104"/>
      <c r="F104"/>
      <c r="G104" s="11"/>
      <c r="H104" s="24">
        <f>(1+H103)</f>
        <v>1.0485275819162174</v>
      </c>
      <c r="I104" s="24">
        <f>(1+I103)</f>
        <v>1.0342167721518987</v>
      </c>
      <c r="J104" s="24">
        <f>(1+J103)</f>
        <v>1.0139606043220502</v>
      </c>
      <c r="K104" s="24">
        <f>(1+K103)</f>
        <v>1.0147114296491888</v>
      </c>
      <c r="L104" s="24">
        <f>(1+L103)</f>
        <v>1.0258364312267658</v>
      </c>
      <c r="M104" s="25">
        <f>PRODUCT(H104:L104)^(1/4)-1</f>
        <v>3.4328036915281857E-2</v>
      </c>
      <c r="N104" s="11" t="s">
        <v>3319</v>
      </c>
    </row>
    <row r="105" spans="1:14" x14ac:dyDescent="0.25">
      <c r="A105" s="6" t="s">
        <v>3311</v>
      </c>
      <c r="B105">
        <v>533.88</v>
      </c>
      <c r="C105">
        <v>547.04999999999995</v>
      </c>
      <c r="D105">
        <v>639.72</v>
      </c>
      <c r="E105">
        <v>590.41</v>
      </c>
      <c r="F105">
        <v>593.27</v>
      </c>
      <c r="G105" s="11">
        <v>623.04999999999995</v>
      </c>
      <c r="H105" s="11">
        <v>651.28</v>
      </c>
      <c r="I105" s="11">
        <v>680.16</v>
      </c>
      <c r="J105" s="11">
        <v>711.1</v>
      </c>
      <c r="K105" s="11">
        <v>742.27</v>
      </c>
      <c r="L105" s="11">
        <v>774.57</v>
      </c>
    </row>
    <row r="106" spans="1:14" x14ac:dyDescent="0.25">
      <c r="A106" s="6"/>
      <c r="B106"/>
      <c r="C106"/>
      <c r="D106"/>
      <c r="E106"/>
      <c r="F106"/>
      <c r="G106" s="11"/>
      <c r="H106" s="24">
        <f>H105/G105-1</f>
        <v>4.5309365219484921E-2</v>
      </c>
      <c r="I106" s="24">
        <f>I105/H105-1</f>
        <v>4.4343446751013316E-2</v>
      </c>
      <c r="J106" s="24">
        <f>J105/I105-1</f>
        <v>4.5489296636085808E-2</v>
      </c>
      <c r="K106" s="24">
        <f>K105/J105-1</f>
        <v>4.3833497398396704E-2</v>
      </c>
      <c r="L106" s="24">
        <f>L105/K105-1</f>
        <v>4.3515162946097918E-2</v>
      </c>
    </row>
    <row r="107" spans="1:14" x14ac:dyDescent="0.25">
      <c r="A107" s="6"/>
      <c r="B107"/>
      <c r="C107"/>
      <c r="D107"/>
      <c r="E107"/>
      <c r="F107"/>
      <c r="G107" s="11"/>
      <c r="H107" s="24">
        <f>(1+H106)</f>
        <v>1.0453093652194849</v>
      </c>
      <c r="I107" s="24">
        <f>(1+I106)</f>
        <v>1.0443434467510133</v>
      </c>
      <c r="J107" s="24">
        <f>(1+J106)</f>
        <v>1.0454892966360858</v>
      </c>
      <c r="K107" s="24">
        <f>(1+K106)</f>
        <v>1.0438334973983967</v>
      </c>
      <c r="L107" s="24">
        <f>(1+L106)</f>
        <v>1.0435151629460979</v>
      </c>
      <c r="M107" s="25">
        <f>PRODUCT(H107:L107)^(1/4)-1</f>
        <v>5.5928332540614134E-2</v>
      </c>
      <c r="N107" s="11" t="s">
        <v>3319</v>
      </c>
    </row>
    <row r="108" spans="1:14" x14ac:dyDescent="0.25">
      <c r="A108" s="6" t="s">
        <v>3313</v>
      </c>
      <c r="B108">
        <v>154.01</v>
      </c>
      <c r="C108">
        <v>156.63</v>
      </c>
      <c r="D108">
        <v>199.81</v>
      </c>
      <c r="E108">
        <v>160.52000000000001</v>
      </c>
      <c r="F108">
        <v>177.2</v>
      </c>
      <c r="G108" s="11">
        <v>188.94</v>
      </c>
      <c r="H108" s="11">
        <v>193.6</v>
      </c>
      <c r="I108" s="11">
        <v>202.56</v>
      </c>
      <c r="J108" s="11">
        <v>214.3</v>
      </c>
      <c r="K108" s="11">
        <v>227.05</v>
      </c>
      <c r="L108" s="11">
        <v>239.23</v>
      </c>
    </row>
    <row r="109" spans="1:14" x14ac:dyDescent="0.25">
      <c r="A109" s="6"/>
      <c r="B109"/>
      <c r="C109"/>
      <c r="D109"/>
      <c r="E109"/>
      <c r="F109"/>
      <c r="G109" s="11"/>
      <c r="H109" s="24">
        <f>H108/G108-1</f>
        <v>2.4663914470202108E-2</v>
      </c>
      <c r="I109" s="24">
        <f>I108/H108-1</f>
        <v>4.6280991735537125E-2</v>
      </c>
      <c r="J109" s="24">
        <f>J108/I108-1</f>
        <v>5.7958135860979532E-2</v>
      </c>
      <c r="K109" s="24">
        <f>K108/J108-1</f>
        <v>5.9496033597760123E-2</v>
      </c>
      <c r="L109" s="24">
        <f>L108/K108-1</f>
        <v>5.36445716802465E-2</v>
      </c>
    </row>
    <row r="110" spans="1:14" x14ac:dyDescent="0.25">
      <c r="A110" s="6"/>
      <c r="B110"/>
      <c r="C110"/>
      <c r="D110"/>
      <c r="E110"/>
      <c r="F110"/>
      <c r="G110" s="11"/>
      <c r="H110" s="24">
        <f>(1+H109)</f>
        <v>1.0246639144702021</v>
      </c>
      <c r="I110" s="24">
        <f>(1+I109)</f>
        <v>1.0462809917355371</v>
      </c>
      <c r="J110" s="24">
        <f>(1+J109)</f>
        <v>1.0579581358609795</v>
      </c>
      <c r="K110" s="24">
        <f>(1+K109)</f>
        <v>1.0594960335977601</v>
      </c>
      <c r="L110" s="24">
        <f>(1+L109)</f>
        <v>1.0536445716802465</v>
      </c>
      <c r="M110" s="25">
        <f>PRODUCT(H110:L110)^(1/4)-1</f>
        <v>6.0774160853348302E-2</v>
      </c>
      <c r="N110" s="11" t="s">
        <v>3319</v>
      </c>
    </row>
    <row r="111" spans="1:14" x14ac:dyDescent="0.25">
      <c r="A111" s="6" t="s">
        <v>3307</v>
      </c>
      <c r="B111">
        <v>376.9</v>
      </c>
      <c r="C111">
        <v>349.49</v>
      </c>
      <c r="D111">
        <v>434.11</v>
      </c>
      <c r="E111">
        <v>498.48</v>
      </c>
      <c r="F111">
        <v>501.43</v>
      </c>
      <c r="G111" s="11">
        <v>525.23</v>
      </c>
      <c r="H111" s="11">
        <v>548.15</v>
      </c>
      <c r="I111" s="11">
        <v>573.47</v>
      </c>
      <c r="J111" s="11">
        <v>599.29999999999995</v>
      </c>
      <c r="K111" s="11">
        <v>626.29</v>
      </c>
      <c r="L111" s="11">
        <v>654.71</v>
      </c>
    </row>
    <row r="112" spans="1:14" x14ac:dyDescent="0.25">
      <c r="A112" s="6"/>
      <c r="B112"/>
      <c r="C112"/>
      <c r="D112"/>
      <c r="E112"/>
      <c r="F112"/>
      <c r="G112" s="11"/>
      <c r="H112" s="24">
        <f>H111/G111-1</f>
        <v>4.3638025246082623E-2</v>
      </c>
      <c r="I112" s="24">
        <f>I111/H111-1</f>
        <v>4.6191735838730263E-2</v>
      </c>
      <c r="J112" s="24">
        <f>J111/I111-1</f>
        <v>4.5041588923570464E-2</v>
      </c>
      <c r="K112" s="24">
        <f>K111/J111-1</f>
        <v>4.5035875187719121E-2</v>
      </c>
      <c r="L112" s="24">
        <f>L111/K111-1</f>
        <v>4.5378339108081089E-2</v>
      </c>
    </row>
    <row r="113" spans="1:14" x14ac:dyDescent="0.25">
      <c r="A113" s="6"/>
      <c r="B113"/>
      <c r="C113"/>
      <c r="D113"/>
      <c r="E113"/>
      <c r="F113"/>
      <c r="G113" s="11"/>
      <c r="H113" s="24">
        <f>(1+H112)</f>
        <v>1.0436380252460826</v>
      </c>
      <c r="I113" s="24">
        <f>(1+I112)</f>
        <v>1.0461917358387303</v>
      </c>
      <c r="J113" s="24">
        <f>(1+J112)</f>
        <v>1.0450415889235705</v>
      </c>
      <c r="K113" s="24">
        <f>(1+K112)</f>
        <v>1.0450358751877191</v>
      </c>
      <c r="L113" s="24">
        <f>(1+L112)</f>
        <v>1.0453783391080811</v>
      </c>
      <c r="M113" s="25">
        <f>PRODUCT(H113:L113)^(1/4)-1</f>
        <v>5.6634684683448011E-2</v>
      </c>
      <c r="N113" s="11" t="s">
        <v>3319</v>
      </c>
    </row>
    <row r="114" spans="1:14" x14ac:dyDescent="0.25">
      <c r="A114" s="6" t="s">
        <v>3310</v>
      </c>
      <c r="B114">
        <v>62.23</v>
      </c>
      <c r="C114">
        <v>53.67</v>
      </c>
      <c r="D114">
        <v>60.76</v>
      </c>
      <c r="E114">
        <v>70.17</v>
      </c>
      <c r="F114">
        <v>77.239999999999995</v>
      </c>
      <c r="G114" s="11">
        <v>82.61</v>
      </c>
      <c r="H114" s="11">
        <v>86.29</v>
      </c>
      <c r="I114" s="11">
        <v>90.11</v>
      </c>
      <c r="J114" s="11">
        <v>94.19</v>
      </c>
      <c r="K114" s="11">
        <v>98.61</v>
      </c>
      <c r="L114" s="11">
        <v>103.27</v>
      </c>
    </row>
    <row r="115" spans="1:14" x14ac:dyDescent="0.25">
      <c r="A115" s="6"/>
      <c r="B115"/>
      <c r="C115"/>
      <c r="D115"/>
      <c r="E115"/>
      <c r="F115"/>
      <c r="G115" s="11"/>
      <c r="H115" s="24">
        <f>H114/G114-1</f>
        <v>4.4546665052657142E-2</v>
      </c>
      <c r="I115" s="24">
        <f>I114/H114-1</f>
        <v>4.4269324371305929E-2</v>
      </c>
      <c r="J115" s="24">
        <f>J114/I114-1</f>
        <v>4.5277993563422436E-2</v>
      </c>
      <c r="K115" s="24">
        <f>K114/J114-1</f>
        <v>4.6926425310542585E-2</v>
      </c>
      <c r="L115" s="24">
        <f>L114/K114-1</f>
        <v>4.72568704999492E-2</v>
      </c>
    </row>
    <row r="116" spans="1:14" x14ac:dyDescent="0.25">
      <c r="A116" s="6"/>
      <c r="B116"/>
      <c r="C116"/>
      <c r="D116"/>
      <c r="E116"/>
      <c r="F116"/>
      <c r="G116" s="11"/>
      <c r="H116" s="24">
        <f>(1+H115)</f>
        <v>1.0445466650526571</v>
      </c>
      <c r="I116" s="24">
        <f>(1+I115)</f>
        <v>1.0442693243713059</v>
      </c>
      <c r="J116" s="24">
        <f>(1+J115)</f>
        <v>1.0452779935634224</v>
      </c>
      <c r="K116" s="24">
        <f>(1+K115)</f>
        <v>1.0469264253105426</v>
      </c>
      <c r="L116" s="24">
        <f>(1+L115)</f>
        <v>1.0472568704999492</v>
      </c>
      <c r="M116" s="25">
        <f>PRODUCT(H116:L116)^(1/4)-1</f>
        <v>5.7390462250617169E-2</v>
      </c>
      <c r="N116" s="11" t="s">
        <v>3319</v>
      </c>
    </row>
    <row r="117" spans="1:14" x14ac:dyDescent="0.25">
      <c r="A117" s="6" t="s">
        <v>3285</v>
      </c>
      <c r="B117">
        <v>205.28</v>
      </c>
      <c r="C117">
        <v>188.33</v>
      </c>
      <c r="D117">
        <v>214.81</v>
      </c>
      <c r="E117">
        <v>217.75</v>
      </c>
      <c r="F117">
        <v>238.28</v>
      </c>
      <c r="G117" s="11">
        <v>250.28</v>
      </c>
      <c r="H117" s="11">
        <v>260.45</v>
      </c>
      <c r="I117" s="11">
        <v>270.02999999999997</v>
      </c>
      <c r="J117" s="11">
        <v>278.72000000000003</v>
      </c>
      <c r="K117" s="11">
        <v>287.76</v>
      </c>
      <c r="L117" s="11">
        <v>297.02999999999997</v>
      </c>
    </row>
    <row r="118" spans="1:14" x14ac:dyDescent="0.25">
      <c r="A118" s="6"/>
      <c r="B118"/>
      <c r="C118"/>
      <c r="D118"/>
      <c r="E118"/>
      <c r="F118"/>
      <c r="G118" s="11"/>
      <c r="H118" s="24">
        <f>H117/G117-1</f>
        <v>4.0634489371903504E-2</v>
      </c>
      <c r="I118" s="24">
        <f>I117/H117-1</f>
        <v>3.6782491841044207E-2</v>
      </c>
      <c r="J118" s="24">
        <f>J117/I117-1</f>
        <v>3.2181609450802062E-2</v>
      </c>
      <c r="K118" s="24">
        <f>K117/J117-1</f>
        <v>3.2433983926521082E-2</v>
      </c>
      <c r="L118" s="24">
        <f>L117/K117-1</f>
        <v>3.2214345287739699E-2</v>
      </c>
    </row>
    <row r="119" spans="1:14" x14ac:dyDescent="0.25">
      <c r="A119" s="6"/>
      <c r="B119"/>
      <c r="C119"/>
      <c r="D119"/>
      <c r="E119"/>
      <c r="F119"/>
      <c r="G119" s="11"/>
      <c r="H119" s="24">
        <f>(1+H118)</f>
        <v>1.0406344893719035</v>
      </c>
      <c r="I119" s="24">
        <f>(1+I118)</f>
        <v>1.0367824918410442</v>
      </c>
      <c r="J119" s="24">
        <f>(1+J118)</f>
        <v>1.0321816094508021</v>
      </c>
      <c r="K119" s="24">
        <f>(1+K118)</f>
        <v>1.0324339839265211</v>
      </c>
      <c r="L119" s="24">
        <f>(1+L118)</f>
        <v>1.0322143452877397</v>
      </c>
      <c r="M119" s="25">
        <f>PRODUCT(H119:L119)^(1/4)-1</f>
        <v>4.3742919208533459E-2</v>
      </c>
      <c r="N119" s="11" t="s">
        <v>3319</v>
      </c>
    </row>
    <row r="120" spans="1:14" x14ac:dyDescent="0.25">
      <c r="A120" s="4" t="s">
        <v>3262</v>
      </c>
      <c r="B120" s="27">
        <f>SUM(B3:B117)</f>
        <v>65412.980000000018</v>
      </c>
      <c r="C120" s="27">
        <f t="shared" ref="C120:G120" si="0">SUM(C3:C117)</f>
        <v>64575.409999999989</v>
      </c>
      <c r="D120" s="27">
        <f>SUM(D3:D117)</f>
        <v>73419.839999999997</v>
      </c>
      <c r="E120" s="27">
        <f t="shared" si="0"/>
        <v>75583.650000000009</v>
      </c>
      <c r="F120" s="27">
        <f t="shared" si="0"/>
        <v>78050.59</v>
      </c>
      <c r="G120" s="28">
        <f t="shared" si="0"/>
        <v>81442.929999999993</v>
      </c>
      <c r="H120" s="28">
        <f>SUM(H117,H114,H111,H108,H105,H102,H99,H96,H93,H90,H87,H84,H81,H78,H75,H72,H69,H66,H63,H60,H57,H54,H51,H48,H45,H42,H39,H36,H33,H30,H27,H24,H21,H18,H15,H12,H9,H6,H3)</f>
        <v>84945.5</v>
      </c>
      <c r="I120" s="28">
        <f>SUM(I117,I114,I111,I108,I105,I102,I99,I96,I93,I90,I87,I84,I81,I78,I75,I72,I69,I66,I63,I60,I57,I54,I51,I48,I45,I42,I39,I36,I33,I30,I27,I24,I21,I18,I15,I12,I9,I6,I3)</f>
        <v>88812.439999999988</v>
      </c>
      <c r="J120" s="28">
        <f>SUM(J117,J114,J111,J108,J105,J102,J99,J96,J93,J90,J87,J84,J81,J78,J75,J72,J69,J66,J63,J60,J57,J54,J51,J48,J45,J42,J39,J36,J33,J30,J27,J24,J21,J18,J15,J12,J9,J6,J3)</f>
        <v>92729.220000000016</v>
      </c>
      <c r="K120" s="28">
        <f>SUM(K117,K114,K111,K108,K105,K102,K99,K96,K93,K90,K87,K84,K81,K78,K75,K72,K69,K66,K63,K60,K57,K54,K51,K48,K45,K42,K39,K36,K33,K30,K27,K24,K21,K18,K15,K12,K9,K6,K3)</f>
        <v>96856.62</v>
      </c>
      <c r="L120" s="28">
        <f>SUM(L117,L114,L111,L108,L105,L102,L99,L96,L93,L90,L87,L84,L81,L78,L75,L72,L69,L66,L63,L60,L57,L54,L51,L48,L45,L42,L39,L36,L33,L30,L27,L24,L21,L18,L15,L12,L9,L6,L3)</f>
        <v>100930.35999999997</v>
      </c>
      <c r="M120" t="s">
        <v>3320</v>
      </c>
    </row>
    <row r="121" spans="1:14" x14ac:dyDescent="0.25">
      <c r="A121" s="48" t="s">
        <v>3317</v>
      </c>
      <c r="B121" s="49">
        <f>[1]dados1!AU64</f>
        <v>119695.03400000004</v>
      </c>
      <c r="C121" s="49">
        <f>[1]dados1!AK62</f>
        <v>124582.50700000003</v>
      </c>
      <c r="D121" s="49">
        <f>[1]dados1!AA63</f>
        <v>163260.61999999997</v>
      </c>
      <c r="E121" s="49">
        <f>[1]dados1!Q62</f>
        <v>114988.50600000001</v>
      </c>
      <c r="F121" s="49">
        <f>[1]dados1!G70</f>
        <v>137499.15600000005</v>
      </c>
      <c r="G121" s="48"/>
      <c r="H121" s="50">
        <f>H120/G120-1</f>
        <v>4.3006434075984368E-2</v>
      </c>
      <c r="I121" s="50">
        <f>I120/H120-1</f>
        <v>4.552259978456763E-2</v>
      </c>
      <c r="J121" s="50">
        <f>J120/I120-1</f>
        <v>4.4101704671102748E-2</v>
      </c>
      <c r="K121" s="50">
        <f>K120/J120-1</f>
        <v>4.4510241755511215E-2</v>
      </c>
      <c r="L121" s="50">
        <f>L120/K120-1</f>
        <v>4.2059489583675003E-2</v>
      </c>
      <c r="M121" s="51"/>
      <c r="N121" s="51"/>
    </row>
    <row r="122" spans="1:14" ht="15.75" x14ac:dyDescent="0.25">
      <c r="H122" s="29">
        <f>(1+H121)</f>
        <v>1.0430064340759844</v>
      </c>
      <c r="I122" s="29">
        <f>(1+I121)</f>
        <v>1.0455225997845676</v>
      </c>
      <c r="J122" s="29">
        <f>(1+J121)</f>
        <v>1.0441017046711027</v>
      </c>
      <c r="K122" s="29">
        <f>(1+K121)</f>
        <v>1.0445102417555112</v>
      </c>
      <c r="L122" s="29">
        <f>(1+L121)</f>
        <v>1.042059489583675</v>
      </c>
      <c r="M122" s="30">
        <f>PRODUCT(H122:L122)^(1/5)-1</f>
        <v>4.3839402810725181E-2</v>
      </c>
      <c r="N122" s="21" t="s">
        <v>3319</v>
      </c>
    </row>
    <row r="123" spans="1:14" ht="15.75" x14ac:dyDescent="0.25">
      <c r="H123" s="29"/>
      <c r="I123" s="29"/>
      <c r="J123" s="29"/>
      <c r="K123" s="29"/>
      <c r="L123" s="29"/>
      <c r="M123" s="30"/>
      <c r="N123" s="21"/>
    </row>
    <row r="124" spans="1:14" x14ac:dyDescent="0.25">
      <c r="B124" s="20">
        <v>2019</v>
      </c>
      <c r="C124" s="20">
        <v>2020</v>
      </c>
      <c r="D124" s="20">
        <v>2021</v>
      </c>
      <c r="E124" s="20">
        <v>2022</v>
      </c>
      <c r="F124" s="20">
        <v>2023</v>
      </c>
      <c r="G124" s="21">
        <v>2024</v>
      </c>
      <c r="H124" s="21">
        <v>2025</v>
      </c>
      <c r="I124" s="21">
        <v>2026</v>
      </c>
      <c r="J124" s="21">
        <v>2027</v>
      </c>
      <c r="K124" s="21">
        <v>2028</v>
      </c>
      <c r="L124" s="21">
        <v>2029</v>
      </c>
    </row>
    <row r="125" spans="1:14" x14ac:dyDescent="0.25">
      <c r="A125" s="4" t="s">
        <v>3262</v>
      </c>
      <c r="B125" s="27">
        <f>B120</f>
        <v>65412.980000000018</v>
      </c>
      <c r="C125" s="27">
        <f t="shared" ref="C125:L125" si="1">C120</f>
        <v>64575.409999999989</v>
      </c>
      <c r="D125" s="27">
        <f t="shared" si="1"/>
        <v>73419.839999999997</v>
      </c>
      <c r="E125" s="27">
        <f t="shared" si="1"/>
        <v>75583.650000000009</v>
      </c>
      <c r="F125" s="27">
        <f t="shared" si="1"/>
        <v>78050.59</v>
      </c>
      <c r="G125" s="27">
        <f t="shared" si="1"/>
        <v>81442.929999999993</v>
      </c>
      <c r="H125" s="27">
        <f t="shared" si="1"/>
        <v>84945.5</v>
      </c>
      <c r="I125" s="27">
        <f t="shared" si="1"/>
        <v>88812.439999999988</v>
      </c>
      <c r="J125" s="27">
        <f t="shared" si="1"/>
        <v>92729.220000000016</v>
      </c>
      <c r="K125" s="27">
        <f t="shared" si="1"/>
        <v>96856.62</v>
      </c>
      <c r="L125" s="27">
        <f t="shared" si="1"/>
        <v>100930.35999999997</v>
      </c>
    </row>
    <row r="126" spans="1:14" x14ac:dyDescent="0.25">
      <c r="B126" s="31"/>
      <c r="C126" s="32">
        <f>C125/B125-1</f>
        <v>-1.2804339444557167E-2</v>
      </c>
      <c r="D126" s="32">
        <f t="shared" ref="D126:J126" si="2">D125/C125-1</f>
        <v>0.13696281603167537</v>
      </c>
      <c r="E126" s="32">
        <f t="shared" si="2"/>
        <v>2.9471734070790845E-2</v>
      </c>
      <c r="F126" s="32">
        <f t="shared" si="2"/>
        <v>3.2638540213392631E-2</v>
      </c>
      <c r="G126" s="32">
        <f t="shared" si="2"/>
        <v>4.3463348579427796E-2</v>
      </c>
      <c r="H126" s="32">
        <f t="shared" si="2"/>
        <v>4.3006434075984368E-2</v>
      </c>
      <c r="I126" s="32">
        <f t="shared" si="2"/>
        <v>4.552259978456763E-2</v>
      </c>
      <c r="J126" s="32">
        <f t="shared" si="2"/>
        <v>4.4101704671102748E-2</v>
      </c>
      <c r="K126" s="32">
        <f>K125/J125-1</f>
        <v>4.4510241755511215E-2</v>
      </c>
      <c r="L126" s="32">
        <f>L125/K125-1</f>
        <v>4.2059489583675003E-2</v>
      </c>
    </row>
    <row r="127" spans="1:14" x14ac:dyDescent="0.25">
      <c r="B127" s="31"/>
      <c r="C127" s="9"/>
      <c r="D127" s="6">
        <f>_xlfn.STDEV.S($C126:D126)</f>
        <v>0.105901371236264</v>
      </c>
      <c r="E127" s="6">
        <f>_xlfn.STDEV.S($C126:E126)</f>
        <v>7.7213772467998126E-2</v>
      </c>
      <c r="F127" s="6">
        <f>_xlfn.STDEV.S($C126:F126)</f>
        <v>6.3724954851690288E-2</v>
      </c>
      <c r="G127" s="6">
        <f>_xlfn.STDEV.S($C126:G126)</f>
        <v>5.5204883539564542E-2</v>
      </c>
      <c r="H127" s="6">
        <f>_xlfn.STDEV.S($C126:H126)</f>
        <v>4.939133445647545E-2</v>
      </c>
      <c r="I127" s="6">
        <f>_xlfn.STDEV.S($C126:I126)</f>
        <v>4.5087920316467356E-2</v>
      </c>
      <c r="J127" s="6">
        <f>_xlfn.STDEV.S($C126:J126)</f>
        <v>4.1746089114036648E-2</v>
      </c>
      <c r="K127" s="6">
        <f>_xlfn.STDEV.S($C126:K126)</f>
        <v>3.9050767610050802E-2</v>
      </c>
      <c r="L127" s="6">
        <f>_xlfn.STDEV.S($C126:L126)</f>
        <v>3.6830877887170883E-2</v>
      </c>
    </row>
    <row r="128" spans="1:14" x14ac:dyDescent="0.25">
      <c r="B128" s="31"/>
      <c r="C128" s="9"/>
    </row>
    <row r="129" spans="2:3" x14ac:dyDescent="0.25">
      <c r="B129" s="31"/>
      <c r="C129" s="9"/>
    </row>
  </sheetData>
  <hyperlinks>
    <hyperlink ref="N2" r:id="rId1" display="https://www.imf.org/en/Countries" xr:uid="{957DC8F5-7FD1-4F3F-8DB6-5F4B992187E9}"/>
  </hyperlinks>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9D785-E612-4F35-A45C-F407EFBA2D95}">
  <sheetPr codeName="Planilha10"/>
  <dimension ref="A1:AP27"/>
  <sheetViews>
    <sheetView workbookViewId="0">
      <selection activeCell="F13" sqref="F13:F17"/>
    </sheetView>
  </sheetViews>
  <sheetFormatPr defaultRowHeight="15" x14ac:dyDescent="0.25"/>
  <cols>
    <col min="4" max="4" width="10.5703125" bestFit="1" customWidth="1"/>
    <col min="5" max="5" width="2.28515625" customWidth="1"/>
    <col min="7" max="42" width="11.5703125" bestFit="1" customWidth="1"/>
  </cols>
  <sheetData>
    <row r="1" spans="1:42" x14ac:dyDescent="0.25">
      <c r="A1" s="55" t="s">
        <v>3698</v>
      </c>
    </row>
    <row r="2" spans="1:42" x14ac:dyDescent="0.25">
      <c r="A2" s="17" t="s">
        <v>3315</v>
      </c>
      <c r="B2" s="17" t="s">
        <v>3316</v>
      </c>
      <c r="C2" s="17" t="s">
        <v>3317</v>
      </c>
      <c r="D2" s="17" t="s">
        <v>3318</v>
      </c>
      <c r="F2" s="1" t="s">
        <v>3736</v>
      </c>
    </row>
    <row r="3" spans="1:42" x14ac:dyDescent="0.25">
      <c r="A3" s="6">
        <v>2019</v>
      </c>
      <c r="B3" s="6">
        <v>804</v>
      </c>
      <c r="C3" s="9">
        <v>70281.678</v>
      </c>
      <c r="D3" s="31">
        <v>65412.980000000018</v>
      </c>
      <c r="F3" s="17" t="s">
        <v>154</v>
      </c>
      <c r="G3" t="s">
        <v>155</v>
      </c>
    </row>
    <row r="4" spans="1:42" x14ac:dyDescent="0.25">
      <c r="A4" s="6">
        <v>2020</v>
      </c>
      <c r="B4" s="6">
        <v>804</v>
      </c>
      <c r="C4" s="9">
        <v>68966.483999999997</v>
      </c>
      <c r="D4" s="31">
        <v>64575.409999999989</v>
      </c>
      <c r="F4" s="426" t="s">
        <v>392</v>
      </c>
      <c r="G4" s="3" t="s">
        <v>393</v>
      </c>
    </row>
    <row r="5" spans="1:42" x14ac:dyDescent="0.25">
      <c r="A5" s="6">
        <v>2021</v>
      </c>
      <c r="B5" s="6">
        <v>804</v>
      </c>
      <c r="C5" s="9">
        <v>93720.224000000017</v>
      </c>
      <c r="D5" s="31">
        <v>73419.839999999997</v>
      </c>
      <c r="F5" s="426" t="s">
        <v>168</v>
      </c>
      <c r="G5" s="3" t="s">
        <v>169</v>
      </c>
    </row>
    <row r="6" spans="1:42" x14ac:dyDescent="0.25">
      <c r="A6" s="6">
        <v>2022</v>
      </c>
      <c r="B6" s="6">
        <v>804</v>
      </c>
      <c r="C6" s="9">
        <v>74131.453999999998</v>
      </c>
      <c r="D6" s="31">
        <v>75583.650000000009</v>
      </c>
      <c r="F6" s="426" t="s">
        <v>156</v>
      </c>
      <c r="G6" s="3" t="s">
        <v>157</v>
      </c>
    </row>
    <row r="7" spans="1:42" x14ac:dyDescent="0.25">
      <c r="A7" s="6">
        <v>2023</v>
      </c>
      <c r="B7" s="6">
        <v>804</v>
      </c>
      <c r="C7" s="9">
        <v>78288.462</v>
      </c>
      <c r="D7" s="31">
        <v>78050.59</v>
      </c>
      <c r="F7" s="426" t="s">
        <v>158</v>
      </c>
      <c r="G7" s="3" t="s">
        <v>159</v>
      </c>
    </row>
    <row r="8" spans="1:42" x14ac:dyDescent="0.25">
      <c r="A8" s="6">
        <v>2019</v>
      </c>
      <c r="B8" s="6">
        <v>805</v>
      </c>
      <c r="C8" s="9">
        <v>14443.460000000001</v>
      </c>
      <c r="D8" s="31">
        <v>65412.980000000018</v>
      </c>
      <c r="F8" s="426" t="s">
        <v>160</v>
      </c>
      <c r="G8" s="3" t="s">
        <v>161</v>
      </c>
    </row>
    <row r="9" spans="1:42" x14ac:dyDescent="0.25">
      <c r="A9" s="6">
        <v>2020</v>
      </c>
      <c r="B9" s="6">
        <v>805</v>
      </c>
      <c r="C9" s="9">
        <v>13868.062</v>
      </c>
      <c r="D9" s="31">
        <v>64575.409999999989</v>
      </c>
    </row>
    <row r="10" spans="1:42" x14ac:dyDescent="0.25">
      <c r="A10" s="6">
        <v>2021</v>
      </c>
      <c r="B10" s="6">
        <v>805</v>
      </c>
      <c r="C10" s="9">
        <v>16839.245999999996</v>
      </c>
      <c r="D10" s="31">
        <v>73419.839999999997</v>
      </c>
      <c r="F10" s="1" t="s">
        <v>3737</v>
      </c>
    </row>
    <row r="11" spans="1:42" x14ac:dyDescent="0.25">
      <c r="A11" s="6">
        <v>2022</v>
      </c>
      <c r="B11" s="6">
        <v>805</v>
      </c>
      <c r="C11" s="9">
        <v>15335.773999999999</v>
      </c>
      <c r="D11" s="31">
        <v>75583.650000000009</v>
      </c>
      <c r="F11" s="1" t="s">
        <v>3699</v>
      </c>
      <c r="G11" s="19">
        <f>pib_países!H120</f>
        <v>84945.5</v>
      </c>
      <c r="H11" s="19">
        <f>pib_países!I120</f>
        <v>88812.439999999988</v>
      </c>
      <c r="I11" s="19">
        <f>pib_países!J120</f>
        <v>92729.220000000016</v>
      </c>
      <c r="J11" s="19">
        <f>pib_países!K120</f>
        <v>96856.62</v>
      </c>
      <c r="K11" s="19">
        <f>pib_países!L120</f>
        <v>100930.35999999997</v>
      </c>
      <c r="L11" s="19">
        <f>(1+pib_países!$M$122)*dados_painel!K11</f>
        <v>105355.08670787148</v>
      </c>
      <c r="M11" s="19">
        <f>(1+pib_países!$M$122)*dados_painel!L11</f>
        <v>109973.79079221674</v>
      </c>
      <c r="N11" s="19">
        <f>(1+pib_países!$M$122)*dados_painel!M11</f>
        <v>114794.97610537914</v>
      </c>
      <c r="O11" s="19">
        <f>(1+pib_países!$M$122)*dados_painel!N11</f>
        <v>119827.51930351043</v>
      </c>
      <c r="P11" s="19">
        <f>(1+pib_países!$M$122)*dados_painel!O11</f>
        <v>125080.68619006698</v>
      </c>
      <c r="Q11" s="19">
        <f>(1+pib_países!$M$122)*dados_painel!P11</f>
        <v>130564.14877579523</v>
      </c>
      <c r="R11" s="19">
        <f>(1+pib_países!$M$122)*dados_painel!Q11</f>
        <v>136288.00308661675</v>
      </c>
      <c r="S11" s="19">
        <f>(1+pib_países!$M$122)*dados_painel!R11</f>
        <v>142262.7877522003</v>
      </c>
      <c r="T11" s="19">
        <f>(1+pib_países!$M$122)*dados_painel!S11</f>
        <v>148499.50340944569</v>
      </c>
      <c r="U11" s="19">
        <f>(1+pib_países!$M$122)*dados_painel!T11</f>
        <v>155009.63295660503</v>
      </c>
      <c r="V11" s="19">
        <f>(1+pib_países!$M$122)*dados_painel!U11</f>
        <v>161805.16269533228</v>
      </c>
      <c r="W11" s="19">
        <f>(1+pib_países!$M$122)*dados_painel!V11</f>
        <v>168898.60439958787</v>
      </c>
      <c r="X11" s="19">
        <f>(1+pib_países!$M$122)*dados_painel!W11</f>
        <v>176303.01835203072</v>
      </c>
      <c r="Y11" s="19">
        <f>(1+pib_países!$M$122)*dados_painel!X11</f>
        <v>184032.03739031206</v>
      </c>
      <c r="Z11" s="19">
        <f>(1+pib_países!$M$122)*dados_painel!Y11</f>
        <v>192099.8920075444</v>
      </c>
      <c r="AA11" s="19">
        <f>(1+pib_países!$M$122)*dados_painel!Z11</f>
        <v>200521.43655315996</v>
      </c>
      <c r="AB11" s="19">
        <f>(1+pib_países!$M$122)*dados_painel!AA11</f>
        <v>209312.1765823992</v>
      </c>
      <c r="AC11" s="19">
        <f>(1+pib_países!$M$122)*dados_painel!AB11</f>
        <v>218488.29740478465</v>
      </c>
      <c r="AD11" s="19">
        <f>(1+pib_países!$M$122)*dados_painel!AC11</f>
        <v>228066.69388414253</v>
      </c>
      <c r="AE11" s="19">
        <f>(1+pib_países!$M$122)*dados_painel!AD11</f>
        <v>238065.00154503982</v>
      </c>
      <c r="AF11" s="19">
        <f>(1+pib_países!$M$122)*dados_painel!AE11</f>
        <v>248501.62904290872</v>
      </c>
      <c r="AG11" s="19">
        <f>(1+pib_países!$M$122)*dados_painel!AF11</f>
        <v>259395.79205764219</v>
      </c>
      <c r="AH11" s="19">
        <f>(1+pib_países!$M$122)*dados_painel!AG11</f>
        <v>270767.54867306427</v>
      </c>
      <c r="AI11" s="19">
        <f>(1+pib_países!$M$122)*dados_painel!AH11</f>
        <v>282637.83630741539</v>
      </c>
      <c r="AJ11" s="19">
        <f>(1+pib_países!$M$122)*dados_painel!AI11</f>
        <v>295028.51026284799</v>
      </c>
      <c r="AK11" s="19">
        <f>(1+pib_países!$M$122)*dados_painel!AJ11</f>
        <v>307962.38396490918</v>
      </c>
      <c r="AL11" s="19">
        <f>(1+pib_países!$M$122)*dados_painel!AK11</f>
        <v>321463.27096609806</v>
      </c>
      <c r="AM11" s="19">
        <f>(1+pib_países!$M$122)*dados_painel!AL11</f>
        <v>335556.02879083413</v>
      </c>
      <c r="AN11" s="19">
        <f>(1+pib_países!$M$122)*dados_painel!AM11</f>
        <v>350266.60470256279</v>
      </c>
      <c r="AO11" s="19">
        <f>(1+pib_países!$M$122)*dados_painel!AN11</f>
        <v>365622.08347726351</v>
      </c>
      <c r="AP11" s="19">
        <f>(1+pib_países!$M$122)*dados_painel!AO11</f>
        <v>381650.73727131984</v>
      </c>
    </row>
    <row r="12" spans="1:42" x14ac:dyDescent="0.25">
      <c r="A12" s="6">
        <v>2023</v>
      </c>
      <c r="B12" s="6">
        <v>805</v>
      </c>
      <c r="C12" s="9">
        <v>14141.477000000001</v>
      </c>
      <c r="D12" s="31">
        <v>78050.59</v>
      </c>
      <c r="F12" s="17" t="s">
        <v>3260</v>
      </c>
      <c r="G12" s="1" t="s">
        <v>3700</v>
      </c>
      <c r="H12" s="1" t="s">
        <v>3701</v>
      </c>
      <c r="I12" s="1" t="s">
        <v>3702</v>
      </c>
      <c r="J12" s="1" t="s">
        <v>3703</v>
      </c>
      <c r="K12" s="1" t="s">
        <v>3704</v>
      </c>
      <c r="L12" s="1" t="s">
        <v>3705</v>
      </c>
      <c r="M12" s="1" t="s">
        <v>3706</v>
      </c>
      <c r="N12" s="1" t="s">
        <v>3707</v>
      </c>
      <c r="O12" s="1" t="s">
        <v>3708</v>
      </c>
      <c r="P12" s="1" t="s">
        <v>3709</v>
      </c>
      <c r="Q12" s="1" t="s">
        <v>3710</v>
      </c>
      <c r="R12" s="1" t="s">
        <v>3711</v>
      </c>
      <c r="S12" s="1" t="s">
        <v>3712</v>
      </c>
      <c r="T12" s="1" t="s">
        <v>3713</v>
      </c>
      <c r="U12" s="1" t="s">
        <v>3714</v>
      </c>
      <c r="V12" s="1" t="s">
        <v>3715</v>
      </c>
      <c r="W12" s="1" t="s">
        <v>3716</v>
      </c>
      <c r="X12" s="1" t="s">
        <v>3717</v>
      </c>
      <c r="Y12" s="1" t="s">
        <v>3718</v>
      </c>
      <c r="Z12" s="1" t="s">
        <v>3719</v>
      </c>
      <c r="AA12" s="1" t="s">
        <v>3720</v>
      </c>
      <c r="AB12" s="1" t="s">
        <v>3721</v>
      </c>
      <c r="AC12" s="1" t="s">
        <v>3722</v>
      </c>
      <c r="AD12" s="1" t="s">
        <v>3723</v>
      </c>
      <c r="AE12" s="1" t="s">
        <v>3724</v>
      </c>
      <c r="AF12" s="1" t="s">
        <v>3725</v>
      </c>
      <c r="AG12" s="1" t="s">
        <v>3726</v>
      </c>
      <c r="AH12" s="1" t="s">
        <v>3727</v>
      </c>
      <c r="AI12" s="1" t="s">
        <v>3728</v>
      </c>
      <c r="AJ12" s="1" t="s">
        <v>3729</v>
      </c>
      <c r="AK12" s="1" t="s">
        <v>3730</v>
      </c>
      <c r="AL12" s="1" t="s">
        <v>3731</v>
      </c>
      <c r="AM12" s="1" t="s">
        <v>3732</v>
      </c>
      <c r="AN12" s="1" t="s">
        <v>3733</v>
      </c>
      <c r="AO12" s="1" t="s">
        <v>3734</v>
      </c>
      <c r="AP12" s="1" t="s">
        <v>3735</v>
      </c>
    </row>
    <row r="13" spans="1:42" x14ac:dyDescent="0.25">
      <c r="A13" s="6">
        <v>2019</v>
      </c>
      <c r="B13" s="6">
        <v>806</v>
      </c>
      <c r="C13" s="9">
        <v>32778.035000000003</v>
      </c>
      <c r="D13" s="31">
        <v>65412.980000000018</v>
      </c>
      <c r="F13" s="17">
        <v>804</v>
      </c>
      <c r="G13" s="19">
        <f>49812+0.38182*G11</f>
        <v>82245.890809999997</v>
      </c>
      <c r="H13" s="19">
        <f>49812+0.38182*H11</f>
        <v>83722.36584079999</v>
      </c>
      <c r="I13" s="19">
        <f>49812+0.38182*I11</f>
        <v>85217.870780400001</v>
      </c>
      <c r="J13" s="19">
        <f t="shared" ref="J13:AP13" si="0">49812+0.38182*J11</f>
        <v>86793.794648399999</v>
      </c>
      <c r="K13" s="19">
        <f t="shared" si="0"/>
        <v>88349.230055199994</v>
      </c>
      <c r="L13" s="19">
        <f t="shared" si="0"/>
        <v>90038.679206799483</v>
      </c>
      <c r="M13" s="19">
        <f t="shared" si="0"/>
        <v>91802.192800284189</v>
      </c>
      <c r="N13" s="19">
        <f t="shared" si="0"/>
        <v>93643.017776555862</v>
      </c>
      <c r="O13" s="19">
        <f t="shared" si="0"/>
        <v>95564.543420466362</v>
      </c>
      <c r="P13" s="19">
        <f t="shared" si="0"/>
        <v>97570.307601091365</v>
      </c>
      <c r="Q13" s="19">
        <f t="shared" si="0"/>
        <v>99664.00328557413</v>
      </c>
      <c r="R13" s="19">
        <f t="shared" si="0"/>
        <v>101849.48533853202</v>
      </c>
      <c r="S13" s="19">
        <f t="shared" si="0"/>
        <v>104130.77761954512</v>
      </c>
      <c r="T13" s="19">
        <f t="shared" si="0"/>
        <v>106512.08039179456</v>
      </c>
      <c r="U13" s="19">
        <f t="shared" si="0"/>
        <v>108997.77805549093</v>
      </c>
      <c r="V13" s="19">
        <f t="shared" si="0"/>
        <v>111592.44722033177</v>
      </c>
      <c r="W13" s="19">
        <f t="shared" si="0"/>
        <v>114300.86513185065</v>
      </c>
      <c r="X13" s="19">
        <f t="shared" si="0"/>
        <v>117128.01846717237</v>
      </c>
      <c r="Y13" s="19">
        <f t="shared" si="0"/>
        <v>120079.11251636896</v>
      </c>
      <c r="Z13" s="19">
        <f t="shared" si="0"/>
        <v>123159.58076632061</v>
      </c>
      <c r="AA13" s="19">
        <f t="shared" si="0"/>
        <v>126375.09490472754</v>
      </c>
      <c r="AB13" s="19">
        <f t="shared" si="0"/>
        <v>129731.57526269167</v>
      </c>
      <c r="AC13" s="19">
        <f t="shared" si="0"/>
        <v>133235.20171509485</v>
      </c>
      <c r="AD13" s="19">
        <f t="shared" si="0"/>
        <v>136892.42505884331</v>
      </c>
      <c r="AE13" s="19">
        <f t="shared" si="0"/>
        <v>140709.97888992709</v>
      </c>
      <c r="AF13" s="19">
        <f t="shared" si="0"/>
        <v>144694.89200116339</v>
      </c>
      <c r="AG13" s="19">
        <f t="shared" si="0"/>
        <v>148854.50132344896</v>
      </c>
      <c r="AH13" s="19">
        <f t="shared" si="0"/>
        <v>153196.4654343494</v>
      </c>
      <c r="AI13" s="19">
        <f t="shared" si="0"/>
        <v>157728.77865889732</v>
      </c>
      <c r="AJ13" s="19">
        <f t="shared" si="0"/>
        <v>162459.78578856064</v>
      </c>
      <c r="AK13" s="19">
        <f t="shared" si="0"/>
        <v>167398.19744548161</v>
      </c>
      <c r="AL13" s="19">
        <f t="shared" si="0"/>
        <v>172553.10612027557</v>
      </c>
      <c r="AM13" s="19">
        <f t="shared" si="0"/>
        <v>177934.0029129163</v>
      </c>
      <c r="AN13" s="19">
        <f t="shared" si="0"/>
        <v>183550.79500753252</v>
      </c>
      <c r="AO13" s="19">
        <f t="shared" si="0"/>
        <v>189413.82391328874</v>
      </c>
      <c r="AP13" s="19">
        <f t="shared" si="0"/>
        <v>195533.88450493533</v>
      </c>
    </row>
    <row r="14" spans="1:42" x14ac:dyDescent="0.25">
      <c r="A14" s="6">
        <v>2020</v>
      </c>
      <c r="B14" s="6">
        <v>806</v>
      </c>
      <c r="C14" s="9">
        <v>32936.011999999995</v>
      </c>
      <c r="D14" s="31">
        <v>64575.409999999989</v>
      </c>
      <c r="F14" s="17">
        <v>805</v>
      </c>
      <c r="G14" s="19">
        <f>-12340+0.38182*G11</f>
        <v>20093.890810000001</v>
      </c>
      <c r="H14" s="19">
        <f t="shared" ref="H14:AP14" si="1">-12340+0.38182*H11</f>
        <v>21570.365840799997</v>
      </c>
      <c r="I14" s="19">
        <f t="shared" si="1"/>
        <v>23065.870780400008</v>
      </c>
      <c r="J14" s="19">
        <f t="shared" si="1"/>
        <v>24641.794648399999</v>
      </c>
      <c r="K14" s="19">
        <f t="shared" si="1"/>
        <v>26197.230055199987</v>
      </c>
      <c r="L14" s="19">
        <f t="shared" si="1"/>
        <v>27886.67920679949</v>
      </c>
      <c r="M14" s="19">
        <f t="shared" si="1"/>
        <v>29650.192800284196</v>
      </c>
      <c r="N14" s="19">
        <f t="shared" si="1"/>
        <v>31491.017776555862</v>
      </c>
      <c r="O14" s="19">
        <f t="shared" si="1"/>
        <v>33412.543420466354</v>
      </c>
      <c r="P14" s="19">
        <f t="shared" si="1"/>
        <v>35418.307601091372</v>
      </c>
      <c r="Q14" s="19">
        <f t="shared" si="1"/>
        <v>37512.00328557413</v>
      </c>
      <c r="R14" s="19">
        <f t="shared" si="1"/>
        <v>39697.485338532009</v>
      </c>
      <c r="S14" s="19">
        <f t="shared" si="1"/>
        <v>41978.777619545115</v>
      </c>
      <c r="T14" s="19">
        <f t="shared" si="1"/>
        <v>44360.080391794552</v>
      </c>
      <c r="U14" s="19">
        <f t="shared" si="1"/>
        <v>46845.778055490933</v>
      </c>
      <c r="V14" s="19">
        <f t="shared" si="1"/>
        <v>49440.447220331771</v>
      </c>
      <c r="W14" s="19">
        <f t="shared" si="1"/>
        <v>52148.865131850638</v>
      </c>
      <c r="X14" s="19">
        <f t="shared" si="1"/>
        <v>54976.018467172369</v>
      </c>
      <c r="Y14" s="19">
        <f t="shared" si="1"/>
        <v>57927.112516368958</v>
      </c>
      <c r="Z14" s="19">
        <f t="shared" si="1"/>
        <v>61007.580766320607</v>
      </c>
      <c r="AA14" s="19">
        <f t="shared" si="1"/>
        <v>64223.094904727535</v>
      </c>
      <c r="AB14" s="19">
        <f t="shared" si="1"/>
        <v>67579.575262691666</v>
      </c>
      <c r="AC14" s="19">
        <f t="shared" si="1"/>
        <v>71083.201715094867</v>
      </c>
      <c r="AD14" s="19">
        <f t="shared" si="1"/>
        <v>74740.425058843306</v>
      </c>
      <c r="AE14" s="19">
        <f t="shared" si="1"/>
        <v>78557.978889927108</v>
      </c>
      <c r="AF14" s="19">
        <f t="shared" si="1"/>
        <v>82542.892001163404</v>
      </c>
      <c r="AG14" s="19">
        <f t="shared" si="1"/>
        <v>86702.501323448945</v>
      </c>
      <c r="AH14" s="19">
        <f t="shared" si="1"/>
        <v>91044.465434349404</v>
      </c>
      <c r="AI14" s="19">
        <f t="shared" si="1"/>
        <v>95576.778658897339</v>
      </c>
      <c r="AJ14" s="19">
        <f t="shared" si="1"/>
        <v>100307.78578856062</v>
      </c>
      <c r="AK14" s="19">
        <f t="shared" si="1"/>
        <v>105246.19744548162</v>
      </c>
      <c r="AL14" s="19">
        <f t="shared" si="1"/>
        <v>110401.10612027557</v>
      </c>
      <c r="AM14" s="19">
        <f t="shared" si="1"/>
        <v>115782.00291291629</v>
      </c>
      <c r="AN14" s="19">
        <f t="shared" si="1"/>
        <v>121398.79500753252</v>
      </c>
      <c r="AO14" s="19">
        <f t="shared" si="1"/>
        <v>127261.82391328874</v>
      </c>
      <c r="AP14" s="19">
        <f t="shared" si="1"/>
        <v>133381.88450493533</v>
      </c>
    </row>
    <row r="15" spans="1:42" x14ac:dyDescent="0.25">
      <c r="A15" s="6">
        <v>2021</v>
      </c>
      <c r="B15" s="6">
        <v>806</v>
      </c>
      <c r="C15" s="9">
        <v>50426.39</v>
      </c>
      <c r="D15" s="31">
        <v>73419.839999999997</v>
      </c>
      <c r="F15" s="17">
        <v>806</v>
      </c>
      <c r="G15" s="19">
        <f>12405+0.38182*G11</f>
        <v>44838.890809999997</v>
      </c>
      <c r="H15" s="19">
        <f t="shared" ref="H15:AP15" si="2">12405+0.38182*H11</f>
        <v>46315.365840799997</v>
      </c>
      <c r="I15" s="19">
        <f t="shared" si="2"/>
        <v>47810.870780400008</v>
      </c>
      <c r="J15" s="19">
        <f t="shared" si="2"/>
        <v>49386.794648399999</v>
      </c>
      <c r="K15" s="19">
        <f t="shared" si="2"/>
        <v>50942.230055199987</v>
      </c>
      <c r="L15" s="19">
        <f t="shared" si="2"/>
        <v>52631.67920679949</v>
      </c>
      <c r="M15" s="19">
        <f t="shared" si="2"/>
        <v>54395.192800284196</v>
      </c>
      <c r="N15" s="19">
        <f t="shared" si="2"/>
        <v>56236.017776555862</v>
      </c>
      <c r="O15" s="19">
        <f>12405+0.38182*O11</f>
        <v>58157.543420466354</v>
      </c>
      <c r="P15" s="19">
        <f t="shared" si="2"/>
        <v>60163.307601091372</v>
      </c>
      <c r="Q15" s="19">
        <f t="shared" si="2"/>
        <v>62257.00328557413</v>
      </c>
      <c r="R15" s="19">
        <f t="shared" si="2"/>
        <v>64442.485338532009</v>
      </c>
      <c r="S15" s="19">
        <f t="shared" si="2"/>
        <v>66723.777619545115</v>
      </c>
      <c r="T15" s="19">
        <f t="shared" si="2"/>
        <v>69105.08039179456</v>
      </c>
      <c r="U15" s="19">
        <f t="shared" si="2"/>
        <v>71590.778055490926</v>
      </c>
      <c r="V15" s="19">
        <f t="shared" si="2"/>
        <v>74185.447220331771</v>
      </c>
      <c r="W15" s="19">
        <f t="shared" si="2"/>
        <v>76893.865131850645</v>
      </c>
      <c r="X15" s="19">
        <f t="shared" si="2"/>
        <v>79721.018467172369</v>
      </c>
      <c r="Y15" s="19">
        <f t="shared" si="2"/>
        <v>82672.112516368958</v>
      </c>
      <c r="Z15" s="19">
        <f t="shared" si="2"/>
        <v>85752.580766320607</v>
      </c>
      <c r="AA15" s="19">
        <f t="shared" si="2"/>
        <v>88968.094904727535</v>
      </c>
      <c r="AB15" s="19">
        <f t="shared" si="2"/>
        <v>92324.575262691666</v>
      </c>
      <c r="AC15" s="19">
        <f t="shared" si="2"/>
        <v>95828.201715094867</v>
      </c>
      <c r="AD15" s="19">
        <f t="shared" si="2"/>
        <v>99485.425058843306</v>
      </c>
      <c r="AE15" s="19">
        <f t="shared" si="2"/>
        <v>103302.97888992711</v>
      </c>
      <c r="AF15" s="19">
        <f t="shared" si="2"/>
        <v>107287.8920011634</v>
      </c>
      <c r="AG15" s="19">
        <f t="shared" si="2"/>
        <v>111447.50132344895</v>
      </c>
      <c r="AH15" s="19">
        <f t="shared" si="2"/>
        <v>115789.4654343494</v>
      </c>
      <c r="AI15" s="19">
        <f t="shared" si="2"/>
        <v>120321.77865889734</v>
      </c>
      <c r="AJ15" s="19">
        <f t="shared" si="2"/>
        <v>125052.78578856062</v>
      </c>
      <c r="AK15" s="19">
        <f t="shared" si="2"/>
        <v>129991.19744548162</v>
      </c>
      <c r="AL15" s="19">
        <f>12405+0.38182*AL11</f>
        <v>135146.10612027557</v>
      </c>
      <c r="AM15" s="19">
        <f t="shared" si="2"/>
        <v>140527.0029129163</v>
      </c>
      <c r="AN15" s="19">
        <f t="shared" si="2"/>
        <v>146143.79500753252</v>
      </c>
      <c r="AO15" s="19">
        <f t="shared" si="2"/>
        <v>152006.82391328874</v>
      </c>
      <c r="AP15" s="19">
        <f t="shared" si="2"/>
        <v>158126.88450493533</v>
      </c>
    </row>
    <row r="16" spans="1:42" x14ac:dyDescent="0.25">
      <c r="A16" s="6">
        <v>2022</v>
      </c>
      <c r="B16" s="6">
        <v>806</v>
      </c>
      <c r="C16" s="9">
        <v>34170.159</v>
      </c>
      <c r="D16" s="31">
        <v>75583.650000000009</v>
      </c>
      <c r="F16" s="17">
        <v>811</v>
      </c>
      <c r="G16" s="19">
        <f>-26450+0.38182*G11</f>
        <v>5983.8908100000008</v>
      </c>
      <c r="H16" s="19">
        <f t="shared" ref="H16:AP16" si="3">-26450+0.38182*H11</f>
        <v>7460.3658407999974</v>
      </c>
      <c r="I16" s="19">
        <f t="shared" si="3"/>
        <v>8955.8707804000078</v>
      </c>
      <c r="J16" s="19">
        <f t="shared" si="3"/>
        <v>10531.794648399999</v>
      </c>
      <c r="K16" s="19">
        <f t="shared" si="3"/>
        <v>12087.230055199987</v>
      </c>
      <c r="L16" s="19">
        <f t="shared" si="3"/>
        <v>13776.67920679949</v>
      </c>
      <c r="M16" s="19">
        <f t="shared" si="3"/>
        <v>15540.192800284196</v>
      </c>
      <c r="N16" s="19">
        <f t="shared" si="3"/>
        <v>17381.017776555862</v>
      </c>
      <c r="O16" s="19">
        <f t="shared" si="3"/>
        <v>19302.543420466354</v>
      </c>
      <c r="P16" s="19">
        <f t="shared" si="3"/>
        <v>21308.307601091372</v>
      </c>
      <c r="Q16" s="19">
        <f t="shared" si="3"/>
        <v>23402.00328557413</v>
      </c>
      <c r="R16" s="19">
        <f t="shared" si="3"/>
        <v>25587.485338532009</v>
      </c>
      <c r="S16" s="19">
        <f t="shared" si="3"/>
        <v>27868.777619545115</v>
      </c>
      <c r="T16" s="19">
        <f t="shared" si="3"/>
        <v>30250.080391794552</v>
      </c>
      <c r="U16" s="19">
        <f t="shared" si="3"/>
        <v>32735.778055490933</v>
      </c>
      <c r="V16" s="19">
        <f t="shared" si="3"/>
        <v>35330.447220331771</v>
      </c>
      <c r="W16" s="19">
        <f t="shared" si="3"/>
        <v>38038.865131850638</v>
      </c>
      <c r="X16" s="19">
        <f t="shared" si="3"/>
        <v>40866.018467172369</v>
      </c>
      <c r="Y16" s="19">
        <f t="shared" si="3"/>
        <v>43817.112516368958</v>
      </c>
      <c r="Z16" s="19">
        <f t="shared" si="3"/>
        <v>46897.580766320607</v>
      </c>
      <c r="AA16" s="19">
        <f t="shared" si="3"/>
        <v>50113.094904727535</v>
      </c>
      <c r="AB16" s="19">
        <f t="shared" si="3"/>
        <v>53469.575262691666</v>
      </c>
      <c r="AC16" s="19">
        <f t="shared" si="3"/>
        <v>56973.201715094867</v>
      </c>
      <c r="AD16" s="19">
        <f t="shared" si="3"/>
        <v>60630.425058843306</v>
      </c>
      <c r="AE16" s="19">
        <f t="shared" si="3"/>
        <v>64447.978889927108</v>
      </c>
      <c r="AF16" s="19">
        <f t="shared" si="3"/>
        <v>68432.892001163404</v>
      </c>
      <c r="AG16" s="19">
        <f t="shared" si="3"/>
        <v>72592.501323448945</v>
      </c>
      <c r="AH16" s="19">
        <f t="shared" si="3"/>
        <v>76934.465434349404</v>
      </c>
      <c r="AI16" s="19">
        <f t="shared" si="3"/>
        <v>81466.778658897339</v>
      </c>
      <c r="AJ16" s="19">
        <f t="shared" si="3"/>
        <v>86197.785788560621</v>
      </c>
      <c r="AK16" s="19">
        <f t="shared" si="3"/>
        <v>91136.197445481623</v>
      </c>
      <c r="AL16" s="19">
        <f t="shared" si="3"/>
        <v>96291.106120275566</v>
      </c>
      <c r="AM16" s="19">
        <f t="shared" si="3"/>
        <v>101672.00291291629</v>
      </c>
      <c r="AN16" s="19">
        <f t="shared" si="3"/>
        <v>107288.79500753252</v>
      </c>
      <c r="AO16" s="19">
        <f t="shared" si="3"/>
        <v>113151.82391328874</v>
      </c>
      <c r="AP16" s="19">
        <f t="shared" si="3"/>
        <v>119271.88450493533</v>
      </c>
    </row>
    <row r="17" spans="1:42" x14ac:dyDescent="0.25">
      <c r="A17" s="6">
        <v>2023</v>
      </c>
      <c r="B17" s="6">
        <v>806</v>
      </c>
      <c r="C17" s="9">
        <v>48042.580999999998</v>
      </c>
      <c r="D17" s="31">
        <v>78050.59</v>
      </c>
      <c r="F17" s="17">
        <v>2009</v>
      </c>
      <c r="G17" s="19">
        <f>-25890+0.38182*G11</f>
        <v>6543.8908100000008</v>
      </c>
      <c r="H17" s="19">
        <f t="shared" ref="H17:AP17" si="4">-25890+0.38182*H11</f>
        <v>8020.3658407999974</v>
      </c>
      <c r="I17" s="19">
        <f t="shared" si="4"/>
        <v>9515.8707804000078</v>
      </c>
      <c r="J17" s="19">
        <f t="shared" si="4"/>
        <v>11091.794648399999</v>
      </c>
      <c r="K17" s="19">
        <f t="shared" si="4"/>
        <v>12647.230055199987</v>
      </c>
      <c r="L17" s="19">
        <f t="shared" si="4"/>
        <v>14336.67920679949</v>
      </c>
      <c r="M17" s="19">
        <f t="shared" si="4"/>
        <v>16100.192800284196</v>
      </c>
      <c r="N17" s="19">
        <f t="shared" si="4"/>
        <v>17941.017776555862</v>
      </c>
      <c r="O17" s="19">
        <f t="shared" si="4"/>
        <v>19862.543420466354</v>
      </c>
      <c r="P17" s="19">
        <f t="shared" si="4"/>
        <v>21868.307601091372</v>
      </c>
      <c r="Q17" s="19">
        <f t="shared" si="4"/>
        <v>23962.00328557413</v>
      </c>
      <c r="R17" s="19">
        <f t="shared" si="4"/>
        <v>26147.485338532009</v>
      </c>
      <c r="S17" s="19">
        <f t="shared" si="4"/>
        <v>28428.777619545115</v>
      </c>
      <c r="T17" s="19">
        <f t="shared" si="4"/>
        <v>30810.080391794552</v>
      </c>
      <c r="U17" s="19">
        <f t="shared" si="4"/>
        <v>33295.778055490933</v>
      </c>
      <c r="V17" s="19">
        <f t="shared" si="4"/>
        <v>35890.447220331771</v>
      </c>
      <c r="W17" s="19">
        <f t="shared" si="4"/>
        <v>38598.865131850638</v>
      </c>
      <c r="X17" s="19">
        <f t="shared" si="4"/>
        <v>41426.018467172369</v>
      </c>
      <c r="Y17" s="19">
        <f t="shared" si="4"/>
        <v>44377.112516368958</v>
      </c>
      <c r="Z17" s="19">
        <f t="shared" si="4"/>
        <v>47457.580766320607</v>
      </c>
      <c r="AA17" s="19">
        <f t="shared" si="4"/>
        <v>50673.094904727535</v>
      </c>
      <c r="AB17" s="19">
        <f t="shared" si="4"/>
        <v>54029.575262691666</v>
      </c>
      <c r="AC17" s="19">
        <f t="shared" si="4"/>
        <v>57533.201715094867</v>
      </c>
      <c r="AD17" s="19">
        <f t="shared" si="4"/>
        <v>61190.425058843306</v>
      </c>
      <c r="AE17" s="19">
        <f t="shared" si="4"/>
        <v>65007.978889927108</v>
      </c>
      <c r="AF17" s="19">
        <f t="shared" si="4"/>
        <v>68992.892001163404</v>
      </c>
      <c r="AG17" s="19">
        <f t="shared" si="4"/>
        <v>73152.501323448945</v>
      </c>
      <c r="AH17" s="19">
        <f t="shared" si="4"/>
        <v>77494.465434349404</v>
      </c>
      <c r="AI17" s="19">
        <f t="shared" si="4"/>
        <v>82026.778658897339</v>
      </c>
      <c r="AJ17" s="19">
        <f t="shared" si="4"/>
        <v>86757.785788560621</v>
      </c>
      <c r="AK17" s="19">
        <f t="shared" si="4"/>
        <v>91696.197445481623</v>
      </c>
      <c r="AL17" s="19">
        <f t="shared" si="4"/>
        <v>96851.106120275566</v>
      </c>
      <c r="AM17" s="19">
        <f t="shared" si="4"/>
        <v>102232.00291291629</v>
      </c>
      <c r="AN17" s="19">
        <f t="shared" si="4"/>
        <v>107848.79500753252</v>
      </c>
      <c r="AO17" s="19">
        <f t="shared" si="4"/>
        <v>113711.82391328874</v>
      </c>
      <c r="AP17" s="19">
        <f t="shared" si="4"/>
        <v>119831.88450493533</v>
      </c>
    </row>
    <row r="18" spans="1:42" x14ac:dyDescent="0.25">
      <c r="A18" s="6">
        <v>2019</v>
      </c>
      <c r="B18" s="6">
        <v>811</v>
      </c>
      <c r="C18" s="9">
        <v>863.274</v>
      </c>
      <c r="D18" s="31">
        <v>65412.980000000018</v>
      </c>
      <c r="F18" s="17" t="s">
        <v>3262</v>
      </c>
      <c r="G18" s="56">
        <f>SUM(G13:G17)</f>
        <v>159706.45405</v>
      </c>
      <c r="H18" s="56">
        <f t="shared" ref="H18:P18" si="5">SUM(H13:H17)</f>
        <v>167088.82920399995</v>
      </c>
      <c r="I18" s="56">
        <f t="shared" si="5"/>
        <v>174566.353902</v>
      </c>
      <c r="J18" s="56">
        <f t="shared" si="5"/>
        <v>182445.97324199998</v>
      </c>
      <c r="K18" s="56">
        <f>SUM(K13:K17)</f>
        <v>190223.15027599997</v>
      </c>
      <c r="L18" s="56">
        <f t="shared" si="5"/>
        <v>198670.39603399741</v>
      </c>
      <c r="M18" s="56">
        <f t="shared" si="5"/>
        <v>207487.96400142094</v>
      </c>
      <c r="N18" s="56">
        <f t="shared" si="5"/>
        <v>216692.0888827793</v>
      </c>
      <c r="O18" s="56">
        <f t="shared" si="5"/>
        <v>226299.71710233181</v>
      </c>
      <c r="P18" s="56">
        <f t="shared" si="5"/>
        <v>236328.53800545682</v>
      </c>
      <c r="Q18" s="56">
        <f t="shared" ref="Q18:AP18" si="6">SUM(Q13:Q17)</f>
        <v>246797.01642787067</v>
      </c>
      <c r="R18" s="56">
        <f t="shared" si="6"/>
        <v>257724.42669266008</v>
      </c>
      <c r="S18" s="56">
        <f t="shared" si="6"/>
        <v>269130.88809772558</v>
      </c>
      <c r="T18" s="56">
        <f t="shared" si="6"/>
        <v>281037.4019589728</v>
      </c>
      <c r="U18" s="56">
        <f t="shared" si="6"/>
        <v>293465.89027745463</v>
      </c>
      <c r="V18" s="56">
        <f t="shared" si="6"/>
        <v>306439.23610165884</v>
      </c>
      <c r="W18" s="56">
        <f t="shared" si="6"/>
        <v>319981.32565925323</v>
      </c>
      <c r="X18" s="56">
        <f t="shared" si="6"/>
        <v>334117.09233586187</v>
      </c>
      <c r="Y18" s="56">
        <f t="shared" si="6"/>
        <v>348872.5625818448</v>
      </c>
      <c r="Z18" s="56">
        <f t="shared" si="6"/>
        <v>364274.90383160301</v>
      </c>
      <c r="AA18" s="56">
        <f t="shared" si="6"/>
        <v>380352.47452363768</v>
      </c>
      <c r="AB18" s="56">
        <f t="shared" si="6"/>
        <v>397134.87631345831</v>
      </c>
      <c r="AC18" s="56">
        <f t="shared" si="6"/>
        <v>414653.00857547426</v>
      </c>
      <c r="AD18" s="56">
        <f t="shared" si="6"/>
        <v>432939.12529421656</v>
      </c>
      <c r="AE18" s="56">
        <f t="shared" si="6"/>
        <v>452026.89444963547</v>
      </c>
      <c r="AF18" s="56">
        <f t="shared" si="6"/>
        <v>471951.46000581695</v>
      </c>
      <c r="AG18" s="56">
        <f t="shared" si="6"/>
        <v>492749.5066172448</v>
      </c>
      <c r="AH18" s="56">
        <f t="shared" si="6"/>
        <v>514459.32717174699</v>
      </c>
      <c r="AI18" s="56">
        <f t="shared" si="6"/>
        <v>537120.89329448668</v>
      </c>
      <c r="AJ18" s="56">
        <f t="shared" si="6"/>
        <v>560775.92894280318</v>
      </c>
      <c r="AK18" s="56">
        <f t="shared" si="6"/>
        <v>585467.9872274081</v>
      </c>
      <c r="AL18" s="56">
        <f t="shared" si="6"/>
        <v>611242.53060137783</v>
      </c>
      <c r="AM18" s="56">
        <f t="shared" si="6"/>
        <v>638147.01456458145</v>
      </c>
      <c r="AN18" s="56">
        <f t="shared" si="6"/>
        <v>666230.97503766255</v>
      </c>
      <c r="AO18" s="56">
        <f t="shared" si="6"/>
        <v>695546.11956644373</v>
      </c>
      <c r="AP18" s="56">
        <f t="shared" si="6"/>
        <v>726146.42252467666</v>
      </c>
    </row>
    <row r="19" spans="1:42" x14ac:dyDescent="0.25">
      <c r="A19" s="6">
        <v>2020</v>
      </c>
      <c r="B19" s="6">
        <v>811</v>
      </c>
      <c r="C19" s="9">
        <v>647.96600000000001</v>
      </c>
      <c r="D19" s="31">
        <v>64575.409999999989</v>
      </c>
    </row>
    <row r="20" spans="1:42" x14ac:dyDescent="0.25">
      <c r="A20" s="6">
        <v>2021</v>
      </c>
      <c r="B20" s="6">
        <v>811</v>
      </c>
      <c r="C20" s="9">
        <v>701.12100000000009</v>
      </c>
      <c r="D20" s="31">
        <v>73419.839999999997</v>
      </c>
    </row>
    <row r="21" spans="1:42" x14ac:dyDescent="0.25">
      <c r="A21" s="6">
        <v>2022</v>
      </c>
      <c r="B21" s="6">
        <v>811</v>
      </c>
      <c r="C21" s="9">
        <v>1036.924</v>
      </c>
      <c r="D21" s="31">
        <v>75583.650000000009</v>
      </c>
    </row>
    <row r="22" spans="1:42" x14ac:dyDescent="0.25">
      <c r="A22" s="6">
        <v>2023</v>
      </c>
      <c r="B22" s="6">
        <v>811</v>
      </c>
      <c r="C22" s="9">
        <v>824.94600000000003</v>
      </c>
      <c r="D22" s="31">
        <v>78050.59</v>
      </c>
    </row>
    <row r="23" spans="1:42" x14ac:dyDescent="0.25">
      <c r="A23" s="6">
        <v>2019</v>
      </c>
      <c r="B23" s="6">
        <v>2009</v>
      </c>
      <c r="C23" s="9">
        <v>1167.587</v>
      </c>
      <c r="D23" s="31">
        <v>65412.980000000018</v>
      </c>
    </row>
    <row r="24" spans="1:42" x14ac:dyDescent="0.25">
      <c r="A24" s="6">
        <v>2020</v>
      </c>
      <c r="B24" s="6">
        <v>2009</v>
      </c>
      <c r="C24" s="9">
        <v>1163.9829999999999</v>
      </c>
      <c r="D24" s="31">
        <v>64575.409999999989</v>
      </c>
    </row>
    <row r="25" spans="1:42" x14ac:dyDescent="0.25">
      <c r="A25" s="6">
        <v>2021</v>
      </c>
      <c r="B25" s="6">
        <v>2009</v>
      </c>
      <c r="C25" s="9">
        <v>1531.5309999999999</v>
      </c>
      <c r="D25" s="31">
        <v>73419.839999999997</v>
      </c>
    </row>
    <row r="26" spans="1:42" x14ac:dyDescent="0.25">
      <c r="A26" s="6">
        <v>2022</v>
      </c>
      <c r="B26" s="6">
        <v>2009</v>
      </c>
      <c r="C26" s="9">
        <v>1714.1949999999999</v>
      </c>
      <c r="D26" s="31">
        <v>75583.650000000009</v>
      </c>
    </row>
    <row r="27" spans="1:42" x14ac:dyDescent="0.25">
      <c r="A27" s="6">
        <v>2023</v>
      </c>
      <c r="B27" s="6">
        <v>2009</v>
      </c>
      <c r="C27" s="9">
        <v>1297.3900000000001</v>
      </c>
      <c r="D27" s="31">
        <v>78050.59</v>
      </c>
    </row>
  </sheetData>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534E1-C096-4686-80B8-6561610D5D9F}">
  <sheetPr codeName="Planilha11"/>
  <dimension ref="A1:W168"/>
  <sheetViews>
    <sheetView topLeftCell="G1" workbookViewId="0">
      <selection activeCell="N62" sqref="N62"/>
    </sheetView>
  </sheetViews>
  <sheetFormatPr defaultRowHeight="15" x14ac:dyDescent="0.25"/>
  <cols>
    <col min="2" max="2" width="29" bestFit="1" customWidth="1"/>
    <col min="9" max="9" width="12.140625" bestFit="1" customWidth="1"/>
    <col min="10" max="10" width="12.140625" customWidth="1"/>
    <col min="11" max="11" width="11.7109375" bestFit="1" customWidth="1"/>
    <col min="12" max="12" width="11.85546875" bestFit="1" customWidth="1"/>
    <col min="13" max="16" width="9.28515625" bestFit="1" customWidth="1"/>
    <col min="17" max="17" width="13.42578125" bestFit="1" customWidth="1"/>
    <col min="18" max="18" width="13" bestFit="1" customWidth="1"/>
    <col min="19" max="19" width="10.5703125" bestFit="1" customWidth="1"/>
    <col min="20" max="20" width="17.5703125" bestFit="1" customWidth="1"/>
  </cols>
  <sheetData>
    <row r="1" spans="1:23" s="17" customFormat="1" x14ac:dyDescent="0.25">
      <c r="A1" s="17" t="s">
        <v>3325</v>
      </c>
      <c r="B1" s="17" t="s">
        <v>3326</v>
      </c>
      <c r="C1" s="17" t="s">
        <v>3327</v>
      </c>
      <c r="D1" s="17" t="s">
        <v>3328</v>
      </c>
      <c r="E1" s="17" t="s">
        <v>3329</v>
      </c>
      <c r="F1" s="17" t="s">
        <v>3330</v>
      </c>
      <c r="G1" s="17" t="s">
        <v>3331</v>
      </c>
      <c r="H1" s="17" t="s">
        <v>3332</v>
      </c>
      <c r="I1" s="17" t="s">
        <v>3333</v>
      </c>
      <c r="J1" s="17" t="s">
        <v>3334</v>
      </c>
      <c r="K1" s="34" t="s">
        <v>3335</v>
      </c>
      <c r="L1" s="34" t="s">
        <v>3336</v>
      </c>
      <c r="M1" s="34" t="s">
        <v>3337</v>
      </c>
      <c r="N1" s="34" t="s">
        <v>3338</v>
      </c>
      <c r="O1" s="34" t="s">
        <v>3339</v>
      </c>
      <c r="P1" s="34" t="s">
        <v>3340</v>
      </c>
      <c r="Q1" s="34" t="s">
        <v>3341</v>
      </c>
      <c r="R1" s="34" t="s">
        <v>3342</v>
      </c>
      <c r="S1" s="34" t="s">
        <v>3343</v>
      </c>
      <c r="T1" s="34" t="s">
        <v>3318</v>
      </c>
      <c r="U1" s="17" t="s">
        <v>3344</v>
      </c>
    </row>
    <row r="2" spans="1:23" x14ac:dyDescent="0.25">
      <c r="A2" t="s">
        <v>3345</v>
      </c>
      <c r="B2" t="s">
        <v>3346</v>
      </c>
      <c r="C2" t="s">
        <v>3347</v>
      </c>
      <c r="D2" s="35">
        <v>0.52</v>
      </c>
      <c r="E2" t="s">
        <v>3261</v>
      </c>
      <c r="F2">
        <v>-63.831445654361133</v>
      </c>
      <c r="G2">
        <v>-8.7688917900000032</v>
      </c>
      <c r="H2">
        <v>9</v>
      </c>
      <c r="I2" s="36">
        <v>24363193</v>
      </c>
      <c r="J2" s="37">
        <f>I2/1000</f>
        <v>24363.192999999999</v>
      </c>
      <c r="K2" s="38">
        <v>34090.951999999997</v>
      </c>
      <c r="L2" s="36">
        <v>460434</v>
      </c>
      <c r="M2" s="37">
        <v>13.51</v>
      </c>
      <c r="N2" s="38">
        <v>94.5</v>
      </c>
      <c r="O2" s="39">
        <v>0.73599999999999999</v>
      </c>
      <c r="P2" s="38">
        <v>13.33</v>
      </c>
      <c r="Q2" s="37">
        <v>1403679.66</v>
      </c>
      <c r="R2" s="37">
        <v>1233369.2</v>
      </c>
      <c r="S2" s="37">
        <v>36541.49</v>
      </c>
      <c r="T2" s="37">
        <f>L2*S2</f>
        <v>16824944406.66</v>
      </c>
      <c r="U2" s="38">
        <f>T2/10^9</f>
        <v>16.824944406659998</v>
      </c>
      <c r="W2" s="37"/>
    </row>
    <row r="3" spans="1:23" x14ac:dyDescent="0.25">
      <c r="A3" t="s">
        <v>3348</v>
      </c>
      <c r="B3" t="s">
        <v>3349</v>
      </c>
      <c r="C3" t="s">
        <v>3347</v>
      </c>
      <c r="D3" s="35">
        <v>0.52</v>
      </c>
      <c r="E3" t="s">
        <v>3261</v>
      </c>
      <c r="F3">
        <v>-60.138583866098713</v>
      </c>
      <c r="G3">
        <v>-12.7413734718029</v>
      </c>
      <c r="H3">
        <v>3</v>
      </c>
      <c r="I3" s="36">
        <v>424493</v>
      </c>
      <c r="J3" s="37">
        <f t="shared" ref="J3:J66" si="0">I3/1000</f>
        <v>424.49299999999999</v>
      </c>
      <c r="K3" s="38">
        <v>11699.15</v>
      </c>
      <c r="L3" s="36">
        <v>95832</v>
      </c>
      <c r="M3" s="37">
        <v>8.19</v>
      </c>
      <c r="N3" s="38">
        <v>97.8</v>
      </c>
      <c r="O3" s="39">
        <v>0.73099999999999998</v>
      </c>
      <c r="P3" s="38">
        <v>13.75</v>
      </c>
      <c r="Q3" s="37">
        <v>267546.13</v>
      </c>
      <c r="R3" s="37">
        <v>232921.5</v>
      </c>
      <c r="S3" s="37">
        <v>40328.81</v>
      </c>
      <c r="T3" s="37">
        <f t="shared" ref="T3:T66" si="1">L3*S3</f>
        <v>3864790519.9199996</v>
      </c>
      <c r="U3" s="38">
        <f t="shared" ref="U3:U66" si="2">T3/10^9</f>
        <v>3.8647905199199997</v>
      </c>
      <c r="W3" s="37"/>
    </row>
    <row r="4" spans="1:23" x14ac:dyDescent="0.25">
      <c r="A4" t="s">
        <v>3350</v>
      </c>
      <c r="B4" t="s">
        <v>3351</v>
      </c>
      <c r="C4" t="s">
        <v>3352</v>
      </c>
      <c r="D4" s="35">
        <v>0.51100000000000001</v>
      </c>
      <c r="E4" t="s">
        <v>3261</v>
      </c>
      <c r="F4">
        <v>-67.810528700423504</v>
      </c>
      <c r="G4">
        <v>-9.9782987527249833</v>
      </c>
      <c r="H4">
        <v>1</v>
      </c>
      <c r="I4" s="36">
        <v>260540</v>
      </c>
      <c r="J4" s="37">
        <f t="shared" si="0"/>
        <v>260.54000000000002</v>
      </c>
      <c r="K4" s="38">
        <v>8835.1540000000005</v>
      </c>
      <c r="L4" s="36">
        <v>364756</v>
      </c>
      <c r="M4" s="37">
        <v>41.28</v>
      </c>
      <c r="N4" s="38">
        <v>95.1</v>
      </c>
      <c r="O4" s="39">
        <v>0.72699999999999998</v>
      </c>
      <c r="P4" s="38">
        <v>14.94</v>
      </c>
      <c r="Q4" s="37">
        <v>884827.27</v>
      </c>
      <c r="R4" s="37">
        <v>740733.11</v>
      </c>
      <c r="S4" s="37">
        <v>26119.02</v>
      </c>
      <c r="T4" s="37">
        <f t="shared" si="1"/>
        <v>9527069259.1200008</v>
      </c>
      <c r="U4" s="38">
        <f t="shared" si="2"/>
        <v>9.527069259120001</v>
      </c>
      <c r="W4" s="37"/>
    </row>
    <row r="5" spans="1:23" x14ac:dyDescent="0.25">
      <c r="A5" t="s">
        <v>3353</v>
      </c>
      <c r="B5" t="s">
        <v>3354</v>
      </c>
      <c r="C5" t="s">
        <v>3355</v>
      </c>
      <c r="D5" s="35">
        <v>0.51200000000000001</v>
      </c>
      <c r="E5" t="s">
        <v>3261</v>
      </c>
      <c r="F5">
        <v>-60.023335181061043</v>
      </c>
      <c r="G5">
        <v>-3.1346914912019459</v>
      </c>
      <c r="H5">
        <v>7</v>
      </c>
      <c r="I5" s="36">
        <v>2699782</v>
      </c>
      <c r="J5" s="37">
        <f t="shared" si="0"/>
        <v>2699.7820000000002</v>
      </c>
      <c r="K5" s="38">
        <v>11401.092000000001</v>
      </c>
      <c r="L5" s="36">
        <v>2063689</v>
      </c>
      <c r="M5" s="37">
        <v>181.01</v>
      </c>
      <c r="N5" s="38">
        <v>94.2</v>
      </c>
      <c r="O5" s="39">
        <v>0.73699999999999999</v>
      </c>
      <c r="P5" s="38">
        <v>13.6</v>
      </c>
      <c r="Q5" s="37">
        <v>4743520.97</v>
      </c>
      <c r="R5" s="37">
        <v>4366978.28</v>
      </c>
      <c r="S5" s="37">
        <v>45782.75</v>
      </c>
      <c r="T5" s="37">
        <f t="shared" si="1"/>
        <v>94481357564.75</v>
      </c>
      <c r="U5" s="38">
        <f t="shared" si="2"/>
        <v>94.481357564749999</v>
      </c>
      <c r="W5" s="37"/>
    </row>
    <row r="6" spans="1:23" x14ac:dyDescent="0.25">
      <c r="A6" t="s">
        <v>3356</v>
      </c>
      <c r="B6" t="s">
        <v>3357</v>
      </c>
      <c r="C6" t="s">
        <v>3358</v>
      </c>
      <c r="D6" s="35">
        <v>0.501</v>
      </c>
      <c r="E6" t="s">
        <v>3261</v>
      </c>
      <c r="F6">
        <v>-48.241836450570268</v>
      </c>
      <c r="G6">
        <v>-1.361437515</v>
      </c>
      <c r="H6">
        <v>1</v>
      </c>
      <c r="I6" s="36">
        <v>26500</v>
      </c>
      <c r="J6" s="37">
        <f t="shared" si="0"/>
        <v>26.5</v>
      </c>
      <c r="K6" s="38">
        <v>187.82599999999999</v>
      </c>
      <c r="L6" s="36">
        <v>63567</v>
      </c>
      <c r="M6" s="37">
        <v>338.44</v>
      </c>
      <c r="N6" s="38">
        <v>97.4</v>
      </c>
      <c r="O6" s="39">
        <v>0.66500000000000004</v>
      </c>
      <c r="P6" s="38">
        <v>11.63</v>
      </c>
      <c r="Q6" s="37">
        <v>124753.87</v>
      </c>
      <c r="R6" s="37">
        <v>117352.79</v>
      </c>
      <c r="S6" s="37">
        <v>30668.86</v>
      </c>
      <c r="T6" s="37">
        <f t="shared" si="1"/>
        <v>1949527423.6200001</v>
      </c>
      <c r="U6" s="38">
        <f t="shared" si="2"/>
        <v>1.9495274236200002</v>
      </c>
      <c r="W6" s="37"/>
    </row>
    <row r="7" spans="1:23" x14ac:dyDescent="0.25">
      <c r="A7" t="s">
        <v>3359</v>
      </c>
      <c r="B7" t="s">
        <v>3360</v>
      </c>
      <c r="C7" t="s">
        <v>3361</v>
      </c>
      <c r="D7" s="35">
        <v>0.49199999999999999</v>
      </c>
      <c r="E7" t="s">
        <v>3362</v>
      </c>
      <c r="F7">
        <v>-47.404996387528072</v>
      </c>
      <c r="G7">
        <v>-5.5344562161063457</v>
      </c>
      <c r="H7">
        <v>1</v>
      </c>
      <c r="I7" s="36">
        <v>192000</v>
      </c>
      <c r="J7" s="37">
        <f t="shared" si="0"/>
        <v>192</v>
      </c>
      <c r="K7" s="38">
        <v>332.24900000000002</v>
      </c>
      <c r="L7" s="36">
        <v>14404</v>
      </c>
      <c r="M7" s="37">
        <v>43.35</v>
      </c>
      <c r="N7" s="38">
        <v>98.7</v>
      </c>
      <c r="O7" s="39">
        <v>0.60699999999999998</v>
      </c>
      <c r="P7" s="38">
        <v>9.09</v>
      </c>
      <c r="Q7" s="37">
        <v>27150.49</v>
      </c>
      <c r="R7" s="37">
        <v>25752.37</v>
      </c>
      <c r="S7" s="37">
        <v>14720.3</v>
      </c>
      <c r="T7" s="37">
        <f t="shared" si="1"/>
        <v>212031201.19999999</v>
      </c>
      <c r="U7" s="38">
        <f t="shared" si="2"/>
        <v>0.21203120119999999</v>
      </c>
      <c r="W7" s="37"/>
    </row>
    <row r="8" spans="1:23" x14ac:dyDescent="0.25">
      <c r="A8" t="s">
        <v>3363</v>
      </c>
      <c r="B8" t="s">
        <v>3364</v>
      </c>
      <c r="C8" t="s">
        <v>3361</v>
      </c>
      <c r="D8" s="35">
        <v>0.49199999999999999</v>
      </c>
      <c r="E8" t="s">
        <v>3362</v>
      </c>
      <c r="F8">
        <v>-44.297918564244377</v>
      </c>
      <c r="G8">
        <v>-2.5318859850833899</v>
      </c>
      <c r="H8">
        <v>3</v>
      </c>
      <c r="I8" s="36">
        <v>2246300</v>
      </c>
      <c r="J8" s="37">
        <f t="shared" si="0"/>
        <v>2246.3000000000002</v>
      </c>
      <c r="K8" s="38">
        <v>583.06299999999999</v>
      </c>
      <c r="L8" s="36">
        <v>1037775</v>
      </c>
      <c r="M8" s="37">
        <v>1779.87</v>
      </c>
      <c r="N8" s="38">
        <v>96.8</v>
      </c>
      <c r="O8" s="39">
        <v>0.76800000000000002</v>
      </c>
      <c r="P8" s="38">
        <v>17.53</v>
      </c>
      <c r="Q8" s="37">
        <v>2818008.83</v>
      </c>
      <c r="R8" s="37">
        <v>2532501.2799999998</v>
      </c>
      <c r="S8" s="37">
        <v>32739.65</v>
      </c>
      <c r="T8" s="37">
        <f t="shared" si="1"/>
        <v>33976390278.75</v>
      </c>
      <c r="U8" s="38">
        <f t="shared" si="2"/>
        <v>33.976390278750003</v>
      </c>
      <c r="W8" s="37"/>
    </row>
    <row r="9" spans="1:23" x14ac:dyDescent="0.25">
      <c r="A9" t="s">
        <v>3365</v>
      </c>
      <c r="B9" t="s">
        <v>3366</v>
      </c>
      <c r="C9" t="s">
        <v>3367</v>
      </c>
      <c r="D9" s="35">
        <v>0.55200000000000005</v>
      </c>
      <c r="E9" t="s">
        <v>3362</v>
      </c>
      <c r="F9">
        <v>-41.468826714667948</v>
      </c>
      <c r="G9">
        <v>-7.0813739121993624</v>
      </c>
      <c r="H9">
        <v>4</v>
      </c>
      <c r="I9" s="36">
        <v>230596</v>
      </c>
      <c r="J9" s="37">
        <f t="shared" si="0"/>
        <v>230.596</v>
      </c>
      <c r="K9" s="38">
        <v>577.28399999999999</v>
      </c>
      <c r="L9" s="36">
        <v>83090</v>
      </c>
      <c r="M9" s="37">
        <v>143.93</v>
      </c>
      <c r="N9" s="38">
        <v>98.3</v>
      </c>
      <c r="O9" s="39">
        <v>0.69799999999999995</v>
      </c>
      <c r="P9" s="38">
        <v>9.91</v>
      </c>
      <c r="Q9" s="37">
        <v>184481.16</v>
      </c>
      <c r="R9" s="37">
        <v>179285.43</v>
      </c>
      <c r="S9" s="37">
        <v>24676.75</v>
      </c>
      <c r="T9" s="37">
        <f t="shared" si="1"/>
        <v>2050391157.5</v>
      </c>
      <c r="U9" s="38">
        <f t="shared" si="2"/>
        <v>2.0503911575</v>
      </c>
      <c r="W9" s="37"/>
    </row>
    <row r="10" spans="1:23" x14ac:dyDescent="0.25">
      <c r="A10" t="s">
        <v>3368</v>
      </c>
      <c r="B10" t="s">
        <v>3369</v>
      </c>
      <c r="C10" t="s">
        <v>3367</v>
      </c>
      <c r="D10" s="35">
        <v>0.55200000000000005</v>
      </c>
      <c r="E10" t="s">
        <v>3362</v>
      </c>
      <c r="F10">
        <v>-42.805270458223347</v>
      </c>
      <c r="G10">
        <v>-5.0863419523217006</v>
      </c>
      <c r="H10">
        <v>2</v>
      </c>
      <c r="I10" s="36">
        <v>175760</v>
      </c>
      <c r="J10" s="37">
        <f t="shared" si="0"/>
        <v>175.76</v>
      </c>
      <c r="K10" s="38">
        <v>1391.2929999999999</v>
      </c>
      <c r="L10" s="36">
        <v>866300</v>
      </c>
      <c r="M10" s="37">
        <v>622.66</v>
      </c>
      <c r="N10" s="38">
        <v>97.8</v>
      </c>
      <c r="O10" s="39">
        <v>0.751</v>
      </c>
      <c r="P10" s="38">
        <v>15.48</v>
      </c>
      <c r="Q10" s="37">
        <v>2804376.07</v>
      </c>
      <c r="R10" s="37">
        <v>2669283.4300000002</v>
      </c>
      <c r="S10" s="37">
        <v>27430.28</v>
      </c>
      <c r="T10" s="37">
        <f t="shared" si="1"/>
        <v>23762851564</v>
      </c>
      <c r="U10" s="38">
        <f t="shared" si="2"/>
        <v>23.762851564000002</v>
      </c>
      <c r="W10" s="37"/>
    </row>
    <row r="11" spans="1:23" x14ac:dyDescent="0.25">
      <c r="A11" t="s">
        <v>3370</v>
      </c>
      <c r="B11" t="s">
        <v>3371</v>
      </c>
      <c r="C11" t="s">
        <v>3372</v>
      </c>
      <c r="D11" s="35">
        <v>0.51300000000000001</v>
      </c>
      <c r="E11" t="s">
        <v>3362</v>
      </c>
      <c r="F11">
        <v>-38.389802958850943</v>
      </c>
      <c r="G11">
        <v>-3.9061944999999998</v>
      </c>
      <c r="H11">
        <v>2</v>
      </c>
      <c r="I11" s="36">
        <v>69380</v>
      </c>
      <c r="J11" s="37">
        <f t="shared" si="0"/>
        <v>69.38</v>
      </c>
      <c r="K11" s="38">
        <v>480.23599999999999</v>
      </c>
      <c r="L11" s="36">
        <v>80645</v>
      </c>
      <c r="M11" s="37">
        <v>167.93</v>
      </c>
      <c r="N11" s="38">
        <v>96.5</v>
      </c>
      <c r="O11" s="39">
        <v>0.64100000000000001</v>
      </c>
      <c r="P11" s="38">
        <v>13.1</v>
      </c>
      <c r="Q11" s="37">
        <v>244006.62</v>
      </c>
      <c r="R11" s="37">
        <v>197501.4</v>
      </c>
      <c r="S11" s="37">
        <v>47245.19</v>
      </c>
      <c r="T11" s="37">
        <f t="shared" si="1"/>
        <v>3810088347.5500002</v>
      </c>
      <c r="U11" s="38">
        <f t="shared" si="2"/>
        <v>3.8100883475500003</v>
      </c>
      <c r="W11" s="37"/>
    </row>
    <row r="12" spans="1:23" x14ac:dyDescent="0.25">
      <c r="A12" t="s">
        <v>3373</v>
      </c>
      <c r="B12" t="s">
        <v>3374</v>
      </c>
      <c r="C12" t="s">
        <v>3372</v>
      </c>
      <c r="D12" s="35">
        <v>0.51300000000000001</v>
      </c>
      <c r="E12" t="s">
        <v>3362</v>
      </c>
      <c r="F12">
        <v>-37.772752598911282</v>
      </c>
      <c r="G12">
        <v>-4.5670664700000012</v>
      </c>
      <c r="H12">
        <v>1</v>
      </c>
      <c r="I12" s="36">
        <v>3036</v>
      </c>
      <c r="J12" s="37">
        <f t="shared" si="0"/>
        <v>3.036</v>
      </c>
      <c r="K12" s="38">
        <v>1227.1969999999999</v>
      </c>
      <c r="L12" s="36">
        <v>75113</v>
      </c>
      <c r="M12" s="37">
        <v>61.21</v>
      </c>
      <c r="N12" s="38">
        <v>98.5</v>
      </c>
      <c r="O12" s="39">
        <v>0.65500000000000003</v>
      </c>
      <c r="P12" s="38">
        <v>12.7</v>
      </c>
      <c r="Q12" s="37">
        <v>227561.34</v>
      </c>
      <c r="R12" s="37">
        <v>185621.26</v>
      </c>
      <c r="S12" s="37">
        <v>22637.56</v>
      </c>
      <c r="T12" s="37">
        <f t="shared" si="1"/>
        <v>1700375044.2800002</v>
      </c>
      <c r="U12" s="38">
        <f t="shared" si="2"/>
        <v>1.7003750442800003</v>
      </c>
      <c r="W12" s="37"/>
    </row>
    <row r="13" spans="1:23" x14ac:dyDescent="0.25">
      <c r="A13" t="s">
        <v>3375</v>
      </c>
      <c r="B13" t="s">
        <v>3376</v>
      </c>
      <c r="C13" t="s">
        <v>3372</v>
      </c>
      <c r="D13" s="35">
        <v>0.51300000000000001</v>
      </c>
      <c r="E13" t="s">
        <v>3362</v>
      </c>
      <c r="F13">
        <v>-38.664017535838411</v>
      </c>
      <c r="G13">
        <v>-3.7364870000000008</v>
      </c>
      <c r="H13">
        <v>1</v>
      </c>
      <c r="I13" s="36">
        <v>780200</v>
      </c>
      <c r="J13" s="37">
        <f t="shared" si="0"/>
        <v>780.2</v>
      </c>
      <c r="K13" s="38">
        <v>1223.2460000000001</v>
      </c>
      <c r="L13" s="36">
        <v>355679</v>
      </c>
      <c r="M13" s="37">
        <v>290.77</v>
      </c>
      <c r="N13" s="38">
        <v>96.3</v>
      </c>
      <c r="O13" s="39">
        <v>0.68200000000000005</v>
      </c>
      <c r="P13" s="38">
        <v>11.48</v>
      </c>
      <c r="Q13" s="37">
        <v>629854.17000000004</v>
      </c>
      <c r="R13" s="37">
        <v>567292.53</v>
      </c>
      <c r="S13" s="37">
        <v>28229.51</v>
      </c>
      <c r="T13" s="37">
        <f t="shared" si="1"/>
        <v>10040643887.289999</v>
      </c>
      <c r="U13" s="38">
        <f t="shared" si="2"/>
        <v>10.040643887289999</v>
      </c>
      <c r="W13" s="37"/>
    </row>
    <row r="14" spans="1:23" x14ac:dyDescent="0.25">
      <c r="A14" t="s">
        <v>3377</v>
      </c>
      <c r="B14" t="s">
        <v>3378</v>
      </c>
      <c r="C14" t="s">
        <v>3372</v>
      </c>
      <c r="D14" s="35">
        <v>0.51300000000000001</v>
      </c>
      <c r="E14" t="s">
        <v>3362</v>
      </c>
      <c r="F14">
        <v>-38.589927555043182</v>
      </c>
      <c r="G14">
        <v>-3.7238050350000012</v>
      </c>
      <c r="H14">
        <v>4</v>
      </c>
      <c r="I14" s="36">
        <v>1717471</v>
      </c>
      <c r="J14" s="37">
        <f t="shared" si="0"/>
        <v>1717.471</v>
      </c>
      <c r="K14" s="38">
        <v>312.35300000000001</v>
      </c>
      <c r="L14" s="36">
        <v>2428708</v>
      </c>
      <c r="M14" s="37">
        <v>7775.52</v>
      </c>
      <c r="N14" s="38">
        <v>96.1</v>
      </c>
      <c r="O14" s="39">
        <v>0.754</v>
      </c>
      <c r="P14" s="38">
        <v>11.73</v>
      </c>
      <c r="Q14" s="37">
        <v>6810527.0700000003</v>
      </c>
      <c r="R14" s="37">
        <v>6525657.8200000003</v>
      </c>
      <c r="S14" s="37">
        <v>27164.45</v>
      </c>
      <c r="T14" s="37">
        <f>L14*S14</f>
        <v>65974517030.599998</v>
      </c>
      <c r="U14" s="38">
        <f t="shared" si="2"/>
        <v>65.974517030599998</v>
      </c>
      <c r="W14" s="37"/>
    </row>
    <row r="15" spans="1:23" x14ac:dyDescent="0.25">
      <c r="A15" t="s">
        <v>3379</v>
      </c>
      <c r="B15" t="s">
        <v>3380</v>
      </c>
      <c r="C15" t="s">
        <v>3372</v>
      </c>
      <c r="D15" s="35">
        <v>0.51300000000000001</v>
      </c>
      <c r="E15" t="s">
        <v>3362</v>
      </c>
      <c r="F15">
        <v>-40.752633177911271</v>
      </c>
      <c r="G15">
        <v>-4.1624510671403963</v>
      </c>
      <c r="H15">
        <v>1</v>
      </c>
      <c r="I15" s="36">
        <v>50400</v>
      </c>
      <c r="J15" s="37">
        <f t="shared" si="0"/>
        <v>50.4</v>
      </c>
      <c r="K15" s="38">
        <v>624.60599999999999</v>
      </c>
      <c r="L15" s="36">
        <v>42053</v>
      </c>
      <c r="M15" s="37">
        <v>67.33</v>
      </c>
      <c r="N15" s="38">
        <v>97.7</v>
      </c>
      <c r="O15" s="39">
        <v>0.60899999999999999</v>
      </c>
      <c r="P15" s="38">
        <v>8.42</v>
      </c>
      <c r="Q15" s="37">
        <v>105405.88</v>
      </c>
      <c r="R15" s="37">
        <v>90370.31</v>
      </c>
      <c r="S15" s="37">
        <v>16353.68</v>
      </c>
      <c r="T15" s="37">
        <f t="shared" si="1"/>
        <v>687721305.03999996</v>
      </c>
      <c r="U15" s="38">
        <f t="shared" si="2"/>
        <v>0.68772130503999995</v>
      </c>
      <c r="W15" s="37"/>
    </row>
    <row r="16" spans="1:23" x14ac:dyDescent="0.25">
      <c r="A16" t="s">
        <v>3381</v>
      </c>
      <c r="B16" t="s">
        <v>3382</v>
      </c>
      <c r="C16" t="s">
        <v>3372</v>
      </c>
      <c r="D16" s="35">
        <v>0.51300000000000001</v>
      </c>
      <c r="E16" t="s">
        <v>3362</v>
      </c>
      <c r="F16">
        <v>-38.494239558552088</v>
      </c>
      <c r="G16">
        <v>-4.0932780000000006</v>
      </c>
      <c r="H16">
        <v>1</v>
      </c>
      <c r="I16" s="36">
        <v>1249800</v>
      </c>
      <c r="J16" s="37">
        <f t="shared" si="0"/>
        <v>1249.8</v>
      </c>
      <c r="K16" s="38">
        <v>160.55699999999999</v>
      </c>
      <c r="L16" s="36">
        <v>74755</v>
      </c>
      <c r="M16" s="37">
        <v>465.6</v>
      </c>
      <c r="N16" s="38">
        <v>97.1</v>
      </c>
      <c r="O16" s="39">
        <v>0.65800000000000003</v>
      </c>
      <c r="P16" s="38">
        <v>13.35</v>
      </c>
      <c r="Q16" s="37">
        <v>193783.18</v>
      </c>
      <c r="R16" s="37">
        <v>175778.48</v>
      </c>
      <c r="S16" s="37">
        <v>30381.03</v>
      </c>
      <c r="T16" s="37">
        <f t="shared" si="1"/>
        <v>2271133897.6500001</v>
      </c>
      <c r="U16" s="38">
        <f t="shared" si="2"/>
        <v>2.27113389765</v>
      </c>
      <c r="W16" s="37"/>
    </row>
    <row r="17" spans="1:23" x14ac:dyDescent="0.25">
      <c r="A17" t="s">
        <v>3383</v>
      </c>
      <c r="B17" t="s">
        <v>3384</v>
      </c>
      <c r="C17" t="s">
        <v>3372</v>
      </c>
      <c r="D17" s="35">
        <v>0.51300000000000001</v>
      </c>
      <c r="E17" t="s">
        <v>3362</v>
      </c>
      <c r="F17">
        <v>-39.583481575770968</v>
      </c>
      <c r="G17">
        <v>-3.499435500000001</v>
      </c>
      <c r="H17">
        <v>1</v>
      </c>
      <c r="I17" s="36">
        <v>25000</v>
      </c>
      <c r="J17" s="37">
        <f t="shared" si="0"/>
        <v>25</v>
      </c>
      <c r="K17" s="38">
        <v>1600.3579999999999</v>
      </c>
      <c r="L17" s="36">
        <v>131123</v>
      </c>
      <c r="M17" s="37">
        <v>81.93</v>
      </c>
      <c r="N17" s="38">
        <v>97.9</v>
      </c>
      <c r="O17" s="39">
        <v>0.64</v>
      </c>
      <c r="P17" s="38">
        <v>8.8000000000000007</v>
      </c>
      <c r="Q17" s="37">
        <v>268626.65999999997</v>
      </c>
      <c r="R17" s="37">
        <v>239926.55</v>
      </c>
      <c r="S17" s="37">
        <v>13547.33</v>
      </c>
      <c r="T17" s="37">
        <f t="shared" si="1"/>
        <v>1776366551.5899999</v>
      </c>
      <c r="U17" s="38">
        <f t="shared" si="2"/>
        <v>1.77636655159</v>
      </c>
      <c r="W17" s="37"/>
    </row>
    <row r="18" spans="1:23" x14ac:dyDescent="0.25">
      <c r="A18" t="s">
        <v>3385</v>
      </c>
      <c r="B18" t="s">
        <v>3386</v>
      </c>
      <c r="C18" t="s">
        <v>3372</v>
      </c>
      <c r="D18" s="35">
        <v>0.51300000000000001</v>
      </c>
      <c r="E18" t="s">
        <v>3362</v>
      </c>
      <c r="F18">
        <v>-39.316993355614301</v>
      </c>
      <c r="G18">
        <v>-7.2107659999999996</v>
      </c>
      <c r="H18">
        <v>1</v>
      </c>
      <c r="I18" s="36">
        <v>11512</v>
      </c>
      <c r="J18" s="37">
        <f t="shared" si="0"/>
        <v>11.512</v>
      </c>
      <c r="K18" s="38">
        <v>258.78800000000001</v>
      </c>
      <c r="L18" s="36">
        <v>286120</v>
      </c>
      <c r="M18" s="37">
        <v>1105.6199999999999</v>
      </c>
      <c r="N18" s="38">
        <v>97.3</v>
      </c>
      <c r="O18" s="39">
        <v>0.69399999999999995</v>
      </c>
      <c r="P18" s="38">
        <v>12.11</v>
      </c>
      <c r="Q18" s="37">
        <v>672950.28822999995</v>
      </c>
      <c r="R18" s="37">
        <v>522709.24411999999</v>
      </c>
      <c r="S18" s="37">
        <v>18381.080000000002</v>
      </c>
      <c r="T18" s="37">
        <f>L18*S18</f>
        <v>5259194609.6000004</v>
      </c>
      <c r="U18" s="38">
        <f t="shared" si="2"/>
        <v>5.2591946096000006</v>
      </c>
      <c r="W18" s="37"/>
    </row>
    <row r="19" spans="1:23" x14ac:dyDescent="0.25">
      <c r="A19" t="s">
        <v>3387</v>
      </c>
      <c r="B19" t="s">
        <v>3388</v>
      </c>
      <c r="C19" t="s">
        <v>3372</v>
      </c>
      <c r="D19" s="35">
        <v>0.51300000000000001</v>
      </c>
      <c r="E19" t="s">
        <v>3362</v>
      </c>
      <c r="F19">
        <v>-38.624418646586491</v>
      </c>
      <c r="G19">
        <v>-3.8769644510203611</v>
      </c>
      <c r="H19">
        <v>2</v>
      </c>
      <c r="I19" s="36">
        <v>88805</v>
      </c>
      <c r="J19" s="37">
        <f t="shared" si="0"/>
        <v>88.805000000000007</v>
      </c>
      <c r="K19" s="38">
        <v>105.071</v>
      </c>
      <c r="L19" s="36">
        <v>234509</v>
      </c>
      <c r="M19" s="37">
        <v>2231.91</v>
      </c>
      <c r="N19" s="38">
        <v>97.4</v>
      </c>
      <c r="O19" s="39">
        <v>0.68600000000000005</v>
      </c>
      <c r="P19" s="38">
        <v>8.1999999999999993</v>
      </c>
      <c r="Q19" s="37">
        <v>724429.98265000002</v>
      </c>
      <c r="R19" s="37">
        <v>657108.09501000005</v>
      </c>
      <c r="S19" s="37">
        <v>53410.239999999998</v>
      </c>
      <c r="T19" s="37">
        <f t="shared" si="1"/>
        <v>12525181972.16</v>
      </c>
      <c r="U19" s="38">
        <f t="shared" si="2"/>
        <v>12.52518197216</v>
      </c>
      <c r="W19" s="37"/>
    </row>
    <row r="20" spans="1:23" x14ac:dyDescent="0.25">
      <c r="A20" t="s">
        <v>3389</v>
      </c>
      <c r="B20" t="s">
        <v>3390</v>
      </c>
      <c r="C20" t="s">
        <v>3372</v>
      </c>
      <c r="D20" s="35">
        <v>0.51300000000000001</v>
      </c>
      <c r="E20" t="s">
        <v>3362</v>
      </c>
      <c r="F20">
        <v>-38.459136038954142</v>
      </c>
      <c r="G20">
        <v>-6.0450769020301456</v>
      </c>
      <c r="H20">
        <v>1</v>
      </c>
      <c r="I20" s="36">
        <v>225000</v>
      </c>
      <c r="J20" s="37">
        <f t="shared" si="0"/>
        <v>225</v>
      </c>
      <c r="K20" s="38">
        <v>435.86799999999999</v>
      </c>
      <c r="L20" s="36">
        <v>15274</v>
      </c>
      <c r="M20" s="37">
        <v>35.04</v>
      </c>
      <c r="N20" s="38">
        <v>97.9</v>
      </c>
      <c r="O20" s="39">
        <v>0.60099999999999998</v>
      </c>
      <c r="P20" s="38">
        <v>22.47</v>
      </c>
      <c r="Q20" s="37">
        <v>39968.772519999999</v>
      </c>
      <c r="R20" s="37">
        <v>33925.604650000001</v>
      </c>
      <c r="S20" s="37">
        <v>34273.120000000003</v>
      </c>
      <c r="T20" s="37">
        <f t="shared" si="1"/>
        <v>523487634.88000005</v>
      </c>
      <c r="U20" s="38">
        <f t="shared" si="2"/>
        <v>0.52348763488000005</v>
      </c>
      <c r="W20" s="37"/>
    </row>
    <row r="21" spans="1:23" x14ac:dyDescent="0.25">
      <c r="A21" t="s">
        <v>3391</v>
      </c>
      <c r="B21" t="s">
        <v>3392</v>
      </c>
      <c r="C21" t="s">
        <v>3372</v>
      </c>
      <c r="D21" s="35">
        <v>0.51300000000000001</v>
      </c>
      <c r="E21" t="s">
        <v>3362</v>
      </c>
      <c r="F21">
        <v>-38.972075865280303</v>
      </c>
      <c r="G21">
        <v>-3.6056325</v>
      </c>
      <c r="H21">
        <v>2</v>
      </c>
      <c r="I21" s="36">
        <v>1385280</v>
      </c>
      <c r="J21" s="37">
        <f t="shared" si="0"/>
        <v>1385.28</v>
      </c>
      <c r="K21" s="38">
        <v>842.63499999999999</v>
      </c>
      <c r="L21" s="36">
        <v>54143</v>
      </c>
      <c r="M21" s="37">
        <v>64.25</v>
      </c>
      <c r="N21" s="38">
        <v>98.1</v>
      </c>
      <c r="O21" s="39">
        <v>0.66500000000000004</v>
      </c>
      <c r="P21" s="38">
        <v>7.24</v>
      </c>
      <c r="Q21" s="37">
        <v>252306.83358000001</v>
      </c>
      <c r="R21" s="37">
        <v>219614.33442</v>
      </c>
      <c r="S21" s="37">
        <v>175103.17</v>
      </c>
      <c r="T21" s="37">
        <f t="shared" si="1"/>
        <v>9480610933.3100014</v>
      </c>
      <c r="U21" s="38">
        <f t="shared" si="2"/>
        <v>9.4806109333100022</v>
      </c>
      <c r="W21" s="37"/>
    </row>
    <row r="22" spans="1:23" x14ac:dyDescent="0.25">
      <c r="A22" t="s">
        <v>3393</v>
      </c>
      <c r="B22" t="s">
        <v>3394</v>
      </c>
      <c r="C22" t="s">
        <v>3395</v>
      </c>
      <c r="D22" s="35">
        <v>0.53500000000000003</v>
      </c>
      <c r="E22" t="s">
        <v>3362</v>
      </c>
      <c r="F22">
        <v>-35.424486928530023</v>
      </c>
      <c r="G22">
        <v>-5.640983591911751</v>
      </c>
      <c r="H22">
        <v>1</v>
      </c>
      <c r="I22" s="36">
        <v>7</v>
      </c>
      <c r="J22" s="37">
        <f t="shared" si="0"/>
        <v>7.0000000000000001E-3</v>
      </c>
      <c r="K22" s="38">
        <v>724.83799999999997</v>
      </c>
      <c r="L22" s="36">
        <v>79115</v>
      </c>
      <c r="M22" s="37">
        <v>109.15</v>
      </c>
      <c r="N22" s="38">
        <v>95.5</v>
      </c>
      <c r="O22" s="39">
        <v>0.61599999999999999</v>
      </c>
      <c r="P22" s="38">
        <v>7.74</v>
      </c>
      <c r="Q22" s="37">
        <v>145085.79191999999</v>
      </c>
      <c r="R22" s="37">
        <v>130286.85992</v>
      </c>
      <c r="S22" s="37">
        <v>13494.44</v>
      </c>
      <c r="T22" s="37">
        <f t="shared" si="1"/>
        <v>1067612620.6</v>
      </c>
      <c r="U22" s="38">
        <f t="shared" si="2"/>
        <v>1.0676126206000001</v>
      </c>
      <c r="W22" s="37"/>
    </row>
    <row r="23" spans="1:23" x14ac:dyDescent="0.25">
      <c r="A23" t="s">
        <v>3396</v>
      </c>
      <c r="B23" t="s">
        <v>3397</v>
      </c>
      <c r="C23" t="s">
        <v>3395</v>
      </c>
      <c r="D23" s="35">
        <v>0.53500000000000003</v>
      </c>
      <c r="E23" t="s">
        <v>3362</v>
      </c>
      <c r="F23">
        <v>-35.25920907386174</v>
      </c>
      <c r="G23">
        <v>-5.9103697582539363</v>
      </c>
      <c r="H23">
        <v>2</v>
      </c>
      <c r="I23" s="36">
        <v>74700</v>
      </c>
      <c r="J23" s="37">
        <f t="shared" si="0"/>
        <v>74.7</v>
      </c>
      <c r="K23" s="38">
        <v>124.006</v>
      </c>
      <c r="L23" s="36">
        <v>252716</v>
      </c>
      <c r="M23" s="37">
        <v>2037.93</v>
      </c>
      <c r="N23" s="38">
        <v>97.9</v>
      </c>
      <c r="O23" s="39">
        <v>0.76600000000000001</v>
      </c>
      <c r="P23" s="38">
        <v>9.7200000000000006</v>
      </c>
      <c r="Q23" s="37">
        <v>444026.48992000002</v>
      </c>
      <c r="R23" s="37">
        <v>385729.94785</v>
      </c>
      <c r="S23" s="37">
        <v>25121.67</v>
      </c>
      <c r="T23" s="37">
        <f t="shared" si="1"/>
        <v>6348647955.7199993</v>
      </c>
      <c r="U23" s="38">
        <f t="shared" si="2"/>
        <v>6.3486479557199997</v>
      </c>
      <c r="W23" s="37"/>
    </row>
    <row r="24" spans="1:23" x14ac:dyDescent="0.25">
      <c r="A24" t="s">
        <v>3398</v>
      </c>
      <c r="B24" t="s">
        <v>3399</v>
      </c>
      <c r="C24" t="s">
        <v>3395</v>
      </c>
      <c r="D24" s="35">
        <v>0.53500000000000003</v>
      </c>
      <c r="E24" t="s">
        <v>3362</v>
      </c>
      <c r="F24">
        <v>-37.356874136704278</v>
      </c>
      <c r="G24">
        <v>-5.1938012347086806</v>
      </c>
      <c r="H24">
        <v>1</v>
      </c>
      <c r="I24" s="36">
        <v>71830</v>
      </c>
      <c r="J24" s="37">
        <f t="shared" si="0"/>
        <v>71.83</v>
      </c>
      <c r="K24" s="38">
        <v>2099.3339999999998</v>
      </c>
      <c r="L24" s="36">
        <v>264577</v>
      </c>
      <c r="M24" s="37">
        <v>126.03</v>
      </c>
      <c r="N24" s="38">
        <v>97.7</v>
      </c>
      <c r="O24" s="39">
        <v>0.72</v>
      </c>
      <c r="P24" s="38">
        <v>9.42</v>
      </c>
      <c r="Q24" s="37">
        <v>569369.80668000004</v>
      </c>
      <c r="R24" s="37">
        <v>519898.75003</v>
      </c>
      <c r="S24" s="37">
        <v>26570.03</v>
      </c>
      <c r="T24" s="37">
        <f t="shared" si="1"/>
        <v>7029818827.3099995</v>
      </c>
      <c r="U24" s="38">
        <f t="shared" si="2"/>
        <v>7.0298188273099997</v>
      </c>
      <c r="W24" s="37"/>
    </row>
    <row r="25" spans="1:23" x14ac:dyDescent="0.25">
      <c r="A25" t="s">
        <v>3400</v>
      </c>
      <c r="B25" t="s">
        <v>3401</v>
      </c>
      <c r="C25" t="s">
        <v>3395</v>
      </c>
      <c r="D25" s="35">
        <v>0.53500000000000003</v>
      </c>
      <c r="E25" t="s">
        <v>3362</v>
      </c>
      <c r="F25">
        <v>-35.252254728054297</v>
      </c>
      <c r="G25">
        <v>-5.7508985376120609</v>
      </c>
      <c r="H25">
        <v>5</v>
      </c>
      <c r="I25" s="36">
        <v>1376128</v>
      </c>
      <c r="J25" s="37">
        <f t="shared" si="0"/>
        <v>1376.1279999999999</v>
      </c>
      <c r="K25" s="38">
        <v>167.40100000000001</v>
      </c>
      <c r="L25" s="36">
        <v>751300</v>
      </c>
      <c r="M25" s="37">
        <v>4488.03</v>
      </c>
      <c r="N25" s="38">
        <v>96.3</v>
      </c>
      <c r="O25" s="39">
        <v>0.76300000000000001</v>
      </c>
      <c r="P25" s="38">
        <v>10.79</v>
      </c>
      <c r="Q25" s="37">
        <v>2168782.5368900001</v>
      </c>
      <c r="R25" s="37">
        <v>2087214.0439899999</v>
      </c>
      <c r="S25" s="37">
        <v>26972.28</v>
      </c>
      <c r="T25" s="37">
        <f t="shared" si="1"/>
        <v>20264273964</v>
      </c>
      <c r="U25" s="38">
        <f t="shared" si="2"/>
        <v>20.264273964000001</v>
      </c>
      <c r="W25" s="37"/>
    </row>
    <row r="26" spans="1:23" x14ac:dyDescent="0.25">
      <c r="A26" t="s">
        <v>3402</v>
      </c>
      <c r="B26" t="s">
        <v>3403</v>
      </c>
      <c r="C26" t="s">
        <v>3404</v>
      </c>
      <c r="D26" s="35">
        <v>0.55900000000000005</v>
      </c>
      <c r="E26" t="s">
        <v>3362</v>
      </c>
      <c r="F26">
        <v>-34.839430020804777</v>
      </c>
      <c r="G26">
        <v>-6.966983063279641</v>
      </c>
      <c r="H26">
        <v>2</v>
      </c>
      <c r="I26" s="36">
        <v>290684</v>
      </c>
      <c r="J26" s="37">
        <f t="shared" si="0"/>
        <v>290.68400000000003</v>
      </c>
      <c r="K26" s="38">
        <v>29.873000000000001</v>
      </c>
      <c r="L26" s="36">
        <v>66519</v>
      </c>
      <c r="M26" s="37">
        <v>2226.73</v>
      </c>
      <c r="N26" s="38">
        <v>97.3</v>
      </c>
      <c r="O26" s="39">
        <v>0.748</v>
      </c>
      <c r="P26" s="38">
        <v>12.82</v>
      </c>
      <c r="Q26" s="37">
        <v>282374.53161000001</v>
      </c>
      <c r="R26" s="37">
        <v>225136.87260999999</v>
      </c>
      <c r="S26" s="37">
        <v>45182.89</v>
      </c>
      <c r="T26" s="37">
        <f t="shared" si="1"/>
        <v>3005520659.9099998</v>
      </c>
      <c r="U26" s="38">
        <f t="shared" si="2"/>
        <v>3.0055206599099997</v>
      </c>
      <c r="W26" s="37"/>
    </row>
    <row r="27" spans="1:23" x14ac:dyDescent="0.25">
      <c r="A27" t="s">
        <v>3405</v>
      </c>
      <c r="B27" t="s">
        <v>3406</v>
      </c>
      <c r="C27" t="s">
        <v>3404</v>
      </c>
      <c r="D27" s="35">
        <v>0.55900000000000005</v>
      </c>
      <c r="E27" t="s">
        <v>3362</v>
      </c>
      <c r="F27">
        <v>-35.883859114781472</v>
      </c>
      <c r="G27">
        <v>-7.2214970400000018</v>
      </c>
      <c r="H27">
        <v>1</v>
      </c>
      <c r="I27" s="36">
        <v>11435</v>
      </c>
      <c r="J27" s="37">
        <f t="shared" si="0"/>
        <v>11.435</v>
      </c>
      <c r="K27" s="38">
        <v>591.65800000000002</v>
      </c>
      <c r="L27" s="36">
        <v>419379</v>
      </c>
      <c r="M27" s="37">
        <v>708.82</v>
      </c>
      <c r="N27" s="38">
        <v>97.6</v>
      </c>
      <c r="O27" s="39">
        <v>0.72</v>
      </c>
      <c r="P27" s="38">
        <v>13.35</v>
      </c>
      <c r="Q27" s="37">
        <v>888332.36288999999</v>
      </c>
      <c r="R27" s="37">
        <v>892403.17871000001</v>
      </c>
      <c r="S27" s="37">
        <v>25066.11</v>
      </c>
      <c r="T27" s="37">
        <f t="shared" si="1"/>
        <v>10512200145.690001</v>
      </c>
      <c r="U27" s="38">
        <f t="shared" si="2"/>
        <v>10.51220014569</v>
      </c>
      <c r="W27" s="37"/>
    </row>
    <row r="28" spans="1:23" x14ac:dyDescent="0.25">
      <c r="A28" t="s">
        <v>3407</v>
      </c>
      <c r="B28" t="s">
        <v>3408</v>
      </c>
      <c r="C28" t="s">
        <v>3404</v>
      </c>
      <c r="D28" s="35">
        <v>0.55900000000000005</v>
      </c>
      <c r="E28" t="s">
        <v>3362</v>
      </c>
      <c r="F28">
        <v>-34.873384813538557</v>
      </c>
      <c r="G28">
        <v>-7.1493820200000018</v>
      </c>
      <c r="H28">
        <v>7</v>
      </c>
      <c r="I28" s="36">
        <v>1105081</v>
      </c>
      <c r="J28" s="37">
        <f t="shared" si="0"/>
        <v>1105.0809999999999</v>
      </c>
      <c r="K28" s="38">
        <v>210.04400000000001</v>
      </c>
      <c r="L28" s="36">
        <v>833932</v>
      </c>
      <c r="M28" s="37">
        <v>3970.27</v>
      </c>
      <c r="N28" s="38">
        <v>96.9</v>
      </c>
      <c r="O28" s="39">
        <v>0.76300000000000001</v>
      </c>
      <c r="P28" s="38">
        <v>15.1</v>
      </c>
      <c r="Q28" s="37">
        <v>2073781.4231499999</v>
      </c>
      <c r="R28" s="37">
        <v>1921360.5419300001</v>
      </c>
      <c r="S28" s="37">
        <v>26936.78</v>
      </c>
      <c r="T28" s="37">
        <f t="shared" si="1"/>
        <v>22463442818.959999</v>
      </c>
      <c r="U28" s="38">
        <f t="shared" si="2"/>
        <v>22.463442818960001</v>
      </c>
      <c r="W28" s="37"/>
    </row>
    <row r="29" spans="1:23" x14ac:dyDescent="0.25">
      <c r="A29">
        <v>2512507</v>
      </c>
      <c r="B29" t="s">
        <v>3409</v>
      </c>
      <c r="C29" t="s">
        <v>3404</v>
      </c>
      <c r="D29" s="35">
        <v>0.55900000000000005</v>
      </c>
      <c r="E29" t="s">
        <v>3362</v>
      </c>
      <c r="F29">
        <v>-35.899433911222907</v>
      </c>
      <c r="G29">
        <v>-7.3607915000000013</v>
      </c>
      <c r="H29">
        <v>1</v>
      </c>
      <c r="I29" s="36">
        <v>79500</v>
      </c>
      <c r="J29" s="37">
        <f t="shared" si="0"/>
        <v>79.5</v>
      </c>
      <c r="K29" s="38">
        <v>402.74799999999999</v>
      </c>
      <c r="L29" s="36">
        <v>47658</v>
      </c>
      <c r="M29" s="37">
        <v>118.33</v>
      </c>
      <c r="N29" s="38">
        <v>96.6</v>
      </c>
      <c r="O29" s="39">
        <v>0.60799999999999998</v>
      </c>
      <c r="P29" s="38">
        <v>10.97</v>
      </c>
      <c r="Q29" s="37">
        <v>92727.233429999993</v>
      </c>
      <c r="R29" s="37">
        <v>83188.316999999995</v>
      </c>
      <c r="S29" s="37">
        <v>13646.91</v>
      </c>
      <c r="T29" s="37">
        <f t="shared" si="1"/>
        <v>650384436.77999997</v>
      </c>
      <c r="U29" s="38">
        <f t="shared" si="2"/>
        <v>0.65038443678000002</v>
      </c>
      <c r="W29" s="37"/>
    </row>
    <row r="30" spans="1:23" x14ac:dyDescent="0.25">
      <c r="A30" t="s">
        <v>3410</v>
      </c>
      <c r="B30" t="s">
        <v>3411</v>
      </c>
      <c r="C30" t="s">
        <v>3412</v>
      </c>
      <c r="D30" s="35">
        <v>0.496</v>
      </c>
      <c r="E30" t="s">
        <v>3362</v>
      </c>
      <c r="F30">
        <v>-35.038488971813102</v>
      </c>
      <c r="G30">
        <v>-8.2898642302978818</v>
      </c>
      <c r="H30">
        <v>5</v>
      </c>
      <c r="I30" s="36">
        <v>1044986</v>
      </c>
      <c r="J30" s="37">
        <f t="shared" si="0"/>
        <v>1044.9860000000001</v>
      </c>
      <c r="K30" s="38">
        <v>445.38600000000002</v>
      </c>
      <c r="L30" s="36">
        <v>203440</v>
      </c>
      <c r="M30" s="37">
        <v>456.77</v>
      </c>
      <c r="N30" s="38">
        <v>96.5</v>
      </c>
      <c r="O30" s="39">
        <v>0.68600000000000005</v>
      </c>
      <c r="P30" s="38">
        <v>11.87</v>
      </c>
      <c r="Q30" s="37">
        <v>824731.45857000002</v>
      </c>
      <c r="R30" s="37">
        <v>597762.02821999998</v>
      </c>
      <c r="S30" s="37">
        <v>65022.05</v>
      </c>
      <c r="T30" s="37">
        <f t="shared" si="1"/>
        <v>13228085852</v>
      </c>
      <c r="U30" s="38">
        <f t="shared" si="2"/>
        <v>13.228085852</v>
      </c>
      <c r="W30" s="37"/>
    </row>
    <row r="31" spans="1:23" x14ac:dyDescent="0.25">
      <c r="A31" t="s">
        <v>3413</v>
      </c>
      <c r="B31" t="s">
        <v>3414</v>
      </c>
      <c r="C31" t="s">
        <v>3412</v>
      </c>
      <c r="D31" s="35">
        <v>0.496</v>
      </c>
      <c r="E31" t="s">
        <v>3362</v>
      </c>
      <c r="F31">
        <v>-35.282790643847733</v>
      </c>
      <c r="G31">
        <v>-7.4070824199390666</v>
      </c>
      <c r="H31">
        <v>1</v>
      </c>
      <c r="I31" s="36">
        <v>222336</v>
      </c>
      <c r="J31" s="37">
        <f t="shared" si="0"/>
        <v>222.33600000000001</v>
      </c>
      <c r="K31" s="38">
        <v>39.116</v>
      </c>
      <c r="L31" s="36">
        <v>7750</v>
      </c>
      <c r="M31" s="37">
        <v>198.13</v>
      </c>
      <c r="N31" s="38">
        <v>97.9</v>
      </c>
      <c r="O31" s="39">
        <v>0.60599999999999998</v>
      </c>
      <c r="P31" s="38">
        <v>9.9</v>
      </c>
      <c r="Q31" s="37">
        <v>33111.614829999999</v>
      </c>
      <c r="R31" s="37">
        <v>30565.25951</v>
      </c>
      <c r="S31" s="37">
        <v>33213.32</v>
      </c>
      <c r="T31" s="37">
        <f t="shared" si="1"/>
        <v>257403230</v>
      </c>
      <c r="U31" s="38">
        <f t="shared" si="2"/>
        <v>0.25740322999999998</v>
      </c>
      <c r="W31" s="37"/>
    </row>
    <row r="32" spans="1:23" x14ac:dyDescent="0.25">
      <c r="A32" t="s">
        <v>3415</v>
      </c>
      <c r="B32" t="s">
        <v>3416</v>
      </c>
      <c r="C32" t="s">
        <v>3412</v>
      </c>
      <c r="D32" s="35">
        <v>0.496</v>
      </c>
      <c r="E32" t="s">
        <v>3362</v>
      </c>
      <c r="F32">
        <v>-35.258060605913073</v>
      </c>
      <c r="G32">
        <v>-7.8468867164173153</v>
      </c>
      <c r="H32">
        <v>1</v>
      </c>
      <c r="I32" s="36">
        <v>164464</v>
      </c>
      <c r="J32" s="37">
        <f t="shared" si="0"/>
        <v>164.464</v>
      </c>
      <c r="K32" s="38">
        <v>147.017</v>
      </c>
      <c r="L32" s="36">
        <v>79293</v>
      </c>
      <c r="M32" s="37">
        <v>539.35</v>
      </c>
      <c r="N32" s="38">
        <v>95.5</v>
      </c>
      <c r="O32" s="39">
        <v>0.68</v>
      </c>
      <c r="P32" s="38">
        <v>13.19</v>
      </c>
      <c r="Q32" s="37">
        <v>141304.6</v>
      </c>
      <c r="R32" s="37">
        <v>127645.63</v>
      </c>
      <c r="S32" s="37">
        <v>20496.82</v>
      </c>
      <c r="T32" s="37">
        <f t="shared" si="1"/>
        <v>1625254348.26</v>
      </c>
      <c r="U32" s="38">
        <f t="shared" si="2"/>
        <v>1.6252543482599999</v>
      </c>
      <c r="W32" s="37"/>
    </row>
    <row r="33" spans="1:23" x14ac:dyDescent="0.25">
      <c r="A33" t="s">
        <v>3417</v>
      </c>
      <c r="B33" t="s">
        <v>3418</v>
      </c>
      <c r="C33" t="s">
        <v>3412</v>
      </c>
      <c r="D33" s="35">
        <v>0.496</v>
      </c>
      <c r="E33" t="s">
        <v>3362</v>
      </c>
      <c r="F33">
        <v>-35.967073360053533</v>
      </c>
      <c r="G33">
        <v>-8.2858980000000013</v>
      </c>
      <c r="H33">
        <v>1</v>
      </c>
      <c r="I33" s="36">
        <v>1065000</v>
      </c>
      <c r="J33" s="37">
        <f t="shared" si="0"/>
        <v>1065</v>
      </c>
      <c r="K33" s="38">
        <v>923.15</v>
      </c>
      <c r="L33" s="36">
        <v>378048</v>
      </c>
      <c r="M33" s="37">
        <v>409.52</v>
      </c>
      <c r="N33" s="38">
        <v>94.9</v>
      </c>
      <c r="O33" s="39">
        <v>0.67700000000000005</v>
      </c>
      <c r="P33" s="38">
        <v>13.17</v>
      </c>
      <c r="Q33" s="37">
        <v>669460.37757999997</v>
      </c>
      <c r="R33" s="37">
        <v>617694.32903000002</v>
      </c>
      <c r="S33" s="37">
        <v>23456.58</v>
      </c>
      <c r="T33" s="37">
        <f t="shared" si="1"/>
        <v>8867713155.8400002</v>
      </c>
      <c r="U33" s="38">
        <f t="shared" si="2"/>
        <v>8.8677131558400006</v>
      </c>
      <c r="W33" s="37"/>
    </row>
    <row r="34" spans="1:23" x14ac:dyDescent="0.25">
      <c r="A34" t="s">
        <v>3419</v>
      </c>
      <c r="B34" t="s">
        <v>3420</v>
      </c>
      <c r="C34" t="s">
        <v>3412</v>
      </c>
      <c r="D34" s="35">
        <v>0.496</v>
      </c>
      <c r="E34" t="s">
        <v>3362</v>
      </c>
      <c r="F34">
        <v>-34.921173467260282</v>
      </c>
      <c r="G34">
        <v>-8.1653914673574501</v>
      </c>
      <c r="H34">
        <v>3</v>
      </c>
      <c r="I34" s="36">
        <v>240785</v>
      </c>
      <c r="J34" s="37">
        <f t="shared" si="0"/>
        <v>240.785</v>
      </c>
      <c r="K34" s="38">
        <v>258.72399999999999</v>
      </c>
      <c r="L34" s="36">
        <v>644037</v>
      </c>
      <c r="M34" s="37">
        <v>2489.2800000000002</v>
      </c>
      <c r="N34" s="38">
        <v>96.8</v>
      </c>
      <c r="O34" s="39">
        <v>0.71699999999999997</v>
      </c>
      <c r="P34" s="38">
        <v>13.96</v>
      </c>
      <c r="Q34" s="37">
        <v>1323478.8810099999</v>
      </c>
      <c r="R34" s="37">
        <v>1100876.6542799999</v>
      </c>
      <c r="S34" s="37">
        <v>22680.83</v>
      </c>
      <c r="T34" s="37">
        <f t="shared" si="1"/>
        <v>14607293710.710001</v>
      </c>
      <c r="U34" s="38">
        <f t="shared" si="2"/>
        <v>14.607293710710001</v>
      </c>
      <c r="W34" s="37"/>
    </row>
    <row r="35" spans="1:23" x14ac:dyDescent="0.25">
      <c r="A35" t="s">
        <v>3421</v>
      </c>
      <c r="B35" t="s">
        <v>3422</v>
      </c>
      <c r="C35" t="s">
        <v>3412</v>
      </c>
      <c r="D35" s="35">
        <v>0.496</v>
      </c>
      <c r="E35" t="s">
        <v>3362</v>
      </c>
      <c r="F35">
        <v>-35.221338696174378</v>
      </c>
      <c r="G35">
        <v>-7.7376880000000012</v>
      </c>
      <c r="H35">
        <v>3</v>
      </c>
      <c r="I35" s="36">
        <v>306513</v>
      </c>
      <c r="J35" s="37">
        <f t="shared" si="0"/>
        <v>306.51299999999998</v>
      </c>
      <c r="K35" s="38">
        <v>130.572</v>
      </c>
      <c r="L35" s="36">
        <v>30648</v>
      </c>
      <c r="M35" s="37">
        <v>234.72</v>
      </c>
      <c r="N35" s="38">
        <v>96.1</v>
      </c>
      <c r="O35" s="39">
        <v>0.66200000000000003</v>
      </c>
      <c r="P35" s="38">
        <v>8.85</v>
      </c>
      <c r="Q35" s="37">
        <v>54902.210079999997</v>
      </c>
      <c r="R35" s="37">
        <v>57721.772060000003</v>
      </c>
      <c r="S35" s="37">
        <v>21071.46</v>
      </c>
      <c r="T35" s="37">
        <f t="shared" si="1"/>
        <v>645798106.07999992</v>
      </c>
      <c r="U35" s="38">
        <f t="shared" si="2"/>
        <v>0.64579810607999988</v>
      </c>
      <c r="W35" s="37"/>
    </row>
    <row r="36" spans="1:23" x14ac:dyDescent="0.25">
      <c r="A36" t="s">
        <v>3423</v>
      </c>
      <c r="B36" t="s">
        <v>3424</v>
      </c>
      <c r="C36" t="s">
        <v>3412</v>
      </c>
      <c r="D36" s="35">
        <v>0.496</v>
      </c>
      <c r="E36" t="s">
        <v>3362</v>
      </c>
      <c r="F36">
        <v>-34.861310389823508</v>
      </c>
      <c r="G36">
        <v>-7.992660075322922</v>
      </c>
      <c r="H36">
        <v>1</v>
      </c>
      <c r="I36" s="36">
        <v>20998</v>
      </c>
      <c r="J36" s="37">
        <f t="shared" si="0"/>
        <v>20.998000000000001</v>
      </c>
      <c r="K36" s="38">
        <v>41.3</v>
      </c>
      <c r="L36" s="36">
        <v>349976</v>
      </c>
      <c r="M36" s="37">
        <v>8474</v>
      </c>
      <c r="N36" s="38">
        <v>96.9</v>
      </c>
      <c r="O36" s="39">
        <v>0.73499999999999999</v>
      </c>
      <c r="P36" s="38">
        <v>12.97</v>
      </c>
      <c r="Q36" s="37">
        <v>627292.10973999999</v>
      </c>
      <c r="R36" s="37">
        <v>564477.78381000005</v>
      </c>
      <c r="S36" s="37">
        <v>14700.91</v>
      </c>
      <c r="T36" s="37">
        <f t="shared" si="1"/>
        <v>5144965678.1599998</v>
      </c>
      <c r="U36" s="38">
        <f t="shared" si="2"/>
        <v>5.1449656781600002</v>
      </c>
      <c r="W36" s="37"/>
    </row>
    <row r="37" spans="1:23" x14ac:dyDescent="0.25">
      <c r="A37" t="s">
        <v>3425</v>
      </c>
      <c r="B37" t="s">
        <v>3426</v>
      </c>
      <c r="C37" t="s">
        <v>3412</v>
      </c>
      <c r="D37" s="35">
        <v>0.496</v>
      </c>
      <c r="E37" t="s">
        <v>3362</v>
      </c>
      <c r="F37">
        <v>-35.588335993758072</v>
      </c>
      <c r="G37">
        <v>-8.6790825000000016</v>
      </c>
      <c r="H37">
        <v>5</v>
      </c>
      <c r="I37" s="36">
        <v>627653</v>
      </c>
      <c r="J37" s="37">
        <f t="shared" si="0"/>
        <v>627.65300000000002</v>
      </c>
      <c r="K37" s="38">
        <v>339.40100000000001</v>
      </c>
      <c r="L37" s="36">
        <v>54584</v>
      </c>
      <c r="M37" s="37">
        <v>160.82</v>
      </c>
      <c r="N37" s="38">
        <v>96.3</v>
      </c>
      <c r="O37" s="39">
        <v>0.622</v>
      </c>
      <c r="P37" s="38">
        <v>14.71</v>
      </c>
      <c r="Q37" s="37">
        <v>129657.239</v>
      </c>
      <c r="R37" s="37">
        <v>135059.73673</v>
      </c>
      <c r="S37" s="37">
        <v>14497.54</v>
      </c>
      <c r="T37" s="37">
        <f t="shared" si="1"/>
        <v>791333723.36000001</v>
      </c>
      <c r="U37" s="38">
        <f t="shared" si="2"/>
        <v>0.79133372335999996</v>
      </c>
      <c r="W37" s="37"/>
    </row>
    <row r="38" spans="1:23" x14ac:dyDescent="0.25">
      <c r="A38" t="s">
        <v>3427</v>
      </c>
      <c r="B38" t="s">
        <v>3428</v>
      </c>
      <c r="C38" t="s">
        <v>3412</v>
      </c>
      <c r="D38" s="35">
        <v>0.496</v>
      </c>
      <c r="E38" t="s">
        <v>3362</v>
      </c>
      <c r="F38">
        <v>-40.499999334652252</v>
      </c>
      <c r="G38">
        <v>-9.397375515000002</v>
      </c>
      <c r="H38">
        <v>2</v>
      </c>
      <c r="I38" s="36">
        <v>58777</v>
      </c>
      <c r="J38" s="37">
        <f t="shared" si="0"/>
        <v>58.777000000000001</v>
      </c>
      <c r="K38" s="38">
        <v>4561.87</v>
      </c>
      <c r="L38" s="36">
        <v>386791</v>
      </c>
      <c r="M38" s="37">
        <v>84.79</v>
      </c>
      <c r="N38" s="38">
        <v>97</v>
      </c>
      <c r="O38" s="39">
        <v>0.69699999999999995</v>
      </c>
      <c r="P38" s="38">
        <v>14.86</v>
      </c>
      <c r="Q38" s="37">
        <v>669779.17576000001</v>
      </c>
      <c r="R38" s="37">
        <v>604499.95461999997</v>
      </c>
      <c r="S38" s="37">
        <v>22244.46</v>
      </c>
      <c r="T38" s="37">
        <f t="shared" si="1"/>
        <v>8603956927.8600006</v>
      </c>
      <c r="U38" s="38">
        <f t="shared" si="2"/>
        <v>8.6039569278600005</v>
      </c>
      <c r="W38" s="37"/>
    </row>
    <row r="39" spans="1:23" x14ac:dyDescent="0.25">
      <c r="A39" t="s">
        <v>3429</v>
      </c>
      <c r="B39" t="s">
        <v>3430</v>
      </c>
      <c r="C39" t="s">
        <v>3412</v>
      </c>
      <c r="D39" s="35">
        <v>0.496</v>
      </c>
      <c r="E39" t="s">
        <v>3362</v>
      </c>
      <c r="F39">
        <v>-34.888941944577716</v>
      </c>
      <c r="G39">
        <v>-8.0627624830524081</v>
      </c>
      <c r="H39">
        <v>11</v>
      </c>
      <c r="I39" s="36">
        <v>22053439</v>
      </c>
      <c r="J39" s="37">
        <f t="shared" si="0"/>
        <v>22053.438999999998</v>
      </c>
      <c r="K39" s="38">
        <v>218.84299999999999</v>
      </c>
      <c r="L39" s="36">
        <v>1488920</v>
      </c>
      <c r="M39" s="37">
        <v>6803.6</v>
      </c>
      <c r="N39" s="38">
        <v>97.1</v>
      </c>
      <c r="O39" s="39">
        <v>0.77200000000000002</v>
      </c>
      <c r="P39" s="38">
        <v>10.93</v>
      </c>
      <c r="Q39" s="37">
        <v>4863813.5733200004</v>
      </c>
      <c r="R39" s="37">
        <v>4359406.3480399996</v>
      </c>
      <c r="S39" s="37">
        <v>33094.370000000003</v>
      </c>
      <c r="T39" s="37">
        <f t="shared" si="1"/>
        <v>49274869380.400002</v>
      </c>
      <c r="U39" s="38">
        <f t="shared" si="2"/>
        <v>49.274869380399998</v>
      </c>
      <c r="W39" s="37"/>
    </row>
    <row r="40" spans="1:23" x14ac:dyDescent="0.25">
      <c r="A40" t="s">
        <v>3431</v>
      </c>
      <c r="B40" t="s">
        <v>3432</v>
      </c>
      <c r="C40" t="s">
        <v>3412</v>
      </c>
      <c r="D40" s="35">
        <v>0.496</v>
      </c>
      <c r="E40" t="s">
        <v>3362</v>
      </c>
      <c r="F40">
        <v>-36.20395001714575</v>
      </c>
      <c r="G40">
        <v>-7.9551895000000012</v>
      </c>
      <c r="H40">
        <v>1</v>
      </c>
      <c r="I40" s="36">
        <v>52000</v>
      </c>
      <c r="J40" s="37">
        <f t="shared" si="0"/>
        <v>52</v>
      </c>
      <c r="K40" s="38">
        <v>335.30900000000003</v>
      </c>
      <c r="L40" s="36">
        <v>98254</v>
      </c>
      <c r="M40" s="37">
        <v>293.02999999999997</v>
      </c>
      <c r="N40" s="38">
        <v>95.7</v>
      </c>
      <c r="O40" s="39">
        <v>0.64800000000000002</v>
      </c>
      <c r="P40" s="38">
        <v>16.239999999999998</v>
      </c>
      <c r="Q40" s="37">
        <v>171093.03289999999</v>
      </c>
      <c r="R40" s="37">
        <v>157045.08379999999</v>
      </c>
      <c r="S40" s="37">
        <v>17222.96</v>
      </c>
      <c r="T40" s="37">
        <f t="shared" si="1"/>
        <v>1692224711.8399999</v>
      </c>
      <c r="U40" s="38">
        <f t="shared" si="2"/>
        <v>1.69222471184</v>
      </c>
      <c r="W40" s="37"/>
    </row>
    <row r="41" spans="1:23" x14ac:dyDescent="0.25">
      <c r="A41" t="s">
        <v>3433</v>
      </c>
      <c r="B41" t="s">
        <v>3434</v>
      </c>
      <c r="C41" t="s">
        <v>3412</v>
      </c>
      <c r="D41" s="35">
        <v>0.496</v>
      </c>
      <c r="E41" t="s">
        <v>3362</v>
      </c>
      <c r="F41">
        <v>-35.293864241081387</v>
      </c>
      <c r="G41">
        <v>-8.1187480000000019</v>
      </c>
      <c r="H41">
        <v>1</v>
      </c>
      <c r="I41" s="36">
        <v>78000</v>
      </c>
      <c r="J41" s="37">
        <f t="shared" si="0"/>
        <v>78</v>
      </c>
      <c r="K41" s="38">
        <v>335.30900000000003</v>
      </c>
      <c r="L41" s="36">
        <v>98254</v>
      </c>
      <c r="M41" s="37">
        <v>293.02999999999997</v>
      </c>
      <c r="N41" s="38">
        <v>95.7</v>
      </c>
      <c r="O41" s="39">
        <v>0.64800000000000002</v>
      </c>
      <c r="P41" s="38">
        <v>16.239999999999998</v>
      </c>
      <c r="Q41" s="37">
        <v>171093.03289999999</v>
      </c>
      <c r="R41" s="37">
        <v>157045.08379999999</v>
      </c>
      <c r="S41" s="37">
        <v>17222.96</v>
      </c>
      <c r="T41" s="37">
        <f t="shared" si="1"/>
        <v>1692224711.8399999</v>
      </c>
      <c r="U41" s="38">
        <f t="shared" si="2"/>
        <v>1.69222471184</v>
      </c>
      <c r="W41" s="37"/>
    </row>
    <row r="42" spans="1:23" x14ac:dyDescent="0.25">
      <c r="A42" t="s">
        <v>3435</v>
      </c>
      <c r="B42" t="s">
        <v>3436</v>
      </c>
      <c r="C42" t="s">
        <v>3437</v>
      </c>
      <c r="D42" s="35">
        <v>0.48599999999999999</v>
      </c>
      <c r="E42" t="s">
        <v>3362</v>
      </c>
      <c r="F42">
        <v>-36.657296506287189</v>
      </c>
      <c r="G42">
        <v>-9.7559070107047017</v>
      </c>
      <c r="H42">
        <v>3</v>
      </c>
      <c r="I42" s="36">
        <v>444112</v>
      </c>
      <c r="J42" s="37">
        <f t="shared" si="0"/>
        <v>444.11200000000002</v>
      </c>
      <c r="K42" s="38">
        <v>345.65499999999997</v>
      </c>
      <c r="L42" s="36">
        <v>234696</v>
      </c>
      <c r="M42" s="37">
        <v>678.99</v>
      </c>
      <c r="N42" s="38">
        <v>95.9</v>
      </c>
      <c r="O42" s="39">
        <v>0.64900000000000002</v>
      </c>
      <c r="P42" s="38">
        <v>10.62</v>
      </c>
      <c r="Q42" s="37">
        <v>589893.31825999997</v>
      </c>
      <c r="R42" s="37">
        <v>541162.19010000001</v>
      </c>
      <c r="S42" s="37">
        <v>25248.44</v>
      </c>
      <c r="T42" s="37">
        <f t="shared" si="1"/>
        <v>5925707874.2399998</v>
      </c>
      <c r="U42" s="38">
        <f t="shared" si="2"/>
        <v>5.9257078742399996</v>
      </c>
      <c r="W42" s="37"/>
    </row>
    <row r="43" spans="1:23" x14ac:dyDescent="0.25">
      <c r="A43" t="s">
        <v>3438</v>
      </c>
      <c r="B43" t="s">
        <v>3439</v>
      </c>
      <c r="C43" t="s">
        <v>3437</v>
      </c>
      <c r="D43" s="35">
        <v>0.48599999999999999</v>
      </c>
      <c r="E43" t="s">
        <v>3362</v>
      </c>
      <c r="F43">
        <v>-35.701629913489491</v>
      </c>
      <c r="G43">
        <v>-9.660822151631141</v>
      </c>
      <c r="H43">
        <v>9</v>
      </c>
      <c r="I43" s="36">
        <v>7863816</v>
      </c>
      <c r="J43" s="37">
        <f t="shared" si="0"/>
        <v>7863.8159999999998</v>
      </c>
      <c r="K43" s="38">
        <v>509.32</v>
      </c>
      <c r="L43" s="36">
        <v>957916</v>
      </c>
      <c r="M43" s="37">
        <v>1880.77</v>
      </c>
      <c r="N43" s="38">
        <v>95</v>
      </c>
      <c r="O43" s="39">
        <v>0.72099999999999997</v>
      </c>
      <c r="P43" s="38">
        <v>12.74</v>
      </c>
      <c r="Q43" s="37">
        <v>2341738.83348</v>
      </c>
      <c r="R43" s="37">
        <v>2223470.5787200001</v>
      </c>
      <c r="S43" s="37">
        <v>26642.2</v>
      </c>
      <c r="T43" s="37">
        <f t="shared" si="1"/>
        <v>25520989655.200001</v>
      </c>
      <c r="U43" s="38">
        <f t="shared" si="2"/>
        <v>25.520989655200001</v>
      </c>
      <c r="W43" s="37"/>
    </row>
    <row r="44" spans="1:23" x14ac:dyDescent="0.25">
      <c r="A44" t="s">
        <v>3440</v>
      </c>
      <c r="B44" t="s">
        <v>3441</v>
      </c>
      <c r="C44" t="s">
        <v>3437</v>
      </c>
      <c r="D44" s="35">
        <v>0.48599999999999999</v>
      </c>
      <c r="E44" t="s">
        <v>3362</v>
      </c>
      <c r="F44">
        <v>-36.824629291523948</v>
      </c>
      <c r="G44">
        <v>-10.173732564191051</v>
      </c>
      <c r="H44">
        <v>1</v>
      </c>
      <c r="I44" s="36">
        <v>11793</v>
      </c>
      <c r="J44" s="37">
        <f t="shared" si="0"/>
        <v>11.792999999999999</v>
      </c>
      <c r="K44" s="38">
        <v>235.852</v>
      </c>
      <c r="L44" s="36">
        <v>20082</v>
      </c>
      <c r="M44" s="37">
        <v>85.15</v>
      </c>
      <c r="N44" s="38">
        <v>94</v>
      </c>
      <c r="O44" s="39">
        <v>0.55100000000000005</v>
      </c>
      <c r="P44" s="38">
        <v>15.75</v>
      </c>
      <c r="Q44" s="37">
        <v>39683.809710000001</v>
      </c>
      <c r="R44" s="37">
        <v>38593.305059999999</v>
      </c>
      <c r="S44" s="37">
        <v>13337.96</v>
      </c>
      <c r="T44" s="37">
        <f t="shared" si="1"/>
        <v>267852912.71999997</v>
      </c>
      <c r="U44" s="38">
        <f t="shared" si="2"/>
        <v>0.26785291271999995</v>
      </c>
      <c r="W44" s="37"/>
    </row>
    <row r="45" spans="1:23" x14ac:dyDescent="0.25">
      <c r="A45" t="s">
        <v>3442</v>
      </c>
      <c r="B45" t="s">
        <v>3443</v>
      </c>
      <c r="C45" t="s">
        <v>3437</v>
      </c>
      <c r="D45" s="35">
        <v>0.48599999999999999</v>
      </c>
      <c r="E45" t="s">
        <v>3362</v>
      </c>
      <c r="F45">
        <v>-35.852422308592402</v>
      </c>
      <c r="G45">
        <v>-9.4861576083358408</v>
      </c>
      <c r="H45">
        <v>1</v>
      </c>
      <c r="I45" s="36">
        <v>22130</v>
      </c>
      <c r="J45" s="37">
        <f t="shared" si="0"/>
        <v>22.13</v>
      </c>
      <c r="K45" s="38">
        <v>293.81599999999997</v>
      </c>
      <c r="L45" s="36">
        <v>93927</v>
      </c>
      <c r="M45" s="37">
        <v>319.68</v>
      </c>
      <c r="N45" s="38">
        <v>96.6</v>
      </c>
      <c r="O45" s="39">
        <v>0.64300000000000002</v>
      </c>
      <c r="P45" s="38">
        <v>10.79</v>
      </c>
      <c r="Q45" s="37">
        <v>147948.89407000001</v>
      </c>
      <c r="R45" s="37">
        <v>136916.68752000001</v>
      </c>
      <c r="S45" s="37">
        <v>18806.12</v>
      </c>
      <c r="T45" s="37">
        <f t="shared" si="1"/>
        <v>1766402433.24</v>
      </c>
      <c r="U45" s="38">
        <f t="shared" si="2"/>
        <v>1.7664024332399999</v>
      </c>
      <c r="W45" s="37"/>
    </row>
    <row r="46" spans="1:23" x14ac:dyDescent="0.25">
      <c r="A46" t="s">
        <v>3444</v>
      </c>
      <c r="B46" t="s">
        <v>3445</v>
      </c>
      <c r="C46" t="s">
        <v>3446</v>
      </c>
      <c r="D46" s="35">
        <v>0.50700000000000001</v>
      </c>
      <c r="E46" t="s">
        <v>3362</v>
      </c>
      <c r="F46">
        <v>-37.128496130046379</v>
      </c>
      <c r="G46">
        <v>-10.848754175733299</v>
      </c>
      <c r="H46">
        <v>1</v>
      </c>
      <c r="I46" s="36">
        <v>10656</v>
      </c>
      <c r="J46" s="37">
        <f t="shared" si="0"/>
        <v>10.656000000000001</v>
      </c>
      <c r="K46" s="38">
        <v>155.018</v>
      </c>
      <c r="L46" s="36">
        <v>192330</v>
      </c>
      <c r="M46" s="37">
        <v>1240.69</v>
      </c>
      <c r="N46" s="38">
        <v>96.4</v>
      </c>
      <c r="O46" s="39">
        <v>0.66400000000000003</v>
      </c>
      <c r="P46" s="38">
        <v>21.02</v>
      </c>
      <c r="Q46" s="37">
        <v>281236.09817000001</v>
      </c>
      <c r="R46" s="37">
        <v>257530.34280000001</v>
      </c>
      <c r="S46" s="37">
        <v>17219.66</v>
      </c>
      <c r="T46" s="37">
        <f t="shared" si="1"/>
        <v>3311857207.8000002</v>
      </c>
      <c r="U46" s="38">
        <f t="shared" si="2"/>
        <v>3.3118572078000001</v>
      </c>
      <c r="W46" s="37"/>
    </row>
    <row r="47" spans="1:23" x14ac:dyDescent="0.25">
      <c r="A47" t="s">
        <v>3447</v>
      </c>
      <c r="B47" t="s">
        <v>3448</v>
      </c>
      <c r="C47" t="s">
        <v>3449</v>
      </c>
      <c r="D47" s="35">
        <v>0.49</v>
      </c>
      <c r="E47" t="s">
        <v>3362</v>
      </c>
      <c r="F47">
        <v>-38.325740062065186</v>
      </c>
      <c r="G47">
        <v>-12.69881676</v>
      </c>
      <c r="H47">
        <v>1</v>
      </c>
      <c r="I47" s="36">
        <v>4935</v>
      </c>
      <c r="J47" s="37">
        <f t="shared" si="0"/>
        <v>4.9349999999999996</v>
      </c>
      <c r="K47" s="38">
        <v>785.42100000000005</v>
      </c>
      <c r="L47" s="36">
        <v>300372</v>
      </c>
      <c r="M47" s="37">
        <v>382.43</v>
      </c>
      <c r="N47" s="38">
        <v>96.7</v>
      </c>
      <c r="O47" s="39">
        <v>0.69399999999999995</v>
      </c>
      <c r="P47" s="38">
        <v>14.55</v>
      </c>
      <c r="Q47" s="37">
        <v>1197747.8576499999</v>
      </c>
      <c r="R47" s="37">
        <v>979305.40469999996</v>
      </c>
      <c r="S47" s="37">
        <v>109866.84</v>
      </c>
      <c r="T47" s="37">
        <f t="shared" si="1"/>
        <v>33000922464.48</v>
      </c>
      <c r="U47" s="38">
        <f t="shared" si="2"/>
        <v>33.000922464479999</v>
      </c>
      <c r="W47" s="37"/>
    </row>
    <row r="48" spans="1:23" x14ac:dyDescent="0.25">
      <c r="A48" t="s">
        <v>3450</v>
      </c>
      <c r="B48" t="s">
        <v>3451</v>
      </c>
      <c r="C48" t="s">
        <v>3449</v>
      </c>
      <c r="D48" s="35">
        <v>0.49</v>
      </c>
      <c r="E48" t="s">
        <v>3362</v>
      </c>
      <c r="F48">
        <v>-38.960033096321361</v>
      </c>
      <c r="G48">
        <v>-12.229284252480049</v>
      </c>
      <c r="H48">
        <v>1</v>
      </c>
      <c r="I48" s="36">
        <v>444400</v>
      </c>
      <c r="J48" s="37">
        <f t="shared" si="0"/>
        <v>444.4</v>
      </c>
      <c r="K48" s="38">
        <v>1304.425</v>
      </c>
      <c r="L48" s="36">
        <v>616272</v>
      </c>
      <c r="M48" s="37">
        <v>472.45</v>
      </c>
      <c r="N48" s="38">
        <v>97.4</v>
      </c>
      <c r="O48" s="39">
        <v>0.71199999999999997</v>
      </c>
      <c r="P48" s="38">
        <v>14.16</v>
      </c>
      <c r="Q48" s="37">
        <v>1167088.5740400001</v>
      </c>
      <c r="R48" s="37">
        <v>1099658.8289999999</v>
      </c>
      <c r="S48" s="37">
        <v>27691.08</v>
      </c>
      <c r="T48" s="37">
        <f t="shared" si="1"/>
        <v>17065237253.76</v>
      </c>
      <c r="U48" s="38">
        <f t="shared" si="2"/>
        <v>17.065237253759999</v>
      </c>
      <c r="W48" s="37"/>
    </row>
    <row r="49" spans="1:23" x14ac:dyDescent="0.25">
      <c r="A49" t="s">
        <v>3452</v>
      </c>
      <c r="B49" t="s">
        <v>3453</v>
      </c>
      <c r="C49" t="s">
        <v>3449</v>
      </c>
      <c r="D49" s="35">
        <v>0.49</v>
      </c>
      <c r="E49" t="s">
        <v>3362</v>
      </c>
      <c r="F49">
        <v>-38.323461610251393</v>
      </c>
      <c r="G49">
        <v>-12.896717608924501</v>
      </c>
      <c r="H49">
        <v>4</v>
      </c>
      <c r="I49" s="36">
        <v>451096</v>
      </c>
      <c r="J49" s="37">
        <f t="shared" si="0"/>
        <v>451.096</v>
      </c>
      <c r="K49" s="38">
        <v>57.942</v>
      </c>
      <c r="L49" s="36">
        <v>203331</v>
      </c>
      <c r="M49" s="37">
        <v>3509.22</v>
      </c>
      <c r="N49" s="38">
        <v>97.2</v>
      </c>
      <c r="O49" s="39">
        <v>0.754</v>
      </c>
      <c r="P49" s="38">
        <v>16.309999999999999</v>
      </c>
      <c r="Q49" s="37">
        <v>519885.47642000002</v>
      </c>
      <c r="R49" s="37">
        <v>474285.94150999998</v>
      </c>
      <c r="S49" s="37">
        <v>35778.639999999999</v>
      </c>
      <c r="T49" s="37">
        <f t="shared" si="1"/>
        <v>7274906649.8400002</v>
      </c>
      <c r="U49" s="38">
        <f t="shared" si="2"/>
        <v>7.2749066498400001</v>
      </c>
      <c r="W49" s="37"/>
    </row>
    <row r="50" spans="1:23" x14ac:dyDescent="0.25">
      <c r="A50" t="s">
        <v>3454</v>
      </c>
      <c r="B50" t="s">
        <v>3455</v>
      </c>
      <c r="C50" t="s">
        <v>3449</v>
      </c>
      <c r="D50" s="35">
        <v>0.49</v>
      </c>
      <c r="E50" t="s">
        <v>3362</v>
      </c>
      <c r="F50">
        <v>-38.488061484007851</v>
      </c>
      <c r="G50">
        <v>-13.014771911532749</v>
      </c>
      <c r="H50">
        <v>3</v>
      </c>
      <c r="I50" s="36">
        <v>437001</v>
      </c>
      <c r="J50" s="37">
        <f t="shared" si="0"/>
        <v>437.00099999999998</v>
      </c>
      <c r="K50" s="38">
        <v>693.44200000000001</v>
      </c>
      <c r="L50" s="36">
        <v>2417678</v>
      </c>
      <c r="M50" s="37">
        <v>3486.49</v>
      </c>
      <c r="N50" s="38">
        <v>95.9</v>
      </c>
      <c r="O50" s="39">
        <v>0.75900000000000001</v>
      </c>
      <c r="P50" s="38">
        <v>17.149999999999999</v>
      </c>
      <c r="Q50" s="37">
        <v>6270192.7548799999</v>
      </c>
      <c r="R50" s="37">
        <v>5674145.3245999999</v>
      </c>
      <c r="S50" s="37">
        <v>21706.06</v>
      </c>
      <c r="T50" s="37">
        <f t="shared" si="1"/>
        <v>52478263728.68</v>
      </c>
      <c r="U50" s="38">
        <f t="shared" si="2"/>
        <v>52.478263728679998</v>
      </c>
      <c r="W50" s="37"/>
    </row>
    <row r="51" spans="1:23" x14ac:dyDescent="0.25">
      <c r="A51" t="s">
        <v>3456</v>
      </c>
      <c r="B51" t="s">
        <v>3457</v>
      </c>
      <c r="C51" t="s">
        <v>3449</v>
      </c>
      <c r="D51" s="35">
        <v>0.49</v>
      </c>
      <c r="E51" t="s">
        <v>3362</v>
      </c>
      <c r="F51">
        <v>-38.411519193245063</v>
      </c>
      <c r="G51">
        <v>-12.7839414833678</v>
      </c>
      <c r="H51">
        <v>3</v>
      </c>
      <c r="I51" s="36">
        <v>115837</v>
      </c>
      <c r="J51" s="37">
        <f t="shared" si="0"/>
        <v>115.837</v>
      </c>
      <c r="K51" s="38">
        <v>201.52799999999999</v>
      </c>
      <c r="L51" s="36">
        <v>114559</v>
      </c>
      <c r="M51" s="37">
        <v>568.45000000000005</v>
      </c>
      <c r="N51" s="38">
        <v>95.9</v>
      </c>
      <c r="O51" s="39">
        <v>0.67500000000000004</v>
      </c>
      <c r="P51" s="38">
        <v>17.3</v>
      </c>
      <c r="Q51" s="37">
        <v>349440.53357000003</v>
      </c>
      <c r="R51" s="37">
        <v>293260.79504</v>
      </c>
      <c r="S51" s="37">
        <v>46196.74</v>
      </c>
      <c r="T51" s="37">
        <f t="shared" si="1"/>
        <v>5292252337.6599998</v>
      </c>
      <c r="U51" s="38">
        <f t="shared" si="2"/>
        <v>5.2922523376599999</v>
      </c>
      <c r="W51" s="37"/>
    </row>
    <row r="52" spans="1:23" x14ac:dyDescent="0.25">
      <c r="A52" t="s">
        <v>3458</v>
      </c>
      <c r="B52" t="s">
        <v>3459</v>
      </c>
      <c r="C52" t="s">
        <v>3460</v>
      </c>
      <c r="D52" s="35">
        <v>0.47599999999999998</v>
      </c>
      <c r="E52" t="s">
        <v>3446</v>
      </c>
      <c r="F52">
        <v>-46.940009890021308</v>
      </c>
      <c r="G52">
        <v>-19.591329802783701</v>
      </c>
      <c r="H52">
        <v>2</v>
      </c>
      <c r="I52" s="36">
        <v>1513596</v>
      </c>
      <c r="J52" s="37">
        <f t="shared" si="0"/>
        <v>1513.596</v>
      </c>
      <c r="K52" s="38">
        <v>1164.0619999999999</v>
      </c>
      <c r="L52" s="36">
        <v>111691</v>
      </c>
      <c r="M52" s="37">
        <v>95.95</v>
      </c>
      <c r="N52" s="38">
        <v>97.1</v>
      </c>
      <c r="O52" s="39">
        <v>0.77200000000000002</v>
      </c>
      <c r="P52" s="38">
        <v>8.7100000000000009</v>
      </c>
      <c r="Q52" s="37">
        <v>398698.26</v>
      </c>
      <c r="R52" s="37">
        <v>331538.25</v>
      </c>
      <c r="S52" s="37">
        <v>82570.25</v>
      </c>
      <c r="T52" s="37">
        <f t="shared" si="1"/>
        <v>9222353792.75</v>
      </c>
      <c r="U52" s="38">
        <f t="shared" si="2"/>
        <v>9.2223537927500008</v>
      </c>
      <c r="W52" s="37"/>
    </row>
    <row r="53" spans="1:23" x14ac:dyDescent="0.25">
      <c r="A53" t="s">
        <v>3461</v>
      </c>
      <c r="B53" t="s">
        <v>3462</v>
      </c>
      <c r="C53" t="s">
        <v>3460</v>
      </c>
      <c r="D53" s="35">
        <v>0.47599999999999998</v>
      </c>
      <c r="E53" t="s">
        <v>3446</v>
      </c>
      <c r="F53">
        <v>-43.926453173530447</v>
      </c>
      <c r="G53">
        <v>-19.937524293775049</v>
      </c>
      <c r="H53">
        <v>4</v>
      </c>
      <c r="I53" s="36">
        <v>571550</v>
      </c>
      <c r="J53" s="37">
        <f t="shared" si="0"/>
        <v>571.54999999999995</v>
      </c>
      <c r="K53" s="38">
        <v>331.35399999999998</v>
      </c>
      <c r="L53" s="36">
        <v>2315560</v>
      </c>
      <c r="M53" s="37">
        <v>6988.18</v>
      </c>
      <c r="N53" s="38">
        <v>97.6</v>
      </c>
      <c r="O53" s="39">
        <v>0.81</v>
      </c>
      <c r="P53" s="38">
        <v>9.5500000000000007</v>
      </c>
      <c r="Q53" s="37">
        <v>10145985.449999999</v>
      </c>
      <c r="R53" s="37">
        <v>10036417.539999999</v>
      </c>
      <c r="S53" s="37">
        <v>41818.32</v>
      </c>
      <c r="T53" s="37">
        <f t="shared" si="1"/>
        <v>96832829059.199997</v>
      </c>
      <c r="U53" s="38">
        <f t="shared" si="2"/>
        <v>96.832829059199995</v>
      </c>
      <c r="W53" s="37"/>
    </row>
    <row r="54" spans="1:23" x14ac:dyDescent="0.25">
      <c r="A54" t="s">
        <v>3463</v>
      </c>
      <c r="B54" t="s">
        <v>3464</v>
      </c>
      <c r="C54" t="s">
        <v>3460</v>
      </c>
      <c r="D54" s="35">
        <v>0.47599999999999998</v>
      </c>
      <c r="E54" t="s">
        <v>3446</v>
      </c>
      <c r="F54">
        <v>-44.197551103266584</v>
      </c>
      <c r="G54">
        <v>-19.965379240085099</v>
      </c>
      <c r="H54">
        <v>6</v>
      </c>
      <c r="I54" s="36">
        <v>1636047</v>
      </c>
      <c r="J54" s="37">
        <f t="shared" si="0"/>
        <v>1636.047</v>
      </c>
      <c r="K54" s="38">
        <v>344.06200000000001</v>
      </c>
      <c r="L54" s="36">
        <v>411846</v>
      </c>
      <c r="M54" s="37">
        <v>1197.01</v>
      </c>
      <c r="N54" s="38">
        <v>98</v>
      </c>
      <c r="O54" s="39">
        <v>0.749</v>
      </c>
      <c r="P54" s="38">
        <v>12.68</v>
      </c>
      <c r="Q54" s="37">
        <v>1775733.39</v>
      </c>
      <c r="R54" s="37">
        <v>1363402.09</v>
      </c>
      <c r="S54" s="37">
        <v>73624.78</v>
      </c>
      <c r="T54" s="37">
        <f t="shared" si="1"/>
        <v>30322071143.880001</v>
      </c>
      <c r="U54" s="38">
        <f t="shared" si="2"/>
        <v>30.322071143880002</v>
      </c>
      <c r="W54" s="37"/>
    </row>
    <row r="55" spans="1:23" x14ac:dyDescent="0.25">
      <c r="A55" t="s">
        <v>3465</v>
      </c>
      <c r="B55" t="s">
        <v>3466</v>
      </c>
      <c r="C55" t="s">
        <v>3460</v>
      </c>
      <c r="D55" s="35">
        <v>0.47599999999999998</v>
      </c>
      <c r="E55" t="s">
        <v>3446</v>
      </c>
      <c r="F55">
        <v>-42.143707045199299</v>
      </c>
      <c r="G55">
        <v>-19.789634923066451</v>
      </c>
      <c r="H55">
        <v>1</v>
      </c>
      <c r="I55" s="36">
        <v>21884</v>
      </c>
      <c r="J55" s="37">
        <f t="shared" si="0"/>
        <v>21.884</v>
      </c>
      <c r="K55" s="38">
        <v>1258.479</v>
      </c>
      <c r="L55" s="36">
        <v>87360</v>
      </c>
      <c r="M55" s="37">
        <v>69.42</v>
      </c>
      <c r="N55" s="38">
        <v>95.4</v>
      </c>
      <c r="O55" s="39">
        <v>0.70599999999999996</v>
      </c>
      <c r="P55" s="38">
        <v>20.55</v>
      </c>
      <c r="Q55" s="37">
        <v>167343.56</v>
      </c>
      <c r="R55" s="37">
        <v>156263.63</v>
      </c>
      <c r="S55" s="37">
        <v>24518.79</v>
      </c>
      <c r="T55" s="37">
        <f t="shared" si="1"/>
        <v>2141961494.4000001</v>
      </c>
      <c r="U55" s="38">
        <f t="shared" si="2"/>
        <v>2.1419614944000003</v>
      </c>
      <c r="W55" s="37"/>
    </row>
    <row r="56" spans="1:23" x14ac:dyDescent="0.25">
      <c r="A56" t="s">
        <v>3467</v>
      </c>
      <c r="B56" t="s">
        <v>3468</v>
      </c>
      <c r="C56" t="s">
        <v>3460</v>
      </c>
      <c r="D56" s="35">
        <v>0.47599999999999998</v>
      </c>
      <c r="E56" t="s">
        <v>3446</v>
      </c>
      <c r="F56">
        <v>-44.768422527890188</v>
      </c>
      <c r="G56">
        <v>-20.444574655027349</v>
      </c>
      <c r="H56">
        <v>1</v>
      </c>
      <c r="I56" s="36">
        <v>64650</v>
      </c>
      <c r="J56" s="37">
        <f t="shared" si="0"/>
        <v>64.650000000000006</v>
      </c>
      <c r="K56" s="38">
        <v>630.70600000000002</v>
      </c>
      <c r="L56" s="36">
        <v>30159</v>
      </c>
      <c r="M56" s="37">
        <v>47.82</v>
      </c>
      <c r="N56" s="38">
        <v>96.9</v>
      </c>
      <c r="O56" s="39">
        <v>0.70899999999999996</v>
      </c>
      <c r="P56" s="38">
        <v>9.8000000000000007</v>
      </c>
      <c r="Q56" s="37">
        <v>63863.87</v>
      </c>
      <c r="R56" s="37">
        <v>57678.239999999998</v>
      </c>
      <c r="S56" s="37">
        <v>38451.85</v>
      </c>
      <c r="T56" s="37">
        <f t="shared" si="1"/>
        <v>1159669344.1499999</v>
      </c>
      <c r="U56" s="38">
        <f t="shared" si="2"/>
        <v>1.1596693441499999</v>
      </c>
      <c r="W56" s="37"/>
    </row>
    <row r="57" spans="1:23" x14ac:dyDescent="0.25">
      <c r="A57" t="s">
        <v>3469</v>
      </c>
      <c r="B57" t="s">
        <v>3470</v>
      </c>
      <c r="C57" t="s">
        <v>3460</v>
      </c>
      <c r="D57" s="35">
        <v>0.47599999999999998</v>
      </c>
      <c r="E57" t="s">
        <v>3446</v>
      </c>
      <c r="F57">
        <v>-43.788444664719911</v>
      </c>
      <c r="G57">
        <v>-20.66085179944405</v>
      </c>
      <c r="H57">
        <v>4</v>
      </c>
      <c r="I57" s="36">
        <v>569442</v>
      </c>
      <c r="J57" s="37">
        <f t="shared" si="0"/>
        <v>569.44200000000001</v>
      </c>
      <c r="K57" s="38">
        <v>370.24599999999998</v>
      </c>
      <c r="L57" s="36">
        <v>131621</v>
      </c>
      <c r="M57" s="37">
        <v>355.5</v>
      </c>
      <c r="N57" s="38">
        <v>98.7</v>
      </c>
      <c r="O57" s="39">
        <v>0.76100000000000001</v>
      </c>
      <c r="P57" s="38">
        <v>12.8</v>
      </c>
      <c r="Q57" s="37">
        <v>224293.93</v>
      </c>
      <c r="R57" s="37">
        <v>211192.19</v>
      </c>
      <c r="S57" s="37">
        <v>23881.55</v>
      </c>
      <c r="T57" s="37">
        <f t="shared" si="1"/>
        <v>3143313492.5499997</v>
      </c>
      <c r="U57" s="38">
        <f t="shared" si="2"/>
        <v>3.1433134925499999</v>
      </c>
      <c r="W57" s="37"/>
    </row>
    <row r="58" spans="1:23" x14ac:dyDescent="0.25">
      <c r="A58" t="s">
        <v>3471</v>
      </c>
      <c r="B58" t="s">
        <v>3472</v>
      </c>
      <c r="C58" t="s">
        <v>3460</v>
      </c>
      <c r="D58" s="35">
        <v>0.47599999999999998</v>
      </c>
      <c r="E58" t="s">
        <v>3446</v>
      </c>
      <c r="F58">
        <v>-44.066344648723877</v>
      </c>
      <c r="G58">
        <v>-19.9434459056633</v>
      </c>
      <c r="H58">
        <v>10</v>
      </c>
      <c r="I58" s="36">
        <v>7912784</v>
      </c>
      <c r="J58" s="37">
        <f t="shared" si="0"/>
        <v>7912.7839999999997</v>
      </c>
      <c r="K58" s="38">
        <v>194.74600000000001</v>
      </c>
      <c r="L58" s="36">
        <v>621863</v>
      </c>
      <c r="M58" s="37">
        <v>3193.2</v>
      </c>
      <c r="N58" s="38">
        <v>97.4</v>
      </c>
      <c r="O58" s="39">
        <v>0.75600000000000001</v>
      </c>
      <c r="P58" s="38">
        <v>10.45</v>
      </c>
      <c r="Q58" s="37">
        <v>1712721.98</v>
      </c>
      <c r="R58" s="37">
        <v>1632664.77</v>
      </c>
      <c r="S58" s="37">
        <v>54136.41</v>
      </c>
      <c r="T58" s="37">
        <f t="shared" si="1"/>
        <v>33665430331.830002</v>
      </c>
      <c r="U58" s="38">
        <f t="shared" si="2"/>
        <v>33.665430331830002</v>
      </c>
      <c r="W58" s="37"/>
    </row>
    <row r="59" spans="1:23" x14ac:dyDescent="0.25">
      <c r="A59" t="s">
        <v>3473</v>
      </c>
      <c r="B59" t="s">
        <v>3474</v>
      </c>
      <c r="C59" t="s">
        <v>3460</v>
      </c>
      <c r="D59" s="35">
        <v>0.47599999999999998</v>
      </c>
      <c r="E59" t="s">
        <v>3446</v>
      </c>
      <c r="F59">
        <v>-42.624346577298013</v>
      </c>
      <c r="G59">
        <v>-19.525052839346699</v>
      </c>
      <c r="H59">
        <v>6</v>
      </c>
      <c r="I59" s="36">
        <v>1208111</v>
      </c>
      <c r="J59" s="37">
        <f t="shared" si="0"/>
        <v>1208.1110000000001</v>
      </c>
      <c r="K59" s="38">
        <v>221.25200000000001</v>
      </c>
      <c r="L59" s="36">
        <v>104736</v>
      </c>
      <c r="M59" s="37">
        <v>473.38</v>
      </c>
      <c r="N59" s="38">
        <v>98.1</v>
      </c>
      <c r="O59" s="39">
        <v>0.755</v>
      </c>
      <c r="P59" s="38">
        <v>8.7899999999999991</v>
      </c>
      <c r="Q59" s="37">
        <v>193767.12</v>
      </c>
      <c r="R59" s="37">
        <v>171355</v>
      </c>
      <c r="S59" s="37">
        <v>18029.419999999998</v>
      </c>
      <c r="T59" s="37">
        <f t="shared" si="1"/>
        <v>1888329333.1199999</v>
      </c>
      <c r="U59" s="38">
        <f t="shared" si="2"/>
        <v>1.88832933312</v>
      </c>
      <c r="W59" s="37"/>
    </row>
    <row r="60" spans="1:23" x14ac:dyDescent="0.25">
      <c r="A60" t="s">
        <v>3475</v>
      </c>
      <c r="B60" t="s">
        <v>3476</v>
      </c>
      <c r="C60" t="s">
        <v>3460</v>
      </c>
      <c r="D60" s="35">
        <v>0.47599999999999998</v>
      </c>
      <c r="E60" t="s">
        <v>3446</v>
      </c>
      <c r="F60">
        <v>-46.219556857814467</v>
      </c>
      <c r="G60">
        <v>-22.76974038891516</v>
      </c>
      <c r="H60">
        <v>1</v>
      </c>
      <c r="I60" s="36">
        <v>21000</v>
      </c>
      <c r="J60" s="37">
        <f t="shared" si="0"/>
        <v>21</v>
      </c>
      <c r="K60" s="38">
        <v>177.34700000000001</v>
      </c>
      <c r="L60" s="36">
        <v>12692</v>
      </c>
      <c r="M60" s="37">
        <v>71.569999999999993</v>
      </c>
      <c r="N60" s="38">
        <v>98</v>
      </c>
      <c r="O60" s="39">
        <v>0.72</v>
      </c>
      <c r="P60" s="38">
        <v>7.14</v>
      </c>
      <c r="Q60" s="37">
        <v>38490.61</v>
      </c>
      <c r="R60" s="37">
        <v>32841.79</v>
      </c>
      <c r="S60" s="37">
        <v>85067.72</v>
      </c>
      <c r="T60" s="37">
        <f t="shared" si="1"/>
        <v>1079679502.24</v>
      </c>
      <c r="U60" s="38">
        <f t="shared" si="2"/>
        <v>1.0796795022400001</v>
      </c>
      <c r="W60" s="37"/>
    </row>
    <row r="61" spans="1:23" x14ac:dyDescent="0.25">
      <c r="A61" t="s">
        <v>3477</v>
      </c>
      <c r="B61" t="s">
        <v>3478</v>
      </c>
      <c r="C61" t="s">
        <v>3460</v>
      </c>
      <c r="D61" s="35">
        <v>0.47599999999999998</v>
      </c>
      <c r="E61" t="s">
        <v>3446</v>
      </c>
      <c r="F61">
        <v>-43.348817272474669</v>
      </c>
      <c r="G61">
        <v>-21.760924308674301</v>
      </c>
      <c r="H61">
        <v>1</v>
      </c>
      <c r="I61" s="36">
        <v>25000</v>
      </c>
      <c r="J61" s="37">
        <f t="shared" si="0"/>
        <v>25</v>
      </c>
      <c r="K61" s="38">
        <v>1435.749</v>
      </c>
      <c r="L61" s="36">
        <v>540756</v>
      </c>
      <c r="M61" s="37">
        <v>376.64</v>
      </c>
      <c r="N61" s="38">
        <v>98.3</v>
      </c>
      <c r="O61" s="39">
        <v>0.77800000000000002</v>
      </c>
      <c r="P61" s="38">
        <v>14.42</v>
      </c>
      <c r="Q61" s="37">
        <v>1578267.99</v>
      </c>
      <c r="R61" s="37">
        <v>1571853.68</v>
      </c>
      <c r="S61" s="37">
        <v>35145.339999999997</v>
      </c>
      <c r="T61" s="37">
        <f t="shared" si="1"/>
        <v>19005053477.039997</v>
      </c>
      <c r="U61" s="38">
        <f t="shared" si="2"/>
        <v>19.005053477039997</v>
      </c>
      <c r="W61" s="37"/>
    </row>
    <row r="62" spans="1:23" x14ac:dyDescent="0.25">
      <c r="A62" t="s">
        <v>3479</v>
      </c>
      <c r="B62" t="s">
        <v>3480</v>
      </c>
      <c r="C62" t="s">
        <v>3460</v>
      </c>
      <c r="D62" s="35">
        <v>0.47599999999999998</v>
      </c>
      <c r="E62" t="s">
        <v>3446</v>
      </c>
      <c r="F62">
        <v>-43.319161988763163</v>
      </c>
      <c r="G62">
        <v>-21.86947927107515</v>
      </c>
      <c r="H62">
        <v>1</v>
      </c>
      <c r="I62" s="36">
        <v>181610</v>
      </c>
      <c r="J62" s="37">
        <f t="shared" si="0"/>
        <v>181.61</v>
      </c>
      <c r="K62" s="38">
        <v>157.066</v>
      </c>
      <c r="L62" s="36">
        <v>14121</v>
      </c>
      <c r="M62" s="37">
        <v>89.9</v>
      </c>
      <c r="N62" s="38">
        <v>98.1</v>
      </c>
      <c r="O62" s="39">
        <v>0.72</v>
      </c>
      <c r="P62" s="38">
        <v>13.42</v>
      </c>
      <c r="Q62" s="37">
        <v>50051.89</v>
      </c>
      <c r="R62" s="37">
        <v>40979.42</v>
      </c>
      <c r="S62" s="37">
        <v>42951.23</v>
      </c>
      <c r="T62" s="37">
        <f t="shared" si="1"/>
        <v>606514318.83000004</v>
      </c>
      <c r="U62" s="38">
        <f t="shared" si="2"/>
        <v>0.60651431883000007</v>
      </c>
      <c r="W62" s="37"/>
    </row>
    <row r="63" spans="1:23" x14ac:dyDescent="0.25">
      <c r="A63" t="s">
        <v>3481</v>
      </c>
      <c r="B63" t="s">
        <v>3482</v>
      </c>
      <c r="C63" t="s">
        <v>3460</v>
      </c>
      <c r="D63" s="35">
        <v>0.47599999999999998</v>
      </c>
      <c r="E63" t="s">
        <v>3446</v>
      </c>
      <c r="F63">
        <v>-43.849783362616343</v>
      </c>
      <c r="G63">
        <v>-19.983892993866551</v>
      </c>
      <c r="H63">
        <v>3</v>
      </c>
      <c r="I63" s="36">
        <v>154375</v>
      </c>
      <c r="J63" s="37">
        <f t="shared" si="0"/>
        <v>154.375</v>
      </c>
      <c r="K63" s="38">
        <v>429.31299999999999</v>
      </c>
      <c r="L63" s="36">
        <v>111697</v>
      </c>
      <c r="M63" s="37">
        <v>260.18</v>
      </c>
      <c r="N63" s="38">
        <v>98.3</v>
      </c>
      <c r="O63" s="39">
        <v>0.81299999999999994</v>
      </c>
      <c r="P63" s="38">
        <v>11.08</v>
      </c>
      <c r="Q63" s="37">
        <v>546293.77</v>
      </c>
      <c r="R63" s="37">
        <v>468838.77</v>
      </c>
      <c r="S63" s="37">
        <v>216092.4</v>
      </c>
      <c r="T63" s="37">
        <f t="shared" si="1"/>
        <v>24136872802.799999</v>
      </c>
      <c r="U63" s="38">
        <f t="shared" si="2"/>
        <v>24.136872802799999</v>
      </c>
      <c r="W63" s="37"/>
    </row>
    <row r="64" spans="1:23" x14ac:dyDescent="0.25">
      <c r="A64" t="s">
        <v>3483</v>
      </c>
      <c r="B64" t="s">
        <v>3484</v>
      </c>
      <c r="C64" t="s">
        <v>3460</v>
      </c>
      <c r="D64" s="35">
        <v>0.47599999999999998</v>
      </c>
      <c r="E64" t="s">
        <v>3446</v>
      </c>
      <c r="F64">
        <v>-46.997438240164527</v>
      </c>
      <c r="G64">
        <v>-18.940812961349661</v>
      </c>
      <c r="H64">
        <v>1</v>
      </c>
      <c r="I64" s="36">
        <v>50000</v>
      </c>
      <c r="J64" s="37">
        <f t="shared" si="0"/>
        <v>50</v>
      </c>
      <c r="K64" s="38">
        <v>2874.3440000000001</v>
      </c>
      <c r="L64" s="36">
        <v>89826</v>
      </c>
      <c r="M64" s="37">
        <v>31.25</v>
      </c>
      <c r="N64" s="38">
        <v>97.9</v>
      </c>
      <c r="O64" s="39">
        <v>0.72899999999999998</v>
      </c>
      <c r="P64" s="38">
        <v>3.38</v>
      </c>
      <c r="Q64" s="37">
        <v>306831</v>
      </c>
      <c r="R64" s="37">
        <v>247035.03</v>
      </c>
      <c r="S64" s="37">
        <v>39932.300000000003</v>
      </c>
      <c r="T64" s="37">
        <f t="shared" si="1"/>
        <v>3586958779.8000002</v>
      </c>
      <c r="U64" s="38">
        <f t="shared" si="2"/>
        <v>3.5869587798000002</v>
      </c>
      <c r="W64" s="37"/>
    </row>
    <row r="65" spans="1:23" x14ac:dyDescent="0.25">
      <c r="A65" t="s">
        <v>3485</v>
      </c>
      <c r="B65" t="s">
        <v>3486</v>
      </c>
      <c r="C65" t="s">
        <v>3460</v>
      </c>
      <c r="D65" s="35">
        <v>0.47599999999999998</v>
      </c>
      <c r="E65" t="s">
        <v>3446</v>
      </c>
      <c r="F65">
        <v>-47.292008447081152</v>
      </c>
      <c r="G65">
        <v>-19.3386575248866</v>
      </c>
      <c r="H65">
        <v>1</v>
      </c>
      <c r="I65" s="36">
        <v>495000</v>
      </c>
      <c r="J65" s="37">
        <f t="shared" si="0"/>
        <v>495</v>
      </c>
      <c r="K65" s="38">
        <v>2451.1120000000001</v>
      </c>
      <c r="L65" s="36">
        <v>17151</v>
      </c>
      <c r="M65" s="37">
        <v>7</v>
      </c>
      <c r="N65" s="38">
        <v>97.5</v>
      </c>
      <c r="O65" s="39">
        <v>0.72299999999999998</v>
      </c>
      <c r="P65" s="38">
        <v>16.059999999999999</v>
      </c>
      <c r="Q65" s="37">
        <v>65166.99</v>
      </c>
      <c r="R65" s="37">
        <v>56992.03</v>
      </c>
      <c r="S65" s="37">
        <v>98918.71</v>
      </c>
      <c r="T65" s="37">
        <f t="shared" si="1"/>
        <v>1696554795.21</v>
      </c>
      <c r="U65" s="38">
        <f t="shared" si="2"/>
        <v>1.69655479521</v>
      </c>
      <c r="W65" s="37"/>
    </row>
    <row r="66" spans="1:23" x14ac:dyDescent="0.25">
      <c r="A66" t="s">
        <v>3487</v>
      </c>
      <c r="B66" t="s">
        <v>3488</v>
      </c>
      <c r="C66" t="s">
        <v>3460</v>
      </c>
      <c r="D66" s="35">
        <v>0.47599999999999998</v>
      </c>
      <c r="E66" t="s">
        <v>3446</v>
      </c>
      <c r="F66">
        <v>-45.937144275826533</v>
      </c>
      <c r="G66">
        <v>-22.230302995154801</v>
      </c>
      <c r="H66">
        <v>1</v>
      </c>
      <c r="I66" s="36">
        <v>515197</v>
      </c>
      <c r="J66" s="37">
        <f t="shared" si="0"/>
        <v>515.197</v>
      </c>
      <c r="K66" s="38">
        <v>542.79700000000003</v>
      </c>
      <c r="L66" s="36">
        <v>152217</v>
      </c>
      <c r="M66" s="37">
        <v>280.43</v>
      </c>
      <c r="N66" s="38">
        <v>98.2</v>
      </c>
      <c r="O66" s="39">
        <v>0.77400000000000002</v>
      </c>
      <c r="P66" s="38">
        <v>9.6300000000000008</v>
      </c>
      <c r="Q66" s="37">
        <v>581413.78</v>
      </c>
      <c r="R66" s="37">
        <v>428322.74</v>
      </c>
      <c r="S66" s="37">
        <v>69478.81</v>
      </c>
      <c r="T66" s="37">
        <f t="shared" si="1"/>
        <v>10575856021.77</v>
      </c>
      <c r="U66" s="38">
        <f t="shared" si="2"/>
        <v>10.575856021770001</v>
      </c>
      <c r="W66" s="37"/>
    </row>
    <row r="67" spans="1:23" x14ac:dyDescent="0.25">
      <c r="A67" t="s">
        <v>3489</v>
      </c>
      <c r="B67" t="s">
        <v>3490</v>
      </c>
      <c r="C67" t="s">
        <v>3460</v>
      </c>
      <c r="D67" s="35">
        <v>0.47599999999999998</v>
      </c>
      <c r="E67" t="s">
        <v>3446</v>
      </c>
      <c r="F67">
        <v>-44.08582364914097</v>
      </c>
      <c r="G67">
        <v>-19.766022015497949</v>
      </c>
      <c r="H67">
        <v>6</v>
      </c>
      <c r="I67" s="36">
        <v>365659</v>
      </c>
      <c r="J67" s="37">
        <f t="shared" ref="J67:J130" si="3">I67/1000</f>
        <v>365.65899999999999</v>
      </c>
      <c r="K67" s="38">
        <v>155.10499999999999</v>
      </c>
      <c r="L67" s="36">
        <v>329794</v>
      </c>
      <c r="M67" s="37">
        <v>2126.2600000000002</v>
      </c>
      <c r="N67" s="38">
        <v>96.5</v>
      </c>
      <c r="O67" s="39">
        <v>0.68400000000000005</v>
      </c>
      <c r="P67" s="38">
        <v>11.95</v>
      </c>
      <c r="Q67" s="37">
        <v>442513.5</v>
      </c>
      <c r="R67" s="37">
        <v>379009.89</v>
      </c>
      <c r="S67" s="37">
        <v>15177.16</v>
      </c>
      <c r="T67" s="37">
        <f t="shared" ref="T67:T130" si="4">L67*S67</f>
        <v>5005336305.04</v>
      </c>
      <c r="U67" s="38">
        <f t="shared" ref="U67:U130" si="5">T67/10^9</f>
        <v>5.0053363050400002</v>
      </c>
      <c r="W67" s="37"/>
    </row>
    <row r="68" spans="1:23" x14ac:dyDescent="0.25">
      <c r="A68" t="s">
        <v>3491</v>
      </c>
      <c r="B68" t="s">
        <v>3492</v>
      </c>
      <c r="C68" t="s">
        <v>3460</v>
      </c>
      <c r="D68" s="35">
        <v>0.47599999999999998</v>
      </c>
      <c r="E68" t="s">
        <v>3446</v>
      </c>
      <c r="F68">
        <v>-43.825557090330221</v>
      </c>
      <c r="G68">
        <v>-19.892494512089701</v>
      </c>
      <c r="H68">
        <v>1</v>
      </c>
      <c r="I68" s="36">
        <v>10800</v>
      </c>
      <c r="J68" s="37">
        <f t="shared" si="3"/>
        <v>10.8</v>
      </c>
      <c r="K68" s="38">
        <v>302.45299999999997</v>
      </c>
      <c r="L68" s="36">
        <v>129380</v>
      </c>
      <c r="M68" s="37">
        <v>427.77</v>
      </c>
      <c r="N68" s="38">
        <v>97.3</v>
      </c>
      <c r="O68" s="39">
        <v>0.73099999999999998</v>
      </c>
      <c r="P68" s="38">
        <v>10.07</v>
      </c>
      <c r="Q68" s="37">
        <v>270802.99</v>
      </c>
      <c r="R68" s="37">
        <v>238256.27</v>
      </c>
      <c r="S68" s="37">
        <v>30474.48</v>
      </c>
      <c r="T68" s="37">
        <f t="shared" si="4"/>
        <v>3942788222.4000001</v>
      </c>
      <c r="U68" s="38">
        <f t="shared" si="5"/>
        <v>3.9427882223999999</v>
      </c>
      <c r="W68" s="37"/>
    </row>
    <row r="69" spans="1:23" x14ac:dyDescent="0.25">
      <c r="A69" t="s">
        <v>3493</v>
      </c>
      <c r="B69" t="s">
        <v>3494</v>
      </c>
      <c r="C69" t="s">
        <v>3460</v>
      </c>
      <c r="D69" s="35">
        <v>0.47599999999999998</v>
      </c>
      <c r="E69" t="s">
        <v>3446</v>
      </c>
      <c r="F69">
        <v>-46.69210872618401</v>
      </c>
      <c r="G69">
        <v>-19.111795763451301</v>
      </c>
      <c r="H69">
        <v>1</v>
      </c>
      <c r="I69" s="36">
        <v>51500</v>
      </c>
      <c r="J69" s="37">
        <f t="shared" si="3"/>
        <v>51.5</v>
      </c>
      <c r="K69" s="38">
        <v>1295.2719999999999</v>
      </c>
      <c r="L69" s="36">
        <v>11801</v>
      </c>
      <c r="M69" s="37">
        <v>9.11</v>
      </c>
      <c r="N69" s="38">
        <v>97.2</v>
      </c>
      <c r="O69" s="39">
        <v>0.69599999999999995</v>
      </c>
      <c r="P69" s="38">
        <v>5.59</v>
      </c>
      <c r="Q69" s="37">
        <v>46777.67</v>
      </c>
      <c r="R69" s="37">
        <v>37925.870000000003</v>
      </c>
      <c r="S69" s="37">
        <v>83678.44</v>
      </c>
      <c r="T69" s="37">
        <f t="shared" si="4"/>
        <v>987489270.44000006</v>
      </c>
      <c r="U69" s="38">
        <f t="shared" si="5"/>
        <v>0.98748927044000001</v>
      </c>
      <c r="W69" s="37"/>
    </row>
    <row r="70" spans="1:23" x14ac:dyDescent="0.25">
      <c r="A70" t="s">
        <v>3495</v>
      </c>
      <c r="B70" t="s">
        <v>3496</v>
      </c>
      <c r="C70" t="s">
        <v>3460</v>
      </c>
      <c r="D70" s="35">
        <v>0.47599999999999998</v>
      </c>
      <c r="E70" t="s">
        <v>3446</v>
      </c>
      <c r="F70">
        <v>-45.832447145567777</v>
      </c>
      <c r="G70">
        <v>-22.02799726385625</v>
      </c>
      <c r="H70">
        <v>1</v>
      </c>
      <c r="I70" s="36">
        <v>548580</v>
      </c>
      <c r="J70" s="37">
        <f t="shared" si="3"/>
        <v>548.58000000000004</v>
      </c>
      <c r="K70" s="38">
        <v>312.166</v>
      </c>
      <c r="L70" s="36">
        <v>6179</v>
      </c>
      <c r="M70" s="37">
        <v>19.79</v>
      </c>
      <c r="N70" s="38">
        <v>98.4</v>
      </c>
      <c r="O70" s="39">
        <v>0.69899999999999995</v>
      </c>
      <c r="P70" s="38">
        <v>16.39</v>
      </c>
      <c r="Q70" s="37">
        <v>17131.72</v>
      </c>
      <c r="R70" s="37">
        <v>14617.48</v>
      </c>
      <c r="S70" s="37">
        <v>22619.95</v>
      </c>
      <c r="T70" s="37">
        <f t="shared" si="4"/>
        <v>139768671.05000001</v>
      </c>
      <c r="U70" s="38">
        <f t="shared" si="5"/>
        <v>0.13976867105000002</v>
      </c>
      <c r="W70" s="37"/>
    </row>
    <row r="71" spans="1:23" x14ac:dyDescent="0.25">
      <c r="A71" t="s">
        <v>3497</v>
      </c>
      <c r="B71" t="s">
        <v>3498</v>
      </c>
      <c r="C71" t="s">
        <v>3460</v>
      </c>
      <c r="D71" s="35">
        <v>0.47599999999999998</v>
      </c>
      <c r="E71" t="s">
        <v>3446</v>
      </c>
      <c r="F71">
        <v>-45.254936873167047</v>
      </c>
      <c r="G71">
        <v>-21.695965776909301</v>
      </c>
      <c r="H71">
        <v>1</v>
      </c>
      <c r="I71" s="36">
        <v>1000</v>
      </c>
      <c r="J71" s="37">
        <f t="shared" si="3"/>
        <v>1</v>
      </c>
      <c r="K71" s="38">
        <v>828.03800000000001</v>
      </c>
      <c r="L71" s="36">
        <v>75485</v>
      </c>
      <c r="M71" s="37">
        <v>91.16</v>
      </c>
      <c r="N71" s="38">
        <v>97.7</v>
      </c>
      <c r="O71" s="39">
        <v>0.74399999999999999</v>
      </c>
      <c r="P71" s="38">
        <v>19.399999999999999</v>
      </c>
      <c r="Q71" s="37">
        <v>176952.83</v>
      </c>
      <c r="R71" s="37">
        <v>157536.64000000001</v>
      </c>
      <c r="S71" s="37">
        <v>36734.42</v>
      </c>
      <c r="T71" s="37">
        <f t="shared" si="4"/>
        <v>2772897693.6999998</v>
      </c>
      <c r="U71" s="38">
        <f t="shared" si="5"/>
        <v>2.7728976936999996</v>
      </c>
      <c r="W71" s="37"/>
    </row>
    <row r="72" spans="1:23" x14ac:dyDescent="0.25">
      <c r="A72" t="s">
        <v>3499</v>
      </c>
      <c r="B72" t="s">
        <v>3500</v>
      </c>
      <c r="C72" t="s">
        <v>3460</v>
      </c>
      <c r="D72" s="35">
        <v>0.47599999999999998</v>
      </c>
      <c r="E72" t="s">
        <v>3446</v>
      </c>
      <c r="F72">
        <v>-48.277950184734472</v>
      </c>
      <c r="G72">
        <v>-18.9189986093056</v>
      </c>
      <c r="H72">
        <v>6</v>
      </c>
      <c r="I72" s="36">
        <v>7515716</v>
      </c>
      <c r="J72" s="37">
        <f t="shared" si="3"/>
        <v>7515.7160000000003</v>
      </c>
      <c r="K72" s="38">
        <v>4115.2060000000001</v>
      </c>
      <c r="L72" s="36">
        <v>713224</v>
      </c>
      <c r="M72" s="37">
        <v>173.31</v>
      </c>
      <c r="N72" s="38">
        <v>98</v>
      </c>
      <c r="O72" s="39">
        <v>0.78900000000000003</v>
      </c>
      <c r="P72" s="38">
        <v>8.59</v>
      </c>
      <c r="Q72" s="37">
        <v>2171504.12</v>
      </c>
      <c r="R72" s="37">
        <v>2038217.9</v>
      </c>
      <c r="S72" s="37">
        <v>61038.02</v>
      </c>
      <c r="T72" s="37">
        <f t="shared" si="4"/>
        <v>43533780776.479996</v>
      </c>
      <c r="U72" s="38">
        <f t="shared" si="5"/>
        <v>43.533780776479993</v>
      </c>
      <c r="W72" s="37"/>
    </row>
    <row r="73" spans="1:23" x14ac:dyDescent="0.25">
      <c r="A73" t="s">
        <v>3501</v>
      </c>
      <c r="B73" t="s">
        <v>3502</v>
      </c>
      <c r="C73" t="s">
        <v>3503</v>
      </c>
      <c r="D73" s="35">
        <v>0.48599999999999999</v>
      </c>
      <c r="E73" t="s">
        <v>3446</v>
      </c>
      <c r="F73">
        <v>-40.390559104677507</v>
      </c>
      <c r="G73">
        <v>-20.294677796517149</v>
      </c>
      <c r="H73">
        <v>3</v>
      </c>
      <c r="I73" s="36">
        <v>3107436</v>
      </c>
      <c r="J73" s="37">
        <f t="shared" si="3"/>
        <v>3107.4360000000001</v>
      </c>
      <c r="K73" s="38">
        <v>279.71800000000002</v>
      </c>
      <c r="L73" s="36">
        <v>353491</v>
      </c>
      <c r="M73" s="37">
        <v>1263.74</v>
      </c>
      <c r="N73" s="38">
        <v>94.8</v>
      </c>
      <c r="O73" s="39">
        <v>0.71799999999999997</v>
      </c>
      <c r="P73" s="38">
        <v>10.3</v>
      </c>
      <c r="Q73" s="37">
        <v>613728.21</v>
      </c>
      <c r="R73" s="37">
        <v>527566.91</v>
      </c>
      <c r="S73" s="37">
        <v>35444.120000000003</v>
      </c>
      <c r="T73" s="37">
        <f t="shared" si="4"/>
        <v>12529177422.92</v>
      </c>
      <c r="U73" s="38">
        <f t="shared" si="5"/>
        <v>12.52917742292</v>
      </c>
      <c r="W73" s="37"/>
    </row>
    <row r="74" spans="1:23" x14ac:dyDescent="0.25">
      <c r="A74" t="s">
        <v>3504</v>
      </c>
      <c r="B74" t="s">
        <v>3505</v>
      </c>
      <c r="C74" t="s">
        <v>3503</v>
      </c>
      <c r="D74" s="35">
        <v>0.48599999999999999</v>
      </c>
      <c r="E74" t="s">
        <v>3446</v>
      </c>
      <c r="F74">
        <v>-40.065305798695533</v>
      </c>
      <c r="G74">
        <v>-19.398105934464901</v>
      </c>
      <c r="H74">
        <v>1</v>
      </c>
      <c r="I74" s="36">
        <v>26460</v>
      </c>
      <c r="J74" s="37">
        <f t="shared" si="3"/>
        <v>26.46</v>
      </c>
      <c r="K74" s="38">
        <v>3496.2629999999999</v>
      </c>
      <c r="L74" s="36">
        <v>166786</v>
      </c>
      <c r="M74" s="37">
        <v>47.7</v>
      </c>
      <c r="N74" s="38">
        <v>97.7</v>
      </c>
      <c r="O74" s="39">
        <v>0.72399999999999998</v>
      </c>
      <c r="P74" s="38">
        <v>14.26</v>
      </c>
      <c r="Q74" s="37">
        <v>614845.47</v>
      </c>
      <c r="R74" s="37">
        <v>470722.35</v>
      </c>
      <c r="S74" s="37">
        <v>44705.34</v>
      </c>
      <c r="T74" s="37">
        <f t="shared" si="4"/>
        <v>7456224837.2399998</v>
      </c>
      <c r="U74" s="38">
        <f t="shared" si="5"/>
        <v>7.4562248372399997</v>
      </c>
      <c r="W74" s="37"/>
    </row>
    <row r="75" spans="1:23" x14ac:dyDescent="0.25">
      <c r="A75" t="s">
        <v>3506</v>
      </c>
      <c r="B75" t="s">
        <v>3507</v>
      </c>
      <c r="C75" t="s">
        <v>3503</v>
      </c>
      <c r="D75" s="35">
        <v>0.48599999999999999</v>
      </c>
      <c r="E75" t="s">
        <v>3446</v>
      </c>
      <c r="F75">
        <v>-40.322208726726629</v>
      </c>
      <c r="G75">
        <v>-20.320153792853301</v>
      </c>
      <c r="H75">
        <v>4</v>
      </c>
      <c r="I75" s="36">
        <v>760404</v>
      </c>
      <c r="J75" s="37">
        <f t="shared" si="3"/>
        <v>760.404</v>
      </c>
      <c r="K75" s="38">
        <v>97.123000000000005</v>
      </c>
      <c r="L75" s="36">
        <v>322869</v>
      </c>
      <c r="M75" s="37">
        <v>3324.33</v>
      </c>
      <c r="N75" s="38">
        <v>97.6</v>
      </c>
      <c r="O75" s="39">
        <v>0.84499999999999997</v>
      </c>
      <c r="P75" s="38">
        <v>10.88</v>
      </c>
      <c r="Q75" s="37">
        <v>1665698.98</v>
      </c>
      <c r="R75" s="37">
        <v>1508160.74</v>
      </c>
      <c r="S75" s="37">
        <v>85035.67</v>
      </c>
      <c r="T75" s="37">
        <f t="shared" si="4"/>
        <v>27455381737.23</v>
      </c>
      <c r="U75" s="38">
        <f t="shared" si="5"/>
        <v>27.455381737229999</v>
      </c>
      <c r="W75" s="37"/>
    </row>
    <row r="76" spans="1:23" x14ac:dyDescent="0.25">
      <c r="A76" t="s">
        <v>3508</v>
      </c>
      <c r="B76" t="s">
        <v>3509</v>
      </c>
      <c r="C76" t="s">
        <v>3510</v>
      </c>
      <c r="D76" s="35">
        <v>0.54</v>
      </c>
      <c r="E76" t="s">
        <v>3446</v>
      </c>
      <c r="F76">
        <v>-43.399624970815182</v>
      </c>
      <c r="G76">
        <v>-22.764555967546048</v>
      </c>
      <c r="H76">
        <v>1</v>
      </c>
      <c r="I76" s="36">
        <v>50390</v>
      </c>
      <c r="J76" s="37">
        <f t="shared" si="3"/>
        <v>50.39</v>
      </c>
      <c r="K76" s="38">
        <v>78.984999999999999</v>
      </c>
      <c r="L76" s="36">
        <v>483087</v>
      </c>
      <c r="M76" s="37">
        <v>6116.19</v>
      </c>
      <c r="N76" s="38">
        <v>96.2</v>
      </c>
      <c r="O76" s="39">
        <v>0.68400000000000005</v>
      </c>
      <c r="P76" s="38">
        <v>15.2</v>
      </c>
      <c r="Q76" s="37">
        <v>612861.74</v>
      </c>
      <c r="R76" s="37">
        <v>612697.53</v>
      </c>
      <c r="S76" s="37">
        <v>17156.71</v>
      </c>
      <c r="T76" s="37">
        <f t="shared" si="4"/>
        <v>8288183563.7699995</v>
      </c>
      <c r="U76" s="38">
        <f t="shared" si="5"/>
        <v>8.2881835637699997</v>
      </c>
      <c r="W76" s="37"/>
    </row>
    <row r="77" spans="1:23" x14ac:dyDescent="0.25">
      <c r="A77" t="s">
        <v>3511</v>
      </c>
      <c r="B77" t="s">
        <v>3512</v>
      </c>
      <c r="C77" t="s">
        <v>3510</v>
      </c>
      <c r="D77" s="35">
        <v>0.54</v>
      </c>
      <c r="E77" t="s">
        <v>3446</v>
      </c>
      <c r="F77">
        <v>-41.33047649186264</v>
      </c>
      <c r="G77">
        <v>-21.751898632064051</v>
      </c>
      <c r="H77">
        <v>2</v>
      </c>
      <c r="I77" s="36">
        <v>166910</v>
      </c>
      <c r="J77" s="37">
        <f t="shared" si="3"/>
        <v>166.91</v>
      </c>
      <c r="K77" s="38">
        <v>4032.4870000000001</v>
      </c>
      <c r="L77" s="36">
        <v>483540</v>
      </c>
      <c r="M77" s="37">
        <v>119.91</v>
      </c>
      <c r="N77" s="38">
        <v>97.3</v>
      </c>
      <c r="O77" s="39">
        <v>0.71599999999999997</v>
      </c>
      <c r="P77" s="38">
        <v>19.02</v>
      </c>
      <c r="Q77" s="37">
        <v>1734229.74</v>
      </c>
      <c r="R77" s="37">
        <v>1663244.7</v>
      </c>
      <c r="S77" s="37">
        <v>72243.98</v>
      </c>
      <c r="T77" s="37">
        <f t="shared" si="4"/>
        <v>34932854089.199997</v>
      </c>
      <c r="U77" s="38">
        <f t="shared" si="5"/>
        <v>34.932854089199999</v>
      </c>
      <c r="W77" s="37"/>
    </row>
    <row r="78" spans="1:23" x14ac:dyDescent="0.25">
      <c r="A78" t="s">
        <v>3513</v>
      </c>
      <c r="B78" t="s">
        <v>3514</v>
      </c>
      <c r="C78" t="s">
        <v>3510</v>
      </c>
      <c r="D78" s="35">
        <v>0.54</v>
      </c>
      <c r="E78" t="s">
        <v>3446</v>
      </c>
      <c r="F78">
        <v>-43.309888071722597</v>
      </c>
      <c r="G78">
        <v>-22.785253249654151</v>
      </c>
      <c r="H78">
        <v>7</v>
      </c>
      <c r="I78" s="36">
        <v>15466215</v>
      </c>
      <c r="J78" s="37">
        <f t="shared" si="3"/>
        <v>15466.215</v>
      </c>
      <c r="K78" s="38">
        <v>467.31900000000002</v>
      </c>
      <c r="L78" s="36">
        <v>808161</v>
      </c>
      <c r="M78" s="37">
        <v>1729.36</v>
      </c>
      <c r="N78" s="38">
        <v>96.1</v>
      </c>
      <c r="O78" s="39">
        <v>0.71099999999999997</v>
      </c>
      <c r="P78" s="38">
        <v>15.62</v>
      </c>
      <c r="Q78" s="37">
        <v>2318008.29</v>
      </c>
      <c r="R78" s="37">
        <v>2369382.2400000002</v>
      </c>
      <c r="S78" s="37">
        <v>57170.07</v>
      </c>
      <c r="T78" s="37">
        <f t="shared" si="4"/>
        <v>46202620941.269997</v>
      </c>
      <c r="U78" s="38">
        <f t="shared" si="5"/>
        <v>46.202620941269998</v>
      </c>
      <c r="W78" s="37"/>
    </row>
    <row r="79" spans="1:23" x14ac:dyDescent="0.25">
      <c r="A79" t="s">
        <v>3515</v>
      </c>
      <c r="B79" t="s">
        <v>3516</v>
      </c>
      <c r="C79" t="s">
        <v>3510</v>
      </c>
      <c r="D79" s="35">
        <v>0.54</v>
      </c>
      <c r="E79" t="s">
        <v>3446</v>
      </c>
      <c r="F79">
        <v>-41.886203176650604</v>
      </c>
      <c r="G79">
        <v>-21.210591084753752</v>
      </c>
      <c r="H79">
        <v>1</v>
      </c>
      <c r="I79" s="36">
        <v>24290</v>
      </c>
      <c r="J79" s="37">
        <f t="shared" si="3"/>
        <v>24.29</v>
      </c>
      <c r="K79" s="38">
        <v>1106.694</v>
      </c>
      <c r="L79" s="36">
        <v>101041</v>
      </c>
      <c r="M79" s="37">
        <v>91.3</v>
      </c>
      <c r="N79" s="38">
        <v>96.1</v>
      </c>
      <c r="O79" s="39">
        <v>0.73</v>
      </c>
      <c r="P79" s="38">
        <v>12.59</v>
      </c>
      <c r="Q79" s="37">
        <v>305348.63</v>
      </c>
      <c r="R79" s="37">
        <v>296249.45</v>
      </c>
      <c r="S79" s="37">
        <v>32533.22</v>
      </c>
      <c r="T79" s="37">
        <f t="shared" si="4"/>
        <v>3287189082.02</v>
      </c>
      <c r="U79" s="38">
        <f t="shared" si="5"/>
        <v>3.2871890820199998</v>
      </c>
      <c r="W79" s="37"/>
    </row>
    <row r="80" spans="1:23" x14ac:dyDescent="0.25">
      <c r="A80" t="s">
        <v>3517</v>
      </c>
      <c r="B80" t="s">
        <v>3518</v>
      </c>
      <c r="C80" t="s">
        <v>3510</v>
      </c>
      <c r="D80" s="35">
        <v>0.54</v>
      </c>
      <c r="E80" t="s">
        <v>3446</v>
      </c>
      <c r="F80">
        <v>-44.000354556953901</v>
      </c>
      <c r="G80">
        <v>-22.51567398579175</v>
      </c>
      <c r="H80">
        <v>1</v>
      </c>
      <c r="I80" s="36">
        <v>40000</v>
      </c>
      <c r="J80" s="37">
        <f t="shared" si="3"/>
        <v>40</v>
      </c>
      <c r="K80" s="38">
        <v>82.254000000000005</v>
      </c>
      <c r="L80" s="36">
        <v>24298</v>
      </c>
      <c r="M80" s="37">
        <v>295.39999999999998</v>
      </c>
      <c r="N80" s="38">
        <v>96.7</v>
      </c>
      <c r="O80" s="39">
        <v>0.71499999999999997</v>
      </c>
      <c r="P80" s="38">
        <v>8.1300000000000008</v>
      </c>
      <c r="Q80" s="37">
        <v>82483.14</v>
      </c>
      <c r="R80" s="37">
        <v>78865.22</v>
      </c>
      <c r="S80" s="37">
        <v>56826.17</v>
      </c>
      <c r="T80" s="37">
        <f t="shared" si="4"/>
        <v>1380762278.6599998</v>
      </c>
      <c r="U80" s="38">
        <f t="shared" si="5"/>
        <v>1.3807622786599998</v>
      </c>
      <c r="W80" s="37"/>
    </row>
    <row r="81" spans="1:23" x14ac:dyDescent="0.25">
      <c r="A81" t="s">
        <v>3519</v>
      </c>
      <c r="B81" t="s">
        <v>3520</v>
      </c>
      <c r="C81" t="s">
        <v>3510</v>
      </c>
      <c r="D81" s="35">
        <v>0.54</v>
      </c>
      <c r="E81" t="s">
        <v>3446</v>
      </c>
      <c r="F81">
        <v>-43.555669547082744</v>
      </c>
      <c r="G81">
        <v>-22.7174304900919</v>
      </c>
      <c r="H81">
        <v>1</v>
      </c>
      <c r="I81" s="36">
        <v>2070000</v>
      </c>
      <c r="J81" s="37">
        <f t="shared" si="3"/>
        <v>2070</v>
      </c>
      <c r="K81" s="38">
        <v>75.927000000000007</v>
      </c>
      <c r="L81" s="36">
        <v>140523</v>
      </c>
      <c r="M81" s="37">
        <v>1850.76</v>
      </c>
      <c r="N81" s="38">
        <v>95.7</v>
      </c>
      <c r="O81" s="39">
        <v>0.68</v>
      </c>
      <c r="P81" s="38">
        <v>14.33</v>
      </c>
      <c r="Q81" s="37">
        <v>310553.39</v>
      </c>
      <c r="R81" s="37">
        <v>288190.15000000002</v>
      </c>
      <c r="S81" s="37">
        <v>28636.92</v>
      </c>
      <c r="T81" s="37">
        <f t="shared" si="4"/>
        <v>4024145909.1599998</v>
      </c>
      <c r="U81" s="38">
        <f t="shared" si="5"/>
        <v>4.0241459091599996</v>
      </c>
      <c r="W81" s="37"/>
    </row>
    <row r="82" spans="1:23" x14ac:dyDescent="0.25">
      <c r="A82" t="s">
        <v>3521</v>
      </c>
      <c r="B82" t="s">
        <v>3522</v>
      </c>
      <c r="C82" t="s">
        <v>3510</v>
      </c>
      <c r="D82" s="35">
        <v>0.54</v>
      </c>
      <c r="E82" t="s">
        <v>3446</v>
      </c>
      <c r="F82">
        <v>-44.443613422920677</v>
      </c>
      <c r="G82">
        <v>-22.471183586122802</v>
      </c>
      <c r="H82">
        <v>1</v>
      </c>
      <c r="I82" s="36">
        <v>216000</v>
      </c>
      <c r="J82" s="37">
        <f t="shared" si="3"/>
        <v>216</v>
      </c>
      <c r="K82" s="38">
        <v>1099.336</v>
      </c>
      <c r="L82" s="36">
        <v>129612</v>
      </c>
      <c r="M82" s="37">
        <v>117.9</v>
      </c>
      <c r="N82" s="38">
        <v>97</v>
      </c>
      <c r="O82" s="39">
        <v>0.76800000000000002</v>
      </c>
      <c r="P82" s="38">
        <v>16.87</v>
      </c>
      <c r="Q82" s="37">
        <v>540030.09</v>
      </c>
      <c r="R82" s="37">
        <v>417280.43</v>
      </c>
      <c r="S82" s="37">
        <v>80712.149999999994</v>
      </c>
      <c r="T82" s="37">
        <f t="shared" si="4"/>
        <v>10461263185.799999</v>
      </c>
      <c r="U82" s="38">
        <f t="shared" si="5"/>
        <v>10.4612631858</v>
      </c>
      <c r="W82" s="37"/>
    </row>
    <row r="83" spans="1:23" x14ac:dyDescent="0.25">
      <c r="A83" t="s">
        <v>3523</v>
      </c>
      <c r="B83" t="s">
        <v>3524</v>
      </c>
      <c r="C83" t="s">
        <v>3510</v>
      </c>
      <c r="D83" s="35">
        <v>0.54</v>
      </c>
      <c r="E83" t="s">
        <v>3446</v>
      </c>
      <c r="F83">
        <v>-43.227875124995187</v>
      </c>
      <c r="G83">
        <v>-22.87665211818646</v>
      </c>
      <c r="H83">
        <v>12</v>
      </c>
      <c r="I83" s="36">
        <v>4224565</v>
      </c>
      <c r="J83" s="37">
        <f t="shared" si="3"/>
        <v>4224.5649999999996</v>
      </c>
      <c r="K83" s="38">
        <v>1200.329</v>
      </c>
      <c r="L83" s="36">
        <v>6211223</v>
      </c>
      <c r="M83" s="37">
        <v>5174.6000000000004</v>
      </c>
      <c r="N83" s="38">
        <v>96.9</v>
      </c>
      <c r="O83" s="39">
        <v>0.79900000000000004</v>
      </c>
      <c r="P83" s="38">
        <v>11.8</v>
      </c>
      <c r="Q83" s="37">
        <v>26018740.289999999</v>
      </c>
      <c r="R83" s="37">
        <v>26572047.260000002</v>
      </c>
      <c r="S83" s="37">
        <v>53078.23</v>
      </c>
      <c r="T83" s="37">
        <f t="shared" si="4"/>
        <v>329680722975.29004</v>
      </c>
      <c r="U83" s="38">
        <f t="shared" si="5"/>
        <v>329.68072297529005</v>
      </c>
      <c r="W83" s="37"/>
    </row>
    <row r="84" spans="1:23" x14ac:dyDescent="0.25">
      <c r="A84" t="s">
        <v>3525</v>
      </c>
      <c r="B84" t="s">
        <v>3526</v>
      </c>
      <c r="C84" t="s">
        <v>3510</v>
      </c>
      <c r="D84" s="35">
        <v>0.54</v>
      </c>
      <c r="E84" t="s">
        <v>3446</v>
      </c>
      <c r="F84">
        <v>-42.177911557488187</v>
      </c>
      <c r="G84">
        <v>-21.535977120944459</v>
      </c>
      <c r="H84">
        <v>1</v>
      </c>
      <c r="I84" s="36">
        <v>910</v>
      </c>
      <c r="J84" s="37">
        <f t="shared" si="3"/>
        <v>0.91</v>
      </c>
      <c r="K84" s="38">
        <v>603.63300000000004</v>
      </c>
      <c r="L84" s="36">
        <v>41325</v>
      </c>
      <c r="M84" s="37">
        <v>68.459999999999994</v>
      </c>
      <c r="N84" s="38">
        <v>98.1</v>
      </c>
      <c r="O84" s="39">
        <v>0.71799999999999997</v>
      </c>
      <c r="P84" s="38">
        <v>11.09</v>
      </c>
      <c r="Q84" s="37">
        <v>124492.26</v>
      </c>
      <c r="R84" s="37">
        <v>114148.4</v>
      </c>
      <c r="S84" s="37">
        <v>30081.8</v>
      </c>
      <c r="T84" s="37">
        <f t="shared" si="4"/>
        <v>1243130385</v>
      </c>
      <c r="U84" s="38">
        <f t="shared" si="5"/>
        <v>1.2431303849999999</v>
      </c>
      <c r="W84" s="37"/>
    </row>
    <row r="85" spans="1:23" x14ac:dyDescent="0.25">
      <c r="A85" t="s">
        <v>3527</v>
      </c>
      <c r="B85" t="s">
        <v>3528</v>
      </c>
      <c r="C85" t="s">
        <v>3510</v>
      </c>
      <c r="D85" s="35">
        <v>0.54</v>
      </c>
      <c r="E85" t="s">
        <v>3446</v>
      </c>
      <c r="F85">
        <v>-43.032335061964822</v>
      </c>
      <c r="G85">
        <v>-22.829547313026101</v>
      </c>
      <c r="H85">
        <v>1</v>
      </c>
      <c r="I85" s="36">
        <v>2740080</v>
      </c>
      <c r="J85" s="37">
        <f t="shared" si="3"/>
        <v>2740.08</v>
      </c>
      <c r="K85" s="38">
        <v>248.16</v>
      </c>
      <c r="L85" s="36">
        <v>896744</v>
      </c>
      <c r="M85" s="37">
        <v>3613.57</v>
      </c>
      <c r="N85" s="38">
        <v>96.7</v>
      </c>
      <c r="O85" s="39">
        <v>0.73899999999999999</v>
      </c>
      <c r="P85" s="38">
        <v>12.56</v>
      </c>
      <c r="Q85" s="37">
        <v>1064524.1299999999</v>
      </c>
      <c r="R85" s="37">
        <v>1051761.3899999999</v>
      </c>
      <c r="S85" s="37">
        <v>18504.810000000001</v>
      </c>
      <c r="T85" s="37">
        <f t="shared" si="4"/>
        <v>16594077338.640001</v>
      </c>
      <c r="U85" s="38">
        <f t="shared" si="5"/>
        <v>16.594077338640002</v>
      </c>
      <c r="W85" s="37"/>
    </row>
    <row r="86" spans="1:23" x14ac:dyDescent="0.25">
      <c r="A86" t="s">
        <v>3529</v>
      </c>
      <c r="B86" t="s">
        <v>3530</v>
      </c>
      <c r="C86" t="s">
        <v>3510</v>
      </c>
      <c r="D86" s="35">
        <v>0.54</v>
      </c>
      <c r="E86" t="s">
        <v>3446</v>
      </c>
      <c r="F86">
        <v>-43.211609444335359</v>
      </c>
      <c r="G86">
        <v>-22.1174480009517</v>
      </c>
      <c r="H86">
        <v>1</v>
      </c>
      <c r="I86" s="36">
        <v>23328</v>
      </c>
      <c r="J86" s="37">
        <f t="shared" si="3"/>
        <v>23.327999999999999</v>
      </c>
      <c r="K86" s="38">
        <v>322.84300000000002</v>
      </c>
      <c r="L86" s="36">
        <v>78346</v>
      </c>
      <c r="M86" s="37">
        <v>242.68</v>
      </c>
      <c r="N86" s="38">
        <v>97.9</v>
      </c>
      <c r="O86" s="39">
        <v>0.72499999999999998</v>
      </c>
      <c r="P86" s="38">
        <v>15.58</v>
      </c>
      <c r="Q86" s="37">
        <v>264323.77</v>
      </c>
      <c r="R86" s="37">
        <v>250872.14</v>
      </c>
      <c r="S86" s="37">
        <v>76977.41</v>
      </c>
      <c r="T86" s="37">
        <f t="shared" si="4"/>
        <v>6030872163.8600006</v>
      </c>
      <c r="U86" s="38">
        <f t="shared" si="5"/>
        <v>6.0308721638600007</v>
      </c>
      <c r="W86" s="37"/>
    </row>
    <row r="87" spans="1:23" x14ac:dyDescent="0.25">
      <c r="A87" t="s">
        <v>3531</v>
      </c>
      <c r="B87" t="s">
        <v>3532</v>
      </c>
      <c r="C87" t="s">
        <v>3510</v>
      </c>
      <c r="D87" s="35">
        <v>0.54</v>
      </c>
      <c r="E87" t="s">
        <v>3446</v>
      </c>
      <c r="F87">
        <v>-44.093521884687092</v>
      </c>
      <c r="G87">
        <v>-22.509967600797751</v>
      </c>
      <c r="H87">
        <v>1</v>
      </c>
      <c r="I87" s="36">
        <v>48000</v>
      </c>
      <c r="J87" s="37">
        <f t="shared" si="3"/>
        <v>48</v>
      </c>
      <c r="K87" s="38">
        <v>182.10499999999999</v>
      </c>
      <c r="L87" s="36">
        <v>261563</v>
      </c>
      <c r="M87" s="37">
        <v>1436.33</v>
      </c>
      <c r="N87" s="38">
        <v>98.5</v>
      </c>
      <c r="O87" s="39">
        <v>0.77100000000000002</v>
      </c>
      <c r="P87" s="38">
        <v>12.88</v>
      </c>
      <c r="Q87" s="37">
        <v>869283.57</v>
      </c>
      <c r="R87" s="37">
        <v>825227.07</v>
      </c>
      <c r="S87" s="37">
        <v>71551.44</v>
      </c>
      <c r="T87" s="37">
        <f t="shared" si="4"/>
        <v>18715209300.720001</v>
      </c>
      <c r="U87" s="38">
        <f t="shared" si="5"/>
        <v>18.715209300720002</v>
      </c>
      <c r="W87" s="37"/>
    </row>
    <row r="88" spans="1:23" x14ac:dyDescent="0.25">
      <c r="A88" t="s">
        <v>3533</v>
      </c>
      <c r="B88" t="s">
        <v>3534</v>
      </c>
      <c r="C88" t="s">
        <v>3535</v>
      </c>
      <c r="D88" s="35">
        <v>0.46300000000000002</v>
      </c>
      <c r="E88" t="s">
        <v>3536</v>
      </c>
      <c r="F88">
        <v>-49.631755990406774</v>
      </c>
      <c r="G88">
        <v>-25.578497807453509</v>
      </c>
      <c r="H88">
        <v>3</v>
      </c>
      <c r="I88" s="36">
        <v>3934534</v>
      </c>
      <c r="J88" s="37">
        <f t="shared" si="3"/>
        <v>3934.5340000000001</v>
      </c>
      <c r="K88" s="38">
        <v>348.92599999999999</v>
      </c>
      <c r="L88" s="36">
        <v>13395</v>
      </c>
      <c r="M88" s="37">
        <v>38.39</v>
      </c>
      <c r="N88" s="38">
        <v>87.4</v>
      </c>
      <c r="O88" s="39">
        <v>0.69599999999999995</v>
      </c>
      <c r="P88" s="38">
        <v>24.24</v>
      </c>
      <c r="Q88" s="37">
        <v>53670.59</v>
      </c>
      <c r="R88" s="37">
        <v>45954.51</v>
      </c>
      <c r="S88" s="37">
        <v>69966.95</v>
      </c>
      <c r="T88" s="37">
        <f t="shared" si="4"/>
        <v>937207295.25</v>
      </c>
      <c r="U88" s="38">
        <f t="shared" si="5"/>
        <v>0.93720729525000002</v>
      </c>
      <c r="W88" s="37"/>
    </row>
    <row r="89" spans="1:23" x14ac:dyDescent="0.25">
      <c r="A89" t="s">
        <v>3537</v>
      </c>
      <c r="B89" t="s">
        <v>3538</v>
      </c>
      <c r="C89" t="s">
        <v>3535</v>
      </c>
      <c r="D89" s="35">
        <v>0.46300000000000002</v>
      </c>
      <c r="E89" t="s">
        <v>3536</v>
      </c>
      <c r="F89">
        <v>-53.635000265256842</v>
      </c>
      <c r="G89">
        <v>-26.2526028442091</v>
      </c>
      <c r="H89">
        <v>1</v>
      </c>
      <c r="I89" s="36">
        <v>2149300</v>
      </c>
      <c r="J89" s="37">
        <f t="shared" si="3"/>
        <v>2149.3000000000002</v>
      </c>
      <c r="K89" s="38">
        <v>161.21299999999999</v>
      </c>
      <c r="L89" s="36">
        <v>9759</v>
      </c>
      <c r="M89" s="37">
        <v>60.53</v>
      </c>
      <c r="N89" s="38">
        <v>95.3</v>
      </c>
      <c r="O89" s="39">
        <v>0.70599999999999996</v>
      </c>
      <c r="P89" s="38"/>
      <c r="Q89" s="37">
        <v>39271.019999999997</v>
      </c>
      <c r="R89" s="37">
        <v>33672.379999999997</v>
      </c>
      <c r="S89" s="37">
        <v>25538.63</v>
      </c>
      <c r="T89" s="37">
        <f t="shared" si="4"/>
        <v>249231490.17000002</v>
      </c>
      <c r="U89" s="38">
        <f t="shared" si="5"/>
        <v>0.24923149017000001</v>
      </c>
      <c r="W89" s="37"/>
    </row>
    <row r="90" spans="1:23" x14ac:dyDescent="0.25">
      <c r="A90" t="s">
        <v>3539</v>
      </c>
      <c r="B90" t="s">
        <v>3540</v>
      </c>
      <c r="C90" t="s">
        <v>3535</v>
      </c>
      <c r="D90" s="35">
        <v>0.46300000000000002</v>
      </c>
      <c r="E90" t="s">
        <v>3536</v>
      </c>
      <c r="F90">
        <v>-53.324916478430218</v>
      </c>
      <c r="G90">
        <v>-24.615666976134261</v>
      </c>
      <c r="H90">
        <v>1</v>
      </c>
      <c r="I90" s="36">
        <v>231408</v>
      </c>
      <c r="J90" s="37">
        <f t="shared" si="3"/>
        <v>231.40799999999999</v>
      </c>
      <c r="K90" s="38">
        <v>274.904</v>
      </c>
      <c r="L90" s="36">
        <v>18997</v>
      </c>
      <c r="M90" s="37">
        <v>69.099999999999994</v>
      </c>
      <c r="N90" s="38">
        <v>98</v>
      </c>
      <c r="O90" s="39">
        <v>0.748</v>
      </c>
      <c r="P90" s="38">
        <v>11.45</v>
      </c>
      <c r="Q90" s="37">
        <v>74075.56</v>
      </c>
      <c r="R90" s="37">
        <v>60227.67</v>
      </c>
      <c r="S90" s="37">
        <v>103778.69</v>
      </c>
      <c r="T90" s="37">
        <f t="shared" si="4"/>
        <v>1971483773.9300001</v>
      </c>
      <c r="U90" s="38">
        <f t="shared" si="5"/>
        <v>1.97148377393</v>
      </c>
      <c r="W90" s="37"/>
    </row>
    <row r="91" spans="1:23" x14ac:dyDescent="0.25">
      <c r="A91" t="s">
        <v>3541</v>
      </c>
      <c r="B91" t="s">
        <v>3542</v>
      </c>
      <c r="C91" t="s">
        <v>3535</v>
      </c>
      <c r="D91" s="35">
        <v>0.46300000000000002</v>
      </c>
      <c r="E91" t="s">
        <v>3536</v>
      </c>
      <c r="F91">
        <v>-51.277728442331373</v>
      </c>
      <c r="G91">
        <v>-23.281632000000009</v>
      </c>
      <c r="H91">
        <v>2</v>
      </c>
      <c r="I91" s="36">
        <v>309364</v>
      </c>
      <c r="J91" s="37">
        <f t="shared" si="3"/>
        <v>309.36399999999998</v>
      </c>
      <c r="K91" s="38">
        <v>495.375</v>
      </c>
      <c r="L91" s="36">
        <v>107208</v>
      </c>
      <c r="M91" s="37">
        <v>216.42</v>
      </c>
      <c r="N91" s="38">
        <v>97.5</v>
      </c>
      <c r="O91" s="39">
        <v>0.73399999999999999</v>
      </c>
      <c r="P91" s="38">
        <v>7.93</v>
      </c>
      <c r="Q91" s="37">
        <v>285940.19</v>
      </c>
      <c r="R91" s="37">
        <v>248791.51</v>
      </c>
      <c r="S91" s="37">
        <v>46520.49</v>
      </c>
      <c r="T91" s="37">
        <f t="shared" si="4"/>
        <v>4987368691.9200001</v>
      </c>
      <c r="U91" s="38">
        <f t="shared" si="5"/>
        <v>4.9873686919200004</v>
      </c>
      <c r="W91" s="37"/>
    </row>
    <row r="92" spans="1:23" x14ac:dyDescent="0.25">
      <c r="A92" t="s">
        <v>3543</v>
      </c>
      <c r="B92" t="s">
        <v>3544</v>
      </c>
      <c r="C92" t="s">
        <v>3535</v>
      </c>
      <c r="D92" s="35">
        <v>0.46300000000000002</v>
      </c>
      <c r="E92" t="s">
        <v>3536</v>
      </c>
      <c r="F92">
        <v>-53.459722181985647</v>
      </c>
      <c r="G92">
        <v>-24.953797500000011</v>
      </c>
      <c r="H92">
        <v>2</v>
      </c>
      <c r="I92" s="36">
        <v>1199250</v>
      </c>
      <c r="J92" s="37">
        <f t="shared" si="3"/>
        <v>1199.25</v>
      </c>
      <c r="K92" s="38">
        <v>2091.1990000000001</v>
      </c>
      <c r="L92" s="36">
        <v>348051</v>
      </c>
      <c r="M92" s="37">
        <v>166.44</v>
      </c>
      <c r="N92" s="38">
        <v>98.1</v>
      </c>
      <c r="O92" s="39">
        <v>0.78200000000000003</v>
      </c>
      <c r="P92" s="38">
        <v>7.39</v>
      </c>
      <c r="Q92" s="37">
        <v>962657.58</v>
      </c>
      <c r="R92" s="37">
        <v>805933.74</v>
      </c>
      <c r="S92" s="37">
        <v>46976.49</v>
      </c>
      <c r="T92" s="37">
        <f t="shared" si="4"/>
        <v>16350214320.99</v>
      </c>
      <c r="U92" s="38">
        <f t="shared" si="5"/>
        <v>16.350214320989998</v>
      </c>
      <c r="W92" s="37"/>
    </row>
    <row r="93" spans="1:23" x14ac:dyDescent="0.25">
      <c r="A93" t="s">
        <v>3545</v>
      </c>
      <c r="B93" t="s">
        <v>3546</v>
      </c>
      <c r="C93" t="s">
        <v>3535</v>
      </c>
      <c r="D93" s="35">
        <v>0.46300000000000002</v>
      </c>
      <c r="E93" t="s">
        <v>3536</v>
      </c>
      <c r="F93">
        <v>-49.227437977272707</v>
      </c>
      <c r="G93">
        <v>-25.294340294536049</v>
      </c>
      <c r="H93">
        <v>1</v>
      </c>
      <c r="I93" s="36">
        <v>2000</v>
      </c>
      <c r="J93" s="37">
        <f t="shared" si="3"/>
        <v>2</v>
      </c>
      <c r="K93" s="38">
        <v>197.58</v>
      </c>
      <c r="L93" s="36">
        <v>232212</v>
      </c>
      <c r="M93" s="37">
        <v>1175.28</v>
      </c>
      <c r="N93" s="38">
        <v>96.6</v>
      </c>
      <c r="O93" s="39">
        <v>0.73299999999999998</v>
      </c>
      <c r="P93" s="38">
        <v>9.4700000000000006</v>
      </c>
      <c r="Q93" s="37">
        <v>407967.01</v>
      </c>
      <c r="R93" s="37">
        <v>356978.85</v>
      </c>
      <c r="S93" s="37">
        <v>22842.86</v>
      </c>
      <c r="T93" s="37">
        <f t="shared" si="4"/>
        <v>5304386206.3199997</v>
      </c>
      <c r="U93" s="38">
        <f t="shared" si="5"/>
        <v>5.3043862063199994</v>
      </c>
      <c r="W93" s="37"/>
    </row>
    <row r="94" spans="1:23" x14ac:dyDescent="0.25">
      <c r="A94" t="s">
        <v>3547</v>
      </c>
      <c r="B94" t="s">
        <v>3548</v>
      </c>
      <c r="C94" t="s">
        <v>3535</v>
      </c>
      <c r="D94" s="35">
        <v>0.46300000000000002</v>
      </c>
      <c r="E94" t="s">
        <v>3536</v>
      </c>
      <c r="F94">
        <v>-49.27184788507742</v>
      </c>
      <c r="G94">
        <v>-25.432956000000001</v>
      </c>
      <c r="H94">
        <v>2</v>
      </c>
      <c r="I94" s="36">
        <v>37056</v>
      </c>
      <c r="J94" s="37">
        <f t="shared" si="3"/>
        <v>37.055999999999997</v>
      </c>
      <c r="K94" s="38">
        <v>434.892</v>
      </c>
      <c r="L94" s="36">
        <v>1773718</v>
      </c>
      <c r="M94" s="37">
        <v>4078.53</v>
      </c>
      <c r="N94" s="38">
        <v>97.6</v>
      </c>
      <c r="O94" s="39">
        <v>0.82299999999999995</v>
      </c>
      <c r="P94" s="38">
        <v>8.59</v>
      </c>
      <c r="Q94" s="37">
        <v>8661107.7799999993</v>
      </c>
      <c r="R94" s="37">
        <v>8029191.2599999998</v>
      </c>
      <c r="S94" s="37">
        <v>49907.02</v>
      </c>
      <c r="T94" s="37">
        <f t="shared" si="4"/>
        <v>88520979700.360001</v>
      </c>
      <c r="U94" s="38">
        <f t="shared" si="5"/>
        <v>88.520979700360002</v>
      </c>
      <c r="W94" s="37"/>
    </row>
    <row r="95" spans="1:23" x14ac:dyDescent="0.25">
      <c r="A95" t="s">
        <v>3549</v>
      </c>
      <c r="B95" t="s">
        <v>3550</v>
      </c>
      <c r="C95" t="s">
        <v>3535</v>
      </c>
      <c r="D95" s="35">
        <v>0.46300000000000002</v>
      </c>
      <c r="E95" t="s">
        <v>3536</v>
      </c>
      <c r="F95">
        <v>-49.323293194711908</v>
      </c>
      <c r="G95">
        <v>-25.6414002186938</v>
      </c>
      <c r="H95">
        <v>1</v>
      </c>
      <c r="I95" s="36">
        <v>1450</v>
      </c>
      <c r="J95" s="37">
        <f t="shared" si="3"/>
        <v>1.45</v>
      </c>
      <c r="K95" s="38">
        <v>116.678</v>
      </c>
      <c r="L95" s="36">
        <v>148873</v>
      </c>
      <c r="M95" s="37">
        <v>1275.93</v>
      </c>
      <c r="N95" s="38">
        <v>95.8</v>
      </c>
      <c r="O95" s="39">
        <v>0.72</v>
      </c>
      <c r="P95" s="38">
        <v>13.01</v>
      </c>
      <c r="Q95" s="37">
        <v>248605.46</v>
      </c>
      <c r="R95" s="37">
        <v>198791.35</v>
      </c>
      <c r="S95" s="37">
        <v>31927.39</v>
      </c>
      <c r="T95" s="37">
        <f t="shared" si="4"/>
        <v>4753126331.4700003</v>
      </c>
      <c r="U95" s="38">
        <f t="shared" si="5"/>
        <v>4.7531263314699999</v>
      </c>
      <c r="W95" s="37"/>
    </row>
    <row r="96" spans="1:23" x14ac:dyDescent="0.25">
      <c r="A96" t="s">
        <v>3551</v>
      </c>
      <c r="B96" t="s">
        <v>3552</v>
      </c>
      <c r="C96" t="s">
        <v>3535</v>
      </c>
      <c r="D96" s="35">
        <v>0.46300000000000002</v>
      </c>
      <c r="E96" t="s">
        <v>3536</v>
      </c>
      <c r="F96">
        <v>-54.58710248860465</v>
      </c>
      <c r="G96">
        <v>-25.54249327952925</v>
      </c>
      <c r="H96">
        <v>4</v>
      </c>
      <c r="I96" s="36">
        <v>1107400</v>
      </c>
      <c r="J96" s="37">
        <f t="shared" si="3"/>
        <v>1107.4000000000001</v>
      </c>
      <c r="K96" s="38">
        <v>609.19200000000001</v>
      </c>
      <c r="L96" s="36">
        <v>285415</v>
      </c>
      <c r="M96" s="37">
        <v>468.51</v>
      </c>
      <c r="N96" s="38">
        <v>96.4</v>
      </c>
      <c r="O96" s="39">
        <v>0.751</v>
      </c>
      <c r="P96" s="38">
        <v>14.18</v>
      </c>
      <c r="Q96" s="37">
        <v>1031540.53</v>
      </c>
      <c r="R96" s="37">
        <v>873653.37</v>
      </c>
      <c r="S96" s="37">
        <v>73534.490000000005</v>
      </c>
      <c r="T96" s="37">
        <f t="shared" si="4"/>
        <v>20987846463.350002</v>
      </c>
      <c r="U96" s="38">
        <f t="shared" si="5"/>
        <v>20.987846463350003</v>
      </c>
      <c r="W96" s="37"/>
    </row>
    <row r="97" spans="1:23" x14ac:dyDescent="0.25">
      <c r="A97" t="s">
        <v>3553</v>
      </c>
      <c r="B97" t="s">
        <v>3554</v>
      </c>
      <c r="C97" t="s">
        <v>3535</v>
      </c>
      <c r="D97" s="35">
        <v>0.46300000000000002</v>
      </c>
      <c r="E97" t="s">
        <v>3536</v>
      </c>
      <c r="F97">
        <v>-53.056135721489397</v>
      </c>
      <c r="G97">
        <v>-26.07845</v>
      </c>
      <c r="H97">
        <v>1</v>
      </c>
      <c r="I97" s="36">
        <v>12740</v>
      </c>
      <c r="J97" s="37">
        <f t="shared" si="3"/>
        <v>12.74</v>
      </c>
      <c r="K97" s="38">
        <v>735.11099999999999</v>
      </c>
      <c r="L97" s="36">
        <v>96666</v>
      </c>
      <c r="M97" s="37">
        <v>131.5</v>
      </c>
      <c r="N97" s="38">
        <v>98.8</v>
      </c>
      <c r="O97" s="39">
        <v>0.77400000000000002</v>
      </c>
      <c r="P97" s="38">
        <v>8.69</v>
      </c>
      <c r="Q97" s="37">
        <v>323537.39</v>
      </c>
      <c r="R97" s="37">
        <v>257972.59</v>
      </c>
      <c r="S97" s="37">
        <v>39597.050000000003</v>
      </c>
      <c r="T97" s="37">
        <f t="shared" si="4"/>
        <v>3827688435.3000002</v>
      </c>
      <c r="U97" s="38">
        <f t="shared" si="5"/>
        <v>3.8276884353000002</v>
      </c>
      <c r="W97" s="37"/>
    </row>
    <row r="98" spans="1:23" x14ac:dyDescent="0.25">
      <c r="A98" t="s">
        <v>3555</v>
      </c>
      <c r="B98" t="s">
        <v>3556</v>
      </c>
      <c r="C98" t="s">
        <v>3535</v>
      </c>
      <c r="D98" s="35">
        <v>0.46300000000000002</v>
      </c>
      <c r="E98" t="s">
        <v>3536</v>
      </c>
      <c r="F98">
        <v>-51.463431077674628</v>
      </c>
      <c r="G98">
        <v>-25.39359198</v>
      </c>
      <c r="H98">
        <v>1</v>
      </c>
      <c r="I98" s="36">
        <v>795540</v>
      </c>
      <c r="J98" s="37">
        <f t="shared" si="3"/>
        <v>795.54</v>
      </c>
      <c r="K98" s="38">
        <v>3168.087</v>
      </c>
      <c r="L98" s="36">
        <v>182093</v>
      </c>
      <c r="M98" s="37">
        <v>57.48</v>
      </c>
      <c r="N98" s="38">
        <v>97.1</v>
      </c>
      <c r="O98" s="39">
        <v>0.73099999999999998</v>
      </c>
      <c r="P98" s="38">
        <v>9.24</v>
      </c>
      <c r="Q98" s="37">
        <v>429923.42</v>
      </c>
      <c r="R98" s="37">
        <v>358585.03</v>
      </c>
      <c r="S98" s="37">
        <v>45219.68</v>
      </c>
      <c r="T98" s="37">
        <f>L98*S98</f>
        <v>8234187190.2399998</v>
      </c>
      <c r="U98" s="38">
        <f>T98/10^9</f>
        <v>8.2341871902400001</v>
      </c>
      <c r="W98" s="37"/>
    </row>
    <row r="99" spans="1:23" x14ac:dyDescent="0.25">
      <c r="A99" t="s">
        <v>3557</v>
      </c>
      <c r="B99" t="s">
        <v>3558</v>
      </c>
      <c r="C99" t="s">
        <v>3535</v>
      </c>
      <c r="D99" s="35">
        <v>0.46300000000000002</v>
      </c>
      <c r="E99" t="s">
        <v>3536</v>
      </c>
      <c r="F99">
        <v>-51.939881870252073</v>
      </c>
      <c r="G99">
        <v>-23.422280000000001</v>
      </c>
      <c r="H99">
        <v>3</v>
      </c>
      <c r="I99" s="36">
        <v>528309</v>
      </c>
      <c r="J99" s="37">
        <f t="shared" si="3"/>
        <v>528.30899999999997</v>
      </c>
      <c r="K99" s="38">
        <v>487.012</v>
      </c>
      <c r="L99" s="36">
        <v>409657</v>
      </c>
      <c r="M99" s="37">
        <v>841.16</v>
      </c>
      <c r="N99" s="38">
        <v>98.4</v>
      </c>
      <c r="O99" s="39">
        <v>0.80800000000000005</v>
      </c>
      <c r="P99" s="38">
        <v>6.45</v>
      </c>
      <c r="Q99" s="37">
        <v>1444416.1</v>
      </c>
      <c r="R99" s="37">
        <v>1243868.01</v>
      </c>
      <c r="S99" s="37">
        <v>51908.79</v>
      </c>
      <c r="T99" s="37">
        <f>L99*S99</f>
        <v>21264799185.029999</v>
      </c>
      <c r="U99" s="38">
        <f t="shared" si="5"/>
        <v>21.26479918503</v>
      </c>
      <c r="W99" s="37"/>
    </row>
    <row r="100" spans="1:23" x14ac:dyDescent="0.25">
      <c r="A100" t="s">
        <v>3559</v>
      </c>
      <c r="B100" t="s">
        <v>3560</v>
      </c>
      <c r="C100" t="s">
        <v>3535</v>
      </c>
      <c r="D100" s="35">
        <v>0.46300000000000002</v>
      </c>
      <c r="E100" t="s">
        <v>3536</v>
      </c>
      <c r="F100">
        <v>-54.091782126922148</v>
      </c>
      <c r="G100">
        <v>-25.29249750000001</v>
      </c>
      <c r="H100">
        <v>3</v>
      </c>
      <c r="I100" s="36">
        <v>2457111</v>
      </c>
      <c r="J100" s="37">
        <f t="shared" si="3"/>
        <v>2457.1109999999999</v>
      </c>
      <c r="K100" s="38">
        <v>328.73200000000003</v>
      </c>
      <c r="L100" s="36">
        <v>54369</v>
      </c>
      <c r="M100" s="37">
        <v>165.39</v>
      </c>
      <c r="N100" s="38">
        <v>98.7</v>
      </c>
      <c r="O100" s="39">
        <v>0.76300000000000001</v>
      </c>
      <c r="P100" s="38">
        <v>6.49</v>
      </c>
      <c r="Q100" s="37">
        <v>159297.59</v>
      </c>
      <c r="R100" s="37">
        <v>143716.97</v>
      </c>
      <c r="S100" s="37">
        <v>52026.64</v>
      </c>
      <c r="T100" s="37">
        <f t="shared" si="4"/>
        <v>2828636390.1599998</v>
      </c>
      <c r="U100" s="38">
        <f t="shared" si="5"/>
        <v>2.8286363901599998</v>
      </c>
      <c r="W100" s="37"/>
    </row>
    <row r="101" spans="1:23" x14ac:dyDescent="0.25">
      <c r="A101" t="s">
        <v>3561</v>
      </c>
      <c r="B101" t="s">
        <v>3562</v>
      </c>
      <c r="C101" t="s">
        <v>3535</v>
      </c>
      <c r="D101" s="35">
        <v>0.46300000000000002</v>
      </c>
      <c r="E101" t="s">
        <v>3536</v>
      </c>
      <c r="F101">
        <v>-53.257525539617824</v>
      </c>
      <c r="G101">
        <v>-24.528485328995849</v>
      </c>
      <c r="H101">
        <v>2</v>
      </c>
      <c r="I101" s="36">
        <v>19125</v>
      </c>
      <c r="J101" s="37">
        <f t="shared" si="3"/>
        <v>19.125</v>
      </c>
      <c r="K101" s="38">
        <v>470.642</v>
      </c>
      <c r="L101" s="36">
        <v>13765</v>
      </c>
      <c r="M101" s="37">
        <v>29.25</v>
      </c>
      <c r="N101" s="38">
        <v>95.8</v>
      </c>
      <c r="O101" s="39">
        <v>0.73299999999999998</v>
      </c>
      <c r="P101" s="38">
        <v>6.49</v>
      </c>
      <c r="Q101" s="37">
        <v>47890.01</v>
      </c>
      <c r="R101" s="37">
        <v>41765.870000000003</v>
      </c>
      <c r="S101" s="37">
        <v>80918.59</v>
      </c>
      <c r="T101" s="37">
        <f t="shared" si="4"/>
        <v>1113844391.3499999</v>
      </c>
      <c r="U101" s="38">
        <f t="shared" si="5"/>
        <v>1.1138443913499998</v>
      </c>
      <c r="W101" s="37"/>
    </row>
    <row r="102" spans="1:23" x14ac:dyDescent="0.25">
      <c r="A102" t="s">
        <v>3563</v>
      </c>
      <c r="B102" t="s">
        <v>3564</v>
      </c>
      <c r="C102" t="s">
        <v>3535</v>
      </c>
      <c r="D102" s="35">
        <v>0.46300000000000002</v>
      </c>
      <c r="E102" t="s">
        <v>3536</v>
      </c>
      <c r="F102">
        <v>-52.677361997672257</v>
      </c>
      <c r="G102">
        <v>-26.229958515000011</v>
      </c>
      <c r="H102">
        <v>1</v>
      </c>
      <c r="I102" s="36">
        <v>92688</v>
      </c>
      <c r="J102" s="37">
        <f t="shared" si="3"/>
        <v>92.688000000000002</v>
      </c>
      <c r="K102" s="38">
        <v>539.08699999999999</v>
      </c>
      <c r="L102" s="36">
        <v>91836</v>
      </c>
      <c r="M102" s="37">
        <v>170.35</v>
      </c>
      <c r="N102" s="38">
        <v>98.7</v>
      </c>
      <c r="O102" s="39">
        <v>0.78200000000000003</v>
      </c>
      <c r="P102" s="38">
        <v>7.53</v>
      </c>
      <c r="Q102" s="37">
        <v>289645.24</v>
      </c>
      <c r="R102" s="37">
        <v>271976.63</v>
      </c>
      <c r="S102" s="37">
        <v>53648.87</v>
      </c>
      <c r="T102" s="37">
        <f t="shared" si="4"/>
        <v>4926897625.3200006</v>
      </c>
      <c r="U102" s="38">
        <f t="shared" si="5"/>
        <v>4.9268976253200005</v>
      </c>
      <c r="W102" s="37"/>
    </row>
    <row r="103" spans="1:23" x14ac:dyDescent="0.25">
      <c r="A103" t="s">
        <v>3565</v>
      </c>
      <c r="B103" t="s">
        <v>3566</v>
      </c>
      <c r="C103" t="s">
        <v>3535</v>
      </c>
      <c r="D103" s="35">
        <v>0.46300000000000002</v>
      </c>
      <c r="E103" t="s">
        <v>3536</v>
      </c>
      <c r="F103">
        <v>-49.199197419609881</v>
      </c>
      <c r="G103">
        <v>-25.442197887905511</v>
      </c>
      <c r="H103">
        <v>2</v>
      </c>
      <c r="I103" s="36">
        <v>394628</v>
      </c>
      <c r="J103" s="37">
        <f t="shared" si="3"/>
        <v>394.62799999999999</v>
      </c>
      <c r="K103" s="38">
        <v>60.869</v>
      </c>
      <c r="L103" s="36">
        <v>127019</v>
      </c>
      <c r="M103" s="37">
        <v>2086.7600000000002</v>
      </c>
      <c r="N103" s="38">
        <v>97.2</v>
      </c>
      <c r="O103" s="39">
        <v>0.751</v>
      </c>
      <c r="P103" s="38">
        <v>12.12</v>
      </c>
      <c r="Q103" s="37">
        <v>425571.9</v>
      </c>
      <c r="R103" s="37">
        <v>342565.15</v>
      </c>
      <c r="S103" s="37">
        <v>59079.55</v>
      </c>
      <c r="T103" s="37">
        <f t="shared" si="4"/>
        <v>7504225361.4500008</v>
      </c>
      <c r="U103" s="38">
        <f t="shared" si="5"/>
        <v>7.5042253614500005</v>
      </c>
      <c r="W103" s="37"/>
    </row>
    <row r="104" spans="1:23" x14ac:dyDescent="0.25">
      <c r="A104" t="s">
        <v>3567</v>
      </c>
      <c r="B104" t="s">
        <v>3568</v>
      </c>
      <c r="C104" t="s">
        <v>3535</v>
      </c>
      <c r="D104" s="35">
        <v>0.46300000000000002</v>
      </c>
      <c r="E104" t="s">
        <v>3536</v>
      </c>
      <c r="F104">
        <v>-53.770857430337998</v>
      </c>
      <c r="G104">
        <v>-25.712101497761552</v>
      </c>
      <c r="H104">
        <v>1</v>
      </c>
      <c r="I104" s="36">
        <v>193368</v>
      </c>
      <c r="J104" s="37">
        <f t="shared" si="3"/>
        <v>193.36799999999999</v>
      </c>
      <c r="K104" s="38">
        <v>346.24099999999999</v>
      </c>
      <c r="L104" s="36">
        <v>14374</v>
      </c>
      <c r="M104" s="37">
        <v>41.51</v>
      </c>
      <c r="N104" s="38">
        <v>99.8</v>
      </c>
      <c r="O104" s="39">
        <v>0.70599999999999996</v>
      </c>
      <c r="P104" s="38">
        <v>16</v>
      </c>
      <c r="Q104" s="37">
        <v>42089.39</v>
      </c>
      <c r="R104" s="37">
        <v>34234.28</v>
      </c>
      <c r="S104" s="37">
        <v>31778.1</v>
      </c>
      <c r="T104" s="37">
        <f t="shared" si="4"/>
        <v>456778409.39999998</v>
      </c>
      <c r="U104" s="38">
        <f t="shared" si="5"/>
        <v>0.45677840939999997</v>
      </c>
      <c r="W104" s="37"/>
    </row>
    <row r="105" spans="1:23" x14ac:dyDescent="0.25">
      <c r="A105" t="s">
        <v>3569</v>
      </c>
      <c r="B105" t="s">
        <v>3570</v>
      </c>
      <c r="C105" t="s">
        <v>3535</v>
      </c>
      <c r="D105" s="35">
        <v>0.46300000000000002</v>
      </c>
      <c r="E105" t="s">
        <v>3536</v>
      </c>
      <c r="F105">
        <v>-50.983575090629017</v>
      </c>
      <c r="G105">
        <v>-25.21602050000001</v>
      </c>
      <c r="H105">
        <v>2</v>
      </c>
      <c r="I105" s="36">
        <v>4705229</v>
      </c>
      <c r="J105" s="37">
        <f t="shared" si="3"/>
        <v>4705.2290000000003</v>
      </c>
      <c r="K105" s="38">
        <v>2247.1410000000001</v>
      </c>
      <c r="L105" s="36">
        <v>49393</v>
      </c>
      <c r="M105" s="37">
        <v>21.98</v>
      </c>
      <c r="N105" s="38">
        <v>97</v>
      </c>
      <c r="O105" s="39">
        <v>0.67600000000000005</v>
      </c>
      <c r="P105" s="38">
        <v>6.6</v>
      </c>
      <c r="Q105" s="37">
        <v>141101.76999999999</v>
      </c>
      <c r="R105" s="37">
        <v>116406.22</v>
      </c>
      <c r="S105" s="37">
        <v>29782.6</v>
      </c>
      <c r="T105" s="37">
        <f t="shared" si="4"/>
        <v>1471051961.8</v>
      </c>
      <c r="U105" s="38">
        <f t="shared" si="5"/>
        <v>1.4710519618</v>
      </c>
      <c r="W105" s="37"/>
    </row>
    <row r="106" spans="1:23" x14ac:dyDescent="0.25">
      <c r="A106" t="s">
        <v>3571</v>
      </c>
      <c r="B106" t="s">
        <v>3572</v>
      </c>
      <c r="C106" t="s">
        <v>3535</v>
      </c>
      <c r="D106" s="35">
        <v>0.46300000000000002</v>
      </c>
      <c r="E106" t="s">
        <v>3536</v>
      </c>
      <c r="F106">
        <v>-49.915264161470539</v>
      </c>
      <c r="G106">
        <v>-23.564160920832659</v>
      </c>
      <c r="H106">
        <v>1</v>
      </c>
      <c r="I106" s="36">
        <v>684650</v>
      </c>
      <c r="J106" s="37">
        <f t="shared" si="3"/>
        <v>684.65</v>
      </c>
      <c r="K106" s="38">
        <v>112.68899999999999</v>
      </c>
      <c r="L106" s="36">
        <v>8099</v>
      </c>
      <c r="M106" s="37">
        <v>71.87</v>
      </c>
      <c r="N106" s="38">
        <v>99</v>
      </c>
      <c r="O106" s="39">
        <v>0.71399999999999997</v>
      </c>
      <c r="P106" s="38"/>
      <c r="Q106" s="37">
        <v>28492.05</v>
      </c>
      <c r="R106" s="37">
        <v>22639.89</v>
      </c>
      <c r="S106" s="37">
        <v>28269.42</v>
      </c>
      <c r="T106" s="37">
        <f t="shared" si="4"/>
        <v>228954032.57999998</v>
      </c>
      <c r="U106" s="38">
        <f t="shared" si="5"/>
        <v>0.22895403257999999</v>
      </c>
      <c r="W106" s="37"/>
    </row>
    <row r="107" spans="1:23" x14ac:dyDescent="0.25">
      <c r="A107" t="s">
        <v>3573</v>
      </c>
      <c r="B107" t="s">
        <v>3574</v>
      </c>
      <c r="C107" t="s">
        <v>3535</v>
      </c>
      <c r="D107" s="35">
        <v>0.46300000000000002</v>
      </c>
      <c r="E107" t="s">
        <v>3536</v>
      </c>
      <c r="F107">
        <v>-49.633196631517258</v>
      </c>
      <c r="G107">
        <v>-23.75313258570991</v>
      </c>
      <c r="H107">
        <v>1</v>
      </c>
      <c r="I107" s="36">
        <v>23971</v>
      </c>
      <c r="J107" s="37">
        <f t="shared" si="3"/>
        <v>23.971</v>
      </c>
      <c r="K107" s="38">
        <v>251.26900000000001</v>
      </c>
      <c r="L107" s="36">
        <v>5514</v>
      </c>
      <c r="M107" s="37">
        <v>21.94</v>
      </c>
      <c r="N107" s="38">
        <v>97.5</v>
      </c>
      <c r="O107" s="39">
        <v>0.68700000000000006</v>
      </c>
      <c r="P107" s="38"/>
      <c r="Q107" s="37">
        <v>19938.91</v>
      </c>
      <c r="R107" s="37">
        <v>17366.86</v>
      </c>
      <c r="S107" s="37">
        <v>34909.629999999997</v>
      </c>
      <c r="T107" s="37">
        <f t="shared" si="4"/>
        <v>192491699.81999999</v>
      </c>
      <c r="U107" s="38">
        <f t="shared" si="5"/>
        <v>0.19249169982</v>
      </c>
      <c r="W107" s="37"/>
    </row>
    <row r="108" spans="1:23" x14ac:dyDescent="0.25">
      <c r="A108" t="s">
        <v>3575</v>
      </c>
      <c r="B108" t="s">
        <v>3576</v>
      </c>
      <c r="C108" t="s">
        <v>3535</v>
      </c>
      <c r="D108" s="35">
        <v>0.46300000000000002</v>
      </c>
      <c r="E108" t="s">
        <v>3536</v>
      </c>
      <c r="F108">
        <v>-49.200082465667322</v>
      </c>
      <c r="G108">
        <v>-25.53770200000001</v>
      </c>
      <c r="H108">
        <v>2</v>
      </c>
      <c r="I108" s="36">
        <v>91360</v>
      </c>
      <c r="J108" s="37">
        <f t="shared" si="3"/>
        <v>91.36</v>
      </c>
      <c r="K108" s="38">
        <v>946.43499999999995</v>
      </c>
      <c r="L108" s="36">
        <v>329628</v>
      </c>
      <c r="M108" s="37">
        <v>348.28</v>
      </c>
      <c r="N108" s="38">
        <v>97.4</v>
      </c>
      <c r="O108" s="39">
        <v>0.75800000000000001</v>
      </c>
      <c r="P108" s="38">
        <v>7.04</v>
      </c>
      <c r="Q108" s="37">
        <v>1088031.3799999999</v>
      </c>
      <c r="R108" s="37">
        <v>927029.43</v>
      </c>
      <c r="S108" s="37">
        <v>80717.399999999994</v>
      </c>
      <c r="T108" s="37">
        <f t="shared" si="4"/>
        <v>26606715127.199997</v>
      </c>
      <c r="U108" s="38">
        <f t="shared" si="5"/>
        <v>26.606715127199998</v>
      </c>
      <c r="W108" s="37"/>
    </row>
    <row r="109" spans="1:23" x14ac:dyDescent="0.25">
      <c r="A109" t="s">
        <v>3577</v>
      </c>
      <c r="B109" t="s">
        <v>3578</v>
      </c>
      <c r="C109" t="s">
        <v>3579</v>
      </c>
      <c r="D109" s="35">
        <v>0.41799999999999998</v>
      </c>
      <c r="E109" t="s">
        <v>3536</v>
      </c>
      <c r="F109">
        <v>-48.692707411929412</v>
      </c>
      <c r="G109">
        <v>-26.37595155407411</v>
      </c>
      <c r="H109">
        <v>2</v>
      </c>
      <c r="I109" s="36">
        <v>35000</v>
      </c>
      <c r="J109" s="37">
        <f t="shared" si="3"/>
        <v>35</v>
      </c>
      <c r="K109" s="38">
        <v>386.69299999999998</v>
      </c>
      <c r="L109" s="36">
        <v>45283</v>
      </c>
      <c r="M109" s="37">
        <v>117.1</v>
      </c>
      <c r="N109" s="38">
        <v>96</v>
      </c>
      <c r="O109" s="39">
        <v>0.70299999999999996</v>
      </c>
      <c r="P109" s="38">
        <v>6.58</v>
      </c>
      <c r="Q109" s="37">
        <v>126472.28</v>
      </c>
      <c r="R109" s="37">
        <v>100994.31</v>
      </c>
      <c r="S109" s="37">
        <v>183116.55</v>
      </c>
      <c r="T109" s="37">
        <f t="shared" si="4"/>
        <v>8292066733.6499996</v>
      </c>
      <c r="U109" s="38">
        <f t="shared" si="5"/>
        <v>8.2920667336499996</v>
      </c>
      <c r="W109" s="37"/>
    </row>
    <row r="110" spans="1:23" x14ac:dyDescent="0.25">
      <c r="A110" t="s">
        <v>3580</v>
      </c>
      <c r="B110" t="s">
        <v>3581</v>
      </c>
      <c r="C110" t="s">
        <v>3579</v>
      </c>
      <c r="D110" s="35">
        <v>0.41799999999999998</v>
      </c>
      <c r="E110" t="s">
        <v>3536</v>
      </c>
      <c r="F110">
        <v>-49.779456674142388</v>
      </c>
      <c r="G110">
        <v>-27.42053600184061</v>
      </c>
      <c r="H110">
        <v>1</v>
      </c>
      <c r="I110" s="36">
        <v>60000</v>
      </c>
      <c r="J110" s="37">
        <f t="shared" si="3"/>
        <v>60</v>
      </c>
      <c r="K110" s="38">
        <v>94.382999999999996</v>
      </c>
      <c r="L110" s="36">
        <v>3227</v>
      </c>
      <c r="M110" s="37">
        <v>34.19</v>
      </c>
      <c r="N110" s="38">
        <v>98.9</v>
      </c>
      <c r="O110" s="39">
        <v>0.73299999999999998</v>
      </c>
      <c r="P110" s="38">
        <v>26.32</v>
      </c>
      <c r="Q110" s="37">
        <v>15684.38</v>
      </c>
      <c r="R110" s="37">
        <v>13045</v>
      </c>
      <c r="S110" s="37">
        <v>39623.72</v>
      </c>
      <c r="T110" s="37">
        <f t="shared" si="4"/>
        <v>127865744.44</v>
      </c>
      <c r="U110" s="38">
        <f t="shared" si="5"/>
        <v>0.12786574443999998</v>
      </c>
      <c r="W110" s="37"/>
    </row>
    <row r="111" spans="1:23" x14ac:dyDescent="0.25">
      <c r="A111" t="s">
        <v>3582</v>
      </c>
      <c r="B111" t="s">
        <v>3583</v>
      </c>
      <c r="C111" t="s">
        <v>3579</v>
      </c>
      <c r="D111" s="35">
        <v>0.41799999999999998</v>
      </c>
      <c r="E111" t="s">
        <v>3536</v>
      </c>
      <c r="F111">
        <v>-49.643627907481779</v>
      </c>
      <c r="G111">
        <v>-27.299029494610359</v>
      </c>
      <c r="H111">
        <v>1</v>
      </c>
      <c r="I111" s="36">
        <v>1065500</v>
      </c>
      <c r="J111" s="37">
        <f t="shared" si="3"/>
        <v>1065.5</v>
      </c>
      <c r="K111" s="38">
        <v>207.04499999999999</v>
      </c>
      <c r="L111" s="36">
        <v>6780</v>
      </c>
      <c r="M111" s="37">
        <v>32.75</v>
      </c>
      <c r="N111" s="38">
        <v>99.3</v>
      </c>
      <c r="O111" s="39">
        <v>0.73299999999999998</v>
      </c>
      <c r="P111" s="38">
        <v>23.26</v>
      </c>
      <c r="Q111" s="37">
        <v>21639.19</v>
      </c>
      <c r="R111" s="37">
        <v>18239.060000000001</v>
      </c>
      <c r="S111" s="37">
        <v>71547.899999999994</v>
      </c>
      <c r="T111" s="37">
        <f t="shared" si="4"/>
        <v>485094761.99999994</v>
      </c>
      <c r="U111" s="38">
        <f t="shared" si="5"/>
        <v>0.48509476199999996</v>
      </c>
      <c r="W111" s="37"/>
    </row>
    <row r="112" spans="1:23" x14ac:dyDescent="0.25">
      <c r="A112" t="s">
        <v>3584</v>
      </c>
      <c r="B112" t="s">
        <v>3585</v>
      </c>
      <c r="C112" t="s">
        <v>3579</v>
      </c>
      <c r="D112" s="35">
        <v>0.41799999999999998</v>
      </c>
      <c r="E112" t="s">
        <v>3536</v>
      </c>
      <c r="F112">
        <v>-48.634617477026531</v>
      </c>
      <c r="G112">
        <v>-26.991818605254611</v>
      </c>
      <c r="H112">
        <v>7</v>
      </c>
      <c r="I112" s="36">
        <v>9009869</v>
      </c>
      <c r="J112" s="37">
        <f t="shared" si="3"/>
        <v>9009.8690000000006</v>
      </c>
      <c r="K112" s="38">
        <v>45.213999999999999</v>
      </c>
      <c r="L112" s="36">
        <v>139155</v>
      </c>
      <c r="M112" s="37">
        <v>3077.7</v>
      </c>
      <c r="N112" s="38">
        <v>98.3</v>
      </c>
      <c r="O112" s="39">
        <v>0.84499999999999997</v>
      </c>
      <c r="P112" s="38">
        <v>5.6</v>
      </c>
      <c r="Q112" s="37">
        <v>784576.9</v>
      </c>
      <c r="R112" s="37">
        <v>717713.61</v>
      </c>
      <c r="S112" s="37">
        <v>49301.41</v>
      </c>
      <c r="T112" s="37">
        <f t="shared" si="4"/>
        <v>6860537708.5500002</v>
      </c>
      <c r="U112" s="38">
        <f t="shared" si="5"/>
        <v>6.8605377085499999</v>
      </c>
      <c r="W112" s="37"/>
    </row>
    <row r="113" spans="1:23" x14ac:dyDescent="0.25">
      <c r="A113" t="s">
        <v>3586</v>
      </c>
      <c r="B113" t="s">
        <v>3587</v>
      </c>
      <c r="C113" t="s">
        <v>3579</v>
      </c>
      <c r="D113" s="35">
        <v>0.41799999999999998</v>
      </c>
      <c r="E113" t="s">
        <v>3536</v>
      </c>
      <c r="F113">
        <v>-48.654488928950599</v>
      </c>
      <c r="G113">
        <v>-27.494322743470011</v>
      </c>
      <c r="H113">
        <v>1</v>
      </c>
      <c r="I113" s="36">
        <v>144000</v>
      </c>
      <c r="J113" s="37">
        <f t="shared" si="3"/>
        <v>144</v>
      </c>
      <c r="K113" s="38">
        <v>365.755</v>
      </c>
      <c r="L113" s="36">
        <v>76773</v>
      </c>
      <c r="M113" s="37">
        <v>209.9</v>
      </c>
      <c r="N113" s="38">
        <v>96.9</v>
      </c>
      <c r="O113" s="39">
        <v>0.73899999999999999</v>
      </c>
      <c r="P113" s="38">
        <v>10.56</v>
      </c>
      <c r="Q113" s="37">
        <v>208037.65</v>
      </c>
      <c r="R113" s="37">
        <v>173495.01</v>
      </c>
      <c r="S113" s="37">
        <v>37884.910000000003</v>
      </c>
      <c r="T113" s="37">
        <f t="shared" si="4"/>
        <v>2908538195.4300003</v>
      </c>
      <c r="U113" s="38">
        <f t="shared" si="5"/>
        <v>2.9085381954300003</v>
      </c>
      <c r="W113" s="37"/>
    </row>
    <row r="114" spans="1:23" x14ac:dyDescent="0.25">
      <c r="A114" t="s">
        <v>3588</v>
      </c>
      <c r="B114" t="s">
        <v>3589</v>
      </c>
      <c r="C114" t="s">
        <v>3579</v>
      </c>
      <c r="D114" s="35">
        <v>0.41799999999999998</v>
      </c>
      <c r="E114" t="s">
        <v>3536</v>
      </c>
      <c r="F114">
        <v>-49.164547708948653</v>
      </c>
      <c r="G114">
        <v>-28.28003886734356</v>
      </c>
      <c r="H114">
        <v>1</v>
      </c>
      <c r="I114" s="36">
        <v>225416</v>
      </c>
      <c r="J114" s="37">
        <f t="shared" si="3"/>
        <v>225.416</v>
      </c>
      <c r="K114" s="38">
        <v>212.04499999999999</v>
      </c>
      <c r="L114" s="36">
        <v>33773</v>
      </c>
      <c r="M114" s="37">
        <v>159.27000000000001</v>
      </c>
      <c r="N114" s="38">
        <v>98.9</v>
      </c>
      <c r="O114" s="39">
        <v>0.77800000000000002</v>
      </c>
      <c r="P114" s="38">
        <v>11.56</v>
      </c>
      <c r="Q114" s="37">
        <v>86756.82</v>
      </c>
      <c r="R114" s="37">
        <v>74852.2</v>
      </c>
      <c r="S114" s="37">
        <v>50875.18</v>
      </c>
      <c r="T114" s="37">
        <f t="shared" si="4"/>
        <v>1718207454.1400001</v>
      </c>
      <c r="U114" s="38">
        <f t="shared" si="5"/>
        <v>1.7182074541400001</v>
      </c>
      <c r="W114" s="37"/>
    </row>
    <row r="115" spans="1:23" x14ac:dyDescent="0.25">
      <c r="A115" t="s">
        <v>3590</v>
      </c>
      <c r="B115" t="s">
        <v>3591</v>
      </c>
      <c r="C115" t="s">
        <v>3579</v>
      </c>
      <c r="D115" s="35">
        <v>0.41799999999999998</v>
      </c>
      <c r="E115" t="s">
        <v>3536</v>
      </c>
      <c r="F115">
        <v>-48.649995852100552</v>
      </c>
      <c r="G115">
        <v>-27.02645649923566</v>
      </c>
      <c r="H115">
        <v>8</v>
      </c>
      <c r="I115" s="36">
        <v>874828</v>
      </c>
      <c r="J115" s="37">
        <f t="shared" si="3"/>
        <v>874.82799999999997</v>
      </c>
      <c r="K115" s="38">
        <v>210.56800000000001</v>
      </c>
      <c r="L115" s="36">
        <v>103074</v>
      </c>
      <c r="M115" s="37">
        <v>489.5</v>
      </c>
      <c r="N115" s="38">
        <v>96.6</v>
      </c>
      <c r="O115" s="39">
        <v>0.72599999999999998</v>
      </c>
      <c r="P115" s="38">
        <v>14.85</v>
      </c>
      <c r="Q115" s="37">
        <v>184969.5</v>
      </c>
      <c r="R115" s="37">
        <v>156080.28</v>
      </c>
      <c r="S115" s="37">
        <v>25718.35</v>
      </c>
      <c r="T115" s="37">
        <f t="shared" si="4"/>
        <v>2650893207.8999996</v>
      </c>
      <c r="U115" s="38">
        <f t="shared" si="5"/>
        <v>2.6508932078999998</v>
      </c>
      <c r="W115" s="37"/>
    </row>
    <row r="116" spans="1:23" x14ac:dyDescent="0.25">
      <c r="A116" t="s">
        <v>3592</v>
      </c>
      <c r="B116" t="s">
        <v>3593</v>
      </c>
      <c r="C116" t="s">
        <v>3579</v>
      </c>
      <c r="D116" s="35">
        <v>0.41799999999999998</v>
      </c>
      <c r="E116" t="s">
        <v>3536</v>
      </c>
      <c r="F116">
        <v>-52.617031113413759</v>
      </c>
      <c r="G116">
        <v>-27.10683702153321</v>
      </c>
      <c r="H116">
        <v>2</v>
      </c>
      <c r="I116" s="36">
        <v>735998</v>
      </c>
      <c r="J116" s="37">
        <f t="shared" si="3"/>
        <v>735.99800000000005</v>
      </c>
      <c r="K116" s="38">
        <v>624.846</v>
      </c>
      <c r="L116" s="36">
        <v>254785</v>
      </c>
      <c r="M116" s="37">
        <v>407.76</v>
      </c>
      <c r="N116" s="38">
        <v>98.4</v>
      </c>
      <c r="O116" s="39">
        <v>0.79</v>
      </c>
      <c r="P116" s="38">
        <v>10.23</v>
      </c>
      <c r="Q116" s="37">
        <v>750226.84</v>
      </c>
      <c r="R116" s="37">
        <v>663703.31000000006</v>
      </c>
      <c r="S116" s="37">
        <v>60166.46</v>
      </c>
      <c r="T116" s="37">
        <f t="shared" si="4"/>
        <v>15329511511.1</v>
      </c>
      <c r="U116" s="38">
        <f t="shared" si="5"/>
        <v>15.3295115111</v>
      </c>
      <c r="W116" s="37"/>
    </row>
    <row r="117" spans="1:23" x14ac:dyDescent="0.25">
      <c r="A117" t="s">
        <v>3594</v>
      </c>
      <c r="B117" t="s">
        <v>3595</v>
      </c>
      <c r="C117" t="s">
        <v>3579</v>
      </c>
      <c r="D117" s="35">
        <v>0.41799999999999998</v>
      </c>
      <c r="E117" t="s">
        <v>3536</v>
      </c>
      <c r="F117">
        <v>-52.023971069748342</v>
      </c>
      <c r="G117">
        <v>-27.233658780053851</v>
      </c>
      <c r="H117">
        <v>1</v>
      </c>
      <c r="I117" s="36">
        <v>1024992</v>
      </c>
      <c r="J117" s="37">
        <f t="shared" si="3"/>
        <v>1024.992</v>
      </c>
      <c r="K117" s="38">
        <v>799.19399999999996</v>
      </c>
      <c r="L117" s="36">
        <v>81646</v>
      </c>
      <c r="M117" s="37">
        <v>102.16</v>
      </c>
      <c r="N117" s="38">
        <v>98.4</v>
      </c>
      <c r="O117" s="39">
        <v>0.8</v>
      </c>
      <c r="P117" s="38">
        <v>9.73</v>
      </c>
      <c r="Q117" s="37">
        <v>283391.48</v>
      </c>
      <c r="R117" s="37">
        <v>222561.86</v>
      </c>
      <c r="S117" s="37">
        <v>60241.75</v>
      </c>
      <c r="T117" s="37">
        <f t="shared" si="4"/>
        <v>4918497920.5</v>
      </c>
      <c r="U117" s="38">
        <f t="shared" si="5"/>
        <v>4.9184979205000001</v>
      </c>
      <c r="W117" s="37"/>
    </row>
    <row r="118" spans="1:23" x14ac:dyDescent="0.25">
      <c r="A118" t="s">
        <v>3596</v>
      </c>
      <c r="B118" t="s">
        <v>3597</v>
      </c>
      <c r="C118" t="s">
        <v>3579</v>
      </c>
      <c r="D118" s="35">
        <v>0.41799999999999998</v>
      </c>
      <c r="E118" t="s">
        <v>3536</v>
      </c>
      <c r="F118">
        <v>-49.36593955882217</v>
      </c>
      <c r="G118">
        <v>-28.67357225267466</v>
      </c>
      <c r="H118">
        <v>10</v>
      </c>
      <c r="I118" s="36">
        <v>1200312</v>
      </c>
      <c r="J118" s="37">
        <f t="shared" si="3"/>
        <v>1200.3119999999999</v>
      </c>
      <c r="K118" s="38">
        <v>234.86500000000001</v>
      </c>
      <c r="L118" s="36">
        <v>214493</v>
      </c>
      <c r="M118" s="37">
        <v>913.26</v>
      </c>
      <c r="N118" s="38">
        <v>98.5</v>
      </c>
      <c r="O118" s="39">
        <v>0.78800000000000003</v>
      </c>
      <c r="P118" s="38">
        <v>8.1199999999999992</v>
      </c>
      <c r="Q118" s="37">
        <v>703723.4</v>
      </c>
      <c r="R118" s="37">
        <v>621037.94999999995</v>
      </c>
      <c r="S118" s="37">
        <v>45871.13</v>
      </c>
      <c r="T118" s="37">
        <f t="shared" si="4"/>
        <v>9839036287.0900002</v>
      </c>
      <c r="U118" s="38">
        <f t="shared" si="5"/>
        <v>9.8390362870899999</v>
      </c>
      <c r="W118" s="37"/>
    </row>
    <row r="119" spans="1:23" x14ac:dyDescent="0.25">
      <c r="A119" t="s">
        <v>3598</v>
      </c>
      <c r="B119" t="s">
        <v>3599</v>
      </c>
      <c r="C119" t="s">
        <v>3579</v>
      </c>
      <c r="D119" s="35">
        <v>0.41799999999999998</v>
      </c>
      <c r="E119" t="s">
        <v>3536</v>
      </c>
      <c r="F119">
        <v>-53.631395122827257</v>
      </c>
      <c r="G119">
        <v>-26.266488533660301</v>
      </c>
      <c r="H119">
        <v>7</v>
      </c>
      <c r="I119" s="36">
        <v>18418967</v>
      </c>
      <c r="J119" s="37">
        <f t="shared" si="3"/>
        <v>18418.967000000001</v>
      </c>
      <c r="K119" s="38">
        <v>378.84300000000002</v>
      </c>
      <c r="L119" s="36">
        <v>15008</v>
      </c>
      <c r="M119" s="37">
        <v>39.619999999999997</v>
      </c>
      <c r="N119" s="38">
        <v>96.6</v>
      </c>
      <c r="O119" s="39">
        <v>0.70599999999999996</v>
      </c>
      <c r="P119" s="38">
        <v>10.47</v>
      </c>
      <c r="Q119" s="37">
        <v>49867.040000000001</v>
      </c>
      <c r="R119" s="37">
        <v>40662.6</v>
      </c>
      <c r="S119" s="37">
        <v>40805.410000000003</v>
      </c>
      <c r="T119" s="37">
        <f t="shared" si="4"/>
        <v>612407593.28000009</v>
      </c>
      <c r="U119" s="38">
        <f t="shared" si="5"/>
        <v>0.61240759328000005</v>
      </c>
      <c r="W119" s="37"/>
    </row>
    <row r="120" spans="1:23" x14ac:dyDescent="0.25">
      <c r="A120" t="s">
        <v>3600</v>
      </c>
      <c r="B120" t="s">
        <v>3601</v>
      </c>
      <c r="C120" t="s">
        <v>3579</v>
      </c>
      <c r="D120" s="35">
        <v>0.41799999999999998</v>
      </c>
      <c r="E120" t="s">
        <v>3536</v>
      </c>
      <c r="F120">
        <v>-48.547637378193343</v>
      </c>
      <c r="G120">
        <v>-27.587795548549959</v>
      </c>
      <c r="H120">
        <v>11</v>
      </c>
      <c r="I120" s="36">
        <v>4904528</v>
      </c>
      <c r="J120" s="37">
        <f t="shared" si="3"/>
        <v>4904.5280000000002</v>
      </c>
      <c r="K120" s="38">
        <v>674.84400000000005</v>
      </c>
      <c r="L120" s="36">
        <v>537211</v>
      </c>
      <c r="M120" s="37">
        <v>796.05</v>
      </c>
      <c r="N120" s="38">
        <v>98.4</v>
      </c>
      <c r="O120" s="39">
        <v>0.84699999999999998</v>
      </c>
      <c r="P120" s="38">
        <v>7.73</v>
      </c>
      <c r="Q120" s="37">
        <v>1756259.97</v>
      </c>
      <c r="R120" s="37">
        <v>1706736.75</v>
      </c>
      <c r="S120" s="37">
        <v>45602.98</v>
      </c>
      <c r="T120" s="37">
        <f t="shared" si="4"/>
        <v>24498422488.780003</v>
      </c>
      <c r="U120" s="38">
        <f t="shared" si="5"/>
        <v>24.498422488780001</v>
      </c>
      <c r="W120" s="37"/>
    </row>
    <row r="121" spans="1:23" x14ac:dyDescent="0.25">
      <c r="A121" t="s">
        <v>3602</v>
      </c>
      <c r="B121" t="s">
        <v>3603</v>
      </c>
      <c r="C121" t="s">
        <v>3579</v>
      </c>
      <c r="D121" s="35">
        <v>0.41799999999999998</v>
      </c>
      <c r="E121" t="s">
        <v>3536</v>
      </c>
      <c r="F121">
        <v>-50.925079235234612</v>
      </c>
      <c r="G121">
        <v>-27.02344696270605</v>
      </c>
      <c r="H121">
        <v>1</v>
      </c>
      <c r="I121" s="36">
        <v>14976</v>
      </c>
      <c r="J121" s="37">
        <f t="shared" si="3"/>
        <v>14.976000000000001</v>
      </c>
      <c r="K121" s="38">
        <v>549.18799999999999</v>
      </c>
      <c r="L121" s="36">
        <v>33481</v>
      </c>
      <c r="M121" s="37">
        <v>60.96</v>
      </c>
      <c r="N121" s="38">
        <v>98.1</v>
      </c>
      <c r="O121" s="39">
        <v>0.73099999999999998</v>
      </c>
      <c r="P121" s="38">
        <v>12.48</v>
      </c>
      <c r="Q121" s="37">
        <v>107350.48</v>
      </c>
      <c r="R121" s="37">
        <v>98842.93</v>
      </c>
      <c r="S121" s="37">
        <v>34677.269999999997</v>
      </c>
      <c r="T121" s="37">
        <f t="shared" si="4"/>
        <v>1161029676.8699999</v>
      </c>
      <c r="U121" s="38">
        <f t="shared" si="5"/>
        <v>1.1610296768699999</v>
      </c>
      <c r="W121" s="37"/>
    </row>
    <row r="122" spans="1:23" x14ac:dyDescent="0.25">
      <c r="A122" t="s">
        <v>3604</v>
      </c>
      <c r="B122" t="s">
        <v>3605</v>
      </c>
      <c r="C122" t="s">
        <v>3579</v>
      </c>
      <c r="D122" s="35">
        <v>0.41799999999999998</v>
      </c>
      <c r="E122" t="s">
        <v>3536</v>
      </c>
      <c r="F122">
        <v>-48.96770656812631</v>
      </c>
      <c r="G122">
        <v>-26.918368514237748</v>
      </c>
      <c r="H122">
        <v>9</v>
      </c>
      <c r="I122" s="36">
        <v>10876728</v>
      </c>
      <c r="J122" s="37">
        <f t="shared" si="3"/>
        <v>10876.727999999999</v>
      </c>
      <c r="K122" s="38">
        <v>386.61599999999999</v>
      </c>
      <c r="L122" s="36">
        <v>72570</v>
      </c>
      <c r="M122" s="37">
        <v>187.71</v>
      </c>
      <c r="N122" s="38">
        <v>97.3</v>
      </c>
      <c r="O122" s="39">
        <v>0.76500000000000001</v>
      </c>
      <c r="P122" s="38">
        <v>12.31</v>
      </c>
      <c r="Q122" s="37">
        <v>213043.05</v>
      </c>
      <c r="R122" s="37">
        <v>173394.29</v>
      </c>
      <c r="S122" s="37">
        <v>57793.4</v>
      </c>
      <c r="T122" s="37">
        <f t="shared" si="4"/>
        <v>4194067038</v>
      </c>
      <c r="U122" s="38">
        <f t="shared" si="5"/>
        <v>4.194067038</v>
      </c>
      <c r="W122" s="37"/>
    </row>
    <row r="123" spans="1:23" x14ac:dyDescent="0.25">
      <c r="A123" t="s">
        <v>3606</v>
      </c>
      <c r="B123" t="s">
        <v>3607</v>
      </c>
      <c r="C123" t="s">
        <v>3579</v>
      </c>
      <c r="D123" s="35">
        <v>0.41799999999999998</v>
      </c>
      <c r="E123" t="s">
        <v>3536</v>
      </c>
      <c r="F123">
        <v>-48.825014006389573</v>
      </c>
      <c r="G123">
        <v>-26.904625183216702</v>
      </c>
      <c r="H123">
        <v>5</v>
      </c>
      <c r="I123" s="36">
        <v>1771203</v>
      </c>
      <c r="J123" s="37">
        <f t="shared" si="3"/>
        <v>1771.203</v>
      </c>
      <c r="K123" s="38">
        <v>253.024</v>
      </c>
      <c r="L123" s="36">
        <v>17046</v>
      </c>
      <c r="M123" s="37">
        <v>67.37</v>
      </c>
      <c r="N123" s="38">
        <v>97</v>
      </c>
      <c r="O123" s="39">
        <v>0.73799999999999999</v>
      </c>
      <c r="P123" s="38">
        <v>10.99</v>
      </c>
      <c r="Q123" s="37">
        <v>48167.4</v>
      </c>
      <c r="R123" s="37">
        <v>44999.5</v>
      </c>
      <c r="S123" s="37">
        <v>83624.84</v>
      </c>
      <c r="T123" s="37">
        <f t="shared" si="4"/>
        <v>1425469022.6399999</v>
      </c>
      <c r="U123" s="38">
        <f t="shared" si="5"/>
        <v>1.42546902264</v>
      </c>
      <c r="W123" s="37"/>
    </row>
    <row r="124" spans="1:23" x14ac:dyDescent="0.25">
      <c r="A124" t="s">
        <v>3608</v>
      </c>
      <c r="B124" t="s">
        <v>3609</v>
      </c>
      <c r="C124" t="s">
        <v>3579</v>
      </c>
      <c r="D124" s="35">
        <v>0.41799999999999998</v>
      </c>
      <c r="E124" t="s">
        <v>3536</v>
      </c>
      <c r="F124">
        <v>-52.329182516327151</v>
      </c>
      <c r="G124">
        <v>-27.281778717475909</v>
      </c>
      <c r="H124">
        <v>1</v>
      </c>
      <c r="I124" s="36">
        <v>260230</v>
      </c>
      <c r="J124" s="37">
        <f t="shared" si="3"/>
        <v>260.23</v>
      </c>
      <c r="K124" s="38">
        <v>166.26499999999999</v>
      </c>
      <c r="L124" s="36">
        <v>7067</v>
      </c>
      <c r="M124" s="37">
        <v>42.5</v>
      </c>
      <c r="N124" s="38">
        <v>98.4</v>
      </c>
      <c r="O124" s="39">
        <v>0.77100000000000002</v>
      </c>
      <c r="P124" s="38">
        <v>13.16</v>
      </c>
      <c r="Q124" s="37">
        <v>47396.97</v>
      </c>
      <c r="R124" s="37">
        <v>39171.81</v>
      </c>
      <c r="S124" s="37">
        <v>66440.039999999994</v>
      </c>
      <c r="T124" s="37">
        <f t="shared" si="4"/>
        <v>469531762.67999995</v>
      </c>
      <c r="U124" s="38">
        <f t="shared" si="5"/>
        <v>0.46953176267999996</v>
      </c>
      <c r="V124" s="38"/>
      <c r="W124" s="37"/>
    </row>
    <row r="125" spans="1:23" x14ac:dyDescent="0.25">
      <c r="A125" t="s">
        <v>3610</v>
      </c>
      <c r="B125" t="s">
        <v>3611</v>
      </c>
      <c r="C125" t="s">
        <v>3579</v>
      </c>
      <c r="D125" s="35">
        <v>0.41799999999999998</v>
      </c>
      <c r="E125" t="s">
        <v>3536</v>
      </c>
      <c r="F125">
        <v>-48.657023208348832</v>
      </c>
      <c r="G125">
        <v>-26.907426239799459</v>
      </c>
      <c r="H125">
        <v>18</v>
      </c>
      <c r="I125" s="36">
        <v>119675479</v>
      </c>
      <c r="J125" s="37">
        <f t="shared" si="3"/>
        <v>119675.47900000001</v>
      </c>
      <c r="K125" s="38">
        <v>289.21499999999997</v>
      </c>
      <c r="L125" s="36">
        <v>264054</v>
      </c>
      <c r="M125" s="37">
        <v>913</v>
      </c>
      <c r="N125" s="38">
        <v>97.9</v>
      </c>
      <c r="O125" s="39">
        <v>0.79500000000000004</v>
      </c>
      <c r="P125" s="38">
        <v>10.79</v>
      </c>
      <c r="Q125" s="37">
        <v>1379945.87</v>
      </c>
      <c r="R125" s="37">
        <v>1131925.77</v>
      </c>
      <c r="S125" s="37">
        <v>210729.12</v>
      </c>
      <c r="T125" s="37">
        <f t="shared" si="4"/>
        <v>55643867052.479996</v>
      </c>
      <c r="U125" s="38">
        <f t="shared" si="5"/>
        <v>55.643867052479997</v>
      </c>
      <c r="W125" s="37"/>
    </row>
    <row r="126" spans="1:23" x14ac:dyDescent="0.25">
      <c r="A126" t="s">
        <v>3612</v>
      </c>
      <c r="B126" t="s">
        <v>3613</v>
      </c>
      <c r="C126" t="s">
        <v>3579</v>
      </c>
      <c r="D126" s="35">
        <v>0.41799999999999998</v>
      </c>
      <c r="E126" t="s">
        <v>3536</v>
      </c>
      <c r="F126">
        <v>-48.617399386142267</v>
      </c>
      <c r="G126">
        <v>-27.0959378836856</v>
      </c>
      <c r="H126">
        <v>4</v>
      </c>
      <c r="I126" s="36">
        <v>4649768</v>
      </c>
      <c r="J126" s="37">
        <f t="shared" si="3"/>
        <v>4649.768</v>
      </c>
      <c r="K126" s="38">
        <v>58.21</v>
      </c>
      <c r="L126" s="36">
        <v>75940</v>
      </c>
      <c r="M126" s="37">
        <v>1304.5899999999999</v>
      </c>
      <c r="N126" s="38">
        <v>98</v>
      </c>
      <c r="O126" s="39">
        <v>0.79600000000000004</v>
      </c>
      <c r="P126" s="38">
        <v>11.8</v>
      </c>
      <c r="Q126" s="37">
        <v>205178.78</v>
      </c>
      <c r="R126" s="37">
        <v>178203.82</v>
      </c>
      <c r="S126" s="37">
        <v>41670.53</v>
      </c>
      <c r="T126" s="37">
        <f t="shared" si="4"/>
        <v>3164460048.1999998</v>
      </c>
      <c r="U126" s="38">
        <f t="shared" si="5"/>
        <v>3.1644600481999996</v>
      </c>
      <c r="V126" s="38"/>
      <c r="W126" s="37"/>
    </row>
    <row r="127" spans="1:23" x14ac:dyDescent="0.25">
      <c r="A127" t="s">
        <v>3614</v>
      </c>
      <c r="B127" t="s">
        <v>3615</v>
      </c>
      <c r="C127" t="s">
        <v>3579</v>
      </c>
      <c r="D127" s="35">
        <v>0.41799999999999998</v>
      </c>
      <c r="E127" t="s">
        <v>3536</v>
      </c>
      <c r="F127">
        <v>-49.603414701132962</v>
      </c>
      <c r="G127">
        <v>-27.414858490667449</v>
      </c>
      <c r="H127">
        <v>1</v>
      </c>
      <c r="I127" s="36">
        <v>1068520</v>
      </c>
      <c r="J127" s="37">
        <f t="shared" si="3"/>
        <v>1068.52</v>
      </c>
      <c r="K127" s="38">
        <v>336.58800000000002</v>
      </c>
      <c r="L127" s="36">
        <v>26525</v>
      </c>
      <c r="M127" s="37">
        <v>78.81</v>
      </c>
      <c r="N127" s="38">
        <v>98</v>
      </c>
      <c r="O127" s="39">
        <v>0.748</v>
      </c>
      <c r="P127" s="38">
        <v>12.08</v>
      </c>
      <c r="Q127" s="37">
        <v>70048.27</v>
      </c>
      <c r="R127" s="37">
        <v>66529.56</v>
      </c>
      <c r="S127" s="37">
        <v>54630.43</v>
      </c>
      <c r="T127" s="37">
        <f t="shared" si="4"/>
        <v>1449072155.75</v>
      </c>
      <c r="U127" s="38">
        <f t="shared" si="5"/>
        <v>1.4490721557499999</v>
      </c>
      <c r="W127" s="37"/>
    </row>
    <row r="128" spans="1:23" x14ac:dyDescent="0.25">
      <c r="A128" t="s">
        <v>3616</v>
      </c>
      <c r="B128" t="s">
        <v>3617</v>
      </c>
      <c r="C128" t="s">
        <v>3579</v>
      </c>
      <c r="D128" s="35">
        <v>0.41799999999999998</v>
      </c>
      <c r="E128" t="s">
        <v>3536</v>
      </c>
      <c r="F128">
        <v>-49.076298822802237</v>
      </c>
      <c r="G128">
        <v>-26.49048434941351</v>
      </c>
      <c r="H128">
        <v>12</v>
      </c>
      <c r="I128" s="36">
        <v>9463714</v>
      </c>
      <c r="J128" s="37">
        <f t="shared" si="3"/>
        <v>9463.7139999999999</v>
      </c>
      <c r="K128" s="38">
        <v>530.89400000000001</v>
      </c>
      <c r="L128" s="36">
        <v>182660</v>
      </c>
      <c r="M128" s="37">
        <v>344.06</v>
      </c>
      <c r="N128" s="38">
        <v>98.3</v>
      </c>
      <c r="O128" s="39">
        <v>0.80300000000000005</v>
      </c>
      <c r="P128" s="38">
        <v>6.24</v>
      </c>
      <c r="Q128" s="37">
        <v>808446.42</v>
      </c>
      <c r="R128" s="37">
        <v>641960.81999999995</v>
      </c>
      <c r="S128" s="37">
        <v>65295.54</v>
      </c>
      <c r="T128" s="37">
        <f t="shared" si="4"/>
        <v>11926883336.4</v>
      </c>
      <c r="U128" s="38">
        <f t="shared" si="5"/>
        <v>11.9268833364</v>
      </c>
      <c r="W128" s="37"/>
    </row>
    <row r="129" spans="1:23" x14ac:dyDescent="0.25">
      <c r="A129" t="s">
        <v>3618</v>
      </c>
      <c r="B129" t="s">
        <v>3619</v>
      </c>
      <c r="C129" t="s">
        <v>3579</v>
      </c>
      <c r="D129" s="35">
        <v>0.41799999999999998</v>
      </c>
      <c r="E129" t="s">
        <v>3536</v>
      </c>
      <c r="F129">
        <v>-48.84940914323797</v>
      </c>
      <c r="G129">
        <v>-26.304517648654059</v>
      </c>
      <c r="H129">
        <v>8</v>
      </c>
      <c r="I129" s="36">
        <v>1982315</v>
      </c>
      <c r="J129" s="37">
        <f t="shared" si="3"/>
        <v>1982.3150000000001</v>
      </c>
      <c r="K129" s="38">
        <v>1127.9469999999999</v>
      </c>
      <c r="L129" s="36">
        <v>616317</v>
      </c>
      <c r="M129" s="37">
        <v>546.41</v>
      </c>
      <c r="N129" s="38">
        <v>97.3</v>
      </c>
      <c r="O129" s="39">
        <v>0.80900000000000005</v>
      </c>
      <c r="P129" s="38">
        <v>6.54</v>
      </c>
      <c r="Q129" s="37">
        <v>2280394.17</v>
      </c>
      <c r="R129" s="37">
        <v>1907863.94</v>
      </c>
      <c r="S129" s="37">
        <v>74531.62</v>
      </c>
      <c r="T129" s="37">
        <f t="shared" si="4"/>
        <v>45935104443.540001</v>
      </c>
      <c r="U129" s="38">
        <f t="shared" si="5"/>
        <v>45.935104443539998</v>
      </c>
      <c r="W129" s="37"/>
    </row>
    <row r="130" spans="1:23" x14ac:dyDescent="0.25">
      <c r="A130" t="s">
        <v>3620</v>
      </c>
      <c r="B130" t="s">
        <v>3621</v>
      </c>
      <c r="C130" t="s">
        <v>3579</v>
      </c>
      <c r="D130" s="35">
        <v>0.41799999999999998</v>
      </c>
      <c r="E130" t="s">
        <v>3536</v>
      </c>
      <c r="F130">
        <v>-50.330222424189508</v>
      </c>
      <c r="G130">
        <v>-27.8172594631137</v>
      </c>
      <c r="H130">
        <v>1</v>
      </c>
      <c r="I130" s="36">
        <v>249600</v>
      </c>
      <c r="J130" s="37">
        <f t="shared" si="3"/>
        <v>249.6</v>
      </c>
      <c r="K130" s="38">
        <v>2637.66</v>
      </c>
      <c r="L130" s="36">
        <v>164981</v>
      </c>
      <c r="M130" s="37">
        <v>62.55</v>
      </c>
      <c r="N130" s="38">
        <v>97.3</v>
      </c>
      <c r="O130" s="39">
        <v>0.77</v>
      </c>
      <c r="P130" s="38">
        <v>13.33</v>
      </c>
      <c r="Q130" s="37">
        <v>575551.53</v>
      </c>
      <c r="R130" s="37">
        <v>512302.6</v>
      </c>
      <c r="S130" s="37">
        <v>41846.269999999997</v>
      </c>
      <c r="T130" s="37">
        <f t="shared" si="4"/>
        <v>6903839470.8699999</v>
      </c>
      <c r="U130" s="38">
        <f t="shared" si="5"/>
        <v>6.9038394708699995</v>
      </c>
      <c r="W130" s="37"/>
    </row>
    <row r="131" spans="1:23" x14ac:dyDescent="0.25">
      <c r="A131" t="s">
        <v>3622</v>
      </c>
      <c r="B131" t="s">
        <v>3623</v>
      </c>
      <c r="C131" t="s">
        <v>3579</v>
      </c>
      <c r="D131" s="35">
        <v>0.41799999999999998</v>
      </c>
      <c r="E131" t="s">
        <v>3536</v>
      </c>
      <c r="F131">
        <v>-49.801037528269212</v>
      </c>
      <c r="G131">
        <v>-26.11522849425365</v>
      </c>
      <c r="H131">
        <v>1</v>
      </c>
      <c r="I131" s="36">
        <v>62500</v>
      </c>
      <c r="J131" s="37">
        <f t="shared" ref="J131:J164" si="6">I131/1000</f>
        <v>62.5</v>
      </c>
      <c r="K131" s="38">
        <v>1404.0840000000001</v>
      </c>
      <c r="L131" s="36">
        <v>55286</v>
      </c>
      <c r="M131" s="37">
        <v>39.380000000000003</v>
      </c>
      <c r="N131" s="38">
        <v>98.9</v>
      </c>
      <c r="O131" s="39">
        <v>0.77700000000000002</v>
      </c>
      <c r="P131" s="38">
        <v>13.39</v>
      </c>
      <c r="Q131" s="37">
        <v>161520.26</v>
      </c>
      <c r="R131" s="37">
        <v>152602.60999999999</v>
      </c>
      <c r="S131" s="37">
        <v>43817.87</v>
      </c>
      <c r="T131" s="37">
        <f t="shared" ref="T131:T164" si="7">L131*S131</f>
        <v>2422514760.8200002</v>
      </c>
      <c r="U131" s="38">
        <f t="shared" ref="U131:U164" si="8">T131/10^9</f>
        <v>2.4225147608200004</v>
      </c>
      <c r="W131" s="37"/>
    </row>
    <row r="132" spans="1:23" x14ac:dyDescent="0.25">
      <c r="A132" t="s">
        <v>3624</v>
      </c>
      <c r="B132" t="s">
        <v>3625</v>
      </c>
      <c r="C132" t="s">
        <v>3579</v>
      </c>
      <c r="D132" s="35">
        <v>0.41799999999999998</v>
      </c>
      <c r="E132" t="s">
        <v>3536</v>
      </c>
      <c r="F132">
        <v>-48.649182902509139</v>
      </c>
      <c r="G132">
        <v>-26.897439119271159</v>
      </c>
      <c r="H132">
        <v>6</v>
      </c>
      <c r="I132" s="36">
        <v>14765449</v>
      </c>
      <c r="J132" s="37">
        <f t="shared" si="6"/>
        <v>14765.449000000001</v>
      </c>
      <c r="K132" s="38">
        <v>111.377</v>
      </c>
      <c r="L132" s="36">
        <v>86401</v>
      </c>
      <c r="M132" s="37">
        <v>775.75</v>
      </c>
      <c r="N132" s="38">
        <v>97.4</v>
      </c>
      <c r="O132" s="39">
        <v>0.73599999999999999</v>
      </c>
      <c r="P132" s="38">
        <v>8.4499999999999993</v>
      </c>
      <c r="Q132" s="37">
        <v>287994.21000000002</v>
      </c>
      <c r="R132" s="37">
        <v>231927.2</v>
      </c>
      <c r="S132" s="37">
        <v>71643.41</v>
      </c>
      <c r="T132" s="37">
        <f t="shared" si="7"/>
        <v>6190062267.4099998</v>
      </c>
      <c r="U132" s="38">
        <f t="shared" si="8"/>
        <v>6.1900622674100001</v>
      </c>
      <c r="W132" s="37"/>
    </row>
    <row r="133" spans="1:23" x14ac:dyDescent="0.25">
      <c r="A133" t="s">
        <v>3626</v>
      </c>
      <c r="B133" t="s">
        <v>3627</v>
      </c>
      <c r="C133" t="s">
        <v>3579</v>
      </c>
      <c r="D133" s="35">
        <v>0.41799999999999998</v>
      </c>
      <c r="E133" t="s">
        <v>3536</v>
      </c>
      <c r="F133">
        <v>-48.670287918712241</v>
      </c>
      <c r="G133">
        <v>-27.647043683690701</v>
      </c>
      <c r="H133">
        <v>4</v>
      </c>
      <c r="I133" s="36">
        <v>262519</v>
      </c>
      <c r="J133" s="37">
        <f t="shared" si="6"/>
        <v>262.51900000000001</v>
      </c>
      <c r="K133" s="38">
        <v>394.85</v>
      </c>
      <c r="L133" s="36">
        <v>222598</v>
      </c>
      <c r="M133" s="37">
        <v>563.75</v>
      </c>
      <c r="N133" s="38">
        <v>97.6</v>
      </c>
      <c r="O133" s="39">
        <v>0.75700000000000001</v>
      </c>
      <c r="P133" s="38">
        <v>9.49</v>
      </c>
      <c r="Q133" s="37">
        <v>502990.73</v>
      </c>
      <c r="R133" s="37">
        <v>418845.22</v>
      </c>
      <c r="S133" s="37">
        <v>45940.71</v>
      </c>
      <c r="T133" s="37">
        <f t="shared" si="7"/>
        <v>10226310164.58</v>
      </c>
      <c r="U133" s="38">
        <f t="shared" si="8"/>
        <v>10.226310164579999</v>
      </c>
      <c r="W133" s="37"/>
    </row>
    <row r="134" spans="1:23" x14ac:dyDescent="0.25">
      <c r="A134" t="s">
        <v>3628</v>
      </c>
      <c r="B134" t="s">
        <v>3629</v>
      </c>
      <c r="C134" t="s">
        <v>3579</v>
      </c>
      <c r="D134" s="35">
        <v>0.41799999999999998</v>
      </c>
      <c r="E134" t="s">
        <v>3536</v>
      </c>
      <c r="F134">
        <v>-48.647572911269833</v>
      </c>
      <c r="G134">
        <v>-26.768861092743251</v>
      </c>
      <c r="H134">
        <v>1</v>
      </c>
      <c r="I134" s="36">
        <v>94692</v>
      </c>
      <c r="J134" s="37">
        <f t="shared" si="6"/>
        <v>94.691999999999993</v>
      </c>
      <c r="K134" s="38">
        <v>57.752000000000002</v>
      </c>
      <c r="L134" s="36">
        <v>33663</v>
      </c>
      <c r="M134" s="37">
        <v>582.89</v>
      </c>
      <c r="N134" s="38">
        <v>97.6</v>
      </c>
      <c r="O134" s="39">
        <v>0.74299999999999999</v>
      </c>
      <c r="P134" s="38">
        <v>6.86</v>
      </c>
      <c r="Q134" s="37">
        <v>84016.71</v>
      </c>
      <c r="R134" s="37">
        <v>71239.63</v>
      </c>
      <c r="S134" s="37">
        <v>30475.02</v>
      </c>
      <c r="T134" s="37">
        <f t="shared" si="7"/>
        <v>1025880598.26</v>
      </c>
      <c r="U134" s="38">
        <f t="shared" si="8"/>
        <v>1.0258805982599999</v>
      </c>
      <c r="W134" s="37"/>
    </row>
    <row r="135" spans="1:23" x14ac:dyDescent="0.25">
      <c r="A135" t="s">
        <v>3630</v>
      </c>
      <c r="B135" t="s">
        <v>3631</v>
      </c>
      <c r="C135" t="s">
        <v>3579</v>
      </c>
      <c r="D135" s="35">
        <v>0.41799999999999998</v>
      </c>
      <c r="E135" t="s">
        <v>3536</v>
      </c>
      <c r="F135">
        <v>-48.637570758174533</v>
      </c>
      <c r="G135">
        <v>-26.244017884154012</v>
      </c>
      <c r="H135">
        <v>1</v>
      </c>
      <c r="I135" s="36">
        <v>328647</v>
      </c>
      <c r="J135" s="37">
        <f t="shared" si="6"/>
        <v>328.64699999999999</v>
      </c>
      <c r="K135" s="38">
        <v>493.26600000000002</v>
      </c>
      <c r="L135" s="36">
        <v>52674</v>
      </c>
      <c r="M135" s="37">
        <v>106.79</v>
      </c>
      <c r="N135" s="38">
        <v>98.5</v>
      </c>
      <c r="O135" s="39">
        <v>0.76200000000000001</v>
      </c>
      <c r="P135" s="38">
        <v>16.05</v>
      </c>
      <c r="Q135" s="37">
        <v>256943.68</v>
      </c>
      <c r="R135" s="37">
        <v>212928.61</v>
      </c>
      <c r="S135" s="37">
        <v>155542.28</v>
      </c>
      <c r="T135" s="37">
        <f>L135*S135</f>
        <v>8193034056.7200003</v>
      </c>
      <c r="U135" s="38">
        <f t="shared" si="8"/>
        <v>8.1930340567200002</v>
      </c>
      <c r="W135" s="37"/>
    </row>
    <row r="136" spans="1:23" x14ac:dyDescent="0.25">
      <c r="A136" t="s">
        <v>3632</v>
      </c>
      <c r="B136" t="s">
        <v>3633</v>
      </c>
      <c r="C136" t="s">
        <v>3579</v>
      </c>
      <c r="D136" s="35">
        <v>0.41799999999999998</v>
      </c>
      <c r="E136" t="s">
        <v>3536</v>
      </c>
      <c r="F136">
        <v>-48.616022715866407</v>
      </c>
      <c r="G136">
        <v>-27.590312077248701</v>
      </c>
      <c r="H136">
        <v>11</v>
      </c>
      <c r="I136" s="36">
        <v>5128926</v>
      </c>
      <c r="J136" s="37">
        <f t="shared" si="6"/>
        <v>5128.9260000000004</v>
      </c>
      <c r="K136" s="38">
        <v>150.499</v>
      </c>
      <c r="L136" s="36">
        <v>270299</v>
      </c>
      <c r="M136" s="37">
        <v>1796.02</v>
      </c>
      <c r="N136" s="38">
        <v>97.5</v>
      </c>
      <c r="O136" s="39">
        <v>0.80900000000000005</v>
      </c>
      <c r="P136" s="38">
        <v>7.96</v>
      </c>
      <c r="Q136" s="37">
        <v>688207.81</v>
      </c>
      <c r="R136" s="37">
        <v>561868.82999999996</v>
      </c>
      <c r="S136" s="37">
        <v>54544.43</v>
      </c>
      <c r="T136" s="37">
        <f t="shared" si="7"/>
        <v>14743304884.57</v>
      </c>
      <c r="U136" s="38">
        <f t="shared" si="8"/>
        <v>14.74330488457</v>
      </c>
      <c r="W136" s="37"/>
    </row>
    <row r="137" spans="1:23" x14ac:dyDescent="0.25">
      <c r="A137" t="s">
        <v>3634</v>
      </c>
      <c r="B137" t="s">
        <v>3635</v>
      </c>
      <c r="C137" t="s">
        <v>3579</v>
      </c>
      <c r="D137" s="35">
        <v>0.41799999999999998</v>
      </c>
      <c r="E137" t="s">
        <v>3536</v>
      </c>
      <c r="F137">
        <v>-52.302854827990522</v>
      </c>
      <c r="G137">
        <v>-27.1456976228746</v>
      </c>
      <c r="H137">
        <v>1</v>
      </c>
      <c r="I137" s="36">
        <v>47760</v>
      </c>
      <c r="J137" s="37">
        <f t="shared" si="6"/>
        <v>47.76</v>
      </c>
      <c r="K137" s="38">
        <v>309.62700000000001</v>
      </c>
      <c r="L137" s="36">
        <v>18620</v>
      </c>
      <c r="M137" s="37">
        <v>60.14</v>
      </c>
      <c r="N137" s="38">
        <v>98.6</v>
      </c>
      <c r="O137" s="39">
        <v>0.77900000000000003</v>
      </c>
      <c r="P137" s="38">
        <v>22.22</v>
      </c>
      <c r="Q137" s="37">
        <v>61699.360000000001</v>
      </c>
      <c r="R137" s="37">
        <v>51631.85</v>
      </c>
      <c r="S137" s="37">
        <v>66924.22</v>
      </c>
      <c r="T137" s="37">
        <f t="shared" si="7"/>
        <v>1246128976.4000001</v>
      </c>
      <c r="U137" s="38">
        <f t="shared" si="8"/>
        <v>1.2461289764000001</v>
      </c>
      <c r="W137" s="37"/>
    </row>
    <row r="138" spans="1:23" x14ac:dyDescent="0.25">
      <c r="A138" t="s">
        <v>3636</v>
      </c>
      <c r="B138" t="s">
        <v>3637</v>
      </c>
      <c r="C138" t="s">
        <v>3579</v>
      </c>
      <c r="D138" s="35">
        <v>0.41799999999999998</v>
      </c>
      <c r="E138" t="s">
        <v>3536</v>
      </c>
      <c r="F138">
        <v>-48.632070563869597</v>
      </c>
      <c r="G138">
        <v>-27.23945360721056</v>
      </c>
      <c r="H138">
        <v>2</v>
      </c>
      <c r="I138" s="36">
        <v>449061</v>
      </c>
      <c r="J138" s="37">
        <f t="shared" si="6"/>
        <v>449.06099999999998</v>
      </c>
      <c r="K138" s="38">
        <v>279.15899999999999</v>
      </c>
      <c r="L138" s="36">
        <v>51592</v>
      </c>
      <c r="M138" s="37">
        <v>184.81</v>
      </c>
      <c r="N138" s="38">
        <v>96.5</v>
      </c>
      <c r="O138" s="39">
        <v>0.76</v>
      </c>
      <c r="P138" s="38">
        <v>7.71</v>
      </c>
      <c r="Q138" s="37">
        <v>132110.39000000001</v>
      </c>
      <c r="R138" s="37">
        <v>105594.96</v>
      </c>
      <c r="S138" s="37">
        <v>61114.71</v>
      </c>
      <c r="T138" s="37">
        <f t="shared" si="7"/>
        <v>3153030118.3200002</v>
      </c>
      <c r="U138" s="38">
        <f t="shared" si="8"/>
        <v>3.1530301183200002</v>
      </c>
      <c r="W138" s="37"/>
    </row>
    <row r="139" spans="1:23" x14ac:dyDescent="0.25">
      <c r="A139" t="s">
        <v>3638</v>
      </c>
      <c r="B139" t="s">
        <v>3639</v>
      </c>
      <c r="C139" t="s">
        <v>3579</v>
      </c>
      <c r="D139" s="35">
        <v>0.41799999999999998</v>
      </c>
      <c r="E139" t="s">
        <v>3536</v>
      </c>
      <c r="F139">
        <v>-50.305419367994787</v>
      </c>
      <c r="G139">
        <v>-26.11409633676001</v>
      </c>
      <c r="H139">
        <v>1</v>
      </c>
      <c r="I139" s="36">
        <v>1790530</v>
      </c>
      <c r="J139" s="37">
        <f t="shared" si="6"/>
        <v>1790.53</v>
      </c>
      <c r="K139" s="38">
        <v>436.49599999999998</v>
      </c>
      <c r="L139" s="36">
        <v>19746</v>
      </c>
      <c r="M139" s="37">
        <v>45.24</v>
      </c>
      <c r="N139" s="38">
        <v>96.2</v>
      </c>
      <c r="O139" s="39">
        <v>0.70599999999999996</v>
      </c>
      <c r="P139" s="38">
        <v>21.41</v>
      </c>
      <c r="Q139" s="37">
        <v>78178.12</v>
      </c>
      <c r="R139" s="37">
        <v>61047.07</v>
      </c>
      <c r="S139" s="37">
        <v>78265.31</v>
      </c>
      <c r="T139" s="37">
        <f t="shared" si="7"/>
        <v>1545426811.26</v>
      </c>
      <c r="U139" s="38">
        <f t="shared" si="8"/>
        <v>1.54542681126</v>
      </c>
      <c r="W139" s="37"/>
    </row>
    <row r="140" spans="1:23" x14ac:dyDescent="0.25">
      <c r="A140" t="s">
        <v>3640</v>
      </c>
      <c r="B140" t="s">
        <v>3641</v>
      </c>
      <c r="C140" t="s">
        <v>3579</v>
      </c>
      <c r="D140" s="35">
        <v>0.41799999999999998</v>
      </c>
      <c r="E140" t="s">
        <v>3536</v>
      </c>
      <c r="F140">
        <v>-49.588205611104243</v>
      </c>
      <c r="G140">
        <v>-28.004554912032859</v>
      </c>
      <c r="H140">
        <v>1</v>
      </c>
      <c r="I140" s="36">
        <v>104000</v>
      </c>
      <c r="J140" s="37">
        <f t="shared" si="6"/>
        <v>104</v>
      </c>
      <c r="K140" s="38">
        <v>1021.371</v>
      </c>
      <c r="L140" s="36">
        <v>10834</v>
      </c>
      <c r="M140" s="37">
        <v>10.61</v>
      </c>
      <c r="N140" s="38">
        <v>96.7</v>
      </c>
      <c r="O140" s="39">
        <v>0.69399999999999995</v>
      </c>
      <c r="P140" s="38">
        <v>17.7</v>
      </c>
      <c r="Q140" s="37">
        <v>32895.54</v>
      </c>
      <c r="R140" s="37">
        <v>29464.79</v>
      </c>
      <c r="S140" s="37">
        <v>31497.18</v>
      </c>
      <c r="T140" s="37">
        <f t="shared" si="7"/>
        <v>341240448.12</v>
      </c>
      <c r="U140" s="38">
        <f t="shared" si="8"/>
        <v>0.34124044811999998</v>
      </c>
      <c r="W140" s="37"/>
    </row>
    <row r="141" spans="1:23" x14ac:dyDescent="0.25">
      <c r="A141" t="s">
        <v>3642</v>
      </c>
      <c r="B141" t="s">
        <v>3643</v>
      </c>
      <c r="C141" t="s">
        <v>3579</v>
      </c>
      <c r="D141" s="35">
        <v>0.41799999999999998</v>
      </c>
      <c r="E141" t="s">
        <v>3536</v>
      </c>
      <c r="F141">
        <v>-49.36821917261144</v>
      </c>
      <c r="G141">
        <v>-27.395778698688051</v>
      </c>
      <c r="H141">
        <v>1</v>
      </c>
      <c r="I141" s="36">
        <v>5141680</v>
      </c>
      <c r="J141" s="37">
        <f t="shared" si="6"/>
        <v>5141.68</v>
      </c>
      <c r="K141" s="38">
        <v>346.93200000000002</v>
      </c>
      <c r="L141" s="36">
        <v>6189</v>
      </c>
      <c r="M141" s="37">
        <v>17.84</v>
      </c>
      <c r="N141" s="38">
        <v>99.3</v>
      </c>
      <c r="O141" s="39">
        <v>0.7</v>
      </c>
      <c r="P141" s="38">
        <v>13.7</v>
      </c>
      <c r="Q141" s="37">
        <v>27543.119999999999</v>
      </c>
      <c r="R141" s="37">
        <v>24119.99</v>
      </c>
      <c r="S141" s="37">
        <v>56130.12</v>
      </c>
      <c r="T141" s="37">
        <f t="shared" si="7"/>
        <v>347389312.68000001</v>
      </c>
      <c r="U141" s="38">
        <f t="shared" si="8"/>
        <v>0.34738931268000001</v>
      </c>
      <c r="W141" s="37"/>
    </row>
    <row r="142" spans="1:23" x14ac:dyDescent="0.25">
      <c r="A142" t="s">
        <v>3644</v>
      </c>
      <c r="B142" t="s">
        <v>3645</v>
      </c>
      <c r="C142" t="s">
        <v>3579</v>
      </c>
      <c r="D142" s="35">
        <v>0.41799999999999998</v>
      </c>
      <c r="E142" t="s">
        <v>3536</v>
      </c>
      <c r="F142">
        <v>-52.534932518303933</v>
      </c>
      <c r="G142">
        <v>-26.963719499236849</v>
      </c>
      <c r="H142">
        <v>1</v>
      </c>
      <c r="I142" s="36">
        <v>113418</v>
      </c>
      <c r="J142" s="37">
        <f t="shared" si="6"/>
        <v>113.41800000000001</v>
      </c>
      <c r="K142" s="38">
        <v>293.62799999999999</v>
      </c>
      <c r="L142" s="36">
        <v>31918</v>
      </c>
      <c r="M142" s="37">
        <v>108.7</v>
      </c>
      <c r="N142" s="38">
        <v>96.4</v>
      </c>
      <c r="O142" s="39">
        <v>0.752</v>
      </c>
      <c r="P142" s="38">
        <v>11.16</v>
      </c>
      <c r="Q142" s="37">
        <v>85997.07</v>
      </c>
      <c r="R142" s="37">
        <v>70477.210000000006</v>
      </c>
      <c r="S142" s="37">
        <v>50967.99</v>
      </c>
      <c r="T142" s="37">
        <f t="shared" si="7"/>
        <v>1626796304.8199999</v>
      </c>
      <c r="U142" s="38">
        <f t="shared" si="8"/>
        <v>1.62679630482</v>
      </c>
      <c r="W142" s="37"/>
    </row>
    <row r="143" spans="1:23" x14ac:dyDescent="0.25">
      <c r="A143" t="s">
        <v>3646</v>
      </c>
      <c r="B143" t="s">
        <v>3647</v>
      </c>
      <c r="C143" t="s">
        <v>3648</v>
      </c>
      <c r="D143" s="35">
        <v>0.46600000000000003</v>
      </c>
      <c r="E143" t="s">
        <v>3536</v>
      </c>
      <c r="F143">
        <v>-51.077729454200089</v>
      </c>
      <c r="G143">
        <v>-29.997493064742301</v>
      </c>
      <c r="H143">
        <v>1</v>
      </c>
      <c r="I143" s="36">
        <v>72000</v>
      </c>
      <c r="J143" s="37">
        <f t="shared" si="6"/>
        <v>72</v>
      </c>
      <c r="K143" s="38">
        <v>71.7</v>
      </c>
      <c r="L143" s="36">
        <v>187315</v>
      </c>
      <c r="M143" s="37">
        <v>2612.48</v>
      </c>
      <c r="N143" s="38">
        <v>95.3</v>
      </c>
      <c r="O143" s="39">
        <v>0.69899999999999995</v>
      </c>
      <c r="P143" s="38">
        <v>15.21</v>
      </c>
      <c r="Q143" s="37">
        <v>358403.06</v>
      </c>
      <c r="R143" s="37">
        <v>290560.43</v>
      </c>
      <c r="S143" s="37">
        <v>15550.82</v>
      </c>
      <c r="T143" s="37">
        <f t="shared" si="7"/>
        <v>2912901848.2999997</v>
      </c>
      <c r="U143" s="38">
        <f t="shared" si="8"/>
        <v>2.9129018482999998</v>
      </c>
      <c r="W143" s="37"/>
    </row>
    <row r="144" spans="1:23" x14ac:dyDescent="0.25">
      <c r="A144" t="s">
        <v>3649</v>
      </c>
      <c r="B144" t="s">
        <v>3650</v>
      </c>
      <c r="C144" t="s">
        <v>3648</v>
      </c>
      <c r="D144" s="35">
        <v>0.46600000000000003</v>
      </c>
      <c r="E144" t="s">
        <v>3536</v>
      </c>
      <c r="F144">
        <v>-50.433349269980162</v>
      </c>
      <c r="G144">
        <v>-28.670577675642701</v>
      </c>
      <c r="H144">
        <v>1</v>
      </c>
      <c r="I144" s="36">
        <v>24675</v>
      </c>
      <c r="J144" s="37">
        <f t="shared" si="6"/>
        <v>24.675000000000001</v>
      </c>
      <c r="K144" s="38">
        <v>2622.837</v>
      </c>
      <c r="L144" s="36">
        <v>11202</v>
      </c>
      <c r="M144" s="37">
        <v>4.2699999999999996</v>
      </c>
      <c r="N144" s="38">
        <v>95</v>
      </c>
      <c r="O144" s="39">
        <v>0.66600000000000004</v>
      </c>
      <c r="P144" s="38">
        <v>10.87</v>
      </c>
      <c r="Q144" s="37">
        <v>39922.42</v>
      </c>
      <c r="R144" s="37">
        <v>38042.21</v>
      </c>
      <c r="S144" s="37">
        <v>54447.360000000001</v>
      </c>
      <c r="T144" s="37">
        <f t="shared" si="7"/>
        <v>609919326.72000003</v>
      </c>
      <c r="U144" s="38">
        <f t="shared" si="8"/>
        <v>0.60991932672000004</v>
      </c>
      <c r="W144" s="37"/>
    </row>
    <row r="145" spans="1:23" x14ac:dyDescent="0.25">
      <c r="A145" t="s">
        <v>3651</v>
      </c>
      <c r="B145" t="s">
        <v>3652</v>
      </c>
      <c r="C145" t="s">
        <v>3648</v>
      </c>
      <c r="D145" s="35">
        <v>0.46600000000000003</v>
      </c>
      <c r="E145" t="s">
        <v>3536</v>
      </c>
      <c r="F145">
        <v>-51.093676954262762</v>
      </c>
      <c r="G145">
        <v>-29.950629444344699</v>
      </c>
      <c r="H145">
        <v>14</v>
      </c>
      <c r="I145" s="36">
        <v>7022665</v>
      </c>
      <c r="J145" s="37">
        <f t="shared" si="6"/>
        <v>7022.665</v>
      </c>
      <c r="K145" s="38">
        <v>43.777999999999999</v>
      </c>
      <c r="L145" s="36">
        <v>136258</v>
      </c>
      <c r="M145" s="37">
        <v>3112.48</v>
      </c>
      <c r="N145" s="38">
        <v>96</v>
      </c>
      <c r="O145" s="39">
        <v>0.75700000000000001</v>
      </c>
      <c r="P145" s="38">
        <v>8.6</v>
      </c>
      <c r="Q145" s="37">
        <v>397285.39</v>
      </c>
      <c r="R145" s="37">
        <v>353604.79</v>
      </c>
      <c r="S145" s="37">
        <v>48874.53</v>
      </c>
      <c r="T145" s="37">
        <f t="shared" si="7"/>
        <v>6659545708.7399998</v>
      </c>
      <c r="U145" s="38">
        <f t="shared" si="8"/>
        <v>6.6595457087399996</v>
      </c>
      <c r="W145" s="37"/>
    </row>
    <row r="146" spans="1:23" x14ac:dyDescent="0.25">
      <c r="A146" t="s">
        <v>3653</v>
      </c>
      <c r="B146" t="s">
        <v>3654</v>
      </c>
      <c r="C146" t="s">
        <v>3648</v>
      </c>
      <c r="D146" s="35">
        <v>0.46600000000000003</v>
      </c>
      <c r="E146" t="s">
        <v>3536</v>
      </c>
      <c r="F146">
        <v>-51.181029780687638</v>
      </c>
      <c r="G146">
        <v>-29.9186967064906</v>
      </c>
      <c r="H146">
        <v>2</v>
      </c>
      <c r="I146" s="36">
        <v>91728</v>
      </c>
      <c r="J146" s="37">
        <f t="shared" si="6"/>
        <v>91.727999999999994</v>
      </c>
      <c r="K146" s="38">
        <v>130.78899999999999</v>
      </c>
      <c r="L146" s="36">
        <v>347657</v>
      </c>
      <c r="M146" s="37">
        <v>2658.15</v>
      </c>
      <c r="N146" s="38">
        <v>95.9</v>
      </c>
      <c r="O146" s="39">
        <v>0.75</v>
      </c>
      <c r="P146" s="38">
        <v>10.94</v>
      </c>
      <c r="Q146" s="37">
        <v>1696189.31</v>
      </c>
      <c r="R146" s="37">
        <v>1511073.04</v>
      </c>
      <c r="S146" s="37">
        <v>62892.77</v>
      </c>
      <c r="T146" s="37">
        <f t="shared" si="7"/>
        <v>21865111739.889999</v>
      </c>
      <c r="U146" s="38">
        <f t="shared" si="8"/>
        <v>21.865111739890001</v>
      </c>
      <c r="W146" s="37"/>
    </row>
    <row r="147" spans="1:23" x14ac:dyDescent="0.25">
      <c r="A147" t="s">
        <v>3655</v>
      </c>
      <c r="B147" t="s">
        <v>3656</v>
      </c>
      <c r="C147" t="s">
        <v>3648</v>
      </c>
      <c r="D147" s="35">
        <v>0.46600000000000003</v>
      </c>
      <c r="E147" t="s">
        <v>3536</v>
      </c>
      <c r="F147">
        <v>-51.503817629983637</v>
      </c>
      <c r="G147">
        <v>-29.298296805873949</v>
      </c>
      <c r="H147">
        <v>4</v>
      </c>
      <c r="I147" s="36">
        <v>2611727</v>
      </c>
      <c r="J147" s="37">
        <f t="shared" si="6"/>
        <v>2611.7269999999999</v>
      </c>
      <c r="K147" s="38">
        <v>230.06100000000001</v>
      </c>
      <c r="L147" s="36">
        <v>30420</v>
      </c>
      <c r="M147" s="37">
        <v>132.22999999999999</v>
      </c>
      <c r="N147" s="38">
        <v>98.7</v>
      </c>
      <c r="O147" s="39">
        <v>0.79600000000000004</v>
      </c>
      <c r="P147" s="38">
        <v>9.2899999999999991</v>
      </c>
      <c r="Q147" s="37">
        <v>134175.34</v>
      </c>
      <c r="R147" s="37">
        <v>107434.3</v>
      </c>
      <c r="S147" s="37">
        <v>115232.73</v>
      </c>
      <c r="T147" s="37">
        <f t="shared" si="7"/>
        <v>3505379646.5999999</v>
      </c>
      <c r="U147" s="38">
        <f t="shared" si="8"/>
        <v>3.5053796465999998</v>
      </c>
      <c r="W147" s="37"/>
    </row>
    <row r="148" spans="1:23" x14ac:dyDescent="0.25">
      <c r="A148" t="s">
        <v>3657</v>
      </c>
      <c r="B148" t="s">
        <v>3658</v>
      </c>
      <c r="C148" t="s">
        <v>3648</v>
      </c>
      <c r="D148" s="35">
        <v>0.46600000000000003</v>
      </c>
      <c r="E148" t="s">
        <v>3536</v>
      </c>
      <c r="F148">
        <v>-51.178860205883019</v>
      </c>
      <c r="G148">
        <v>-29.1668990110621</v>
      </c>
      <c r="H148">
        <v>1</v>
      </c>
      <c r="I148" s="36">
        <v>48085</v>
      </c>
      <c r="J148" s="37">
        <f t="shared" si="6"/>
        <v>48.085000000000001</v>
      </c>
      <c r="K148" s="38">
        <v>1652.32</v>
      </c>
      <c r="L148" s="36">
        <v>463501</v>
      </c>
      <c r="M148" s="37">
        <v>280.52</v>
      </c>
      <c r="N148" s="38">
        <v>96.3</v>
      </c>
      <c r="O148" s="39">
        <v>0.78200000000000003</v>
      </c>
      <c r="P148" s="38">
        <v>11.17</v>
      </c>
      <c r="Q148" s="37">
        <v>1943956.49</v>
      </c>
      <c r="R148" s="37">
        <v>1758354.81</v>
      </c>
      <c r="S148" s="37">
        <v>60506.95</v>
      </c>
      <c r="T148" s="37">
        <f t="shared" si="7"/>
        <v>28045031831.949997</v>
      </c>
      <c r="U148" s="38">
        <f t="shared" si="8"/>
        <v>28.045031831949998</v>
      </c>
      <c r="W148" s="37"/>
    </row>
    <row r="149" spans="1:23" x14ac:dyDescent="0.25">
      <c r="A149" t="s">
        <v>3659</v>
      </c>
      <c r="B149" t="s">
        <v>3660</v>
      </c>
      <c r="C149" t="s">
        <v>3648</v>
      </c>
      <c r="D149" s="35">
        <v>0.46600000000000003</v>
      </c>
      <c r="E149" t="s">
        <v>3536</v>
      </c>
      <c r="F149">
        <v>-51.310418926013021</v>
      </c>
      <c r="G149">
        <v>-29.999292594586809</v>
      </c>
      <c r="H149">
        <v>1</v>
      </c>
      <c r="I149" s="36">
        <v>24500</v>
      </c>
      <c r="J149" s="37">
        <f t="shared" si="6"/>
        <v>24.5</v>
      </c>
      <c r="K149" s="38">
        <v>509.61399999999998</v>
      </c>
      <c r="L149" s="36">
        <v>39559</v>
      </c>
      <c r="M149" s="37">
        <v>77.63</v>
      </c>
      <c r="N149" s="38">
        <v>97.2</v>
      </c>
      <c r="O149" s="39">
        <v>0.71699999999999997</v>
      </c>
      <c r="P149" s="38">
        <v>8.73</v>
      </c>
      <c r="Q149" s="37">
        <v>143141.60999999999</v>
      </c>
      <c r="R149" s="37">
        <v>107529.17</v>
      </c>
      <c r="S149" s="37">
        <v>49900.17</v>
      </c>
      <c r="T149" s="37">
        <f t="shared" si="7"/>
        <v>1974000825.03</v>
      </c>
      <c r="U149" s="38">
        <f t="shared" si="8"/>
        <v>1.9740008250300001</v>
      </c>
      <c r="W149" s="37"/>
    </row>
    <row r="150" spans="1:23" x14ac:dyDescent="0.25">
      <c r="A150" t="s">
        <v>3661</v>
      </c>
      <c r="B150" t="s">
        <v>3662</v>
      </c>
      <c r="C150" t="s">
        <v>3648</v>
      </c>
      <c r="D150" s="35">
        <v>0.46600000000000003</v>
      </c>
      <c r="E150" t="s">
        <v>3536</v>
      </c>
      <c r="F150">
        <v>-51.174293924986067</v>
      </c>
      <c r="G150">
        <v>-29.65014796760131</v>
      </c>
      <c r="H150">
        <v>2</v>
      </c>
      <c r="I150" s="36">
        <v>974536</v>
      </c>
      <c r="J150" s="37">
        <f t="shared" si="6"/>
        <v>974.53599999999994</v>
      </c>
      <c r="K150" s="38">
        <v>51.779000000000003</v>
      </c>
      <c r="L150" s="36">
        <v>47924</v>
      </c>
      <c r="M150" s="37">
        <v>925.55</v>
      </c>
      <c r="N150" s="38">
        <v>98.6</v>
      </c>
      <c r="O150" s="39">
        <v>0.75700000000000001</v>
      </c>
      <c r="P150" s="38">
        <v>6.45</v>
      </c>
      <c r="Q150" s="37">
        <v>148029.47</v>
      </c>
      <c r="R150" s="37">
        <v>120403.42</v>
      </c>
      <c r="S150" s="37">
        <v>36564.93</v>
      </c>
      <c r="T150" s="37">
        <f t="shared" si="7"/>
        <v>1752337705.3199999</v>
      </c>
      <c r="U150" s="38">
        <f t="shared" si="8"/>
        <v>1.75233770532</v>
      </c>
      <c r="W150" s="37"/>
    </row>
    <row r="151" spans="1:23" x14ac:dyDescent="0.25">
      <c r="A151" t="s">
        <v>3663</v>
      </c>
      <c r="B151" t="s">
        <v>3664</v>
      </c>
      <c r="C151" t="s">
        <v>3648</v>
      </c>
      <c r="D151" s="35">
        <v>0.46600000000000003</v>
      </c>
      <c r="E151" t="s">
        <v>3536</v>
      </c>
      <c r="F151">
        <v>-51.143837339431997</v>
      </c>
      <c r="G151">
        <v>-29.852186295458051</v>
      </c>
      <c r="H151">
        <v>1</v>
      </c>
      <c r="I151" s="36">
        <v>1143267</v>
      </c>
      <c r="J151" s="37">
        <f t="shared" si="6"/>
        <v>1143.2670000000001</v>
      </c>
      <c r="K151" s="38">
        <v>27.675999999999998</v>
      </c>
      <c r="L151" s="36">
        <v>76137</v>
      </c>
      <c r="M151" s="37">
        <v>2751.01</v>
      </c>
      <c r="N151" s="38">
        <v>97.6</v>
      </c>
      <c r="O151" s="39">
        <v>0.754</v>
      </c>
      <c r="P151" s="38">
        <v>4.5199999999999996</v>
      </c>
      <c r="Q151" s="37">
        <v>301406.73</v>
      </c>
      <c r="R151" s="37">
        <v>262107.48</v>
      </c>
      <c r="S151" s="37">
        <v>44988.45</v>
      </c>
      <c r="T151" s="37">
        <f t="shared" si="7"/>
        <v>3425285617.6499996</v>
      </c>
      <c r="U151" s="38">
        <f t="shared" si="8"/>
        <v>3.4252856176499997</v>
      </c>
      <c r="W151" s="37"/>
    </row>
    <row r="152" spans="1:23" x14ac:dyDescent="0.25">
      <c r="A152" t="s">
        <v>3665</v>
      </c>
      <c r="B152" t="s">
        <v>3666</v>
      </c>
      <c r="C152" t="s">
        <v>3648</v>
      </c>
      <c r="D152" s="35">
        <v>0.46600000000000003</v>
      </c>
      <c r="E152" t="s">
        <v>3536</v>
      </c>
      <c r="F152">
        <v>-51.348349573769831</v>
      </c>
      <c r="G152">
        <v>-29.22367918683506</v>
      </c>
      <c r="H152">
        <v>1</v>
      </c>
      <c r="I152" s="36">
        <v>23400</v>
      </c>
      <c r="J152" s="37">
        <f t="shared" si="6"/>
        <v>23.4</v>
      </c>
      <c r="K152" s="38">
        <v>361.34100000000001</v>
      </c>
      <c r="L152" s="36">
        <v>70286</v>
      </c>
      <c r="M152" s="37">
        <v>194.51</v>
      </c>
      <c r="N152" s="38">
        <v>98.5</v>
      </c>
      <c r="O152" s="39">
        <v>0.77700000000000002</v>
      </c>
      <c r="P152" s="38">
        <v>7.26</v>
      </c>
      <c r="Q152" s="37">
        <v>258342.46</v>
      </c>
      <c r="R152" s="37">
        <v>212320.93</v>
      </c>
      <c r="S152" s="37">
        <v>59633.5</v>
      </c>
      <c r="T152" s="37">
        <f t="shared" si="7"/>
        <v>4191400181</v>
      </c>
      <c r="U152" s="38">
        <f t="shared" si="8"/>
        <v>4.1914001809999997</v>
      </c>
      <c r="W152" s="37"/>
    </row>
    <row r="153" spans="1:23" x14ac:dyDescent="0.25">
      <c r="A153" t="s">
        <v>3667</v>
      </c>
      <c r="B153" t="s">
        <v>3668</v>
      </c>
      <c r="C153" t="s">
        <v>3648</v>
      </c>
      <c r="D153" s="35">
        <v>0.46600000000000003</v>
      </c>
      <c r="E153" t="s">
        <v>3536</v>
      </c>
      <c r="F153">
        <v>-53.867824794008683</v>
      </c>
      <c r="G153">
        <v>-31.405098248387059</v>
      </c>
      <c r="H153">
        <v>1</v>
      </c>
      <c r="I153" s="36">
        <v>69014</v>
      </c>
      <c r="J153" s="37">
        <f t="shared" si="6"/>
        <v>69.013999999999996</v>
      </c>
      <c r="K153" s="38">
        <v>822.60799999999995</v>
      </c>
      <c r="L153" s="36">
        <v>5976</v>
      </c>
      <c r="M153" s="37">
        <v>7.26</v>
      </c>
      <c r="N153" s="38">
        <v>96</v>
      </c>
      <c r="O153" s="39">
        <v>0.64300000000000002</v>
      </c>
      <c r="P153" s="38">
        <v>11.24</v>
      </c>
      <c r="Q153" s="37">
        <v>25728.639999999999</v>
      </c>
      <c r="R153" s="37">
        <v>20944.54</v>
      </c>
      <c r="S153" s="37">
        <v>45617.4</v>
      </c>
      <c r="T153" s="37">
        <f t="shared" si="7"/>
        <v>272609582.40000004</v>
      </c>
      <c r="U153" s="38">
        <f t="shared" si="8"/>
        <v>0.27260958240000005</v>
      </c>
      <c r="W153" s="37"/>
    </row>
    <row r="154" spans="1:23" x14ac:dyDescent="0.25">
      <c r="A154" t="s">
        <v>3669</v>
      </c>
      <c r="B154" t="s">
        <v>3670</v>
      </c>
      <c r="C154" t="s">
        <v>3648</v>
      </c>
      <c r="D154" s="35">
        <v>0.46600000000000003</v>
      </c>
      <c r="E154" t="s">
        <v>3536</v>
      </c>
      <c r="F154">
        <v>-51.967827700500123</v>
      </c>
      <c r="G154">
        <v>-29.465454402471</v>
      </c>
      <c r="H154">
        <v>1</v>
      </c>
      <c r="I154" s="36">
        <v>1118000</v>
      </c>
      <c r="J154" s="37">
        <f t="shared" si="6"/>
        <v>1118</v>
      </c>
      <c r="K154" s="38">
        <v>91.230999999999995</v>
      </c>
      <c r="L154" s="36">
        <v>93646</v>
      </c>
      <c r="M154" s="37">
        <v>1026.47</v>
      </c>
      <c r="N154" s="38">
        <v>98</v>
      </c>
      <c r="O154" s="39">
        <v>0.77800000000000002</v>
      </c>
      <c r="P154" s="38">
        <v>11.61</v>
      </c>
      <c r="Q154" s="37">
        <v>313426.43</v>
      </c>
      <c r="R154" s="37">
        <v>257293.54</v>
      </c>
      <c r="S154" s="37">
        <v>65067.95</v>
      </c>
      <c r="T154" s="37">
        <f t="shared" si="7"/>
        <v>6093353245.6999998</v>
      </c>
      <c r="U154" s="38">
        <f t="shared" si="8"/>
        <v>6.0933532456999995</v>
      </c>
      <c r="W154" s="37"/>
    </row>
    <row r="155" spans="1:23" x14ac:dyDescent="0.25">
      <c r="A155" t="s">
        <v>3671</v>
      </c>
      <c r="B155" t="s">
        <v>3672</v>
      </c>
      <c r="C155" t="s">
        <v>3648</v>
      </c>
      <c r="D155" s="35">
        <v>0.46600000000000003</v>
      </c>
      <c r="E155" t="s">
        <v>3536</v>
      </c>
      <c r="F155">
        <v>-51.128605277631863</v>
      </c>
      <c r="G155">
        <v>-29.686326025177209</v>
      </c>
      <c r="H155">
        <v>1</v>
      </c>
      <c r="I155" s="36">
        <v>24000</v>
      </c>
      <c r="J155" s="37">
        <f t="shared" si="6"/>
        <v>24</v>
      </c>
      <c r="K155" s="38">
        <v>222.536</v>
      </c>
      <c r="L155" s="36">
        <v>227646</v>
      </c>
      <c r="M155" s="37">
        <v>1022.96</v>
      </c>
      <c r="N155" s="38">
        <v>97</v>
      </c>
      <c r="O155" s="39">
        <v>0.747</v>
      </c>
      <c r="P155" s="38">
        <v>11.72</v>
      </c>
      <c r="Q155" s="37">
        <v>923160.92</v>
      </c>
      <c r="R155" s="37">
        <v>892363.07</v>
      </c>
      <c r="S155" s="37">
        <v>40589.43</v>
      </c>
      <c r="T155" s="37">
        <f t="shared" si="7"/>
        <v>9240021381.7800007</v>
      </c>
      <c r="U155" s="38">
        <f t="shared" si="8"/>
        <v>9.2400213817800001</v>
      </c>
      <c r="W155" s="37"/>
    </row>
    <row r="156" spans="1:23" x14ac:dyDescent="0.25">
      <c r="A156" t="s">
        <v>3673</v>
      </c>
      <c r="B156" t="s">
        <v>3674</v>
      </c>
      <c r="C156" t="s">
        <v>3648</v>
      </c>
      <c r="D156" s="35">
        <v>0.46600000000000003</v>
      </c>
      <c r="E156" t="s">
        <v>3536</v>
      </c>
      <c r="F156">
        <v>-52.407095092617148</v>
      </c>
      <c r="G156">
        <v>-28.26176712790485</v>
      </c>
      <c r="H156">
        <v>1</v>
      </c>
      <c r="I156" s="36">
        <v>78000</v>
      </c>
      <c r="J156" s="37">
        <f t="shared" si="6"/>
        <v>78</v>
      </c>
      <c r="K156" s="38">
        <v>784.40700000000004</v>
      </c>
      <c r="L156" s="36">
        <v>206215</v>
      </c>
      <c r="M156" s="37">
        <v>262.89</v>
      </c>
      <c r="N156" s="38">
        <v>97.3</v>
      </c>
      <c r="O156" s="39">
        <v>0.77600000000000002</v>
      </c>
      <c r="P156" s="38">
        <v>11.65</v>
      </c>
      <c r="Q156" s="37">
        <v>586902.49</v>
      </c>
      <c r="R156" s="37">
        <v>488853.85</v>
      </c>
      <c r="S156" s="37">
        <v>60905.63</v>
      </c>
      <c r="T156" s="37">
        <f t="shared" si="7"/>
        <v>12559654490.449999</v>
      </c>
      <c r="U156" s="38">
        <f t="shared" si="8"/>
        <v>12.559654490449999</v>
      </c>
      <c r="W156" s="37"/>
    </row>
    <row r="157" spans="1:23" x14ac:dyDescent="0.25">
      <c r="A157" t="s">
        <v>3675</v>
      </c>
      <c r="B157" t="s">
        <v>3676</v>
      </c>
      <c r="C157" t="s">
        <v>3648</v>
      </c>
      <c r="D157" s="35">
        <v>0.46600000000000003</v>
      </c>
      <c r="E157" t="s">
        <v>3536</v>
      </c>
      <c r="F157">
        <v>-51.228660463702333</v>
      </c>
      <c r="G157">
        <v>-30.030036774766401</v>
      </c>
      <c r="H157">
        <v>10</v>
      </c>
      <c r="I157" s="36">
        <v>3314152</v>
      </c>
      <c r="J157" s="37">
        <f t="shared" si="6"/>
        <v>3314.152</v>
      </c>
      <c r="K157" s="38">
        <v>495.39</v>
      </c>
      <c r="L157" s="36">
        <v>1332845</v>
      </c>
      <c r="M157" s="37">
        <v>2690.5</v>
      </c>
      <c r="N157" s="38">
        <v>96.6</v>
      </c>
      <c r="O157" s="39">
        <v>0.80500000000000005</v>
      </c>
      <c r="P157" s="38">
        <v>7.75</v>
      </c>
      <c r="Q157" s="37">
        <v>6432707.5099999998</v>
      </c>
      <c r="R157" s="37">
        <v>6018787.3300000001</v>
      </c>
      <c r="S157" s="37">
        <v>54647.38</v>
      </c>
      <c r="T157" s="37">
        <f t="shared" si="7"/>
        <v>72836487196.099991</v>
      </c>
      <c r="U157" s="38">
        <f t="shared" si="8"/>
        <v>72.836487196099995</v>
      </c>
      <c r="W157" s="37"/>
    </row>
    <row r="158" spans="1:23" x14ac:dyDescent="0.25">
      <c r="A158" t="s">
        <v>3677</v>
      </c>
      <c r="B158" t="s">
        <v>3678</v>
      </c>
      <c r="C158" t="s">
        <v>3648</v>
      </c>
      <c r="D158" s="35">
        <v>0.46600000000000003</v>
      </c>
      <c r="E158" t="s">
        <v>3536</v>
      </c>
      <c r="F158">
        <v>-55.139560262015991</v>
      </c>
      <c r="G158">
        <v>-27.905689846934312</v>
      </c>
      <c r="H158">
        <v>5</v>
      </c>
      <c r="I158" s="36">
        <v>55848700</v>
      </c>
      <c r="J158" s="37">
        <f t="shared" si="6"/>
        <v>55848.7</v>
      </c>
      <c r="K158" s="38">
        <v>281.49700000000001</v>
      </c>
      <c r="L158" s="36">
        <v>9938</v>
      </c>
      <c r="M158" s="37">
        <v>35.299999999999997</v>
      </c>
      <c r="N158" s="38">
        <v>99.5</v>
      </c>
      <c r="O158" s="39">
        <v>0.72299999999999998</v>
      </c>
      <c r="P158" s="38"/>
      <c r="Q158" s="37">
        <v>34964.18</v>
      </c>
      <c r="R158" s="37">
        <v>28743.1</v>
      </c>
      <c r="S158" s="37">
        <v>20793.080000000002</v>
      </c>
      <c r="T158" s="37">
        <f t="shared" si="7"/>
        <v>206641629.04000002</v>
      </c>
      <c r="U158" s="38">
        <f t="shared" si="8"/>
        <v>0.20664162904000002</v>
      </c>
      <c r="W158" s="37"/>
    </row>
    <row r="159" spans="1:23" x14ac:dyDescent="0.25">
      <c r="A159" t="s">
        <v>3679</v>
      </c>
      <c r="B159" t="s">
        <v>3680</v>
      </c>
      <c r="C159" t="s">
        <v>3648</v>
      </c>
      <c r="D159" s="35">
        <v>0.46600000000000003</v>
      </c>
      <c r="E159" t="s">
        <v>3536</v>
      </c>
      <c r="F159">
        <v>-52.429928587370398</v>
      </c>
      <c r="G159">
        <v>-29.719768433746559</v>
      </c>
      <c r="H159">
        <v>2</v>
      </c>
      <c r="I159" s="36">
        <v>116429</v>
      </c>
      <c r="J159" s="37">
        <f t="shared" si="6"/>
        <v>116.429</v>
      </c>
      <c r="K159" s="38">
        <v>733.89800000000002</v>
      </c>
      <c r="L159" s="36">
        <v>133230</v>
      </c>
      <c r="M159" s="37">
        <v>181.54</v>
      </c>
      <c r="N159" s="38">
        <v>98.3</v>
      </c>
      <c r="O159" s="39">
        <v>0.77300000000000002</v>
      </c>
      <c r="P159" s="38">
        <v>10.99</v>
      </c>
      <c r="Q159" s="37">
        <v>439345.34</v>
      </c>
      <c r="R159" s="37">
        <v>407139.78</v>
      </c>
      <c r="S159" s="37">
        <v>74205</v>
      </c>
      <c r="T159" s="37">
        <f t="shared" si="7"/>
        <v>9886332150</v>
      </c>
      <c r="U159" s="38">
        <f t="shared" si="8"/>
        <v>9.8863321499999994</v>
      </c>
      <c r="W159" s="37"/>
    </row>
    <row r="160" spans="1:23" x14ac:dyDescent="0.25">
      <c r="A160" t="s">
        <v>3681</v>
      </c>
      <c r="B160" t="s">
        <v>3682</v>
      </c>
      <c r="C160" t="s">
        <v>3648</v>
      </c>
      <c r="D160" s="35">
        <v>0.46600000000000003</v>
      </c>
      <c r="E160" t="s">
        <v>3536</v>
      </c>
      <c r="F160">
        <v>-56.001029153618497</v>
      </c>
      <c r="G160">
        <v>-28.662837526694659</v>
      </c>
      <c r="H160">
        <v>1</v>
      </c>
      <c r="I160" s="36">
        <v>5112380</v>
      </c>
      <c r="J160" s="37">
        <f t="shared" si="6"/>
        <v>5112.38</v>
      </c>
      <c r="K160" s="38">
        <v>3616.69</v>
      </c>
      <c r="L160" s="36">
        <v>59676</v>
      </c>
      <c r="M160" s="37">
        <v>16.5</v>
      </c>
      <c r="N160" s="38">
        <v>97.5</v>
      </c>
      <c r="O160" s="39">
        <v>0.73599999999999999</v>
      </c>
      <c r="P160" s="38">
        <v>7.55</v>
      </c>
      <c r="Q160" s="37">
        <v>180337.8</v>
      </c>
      <c r="R160" s="37">
        <v>164521.14000000001</v>
      </c>
      <c r="S160" s="37">
        <v>43012.23</v>
      </c>
      <c r="T160" s="37">
        <f t="shared" si="7"/>
        <v>2566797837.48</v>
      </c>
      <c r="U160" s="38">
        <f t="shared" si="8"/>
        <v>2.5667978374800002</v>
      </c>
      <c r="W160" s="37"/>
    </row>
    <row r="161" spans="1:23" x14ac:dyDescent="0.25">
      <c r="A161" t="s">
        <v>3683</v>
      </c>
      <c r="B161" t="s">
        <v>3684</v>
      </c>
      <c r="C161" t="s">
        <v>3648</v>
      </c>
      <c r="D161" s="35">
        <v>0.46600000000000003</v>
      </c>
      <c r="E161" t="s">
        <v>3536</v>
      </c>
      <c r="F161">
        <v>-54.320477858107623</v>
      </c>
      <c r="G161">
        <v>-30.33676005485145</v>
      </c>
      <c r="H161">
        <v>5</v>
      </c>
      <c r="I161" s="36">
        <v>3304927</v>
      </c>
      <c r="J161" s="37">
        <f t="shared" si="6"/>
        <v>3304.9270000000001</v>
      </c>
      <c r="K161" s="38">
        <v>5053.46</v>
      </c>
      <c r="L161" s="36">
        <v>58487</v>
      </c>
      <c r="M161" s="37">
        <v>11.57</v>
      </c>
      <c r="N161" s="38">
        <v>96.9</v>
      </c>
      <c r="O161" s="39">
        <v>0.69899999999999995</v>
      </c>
      <c r="P161" s="38">
        <v>12.89</v>
      </c>
      <c r="Q161" s="37">
        <v>162022.34</v>
      </c>
      <c r="R161" s="37">
        <v>154465.56</v>
      </c>
      <c r="S161" s="37">
        <v>43790.22</v>
      </c>
      <c r="T161" s="37">
        <f t="shared" si="7"/>
        <v>2561158597.1399999</v>
      </c>
      <c r="U161" s="38">
        <f t="shared" si="8"/>
        <v>2.5611585971399999</v>
      </c>
      <c r="W161" s="37"/>
    </row>
    <row r="162" spans="1:23" x14ac:dyDescent="0.25">
      <c r="A162" t="s">
        <v>3685</v>
      </c>
      <c r="B162" t="s">
        <v>3686</v>
      </c>
      <c r="C162" t="s">
        <v>3648</v>
      </c>
      <c r="D162" s="35">
        <v>0.46600000000000003</v>
      </c>
      <c r="E162" t="s">
        <v>3536</v>
      </c>
      <c r="F162">
        <v>-51.935708609940313</v>
      </c>
      <c r="G162">
        <v>-28.710797071407161</v>
      </c>
      <c r="H162">
        <v>1</v>
      </c>
      <c r="I162" s="36">
        <v>43452</v>
      </c>
      <c r="J162" s="37">
        <f t="shared" si="6"/>
        <v>43.451999999999998</v>
      </c>
      <c r="K162" s="38">
        <v>163.31</v>
      </c>
      <c r="L162" s="36">
        <v>16961</v>
      </c>
      <c r="M162" s="37">
        <v>103.86</v>
      </c>
      <c r="N162" s="38">
        <v>97.9</v>
      </c>
      <c r="O162" s="39">
        <v>0.76</v>
      </c>
      <c r="P162" s="38"/>
      <c r="Q162" s="37">
        <v>67939.37</v>
      </c>
      <c r="R162" s="37">
        <v>50366.83</v>
      </c>
      <c r="S162" s="37">
        <v>43283.1</v>
      </c>
      <c r="T162" s="37">
        <f t="shared" si="7"/>
        <v>734124659.10000002</v>
      </c>
      <c r="U162" s="38">
        <f t="shared" si="8"/>
        <v>0.73412465910000002</v>
      </c>
      <c r="W162" s="37"/>
    </row>
    <row r="163" spans="1:23" x14ac:dyDescent="0.25">
      <c r="A163" t="s">
        <v>3687</v>
      </c>
      <c r="B163" t="s">
        <v>3688</v>
      </c>
      <c r="C163" t="s">
        <v>3689</v>
      </c>
      <c r="D163" s="35">
        <v>0.45200000000000001</v>
      </c>
      <c r="E163" t="s">
        <v>3690</v>
      </c>
      <c r="F163">
        <v>-57.491299153060268</v>
      </c>
      <c r="G163">
        <v>-14.623784750467999</v>
      </c>
      <c r="H163">
        <v>1</v>
      </c>
      <c r="I163" s="36">
        <v>523000</v>
      </c>
      <c r="J163" s="37">
        <f t="shared" si="6"/>
        <v>523</v>
      </c>
      <c r="K163" s="38">
        <v>11636.825000000001</v>
      </c>
      <c r="L163" s="36">
        <v>106434</v>
      </c>
      <c r="M163" s="37">
        <v>9.15</v>
      </c>
      <c r="N163" s="38">
        <v>93.3</v>
      </c>
      <c r="O163" s="39">
        <v>0.72899999999999998</v>
      </c>
      <c r="P163" s="38">
        <v>17.93</v>
      </c>
      <c r="Q163" s="37">
        <v>279525.09999999998</v>
      </c>
      <c r="R163" s="37">
        <v>230943.52</v>
      </c>
      <c r="S163" s="37">
        <v>51892.66</v>
      </c>
      <c r="T163" s="37">
        <f t="shared" si="7"/>
        <v>5523143374.4400005</v>
      </c>
      <c r="U163" s="38">
        <f t="shared" si="8"/>
        <v>5.5231433744400009</v>
      </c>
      <c r="W163" s="37"/>
    </row>
    <row r="164" spans="1:23" x14ac:dyDescent="0.25">
      <c r="A164" t="s">
        <v>3691</v>
      </c>
      <c r="B164" t="s">
        <v>3692</v>
      </c>
      <c r="C164" t="s">
        <v>3689</v>
      </c>
      <c r="D164" s="35">
        <v>0.45200000000000001</v>
      </c>
      <c r="E164" t="s">
        <v>3690</v>
      </c>
      <c r="F164">
        <v>-56.14466374018658</v>
      </c>
      <c r="G164">
        <v>-15.6580648240885</v>
      </c>
      <c r="H164">
        <v>1</v>
      </c>
      <c r="I164" s="36">
        <v>104985</v>
      </c>
      <c r="J164" s="37">
        <f t="shared" si="6"/>
        <v>104.985</v>
      </c>
      <c r="K164" s="38">
        <v>724.279</v>
      </c>
      <c r="L164" s="36">
        <v>300078</v>
      </c>
      <c r="M164" s="37">
        <v>414.31</v>
      </c>
      <c r="N164" s="38">
        <v>95.9</v>
      </c>
      <c r="O164" s="39">
        <v>0.73399999999999999</v>
      </c>
      <c r="P164" s="38">
        <v>15.55</v>
      </c>
      <c r="Q164" s="37">
        <v>572599.76</v>
      </c>
      <c r="R164" s="37">
        <v>536691.02</v>
      </c>
      <c r="S164" s="37">
        <v>34151.42</v>
      </c>
      <c r="T164" s="37">
        <f t="shared" si="7"/>
        <v>10248089810.76</v>
      </c>
      <c r="U164" s="38">
        <f t="shared" si="8"/>
        <v>10.24808981076</v>
      </c>
      <c r="W164" s="37"/>
    </row>
    <row r="165" spans="1:23" ht="18" x14ac:dyDescent="0.35">
      <c r="P165" s="40"/>
    </row>
    <row r="166" spans="1:23" x14ac:dyDescent="0.25">
      <c r="J166" s="37"/>
    </row>
    <row r="167" spans="1:23" x14ac:dyDescent="0.25">
      <c r="I167" s="41"/>
      <c r="J167" s="41"/>
    </row>
    <row r="168" spans="1:23" x14ac:dyDescent="0.25">
      <c r="I168" s="41"/>
      <c r="J168" s="41"/>
    </row>
  </sheetData>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4FC94F-2BA8-4F19-AFEA-ACDBD111CDE5}">
  <sheetPr codeName="Planilha12"/>
  <dimension ref="A1:BF159"/>
  <sheetViews>
    <sheetView workbookViewId="0">
      <selection activeCell="AA11" sqref="AA11"/>
    </sheetView>
  </sheetViews>
  <sheetFormatPr defaultRowHeight="15" x14ac:dyDescent="0.25"/>
  <cols>
    <col min="1" max="3" width="11.7109375" style="6" customWidth="1"/>
    <col min="4" max="4" width="12.7109375" style="6" bestFit="1" customWidth="1"/>
    <col min="5" max="6" width="11.7109375" style="6" customWidth="1"/>
    <col min="22" max="22" width="11.5703125" bestFit="1" customWidth="1"/>
    <col min="27" max="27" width="10.5703125" bestFit="1" customWidth="1"/>
    <col min="33" max="33" width="14.28515625" bestFit="1" customWidth="1"/>
  </cols>
  <sheetData>
    <row r="1" spans="1:57" x14ac:dyDescent="0.25">
      <c r="A1" s="6" t="s">
        <v>3693</v>
      </c>
      <c r="B1" s="6" t="s">
        <v>3335</v>
      </c>
      <c r="C1" s="6" t="s">
        <v>3337</v>
      </c>
      <c r="D1" s="6" t="s">
        <v>3342</v>
      </c>
      <c r="E1" s="6" t="s">
        <v>3343</v>
      </c>
      <c r="F1" s="6" t="s">
        <v>3318</v>
      </c>
    </row>
    <row r="2" spans="1:57" x14ac:dyDescent="0.25">
      <c r="A2" s="9">
        <v>24363.192999999999</v>
      </c>
      <c r="B2" s="9">
        <v>34090.951999999997</v>
      </c>
      <c r="C2" s="9">
        <v>13.51</v>
      </c>
      <c r="D2" s="9">
        <v>1233369.2</v>
      </c>
      <c r="E2" s="9">
        <v>36541.49</v>
      </c>
      <c r="F2" s="9">
        <v>16.824944406659998</v>
      </c>
      <c r="U2" t="s">
        <v>3318</v>
      </c>
      <c r="V2" s="41">
        <v>140728</v>
      </c>
      <c r="Z2" t="s">
        <v>3694</v>
      </c>
      <c r="AA2" s="41">
        <v>16722</v>
      </c>
      <c r="AE2" t="s">
        <v>3336</v>
      </c>
      <c r="AF2">
        <v>2024</v>
      </c>
      <c r="AG2" s="41">
        <v>9839610</v>
      </c>
    </row>
    <row r="3" spans="1:57" x14ac:dyDescent="0.25">
      <c r="A3" s="9">
        <v>424.49299999999999</v>
      </c>
      <c r="B3" s="9">
        <v>11699.15</v>
      </c>
      <c r="C3" s="9">
        <v>8.19</v>
      </c>
      <c r="D3" s="9">
        <v>232921.5</v>
      </c>
      <c r="E3" s="9">
        <v>40328.81</v>
      </c>
      <c r="F3" s="9">
        <v>3.8647905199199997</v>
      </c>
      <c r="U3" t="s">
        <v>3412</v>
      </c>
      <c r="V3" s="41">
        <v>155143</v>
      </c>
      <c r="W3">
        <f>V3/V2-1</f>
        <v>0.10243164118014891</v>
      </c>
      <c r="X3">
        <f>1+W3</f>
        <v>1.1024316411801489</v>
      </c>
      <c r="Z3" t="s">
        <v>3412</v>
      </c>
      <c r="AA3" s="41">
        <v>16796</v>
      </c>
      <c r="AB3">
        <f t="shared" ref="AB3:AB9" si="0">AA3/AA2-1</f>
        <v>4.4253079775147253E-3</v>
      </c>
      <c r="AC3">
        <f>1+AB3</f>
        <v>1.0044253079775147</v>
      </c>
      <c r="AE3" t="s">
        <v>3412</v>
      </c>
      <c r="AF3">
        <v>2034</v>
      </c>
      <c r="AG3" s="41">
        <v>10243275</v>
      </c>
      <c r="AH3" s="43">
        <f>(AG3/AG2)^(1/10)-1</f>
        <v>4.0286248365490884E-3</v>
      </c>
      <c r="AI3" t="s">
        <v>3319</v>
      </c>
    </row>
    <row r="4" spans="1:57" x14ac:dyDescent="0.25">
      <c r="A4" s="9">
        <v>260.54000000000002</v>
      </c>
      <c r="B4" s="9">
        <v>8835.1540000000005</v>
      </c>
      <c r="C4" s="42">
        <v>41.28</v>
      </c>
      <c r="D4" s="9">
        <v>740733.11</v>
      </c>
      <c r="E4" s="9">
        <v>26119.02</v>
      </c>
      <c r="F4" s="9">
        <v>9.527069259120001</v>
      </c>
      <c r="V4" s="41">
        <v>156964</v>
      </c>
      <c r="W4">
        <f t="shared" ref="W4:W10" si="1">V4/V3-1</f>
        <v>1.1737558252708835E-2</v>
      </c>
      <c r="X4">
        <f t="shared" ref="X4:X10" si="2">1+W4</f>
        <v>1.0117375582527088</v>
      </c>
      <c r="AA4" s="41">
        <v>17783</v>
      </c>
      <c r="AB4">
        <f t="shared" si="0"/>
        <v>5.8763991426530104E-2</v>
      </c>
      <c r="AC4">
        <f t="shared" ref="AC4:AC9" si="3">1+AB4</f>
        <v>1.0587639914265301</v>
      </c>
      <c r="AF4">
        <v>2039</v>
      </c>
      <c r="AG4" s="41">
        <v>10343143</v>
      </c>
      <c r="AH4" s="43">
        <f>(AG4/AG2)^(1/15)-1</f>
        <v>3.332722006097466E-3</v>
      </c>
      <c r="AI4" t="s">
        <v>3319</v>
      </c>
    </row>
    <row r="5" spans="1:57" x14ac:dyDescent="0.25">
      <c r="A5" s="9">
        <v>2699.7820000000002</v>
      </c>
      <c r="B5" s="9">
        <v>11401.092000000001</v>
      </c>
      <c r="C5" s="9">
        <v>181.01</v>
      </c>
      <c r="D5" s="9">
        <v>4366978.28</v>
      </c>
      <c r="E5" s="9">
        <v>45782.75</v>
      </c>
      <c r="F5" s="9">
        <v>94.481357564749999</v>
      </c>
      <c r="V5" s="41">
        <v>167345</v>
      </c>
      <c r="W5">
        <f t="shared" si="1"/>
        <v>6.6136184093167794E-2</v>
      </c>
      <c r="X5">
        <f t="shared" si="2"/>
        <v>1.0661361840931678</v>
      </c>
      <c r="AA5" s="41">
        <v>19170</v>
      </c>
      <c r="AB5">
        <f t="shared" si="0"/>
        <v>7.7995838722375366E-2</v>
      </c>
      <c r="AC5">
        <f t="shared" si="3"/>
        <v>1.0779958387223754</v>
      </c>
      <c r="AF5">
        <v>2060</v>
      </c>
      <c r="AG5" s="41">
        <v>9945508</v>
      </c>
      <c r="AH5" s="43">
        <f>(AG5/AG2)^(1/36)-1</f>
        <v>2.9740298811842258E-4</v>
      </c>
      <c r="AI5" t="s">
        <v>3319</v>
      </c>
    </row>
    <row r="6" spans="1:57" x14ac:dyDescent="0.25">
      <c r="A6" s="9">
        <v>26.5</v>
      </c>
      <c r="B6" s="9">
        <v>187.82599999999999</v>
      </c>
      <c r="C6" s="9">
        <v>338.44</v>
      </c>
      <c r="D6" s="9">
        <v>117352.79</v>
      </c>
      <c r="E6" s="9">
        <v>30668.86</v>
      </c>
      <c r="F6" s="9">
        <v>1.9495274236200002</v>
      </c>
      <c r="V6" s="41">
        <v>181610</v>
      </c>
      <c r="W6">
        <f t="shared" si="1"/>
        <v>8.5243060742776988E-2</v>
      </c>
      <c r="X6">
        <f t="shared" si="2"/>
        <v>1.085243060742777</v>
      </c>
      <c r="AA6" s="41">
        <v>19623</v>
      </c>
      <c r="AB6">
        <f t="shared" si="0"/>
        <v>2.3630672926447494E-2</v>
      </c>
      <c r="AC6">
        <f t="shared" si="3"/>
        <v>1.0236306729264475</v>
      </c>
    </row>
    <row r="7" spans="1:57" x14ac:dyDescent="0.25">
      <c r="A7" s="9">
        <v>192</v>
      </c>
      <c r="B7" s="9">
        <v>332.24900000000002</v>
      </c>
      <c r="C7" s="9">
        <v>43.35</v>
      </c>
      <c r="D7" s="9">
        <v>25752.37</v>
      </c>
      <c r="E7" s="9">
        <v>14720.3</v>
      </c>
      <c r="F7" s="9">
        <v>0.21203120119999999</v>
      </c>
      <c r="V7" s="41">
        <v>186352</v>
      </c>
      <c r="W7">
        <f t="shared" si="1"/>
        <v>2.6110896977038722E-2</v>
      </c>
      <c r="X7">
        <f t="shared" si="2"/>
        <v>1.0261108969770387</v>
      </c>
      <c r="AA7" s="41">
        <v>20702</v>
      </c>
      <c r="AB7">
        <f t="shared" si="0"/>
        <v>5.4986495439025562E-2</v>
      </c>
      <c r="AC7">
        <f t="shared" si="3"/>
        <v>1.0549864954390256</v>
      </c>
    </row>
    <row r="8" spans="1:57" x14ac:dyDescent="0.25">
      <c r="A8" s="9">
        <v>2246.3000000000002</v>
      </c>
      <c r="B8" s="9">
        <v>583.06299999999999</v>
      </c>
      <c r="C8" s="9">
        <v>1779.87</v>
      </c>
      <c r="D8" s="9">
        <v>2532501.2799999998</v>
      </c>
      <c r="E8" s="9">
        <v>32739.65</v>
      </c>
      <c r="F8" s="9">
        <v>33.976390278750003</v>
      </c>
      <c r="V8" s="41">
        <v>197853</v>
      </c>
      <c r="W8">
        <f t="shared" si="1"/>
        <v>6.1716536447153691E-2</v>
      </c>
      <c r="X8">
        <f t="shared" si="2"/>
        <v>1.0617165364471537</v>
      </c>
      <c r="AA8" s="41">
        <v>20101</v>
      </c>
      <c r="AB8">
        <f t="shared" si="0"/>
        <v>-2.9031011496473802E-2</v>
      </c>
      <c r="AC8">
        <f t="shared" si="3"/>
        <v>0.9709689885035262</v>
      </c>
    </row>
    <row r="9" spans="1:57" x14ac:dyDescent="0.25">
      <c r="A9" s="9">
        <v>230.596</v>
      </c>
      <c r="B9" s="9">
        <v>577.28399999999999</v>
      </c>
      <c r="C9" s="9">
        <v>143.93</v>
      </c>
      <c r="D9" s="9">
        <v>179285.43</v>
      </c>
      <c r="E9" s="9">
        <v>24676.75</v>
      </c>
      <c r="F9" s="9">
        <v>2.0503911575</v>
      </c>
      <c r="V9" s="41">
        <v>193307</v>
      </c>
      <c r="W9">
        <f t="shared" si="1"/>
        <v>-2.2976654384821105E-2</v>
      </c>
      <c r="X9">
        <f t="shared" si="2"/>
        <v>0.9770233456151789</v>
      </c>
      <c r="AA9" s="41">
        <v>22823</v>
      </c>
      <c r="AB9">
        <f t="shared" si="0"/>
        <v>0.13541614845032579</v>
      </c>
      <c r="AC9">
        <f t="shared" si="3"/>
        <v>1.1354161484503258</v>
      </c>
    </row>
    <row r="10" spans="1:57" x14ac:dyDescent="0.25">
      <c r="A10" s="9">
        <v>175.76</v>
      </c>
      <c r="B10" s="9">
        <v>1391.2929999999999</v>
      </c>
      <c r="C10" s="9">
        <v>622.66</v>
      </c>
      <c r="D10" s="9">
        <v>2669283.4300000002</v>
      </c>
      <c r="E10" s="9">
        <v>27430.28</v>
      </c>
      <c r="F10" s="9">
        <v>23.762851564000002</v>
      </c>
      <c r="V10" s="41">
        <v>220814</v>
      </c>
      <c r="W10">
        <f t="shared" si="1"/>
        <v>0.14229696803530145</v>
      </c>
      <c r="X10">
        <f t="shared" si="2"/>
        <v>1.1422969680353015</v>
      </c>
      <c r="AC10" s="44">
        <f>PRODUCT(AC3:AC9)^(1/7)-1</f>
        <v>4.5436809274182144E-2</v>
      </c>
      <c r="AD10" t="s">
        <v>3319</v>
      </c>
    </row>
    <row r="11" spans="1:57" x14ac:dyDescent="0.25">
      <c r="A11" s="9">
        <v>69.38</v>
      </c>
      <c r="B11" s="9">
        <v>480.23599999999999</v>
      </c>
      <c r="C11" s="9">
        <v>167.93</v>
      </c>
      <c r="D11" s="9">
        <v>197501.4</v>
      </c>
      <c r="E11" s="9">
        <v>47245.19</v>
      </c>
      <c r="F11" s="9">
        <v>3.8100883475500003</v>
      </c>
      <c r="X11" s="45">
        <f>PRODUCT(X3:X10)^(1/8)-1</f>
        <v>5.7927146169217902E-2</v>
      </c>
      <c r="Y11" t="s">
        <v>3319</v>
      </c>
    </row>
    <row r="12" spans="1:57" x14ac:dyDescent="0.25">
      <c r="A12" s="9">
        <v>3.036</v>
      </c>
      <c r="B12" s="9">
        <v>1227.1969999999999</v>
      </c>
      <c r="C12" s="42">
        <v>61.21</v>
      </c>
      <c r="D12" s="9">
        <v>185621.26</v>
      </c>
      <c r="E12" s="9">
        <v>22637.56</v>
      </c>
      <c r="F12" s="9">
        <v>1.7003750442800003</v>
      </c>
      <c r="X12" s="46">
        <f>(V10/V2)^(1/8)-1</f>
        <v>5.792714616921768E-2</v>
      </c>
      <c r="Y12" t="s">
        <v>3319</v>
      </c>
    </row>
    <row r="13" spans="1:57" ht="15" customHeight="1" x14ac:dyDescent="0.25">
      <c r="A13" s="9">
        <v>780.2</v>
      </c>
      <c r="B13" s="9">
        <v>1223.2460000000001</v>
      </c>
      <c r="C13" s="9">
        <v>290.77</v>
      </c>
      <c r="D13" s="9">
        <v>567292.53</v>
      </c>
      <c r="E13" s="9">
        <v>28229.51</v>
      </c>
      <c r="F13" s="9">
        <v>10.040643887289999</v>
      </c>
      <c r="U13" s="1" t="s">
        <v>3738</v>
      </c>
    </row>
    <row r="14" spans="1:57" x14ac:dyDescent="0.25">
      <c r="A14" s="9">
        <v>1717.471</v>
      </c>
      <c r="B14" s="9">
        <v>312.35300000000001</v>
      </c>
      <c r="C14" s="9">
        <v>7775.52</v>
      </c>
      <c r="D14" s="9">
        <v>6525657.8200000003</v>
      </c>
      <c r="E14" s="9">
        <v>27164.45</v>
      </c>
      <c r="F14" s="9">
        <v>65.974517030599998</v>
      </c>
      <c r="U14" s="491" t="s">
        <v>3695</v>
      </c>
      <c r="V14" s="58">
        <v>2025</v>
      </c>
      <c r="W14" s="17">
        <v>2026</v>
      </c>
      <c r="X14" s="58">
        <v>2027</v>
      </c>
      <c r="Y14" s="17">
        <v>2028</v>
      </c>
      <c r="Z14" s="58">
        <v>2029</v>
      </c>
      <c r="AA14" s="17">
        <v>2030</v>
      </c>
      <c r="AB14" s="58">
        <v>2031</v>
      </c>
      <c r="AC14" s="17">
        <v>2032</v>
      </c>
      <c r="AD14" s="58">
        <v>2033</v>
      </c>
      <c r="AE14" s="17">
        <v>2034</v>
      </c>
      <c r="AF14" s="58">
        <v>2035</v>
      </c>
      <c r="AG14" s="17">
        <v>2036</v>
      </c>
      <c r="AH14" s="58">
        <v>2037</v>
      </c>
      <c r="AI14" s="17">
        <v>2038</v>
      </c>
      <c r="AJ14" s="58">
        <v>2039</v>
      </c>
      <c r="AK14" s="17">
        <v>2040</v>
      </c>
      <c r="AL14" s="58">
        <v>2041</v>
      </c>
      <c r="AM14" s="17">
        <v>2042</v>
      </c>
      <c r="AN14" s="58">
        <v>2043</v>
      </c>
      <c r="AO14" s="17">
        <v>2044</v>
      </c>
      <c r="AP14" s="58">
        <v>2045</v>
      </c>
      <c r="AQ14" s="17">
        <v>2046</v>
      </c>
      <c r="AR14" s="58">
        <v>2047</v>
      </c>
      <c r="AS14" s="17">
        <v>2048</v>
      </c>
      <c r="AT14" s="58">
        <v>2049</v>
      </c>
      <c r="AU14" s="17">
        <v>2050</v>
      </c>
      <c r="AV14" s="58">
        <v>2051</v>
      </c>
      <c r="AW14" s="17">
        <v>2052</v>
      </c>
      <c r="AX14" s="58">
        <v>2053</v>
      </c>
      <c r="AY14" s="17">
        <v>2054</v>
      </c>
      <c r="AZ14" s="58">
        <v>2055</v>
      </c>
      <c r="BA14" s="17">
        <v>2056</v>
      </c>
      <c r="BB14" s="58">
        <v>2057</v>
      </c>
      <c r="BC14" s="17">
        <v>2058</v>
      </c>
      <c r="BD14" s="58">
        <v>2059</v>
      </c>
      <c r="BE14" s="17">
        <v>2060</v>
      </c>
    </row>
    <row r="15" spans="1:57" x14ac:dyDescent="0.25">
      <c r="A15" s="9">
        <v>50.4</v>
      </c>
      <c r="B15" s="9">
        <v>624.60599999999999</v>
      </c>
      <c r="C15" s="9">
        <v>67.33</v>
      </c>
      <c r="D15" s="9">
        <v>90370.31</v>
      </c>
      <c r="E15" s="9">
        <v>16353.68</v>
      </c>
      <c r="F15" s="9">
        <v>0.68772130503999995</v>
      </c>
      <c r="U15" s="491"/>
      <c r="V15" s="47" t="s">
        <v>3700</v>
      </c>
      <c r="W15" s="6" t="s">
        <v>3701</v>
      </c>
      <c r="X15" s="47" t="s">
        <v>3702</v>
      </c>
      <c r="Y15" s="6" t="s">
        <v>3703</v>
      </c>
      <c r="Z15" s="47" t="s">
        <v>3704</v>
      </c>
      <c r="AA15" s="6" t="s">
        <v>3705</v>
      </c>
      <c r="AB15" s="47" t="s">
        <v>3706</v>
      </c>
      <c r="AC15" s="6" t="s">
        <v>3707</v>
      </c>
      <c r="AD15" s="47" t="s">
        <v>3708</v>
      </c>
      <c r="AE15" s="6" t="s">
        <v>3709</v>
      </c>
      <c r="AF15" s="47" t="s">
        <v>3710</v>
      </c>
      <c r="AG15" s="6" t="s">
        <v>3711</v>
      </c>
      <c r="AH15" s="47" t="s">
        <v>3712</v>
      </c>
      <c r="AI15" s="6" t="s">
        <v>3713</v>
      </c>
      <c r="AJ15" s="47" t="s">
        <v>3714</v>
      </c>
      <c r="AK15" s="6" t="s">
        <v>3715</v>
      </c>
      <c r="AL15" s="47" t="s">
        <v>3716</v>
      </c>
      <c r="AM15" s="6" t="s">
        <v>3717</v>
      </c>
      <c r="AN15" s="47" t="s">
        <v>3718</v>
      </c>
      <c r="AO15" s="6" t="s">
        <v>3719</v>
      </c>
      <c r="AP15" s="47" t="s">
        <v>3720</v>
      </c>
      <c r="AQ15" s="6" t="s">
        <v>3721</v>
      </c>
      <c r="AR15" s="47" t="s">
        <v>3722</v>
      </c>
      <c r="AS15" s="6" t="s">
        <v>3723</v>
      </c>
      <c r="AT15" s="47" t="s">
        <v>3724</v>
      </c>
      <c r="AU15" s="6" t="s">
        <v>3725</v>
      </c>
      <c r="AV15" s="47" t="s">
        <v>3726</v>
      </c>
      <c r="AW15" s="6" t="s">
        <v>3727</v>
      </c>
      <c r="AX15" s="47" t="s">
        <v>3728</v>
      </c>
      <c r="AY15" s="6" t="s">
        <v>3729</v>
      </c>
      <c r="AZ15" s="47" t="s">
        <v>3730</v>
      </c>
      <c r="BA15" s="6" t="s">
        <v>3731</v>
      </c>
      <c r="BB15" s="47" t="s">
        <v>3732</v>
      </c>
      <c r="BC15" s="6" t="s">
        <v>3733</v>
      </c>
      <c r="BD15" s="47" t="s">
        <v>3734</v>
      </c>
      <c r="BE15" s="6" t="s">
        <v>3735</v>
      </c>
    </row>
    <row r="16" spans="1:57" x14ac:dyDescent="0.25">
      <c r="A16" s="9">
        <v>1249.8</v>
      </c>
      <c r="B16" s="9">
        <v>160.55699999999999</v>
      </c>
      <c r="C16" s="9">
        <v>465.6</v>
      </c>
      <c r="D16" s="9">
        <v>175778.48</v>
      </c>
      <c r="E16" s="9">
        <v>30381.03</v>
      </c>
      <c r="F16" s="9">
        <v>2.27113389765</v>
      </c>
      <c r="U16" s="491"/>
      <c r="V16" s="59">
        <v>38972</v>
      </c>
      <c r="W16" s="59">
        <f>(1+$X$11)*V16</f>
        <v>41229.536740506759</v>
      </c>
      <c r="X16" s="59">
        <f t="shared" ref="X16:BE16" si="4">(1+$X$11)*W16</f>
        <v>43617.846141763235</v>
      </c>
      <c r="Y16" s="59">
        <f t="shared" si="4"/>
        <v>46144.50349080361</v>
      </c>
      <c r="Z16" s="59">
        <f t="shared" si="4"/>
        <v>48817.52288942138</v>
      </c>
      <c r="AA16" s="59">
        <f>(1+$X$11)*Z16</f>
        <v>51645.382673456035</v>
      </c>
      <c r="AB16" s="59">
        <f>(1+$X$11)*AA16</f>
        <v>54637.052304546516</v>
      </c>
      <c r="AC16" s="59">
        <f t="shared" si="4"/>
        <v>57802.020819647187</v>
      </c>
      <c r="AD16" s="59">
        <f>(1+$X$11)*AC16</f>
        <v>61150.326928543065</v>
      </c>
      <c r="AE16" s="59">
        <f t="shared" si="4"/>
        <v>64692.590854828239</v>
      </c>
      <c r="AF16" s="59">
        <f t="shared" si="4"/>
        <v>68440.048021341281</v>
      </c>
      <c r="AG16" s="59">
        <f t="shared" si="4"/>
        <v>72404.584686901813</v>
      </c>
      <c r="AH16" s="59">
        <f t="shared" si="4"/>
        <v>76598.775647381495</v>
      </c>
      <c r="AI16" s="59">
        <f t="shared" si="4"/>
        <v>81035.924120690499</v>
      </c>
      <c r="AJ16" s="59">
        <f t="shared" si="4"/>
        <v>85730.103942187387</v>
      </c>
      <c r="AK16" s="59">
        <f>(1+$X$11)*AJ16</f>
        <v>90696.204204348716</v>
      </c>
      <c r="AL16" s="59">
        <f t="shared" si="4"/>
        <v>95949.976482287253</v>
      </c>
      <c r="AM16" s="59">
        <f t="shared" si="4"/>
        <v>101508.08479490972</v>
      </c>
      <c r="AN16" s="59">
        <f t="shared" si="4"/>
        <v>107388.15846018182</v>
      </c>
      <c r="AO16" s="59">
        <f t="shared" si="4"/>
        <v>113608.84801214791</v>
      </c>
      <c r="AP16" s="59">
        <f t="shared" si="4"/>
        <v>120189.88435706406</v>
      </c>
      <c r="AQ16" s="59">
        <f t="shared" si="4"/>
        <v>127152.1413562771</v>
      </c>
      <c r="AR16" s="59">
        <f t="shared" si="4"/>
        <v>134517.70203435121</v>
      </c>
      <c r="AS16" s="59">
        <f t="shared" si="4"/>
        <v>142309.92862244238</v>
      </c>
      <c r="AT16" s="59">
        <f t="shared" si="4"/>
        <v>150553.53665908557</v>
      </c>
      <c r="AU16" s="59">
        <f t="shared" si="4"/>
        <v>159274.67338342912</v>
      </c>
      <c r="AV16" s="59">
        <f t="shared" si="4"/>
        <v>168501.00066956546</v>
      </c>
      <c r="AW16" s="59">
        <f t="shared" si="4"/>
        <v>178261.78276501087</v>
      </c>
      <c r="AX16" s="59">
        <f t="shared" si="4"/>
        <v>188587.97911162503</v>
      </c>
      <c r="AY16" s="59">
        <f>(1+$X$11)*AX16</f>
        <v>199512.34254338153</v>
      </c>
      <c r="AZ16" s="59">
        <f t="shared" si="4"/>
        <v>211069.52317245505</v>
      </c>
      <c r="BA16" s="59">
        <f t="shared" si="4"/>
        <v>223296.17829313298</v>
      </c>
      <c r="BB16" s="59">
        <f t="shared" si="4"/>
        <v>236231.08865214704</v>
      </c>
      <c r="BC16" s="59">
        <f t="shared" si="4"/>
        <v>249915.28145421343</v>
      </c>
      <c r="BD16" s="59">
        <f t="shared" si="4"/>
        <v>264392.16049293289</v>
      </c>
      <c r="BE16" s="59">
        <f t="shared" si="4"/>
        <v>279707.64381980232</v>
      </c>
    </row>
    <row r="17" spans="1:58" x14ac:dyDescent="0.25">
      <c r="A17" s="9">
        <v>25</v>
      </c>
      <c r="B17" s="9">
        <v>1600.3579999999999</v>
      </c>
      <c r="C17" s="9">
        <v>81.93</v>
      </c>
      <c r="D17" s="9">
        <v>239926.55</v>
      </c>
      <c r="E17" s="9">
        <v>13547.33</v>
      </c>
      <c r="F17" s="9">
        <v>1.77636655159</v>
      </c>
      <c r="U17" s="57"/>
      <c r="W17" s="36"/>
      <c r="X17" s="36"/>
      <c r="Y17" s="36"/>
      <c r="Z17" s="36"/>
      <c r="AA17" s="36"/>
      <c r="AB17" s="36"/>
      <c r="AC17" s="36"/>
      <c r="AD17" s="36"/>
      <c r="AE17" s="36"/>
      <c r="AF17" s="36"/>
      <c r="AG17" s="36"/>
      <c r="AH17" s="36"/>
      <c r="AI17" s="36"/>
      <c r="AJ17" s="36"/>
      <c r="AK17" s="36"/>
      <c r="AL17" s="36"/>
      <c r="AM17" s="36"/>
      <c r="AN17" s="36"/>
      <c r="AO17" s="36"/>
      <c r="AP17" s="36"/>
      <c r="AQ17" s="36"/>
      <c r="AR17" s="36"/>
      <c r="AS17" s="36"/>
      <c r="AT17" s="36"/>
      <c r="AU17" s="36"/>
      <c r="AV17" s="36"/>
      <c r="AW17" s="36"/>
      <c r="AX17" s="36"/>
      <c r="AY17" s="36"/>
      <c r="AZ17" s="36"/>
      <c r="BA17" s="36"/>
      <c r="BB17" s="36"/>
      <c r="BC17" s="36"/>
      <c r="BD17" s="36"/>
      <c r="BE17" s="36"/>
      <c r="BF17" s="36"/>
    </row>
    <row r="18" spans="1:58" x14ac:dyDescent="0.25">
      <c r="A18" s="9">
        <v>11.512</v>
      </c>
      <c r="B18" s="9">
        <v>258.78800000000001</v>
      </c>
      <c r="C18" s="9">
        <v>1105.6199999999999</v>
      </c>
      <c r="D18" s="9">
        <v>522709.24411999999</v>
      </c>
      <c r="E18" s="9">
        <v>18381.080000000002</v>
      </c>
      <c r="F18" s="9">
        <v>5.2591946096000006</v>
      </c>
    </row>
    <row r="19" spans="1:58" x14ac:dyDescent="0.25">
      <c r="A19" s="9">
        <v>88.805000000000007</v>
      </c>
      <c r="B19" s="9">
        <v>105.071</v>
      </c>
      <c r="C19" s="9">
        <v>2231.91</v>
      </c>
      <c r="D19" s="9">
        <v>657108.09501000005</v>
      </c>
      <c r="E19" s="9">
        <v>53410.239999999998</v>
      </c>
      <c r="F19" s="9">
        <v>12.52518197216</v>
      </c>
    </row>
    <row r="20" spans="1:58" x14ac:dyDescent="0.25">
      <c r="A20" s="9">
        <v>225</v>
      </c>
      <c r="B20" s="9">
        <v>435.86799999999999</v>
      </c>
      <c r="C20" s="9">
        <v>35.04</v>
      </c>
      <c r="D20" s="9">
        <v>33925.604650000001</v>
      </c>
      <c r="E20" s="9">
        <v>34273.120000000003</v>
      </c>
      <c r="F20" s="9">
        <v>0.52348763488000005</v>
      </c>
    </row>
    <row r="21" spans="1:58" x14ac:dyDescent="0.25">
      <c r="A21" s="9">
        <v>1385.28</v>
      </c>
      <c r="B21" s="9">
        <v>842.63499999999999</v>
      </c>
      <c r="C21" s="9">
        <v>64.25</v>
      </c>
      <c r="D21" s="9">
        <v>219614.33442</v>
      </c>
      <c r="E21" s="9">
        <v>175103.17</v>
      </c>
      <c r="F21" s="9">
        <v>9.4806109333100022</v>
      </c>
    </row>
    <row r="22" spans="1:58" x14ac:dyDescent="0.25">
      <c r="A22" s="9">
        <v>7.0000000000000001E-3</v>
      </c>
      <c r="B22" s="9">
        <v>724.83799999999997</v>
      </c>
      <c r="C22" s="9">
        <v>109.15</v>
      </c>
      <c r="D22" s="9">
        <v>130286.85992</v>
      </c>
      <c r="E22" s="9">
        <v>13494.44</v>
      </c>
      <c r="F22" s="9">
        <v>1.0676126206000001</v>
      </c>
    </row>
    <row r="23" spans="1:58" x14ac:dyDescent="0.25">
      <c r="A23" s="9">
        <v>74.7</v>
      </c>
      <c r="B23" s="9">
        <v>124.006</v>
      </c>
      <c r="C23" s="9">
        <v>2037.93</v>
      </c>
      <c r="D23" s="9">
        <v>385729.94785</v>
      </c>
      <c r="E23" s="9">
        <v>25121.67</v>
      </c>
      <c r="F23" s="9">
        <v>6.3486479557199997</v>
      </c>
    </row>
    <row r="24" spans="1:58" x14ac:dyDescent="0.25">
      <c r="A24" s="9">
        <v>71.83</v>
      </c>
      <c r="B24" s="9">
        <v>2099.3339999999998</v>
      </c>
      <c r="C24" s="9">
        <v>126.03</v>
      </c>
      <c r="D24" s="9">
        <v>519898.75003</v>
      </c>
      <c r="E24" s="9">
        <v>26570.03</v>
      </c>
      <c r="F24" s="9">
        <v>7.0298188273099997</v>
      </c>
    </row>
    <row r="25" spans="1:58" x14ac:dyDescent="0.25">
      <c r="A25" s="9">
        <v>1376.1279999999999</v>
      </c>
      <c r="B25" s="9">
        <v>167.40100000000001</v>
      </c>
      <c r="C25" s="9">
        <v>4488.03</v>
      </c>
      <c r="D25" s="9">
        <v>2087214.0439899999</v>
      </c>
      <c r="E25" s="9">
        <v>26972.28</v>
      </c>
      <c r="F25" s="9">
        <v>20.264273964000001</v>
      </c>
    </row>
    <row r="26" spans="1:58" x14ac:dyDescent="0.25">
      <c r="A26" s="9">
        <v>290.68400000000003</v>
      </c>
      <c r="B26" s="9">
        <v>29.873000000000001</v>
      </c>
      <c r="C26" s="9">
        <v>2226.73</v>
      </c>
      <c r="D26" s="9">
        <v>225136.87260999999</v>
      </c>
      <c r="E26" s="9">
        <v>45182.89</v>
      </c>
      <c r="F26" s="9">
        <v>3.0055206599099997</v>
      </c>
      <c r="U26" s="1" t="s">
        <v>3737</v>
      </c>
    </row>
    <row r="27" spans="1:58" x14ac:dyDescent="0.25">
      <c r="A27" s="9">
        <v>11.435</v>
      </c>
      <c r="B27" s="9">
        <v>591.65800000000002</v>
      </c>
      <c r="C27" s="9">
        <v>708.82</v>
      </c>
      <c r="D27" s="9">
        <v>892403.17871000001</v>
      </c>
      <c r="E27" s="9">
        <v>25066.11</v>
      </c>
      <c r="F27" s="9">
        <v>10.51220014569</v>
      </c>
    </row>
    <row r="28" spans="1:58" x14ac:dyDescent="0.25">
      <c r="A28" s="9">
        <v>1105.0809999999999</v>
      </c>
      <c r="B28" s="9">
        <v>210.04400000000001</v>
      </c>
      <c r="C28" s="9">
        <v>3970.27</v>
      </c>
      <c r="D28" s="9">
        <v>1921360.5419300001</v>
      </c>
      <c r="E28" s="9">
        <v>26936.78</v>
      </c>
      <c r="F28" s="9">
        <v>22.463442818960001</v>
      </c>
    </row>
    <row r="29" spans="1:58" x14ac:dyDescent="0.25">
      <c r="A29" s="9">
        <v>79.5</v>
      </c>
      <c r="B29" s="9">
        <v>402.74799999999999</v>
      </c>
      <c r="C29" s="9">
        <v>118.33</v>
      </c>
      <c r="D29" s="9">
        <v>83188.316999999995</v>
      </c>
      <c r="E29" s="9">
        <v>13646.91</v>
      </c>
      <c r="F29" s="9">
        <v>0.65038443678000002</v>
      </c>
    </row>
    <row r="30" spans="1:58" x14ac:dyDescent="0.25">
      <c r="A30" s="9">
        <v>1044.9860000000001</v>
      </c>
      <c r="B30" s="9">
        <v>445.38600000000002</v>
      </c>
      <c r="C30" s="9">
        <v>456.77</v>
      </c>
      <c r="D30" s="9">
        <v>597762.02821999998</v>
      </c>
      <c r="E30" s="9">
        <v>65022.05</v>
      </c>
      <c r="F30" s="9">
        <v>13.228085852</v>
      </c>
    </row>
    <row r="31" spans="1:58" x14ac:dyDescent="0.25">
      <c r="A31" s="9">
        <v>222.33600000000001</v>
      </c>
      <c r="B31" s="9">
        <v>39.116</v>
      </c>
      <c r="C31" s="9">
        <v>198.13</v>
      </c>
      <c r="D31" s="9">
        <v>30565.25951</v>
      </c>
      <c r="E31" s="9">
        <v>33213.32</v>
      </c>
      <c r="F31" s="9">
        <v>0.25740322999999998</v>
      </c>
    </row>
    <row r="32" spans="1:58" x14ac:dyDescent="0.25">
      <c r="A32" s="9">
        <v>164.464</v>
      </c>
      <c r="B32" s="9">
        <v>147.017</v>
      </c>
      <c r="C32" s="9">
        <v>539.35</v>
      </c>
      <c r="D32" s="9">
        <v>127645.63</v>
      </c>
      <c r="E32" s="9">
        <v>20496.82</v>
      </c>
      <c r="F32" s="9">
        <v>1.6252543482599999</v>
      </c>
    </row>
    <row r="33" spans="1:6" x14ac:dyDescent="0.25">
      <c r="A33" s="9">
        <v>1065</v>
      </c>
      <c r="B33" s="9">
        <v>923.15</v>
      </c>
      <c r="C33" s="9">
        <v>409.52</v>
      </c>
      <c r="D33" s="9">
        <v>617694.32903000002</v>
      </c>
      <c r="E33" s="9">
        <v>23456.58</v>
      </c>
      <c r="F33" s="9">
        <v>8.8677131558400006</v>
      </c>
    </row>
    <row r="34" spans="1:6" x14ac:dyDescent="0.25">
      <c r="A34" s="9">
        <v>240.785</v>
      </c>
      <c r="B34" s="9">
        <v>258.72399999999999</v>
      </c>
      <c r="C34" s="9">
        <v>2489.2800000000002</v>
      </c>
      <c r="D34" s="9">
        <v>1100876.6542799999</v>
      </c>
      <c r="E34" s="9">
        <v>22680.83</v>
      </c>
      <c r="F34" s="9">
        <v>14.607293710710001</v>
      </c>
    </row>
    <row r="35" spans="1:6" x14ac:dyDescent="0.25">
      <c r="A35" s="9">
        <v>306.51299999999998</v>
      </c>
      <c r="B35" s="9">
        <v>130.572</v>
      </c>
      <c r="C35" s="9">
        <v>234.72</v>
      </c>
      <c r="D35" s="9">
        <v>57721.772060000003</v>
      </c>
      <c r="E35" s="9">
        <v>21071.46</v>
      </c>
      <c r="F35" s="9">
        <v>0.64579810607999988</v>
      </c>
    </row>
    <row r="36" spans="1:6" x14ac:dyDescent="0.25">
      <c r="A36" s="9">
        <v>20.998000000000001</v>
      </c>
      <c r="B36" s="9">
        <v>41.3</v>
      </c>
      <c r="C36" s="9">
        <v>8474</v>
      </c>
      <c r="D36" s="9">
        <v>564477.78381000005</v>
      </c>
      <c r="E36" s="9">
        <v>14700.91</v>
      </c>
      <c r="F36" s="9">
        <v>5.1449656781600002</v>
      </c>
    </row>
    <row r="37" spans="1:6" x14ac:dyDescent="0.25">
      <c r="A37" s="9">
        <v>627.65300000000002</v>
      </c>
      <c r="B37" s="9">
        <v>339.40100000000001</v>
      </c>
      <c r="C37" s="9">
        <v>160.82</v>
      </c>
      <c r="D37" s="9">
        <v>135059.73673</v>
      </c>
      <c r="E37" s="9">
        <v>14497.54</v>
      </c>
      <c r="F37" s="9">
        <v>0.79133372335999996</v>
      </c>
    </row>
    <row r="38" spans="1:6" x14ac:dyDescent="0.25">
      <c r="A38" s="9">
        <v>58.777000000000001</v>
      </c>
      <c r="B38" s="9">
        <v>4561.87</v>
      </c>
      <c r="C38" s="9">
        <v>84.79</v>
      </c>
      <c r="D38" s="9">
        <v>604499.95461999997</v>
      </c>
      <c r="E38" s="9">
        <v>22244.46</v>
      </c>
      <c r="F38" s="9">
        <v>8.6039569278600005</v>
      </c>
    </row>
    <row r="39" spans="1:6" x14ac:dyDescent="0.25">
      <c r="A39" s="9">
        <v>22053.438999999998</v>
      </c>
      <c r="B39" s="9">
        <v>218.84299999999999</v>
      </c>
      <c r="C39" s="9">
        <v>6803.6</v>
      </c>
      <c r="D39" s="9">
        <v>4359406.3480399996</v>
      </c>
      <c r="E39" s="9">
        <v>33094.370000000003</v>
      </c>
      <c r="F39" s="9">
        <v>49.274869380399998</v>
      </c>
    </row>
    <row r="40" spans="1:6" x14ac:dyDescent="0.25">
      <c r="A40" s="9">
        <v>52</v>
      </c>
      <c r="B40" s="9">
        <v>335.30900000000003</v>
      </c>
      <c r="C40" s="9">
        <v>293.02999999999997</v>
      </c>
      <c r="D40" s="9">
        <v>157045.08379999999</v>
      </c>
      <c r="E40" s="9">
        <v>17222.96</v>
      </c>
      <c r="F40" s="9">
        <v>1.69222471184</v>
      </c>
    </row>
    <row r="41" spans="1:6" x14ac:dyDescent="0.25">
      <c r="A41" s="9">
        <v>78</v>
      </c>
      <c r="B41" s="9">
        <v>335.30900000000003</v>
      </c>
      <c r="C41" s="9">
        <v>293.02999999999997</v>
      </c>
      <c r="D41" s="9">
        <v>157045.08379999999</v>
      </c>
      <c r="E41" s="9">
        <v>17222.96</v>
      </c>
      <c r="F41" s="9">
        <v>1.69222471184</v>
      </c>
    </row>
    <row r="42" spans="1:6" x14ac:dyDescent="0.25">
      <c r="A42" s="9">
        <v>444.11200000000002</v>
      </c>
      <c r="B42" s="9">
        <v>345.65499999999997</v>
      </c>
      <c r="C42" s="9">
        <v>678.99</v>
      </c>
      <c r="D42" s="9">
        <v>541162.19010000001</v>
      </c>
      <c r="E42" s="9">
        <v>25248.44</v>
      </c>
      <c r="F42" s="9">
        <v>5.9257078742399996</v>
      </c>
    </row>
    <row r="43" spans="1:6" x14ac:dyDescent="0.25">
      <c r="A43" s="9">
        <v>7863.8159999999998</v>
      </c>
      <c r="B43" s="9">
        <v>509.32</v>
      </c>
      <c r="C43" s="9">
        <v>1880.77</v>
      </c>
      <c r="D43" s="9">
        <v>2223470.5787200001</v>
      </c>
      <c r="E43" s="9">
        <v>26642.2</v>
      </c>
      <c r="F43" s="9">
        <v>25.520989655200001</v>
      </c>
    </row>
    <row r="44" spans="1:6" x14ac:dyDescent="0.25">
      <c r="A44" s="9">
        <v>11.792999999999999</v>
      </c>
      <c r="B44" s="9">
        <v>235.852</v>
      </c>
      <c r="C44" s="9">
        <v>85.15</v>
      </c>
      <c r="D44" s="9">
        <v>38593.305059999999</v>
      </c>
      <c r="E44" s="9">
        <v>13337.96</v>
      </c>
      <c r="F44" s="9">
        <v>0.26785291271999995</v>
      </c>
    </row>
    <row r="45" spans="1:6" x14ac:dyDescent="0.25">
      <c r="A45" s="9">
        <v>22.13</v>
      </c>
      <c r="B45" s="9">
        <v>293.81599999999997</v>
      </c>
      <c r="C45" s="9">
        <v>319.68</v>
      </c>
      <c r="D45" s="9">
        <v>136916.68752000001</v>
      </c>
      <c r="E45" s="9">
        <v>18806.12</v>
      </c>
      <c r="F45" s="9">
        <v>1.7664024332399999</v>
      </c>
    </row>
    <row r="46" spans="1:6" x14ac:dyDescent="0.25">
      <c r="A46" s="9">
        <v>10.656000000000001</v>
      </c>
      <c r="B46" s="9">
        <v>155.018</v>
      </c>
      <c r="C46" s="9">
        <v>1240.69</v>
      </c>
      <c r="D46" s="9">
        <v>257530.34280000001</v>
      </c>
      <c r="E46" s="9">
        <v>17219.66</v>
      </c>
      <c r="F46" s="9">
        <v>3.3118572078000001</v>
      </c>
    </row>
    <row r="47" spans="1:6" x14ac:dyDescent="0.25">
      <c r="A47" s="9">
        <v>4.9349999999999996</v>
      </c>
      <c r="B47" s="9">
        <v>785.42100000000005</v>
      </c>
      <c r="C47" s="9">
        <v>382.43</v>
      </c>
      <c r="D47" s="9">
        <v>979305.40469999996</v>
      </c>
      <c r="E47" s="9">
        <v>109866.84</v>
      </c>
      <c r="F47" s="9">
        <v>33.000922464479999</v>
      </c>
    </row>
    <row r="48" spans="1:6" x14ac:dyDescent="0.25">
      <c r="A48" s="9">
        <v>444.4</v>
      </c>
      <c r="B48" s="9">
        <v>1304.425</v>
      </c>
      <c r="C48" s="9">
        <v>472.45</v>
      </c>
      <c r="D48" s="9">
        <v>1099658.8289999999</v>
      </c>
      <c r="E48" s="9">
        <v>27691.08</v>
      </c>
      <c r="F48" s="9">
        <v>17.065237253759999</v>
      </c>
    </row>
    <row r="49" spans="1:6" x14ac:dyDescent="0.25">
      <c r="A49" s="9">
        <v>451.096</v>
      </c>
      <c r="B49" s="9">
        <v>57.942</v>
      </c>
      <c r="C49" s="9">
        <v>3509.22</v>
      </c>
      <c r="D49" s="9">
        <v>474285.94150999998</v>
      </c>
      <c r="E49" s="9">
        <v>35778.639999999999</v>
      </c>
      <c r="F49" s="9">
        <v>7.2749066498400001</v>
      </c>
    </row>
    <row r="50" spans="1:6" x14ac:dyDescent="0.25">
      <c r="A50" s="9">
        <v>437.00099999999998</v>
      </c>
      <c r="B50" s="9">
        <v>693.44200000000001</v>
      </c>
      <c r="C50" s="9">
        <v>3486.49</v>
      </c>
      <c r="D50" s="9">
        <v>5674145.3245999999</v>
      </c>
      <c r="E50" s="9">
        <v>21706.06</v>
      </c>
      <c r="F50" s="9">
        <v>52.478263728679998</v>
      </c>
    </row>
    <row r="51" spans="1:6" x14ac:dyDescent="0.25">
      <c r="A51" s="9">
        <v>115.837</v>
      </c>
      <c r="B51" s="9">
        <v>201.52799999999999</v>
      </c>
      <c r="C51" s="9">
        <v>568.45000000000005</v>
      </c>
      <c r="D51" s="9">
        <v>293260.79504</v>
      </c>
      <c r="E51" s="9">
        <v>46196.74</v>
      </c>
      <c r="F51" s="9">
        <v>5.2922523376599999</v>
      </c>
    </row>
    <row r="52" spans="1:6" x14ac:dyDescent="0.25">
      <c r="A52" s="9">
        <v>1513.596</v>
      </c>
      <c r="B52" s="9">
        <v>1164.0619999999999</v>
      </c>
      <c r="C52" s="9">
        <v>95.95</v>
      </c>
      <c r="D52" s="9">
        <v>331538.25</v>
      </c>
      <c r="E52" s="9">
        <v>82570.25</v>
      </c>
      <c r="F52" s="9">
        <v>9.2223537927500008</v>
      </c>
    </row>
    <row r="53" spans="1:6" x14ac:dyDescent="0.25">
      <c r="A53" s="9">
        <v>571.54999999999995</v>
      </c>
      <c r="B53" s="9">
        <v>331.35399999999998</v>
      </c>
      <c r="C53" s="9">
        <v>6988.18</v>
      </c>
      <c r="D53" s="9">
        <v>10036417.539999999</v>
      </c>
      <c r="E53" s="9">
        <v>41818.32</v>
      </c>
      <c r="F53" s="9">
        <v>96.832829059199995</v>
      </c>
    </row>
    <row r="54" spans="1:6" x14ac:dyDescent="0.25">
      <c r="A54" s="9">
        <v>1636.047</v>
      </c>
      <c r="B54" s="9">
        <v>344.06200000000001</v>
      </c>
      <c r="C54" s="9">
        <v>1197.01</v>
      </c>
      <c r="D54" s="9">
        <v>1363402.09</v>
      </c>
      <c r="E54" s="9">
        <v>73624.78</v>
      </c>
      <c r="F54" s="9">
        <v>30.322071143880002</v>
      </c>
    </row>
    <row r="55" spans="1:6" x14ac:dyDescent="0.25">
      <c r="A55" s="9">
        <v>21.884</v>
      </c>
      <c r="B55" s="9">
        <v>1258.479</v>
      </c>
      <c r="C55" s="9">
        <v>69.42</v>
      </c>
      <c r="D55" s="9">
        <v>156263.63</v>
      </c>
      <c r="E55" s="9">
        <v>24518.79</v>
      </c>
      <c r="F55" s="9">
        <v>2.1419614944000003</v>
      </c>
    </row>
    <row r="56" spans="1:6" x14ac:dyDescent="0.25">
      <c r="A56" s="9">
        <v>64.650000000000006</v>
      </c>
      <c r="B56" s="9">
        <v>630.70600000000002</v>
      </c>
      <c r="C56" s="9">
        <v>47.82</v>
      </c>
      <c r="D56" s="9">
        <v>57678.239999999998</v>
      </c>
      <c r="E56" s="9">
        <v>38451.85</v>
      </c>
      <c r="F56" s="9">
        <v>1.1596693441499999</v>
      </c>
    </row>
    <row r="57" spans="1:6" x14ac:dyDescent="0.25">
      <c r="A57" s="9">
        <v>569.44200000000001</v>
      </c>
      <c r="B57" s="9">
        <v>370.24599999999998</v>
      </c>
      <c r="C57" s="9">
        <v>355.5</v>
      </c>
      <c r="D57" s="9">
        <v>211192.19</v>
      </c>
      <c r="E57" s="9">
        <v>23881.55</v>
      </c>
      <c r="F57" s="9">
        <v>3.1433134925499999</v>
      </c>
    </row>
    <row r="58" spans="1:6" x14ac:dyDescent="0.25">
      <c r="A58" s="9">
        <v>7912.7839999999997</v>
      </c>
      <c r="B58" s="9">
        <v>194.74600000000001</v>
      </c>
      <c r="C58" s="9">
        <v>3193.2</v>
      </c>
      <c r="D58" s="9">
        <v>1632664.77</v>
      </c>
      <c r="E58" s="9">
        <v>54136.41</v>
      </c>
      <c r="F58" s="9">
        <v>33.665430331830002</v>
      </c>
    </row>
    <row r="59" spans="1:6" x14ac:dyDescent="0.25">
      <c r="A59" s="9">
        <v>1208.1110000000001</v>
      </c>
      <c r="B59" s="9">
        <v>221.25200000000001</v>
      </c>
      <c r="C59" s="9">
        <v>473.38</v>
      </c>
      <c r="D59" s="9">
        <v>171355</v>
      </c>
      <c r="E59" s="9">
        <v>18029.419999999998</v>
      </c>
      <c r="F59" s="9">
        <v>1.88832933312</v>
      </c>
    </row>
    <row r="60" spans="1:6" x14ac:dyDescent="0.25">
      <c r="A60" s="9">
        <v>21</v>
      </c>
      <c r="B60" s="9">
        <v>177.34700000000001</v>
      </c>
      <c r="C60" s="9">
        <v>71.569999999999993</v>
      </c>
      <c r="D60" s="9">
        <v>32841.79</v>
      </c>
      <c r="E60" s="9">
        <v>85067.72</v>
      </c>
      <c r="F60" s="9">
        <v>1.0796795022400001</v>
      </c>
    </row>
    <row r="61" spans="1:6" x14ac:dyDescent="0.25">
      <c r="A61" s="9">
        <v>25</v>
      </c>
      <c r="B61" s="9">
        <v>1435.749</v>
      </c>
      <c r="C61" s="9">
        <v>376.64</v>
      </c>
      <c r="D61" s="9">
        <v>1571853.68</v>
      </c>
      <c r="E61" s="9">
        <v>35145.339999999997</v>
      </c>
      <c r="F61" s="9">
        <v>19.005053477039997</v>
      </c>
    </row>
    <row r="62" spans="1:6" x14ac:dyDescent="0.25">
      <c r="A62" s="9">
        <v>181.61</v>
      </c>
      <c r="B62" s="9">
        <v>157.066</v>
      </c>
      <c r="C62" s="9">
        <v>89.9</v>
      </c>
      <c r="D62" s="9">
        <v>40979.42</v>
      </c>
      <c r="E62" s="9">
        <v>42951.23</v>
      </c>
      <c r="F62" s="9">
        <v>0.60651431883000007</v>
      </c>
    </row>
    <row r="63" spans="1:6" x14ac:dyDescent="0.25">
      <c r="A63" s="9">
        <v>154.375</v>
      </c>
      <c r="B63" s="9">
        <v>429.31299999999999</v>
      </c>
      <c r="C63" s="9">
        <v>260.18</v>
      </c>
      <c r="D63" s="9">
        <v>468838.77</v>
      </c>
      <c r="E63" s="9">
        <v>216092.4</v>
      </c>
      <c r="F63" s="9">
        <v>24.136872802799999</v>
      </c>
    </row>
    <row r="64" spans="1:6" x14ac:dyDescent="0.25">
      <c r="A64" s="9">
        <v>50</v>
      </c>
      <c r="B64" s="9">
        <v>2874.3440000000001</v>
      </c>
      <c r="C64" s="9">
        <v>31.25</v>
      </c>
      <c r="D64" s="9">
        <v>247035.03</v>
      </c>
      <c r="E64" s="9">
        <v>39932.300000000003</v>
      </c>
      <c r="F64" s="9">
        <v>3.5869587798000002</v>
      </c>
    </row>
    <row r="65" spans="1:6" x14ac:dyDescent="0.25">
      <c r="A65" s="9">
        <v>495</v>
      </c>
      <c r="B65" s="9">
        <v>2451.1120000000001</v>
      </c>
      <c r="C65" s="9">
        <v>7</v>
      </c>
      <c r="D65" s="9">
        <v>56992.03</v>
      </c>
      <c r="E65" s="9">
        <v>98918.71</v>
      </c>
      <c r="F65" s="9">
        <v>1.69655479521</v>
      </c>
    </row>
    <row r="66" spans="1:6" x14ac:dyDescent="0.25">
      <c r="A66" s="9">
        <v>515.197</v>
      </c>
      <c r="B66" s="9">
        <v>542.79700000000003</v>
      </c>
      <c r="C66" s="9">
        <v>280.43</v>
      </c>
      <c r="D66" s="9">
        <v>428322.74</v>
      </c>
      <c r="E66" s="9">
        <v>69478.81</v>
      </c>
      <c r="F66" s="9">
        <v>10.575856021770001</v>
      </c>
    </row>
    <row r="67" spans="1:6" x14ac:dyDescent="0.25">
      <c r="A67" s="9">
        <v>365.65899999999999</v>
      </c>
      <c r="B67" s="9">
        <v>155.10499999999999</v>
      </c>
      <c r="C67" s="9">
        <v>2126.2600000000002</v>
      </c>
      <c r="D67" s="9">
        <v>379009.89</v>
      </c>
      <c r="E67" s="9">
        <v>15177.16</v>
      </c>
      <c r="F67" s="9">
        <v>5.0053363050400002</v>
      </c>
    </row>
    <row r="68" spans="1:6" x14ac:dyDescent="0.25">
      <c r="A68" s="9">
        <v>10.8</v>
      </c>
      <c r="B68" s="9">
        <v>302.45299999999997</v>
      </c>
      <c r="C68" s="9">
        <v>427.77</v>
      </c>
      <c r="D68" s="9">
        <v>238256.27</v>
      </c>
      <c r="E68" s="9">
        <v>30474.48</v>
      </c>
      <c r="F68" s="9">
        <v>3.9427882223999999</v>
      </c>
    </row>
    <row r="69" spans="1:6" x14ac:dyDescent="0.25">
      <c r="A69" s="9">
        <v>51.5</v>
      </c>
      <c r="B69" s="9">
        <v>1295.2719999999999</v>
      </c>
      <c r="C69" s="9">
        <v>9.11</v>
      </c>
      <c r="D69" s="9">
        <v>37925.870000000003</v>
      </c>
      <c r="E69" s="9">
        <v>83678.44</v>
      </c>
      <c r="F69" s="9">
        <v>0.98748927044000001</v>
      </c>
    </row>
    <row r="70" spans="1:6" x14ac:dyDescent="0.25">
      <c r="A70" s="9">
        <v>548.58000000000004</v>
      </c>
      <c r="B70" s="9">
        <v>312.166</v>
      </c>
      <c r="C70" s="9">
        <v>19.79</v>
      </c>
      <c r="D70" s="9">
        <v>14617.48</v>
      </c>
      <c r="E70" s="9">
        <v>22619.95</v>
      </c>
      <c r="F70" s="9">
        <v>0.13976867105000002</v>
      </c>
    </row>
    <row r="71" spans="1:6" x14ac:dyDescent="0.25">
      <c r="A71" s="9">
        <v>1</v>
      </c>
      <c r="B71" s="9">
        <v>828.03800000000001</v>
      </c>
      <c r="C71" s="9">
        <v>91.16</v>
      </c>
      <c r="D71" s="9">
        <v>157536.64000000001</v>
      </c>
      <c r="E71" s="9">
        <v>36734.42</v>
      </c>
      <c r="F71" s="9">
        <v>2.7728976936999996</v>
      </c>
    </row>
    <row r="72" spans="1:6" x14ac:dyDescent="0.25">
      <c r="A72" s="9">
        <v>7515.7160000000003</v>
      </c>
      <c r="B72" s="9">
        <v>4115.2060000000001</v>
      </c>
      <c r="C72" s="9">
        <v>173.31</v>
      </c>
      <c r="D72" s="9">
        <v>2038217.9</v>
      </c>
      <c r="E72" s="9">
        <v>61038.02</v>
      </c>
      <c r="F72" s="9">
        <v>43.533780776479993</v>
      </c>
    </row>
    <row r="73" spans="1:6" x14ac:dyDescent="0.25">
      <c r="A73" s="9">
        <v>3107.4360000000001</v>
      </c>
      <c r="B73" s="9">
        <v>279.71800000000002</v>
      </c>
      <c r="C73" s="9">
        <v>1263.74</v>
      </c>
      <c r="D73" s="9">
        <v>527566.91</v>
      </c>
      <c r="E73" s="9">
        <v>35444.120000000003</v>
      </c>
      <c r="F73" s="9">
        <v>12.52917742292</v>
      </c>
    </row>
    <row r="74" spans="1:6" x14ac:dyDescent="0.25">
      <c r="A74" s="9">
        <v>26.46</v>
      </c>
      <c r="B74" s="9">
        <v>3496.2629999999999</v>
      </c>
      <c r="C74" s="9">
        <v>47.7</v>
      </c>
      <c r="D74" s="9">
        <v>470722.35</v>
      </c>
      <c r="E74" s="9">
        <v>44705.34</v>
      </c>
      <c r="F74" s="9">
        <v>7.4562248372399997</v>
      </c>
    </row>
    <row r="75" spans="1:6" x14ac:dyDescent="0.25">
      <c r="A75" s="9">
        <v>760.404</v>
      </c>
      <c r="B75" s="9">
        <v>97.123000000000005</v>
      </c>
      <c r="C75" s="9">
        <v>3324.33</v>
      </c>
      <c r="D75" s="9">
        <v>1508160.74</v>
      </c>
      <c r="E75" s="9">
        <v>85035.67</v>
      </c>
      <c r="F75" s="9">
        <v>27.455381737229999</v>
      </c>
    </row>
    <row r="76" spans="1:6" x14ac:dyDescent="0.25">
      <c r="A76" s="9">
        <v>50.39</v>
      </c>
      <c r="B76" s="9">
        <v>78.984999999999999</v>
      </c>
      <c r="C76" s="9">
        <v>6116.19</v>
      </c>
      <c r="D76" s="9">
        <v>612697.53</v>
      </c>
      <c r="E76" s="9">
        <v>17156.71</v>
      </c>
      <c r="F76" s="9">
        <v>8.2881835637699997</v>
      </c>
    </row>
    <row r="77" spans="1:6" x14ac:dyDescent="0.25">
      <c r="A77" s="9">
        <v>166.91</v>
      </c>
      <c r="B77" s="9">
        <v>4032.4870000000001</v>
      </c>
      <c r="C77" s="9">
        <v>119.91</v>
      </c>
      <c r="D77" s="9">
        <v>1663244.7</v>
      </c>
      <c r="E77" s="9">
        <v>72243.98</v>
      </c>
      <c r="F77" s="9">
        <v>34.932854089199999</v>
      </c>
    </row>
    <row r="78" spans="1:6" x14ac:dyDescent="0.25">
      <c r="A78" s="9">
        <v>15466.215</v>
      </c>
      <c r="B78" s="9">
        <v>467.31900000000002</v>
      </c>
      <c r="C78" s="9">
        <v>1729.36</v>
      </c>
      <c r="D78" s="9">
        <v>2369382.2400000002</v>
      </c>
      <c r="E78" s="9">
        <v>57170.07</v>
      </c>
      <c r="F78" s="9">
        <v>46.202620941269998</v>
      </c>
    </row>
    <row r="79" spans="1:6" x14ac:dyDescent="0.25">
      <c r="A79" s="9">
        <v>24.29</v>
      </c>
      <c r="B79" s="9">
        <v>1106.694</v>
      </c>
      <c r="C79" s="9">
        <v>91.3</v>
      </c>
      <c r="D79" s="9">
        <v>296249.45</v>
      </c>
      <c r="E79" s="9">
        <v>32533.22</v>
      </c>
      <c r="F79" s="9">
        <v>3.2871890820199998</v>
      </c>
    </row>
    <row r="80" spans="1:6" x14ac:dyDescent="0.25">
      <c r="A80" s="9">
        <v>40</v>
      </c>
      <c r="B80" s="9">
        <v>82.254000000000005</v>
      </c>
      <c r="C80" s="9">
        <v>295.39999999999998</v>
      </c>
      <c r="D80" s="9">
        <v>78865.22</v>
      </c>
      <c r="E80" s="9">
        <v>56826.17</v>
      </c>
      <c r="F80" s="9">
        <v>1.3807622786599998</v>
      </c>
    </row>
    <row r="81" spans="1:6" x14ac:dyDescent="0.25">
      <c r="A81" s="9">
        <v>2070</v>
      </c>
      <c r="B81" s="9">
        <v>75.927000000000007</v>
      </c>
      <c r="C81" s="9">
        <v>1850.76</v>
      </c>
      <c r="D81" s="9">
        <v>288190.15000000002</v>
      </c>
      <c r="E81" s="9">
        <v>28636.92</v>
      </c>
      <c r="F81" s="9">
        <v>4.0241459091599996</v>
      </c>
    </row>
    <row r="82" spans="1:6" x14ac:dyDescent="0.25">
      <c r="A82" s="9">
        <v>216</v>
      </c>
      <c r="B82" s="9">
        <v>1099.336</v>
      </c>
      <c r="C82" s="9">
        <v>117.9</v>
      </c>
      <c r="D82" s="9">
        <v>417280.43</v>
      </c>
      <c r="E82" s="9">
        <v>80712.149999999994</v>
      </c>
      <c r="F82" s="9">
        <v>10.4612631858</v>
      </c>
    </row>
    <row r="83" spans="1:6" x14ac:dyDescent="0.25">
      <c r="A83" s="9">
        <v>4224.5649999999996</v>
      </c>
      <c r="B83" s="9">
        <v>1200.329</v>
      </c>
      <c r="C83" s="9">
        <v>5174.6000000000004</v>
      </c>
      <c r="D83" s="9">
        <v>26572047.260000002</v>
      </c>
      <c r="E83" s="9">
        <v>53078.23</v>
      </c>
      <c r="F83" s="9">
        <v>329.68072297529005</v>
      </c>
    </row>
    <row r="84" spans="1:6" x14ac:dyDescent="0.25">
      <c r="A84" s="9">
        <v>0.91</v>
      </c>
      <c r="B84" s="9">
        <v>603.63300000000004</v>
      </c>
      <c r="C84" s="9">
        <v>68.459999999999994</v>
      </c>
      <c r="D84" s="9">
        <v>114148.4</v>
      </c>
      <c r="E84" s="9">
        <v>30081.8</v>
      </c>
      <c r="F84" s="9">
        <v>1.2431303849999999</v>
      </c>
    </row>
    <row r="85" spans="1:6" x14ac:dyDescent="0.25">
      <c r="A85" s="9">
        <v>2740.08</v>
      </c>
      <c r="B85" s="9">
        <v>248.16</v>
      </c>
      <c r="C85" s="9">
        <v>3613.57</v>
      </c>
      <c r="D85" s="9">
        <v>1051761.3899999999</v>
      </c>
      <c r="E85" s="9">
        <v>18504.810000000001</v>
      </c>
      <c r="F85" s="9">
        <v>16.594077338640002</v>
      </c>
    </row>
    <row r="86" spans="1:6" x14ac:dyDescent="0.25">
      <c r="A86" s="9">
        <v>23.327999999999999</v>
      </c>
      <c r="B86" s="9">
        <v>322.84300000000002</v>
      </c>
      <c r="C86" s="9">
        <v>242.68</v>
      </c>
      <c r="D86" s="9">
        <v>250872.14</v>
      </c>
      <c r="E86" s="9">
        <v>76977.41</v>
      </c>
      <c r="F86" s="9">
        <v>6.0308721638600007</v>
      </c>
    </row>
    <row r="87" spans="1:6" x14ac:dyDescent="0.25">
      <c r="A87" s="9">
        <v>48</v>
      </c>
      <c r="B87" s="9">
        <v>182.10499999999999</v>
      </c>
      <c r="C87" s="9">
        <v>1436.33</v>
      </c>
      <c r="D87" s="9">
        <v>825227.07</v>
      </c>
      <c r="E87" s="9">
        <v>71551.44</v>
      </c>
      <c r="F87" s="9">
        <v>18.715209300720002</v>
      </c>
    </row>
    <row r="88" spans="1:6" x14ac:dyDescent="0.25">
      <c r="A88" s="9">
        <v>3934.5340000000001</v>
      </c>
      <c r="B88" s="9">
        <v>348.92599999999999</v>
      </c>
      <c r="C88" s="9">
        <v>38.39</v>
      </c>
      <c r="D88" s="9">
        <v>45954.51</v>
      </c>
      <c r="E88" s="9">
        <v>69966.95</v>
      </c>
      <c r="F88" s="9">
        <v>0.93720729525000002</v>
      </c>
    </row>
    <row r="89" spans="1:6" x14ac:dyDescent="0.25">
      <c r="A89" s="9">
        <v>231.40799999999999</v>
      </c>
      <c r="B89" s="9">
        <v>274.904</v>
      </c>
      <c r="C89" s="9">
        <v>69.099999999999994</v>
      </c>
      <c r="D89" s="9">
        <v>60227.67</v>
      </c>
      <c r="E89" s="9">
        <v>103778.69</v>
      </c>
      <c r="F89" s="9">
        <v>1.97148377393</v>
      </c>
    </row>
    <row r="90" spans="1:6" x14ac:dyDescent="0.25">
      <c r="A90" s="9">
        <v>309.36399999999998</v>
      </c>
      <c r="B90" s="9">
        <v>495.375</v>
      </c>
      <c r="C90" s="9">
        <v>216.42</v>
      </c>
      <c r="D90" s="9">
        <v>248791.51</v>
      </c>
      <c r="E90" s="9">
        <v>46520.49</v>
      </c>
      <c r="F90" s="9">
        <v>4.9873686919200004</v>
      </c>
    </row>
    <row r="91" spans="1:6" x14ac:dyDescent="0.25">
      <c r="A91" s="9">
        <v>1199.25</v>
      </c>
      <c r="B91" s="9">
        <v>2091.1990000000001</v>
      </c>
      <c r="C91" s="9">
        <v>166.44</v>
      </c>
      <c r="D91" s="9">
        <v>805933.74</v>
      </c>
      <c r="E91" s="9">
        <v>46976.49</v>
      </c>
      <c r="F91" s="9">
        <v>16.350214320989998</v>
      </c>
    </row>
    <row r="92" spans="1:6" x14ac:dyDescent="0.25">
      <c r="A92" s="9">
        <v>2</v>
      </c>
      <c r="B92" s="9">
        <v>197.58</v>
      </c>
      <c r="C92" s="9">
        <v>1175.28</v>
      </c>
      <c r="D92" s="9">
        <v>356978.85</v>
      </c>
      <c r="E92" s="9">
        <v>22842.86</v>
      </c>
      <c r="F92" s="9">
        <v>5.3043862063199994</v>
      </c>
    </row>
    <row r="93" spans="1:6" x14ac:dyDescent="0.25">
      <c r="A93" s="9">
        <v>37.055999999999997</v>
      </c>
      <c r="B93" s="9">
        <v>434.892</v>
      </c>
      <c r="C93" s="9">
        <v>4078.53</v>
      </c>
      <c r="D93" s="9">
        <v>8029191.2599999998</v>
      </c>
      <c r="E93" s="9">
        <v>49907.02</v>
      </c>
      <c r="F93" s="9">
        <v>88.520979700360002</v>
      </c>
    </row>
    <row r="94" spans="1:6" x14ac:dyDescent="0.25">
      <c r="A94" s="9">
        <v>1.45</v>
      </c>
      <c r="B94" s="9">
        <v>116.678</v>
      </c>
      <c r="C94" s="9">
        <v>1275.93</v>
      </c>
      <c r="D94" s="9">
        <v>198791.35</v>
      </c>
      <c r="E94" s="9">
        <v>31927.39</v>
      </c>
      <c r="F94" s="9">
        <v>4.7531263314699999</v>
      </c>
    </row>
    <row r="95" spans="1:6" x14ac:dyDescent="0.25">
      <c r="A95" s="9">
        <v>1107.4000000000001</v>
      </c>
      <c r="B95" s="9">
        <v>609.19200000000001</v>
      </c>
      <c r="C95" s="9">
        <v>468.51</v>
      </c>
      <c r="D95" s="9">
        <v>873653.37</v>
      </c>
      <c r="E95" s="9">
        <v>73534.490000000005</v>
      </c>
      <c r="F95" s="9">
        <v>20.987846463350003</v>
      </c>
    </row>
    <row r="96" spans="1:6" x14ac:dyDescent="0.25">
      <c r="A96" s="9">
        <v>12.74</v>
      </c>
      <c r="B96" s="9">
        <v>735.11099999999999</v>
      </c>
      <c r="C96" s="9">
        <v>131.5</v>
      </c>
      <c r="D96" s="9">
        <v>257972.59</v>
      </c>
      <c r="E96" s="9">
        <v>39597.050000000003</v>
      </c>
      <c r="F96" s="9">
        <v>3.8276884353000002</v>
      </c>
    </row>
    <row r="97" spans="1:6" x14ac:dyDescent="0.25">
      <c r="A97" s="9">
        <v>795.54</v>
      </c>
      <c r="B97" s="9">
        <v>3168.087</v>
      </c>
      <c r="C97" s="9">
        <v>57.48</v>
      </c>
      <c r="D97" s="9">
        <v>358585.03</v>
      </c>
      <c r="E97" s="9">
        <v>45219.68</v>
      </c>
      <c r="F97" s="9">
        <v>8.2341871902400001</v>
      </c>
    </row>
    <row r="98" spans="1:6" x14ac:dyDescent="0.25">
      <c r="A98" s="9">
        <v>528.30899999999997</v>
      </c>
      <c r="B98" s="9">
        <v>487.012</v>
      </c>
      <c r="C98" s="9">
        <v>841.16</v>
      </c>
      <c r="D98" s="9">
        <v>1243868.01</v>
      </c>
      <c r="E98" s="9">
        <v>51908.79</v>
      </c>
      <c r="F98" s="9">
        <v>21.26479918503</v>
      </c>
    </row>
    <row r="99" spans="1:6" x14ac:dyDescent="0.25">
      <c r="A99" s="9">
        <v>2457.1109999999999</v>
      </c>
      <c r="B99" s="9">
        <v>328.73200000000003</v>
      </c>
      <c r="C99" s="9">
        <v>165.39</v>
      </c>
      <c r="D99" s="9">
        <v>143716.97</v>
      </c>
      <c r="E99" s="9">
        <v>52026.64</v>
      </c>
      <c r="F99" s="9">
        <v>2.8286363901599998</v>
      </c>
    </row>
    <row r="100" spans="1:6" x14ac:dyDescent="0.25">
      <c r="A100" s="9">
        <v>19.125</v>
      </c>
      <c r="B100" s="9">
        <v>470.642</v>
      </c>
      <c r="C100" s="9">
        <v>29.25</v>
      </c>
      <c r="D100" s="9">
        <v>41765.870000000003</v>
      </c>
      <c r="E100" s="9">
        <v>80918.59</v>
      </c>
      <c r="F100" s="9">
        <v>1.1138443913499998</v>
      </c>
    </row>
    <row r="101" spans="1:6" x14ac:dyDescent="0.25">
      <c r="A101" s="9">
        <v>92.688000000000002</v>
      </c>
      <c r="B101" s="9">
        <v>539.08699999999999</v>
      </c>
      <c r="C101" s="9">
        <v>170.35</v>
      </c>
      <c r="D101" s="9">
        <v>271976.63</v>
      </c>
      <c r="E101" s="9">
        <v>53648.87</v>
      </c>
      <c r="F101" s="9">
        <v>4.9268976253200005</v>
      </c>
    </row>
    <row r="102" spans="1:6" x14ac:dyDescent="0.25">
      <c r="A102" s="9">
        <v>394.62799999999999</v>
      </c>
      <c r="B102" s="9">
        <v>60.869</v>
      </c>
      <c r="C102" s="9">
        <v>2086.7600000000002</v>
      </c>
      <c r="D102" s="9">
        <v>342565.15</v>
      </c>
      <c r="E102" s="9">
        <v>59079.55</v>
      </c>
      <c r="F102" s="9">
        <v>7.5042253614500005</v>
      </c>
    </row>
    <row r="103" spans="1:6" x14ac:dyDescent="0.25">
      <c r="A103" s="9">
        <v>193.36799999999999</v>
      </c>
      <c r="B103" s="9">
        <v>346.24099999999999</v>
      </c>
      <c r="C103" s="9">
        <v>41.51</v>
      </c>
      <c r="D103" s="9">
        <v>34234.28</v>
      </c>
      <c r="E103" s="9">
        <v>31778.1</v>
      </c>
      <c r="F103" s="9">
        <v>0.45677840939999997</v>
      </c>
    </row>
    <row r="104" spans="1:6" x14ac:dyDescent="0.25">
      <c r="A104" s="9">
        <v>4705.2290000000003</v>
      </c>
      <c r="B104" s="9">
        <v>2247.1410000000001</v>
      </c>
      <c r="C104" s="9">
        <v>21.98</v>
      </c>
      <c r="D104" s="9">
        <v>116406.22</v>
      </c>
      <c r="E104" s="9">
        <v>29782.6</v>
      </c>
      <c r="F104" s="9">
        <v>1.4710519618</v>
      </c>
    </row>
    <row r="105" spans="1:6" x14ac:dyDescent="0.25">
      <c r="A105" s="9">
        <v>91.36</v>
      </c>
      <c r="B105" s="9">
        <v>946.43499999999995</v>
      </c>
      <c r="C105" s="9">
        <v>348.28</v>
      </c>
      <c r="D105" s="9">
        <v>927029.43</v>
      </c>
      <c r="E105" s="9">
        <v>80717.399999999994</v>
      </c>
      <c r="F105" s="9">
        <v>26.606715127199998</v>
      </c>
    </row>
    <row r="106" spans="1:6" x14ac:dyDescent="0.25">
      <c r="A106" s="9">
        <v>35</v>
      </c>
      <c r="B106" s="9">
        <v>386.69299999999998</v>
      </c>
      <c r="C106" s="9">
        <v>117.1</v>
      </c>
      <c r="D106" s="9">
        <v>100994.31</v>
      </c>
      <c r="E106" s="9">
        <v>183116.55</v>
      </c>
      <c r="F106" s="9">
        <v>8.2920667336499996</v>
      </c>
    </row>
    <row r="107" spans="1:6" x14ac:dyDescent="0.25">
      <c r="A107" s="9">
        <v>60</v>
      </c>
      <c r="B107" s="9">
        <v>94.382999999999996</v>
      </c>
      <c r="C107" s="9">
        <v>34.19</v>
      </c>
      <c r="D107" s="9">
        <v>13045</v>
      </c>
      <c r="E107" s="9">
        <v>39623.72</v>
      </c>
      <c r="F107" s="9">
        <v>0.12786574443999998</v>
      </c>
    </row>
    <row r="108" spans="1:6" x14ac:dyDescent="0.25">
      <c r="A108" s="9">
        <v>1065.5</v>
      </c>
      <c r="B108" s="9">
        <v>207.04499999999999</v>
      </c>
      <c r="C108" s="9">
        <v>32.75</v>
      </c>
      <c r="D108" s="9">
        <v>18239.060000000001</v>
      </c>
      <c r="E108" s="9">
        <v>71547.899999999994</v>
      </c>
      <c r="F108" s="9">
        <v>0.48509476199999996</v>
      </c>
    </row>
    <row r="109" spans="1:6" x14ac:dyDescent="0.25">
      <c r="A109" s="9">
        <v>9009.8690000000006</v>
      </c>
      <c r="B109" s="9">
        <v>45.213999999999999</v>
      </c>
      <c r="C109" s="9">
        <v>3077.7</v>
      </c>
      <c r="D109" s="9">
        <v>717713.61</v>
      </c>
      <c r="E109" s="9">
        <v>49301.41</v>
      </c>
      <c r="F109" s="9">
        <v>6.8605377085499999</v>
      </c>
    </row>
    <row r="110" spans="1:6" x14ac:dyDescent="0.25">
      <c r="A110" s="9">
        <v>144</v>
      </c>
      <c r="B110" s="9">
        <v>365.755</v>
      </c>
      <c r="C110" s="9">
        <v>209.9</v>
      </c>
      <c r="D110" s="9">
        <v>173495.01</v>
      </c>
      <c r="E110" s="9">
        <v>37884.910000000003</v>
      </c>
      <c r="F110" s="9">
        <v>2.9085381954300003</v>
      </c>
    </row>
    <row r="111" spans="1:6" x14ac:dyDescent="0.25">
      <c r="A111" s="9">
        <v>225.416</v>
      </c>
      <c r="B111" s="9">
        <v>212.04499999999999</v>
      </c>
      <c r="C111" s="9">
        <v>159.27000000000001</v>
      </c>
      <c r="D111" s="9">
        <v>74852.2</v>
      </c>
      <c r="E111" s="9">
        <v>50875.18</v>
      </c>
      <c r="F111" s="9">
        <v>1.7182074541400001</v>
      </c>
    </row>
    <row r="112" spans="1:6" x14ac:dyDescent="0.25">
      <c r="A112" s="9">
        <v>874.82799999999997</v>
      </c>
      <c r="B112" s="9">
        <v>210.56800000000001</v>
      </c>
      <c r="C112" s="9">
        <v>489.5</v>
      </c>
      <c r="D112" s="9">
        <v>156080.28</v>
      </c>
      <c r="E112" s="9">
        <v>25718.35</v>
      </c>
      <c r="F112" s="9">
        <v>2.6508932078999998</v>
      </c>
    </row>
    <row r="113" spans="1:6" x14ac:dyDescent="0.25">
      <c r="A113" s="9">
        <v>735.99800000000005</v>
      </c>
      <c r="B113" s="9">
        <v>624.846</v>
      </c>
      <c r="C113" s="9">
        <v>407.76</v>
      </c>
      <c r="D113" s="9">
        <v>663703.31000000006</v>
      </c>
      <c r="E113" s="9">
        <v>60166.46</v>
      </c>
      <c r="F113" s="9">
        <v>15.3295115111</v>
      </c>
    </row>
    <row r="114" spans="1:6" x14ac:dyDescent="0.25">
      <c r="A114" s="9">
        <v>1024.992</v>
      </c>
      <c r="B114" s="9">
        <v>799.19399999999996</v>
      </c>
      <c r="C114" s="9">
        <v>102.16</v>
      </c>
      <c r="D114" s="9">
        <v>222561.86</v>
      </c>
      <c r="E114" s="9">
        <v>60241.75</v>
      </c>
      <c r="F114" s="9">
        <v>4.9184979205000001</v>
      </c>
    </row>
    <row r="115" spans="1:6" x14ac:dyDescent="0.25">
      <c r="A115" s="9">
        <v>1200.3119999999999</v>
      </c>
      <c r="B115" s="9">
        <v>234.86500000000001</v>
      </c>
      <c r="C115" s="9">
        <v>913.26</v>
      </c>
      <c r="D115" s="9">
        <v>621037.94999999995</v>
      </c>
      <c r="E115" s="9">
        <v>45871.13</v>
      </c>
      <c r="F115" s="9">
        <v>9.8390362870899999</v>
      </c>
    </row>
    <row r="116" spans="1:6" x14ac:dyDescent="0.25">
      <c r="A116" s="9">
        <v>18418.967000000001</v>
      </c>
      <c r="B116" s="9">
        <v>378.84300000000002</v>
      </c>
      <c r="C116" s="9">
        <v>39.619999999999997</v>
      </c>
      <c r="D116" s="9">
        <v>40662.6</v>
      </c>
      <c r="E116" s="9">
        <v>40805.410000000003</v>
      </c>
      <c r="F116" s="9">
        <v>0.61240759328000005</v>
      </c>
    </row>
    <row r="117" spans="1:6" x14ac:dyDescent="0.25">
      <c r="A117" s="9">
        <v>4904.5280000000002</v>
      </c>
      <c r="B117" s="9">
        <v>674.84400000000005</v>
      </c>
      <c r="C117" s="9">
        <v>796.05</v>
      </c>
      <c r="D117" s="9">
        <v>1706736.75</v>
      </c>
      <c r="E117" s="9">
        <v>45602.98</v>
      </c>
      <c r="F117" s="9">
        <v>24.498422488780001</v>
      </c>
    </row>
    <row r="118" spans="1:6" x14ac:dyDescent="0.25">
      <c r="A118" s="9">
        <v>14.976000000000001</v>
      </c>
      <c r="B118" s="9">
        <v>549.18799999999999</v>
      </c>
      <c r="C118" s="9">
        <v>60.96</v>
      </c>
      <c r="D118" s="9">
        <v>98842.93</v>
      </c>
      <c r="E118" s="9">
        <v>34677.269999999997</v>
      </c>
      <c r="F118" s="9">
        <v>1.1610296768699999</v>
      </c>
    </row>
    <row r="119" spans="1:6" x14ac:dyDescent="0.25">
      <c r="A119" s="9">
        <v>10876.727999999999</v>
      </c>
      <c r="B119" s="9">
        <v>386.61599999999999</v>
      </c>
      <c r="C119" s="9">
        <v>187.71</v>
      </c>
      <c r="D119" s="9">
        <v>173394.29</v>
      </c>
      <c r="E119" s="9">
        <v>57793.4</v>
      </c>
      <c r="F119" s="9">
        <v>4.194067038</v>
      </c>
    </row>
    <row r="120" spans="1:6" x14ac:dyDescent="0.25">
      <c r="A120" s="9">
        <v>1771.203</v>
      </c>
      <c r="B120" s="9">
        <v>253.024</v>
      </c>
      <c r="C120" s="9">
        <v>67.37</v>
      </c>
      <c r="D120" s="9">
        <v>44999.5</v>
      </c>
      <c r="E120" s="9">
        <v>83624.84</v>
      </c>
      <c r="F120" s="9">
        <v>1.42546902264</v>
      </c>
    </row>
    <row r="121" spans="1:6" x14ac:dyDescent="0.25">
      <c r="A121" s="9">
        <v>260.23</v>
      </c>
      <c r="B121" s="9">
        <v>166.26499999999999</v>
      </c>
      <c r="C121" s="9">
        <v>42.5</v>
      </c>
      <c r="D121" s="9">
        <v>39171.81</v>
      </c>
      <c r="E121" s="9">
        <v>66440.039999999994</v>
      </c>
      <c r="F121" s="9">
        <v>0.46953176267999996</v>
      </c>
    </row>
    <row r="122" spans="1:6" x14ac:dyDescent="0.25">
      <c r="A122" s="9">
        <v>119675.47900000001</v>
      </c>
      <c r="B122" s="9">
        <v>289.21499999999997</v>
      </c>
      <c r="C122" s="9">
        <v>913</v>
      </c>
      <c r="D122" s="9">
        <v>1131925.77</v>
      </c>
      <c r="E122" s="9">
        <v>210729.12</v>
      </c>
      <c r="F122" s="9">
        <v>55.643867052479997</v>
      </c>
    </row>
    <row r="123" spans="1:6" x14ac:dyDescent="0.25">
      <c r="A123" s="9">
        <v>4649.768</v>
      </c>
      <c r="B123" s="9">
        <v>58.21</v>
      </c>
      <c r="C123" s="9">
        <v>1304.5899999999999</v>
      </c>
      <c r="D123" s="9">
        <v>178203.82</v>
      </c>
      <c r="E123" s="9">
        <v>41670.53</v>
      </c>
      <c r="F123" s="9">
        <v>3.1644600481999996</v>
      </c>
    </row>
    <row r="124" spans="1:6" x14ac:dyDescent="0.25">
      <c r="A124" s="9">
        <v>1068.52</v>
      </c>
      <c r="B124" s="9">
        <v>336.58800000000002</v>
      </c>
      <c r="C124" s="9">
        <v>78.81</v>
      </c>
      <c r="D124" s="9">
        <v>66529.56</v>
      </c>
      <c r="E124" s="9">
        <v>54630.43</v>
      </c>
      <c r="F124" s="9">
        <v>1.4490721557499999</v>
      </c>
    </row>
    <row r="125" spans="1:6" x14ac:dyDescent="0.25">
      <c r="A125" s="9">
        <v>9463.7139999999999</v>
      </c>
      <c r="B125" s="9">
        <v>530.89400000000001</v>
      </c>
      <c r="C125" s="9">
        <v>344.06</v>
      </c>
      <c r="D125" s="9">
        <v>641960.81999999995</v>
      </c>
      <c r="E125" s="9">
        <v>65295.54</v>
      </c>
      <c r="F125" s="9">
        <v>11.9268833364</v>
      </c>
    </row>
    <row r="126" spans="1:6" x14ac:dyDescent="0.25">
      <c r="A126" s="9">
        <v>1982.3150000000001</v>
      </c>
      <c r="B126" s="9">
        <v>1127.9469999999999</v>
      </c>
      <c r="C126" s="9">
        <v>546.41</v>
      </c>
      <c r="D126" s="9">
        <v>1907863.94</v>
      </c>
      <c r="E126" s="9">
        <v>74531.62</v>
      </c>
      <c r="F126" s="9">
        <v>45.935104443539998</v>
      </c>
    </row>
    <row r="127" spans="1:6" x14ac:dyDescent="0.25">
      <c r="A127" s="9">
        <v>249.6</v>
      </c>
      <c r="B127" s="9">
        <v>2637.66</v>
      </c>
      <c r="C127" s="9">
        <v>62.55</v>
      </c>
      <c r="D127" s="9">
        <v>512302.6</v>
      </c>
      <c r="E127" s="9">
        <v>41846.269999999997</v>
      </c>
      <c r="F127" s="9">
        <v>6.9038394708699995</v>
      </c>
    </row>
    <row r="128" spans="1:6" x14ac:dyDescent="0.25">
      <c r="A128" s="9">
        <v>62.5</v>
      </c>
      <c r="B128" s="9">
        <v>1404.0840000000001</v>
      </c>
      <c r="C128" s="9">
        <v>39.380000000000003</v>
      </c>
      <c r="D128" s="9">
        <v>152602.60999999999</v>
      </c>
      <c r="E128" s="9">
        <v>43817.87</v>
      </c>
      <c r="F128" s="9">
        <v>2.4225147608200004</v>
      </c>
    </row>
    <row r="129" spans="1:6" x14ac:dyDescent="0.25">
      <c r="A129" s="9">
        <v>14765.449000000001</v>
      </c>
      <c r="B129" s="9">
        <v>111.377</v>
      </c>
      <c r="C129" s="9">
        <v>775.75</v>
      </c>
      <c r="D129" s="9">
        <v>231927.2</v>
      </c>
      <c r="E129" s="9">
        <v>71643.41</v>
      </c>
      <c r="F129" s="9">
        <v>6.1900622674100001</v>
      </c>
    </row>
    <row r="130" spans="1:6" x14ac:dyDescent="0.25">
      <c r="A130" s="9">
        <v>262.51900000000001</v>
      </c>
      <c r="B130" s="9">
        <v>394.85</v>
      </c>
      <c r="C130" s="9">
        <v>563.75</v>
      </c>
      <c r="D130" s="9">
        <v>418845.22</v>
      </c>
      <c r="E130" s="9">
        <v>45940.71</v>
      </c>
      <c r="F130" s="9">
        <v>10.226310164579999</v>
      </c>
    </row>
    <row r="131" spans="1:6" x14ac:dyDescent="0.25">
      <c r="A131" s="9">
        <v>94.691999999999993</v>
      </c>
      <c r="B131" s="9">
        <v>57.752000000000002</v>
      </c>
      <c r="C131" s="9">
        <v>582.89</v>
      </c>
      <c r="D131" s="9">
        <v>71239.63</v>
      </c>
      <c r="E131" s="9">
        <v>30475.02</v>
      </c>
      <c r="F131" s="9">
        <v>1.0258805982599999</v>
      </c>
    </row>
    <row r="132" spans="1:6" x14ac:dyDescent="0.25">
      <c r="A132" s="9">
        <v>328.64699999999999</v>
      </c>
      <c r="B132" s="9">
        <v>493.26600000000002</v>
      </c>
      <c r="C132" s="9">
        <v>106.79</v>
      </c>
      <c r="D132" s="9">
        <v>212928.61</v>
      </c>
      <c r="E132" s="9">
        <v>155542.28</v>
      </c>
      <c r="F132" s="9">
        <v>8.1930340567200002</v>
      </c>
    </row>
    <row r="133" spans="1:6" x14ac:dyDescent="0.25">
      <c r="A133" s="9">
        <v>5128.9260000000004</v>
      </c>
      <c r="B133" s="9">
        <v>150.499</v>
      </c>
      <c r="C133" s="9">
        <v>1796.02</v>
      </c>
      <c r="D133" s="9">
        <v>561868.82999999996</v>
      </c>
      <c r="E133" s="9">
        <v>54544.43</v>
      </c>
      <c r="F133" s="9">
        <v>14.74330488457</v>
      </c>
    </row>
    <row r="134" spans="1:6" x14ac:dyDescent="0.25">
      <c r="A134" s="9">
        <v>47.76</v>
      </c>
      <c r="B134" s="9">
        <v>309.62700000000001</v>
      </c>
      <c r="C134" s="9">
        <v>60.14</v>
      </c>
      <c r="D134" s="9">
        <v>51631.85</v>
      </c>
      <c r="E134" s="9">
        <v>66924.22</v>
      </c>
      <c r="F134" s="9">
        <v>1.2461289764000001</v>
      </c>
    </row>
    <row r="135" spans="1:6" x14ac:dyDescent="0.25">
      <c r="A135" s="9">
        <v>449.06099999999998</v>
      </c>
      <c r="B135" s="9">
        <v>279.15899999999999</v>
      </c>
      <c r="C135" s="9">
        <v>184.81</v>
      </c>
      <c r="D135" s="9">
        <v>105594.96</v>
      </c>
      <c r="E135" s="9">
        <v>61114.71</v>
      </c>
      <c r="F135" s="9">
        <v>3.1530301183200002</v>
      </c>
    </row>
    <row r="136" spans="1:6" x14ac:dyDescent="0.25">
      <c r="A136" s="9">
        <v>1790.53</v>
      </c>
      <c r="B136" s="9">
        <v>436.49599999999998</v>
      </c>
      <c r="C136" s="9">
        <v>45.24</v>
      </c>
      <c r="D136" s="9">
        <v>61047.07</v>
      </c>
      <c r="E136" s="9">
        <v>78265.31</v>
      </c>
      <c r="F136" s="9">
        <v>1.54542681126</v>
      </c>
    </row>
    <row r="137" spans="1:6" x14ac:dyDescent="0.25">
      <c r="A137" s="9">
        <v>104</v>
      </c>
      <c r="B137" s="9">
        <v>1021.371</v>
      </c>
      <c r="C137" s="9">
        <v>10.61</v>
      </c>
      <c r="D137" s="9">
        <v>29464.79</v>
      </c>
      <c r="E137" s="9">
        <v>31497.18</v>
      </c>
      <c r="F137" s="9">
        <v>0.34124044811999998</v>
      </c>
    </row>
    <row r="138" spans="1:6" x14ac:dyDescent="0.25">
      <c r="A138" s="9">
        <v>5141.68</v>
      </c>
      <c r="B138" s="9">
        <v>346.93200000000002</v>
      </c>
      <c r="C138" s="9">
        <v>17.84</v>
      </c>
      <c r="D138" s="9">
        <v>24119.99</v>
      </c>
      <c r="E138" s="9">
        <v>56130.12</v>
      </c>
      <c r="F138" s="9">
        <v>0.34738931268000001</v>
      </c>
    </row>
    <row r="139" spans="1:6" x14ac:dyDescent="0.25">
      <c r="A139" s="9">
        <v>113.41800000000001</v>
      </c>
      <c r="B139" s="9">
        <v>293.62799999999999</v>
      </c>
      <c r="C139" s="9">
        <v>108.7</v>
      </c>
      <c r="D139" s="9">
        <v>70477.210000000006</v>
      </c>
      <c r="E139" s="9">
        <v>50967.99</v>
      </c>
      <c r="F139" s="9">
        <v>1.62679630482</v>
      </c>
    </row>
    <row r="140" spans="1:6" x14ac:dyDescent="0.25">
      <c r="A140" s="9">
        <v>72</v>
      </c>
      <c r="B140" s="9">
        <v>71.7</v>
      </c>
      <c r="C140" s="9">
        <v>2612.48</v>
      </c>
      <c r="D140" s="9">
        <v>290560.43</v>
      </c>
      <c r="E140" s="9">
        <v>15550.82</v>
      </c>
      <c r="F140" s="9">
        <v>2.9129018482999998</v>
      </c>
    </row>
    <row r="141" spans="1:6" x14ac:dyDescent="0.25">
      <c r="A141" s="9">
        <v>24.675000000000001</v>
      </c>
      <c r="B141" s="9">
        <v>2622.837</v>
      </c>
      <c r="C141" s="9">
        <v>4.2699999999999996</v>
      </c>
      <c r="D141" s="9">
        <v>38042.21</v>
      </c>
      <c r="E141" s="9">
        <v>54447.360000000001</v>
      </c>
      <c r="F141" s="9">
        <v>0.60991932672000004</v>
      </c>
    </row>
    <row r="142" spans="1:6" x14ac:dyDescent="0.25">
      <c r="A142" s="9">
        <v>7022.665</v>
      </c>
      <c r="B142" s="9">
        <v>43.777999999999999</v>
      </c>
      <c r="C142" s="9">
        <v>3112.48</v>
      </c>
      <c r="D142" s="9">
        <v>353604.79</v>
      </c>
      <c r="E142" s="9">
        <v>48874.53</v>
      </c>
      <c r="F142" s="9">
        <v>6.6595457087399996</v>
      </c>
    </row>
    <row r="143" spans="1:6" x14ac:dyDescent="0.25">
      <c r="A143" s="9">
        <v>91.727999999999994</v>
      </c>
      <c r="B143" s="9">
        <v>130.78899999999999</v>
      </c>
      <c r="C143" s="9">
        <v>2658.15</v>
      </c>
      <c r="D143" s="9">
        <v>1511073.04</v>
      </c>
      <c r="E143" s="9">
        <v>62892.77</v>
      </c>
      <c r="F143" s="9">
        <v>21.865111739890001</v>
      </c>
    </row>
    <row r="144" spans="1:6" x14ac:dyDescent="0.25">
      <c r="A144" s="9">
        <v>2611.7269999999999</v>
      </c>
      <c r="B144" s="9">
        <v>230.06100000000001</v>
      </c>
      <c r="C144" s="9">
        <v>132.22999999999999</v>
      </c>
      <c r="D144" s="9">
        <v>107434.3</v>
      </c>
      <c r="E144" s="9">
        <v>115232.73</v>
      </c>
      <c r="F144" s="9">
        <v>3.5053796465999998</v>
      </c>
    </row>
    <row r="145" spans="1:6" x14ac:dyDescent="0.25">
      <c r="A145" s="9">
        <v>48.085000000000001</v>
      </c>
      <c r="B145" s="9">
        <v>1652.32</v>
      </c>
      <c r="C145" s="9">
        <v>280.52</v>
      </c>
      <c r="D145" s="9">
        <v>1758354.81</v>
      </c>
      <c r="E145" s="9">
        <v>60506.95</v>
      </c>
      <c r="F145" s="9">
        <v>28.045031831949998</v>
      </c>
    </row>
    <row r="146" spans="1:6" x14ac:dyDescent="0.25">
      <c r="A146" s="9">
        <v>24.5</v>
      </c>
      <c r="B146" s="9">
        <v>509.61399999999998</v>
      </c>
      <c r="C146" s="9">
        <v>77.63</v>
      </c>
      <c r="D146" s="9">
        <v>107529.17</v>
      </c>
      <c r="E146" s="9">
        <v>49900.17</v>
      </c>
      <c r="F146" s="9">
        <v>1.9740008250300001</v>
      </c>
    </row>
    <row r="147" spans="1:6" x14ac:dyDescent="0.25">
      <c r="A147" s="9">
        <v>974.53599999999994</v>
      </c>
      <c r="B147" s="9">
        <v>51.779000000000003</v>
      </c>
      <c r="C147" s="9">
        <v>925.55</v>
      </c>
      <c r="D147" s="9">
        <v>120403.42</v>
      </c>
      <c r="E147" s="9">
        <v>36564.93</v>
      </c>
      <c r="F147" s="9">
        <v>1.75233770532</v>
      </c>
    </row>
    <row r="148" spans="1:6" x14ac:dyDescent="0.25">
      <c r="A148" s="9">
        <v>1143.2670000000001</v>
      </c>
      <c r="B148" s="9">
        <v>27.675999999999998</v>
      </c>
      <c r="C148" s="9">
        <v>2751.01</v>
      </c>
      <c r="D148" s="9">
        <v>262107.48</v>
      </c>
      <c r="E148" s="9">
        <v>44988.45</v>
      </c>
      <c r="F148" s="9">
        <v>3.4252856176499997</v>
      </c>
    </row>
    <row r="149" spans="1:6" x14ac:dyDescent="0.25">
      <c r="A149" s="9">
        <v>23.4</v>
      </c>
      <c r="B149" s="9">
        <v>361.34100000000001</v>
      </c>
      <c r="C149" s="9">
        <v>194.51</v>
      </c>
      <c r="D149" s="9">
        <v>212320.93</v>
      </c>
      <c r="E149" s="9">
        <v>59633.5</v>
      </c>
      <c r="F149" s="9">
        <v>4.1914001809999997</v>
      </c>
    </row>
    <row r="150" spans="1:6" x14ac:dyDescent="0.25">
      <c r="A150" s="9">
        <v>69.013999999999996</v>
      </c>
      <c r="B150" s="9">
        <v>822.60799999999995</v>
      </c>
      <c r="C150" s="9">
        <v>7.26</v>
      </c>
      <c r="D150" s="9">
        <v>20944.54</v>
      </c>
      <c r="E150" s="9">
        <v>45617.4</v>
      </c>
      <c r="F150" s="9">
        <v>0.27260958240000005</v>
      </c>
    </row>
    <row r="151" spans="1:6" x14ac:dyDescent="0.25">
      <c r="A151" s="9">
        <v>1118</v>
      </c>
      <c r="B151" s="9">
        <v>91.230999999999995</v>
      </c>
      <c r="C151" s="9">
        <v>1026.47</v>
      </c>
      <c r="D151" s="9">
        <v>257293.54</v>
      </c>
      <c r="E151" s="9">
        <v>65067.95</v>
      </c>
      <c r="F151" s="9">
        <v>6.0933532456999995</v>
      </c>
    </row>
    <row r="152" spans="1:6" x14ac:dyDescent="0.25">
      <c r="A152" s="9">
        <v>24</v>
      </c>
      <c r="B152" s="9">
        <v>222.536</v>
      </c>
      <c r="C152" s="9">
        <v>1022.96</v>
      </c>
      <c r="D152" s="9">
        <v>892363.07</v>
      </c>
      <c r="E152" s="9">
        <v>40589.43</v>
      </c>
      <c r="F152" s="9">
        <v>9.2400213817800001</v>
      </c>
    </row>
    <row r="153" spans="1:6" x14ac:dyDescent="0.25">
      <c r="A153" s="9">
        <v>78</v>
      </c>
      <c r="B153" s="9">
        <v>784.40700000000004</v>
      </c>
      <c r="C153" s="9">
        <v>262.89</v>
      </c>
      <c r="D153" s="9">
        <v>488853.85</v>
      </c>
      <c r="E153" s="9">
        <v>60905.63</v>
      </c>
      <c r="F153" s="9">
        <v>12.559654490449999</v>
      </c>
    </row>
    <row r="154" spans="1:6" x14ac:dyDescent="0.25">
      <c r="A154" s="9">
        <v>3314.152</v>
      </c>
      <c r="B154" s="9">
        <v>495.39</v>
      </c>
      <c r="C154" s="9">
        <v>2690.5</v>
      </c>
      <c r="D154" s="9">
        <v>6018787.3300000001</v>
      </c>
      <c r="E154" s="9">
        <v>54647.38</v>
      </c>
      <c r="F154" s="9">
        <v>72.836487196099995</v>
      </c>
    </row>
    <row r="155" spans="1:6" x14ac:dyDescent="0.25">
      <c r="A155" s="9">
        <v>116.429</v>
      </c>
      <c r="B155" s="9">
        <v>733.89800000000002</v>
      </c>
      <c r="C155" s="9">
        <v>181.54</v>
      </c>
      <c r="D155" s="9">
        <v>407139.78</v>
      </c>
      <c r="E155" s="9">
        <v>74205</v>
      </c>
      <c r="F155" s="9">
        <v>9.8863321499999994</v>
      </c>
    </row>
    <row r="156" spans="1:6" x14ac:dyDescent="0.25">
      <c r="A156" s="9">
        <v>5112.38</v>
      </c>
      <c r="B156" s="9">
        <v>3616.69</v>
      </c>
      <c r="C156" s="9">
        <v>16.5</v>
      </c>
      <c r="D156" s="9">
        <v>164521.14000000001</v>
      </c>
      <c r="E156" s="9">
        <v>43012.23</v>
      </c>
      <c r="F156" s="9">
        <v>2.5667978374800002</v>
      </c>
    </row>
    <row r="157" spans="1:6" x14ac:dyDescent="0.25">
      <c r="A157" s="9">
        <v>3304.9270000000001</v>
      </c>
      <c r="B157" s="9">
        <v>5053.46</v>
      </c>
      <c r="C157" s="9">
        <v>11.57</v>
      </c>
      <c r="D157" s="9">
        <v>154465.56</v>
      </c>
      <c r="E157" s="9">
        <v>43790.22</v>
      </c>
      <c r="F157" s="9">
        <v>2.5611585971399999</v>
      </c>
    </row>
    <row r="158" spans="1:6" x14ac:dyDescent="0.25">
      <c r="A158" s="9">
        <v>523</v>
      </c>
      <c r="B158" s="9">
        <v>11636.825000000001</v>
      </c>
      <c r="C158" s="9">
        <v>9.15</v>
      </c>
      <c r="D158" s="9">
        <v>230943.52</v>
      </c>
      <c r="E158" s="9">
        <v>51892.66</v>
      </c>
      <c r="F158" s="9">
        <v>5.5231433744400009</v>
      </c>
    </row>
    <row r="159" spans="1:6" x14ac:dyDescent="0.25">
      <c r="A159" s="9">
        <v>104.985</v>
      </c>
      <c r="B159" s="9">
        <v>724.279</v>
      </c>
      <c r="C159" s="9">
        <v>414.31</v>
      </c>
      <c r="D159" s="9">
        <v>536691.02</v>
      </c>
      <c r="E159" s="9">
        <v>34151.42</v>
      </c>
      <c r="F159" s="9">
        <v>10.24808981076</v>
      </c>
    </row>
  </sheetData>
  <mergeCells count="1">
    <mergeCell ref="U14:U16"/>
  </mergeCells>
  <pageMargins left="0.511811024" right="0.511811024" top="0.78740157499999996" bottom="0.78740157499999996" header="0.31496062000000002" footer="0.31496062000000002"/>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E0461-F5D1-40D2-A5F6-B508F574D52A}">
  <sheetPr codeName="Planilha13"/>
  <dimension ref="A1:AT27"/>
  <sheetViews>
    <sheetView workbookViewId="0">
      <selection activeCell="N20" sqref="N20"/>
    </sheetView>
  </sheetViews>
  <sheetFormatPr defaultRowHeight="15" x14ac:dyDescent="0.25"/>
  <cols>
    <col min="2" max="2" width="11.140625" bestFit="1" customWidth="1"/>
    <col min="3" max="3" width="13" customWidth="1"/>
    <col min="4" max="4" width="11.140625" bestFit="1" customWidth="1"/>
    <col min="7" max="7" width="14.28515625" bestFit="1" customWidth="1"/>
    <col min="8" max="8" width="10.140625" bestFit="1" customWidth="1"/>
    <col min="9" max="9" width="10.140625" customWidth="1"/>
    <col min="10" max="10" width="15.5703125" bestFit="1" customWidth="1"/>
  </cols>
  <sheetData>
    <row r="1" spans="1:46" x14ac:dyDescent="0.25">
      <c r="A1" s="1" t="s">
        <v>3766</v>
      </c>
    </row>
    <row r="2" spans="1:46" x14ac:dyDescent="0.25">
      <c r="A2" s="17" t="s">
        <v>3256</v>
      </c>
      <c r="B2" s="17" t="s">
        <v>3767</v>
      </c>
      <c r="C2" s="17" t="s">
        <v>3768</v>
      </c>
      <c r="D2" s="17" t="s">
        <v>3746</v>
      </c>
      <c r="E2" s="17" t="s">
        <v>3769</v>
      </c>
      <c r="F2" s="17" t="s">
        <v>3770</v>
      </c>
      <c r="G2" s="17" t="s">
        <v>3771</v>
      </c>
      <c r="H2" s="81" t="s">
        <v>3772</v>
      </c>
      <c r="J2" s="497" t="s">
        <v>3740</v>
      </c>
      <c r="K2" s="100">
        <v>2025</v>
      </c>
      <c r="L2" s="100">
        <v>2026</v>
      </c>
      <c r="M2" s="100">
        <v>2027</v>
      </c>
      <c r="N2" s="100">
        <v>2028</v>
      </c>
      <c r="O2" s="100">
        <v>2029</v>
      </c>
      <c r="P2" s="100">
        <v>2030</v>
      </c>
      <c r="Q2" s="100">
        <v>2031</v>
      </c>
      <c r="R2" s="100">
        <v>2032</v>
      </c>
      <c r="S2" s="100">
        <v>2033</v>
      </c>
      <c r="T2" s="100">
        <v>2034</v>
      </c>
      <c r="U2" s="100">
        <v>2035</v>
      </c>
      <c r="V2" s="100">
        <v>2036</v>
      </c>
      <c r="W2" s="100">
        <v>2037</v>
      </c>
      <c r="X2" s="100">
        <v>2038</v>
      </c>
      <c r="Y2" s="100">
        <v>2039</v>
      </c>
      <c r="Z2" s="100">
        <v>2040</v>
      </c>
      <c r="AA2" s="100">
        <v>2041</v>
      </c>
      <c r="AB2" s="100">
        <v>2042</v>
      </c>
      <c r="AC2" s="100">
        <v>2043</v>
      </c>
      <c r="AD2" s="100">
        <v>2044</v>
      </c>
      <c r="AE2" s="100">
        <v>2045</v>
      </c>
      <c r="AF2" s="100">
        <v>2046</v>
      </c>
      <c r="AG2" s="100">
        <v>2047</v>
      </c>
      <c r="AH2" s="100">
        <v>2048</v>
      </c>
      <c r="AI2" s="100">
        <v>2049</v>
      </c>
      <c r="AJ2" s="100">
        <v>2050</v>
      </c>
      <c r="AK2" s="100">
        <v>2051</v>
      </c>
      <c r="AL2" s="100">
        <v>2052</v>
      </c>
      <c r="AM2" s="100">
        <v>2053</v>
      </c>
      <c r="AN2" s="100">
        <v>2054</v>
      </c>
      <c r="AO2" s="100">
        <v>2055</v>
      </c>
      <c r="AP2" s="100">
        <v>2056</v>
      </c>
      <c r="AQ2" s="100">
        <v>2057</v>
      </c>
      <c r="AR2" s="100">
        <v>2058</v>
      </c>
      <c r="AS2" s="100">
        <v>2059</v>
      </c>
      <c r="AT2" s="292"/>
    </row>
    <row r="3" spans="1:46" x14ac:dyDescent="0.25">
      <c r="A3" s="17">
        <v>2022</v>
      </c>
      <c r="B3" s="63">
        <v>591741</v>
      </c>
      <c r="C3" s="63">
        <v>370250</v>
      </c>
      <c r="D3" s="63">
        <f>SUM(B3:C3)</f>
        <v>961991</v>
      </c>
      <c r="E3" s="63">
        <v>39600</v>
      </c>
      <c r="F3" s="32">
        <f>E3/D3</f>
        <v>4.1164626280287449E-2</v>
      </c>
      <c r="G3" s="9">
        <v>1866840</v>
      </c>
      <c r="H3" s="82">
        <f>G3/E3</f>
        <v>47.142424242424241</v>
      </c>
      <c r="J3" s="497"/>
      <c r="K3" s="6" t="s">
        <v>3701</v>
      </c>
      <c r="L3" s="6" t="s">
        <v>3702</v>
      </c>
      <c r="M3" s="6" t="s">
        <v>3703</v>
      </c>
      <c r="N3" s="6" t="s">
        <v>3704</v>
      </c>
      <c r="O3" s="6" t="s">
        <v>3705</v>
      </c>
      <c r="P3" s="6" t="s">
        <v>3706</v>
      </c>
      <c r="Q3" s="6" t="s">
        <v>3707</v>
      </c>
      <c r="R3" s="6" t="s">
        <v>3708</v>
      </c>
      <c r="S3" s="6" t="s">
        <v>3709</v>
      </c>
      <c r="T3" s="6" t="s">
        <v>3710</v>
      </c>
      <c r="U3" s="6" t="s">
        <v>3711</v>
      </c>
      <c r="V3" s="6" t="s">
        <v>3712</v>
      </c>
      <c r="W3" s="6" t="s">
        <v>3713</v>
      </c>
      <c r="X3" s="6" t="s">
        <v>3714</v>
      </c>
      <c r="Y3" s="6" t="s">
        <v>3715</v>
      </c>
      <c r="Z3" s="6" t="s">
        <v>3716</v>
      </c>
      <c r="AA3" s="6" t="s">
        <v>3717</v>
      </c>
      <c r="AB3" s="6" t="s">
        <v>3718</v>
      </c>
      <c r="AC3" s="6" t="s">
        <v>3719</v>
      </c>
      <c r="AD3" s="6" t="s">
        <v>3720</v>
      </c>
      <c r="AE3" s="6" t="s">
        <v>3721</v>
      </c>
      <c r="AF3" s="6" t="s">
        <v>3722</v>
      </c>
      <c r="AG3" s="6" t="s">
        <v>3723</v>
      </c>
      <c r="AH3" s="6" t="s">
        <v>3724</v>
      </c>
      <c r="AI3" s="6" t="s">
        <v>3725</v>
      </c>
      <c r="AJ3" s="6" t="s">
        <v>3726</v>
      </c>
      <c r="AK3" s="6" t="s">
        <v>3727</v>
      </c>
      <c r="AL3" s="6" t="s">
        <v>3728</v>
      </c>
      <c r="AM3" s="6" t="s">
        <v>3729</v>
      </c>
      <c r="AN3" s="6" t="s">
        <v>3730</v>
      </c>
      <c r="AO3" s="6" t="s">
        <v>3731</v>
      </c>
      <c r="AP3" s="6" t="s">
        <v>3732</v>
      </c>
      <c r="AQ3" s="6" t="s">
        <v>3733</v>
      </c>
      <c r="AR3" s="6" t="s">
        <v>3734</v>
      </c>
      <c r="AS3" s="6" t="s">
        <v>3735</v>
      </c>
      <c r="AT3" s="6"/>
    </row>
    <row r="4" spans="1:46" x14ac:dyDescent="0.25">
      <c r="A4" s="17">
        <v>2023</v>
      </c>
      <c r="B4" s="63">
        <v>550531</v>
      </c>
      <c r="C4" s="63">
        <v>440028</v>
      </c>
      <c r="D4" s="63">
        <f>SUM(B4:C4)</f>
        <v>990559</v>
      </c>
      <c r="E4" s="63">
        <v>42240</v>
      </c>
      <c r="F4" s="32">
        <f>E4/D4</f>
        <v>4.2642588679725285E-2</v>
      </c>
      <c r="G4" s="9">
        <v>1910000</v>
      </c>
      <c r="H4" s="82">
        <f>G4/E4</f>
        <v>45.217803030303031</v>
      </c>
      <c r="J4" s="172" t="s">
        <v>3773</v>
      </c>
      <c r="K4" s="63">
        <v>830000</v>
      </c>
      <c r="L4" s="63">
        <f>(1+$L$5)*K4</f>
        <v>844111.90216928918</v>
      </c>
      <c r="M4" s="63">
        <f>(1+$L$5)*L4</f>
        <v>858463.73901669355</v>
      </c>
      <c r="N4" s="63">
        <f>(1+$L$5)*M4</f>
        <v>873059.58998161624</v>
      </c>
      <c r="O4" s="63">
        <f>(1+$L$5)*N4</f>
        <v>887903.60386327922</v>
      </c>
      <c r="P4" s="63">
        <v>903000</v>
      </c>
      <c r="Q4" s="63">
        <f>(1+$Q$5)*P4</f>
        <v>919207.65153145709</v>
      </c>
      <c r="R4" s="63">
        <f>(1+$Q$5)*Q4</f>
        <v>935706.20889698411</v>
      </c>
      <c r="S4" s="63">
        <f>(1+$Q$5)*R4</f>
        <v>952500.89347021014</v>
      </c>
      <c r="T4" s="63">
        <f>(1+$Q$5)*S4</f>
        <v>969597.02034149109</v>
      </c>
      <c r="U4" s="63">
        <v>987000</v>
      </c>
      <c r="V4" s="63">
        <f>(1+$Q$5)*U4</f>
        <v>1004715.3400460113</v>
      </c>
      <c r="W4" s="63">
        <f>(1+$Q$5)*V4</f>
        <v>1022748.6469339129</v>
      </c>
      <c r="X4" s="63">
        <f>(1+$Q$5)*W4</f>
        <v>1041105.6277465088</v>
      </c>
      <c r="Y4" s="63">
        <f>(1+$Q$5)*X4</f>
        <v>1059792.0920011648</v>
      </c>
      <c r="Z4" s="63">
        <v>1079000</v>
      </c>
      <c r="AA4" s="63">
        <f>(1+$Q$5)*Z4</f>
        <v>1098366.6179429039</v>
      </c>
      <c r="AB4" s="63">
        <f>(1+$Q$5)*AA4</f>
        <v>1118080.8409743586</v>
      </c>
      <c r="AC4" s="63">
        <f>(1+$Q$5)*AB4</f>
        <v>1138148.9081443595</v>
      </c>
      <c r="AD4" s="63">
        <f>(1+$Q$5)*AC4</f>
        <v>1158577.1704855689</v>
      </c>
      <c r="AE4" s="63">
        <v>1180000</v>
      </c>
      <c r="AF4" s="63">
        <f>(1+$Q$5)*AE4</f>
        <v>1201179.4338949274</v>
      </c>
      <c r="AG4" s="63">
        <f>(1+$Q$5)*AF4</f>
        <v>1222739.0105187611</v>
      </c>
      <c r="AH4" s="63">
        <f>(1+$Q$5)*AG4</f>
        <v>1244685.5529289569</v>
      </c>
      <c r="AI4" s="63">
        <f>(1+$Q$5)*AH4</f>
        <v>1267026.0066477959</v>
      </c>
      <c r="AJ4" s="63">
        <v>1284000</v>
      </c>
      <c r="AK4" s="63">
        <f>(1+$Q$5)*AJ4</f>
        <v>1307046.0958653276</v>
      </c>
      <c r="AL4" s="63">
        <f>(1+$Q$5)*AK4</f>
        <v>1330505.8385644823</v>
      </c>
      <c r="AM4" s="63">
        <f>(1+$Q$5)*AL4</f>
        <v>1354386.6525091359</v>
      </c>
      <c r="AN4" s="63">
        <f>(1+$Q$5)*AM4</f>
        <v>1378696.0953692961</v>
      </c>
      <c r="AO4" s="63">
        <v>1389000</v>
      </c>
      <c r="AP4" s="63">
        <f>(1+$Q$5)*AO4</f>
        <v>1413930.7065085203</v>
      </c>
      <c r="AQ4" s="63">
        <f>(1+$Q$5)*AP4</f>
        <v>1439308.8861106432</v>
      </c>
      <c r="AR4" s="63">
        <f>(1+$Q$5)*AQ4</f>
        <v>1465142.5703545092</v>
      </c>
      <c r="AS4" s="63">
        <f>(1+$Q$5)*AR4</f>
        <v>1491439.9349438881</v>
      </c>
      <c r="AT4" s="63"/>
    </row>
    <row r="5" spans="1:46" x14ac:dyDescent="0.25">
      <c r="A5" s="17">
        <v>2024</v>
      </c>
      <c r="B5" s="63">
        <v>288406</v>
      </c>
      <c r="C5" s="63">
        <v>222728</v>
      </c>
      <c r="D5" s="63">
        <f>SUM(B5:C5)</f>
        <v>511134</v>
      </c>
      <c r="E5" s="63">
        <v>26500</v>
      </c>
      <c r="F5" s="32">
        <f>E5/D5</f>
        <v>5.1845504310024375E-2</v>
      </c>
      <c r="G5" s="9">
        <v>1150000</v>
      </c>
      <c r="H5" s="82">
        <f>G5/E5</f>
        <v>43.39622641509434</v>
      </c>
      <c r="J5" s="172" t="s">
        <v>3758</v>
      </c>
      <c r="K5" s="17" t="s">
        <v>3774</v>
      </c>
      <c r="L5" s="65">
        <f>(P4/K4)^(1/5)-1</f>
        <v>1.700229177022794E-2</v>
      </c>
      <c r="M5" t="s">
        <v>3319</v>
      </c>
      <c r="P5" s="17" t="s">
        <v>3775</v>
      </c>
      <c r="Q5" s="65">
        <f>(U4/P4)^(1/5)-1</f>
        <v>1.7948672792311271E-2</v>
      </c>
      <c r="R5" t="s">
        <v>3319</v>
      </c>
      <c r="U5" s="17" t="s">
        <v>3776</v>
      </c>
      <c r="V5" s="65">
        <f>(Z4/U4)^(1/5)-1</f>
        <v>1.7983780372472058E-2</v>
      </c>
      <c r="W5" t="s">
        <v>3319</v>
      </c>
      <c r="Z5" s="17" t="s">
        <v>3777</v>
      </c>
      <c r="AA5" s="65">
        <f>(AE4/Z4)^(1/5)-1</f>
        <v>1.8057042491696373E-2</v>
      </c>
      <c r="AB5" t="s">
        <v>3319</v>
      </c>
      <c r="AE5" s="17" t="s">
        <v>3778</v>
      </c>
      <c r="AF5" s="65">
        <f>(AJ4/AE4)^(1/5)-1</f>
        <v>1.7036649568927142E-2</v>
      </c>
      <c r="AG5" t="s">
        <v>3319</v>
      </c>
      <c r="AJ5" s="17" t="s">
        <v>3779</v>
      </c>
      <c r="AK5" s="65">
        <f>(AO4/AJ4)^(1/5)-1</f>
        <v>1.5844993130888385E-2</v>
      </c>
      <c r="AL5" t="s">
        <v>3319</v>
      </c>
      <c r="AO5" s="17" t="s">
        <v>3780</v>
      </c>
      <c r="AP5" s="65">
        <f>(AT4/AO4)^(1/5)-1</f>
        <v>-1</v>
      </c>
      <c r="AQ5" t="s">
        <v>3319</v>
      </c>
      <c r="AS5" s="17"/>
      <c r="AT5" s="303"/>
    </row>
    <row r="6" spans="1:46" ht="15.75" x14ac:dyDescent="0.25">
      <c r="A6" s="76" t="s">
        <v>3756</v>
      </c>
      <c r="B6" s="77">
        <f t="shared" ref="B6:C6" si="0">AVERAGE(B3:B5)</f>
        <v>476892.66666666669</v>
      </c>
      <c r="C6" s="77">
        <f t="shared" si="0"/>
        <v>344335.33333333331</v>
      </c>
      <c r="D6" s="78">
        <f>AVERAGE(D3:D5)</f>
        <v>821228</v>
      </c>
      <c r="E6" s="77">
        <f>AVERAGE(E3:E5)</f>
        <v>36113.333333333336</v>
      </c>
      <c r="F6" s="79">
        <f>AVERAGE(F3:F5)</f>
        <v>4.521757309001237E-2</v>
      </c>
      <c r="G6" s="78">
        <f>AVERAGE(G3:G5)</f>
        <v>1642280</v>
      </c>
      <c r="H6" s="83">
        <f>AVERAGE(H3:H5)*0.8</f>
        <v>36.201720983419101</v>
      </c>
      <c r="J6" s="172" t="s">
        <v>3788</v>
      </c>
      <c r="K6" s="276">
        <f t="shared" ref="K6:Q6" si="1">$F6*K4*(1+$D$17)*($K12/$K9)</f>
        <v>96794.762580624971</v>
      </c>
      <c r="L6" s="276">
        <f>$F6*L4*(1+$D$17)*($K12/$K9)</f>
        <v>98440.495375850674</v>
      </c>
      <c r="M6" s="276">
        <f t="shared" si="1"/>
        <v>100114.20940023665</v>
      </c>
      <c r="N6" s="276">
        <f t="shared" si="1"/>
        <v>101816.38039880521</v>
      </c>
      <c r="O6" s="276">
        <f>$F6*O4*(1+$D$17)*($K12/$K9)</f>
        <v>103547.4922053342</v>
      </c>
      <c r="P6" s="276">
        <f t="shared" si="1"/>
        <v>105308.03687988473</v>
      </c>
      <c r="Q6" s="276">
        <f t="shared" si="1"/>
        <v>107198.17637624244</v>
      </c>
      <c r="R6" s="276">
        <f t="shared" ref="R6:AS6" si="2">$F6*R4*(1+$D$17)*($K12/$K9)</f>
        <v>109122.24136795208</v>
      </c>
      <c r="S6" s="276">
        <f t="shared" si="2"/>
        <v>111080.84077262908</v>
      </c>
      <c r="T6" s="276">
        <f t="shared" si="2"/>
        <v>113074.59443715181</v>
      </c>
      <c r="U6" s="276">
        <f>$F6*U4*(1+$D$17)*($K12/$K9)</f>
        <v>115104.1333338275</v>
      </c>
      <c r="V6" s="276">
        <f t="shared" si="2"/>
        <v>117170.09976007896</v>
      </c>
      <c r="W6" s="276">
        <f t="shared" si="2"/>
        <v>119273.14754171508</v>
      </c>
      <c r="X6" s="276">
        <f t="shared" si="2"/>
        <v>121413.94223985038</v>
      </c>
      <c r="Y6" s="276">
        <f t="shared" si="2"/>
        <v>123593.16136153805</v>
      </c>
      <c r="Z6" s="276">
        <f t="shared" si="2"/>
        <v>125833.19135481244</v>
      </c>
      <c r="AA6" s="276">
        <f t="shared" si="2"/>
        <v>128091.73013285226</v>
      </c>
      <c r="AB6" s="276">
        <f t="shared" si="2"/>
        <v>130390.80668440784</v>
      </c>
      <c r="AC6" s="276">
        <f t="shared" si="2"/>
        <v>132731.14860871181</v>
      </c>
      <c r="AD6" s="276">
        <f t="shared" si="2"/>
        <v>135113.4965644372</v>
      </c>
      <c r="AE6" s="276">
        <f t="shared" si="2"/>
        <v>137611.8311387198</v>
      </c>
      <c r="AF6" s="276">
        <f t="shared" si="2"/>
        <v>140081.78086817948</v>
      </c>
      <c r="AG6" s="276">
        <f t="shared" si="2"/>
        <v>142596.06291714669</v>
      </c>
      <c r="AH6" s="276">
        <f t="shared" si="2"/>
        <v>145155.47299191842</v>
      </c>
      <c r="AI6" s="276">
        <f t="shared" si="2"/>
        <v>147760.82108066353</v>
      </c>
      <c r="AJ6" s="276">
        <f t="shared" si="2"/>
        <v>149740.33151026801</v>
      </c>
      <c r="AK6" s="276">
        <f t="shared" si="2"/>
        <v>152427.97172435801</v>
      </c>
      <c r="AL6" s="276">
        <f t="shared" si="2"/>
        <v>155163.85151323417</v>
      </c>
      <c r="AM6" s="276">
        <f t="shared" si="2"/>
        <v>157948.83671323999</v>
      </c>
      <c r="AN6" s="276">
        <f t="shared" si="2"/>
        <v>160783.80870133211</v>
      </c>
      <c r="AO6" s="276">
        <f t="shared" si="2"/>
        <v>161985.45207769645</v>
      </c>
      <c r="AP6" s="276">
        <f t="shared" si="2"/>
        <v>164892.87595415363</v>
      </c>
      <c r="AQ6" s="276">
        <f t="shared" si="2"/>
        <v>167852.4842304379</v>
      </c>
      <c r="AR6" s="276">
        <f t="shared" si="2"/>
        <v>170865.21354726661</v>
      </c>
      <c r="AS6" s="276">
        <f t="shared" si="2"/>
        <v>173932.01735681493</v>
      </c>
      <c r="AT6" s="280"/>
    </row>
    <row r="7" spans="1:46" x14ac:dyDescent="0.25">
      <c r="K7" s="66">
        <f>AVERAGE(L5,Q5,V5,AA5,AF5,AK5)</f>
        <v>1.7312238354420528E-2</v>
      </c>
    </row>
    <row r="8" spans="1:46" x14ac:dyDescent="0.25">
      <c r="A8" s="67" t="s">
        <v>3765</v>
      </c>
      <c r="B8" s="68"/>
      <c r="C8" s="68"/>
      <c r="D8" s="68"/>
      <c r="E8" s="68"/>
      <c r="F8" s="68"/>
      <c r="J8" s="172" t="s">
        <v>4086</v>
      </c>
      <c r="K8" s="9">
        <v>10026.280000000001</v>
      </c>
    </row>
    <row r="9" spans="1:46" x14ac:dyDescent="0.25">
      <c r="A9" s="69" t="s">
        <v>3740</v>
      </c>
      <c r="B9" s="67" t="s">
        <v>3757</v>
      </c>
      <c r="C9" s="498" t="s">
        <v>3758</v>
      </c>
      <c r="D9" s="499" t="s">
        <v>3759</v>
      </c>
      <c r="E9" s="500" t="s">
        <v>3760</v>
      </c>
      <c r="F9" s="499" t="s">
        <v>3761</v>
      </c>
      <c r="H9" s="36"/>
      <c r="J9" s="172" t="s">
        <v>4087</v>
      </c>
      <c r="K9" s="75">
        <v>20925.400000000001</v>
      </c>
      <c r="L9" s="1" t="s">
        <v>4089</v>
      </c>
    </row>
    <row r="10" spans="1:46" x14ac:dyDescent="0.25">
      <c r="A10" s="84" t="s">
        <v>3781</v>
      </c>
      <c r="B10" s="68">
        <v>156963668</v>
      </c>
      <c r="C10" s="498"/>
      <c r="D10" s="499"/>
      <c r="E10" s="500"/>
      <c r="F10" s="499"/>
      <c r="H10" s="36"/>
      <c r="I10" s="46"/>
      <c r="J10" s="172" t="s">
        <v>4088</v>
      </c>
      <c r="K10" s="9">
        <v>9987.52</v>
      </c>
    </row>
    <row r="11" spans="1:46" x14ac:dyDescent="0.25">
      <c r="A11" s="84" t="s">
        <v>3782</v>
      </c>
      <c r="B11" s="68">
        <v>167345031</v>
      </c>
      <c r="C11" s="70">
        <f>B11/B10-1</f>
        <v>6.6138636617487867E-2</v>
      </c>
      <c r="D11" s="71">
        <f>1+C11</f>
        <v>1.0661386366174879</v>
      </c>
      <c r="E11" s="85"/>
      <c r="F11" s="86"/>
      <c r="H11" s="36"/>
      <c r="I11" s="46"/>
      <c r="J11" s="172" t="s">
        <v>4090</v>
      </c>
      <c r="K11" s="9">
        <v>10045.030000000001</v>
      </c>
    </row>
    <row r="12" spans="1:46" x14ac:dyDescent="0.25">
      <c r="A12" s="84" t="s">
        <v>3783</v>
      </c>
      <c r="B12" s="68">
        <v>181609501</v>
      </c>
      <c r="C12" s="70">
        <f t="shared" ref="C12:C16" si="3">B12/B11-1</f>
        <v>8.5239877842563594E-2</v>
      </c>
      <c r="D12" s="71">
        <f>1+C12</f>
        <v>1.0852398778425636</v>
      </c>
      <c r="E12" s="72">
        <v>2.9499999999999998E-2</v>
      </c>
      <c r="F12" s="71">
        <f>1+E12</f>
        <v>1.0295000000000001</v>
      </c>
      <c r="J12" s="172" t="s">
        <v>3262</v>
      </c>
      <c r="K12" s="75">
        <f>SUM(K8:K11)</f>
        <v>50984.229999999996</v>
      </c>
    </row>
    <row r="13" spans="1:46" x14ac:dyDescent="0.25">
      <c r="A13" s="84" t="s">
        <v>3784</v>
      </c>
      <c r="B13" s="68">
        <v>186351975</v>
      </c>
      <c r="C13" s="70">
        <f t="shared" si="3"/>
        <v>2.6113578716346897E-2</v>
      </c>
      <c r="D13" s="71">
        <f t="shared" ref="D13:F16" si="4">1+C13</f>
        <v>1.0261135787163469</v>
      </c>
      <c r="E13" s="72">
        <v>3.7499999999999999E-2</v>
      </c>
      <c r="F13" s="71">
        <f t="shared" si="4"/>
        <v>1.0375000000000001</v>
      </c>
      <c r="J13" s="270"/>
      <c r="K13" s="75"/>
    </row>
    <row r="14" spans="1:46" x14ac:dyDescent="0.25">
      <c r="A14" s="84" t="s">
        <v>3785</v>
      </c>
      <c r="B14" s="68">
        <v>197853378</v>
      </c>
      <c r="C14" s="70">
        <f t="shared" si="3"/>
        <v>6.1718707301062992E-2</v>
      </c>
      <c r="D14" s="71">
        <f t="shared" si="4"/>
        <v>1.061718707301063</v>
      </c>
      <c r="E14" s="72">
        <v>4.3099999999999999E-2</v>
      </c>
      <c r="F14" s="71">
        <f t="shared" si="4"/>
        <v>1.0430999999999999</v>
      </c>
      <c r="J14" s="395" t="s">
        <v>4095</v>
      </c>
      <c r="K14" s="9"/>
    </row>
    <row r="15" spans="1:46" x14ac:dyDescent="0.25">
      <c r="A15" s="84" t="s">
        <v>3786</v>
      </c>
      <c r="B15" s="68">
        <v>193307317</v>
      </c>
      <c r="C15" s="70">
        <f t="shared" si="3"/>
        <v>-2.297691879690833E-2</v>
      </c>
      <c r="D15" s="71">
        <f t="shared" si="4"/>
        <v>0.97702308120309167</v>
      </c>
      <c r="E15" s="72">
        <v>4.5199999999999997E-2</v>
      </c>
      <c r="F15" s="71">
        <f t="shared" si="4"/>
        <v>1.0451999999999999</v>
      </c>
      <c r="J15" s="395" t="s">
        <v>3788</v>
      </c>
      <c r="K15" s="396">
        <f t="shared" ref="K15:AS15" ca="1" si="5">$F6*K4*(1+$D$17)*($K12/$K9)*(1+_xlfn.NORM.INV(RAND(),0,$C27))</f>
        <v>81646.833079576027</v>
      </c>
      <c r="L15" s="396">
        <f ca="1">$F6*L4*(1+$D$17)*($K12/$K9)*(1+_xlfn.NORM.INV(RAND(),0,$C27))</f>
        <v>93704.294670943535</v>
      </c>
      <c r="M15" s="396">
        <f t="shared" ca="1" si="5"/>
        <v>93022.886314136165</v>
      </c>
      <c r="N15" s="396">
        <f ca="1">$F6*N4*(1+$D$17)*($K12/$K9)*(1+_xlfn.NORM.INV(RAND(),0,$C27))</f>
        <v>126010.27542583329</v>
      </c>
      <c r="O15" s="396">
        <f ca="1">$F6*O4*(1+$D$17)*($K12/$K9)*(1+_xlfn.NORM.INV(RAND(),0,$C27))</f>
        <v>127942.84310189309</v>
      </c>
      <c r="P15" s="396">
        <f ca="1">$F6*P4*(1+$D$17)*($K12/$K9)*(1+_xlfn.NORM.INV(RAND(),0,$C27))</f>
        <v>143761.481089218</v>
      </c>
      <c r="Q15" s="396">
        <f t="shared" ca="1" si="5"/>
        <v>94605.346663953867</v>
      </c>
      <c r="R15" s="396">
        <f t="shared" ca="1" si="5"/>
        <v>101983.10382871653</v>
      </c>
      <c r="S15" s="396">
        <f t="shared" ca="1" si="5"/>
        <v>117236.60435995019</v>
      </c>
      <c r="T15" s="396">
        <f ca="1">$F6*T4*(1+$D$17)*($K12/$K9)*(1+_xlfn.NORM.INV(RAND(),0,$C27))</f>
        <v>137204.68010297403</v>
      </c>
      <c r="U15" s="396">
        <f t="shared" ca="1" si="5"/>
        <v>117573.17101936182</v>
      </c>
      <c r="V15" s="396">
        <f t="shared" ca="1" si="5"/>
        <v>92422.089860137945</v>
      </c>
      <c r="W15" s="396">
        <f t="shared" ca="1" si="5"/>
        <v>129189.29080992124</v>
      </c>
      <c r="X15" s="396">
        <f t="shared" ca="1" si="5"/>
        <v>104240.01252948027</v>
      </c>
      <c r="Y15" s="396">
        <f t="shared" ca="1" si="5"/>
        <v>80521.440727262889</v>
      </c>
      <c r="Z15" s="396">
        <f t="shared" ca="1" si="5"/>
        <v>154503.15450176812</v>
      </c>
      <c r="AA15" s="396">
        <f t="shared" ca="1" si="5"/>
        <v>84852.545491801604</v>
      </c>
      <c r="AB15" s="396">
        <f t="shared" ca="1" si="5"/>
        <v>149623.18461902303</v>
      </c>
      <c r="AC15" s="396">
        <f t="shared" ca="1" si="5"/>
        <v>137845.98042437009</v>
      </c>
      <c r="AD15" s="396">
        <f t="shared" ca="1" si="5"/>
        <v>154779.72178833667</v>
      </c>
      <c r="AE15" s="396">
        <f t="shared" ca="1" si="5"/>
        <v>138112.98925085599</v>
      </c>
      <c r="AF15" s="396">
        <f t="shared" ca="1" si="5"/>
        <v>129047.81106291467</v>
      </c>
      <c r="AG15" s="396">
        <f t="shared" ca="1" si="5"/>
        <v>145529.50778305365</v>
      </c>
      <c r="AH15" s="396">
        <f t="shared" ca="1" si="5"/>
        <v>151699.32047150048</v>
      </c>
      <c r="AI15" s="396">
        <f t="shared" ca="1" si="5"/>
        <v>158529.08102340199</v>
      </c>
      <c r="AJ15" s="396">
        <f t="shared" ca="1" si="5"/>
        <v>120438.20808826748</v>
      </c>
      <c r="AK15" s="396">
        <f t="shared" ca="1" si="5"/>
        <v>165612.73887816689</v>
      </c>
      <c r="AL15" s="396">
        <f t="shared" ca="1" si="5"/>
        <v>204879.08830242959</v>
      </c>
      <c r="AM15" s="396">
        <f t="shared" ca="1" si="5"/>
        <v>164754.71543608952</v>
      </c>
      <c r="AN15" s="396">
        <f t="shared" ca="1" si="5"/>
        <v>137146.78014013523</v>
      </c>
      <c r="AO15" s="396">
        <f t="shared" ca="1" si="5"/>
        <v>175434.09406631507</v>
      </c>
      <c r="AP15" s="396">
        <f t="shared" ca="1" si="5"/>
        <v>179402.93537010241</v>
      </c>
      <c r="AQ15" s="396">
        <f t="shared" ca="1" si="5"/>
        <v>187583.34379128509</v>
      </c>
      <c r="AR15" s="396">
        <f t="shared" ca="1" si="5"/>
        <v>202308.22325941484</v>
      </c>
      <c r="AS15" s="396">
        <f t="shared" ca="1" si="5"/>
        <v>155547.65523903421</v>
      </c>
      <c r="AT15" s="280"/>
    </row>
    <row r="16" spans="1:46" x14ac:dyDescent="0.25">
      <c r="A16" s="84" t="s">
        <v>3787</v>
      </c>
      <c r="B16" s="68">
        <v>220813522.472</v>
      </c>
      <c r="C16" s="70">
        <f t="shared" si="3"/>
        <v>0.1422926245052587</v>
      </c>
      <c r="D16" s="71">
        <f t="shared" si="4"/>
        <v>1.1422926245052587</v>
      </c>
      <c r="E16" s="72">
        <v>0.10059999999999999</v>
      </c>
      <c r="F16" s="71">
        <f t="shared" si="4"/>
        <v>1.1006</v>
      </c>
    </row>
    <row r="17" spans="1:7" x14ac:dyDescent="0.25">
      <c r="A17" s="496" t="s">
        <v>3764</v>
      </c>
      <c r="B17" s="496"/>
      <c r="C17" s="496"/>
      <c r="D17" s="87">
        <f>PRODUCT(D11:D16)^(1/6)-1</f>
        <v>5.8533047149691209E-2</v>
      </c>
      <c r="E17" s="67" t="s">
        <v>3762</v>
      </c>
      <c r="F17" s="74">
        <f>PRODUCT(F12:F16)^(1/5)-1</f>
        <v>5.0881779689269324E-2</v>
      </c>
      <c r="G17" t="s">
        <v>3319</v>
      </c>
    </row>
    <row r="18" spans="1:7" ht="15.75" x14ac:dyDescent="0.25">
      <c r="A18" s="495" t="s">
        <v>3763</v>
      </c>
      <c r="B18" s="495"/>
      <c r="C18" s="495"/>
      <c r="D18" s="495"/>
      <c r="E18" s="495"/>
      <c r="F18" s="73">
        <f>((1+D17)/(1+F17))-1</f>
        <v>7.2808070406209513E-3</v>
      </c>
      <c r="G18" t="s">
        <v>3319</v>
      </c>
    </row>
    <row r="19" spans="1:7" ht="15.75" x14ac:dyDescent="0.25">
      <c r="A19" s="217"/>
      <c r="B19" s="217"/>
      <c r="C19" s="284"/>
    </row>
    <row r="20" spans="1:7" x14ac:dyDescent="0.25">
      <c r="A20" s="493" t="s">
        <v>4094</v>
      </c>
      <c r="B20" s="493"/>
      <c r="C20" s="493"/>
    </row>
    <row r="21" spans="1:7" x14ac:dyDescent="0.25">
      <c r="A21" s="1" t="s">
        <v>3256</v>
      </c>
      <c r="B21" s="1" t="s">
        <v>4072</v>
      </c>
      <c r="C21" s="492" t="s">
        <v>4091</v>
      </c>
    </row>
    <row r="22" spans="1:7" x14ac:dyDescent="0.25">
      <c r="A22">
        <v>2020</v>
      </c>
      <c r="B22" s="68">
        <v>403897</v>
      </c>
      <c r="C22" s="492"/>
    </row>
    <row r="23" spans="1:7" x14ac:dyDescent="0.25">
      <c r="A23">
        <v>2021</v>
      </c>
      <c r="B23" s="68">
        <v>492927</v>
      </c>
      <c r="C23" s="46">
        <f>B23/B22-1</f>
        <v>0.22042748522519351</v>
      </c>
    </row>
    <row r="24" spans="1:7" x14ac:dyDescent="0.25">
      <c r="A24">
        <v>2022</v>
      </c>
      <c r="B24" s="68">
        <v>591741</v>
      </c>
      <c r="C24" s="46">
        <f>B24/B23-1</f>
        <v>0.20046376035396718</v>
      </c>
    </row>
    <row r="25" spans="1:7" x14ac:dyDescent="0.25">
      <c r="A25">
        <v>2023</v>
      </c>
      <c r="B25" s="68">
        <v>550531</v>
      </c>
      <c r="C25" s="46">
        <f>B25/B24-1</f>
        <v>-6.9641954841729747E-2</v>
      </c>
    </row>
    <row r="26" spans="1:7" x14ac:dyDescent="0.25">
      <c r="A26" s="493" t="s">
        <v>4092</v>
      </c>
      <c r="B26" s="493"/>
      <c r="C26" s="278">
        <f>AVERAGE(C23:C25)</f>
        <v>0.11708309691247698</v>
      </c>
    </row>
    <row r="27" spans="1:7" x14ac:dyDescent="0.25">
      <c r="A27" s="494" t="s">
        <v>4093</v>
      </c>
      <c r="B27" s="494"/>
      <c r="C27" s="310">
        <f>_xlfn.STDEV.S(C23:C25)</f>
        <v>0.16201642290873447</v>
      </c>
    </row>
  </sheetData>
  <mergeCells count="11">
    <mergeCell ref="A17:C17"/>
    <mergeCell ref="J2:J3"/>
    <mergeCell ref="C9:C10"/>
    <mergeCell ref="D9:D10"/>
    <mergeCell ref="E9:E10"/>
    <mergeCell ref="F9:F10"/>
    <mergeCell ref="C21:C22"/>
    <mergeCell ref="A26:B26"/>
    <mergeCell ref="A27:B27"/>
    <mergeCell ref="A20:C20"/>
    <mergeCell ref="A18:E18"/>
  </mergeCells>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D6830-CB5F-4E2F-8D1F-D3E49FD89049}">
  <sheetPr codeName="Planilha14"/>
  <dimension ref="A1:AK37"/>
  <sheetViews>
    <sheetView topLeftCell="A4" workbookViewId="0">
      <selection activeCell="J8" sqref="J8"/>
    </sheetView>
  </sheetViews>
  <sheetFormatPr defaultRowHeight="15" x14ac:dyDescent="0.25"/>
  <cols>
    <col min="1" max="1" width="12.5703125" customWidth="1"/>
    <col min="2" max="3" width="12.42578125" customWidth="1"/>
    <col min="4" max="4" width="13.7109375" customWidth="1"/>
    <col min="12" max="12" width="10.140625" bestFit="1" customWidth="1"/>
  </cols>
  <sheetData>
    <row r="1" spans="1:37" x14ac:dyDescent="0.25">
      <c r="K1" t="s">
        <v>3739</v>
      </c>
    </row>
    <row r="2" spans="1:37" x14ac:dyDescent="0.25">
      <c r="K2" s="54" t="s">
        <v>3740</v>
      </c>
      <c r="L2" s="1" t="s">
        <v>3741</v>
      </c>
      <c r="M2" s="1"/>
      <c r="N2" s="1"/>
    </row>
    <row r="3" spans="1:37" x14ac:dyDescent="0.25">
      <c r="J3" s="502" t="s">
        <v>3742</v>
      </c>
      <c r="K3">
        <v>2013</v>
      </c>
      <c r="L3" s="37">
        <v>140728</v>
      </c>
    </row>
    <row r="4" spans="1:37" x14ac:dyDescent="0.25">
      <c r="J4" s="502"/>
      <c r="K4">
        <v>2014</v>
      </c>
      <c r="L4" s="37">
        <v>155143</v>
      </c>
      <c r="M4">
        <f>L4/L3-1</f>
        <v>0.10243164118014891</v>
      </c>
      <c r="N4">
        <f>1+M4</f>
        <v>1.1024316411801489</v>
      </c>
    </row>
    <row r="5" spans="1:37" x14ac:dyDescent="0.25">
      <c r="K5">
        <v>2015</v>
      </c>
      <c r="L5" s="37">
        <v>156964</v>
      </c>
      <c r="M5">
        <f t="shared" ref="M5:M11" si="0">L5/L4-1</f>
        <v>1.1737558252708835E-2</v>
      </c>
      <c r="N5">
        <f t="shared" ref="N5:N11" si="1">1+M5</f>
        <v>1.0117375582527088</v>
      </c>
    </row>
    <row r="6" spans="1:37" x14ac:dyDescent="0.25">
      <c r="K6">
        <v>2016</v>
      </c>
      <c r="L6" s="37">
        <v>167345</v>
      </c>
      <c r="M6">
        <f t="shared" si="0"/>
        <v>6.6136184093167794E-2</v>
      </c>
      <c r="N6">
        <f t="shared" si="1"/>
        <v>1.0661361840931678</v>
      </c>
    </row>
    <row r="7" spans="1:37" x14ac:dyDescent="0.25">
      <c r="K7">
        <v>2017</v>
      </c>
      <c r="L7" s="37">
        <v>181610</v>
      </c>
      <c r="M7">
        <f t="shared" si="0"/>
        <v>8.5243060742776988E-2</v>
      </c>
      <c r="N7">
        <f t="shared" si="1"/>
        <v>1.085243060742777</v>
      </c>
    </row>
    <row r="8" spans="1:37" x14ac:dyDescent="0.25">
      <c r="K8">
        <v>2018</v>
      </c>
      <c r="L8" s="37">
        <v>186352</v>
      </c>
      <c r="M8">
        <f t="shared" si="0"/>
        <v>2.6110896977038722E-2</v>
      </c>
      <c r="N8">
        <f t="shared" si="1"/>
        <v>1.0261108969770387</v>
      </c>
    </row>
    <row r="9" spans="1:37" x14ac:dyDescent="0.25">
      <c r="K9">
        <v>2019</v>
      </c>
      <c r="L9" s="37">
        <v>197853</v>
      </c>
      <c r="M9">
        <f t="shared" si="0"/>
        <v>6.1716536447153691E-2</v>
      </c>
      <c r="N9">
        <f t="shared" si="1"/>
        <v>1.0617165364471537</v>
      </c>
    </row>
    <row r="10" spans="1:37" x14ac:dyDescent="0.25">
      <c r="K10">
        <v>2020</v>
      </c>
      <c r="L10" s="37">
        <v>193307</v>
      </c>
      <c r="M10">
        <f t="shared" si="0"/>
        <v>-2.2976654384821105E-2</v>
      </c>
      <c r="N10">
        <f t="shared" si="1"/>
        <v>0.9770233456151789</v>
      </c>
    </row>
    <row r="11" spans="1:37" x14ac:dyDescent="0.25">
      <c r="K11">
        <v>2021</v>
      </c>
      <c r="L11" s="37">
        <v>220814</v>
      </c>
      <c r="M11">
        <f t="shared" si="0"/>
        <v>0.14229696803530145</v>
      </c>
      <c r="N11">
        <f t="shared" si="1"/>
        <v>1.1422969680353015</v>
      </c>
    </row>
    <row r="12" spans="1:37" x14ac:dyDescent="0.25">
      <c r="K12" s="493" t="s">
        <v>3743</v>
      </c>
      <c r="L12" s="493"/>
      <c r="M12" s="493"/>
      <c r="N12" s="45">
        <f>PRODUCT(N6:N11)^(1/6)-1</f>
        <v>5.8533055520163302E-2</v>
      </c>
      <c r="O12" t="s">
        <v>3319</v>
      </c>
    </row>
    <row r="13" spans="1:37" x14ac:dyDescent="0.25">
      <c r="A13" s="1" t="s">
        <v>3738</v>
      </c>
    </row>
    <row r="14" spans="1:37" x14ac:dyDescent="0.25">
      <c r="A14" s="502" t="s">
        <v>3744</v>
      </c>
      <c r="B14" s="58">
        <v>2025</v>
      </c>
      <c r="C14" s="17">
        <v>2026</v>
      </c>
      <c r="D14" s="58">
        <v>2027</v>
      </c>
      <c r="E14" s="17">
        <v>2028</v>
      </c>
      <c r="F14" s="58">
        <v>2029</v>
      </c>
      <c r="G14" s="17">
        <v>2030</v>
      </c>
      <c r="H14" s="58">
        <v>2031</v>
      </c>
      <c r="I14" s="17">
        <v>2032</v>
      </c>
      <c r="J14" s="58">
        <v>2033</v>
      </c>
      <c r="K14" s="17">
        <v>2034</v>
      </c>
      <c r="L14" s="58">
        <v>2035</v>
      </c>
      <c r="M14" s="17">
        <v>2036</v>
      </c>
      <c r="N14" s="58">
        <v>2037</v>
      </c>
      <c r="O14" s="17">
        <v>2038</v>
      </c>
      <c r="P14" s="58">
        <v>2039</v>
      </c>
      <c r="Q14" s="17">
        <v>2040</v>
      </c>
      <c r="R14" s="58">
        <v>2041</v>
      </c>
      <c r="S14" s="17">
        <v>2042</v>
      </c>
      <c r="T14" s="58">
        <v>2043</v>
      </c>
      <c r="U14" s="17">
        <v>2044</v>
      </c>
      <c r="V14" s="58">
        <v>2045</v>
      </c>
      <c r="W14" s="17">
        <v>2046</v>
      </c>
      <c r="X14" s="58">
        <v>2047</v>
      </c>
      <c r="Y14" s="17">
        <v>2048</v>
      </c>
      <c r="Z14" s="58">
        <v>2049</v>
      </c>
      <c r="AA14" s="17">
        <v>2050</v>
      </c>
      <c r="AB14" s="58">
        <v>2051</v>
      </c>
      <c r="AC14" s="17">
        <v>2052</v>
      </c>
      <c r="AD14" s="58">
        <v>2053</v>
      </c>
      <c r="AE14" s="17">
        <v>2054</v>
      </c>
      <c r="AF14" s="58">
        <v>2055</v>
      </c>
      <c r="AG14" s="17">
        <v>2056</v>
      </c>
      <c r="AH14" s="58">
        <v>2057</v>
      </c>
      <c r="AI14" s="17">
        <v>2058</v>
      </c>
      <c r="AJ14" s="58">
        <v>2059</v>
      </c>
      <c r="AK14" s="17"/>
    </row>
    <row r="15" spans="1:37" x14ac:dyDescent="0.25">
      <c r="A15" s="502"/>
      <c r="B15" s="47" t="s">
        <v>3701</v>
      </c>
      <c r="C15" s="6" t="s">
        <v>3702</v>
      </c>
      <c r="D15" s="47" t="s">
        <v>3703</v>
      </c>
      <c r="E15" s="6" t="s">
        <v>3704</v>
      </c>
      <c r="F15" s="47" t="s">
        <v>3705</v>
      </c>
      <c r="G15" s="6" t="s">
        <v>3706</v>
      </c>
      <c r="H15" s="47" t="s">
        <v>3707</v>
      </c>
      <c r="I15" s="6" t="s">
        <v>3708</v>
      </c>
      <c r="J15" s="47" t="s">
        <v>3709</v>
      </c>
      <c r="K15" s="6" t="s">
        <v>3710</v>
      </c>
      <c r="L15" s="47" t="s">
        <v>3711</v>
      </c>
      <c r="M15" s="6" t="s">
        <v>3712</v>
      </c>
      <c r="N15" s="47" t="s">
        <v>3713</v>
      </c>
      <c r="O15" s="6" t="s">
        <v>3714</v>
      </c>
      <c r="P15" s="47" t="s">
        <v>3715</v>
      </c>
      <c r="Q15" s="6" t="s">
        <v>3716</v>
      </c>
      <c r="R15" s="47" t="s">
        <v>3717</v>
      </c>
      <c r="S15" s="6" t="s">
        <v>3718</v>
      </c>
      <c r="T15" s="47" t="s">
        <v>3719</v>
      </c>
      <c r="U15" s="6" t="s">
        <v>3720</v>
      </c>
      <c r="V15" s="47" t="s">
        <v>3721</v>
      </c>
      <c r="W15" s="6" t="s">
        <v>3722</v>
      </c>
      <c r="X15" s="47" t="s">
        <v>3723</v>
      </c>
      <c r="Y15" s="6" t="s">
        <v>3724</v>
      </c>
      <c r="Z15" s="47" t="s">
        <v>3725</v>
      </c>
      <c r="AA15" s="6" t="s">
        <v>3726</v>
      </c>
      <c r="AB15" s="47" t="s">
        <v>3727</v>
      </c>
      <c r="AC15" s="6" t="s">
        <v>3728</v>
      </c>
      <c r="AD15" s="47" t="s">
        <v>3729</v>
      </c>
      <c r="AE15" s="6" t="s">
        <v>3730</v>
      </c>
      <c r="AF15" s="47" t="s">
        <v>3731</v>
      </c>
      <c r="AG15" s="6" t="s">
        <v>3732</v>
      </c>
      <c r="AH15" s="47" t="s">
        <v>3733</v>
      </c>
      <c r="AI15" s="6" t="s">
        <v>3734</v>
      </c>
      <c r="AJ15" s="47" t="s">
        <v>3735</v>
      </c>
      <c r="AK15" s="6"/>
    </row>
    <row r="16" spans="1:37" x14ac:dyDescent="0.25">
      <c r="A16" s="502"/>
      <c r="B16" s="276">
        <v>38972</v>
      </c>
      <c r="C16" s="276">
        <f>(1+$N$12)*B16</f>
        <v>41253.150239731804</v>
      </c>
      <c r="D16" s="276">
        <f>(1+$N$12)*C16</f>
        <v>43667.823173095661</v>
      </c>
      <c r="E16" s="276">
        <f>(1+$N$12)*D16</f>
        <v>46223.834291331143</v>
      </c>
      <c r="F16" s="276">
        <f t="shared" ref="F16:AJ16" si="2">(1+$N$12)*E16</f>
        <v>48929.45655026046</v>
      </c>
      <c r="G16" s="276">
        <f>(1+$N$12)*F16</f>
        <v>51793.447147088271</v>
      </c>
      <c r="H16" s="276">
        <f t="shared" si="2"/>
        <v>54825.075864529434</v>
      </c>
      <c r="I16" s="276">
        <f>(1+$N$12)*H16</f>
        <v>58034.155074005103</v>
      </c>
      <c r="J16" s="276">
        <f t="shared" si="2"/>
        <v>61431.071495017612</v>
      </c>
      <c r="K16" s="276">
        <f t="shared" si="2"/>
        <v>65026.819813498601</v>
      </c>
      <c r="L16" s="276">
        <f t="shared" si="2"/>
        <v>68833.038267941767</v>
      </c>
      <c r="M16" s="276">
        <f t="shared" si="2"/>
        <v>72862.046318500725</v>
      </c>
      <c r="N16" s="276">
        <f t="shared" si="2"/>
        <v>77126.884520974243</v>
      </c>
      <c r="O16" s="276">
        <f t="shared" si="2"/>
        <v>81641.356734737652</v>
      </c>
      <c r="P16" s="276">
        <f t="shared" si="2"/>
        <v>86420.07480123351</v>
      </c>
      <c r="Q16" s="276">
        <f t="shared" si="2"/>
        <v>91478.505837630772</v>
      </c>
      <c r="R16" s="276">
        <f t="shared" si="2"/>
        <v>96833.022298726399</v>
      </c>
      <c r="S16" s="276">
        <f t="shared" si="2"/>
        <v>102500.95496912296</v>
      </c>
      <c r="T16" s="276">
        <f t="shared" si="2"/>
        <v>108500.6490572004</v>
      </c>
      <c r="U16" s="276">
        <f t="shared" si="2"/>
        <v>114851.52357243926</v>
      </c>
      <c r="V16" s="276">
        <f t="shared" si="2"/>
        <v>121574.13417828019</v>
      </c>
      <c r="W16" s="276">
        <f t="shared" si="2"/>
        <v>128690.23972395324</v>
      </c>
      <c r="X16" s="276">
        <f t="shared" si="2"/>
        <v>136222.87267061853</v>
      </c>
      <c r="Y16" s="276">
        <f t="shared" si="2"/>
        <v>144196.41363976398</v>
      </c>
      <c r="Z16" s="276">
        <f t="shared" si="2"/>
        <v>152636.67032514871</v>
      </c>
      <c r="AA16" s="276">
        <f t="shared" si="2"/>
        <v>161570.96102370351</v>
      </c>
      <c r="AB16" s="276">
        <f t="shared" si="2"/>
        <v>171028.20305575008</v>
      </c>
      <c r="AC16" s="276">
        <f t="shared" si="2"/>
        <v>181039.00636072605</v>
      </c>
      <c r="AD16" s="276">
        <f t="shared" si="2"/>
        <v>191635.77257135362</v>
      </c>
      <c r="AE16" s="276">
        <f t="shared" si="2"/>
        <v>202852.79988692206</v>
      </c>
      <c r="AF16" s="276">
        <f t="shared" si="2"/>
        <v>214726.39408512384</v>
      </c>
      <c r="AG16" s="276">
        <f t="shared" si="2"/>
        <v>227294.98603175287</v>
      </c>
      <c r="AH16" s="276">
        <f t="shared" si="2"/>
        <v>240599.25606860421</v>
      </c>
      <c r="AI16" s="276">
        <f t="shared" si="2"/>
        <v>254682.26568217782</v>
      </c>
      <c r="AJ16" s="276">
        <f t="shared" si="2"/>
        <v>269589.59687935369</v>
      </c>
      <c r="AK16" s="62"/>
    </row>
    <row r="17" spans="1:37" x14ac:dyDescent="0.25">
      <c r="A17" s="279"/>
      <c r="B17" s="280"/>
      <c r="C17" s="280"/>
      <c r="D17" s="280"/>
      <c r="E17" s="280"/>
      <c r="F17" s="280"/>
      <c r="G17" s="280"/>
      <c r="H17" s="280"/>
      <c r="I17" s="280"/>
      <c r="J17" s="280"/>
      <c r="K17" s="280"/>
      <c r="L17" s="280"/>
      <c r="M17" s="280"/>
      <c r="N17" s="280"/>
      <c r="O17" s="280"/>
      <c r="P17" s="280"/>
      <c r="Q17" s="280"/>
      <c r="R17" s="280"/>
      <c r="S17" s="280"/>
      <c r="T17" s="280"/>
      <c r="U17" s="280"/>
      <c r="V17" s="280"/>
      <c r="W17" s="280"/>
      <c r="X17" s="280"/>
      <c r="Y17" s="280"/>
      <c r="Z17" s="280"/>
      <c r="AA17" s="280"/>
      <c r="AB17" s="280"/>
      <c r="AC17" s="280"/>
      <c r="AD17" s="280"/>
      <c r="AE17" s="280"/>
      <c r="AF17" s="280"/>
      <c r="AG17" s="280"/>
      <c r="AH17" s="280"/>
      <c r="AI17" s="280"/>
      <c r="AJ17" s="280"/>
      <c r="AK17" s="62"/>
    </row>
    <row r="18" spans="1:37" s="115" customFormat="1" x14ac:dyDescent="0.25">
      <c r="A18" s="282"/>
      <c r="B18" s="395" t="s">
        <v>4095</v>
      </c>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117"/>
      <c r="AC18" s="117"/>
      <c r="AD18" s="117"/>
      <c r="AE18" s="117"/>
      <c r="AF18" s="117"/>
      <c r="AG18" s="117"/>
      <c r="AH18" s="117"/>
      <c r="AI18" s="117"/>
      <c r="AJ18" s="117"/>
      <c r="AK18" s="117"/>
    </row>
    <row r="19" spans="1:37" s="115" customFormat="1" x14ac:dyDescent="0.25">
      <c r="A19" s="282"/>
      <c r="B19" s="396">
        <f ca="1">B16*(1+_xlfn.NORM.INV(RAND(),0,$D29))</f>
        <v>38624.888165437755</v>
      </c>
      <c r="C19" s="396">
        <f ca="1">C16*(1+_xlfn.NORM.INV(RAND(),0,$D29))</f>
        <v>25983.187710945982</v>
      </c>
      <c r="D19" s="396">
        <f ca="1">D16*(1+_xlfn.NORM.INV(RAND(),0,$D29))</f>
        <v>39985.300183565516</v>
      </c>
      <c r="E19" s="396">
        <f ca="1">E16*(1+_xlfn.NORM.INV(RAND(),0,$D29))</f>
        <v>34896.763193315252</v>
      </c>
      <c r="F19" s="396">
        <f ca="1">F16*(1+_xlfn.NORM.INV(RAND(),0,$D29))</f>
        <v>66964.937169357174</v>
      </c>
      <c r="G19" s="396">
        <f t="shared" ref="G19:AJ19" ca="1" si="3">G16*(1+_xlfn.NORM.INV(RAND(),0,$D29))</f>
        <v>62156.358266060182</v>
      </c>
      <c r="H19" s="396">
        <f t="shared" ca="1" si="3"/>
        <v>65403.497747093352</v>
      </c>
      <c r="I19" s="396">
        <f t="shared" ca="1" si="3"/>
        <v>54991.394195327601</v>
      </c>
      <c r="J19" s="396">
        <f t="shared" ca="1" si="3"/>
        <v>28608.415802039963</v>
      </c>
      <c r="K19" s="396">
        <f t="shared" ca="1" si="3"/>
        <v>64840.530325793785</v>
      </c>
      <c r="L19" s="396">
        <f t="shared" ca="1" si="3"/>
        <v>37437.688894378916</v>
      </c>
      <c r="M19" s="396">
        <f t="shared" ca="1" si="3"/>
        <v>58468.624560340548</v>
      </c>
      <c r="N19" s="396">
        <f t="shared" ca="1" si="3"/>
        <v>82165.924690917527</v>
      </c>
      <c r="O19" s="396">
        <f t="shared" ca="1" si="3"/>
        <v>88541.247614638982</v>
      </c>
      <c r="P19" s="396">
        <f t="shared" ca="1" si="3"/>
        <v>77575.909049373062</v>
      </c>
      <c r="Q19" s="396">
        <f t="shared" ca="1" si="3"/>
        <v>115088.39291505613</v>
      </c>
      <c r="R19" s="396">
        <f t="shared" ca="1" si="3"/>
        <v>102792.62048193037</v>
      </c>
      <c r="S19" s="396">
        <f t="shared" ca="1" si="3"/>
        <v>80631.123219136338</v>
      </c>
      <c r="T19" s="396">
        <f t="shared" ca="1" si="3"/>
        <v>105777.1604351274</v>
      </c>
      <c r="U19" s="396">
        <f t="shared" ca="1" si="3"/>
        <v>146974.36809478907</v>
      </c>
      <c r="V19" s="396">
        <f t="shared" ca="1" si="3"/>
        <v>98589.17524420991</v>
      </c>
      <c r="W19" s="396">
        <f t="shared" ca="1" si="3"/>
        <v>113895.71199296028</v>
      </c>
      <c r="X19" s="396">
        <f t="shared" ca="1" si="3"/>
        <v>125220.48920674712</v>
      </c>
      <c r="Y19" s="396">
        <f t="shared" ca="1" si="3"/>
        <v>167732.27430345863</v>
      </c>
      <c r="Z19" s="396">
        <f t="shared" ca="1" si="3"/>
        <v>214583.01466843369</v>
      </c>
      <c r="AA19" s="396">
        <f t="shared" ca="1" si="3"/>
        <v>219905.10830385293</v>
      </c>
      <c r="AB19" s="396">
        <f t="shared" ca="1" si="3"/>
        <v>105088.09424819078</v>
      </c>
      <c r="AC19" s="396">
        <f t="shared" ca="1" si="3"/>
        <v>223201.7806698246</v>
      </c>
      <c r="AD19" s="396">
        <f t="shared" ca="1" si="3"/>
        <v>180592.29837130624</v>
      </c>
      <c r="AE19" s="396">
        <f t="shared" ca="1" si="3"/>
        <v>285421.41591574397</v>
      </c>
      <c r="AF19" s="396">
        <f t="shared" ca="1" si="3"/>
        <v>159968.3979695662</v>
      </c>
      <c r="AG19" s="396">
        <f t="shared" ca="1" si="3"/>
        <v>131617.28990465309</v>
      </c>
      <c r="AH19" s="396">
        <f t="shared" ca="1" si="3"/>
        <v>170624.77492883612</v>
      </c>
      <c r="AI19" s="396">
        <f t="shared" ca="1" si="3"/>
        <v>285726.78105641692</v>
      </c>
      <c r="AJ19" s="396">
        <f t="shared" ca="1" si="3"/>
        <v>224738.46720340525</v>
      </c>
      <c r="AK19" s="117"/>
    </row>
    <row r="20" spans="1:37" s="115" customFormat="1" x14ac:dyDescent="0.25">
      <c r="A20" s="282"/>
      <c r="B20" s="117"/>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117"/>
      <c r="AC20" s="117"/>
      <c r="AD20" s="117"/>
      <c r="AE20" s="117"/>
      <c r="AF20" s="117"/>
      <c r="AG20" s="117"/>
      <c r="AH20" s="117"/>
      <c r="AI20" s="117"/>
      <c r="AJ20" s="117"/>
      <c r="AK20" s="117"/>
    </row>
    <row r="21" spans="1:37" s="115" customFormat="1" x14ac:dyDescent="0.25">
      <c r="A21" s="282"/>
      <c r="B21" s="501" t="s">
        <v>4094</v>
      </c>
      <c r="C21" s="501"/>
      <c r="D21" s="501"/>
      <c r="E21" s="117"/>
      <c r="F21" s="117"/>
      <c r="G21" s="117"/>
      <c r="H21" s="117"/>
      <c r="I21" s="117"/>
      <c r="J21" s="117"/>
      <c r="K21" s="117"/>
      <c r="L21" s="117"/>
      <c r="M21" s="117"/>
      <c r="N21" s="117"/>
      <c r="O21" s="117"/>
      <c r="P21" s="117"/>
      <c r="Q21" s="117"/>
      <c r="R21" s="117"/>
      <c r="S21" s="117"/>
      <c r="T21" s="117"/>
      <c r="U21" s="117"/>
      <c r="V21" s="117"/>
      <c r="W21" s="117"/>
      <c r="X21" s="117"/>
      <c r="Y21" s="117"/>
      <c r="Z21" s="117"/>
      <c r="AA21" s="117"/>
      <c r="AB21" s="117"/>
      <c r="AC21" s="117"/>
      <c r="AD21" s="117"/>
      <c r="AE21" s="117"/>
      <c r="AF21" s="117"/>
      <c r="AG21" s="117"/>
      <c r="AH21" s="117"/>
      <c r="AI21" s="117"/>
      <c r="AJ21" s="117"/>
      <c r="AK21" s="117"/>
    </row>
    <row r="22" spans="1:37" s="115" customFormat="1" x14ac:dyDescent="0.25">
      <c r="A22" s="282"/>
      <c r="B22" s="1" t="s">
        <v>3256</v>
      </c>
      <c r="C22" s="1" t="s">
        <v>4072</v>
      </c>
      <c r="D22" s="492" t="s">
        <v>4091</v>
      </c>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117"/>
      <c r="AC22" s="117"/>
      <c r="AD22" s="117"/>
      <c r="AE22" s="117"/>
      <c r="AF22" s="117"/>
      <c r="AG22" s="117"/>
      <c r="AH22" s="117"/>
      <c r="AI22" s="117"/>
      <c r="AJ22" s="117"/>
      <c r="AK22" s="117"/>
    </row>
    <row r="23" spans="1:37" s="115" customFormat="1" x14ac:dyDescent="0.25">
      <c r="A23" s="282"/>
      <c r="B23">
        <v>2019</v>
      </c>
      <c r="C23" s="68">
        <v>13150.492</v>
      </c>
      <c r="D23" s="492"/>
      <c r="E23" s="281"/>
      <c r="F23" s="281"/>
      <c r="G23" s="281"/>
      <c r="H23" s="281"/>
      <c r="I23" s="281"/>
      <c r="J23" s="281"/>
      <c r="K23" s="281"/>
      <c r="L23" s="281"/>
      <c r="M23" s="281"/>
      <c r="N23" s="281"/>
      <c r="O23" s="281"/>
      <c r="P23" s="281"/>
      <c r="Q23" s="281"/>
      <c r="R23" s="117"/>
      <c r="S23" s="117"/>
      <c r="T23" s="117"/>
      <c r="U23" s="117"/>
      <c r="V23" s="117"/>
      <c r="W23" s="117"/>
      <c r="X23" s="117"/>
      <c r="Y23" s="117"/>
      <c r="Z23" s="117"/>
      <c r="AA23" s="117"/>
      <c r="AB23" s="117"/>
      <c r="AC23" s="117"/>
      <c r="AD23" s="117"/>
      <c r="AE23" s="117"/>
      <c r="AF23" s="117"/>
      <c r="AG23" s="117"/>
      <c r="AH23" s="117"/>
      <c r="AI23" s="117"/>
      <c r="AJ23" s="117"/>
      <c r="AK23" s="117"/>
    </row>
    <row r="24" spans="1:37" s="115" customFormat="1" x14ac:dyDescent="0.25">
      <c r="A24" s="282"/>
      <c r="B24">
        <v>2020</v>
      </c>
      <c r="C24" s="68">
        <v>15561.173000000001</v>
      </c>
      <c r="D24" s="46">
        <f>C24/C23-1</f>
        <v>0.18331489042387172</v>
      </c>
      <c r="E24" s="281"/>
      <c r="F24" s="281"/>
      <c r="G24" s="281"/>
      <c r="H24" s="281"/>
      <c r="I24" s="281"/>
      <c r="J24" s="281"/>
      <c r="K24" s="281"/>
      <c r="L24" s="281"/>
      <c r="M24" s="281"/>
      <c r="N24" s="281"/>
      <c r="O24" s="281"/>
      <c r="P24" s="281"/>
      <c r="Q24" s="281"/>
      <c r="R24" s="117"/>
      <c r="S24" s="117"/>
      <c r="T24" s="117"/>
      <c r="U24" s="117"/>
      <c r="V24" s="117"/>
      <c r="W24" s="117"/>
      <c r="X24" s="117"/>
      <c r="Y24" s="117"/>
      <c r="Z24" s="117"/>
      <c r="AA24" s="117"/>
      <c r="AB24" s="117"/>
      <c r="AC24" s="117"/>
      <c r="AD24" s="117"/>
      <c r="AE24" s="117"/>
      <c r="AF24" s="117"/>
      <c r="AG24" s="117"/>
      <c r="AH24" s="117"/>
      <c r="AI24" s="117"/>
      <c r="AJ24" s="117"/>
      <c r="AK24" s="117"/>
    </row>
    <row r="25" spans="1:37" s="115" customFormat="1" x14ac:dyDescent="0.25">
      <c r="A25" s="282"/>
      <c r="B25">
        <v>2021</v>
      </c>
      <c r="C25" s="68">
        <v>16568.695</v>
      </c>
      <c r="D25" s="46">
        <f>C25/C24-1</f>
        <v>6.4745890300172082E-2</v>
      </c>
      <c r="E25" s="117"/>
      <c r="F25" s="117"/>
      <c r="G25" s="117"/>
      <c r="H25" s="117"/>
      <c r="I25" s="117"/>
      <c r="J25" s="117"/>
      <c r="K25" s="117"/>
      <c r="L25" s="117"/>
      <c r="M25" s="117"/>
      <c r="N25" s="117"/>
      <c r="O25" s="117"/>
      <c r="P25" s="117"/>
      <c r="Q25" s="117"/>
      <c r="R25" s="117"/>
      <c r="S25" s="117"/>
      <c r="T25" s="117"/>
      <c r="U25" s="117"/>
      <c r="V25" s="117"/>
      <c r="W25" s="117"/>
      <c r="X25" s="117"/>
      <c r="Y25" s="117"/>
      <c r="Z25" s="117"/>
      <c r="AA25" s="117"/>
      <c r="AB25" s="117"/>
      <c r="AC25" s="117"/>
      <c r="AD25" s="117"/>
      <c r="AE25" s="117"/>
      <c r="AF25" s="117"/>
      <c r="AG25" s="117"/>
      <c r="AH25" s="117"/>
      <c r="AI25" s="117"/>
      <c r="AJ25" s="117"/>
      <c r="AK25" s="117"/>
    </row>
    <row r="26" spans="1:37" s="115" customFormat="1" x14ac:dyDescent="0.25">
      <c r="A26" s="282"/>
      <c r="B26">
        <v>2022</v>
      </c>
      <c r="C26" s="68">
        <v>11911.56</v>
      </c>
      <c r="D26" s="46">
        <f>C26/C25-1</f>
        <v>-0.28108037476699288</v>
      </c>
      <c r="E26" s="117"/>
      <c r="F26" s="117"/>
      <c r="G26" s="117"/>
      <c r="H26" s="117"/>
      <c r="I26" s="117"/>
      <c r="J26" s="117"/>
      <c r="K26" s="117"/>
      <c r="L26" s="117"/>
      <c r="M26" s="117"/>
      <c r="N26" s="117"/>
      <c r="O26" s="117"/>
      <c r="P26" s="117"/>
      <c r="Q26" s="117"/>
      <c r="R26" s="117"/>
      <c r="S26" s="117"/>
      <c r="T26" s="117"/>
      <c r="U26" s="117"/>
      <c r="V26" s="117"/>
      <c r="W26" s="117"/>
      <c r="X26" s="117"/>
      <c r="Y26" s="117"/>
      <c r="Z26" s="117"/>
      <c r="AA26" s="117"/>
      <c r="AB26" s="117"/>
      <c r="AC26" s="117"/>
      <c r="AD26" s="117"/>
      <c r="AE26" s="117"/>
      <c r="AF26" s="117"/>
      <c r="AG26" s="117"/>
      <c r="AH26" s="117"/>
      <c r="AI26" s="117"/>
      <c r="AJ26" s="117"/>
      <c r="AK26" s="117"/>
    </row>
    <row r="27" spans="1:37" s="115" customFormat="1" x14ac:dyDescent="0.25">
      <c r="A27" s="282"/>
      <c r="B27">
        <v>2023</v>
      </c>
      <c r="C27" s="68">
        <v>16495.653999999999</v>
      </c>
      <c r="D27" s="46">
        <f>C27/C26-1</f>
        <v>0.38484413460537481</v>
      </c>
      <c r="E27" s="117"/>
      <c r="F27" s="117"/>
      <c r="G27" s="117"/>
      <c r="H27" s="117"/>
      <c r="I27" s="117"/>
      <c r="J27" s="117"/>
      <c r="K27" s="117"/>
      <c r="L27" s="117"/>
      <c r="M27" s="117"/>
      <c r="N27" s="117"/>
      <c r="O27" s="117"/>
      <c r="P27" s="117"/>
      <c r="Q27" s="117"/>
      <c r="R27" s="117"/>
      <c r="S27" s="117"/>
      <c r="T27" s="117"/>
      <c r="U27" s="117"/>
      <c r="V27" s="117"/>
      <c r="W27" s="117"/>
      <c r="X27" s="117"/>
      <c r="Y27" s="117"/>
      <c r="Z27" s="117"/>
      <c r="AA27" s="117"/>
      <c r="AB27" s="117"/>
      <c r="AC27" s="117"/>
      <c r="AD27" s="117"/>
      <c r="AE27" s="117"/>
      <c r="AF27" s="117"/>
      <c r="AG27" s="117"/>
      <c r="AH27" s="117"/>
      <c r="AI27" s="117"/>
      <c r="AJ27" s="117"/>
      <c r="AK27" s="117"/>
    </row>
    <row r="28" spans="1:37" s="115" customFormat="1" x14ac:dyDescent="0.25">
      <c r="A28" s="282"/>
      <c r="B28" s="493" t="s">
        <v>4092</v>
      </c>
      <c r="C28" s="493"/>
      <c r="D28" s="278">
        <f>AVERAGE(D24:D27)</f>
        <v>8.7956135140606434E-2</v>
      </c>
      <c r="E28" s="117"/>
      <c r="F28" s="117"/>
      <c r="G28" s="117"/>
      <c r="H28" s="117"/>
      <c r="I28" s="117"/>
      <c r="J28" s="117"/>
      <c r="K28" s="117"/>
      <c r="L28" s="117"/>
      <c r="M28" s="117"/>
      <c r="N28" s="117"/>
      <c r="O28" s="117"/>
      <c r="P28" s="117"/>
      <c r="Q28" s="117"/>
      <c r="R28" s="117"/>
      <c r="S28" s="117"/>
      <c r="T28" s="117"/>
      <c r="U28" s="117"/>
      <c r="V28" s="117"/>
      <c r="W28" s="117"/>
      <c r="X28" s="117"/>
      <c r="Y28" s="117"/>
      <c r="Z28" s="117"/>
      <c r="AA28" s="117"/>
      <c r="AB28" s="117"/>
      <c r="AC28" s="117"/>
      <c r="AD28" s="117"/>
      <c r="AE28" s="117"/>
      <c r="AF28" s="117"/>
      <c r="AG28" s="117"/>
      <c r="AH28" s="117"/>
      <c r="AI28" s="117"/>
      <c r="AJ28" s="117"/>
      <c r="AK28" s="117"/>
    </row>
    <row r="29" spans="1:37" x14ac:dyDescent="0.25">
      <c r="A29" s="218" t="s">
        <v>3789</v>
      </c>
      <c r="B29" s="494" t="s">
        <v>4093</v>
      </c>
      <c r="C29" s="494"/>
      <c r="D29" s="310">
        <f>_xlfn.STDEV.S(D24:D27)</f>
        <v>0.27926238411554855</v>
      </c>
    </row>
    <row r="30" spans="1:37" x14ac:dyDescent="0.25">
      <c r="A30" s="17" t="s">
        <v>3790</v>
      </c>
      <c r="B30" s="117"/>
      <c r="C30" s="117"/>
      <c r="D30" s="117"/>
    </row>
    <row r="31" spans="1:37" x14ac:dyDescent="0.25">
      <c r="A31" s="89">
        <v>0.6</v>
      </c>
      <c r="B31" s="117"/>
      <c r="C31" s="117"/>
      <c r="D31" s="117"/>
    </row>
    <row r="32" spans="1:37" x14ac:dyDescent="0.25">
      <c r="A32" s="17" t="s">
        <v>3792</v>
      </c>
      <c r="B32" s="218"/>
      <c r="C32" s="218"/>
    </row>
    <row r="33" spans="1:37" x14ac:dyDescent="0.25">
      <c r="A33" s="1" t="s">
        <v>3789</v>
      </c>
      <c r="B33" s="17"/>
      <c r="C33" s="1" t="s">
        <v>3791</v>
      </c>
      <c r="E33" s="62">
        <f t="shared" ref="E33:AJ33" si="4">E16/$C35</f>
        <v>3591.5955160319459</v>
      </c>
      <c r="F33" s="62">
        <f t="shared" si="4"/>
        <v>3801.8225757778137</v>
      </c>
      <c r="G33" s="62">
        <f t="shared" si="4"/>
        <v>4024.3548676836267</v>
      </c>
      <c r="H33" s="62">
        <f t="shared" si="4"/>
        <v>4259.912654586592</v>
      </c>
      <c r="I33" s="62">
        <f t="shared" si="4"/>
        <v>4509.2583585085549</v>
      </c>
      <c r="J33" s="62">
        <f t="shared" si="4"/>
        <v>4773.199028361897</v>
      </c>
      <c r="K33" s="62">
        <f t="shared" si="4"/>
        <v>5052.5889520977935</v>
      </c>
      <c r="L33" s="62">
        <f t="shared" si="4"/>
        <v>5348.3324217514973</v>
      </c>
      <c r="M33" s="62">
        <f t="shared" si="4"/>
        <v>5661.3866603341667</v>
      </c>
      <c r="N33" s="62">
        <f t="shared" si="4"/>
        <v>5992.7649200446194</v>
      </c>
      <c r="O33" s="62">
        <f t="shared" si="4"/>
        <v>6343.539761828878</v>
      </c>
      <c r="P33" s="62">
        <f t="shared" si="4"/>
        <v>6714.8465269023709</v>
      </c>
      <c r="Q33" s="62">
        <f t="shared" si="4"/>
        <v>7107.8870114709225</v>
      </c>
      <c r="R33" s="62">
        <f t="shared" si="4"/>
        <v>7523.9333565443985</v>
      </c>
      <c r="S33" s="62">
        <f t="shared" si="4"/>
        <v>7964.3321654330202</v>
      </c>
      <c r="T33" s="62">
        <f t="shared" si="4"/>
        <v>8430.5088622533331</v>
      </c>
      <c r="U33" s="62">
        <f t="shared" si="4"/>
        <v>8923.9723055508366</v>
      </c>
      <c r="V33" s="62">
        <f t="shared" si="4"/>
        <v>9446.3196719720436</v>
      </c>
      <c r="W33" s="62">
        <f t="shared" si="4"/>
        <v>9999.2416257927925</v>
      </c>
      <c r="X33" s="62">
        <f t="shared" si="4"/>
        <v>10584.52779103485</v>
      </c>
      <c r="Y33" s="62">
        <f t="shared" si="4"/>
        <v>11204.072543882206</v>
      </c>
      <c r="Z33" s="62">
        <f t="shared" si="4"/>
        <v>11859.8811441452</v>
      </c>
      <c r="AA33" s="62">
        <f t="shared" si="4"/>
        <v>12554.07622561799</v>
      </c>
      <c r="AB33" s="62">
        <f t="shared" si="4"/>
        <v>13288.904666336448</v>
      </c>
      <c r="AC33" s="62">
        <f t="shared" si="4"/>
        <v>14066.744860973276</v>
      </c>
      <c r="AD33" s="62">
        <f t="shared" si="4"/>
        <v>14890.114418908595</v>
      </c>
      <c r="AE33" s="62">
        <f t="shared" si="4"/>
        <v>15761.678312892158</v>
      </c>
      <c r="AF33" s="62">
        <f t="shared" si="4"/>
        <v>16684.25750467163</v>
      </c>
      <c r="AG33" s="62">
        <f t="shared" si="4"/>
        <v>17660.838075505275</v>
      </c>
      <c r="AH33" s="62">
        <f t="shared" si="4"/>
        <v>18694.58089111144</v>
      </c>
      <c r="AI33" s="62">
        <f t="shared" si="4"/>
        <v>19788.831832337051</v>
      </c>
      <c r="AJ33" s="62">
        <f t="shared" si="4"/>
        <v>20947.132624658407</v>
      </c>
      <c r="AK33" s="62"/>
    </row>
    <row r="34" spans="1:37" x14ac:dyDescent="0.25">
      <c r="B34" s="89">
        <v>0.75</v>
      </c>
      <c r="C34" s="6">
        <v>21.45</v>
      </c>
    </row>
    <row r="35" spans="1:37" x14ac:dyDescent="0.25">
      <c r="B35" s="17"/>
      <c r="C35" s="90">
        <f>AVERAGE(A31:B31)*C34</f>
        <v>12.87</v>
      </c>
    </row>
    <row r="36" spans="1:37" x14ac:dyDescent="0.25">
      <c r="B36" s="62">
        <f>B16/$C35</f>
        <v>3028.1274281274282</v>
      </c>
      <c r="C36" s="62">
        <f>C16/$C35</f>
        <v>3205.3729790001403</v>
      </c>
      <c r="D36" s="62">
        <f>D16/$C35</f>
        <v>3392.9932535427865</v>
      </c>
    </row>
    <row r="37" spans="1:37" x14ac:dyDescent="0.25">
      <c r="B37" s="37"/>
    </row>
  </sheetData>
  <mergeCells count="7">
    <mergeCell ref="B29:C29"/>
    <mergeCell ref="B21:D21"/>
    <mergeCell ref="J3:J4"/>
    <mergeCell ref="K12:M12"/>
    <mergeCell ref="A14:A16"/>
    <mergeCell ref="D22:D23"/>
    <mergeCell ref="B28:C28"/>
  </mergeCells>
  <pageMargins left="0.511811024" right="0.511811024" top="0.78740157499999996" bottom="0.78740157499999996" header="0.31496062000000002" footer="0.31496062000000002"/>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4AFCA-6759-4797-8EEF-F4D5A2F28875}">
  <sheetPr codeName="Planilha15"/>
  <dimension ref="A20:AK40"/>
  <sheetViews>
    <sheetView topLeftCell="V16" workbookViewId="0">
      <selection activeCell="AI30" sqref="AI30"/>
    </sheetView>
  </sheetViews>
  <sheetFormatPr defaultRowHeight="15" x14ac:dyDescent="0.25"/>
  <cols>
    <col min="1" max="1" width="12.140625" customWidth="1"/>
    <col min="2" max="37" width="11.5703125" bestFit="1" customWidth="1"/>
  </cols>
  <sheetData>
    <row r="20" spans="1:37" x14ac:dyDescent="0.25">
      <c r="A20" s="1" t="s">
        <v>3737</v>
      </c>
    </row>
    <row r="21" spans="1:37" x14ac:dyDescent="0.25">
      <c r="A21" s="502" t="s">
        <v>3745</v>
      </c>
      <c r="B21" s="503">
        <v>84945.5</v>
      </c>
      <c r="C21" s="503">
        <v>88812.439999999988</v>
      </c>
      <c r="D21" s="503">
        <v>92729.220000000016</v>
      </c>
      <c r="E21" s="503">
        <v>96856.62</v>
      </c>
      <c r="F21" s="503">
        <v>100930.35999999997</v>
      </c>
      <c r="G21" s="503">
        <v>105355.08670787148</v>
      </c>
      <c r="H21" s="503">
        <v>109973.79079221674</v>
      </c>
      <c r="I21" s="503">
        <v>114794.97610537914</v>
      </c>
      <c r="J21" s="503">
        <v>119827.51930351043</v>
      </c>
      <c r="K21" s="503">
        <v>125080.68619006698</v>
      </c>
      <c r="L21" s="503">
        <v>130564.14877579523</v>
      </c>
      <c r="M21" s="503">
        <v>136288.00308661675</v>
      </c>
      <c r="N21" s="503">
        <v>142262.7877522003</v>
      </c>
      <c r="O21" s="503">
        <v>148499.50340944569</v>
      </c>
      <c r="P21" s="503">
        <v>155009.63295660503</v>
      </c>
      <c r="Q21" s="503">
        <v>161805.16269533228</v>
      </c>
      <c r="R21" s="503">
        <v>168898.60439958787</v>
      </c>
      <c r="S21" s="503">
        <v>176303.01835203072</v>
      </c>
      <c r="T21" s="503">
        <v>184032.03739031206</v>
      </c>
      <c r="U21" s="503">
        <v>192099.8920075444</v>
      </c>
      <c r="V21" s="503">
        <v>200521.43655315996</v>
      </c>
      <c r="W21" s="503">
        <v>209312.1765823992</v>
      </c>
      <c r="X21" s="503">
        <v>218488.29740478465</v>
      </c>
      <c r="Y21" s="503">
        <v>228066.69388414253</v>
      </c>
      <c r="Z21" s="503">
        <v>238065.00154503982</v>
      </c>
      <c r="AA21" s="503">
        <v>248501.62904290872</v>
      </c>
      <c r="AB21" s="503">
        <v>259395.79205764219</v>
      </c>
      <c r="AC21" s="503">
        <v>270767.54867306427</v>
      </c>
      <c r="AD21" s="503">
        <v>282637.83630741539</v>
      </c>
      <c r="AE21" s="503">
        <v>295028.51026284799</v>
      </c>
      <c r="AF21" s="503">
        <v>307962.38396490918</v>
      </c>
      <c r="AG21" s="503">
        <v>321463.27096609806</v>
      </c>
      <c r="AH21" s="503">
        <v>335556.02879083413</v>
      </c>
      <c r="AI21" s="503">
        <v>350266.60470256279</v>
      </c>
      <c r="AJ21" s="503">
        <v>365622.08347726351</v>
      </c>
      <c r="AK21" s="503"/>
    </row>
    <row r="22" spans="1:37" x14ac:dyDescent="0.25">
      <c r="A22" s="502"/>
      <c r="B22" s="503"/>
      <c r="C22" s="503"/>
      <c r="D22" s="503"/>
      <c r="E22" s="503"/>
      <c r="F22" s="503"/>
      <c r="G22" s="503"/>
      <c r="H22" s="503"/>
      <c r="I22" s="503"/>
      <c r="J22" s="503"/>
      <c r="K22" s="503"/>
      <c r="L22" s="503"/>
      <c r="M22" s="503"/>
      <c r="N22" s="503"/>
      <c r="O22" s="503"/>
      <c r="P22" s="503"/>
      <c r="Q22" s="503"/>
      <c r="R22" s="503"/>
      <c r="S22" s="503"/>
      <c r="T22" s="503"/>
      <c r="U22" s="503"/>
      <c r="V22" s="503"/>
      <c r="W22" s="503"/>
      <c r="X22" s="503"/>
      <c r="Y22" s="503"/>
      <c r="Z22" s="503"/>
      <c r="AA22" s="503"/>
      <c r="AB22" s="503"/>
      <c r="AC22" s="503"/>
      <c r="AD22" s="503"/>
      <c r="AE22" s="503"/>
      <c r="AF22" s="503"/>
      <c r="AG22" s="503"/>
      <c r="AH22" s="503"/>
      <c r="AI22" s="503"/>
      <c r="AJ22" s="503"/>
      <c r="AK22" s="503"/>
    </row>
    <row r="23" spans="1:37" x14ac:dyDescent="0.25">
      <c r="A23" s="283" t="s">
        <v>3260</v>
      </c>
      <c r="B23" s="172" t="s">
        <v>3701</v>
      </c>
      <c r="C23" s="172" t="s">
        <v>3702</v>
      </c>
      <c r="D23" s="172" t="s">
        <v>3703</v>
      </c>
      <c r="E23" s="172" t="s">
        <v>3704</v>
      </c>
      <c r="F23" s="172" t="s">
        <v>3705</v>
      </c>
      <c r="G23" s="172" t="s">
        <v>3706</v>
      </c>
      <c r="H23" s="172" t="s">
        <v>3707</v>
      </c>
      <c r="I23" s="172" t="s">
        <v>3708</v>
      </c>
      <c r="J23" s="172" t="s">
        <v>3709</v>
      </c>
      <c r="K23" s="172" t="s">
        <v>3710</v>
      </c>
      <c r="L23" s="172" t="s">
        <v>3711</v>
      </c>
      <c r="M23" s="172" t="s">
        <v>3712</v>
      </c>
      <c r="N23" s="172" t="s">
        <v>3713</v>
      </c>
      <c r="O23" s="172" t="s">
        <v>3714</v>
      </c>
      <c r="P23" s="172" t="s">
        <v>3715</v>
      </c>
      <c r="Q23" s="172" t="s">
        <v>3716</v>
      </c>
      <c r="R23" s="172" t="s">
        <v>3717</v>
      </c>
      <c r="S23" s="172" t="s">
        <v>3718</v>
      </c>
      <c r="T23" s="172" t="s">
        <v>3719</v>
      </c>
      <c r="U23" s="172" t="s">
        <v>3720</v>
      </c>
      <c r="V23" s="172" t="s">
        <v>3721</v>
      </c>
      <c r="W23" s="172" t="s">
        <v>3722</v>
      </c>
      <c r="X23" s="172" t="s">
        <v>3723</v>
      </c>
      <c r="Y23" s="172" t="s">
        <v>3724</v>
      </c>
      <c r="Z23" s="172" t="s">
        <v>3725</v>
      </c>
      <c r="AA23" s="172" t="s">
        <v>3726</v>
      </c>
      <c r="AB23" s="172" t="s">
        <v>3727</v>
      </c>
      <c r="AC23" s="172" t="s">
        <v>3728</v>
      </c>
      <c r="AD23" s="172" t="s">
        <v>3729</v>
      </c>
      <c r="AE23" s="172" t="s">
        <v>3730</v>
      </c>
      <c r="AF23" s="172" t="s">
        <v>3731</v>
      </c>
      <c r="AG23" s="172" t="s">
        <v>3732</v>
      </c>
      <c r="AH23" s="172" t="s">
        <v>3733</v>
      </c>
      <c r="AI23" s="172" t="s">
        <v>3734</v>
      </c>
      <c r="AJ23" s="172" t="s">
        <v>3735</v>
      </c>
      <c r="AK23" s="172"/>
    </row>
    <row r="24" spans="1:37" x14ac:dyDescent="0.25">
      <c r="A24" s="17">
        <v>804</v>
      </c>
      <c r="B24" s="19">
        <f>dados_painel!G13</f>
        <v>82245.890809999997</v>
      </c>
      <c r="C24" s="19">
        <f>dados_painel!H13</f>
        <v>83722.36584079999</v>
      </c>
      <c r="D24" s="19">
        <f>dados_painel!I13</f>
        <v>85217.870780400001</v>
      </c>
      <c r="E24" s="19">
        <f>dados_painel!J13</f>
        <v>86793.794648399999</v>
      </c>
      <c r="F24" s="19">
        <f>dados_painel!K13</f>
        <v>88349.230055199994</v>
      </c>
      <c r="G24" s="19">
        <f>dados_painel!L13</f>
        <v>90038.679206799483</v>
      </c>
      <c r="H24" s="19">
        <f>dados_painel!M13</f>
        <v>91802.192800284189</v>
      </c>
      <c r="I24" s="19">
        <f>dados_painel!N13</f>
        <v>93643.017776555862</v>
      </c>
      <c r="J24" s="19">
        <f>dados_painel!O13</f>
        <v>95564.543420466362</v>
      </c>
      <c r="K24" s="19">
        <f>dados_painel!P13</f>
        <v>97570.307601091365</v>
      </c>
      <c r="L24" s="19">
        <f>dados_painel!Q13</f>
        <v>99664.00328557413</v>
      </c>
      <c r="M24" s="19">
        <f>dados_painel!R13</f>
        <v>101849.48533853202</v>
      </c>
      <c r="N24" s="19">
        <f>dados_painel!S13</f>
        <v>104130.77761954512</v>
      </c>
      <c r="O24" s="19">
        <f>dados_painel!T13</f>
        <v>106512.08039179456</v>
      </c>
      <c r="P24" s="19">
        <f>dados_painel!U13</f>
        <v>108997.77805549093</v>
      </c>
      <c r="Q24" s="19">
        <f>dados_painel!V13</f>
        <v>111592.44722033177</v>
      </c>
      <c r="R24" s="19">
        <f>dados_painel!W13</f>
        <v>114300.86513185065</v>
      </c>
      <c r="S24" s="19">
        <f>dados_painel!X13</f>
        <v>117128.01846717237</v>
      </c>
      <c r="T24" s="19">
        <f>dados_painel!Y13</f>
        <v>120079.11251636896</v>
      </c>
      <c r="U24" s="19">
        <f>dados_painel!Z13</f>
        <v>123159.58076632061</v>
      </c>
      <c r="V24" s="19">
        <f>dados_painel!AA13</f>
        <v>126375.09490472754</v>
      </c>
      <c r="W24" s="19">
        <f>dados_painel!AB13</f>
        <v>129731.57526269167</v>
      </c>
      <c r="X24" s="19">
        <f>dados_painel!AC13</f>
        <v>133235.20171509485</v>
      </c>
      <c r="Y24" s="19">
        <f>dados_painel!AD13</f>
        <v>136892.42505884331</v>
      </c>
      <c r="Z24" s="19">
        <f>dados_painel!AE13</f>
        <v>140709.97888992709</v>
      </c>
      <c r="AA24" s="19">
        <f>dados_painel!AF13</f>
        <v>144694.89200116339</v>
      </c>
      <c r="AB24" s="19">
        <f>dados_painel!AG13</f>
        <v>148854.50132344896</v>
      </c>
      <c r="AC24" s="19">
        <f>dados_painel!AH13</f>
        <v>153196.4654343494</v>
      </c>
      <c r="AD24" s="19">
        <f>dados_painel!AI13</f>
        <v>157728.77865889732</v>
      </c>
      <c r="AE24" s="19">
        <f>dados_painel!AJ13</f>
        <v>162459.78578856064</v>
      </c>
      <c r="AF24" s="19">
        <f>dados_painel!AK13</f>
        <v>167398.19744548161</v>
      </c>
      <c r="AG24" s="19">
        <f>dados_painel!AL13</f>
        <v>172553.10612027557</v>
      </c>
      <c r="AH24" s="19">
        <f>dados_painel!AM13</f>
        <v>177934.0029129163</v>
      </c>
      <c r="AI24" s="19">
        <f>dados_painel!AN13</f>
        <v>183550.79500753252</v>
      </c>
      <c r="AJ24" s="19">
        <f>dados_painel!AO13</f>
        <v>189413.82391328874</v>
      </c>
      <c r="AK24" s="1"/>
    </row>
    <row r="25" spans="1:37" x14ac:dyDescent="0.25">
      <c r="A25" s="17">
        <v>805</v>
      </c>
      <c r="B25" s="19">
        <f>dados_painel!G14</f>
        <v>20093.890810000001</v>
      </c>
      <c r="C25" s="19">
        <f>dados_painel!H14</f>
        <v>21570.365840799997</v>
      </c>
      <c r="D25" s="19">
        <f>dados_painel!I14</f>
        <v>23065.870780400008</v>
      </c>
      <c r="E25" s="19">
        <f>dados_painel!J14</f>
        <v>24641.794648399999</v>
      </c>
      <c r="F25" s="19">
        <f>dados_painel!K14</f>
        <v>26197.230055199987</v>
      </c>
      <c r="G25" s="19">
        <f>dados_painel!L14</f>
        <v>27886.67920679949</v>
      </c>
      <c r="H25" s="19">
        <f>dados_painel!M14</f>
        <v>29650.192800284196</v>
      </c>
      <c r="I25" s="19">
        <f>dados_painel!N14</f>
        <v>31491.017776555862</v>
      </c>
      <c r="J25" s="19">
        <f>dados_painel!O14</f>
        <v>33412.543420466354</v>
      </c>
      <c r="K25" s="19">
        <f>dados_painel!P14</f>
        <v>35418.307601091372</v>
      </c>
      <c r="L25" s="19">
        <f>dados_painel!Q14</f>
        <v>37512.00328557413</v>
      </c>
      <c r="M25" s="19">
        <f>dados_painel!R14</f>
        <v>39697.485338532009</v>
      </c>
      <c r="N25" s="19">
        <f>dados_painel!S14</f>
        <v>41978.777619545115</v>
      </c>
      <c r="O25" s="19">
        <f>dados_painel!T14</f>
        <v>44360.080391794552</v>
      </c>
      <c r="P25" s="19">
        <f>dados_painel!U14</f>
        <v>46845.778055490933</v>
      </c>
      <c r="Q25" s="19">
        <f>dados_painel!V14</f>
        <v>49440.447220331771</v>
      </c>
      <c r="R25" s="19">
        <f>dados_painel!W14</f>
        <v>52148.865131850638</v>
      </c>
      <c r="S25" s="19">
        <f>dados_painel!X14</f>
        <v>54976.018467172369</v>
      </c>
      <c r="T25" s="19">
        <f>dados_painel!Y14</f>
        <v>57927.112516368958</v>
      </c>
      <c r="U25" s="19">
        <f>dados_painel!Z14</f>
        <v>61007.580766320607</v>
      </c>
      <c r="V25" s="19">
        <f>dados_painel!AA14</f>
        <v>64223.094904727535</v>
      </c>
      <c r="W25" s="19">
        <f>dados_painel!AB14</f>
        <v>67579.575262691666</v>
      </c>
      <c r="X25" s="19">
        <f>dados_painel!AC14</f>
        <v>71083.201715094867</v>
      </c>
      <c r="Y25" s="19">
        <f>dados_painel!AD14</f>
        <v>74740.425058843306</v>
      </c>
      <c r="Z25" s="19">
        <f>dados_painel!AE14</f>
        <v>78557.978889927108</v>
      </c>
      <c r="AA25" s="19">
        <f>dados_painel!AF14</f>
        <v>82542.892001163404</v>
      </c>
      <c r="AB25" s="19">
        <f>dados_painel!AG14</f>
        <v>86702.501323448945</v>
      </c>
      <c r="AC25" s="19">
        <f>dados_painel!AH14</f>
        <v>91044.465434349404</v>
      </c>
      <c r="AD25" s="19">
        <f>dados_painel!AI14</f>
        <v>95576.778658897339</v>
      </c>
      <c r="AE25" s="19">
        <f>dados_painel!AJ14</f>
        <v>100307.78578856062</v>
      </c>
      <c r="AF25" s="19">
        <f>dados_painel!AK14</f>
        <v>105246.19744548162</v>
      </c>
      <c r="AG25" s="19">
        <f>dados_painel!AL14</f>
        <v>110401.10612027557</v>
      </c>
      <c r="AH25" s="19">
        <f>dados_painel!AM14</f>
        <v>115782.00291291629</v>
      </c>
      <c r="AI25" s="19">
        <f>dados_painel!AN14</f>
        <v>121398.79500753252</v>
      </c>
      <c r="AJ25" s="19">
        <f>dados_painel!AO14</f>
        <v>127261.82391328874</v>
      </c>
      <c r="AK25" s="1"/>
    </row>
    <row r="26" spans="1:37" x14ac:dyDescent="0.25">
      <c r="A26" s="17">
        <v>806</v>
      </c>
      <c r="B26" s="19">
        <f>dados_painel!G15</f>
        <v>44838.890809999997</v>
      </c>
      <c r="C26" s="19">
        <f>dados_painel!H15</f>
        <v>46315.365840799997</v>
      </c>
      <c r="D26" s="19">
        <f>dados_painel!I15</f>
        <v>47810.870780400008</v>
      </c>
      <c r="E26" s="19">
        <f>dados_painel!J15</f>
        <v>49386.794648399999</v>
      </c>
      <c r="F26" s="19">
        <f>dados_painel!K15</f>
        <v>50942.230055199987</v>
      </c>
      <c r="G26" s="19">
        <f>dados_painel!L15</f>
        <v>52631.67920679949</v>
      </c>
      <c r="H26" s="19">
        <f>dados_painel!M15</f>
        <v>54395.192800284196</v>
      </c>
      <c r="I26" s="19">
        <f>dados_painel!N15</f>
        <v>56236.017776555862</v>
      </c>
      <c r="J26" s="19">
        <f>dados_painel!O15</f>
        <v>58157.543420466354</v>
      </c>
      <c r="K26" s="19">
        <f>dados_painel!P15</f>
        <v>60163.307601091372</v>
      </c>
      <c r="L26" s="19">
        <f>dados_painel!Q15</f>
        <v>62257.00328557413</v>
      </c>
      <c r="M26" s="19">
        <f>dados_painel!R15</f>
        <v>64442.485338532009</v>
      </c>
      <c r="N26" s="19">
        <f>dados_painel!S15</f>
        <v>66723.777619545115</v>
      </c>
      <c r="O26" s="19">
        <f>dados_painel!T15</f>
        <v>69105.08039179456</v>
      </c>
      <c r="P26" s="19">
        <f>dados_painel!U15</f>
        <v>71590.778055490926</v>
      </c>
      <c r="Q26" s="19">
        <f>dados_painel!V15</f>
        <v>74185.447220331771</v>
      </c>
      <c r="R26" s="19">
        <f>dados_painel!W15</f>
        <v>76893.865131850645</v>
      </c>
      <c r="S26" s="19">
        <f>dados_painel!X15</f>
        <v>79721.018467172369</v>
      </c>
      <c r="T26" s="19">
        <f>dados_painel!Y15</f>
        <v>82672.112516368958</v>
      </c>
      <c r="U26" s="19">
        <f>dados_painel!Z15</f>
        <v>85752.580766320607</v>
      </c>
      <c r="V26" s="19">
        <f>dados_painel!AA15</f>
        <v>88968.094904727535</v>
      </c>
      <c r="W26" s="19">
        <f>dados_painel!AB15</f>
        <v>92324.575262691666</v>
      </c>
      <c r="X26" s="19">
        <f>dados_painel!AC15</f>
        <v>95828.201715094867</v>
      </c>
      <c r="Y26" s="19">
        <f>dados_painel!AD15</f>
        <v>99485.425058843306</v>
      </c>
      <c r="Z26" s="19">
        <f>dados_painel!AE15</f>
        <v>103302.97888992711</v>
      </c>
      <c r="AA26" s="19">
        <f>dados_painel!AF15</f>
        <v>107287.8920011634</v>
      </c>
      <c r="AB26" s="19">
        <f>dados_painel!AG15</f>
        <v>111447.50132344895</v>
      </c>
      <c r="AC26" s="19">
        <f>dados_painel!AH15</f>
        <v>115789.4654343494</v>
      </c>
      <c r="AD26" s="19">
        <f>dados_painel!AI15</f>
        <v>120321.77865889734</v>
      </c>
      <c r="AE26" s="19">
        <f>dados_painel!AJ15</f>
        <v>125052.78578856062</v>
      </c>
      <c r="AF26" s="19">
        <f>dados_painel!AK15</f>
        <v>129991.19744548162</v>
      </c>
      <c r="AG26" s="19">
        <f>dados_painel!AL15</f>
        <v>135146.10612027557</v>
      </c>
      <c r="AH26" s="19">
        <f>dados_painel!AM15</f>
        <v>140527.0029129163</v>
      </c>
      <c r="AI26" s="19">
        <f>dados_painel!AN15</f>
        <v>146143.79500753252</v>
      </c>
      <c r="AJ26" s="19">
        <f>dados_painel!AO15</f>
        <v>152006.82391328874</v>
      </c>
      <c r="AK26" s="1"/>
    </row>
    <row r="27" spans="1:37" x14ac:dyDescent="0.25">
      <c r="A27" s="17">
        <v>811</v>
      </c>
      <c r="B27" s="19">
        <f>dados_painel!G16</f>
        <v>5983.8908100000008</v>
      </c>
      <c r="C27" s="19">
        <f>dados_painel!H16</f>
        <v>7460.3658407999974</v>
      </c>
      <c r="D27" s="19">
        <f>dados_painel!I16</f>
        <v>8955.8707804000078</v>
      </c>
      <c r="E27" s="19">
        <f>dados_painel!J16</f>
        <v>10531.794648399999</v>
      </c>
      <c r="F27" s="19">
        <f>dados_painel!K16</f>
        <v>12087.230055199987</v>
      </c>
      <c r="G27" s="19">
        <f>dados_painel!L16</f>
        <v>13776.67920679949</v>
      </c>
      <c r="H27" s="19">
        <f>dados_painel!M16</f>
        <v>15540.192800284196</v>
      </c>
      <c r="I27" s="19">
        <f>dados_painel!N16</f>
        <v>17381.017776555862</v>
      </c>
      <c r="J27" s="19">
        <f>dados_painel!O16</f>
        <v>19302.543420466354</v>
      </c>
      <c r="K27" s="19">
        <f>dados_painel!P16</f>
        <v>21308.307601091372</v>
      </c>
      <c r="L27" s="19">
        <f>dados_painel!Q16</f>
        <v>23402.00328557413</v>
      </c>
      <c r="M27" s="19">
        <f>dados_painel!R16</f>
        <v>25587.485338532009</v>
      </c>
      <c r="N27" s="19">
        <f>dados_painel!S16</f>
        <v>27868.777619545115</v>
      </c>
      <c r="O27" s="19">
        <f>dados_painel!T16</f>
        <v>30250.080391794552</v>
      </c>
      <c r="P27" s="19">
        <f>dados_painel!U16</f>
        <v>32735.778055490933</v>
      </c>
      <c r="Q27" s="19">
        <f>dados_painel!V16</f>
        <v>35330.447220331771</v>
      </c>
      <c r="R27" s="19">
        <f>dados_painel!W16</f>
        <v>38038.865131850638</v>
      </c>
      <c r="S27" s="19">
        <f>dados_painel!X16</f>
        <v>40866.018467172369</v>
      </c>
      <c r="T27" s="19">
        <f>dados_painel!Y16</f>
        <v>43817.112516368958</v>
      </c>
      <c r="U27" s="19">
        <f>dados_painel!Z16</f>
        <v>46897.580766320607</v>
      </c>
      <c r="V27" s="19">
        <f>dados_painel!AA16</f>
        <v>50113.094904727535</v>
      </c>
      <c r="W27" s="19">
        <f>dados_painel!AB16</f>
        <v>53469.575262691666</v>
      </c>
      <c r="X27" s="19">
        <f>dados_painel!AC16</f>
        <v>56973.201715094867</v>
      </c>
      <c r="Y27" s="19">
        <f>dados_painel!AD16</f>
        <v>60630.425058843306</v>
      </c>
      <c r="Z27" s="19">
        <f>dados_painel!AE16</f>
        <v>64447.978889927108</v>
      </c>
      <c r="AA27" s="19">
        <f>dados_painel!AF16</f>
        <v>68432.892001163404</v>
      </c>
      <c r="AB27" s="19">
        <f>dados_painel!AG16</f>
        <v>72592.501323448945</v>
      </c>
      <c r="AC27" s="19">
        <f>dados_painel!AH16</f>
        <v>76934.465434349404</v>
      </c>
      <c r="AD27" s="19">
        <f>dados_painel!AI16</f>
        <v>81466.778658897339</v>
      </c>
      <c r="AE27" s="19">
        <f>dados_painel!AJ16</f>
        <v>86197.785788560621</v>
      </c>
      <c r="AF27" s="19">
        <f>dados_painel!AK16</f>
        <v>91136.197445481623</v>
      </c>
      <c r="AG27" s="19">
        <f>dados_painel!AL16</f>
        <v>96291.106120275566</v>
      </c>
      <c r="AH27" s="19">
        <f>dados_painel!AM16</f>
        <v>101672.00291291629</v>
      </c>
      <c r="AI27" s="19">
        <f>dados_painel!AN16</f>
        <v>107288.79500753252</v>
      </c>
      <c r="AJ27" s="19">
        <f>dados_painel!AO16</f>
        <v>113151.82391328874</v>
      </c>
      <c r="AK27" s="1"/>
    </row>
    <row r="28" spans="1:37" x14ac:dyDescent="0.25">
      <c r="A28" s="17">
        <v>2009</v>
      </c>
      <c r="B28" s="19">
        <f>dados_painel!G17</f>
        <v>6543.8908100000008</v>
      </c>
      <c r="C28" s="19">
        <f>dados_painel!H17</f>
        <v>8020.3658407999974</v>
      </c>
      <c r="D28" s="19">
        <f>dados_painel!I17</f>
        <v>9515.8707804000078</v>
      </c>
      <c r="E28" s="19">
        <f>dados_painel!J17</f>
        <v>11091.794648399999</v>
      </c>
      <c r="F28" s="19">
        <f>dados_painel!K17</f>
        <v>12647.230055199987</v>
      </c>
      <c r="G28" s="19">
        <f>dados_painel!L17</f>
        <v>14336.67920679949</v>
      </c>
      <c r="H28" s="19">
        <f>dados_painel!M17</f>
        <v>16100.192800284196</v>
      </c>
      <c r="I28" s="19">
        <f>dados_painel!N17</f>
        <v>17941.017776555862</v>
      </c>
      <c r="J28" s="19">
        <f>dados_painel!O17</f>
        <v>19862.543420466354</v>
      </c>
      <c r="K28" s="19">
        <f>dados_painel!P17</f>
        <v>21868.307601091372</v>
      </c>
      <c r="L28" s="19">
        <f>dados_painel!Q17</f>
        <v>23962.00328557413</v>
      </c>
      <c r="M28" s="19">
        <f>dados_painel!R17</f>
        <v>26147.485338532009</v>
      </c>
      <c r="N28" s="19">
        <f>dados_painel!S17</f>
        <v>28428.777619545115</v>
      </c>
      <c r="O28" s="19">
        <f>dados_painel!T17</f>
        <v>30810.080391794552</v>
      </c>
      <c r="P28" s="19">
        <f>dados_painel!U17</f>
        <v>33295.778055490933</v>
      </c>
      <c r="Q28" s="19">
        <f>dados_painel!V17</f>
        <v>35890.447220331771</v>
      </c>
      <c r="R28" s="19">
        <f>dados_painel!W17</f>
        <v>38598.865131850638</v>
      </c>
      <c r="S28" s="19">
        <f>dados_painel!X17</f>
        <v>41426.018467172369</v>
      </c>
      <c r="T28" s="19">
        <f>dados_painel!Y17</f>
        <v>44377.112516368958</v>
      </c>
      <c r="U28" s="19">
        <f>dados_painel!Z17</f>
        <v>47457.580766320607</v>
      </c>
      <c r="V28" s="19">
        <f>dados_painel!AA17</f>
        <v>50673.094904727535</v>
      </c>
      <c r="W28" s="19">
        <f>dados_painel!AB17</f>
        <v>54029.575262691666</v>
      </c>
      <c r="X28" s="19">
        <f>dados_painel!AC17</f>
        <v>57533.201715094867</v>
      </c>
      <c r="Y28" s="19">
        <f>dados_painel!AD17</f>
        <v>61190.425058843306</v>
      </c>
      <c r="Z28" s="19">
        <f>dados_painel!AE17</f>
        <v>65007.978889927108</v>
      </c>
      <c r="AA28" s="19">
        <f>dados_painel!AF17</f>
        <v>68992.892001163404</v>
      </c>
      <c r="AB28" s="19">
        <f>dados_painel!AG17</f>
        <v>73152.501323448945</v>
      </c>
      <c r="AC28" s="19">
        <f>dados_painel!AH17</f>
        <v>77494.465434349404</v>
      </c>
      <c r="AD28" s="19">
        <f>dados_painel!AI17</f>
        <v>82026.778658897339</v>
      </c>
      <c r="AE28" s="19">
        <f>dados_painel!AJ17</f>
        <v>86757.785788560621</v>
      </c>
      <c r="AF28" s="19">
        <f>dados_painel!AK17</f>
        <v>91696.197445481623</v>
      </c>
      <c r="AG28" s="19">
        <f>dados_painel!AL17</f>
        <v>96851.106120275566</v>
      </c>
      <c r="AH28" s="19">
        <f>dados_painel!AM17</f>
        <v>102232.00291291629</v>
      </c>
      <c r="AI28" s="19">
        <f>dados_painel!AN17</f>
        <v>107848.79500753252</v>
      </c>
      <c r="AJ28" s="19">
        <f>dados_painel!AO17</f>
        <v>113711.82391328874</v>
      </c>
      <c r="AK28" s="19"/>
    </row>
    <row r="29" spans="1:37" x14ac:dyDescent="0.25">
      <c r="A29" s="283" t="s">
        <v>3746</v>
      </c>
      <c r="B29" s="210">
        <f>SUM(B24:B28)</f>
        <v>159706.45405</v>
      </c>
      <c r="C29" s="210">
        <f t="shared" ref="C29:I29" si="0">SUM(C24:C28)</f>
        <v>167088.82920399995</v>
      </c>
      <c r="D29" s="210">
        <f t="shared" si="0"/>
        <v>174566.353902</v>
      </c>
      <c r="E29" s="210">
        <f t="shared" si="0"/>
        <v>182445.97324199998</v>
      </c>
      <c r="F29" s="210">
        <f t="shared" si="0"/>
        <v>190223.15027599997</v>
      </c>
      <c r="G29" s="210">
        <f t="shared" si="0"/>
        <v>198670.39603399741</v>
      </c>
      <c r="H29" s="210">
        <f t="shared" si="0"/>
        <v>207487.96400142094</v>
      </c>
      <c r="I29" s="210">
        <f t="shared" si="0"/>
        <v>216692.0888827793</v>
      </c>
      <c r="J29" s="210">
        <f>SUM(J24:J28)</f>
        <v>226299.71710233181</v>
      </c>
      <c r="K29" s="210">
        <f>SUM(K24:K28)</f>
        <v>236328.53800545682</v>
      </c>
      <c r="L29" s="210">
        <f t="shared" ref="L29" si="1">SUM(L24:L28)</f>
        <v>246797.01642787067</v>
      </c>
      <c r="M29" s="210">
        <f t="shared" ref="M29" si="2">SUM(M24:M28)</f>
        <v>257724.42669266008</v>
      </c>
      <c r="N29" s="210">
        <f t="shared" ref="N29" si="3">SUM(N24:N28)</f>
        <v>269130.88809772558</v>
      </c>
      <c r="O29" s="210">
        <f t="shared" ref="O29" si="4">SUM(O24:O28)</f>
        <v>281037.4019589728</v>
      </c>
      <c r="P29" s="210">
        <f t="shared" ref="P29" si="5">SUM(P24:P28)</f>
        <v>293465.89027745463</v>
      </c>
      <c r="Q29" s="210">
        <f t="shared" ref="Q29" si="6">SUM(Q24:Q28)</f>
        <v>306439.23610165884</v>
      </c>
      <c r="R29" s="210">
        <f t="shared" ref="R29" si="7">SUM(R24:R28)</f>
        <v>319981.32565925323</v>
      </c>
      <c r="S29" s="210">
        <f t="shared" ref="S29:V29" si="8">SUM(S24:S28)</f>
        <v>334117.09233586187</v>
      </c>
      <c r="T29" s="210">
        <f t="shared" si="8"/>
        <v>348872.5625818448</v>
      </c>
      <c r="U29" s="210">
        <f t="shared" si="8"/>
        <v>364274.90383160301</v>
      </c>
      <c r="V29" s="210">
        <f t="shared" si="8"/>
        <v>380352.47452363768</v>
      </c>
      <c r="W29" s="210">
        <f t="shared" ref="W29" si="9">SUM(W24:W28)</f>
        <v>397134.87631345831</v>
      </c>
      <c r="X29" s="210">
        <f t="shared" ref="X29" si="10">SUM(X24:X28)</f>
        <v>414653.00857547426</v>
      </c>
      <c r="Y29" s="210">
        <f t="shared" ref="Y29" si="11">SUM(Y24:Y28)</f>
        <v>432939.12529421656</v>
      </c>
      <c r="Z29" s="210">
        <f t="shared" ref="Z29" si="12">SUM(Z24:Z28)</f>
        <v>452026.89444963547</v>
      </c>
      <c r="AA29" s="210">
        <f t="shared" ref="AA29" si="13">SUM(AA24:AA28)</f>
        <v>471951.46000581695</v>
      </c>
      <c r="AB29" s="210">
        <f t="shared" ref="AB29" si="14">SUM(AB24:AB28)</f>
        <v>492749.5066172448</v>
      </c>
      <c r="AC29" s="210">
        <f t="shared" ref="AC29:AF29" si="15">SUM(AC24:AC28)</f>
        <v>514459.32717174699</v>
      </c>
      <c r="AD29" s="210">
        <f t="shared" si="15"/>
        <v>537120.89329448668</v>
      </c>
      <c r="AE29" s="210">
        <f t="shared" si="15"/>
        <v>560775.92894280318</v>
      </c>
      <c r="AF29" s="210">
        <f t="shared" si="15"/>
        <v>585467.9872274081</v>
      </c>
      <c r="AG29" s="210">
        <f t="shared" ref="AG29" si="16">SUM(AG24:AG28)</f>
        <v>611242.53060137783</v>
      </c>
      <c r="AH29" s="210">
        <f t="shared" ref="AH29" si="17">SUM(AH24:AH28)</f>
        <v>638147.01456458145</v>
      </c>
      <c r="AI29" s="210">
        <f t="shared" ref="AI29" si="18">SUM(AI24:AI28)</f>
        <v>666230.97503766255</v>
      </c>
      <c r="AJ29" s="210">
        <f t="shared" ref="AJ29" si="19">SUM(AJ24:AJ28)</f>
        <v>695546.11956644373</v>
      </c>
      <c r="AK29" s="210"/>
    </row>
    <row r="30" spans="1:37" x14ac:dyDescent="0.25">
      <c r="B30" s="438">
        <v>0.5</v>
      </c>
    </row>
    <row r="31" spans="1:37" x14ac:dyDescent="0.25">
      <c r="A31" s="395" t="s">
        <v>4095</v>
      </c>
    </row>
    <row r="32" spans="1:37" x14ac:dyDescent="0.25">
      <c r="A32" s="395" t="s">
        <v>3746</v>
      </c>
      <c r="B32" s="397">
        <f ca="1">B29*(1+_xlfn.NORM.INV(RAND(),0,$D40))</f>
        <v>172948.13113077084</v>
      </c>
      <c r="C32" s="397">
        <f ca="1">C29*(1+_xlfn.NORM.INV(RAND(),0,$D40))</f>
        <v>154039.22951499288</v>
      </c>
      <c r="D32" s="397">
        <f ca="1">D29*(1+_xlfn.NORM.INV(RAND(),0,$D40))</f>
        <v>173952.76493208701</v>
      </c>
      <c r="E32" s="397">
        <f t="shared" ref="E32:AJ32" ca="1" si="20">E29*(1+_xlfn.NORM.INV(RAND(),0,$D40))</f>
        <v>183358.20376956242</v>
      </c>
      <c r="F32" s="397">
        <f ca="1">F29*(1+_xlfn.NORM.INV(RAND(),0,$D40))</f>
        <v>179147.13417883191</v>
      </c>
      <c r="G32" s="397">
        <f t="shared" ca="1" si="20"/>
        <v>202897.53026960927</v>
      </c>
      <c r="H32" s="397">
        <f t="shared" ca="1" si="20"/>
        <v>196335.12058953726</v>
      </c>
      <c r="I32" s="397">
        <f t="shared" ca="1" si="20"/>
        <v>230039.25071361067</v>
      </c>
      <c r="J32" s="397">
        <f t="shared" ca="1" si="20"/>
        <v>252586.04216785281</v>
      </c>
      <c r="K32" s="397">
        <f t="shared" ca="1" si="20"/>
        <v>256186.15777280513</v>
      </c>
      <c r="L32" s="397">
        <f t="shared" ca="1" si="20"/>
        <v>216665.71010782741</v>
      </c>
      <c r="M32" s="397">
        <f t="shared" ca="1" si="20"/>
        <v>266219.39109000971</v>
      </c>
      <c r="N32" s="397">
        <f t="shared" ca="1" si="20"/>
        <v>259511.02885616611</v>
      </c>
      <c r="O32" s="397">
        <f t="shared" ca="1" si="20"/>
        <v>265294.62617756944</v>
      </c>
      <c r="P32" s="397">
        <f t="shared" ca="1" si="20"/>
        <v>266432.82135505782</v>
      </c>
      <c r="Q32" s="397">
        <f t="shared" ca="1" si="20"/>
        <v>281469.71496683004</v>
      </c>
      <c r="R32" s="397">
        <f t="shared" ca="1" si="20"/>
        <v>284147.37351364462</v>
      </c>
      <c r="S32" s="397">
        <f t="shared" ca="1" si="20"/>
        <v>330859.30142199952</v>
      </c>
      <c r="T32" s="397">
        <f t="shared" ca="1" si="20"/>
        <v>357842.03156426665</v>
      </c>
      <c r="U32" s="397">
        <f t="shared" ca="1" si="20"/>
        <v>392977.99055686384</v>
      </c>
      <c r="V32" s="397">
        <f t="shared" ca="1" si="20"/>
        <v>384240.34034374129</v>
      </c>
      <c r="W32" s="397">
        <f t="shared" ca="1" si="20"/>
        <v>395865.51067129016</v>
      </c>
      <c r="X32" s="397">
        <f t="shared" ca="1" si="20"/>
        <v>417183.82233465195</v>
      </c>
      <c r="Y32" s="397">
        <f t="shared" ca="1" si="20"/>
        <v>433012.26010702248</v>
      </c>
      <c r="Z32" s="397">
        <f t="shared" ca="1" si="20"/>
        <v>436085.89672202314</v>
      </c>
      <c r="AA32" s="397">
        <f t="shared" ca="1" si="20"/>
        <v>451730.68683470419</v>
      </c>
      <c r="AB32" s="397">
        <f t="shared" ca="1" si="20"/>
        <v>442377.32964535855</v>
      </c>
      <c r="AC32" s="397">
        <f t="shared" ca="1" si="20"/>
        <v>486352.66298783117</v>
      </c>
      <c r="AD32" s="397">
        <f t="shared" ca="1" si="20"/>
        <v>582162.52723797306</v>
      </c>
      <c r="AE32" s="397">
        <f t="shared" ca="1" si="20"/>
        <v>536938.38037663151</v>
      </c>
      <c r="AF32" s="397">
        <f t="shared" ca="1" si="20"/>
        <v>555650.75963073201</v>
      </c>
      <c r="AG32" s="397">
        <f t="shared" ca="1" si="20"/>
        <v>687050.06344267412</v>
      </c>
      <c r="AH32" s="397">
        <f t="shared" ca="1" si="20"/>
        <v>581861.46304053394</v>
      </c>
      <c r="AI32" s="397">
        <f t="shared" ca="1" si="20"/>
        <v>673281.98736647889</v>
      </c>
      <c r="AJ32" s="397">
        <f t="shared" ca="1" si="20"/>
        <v>648581.03929101583</v>
      </c>
      <c r="AK32" s="397"/>
    </row>
    <row r="34" spans="2:36" x14ac:dyDescent="0.25">
      <c r="B34" t="s">
        <v>3740</v>
      </c>
      <c r="C34" t="s">
        <v>4218</v>
      </c>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row>
    <row r="35" spans="2:36" x14ac:dyDescent="0.25">
      <c r="B35">
        <v>2019</v>
      </c>
      <c r="C35" s="19">
        <v>65412.980000000018</v>
      </c>
    </row>
    <row r="36" spans="2:36" x14ac:dyDescent="0.25">
      <c r="B36">
        <v>2020</v>
      </c>
      <c r="C36" s="19">
        <v>64575.409999999989</v>
      </c>
      <c r="D36" s="46">
        <f>C36/C35-1</f>
        <v>-1.2804339444557167E-2</v>
      </c>
    </row>
    <row r="37" spans="2:36" x14ac:dyDescent="0.25">
      <c r="B37">
        <v>2021</v>
      </c>
      <c r="C37" s="19">
        <v>73419.839999999997</v>
      </c>
      <c r="D37" s="46">
        <f t="shared" ref="D37:D39" si="21">C37/C36-1</f>
        <v>0.13696281603167537</v>
      </c>
    </row>
    <row r="38" spans="2:36" x14ac:dyDescent="0.25">
      <c r="B38">
        <v>2022</v>
      </c>
      <c r="C38" s="19">
        <v>75583.650000000009</v>
      </c>
      <c r="D38" s="46">
        <f t="shared" si="21"/>
        <v>2.9471734070790845E-2</v>
      </c>
    </row>
    <row r="39" spans="2:36" x14ac:dyDescent="0.25">
      <c r="B39">
        <v>2023</v>
      </c>
      <c r="C39" s="19">
        <v>78050.59</v>
      </c>
      <c r="D39" s="46">
        <f t="shared" si="21"/>
        <v>3.2638540213392631E-2</v>
      </c>
    </row>
    <row r="40" spans="2:36" x14ac:dyDescent="0.25">
      <c r="C40" s="166" t="s">
        <v>4093</v>
      </c>
      <c r="D40" s="310">
        <f>_xlfn.STDEV.S(D36:D39)</f>
        <v>6.3724954851690288E-2</v>
      </c>
    </row>
  </sheetData>
  <mergeCells count="37">
    <mergeCell ref="F21:F22"/>
    <mergeCell ref="A21:A22"/>
    <mergeCell ref="B21:B22"/>
    <mergeCell ref="C21:C22"/>
    <mergeCell ref="D21:D22"/>
    <mergeCell ref="E21:E22"/>
    <mergeCell ref="R21:R22"/>
    <mergeCell ref="G21:G22"/>
    <mergeCell ref="H21:H22"/>
    <mergeCell ref="I21:I22"/>
    <mergeCell ref="J21:J22"/>
    <mergeCell ref="K21:K22"/>
    <mergeCell ref="L21:L22"/>
    <mergeCell ref="M21:M22"/>
    <mergeCell ref="N21:N22"/>
    <mergeCell ref="O21:O22"/>
    <mergeCell ref="P21:P22"/>
    <mergeCell ref="Q21:Q22"/>
    <mergeCell ref="AD21:AD22"/>
    <mergeCell ref="S21:S22"/>
    <mergeCell ref="T21:T22"/>
    <mergeCell ref="U21:U22"/>
    <mergeCell ref="V21:V22"/>
    <mergeCell ref="W21:W22"/>
    <mergeCell ref="X21:X22"/>
    <mergeCell ref="Y21:Y22"/>
    <mergeCell ref="Z21:Z22"/>
    <mergeCell ref="AA21:AA22"/>
    <mergeCell ref="AB21:AB22"/>
    <mergeCell ref="AC21:AC22"/>
    <mergeCell ref="AK21:AK22"/>
    <mergeCell ref="AE21:AE22"/>
    <mergeCell ref="AF21:AF22"/>
    <mergeCell ref="AG21:AG22"/>
    <mergeCell ref="AH21:AH22"/>
    <mergeCell ref="AI21:AI22"/>
    <mergeCell ref="AJ21:AJ22"/>
  </mergeCells>
  <phoneticPr fontId="76" type="noConversion"/>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EEC8E-2208-4989-BBA0-0B40A0E96A85}">
  <sheetPr codeName="Planilha16"/>
  <dimension ref="A1:R53"/>
  <sheetViews>
    <sheetView topLeftCell="D10" workbookViewId="0">
      <selection activeCell="D17" sqref="D17"/>
    </sheetView>
  </sheetViews>
  <sheetFormatPr defaultColWidth="8.85546875" defaultRowHeight="15" x14ac:dyDescent="0.25"/>
  <cols>
    <col min="1" max="1" width="0" style="7" hidden="1" customWidth="1"/>
    <col min="2" max="2" width="6" style="10" hidden="1" customWidth="1"/>
    <col min="3" max="3" width="41.140625" style="10" hidden="1" customWidth="1"/>
    <col min="4" max="4" width="50.28515625" style="10" bestFit="1" customWidth="1"/>
    <col min="5" max="5" width="12.28515625" style="10" hidden="1" customWidth="1"/>
    <col min="6" max="6" width="19.140625" style="10" customWidth="1"/>
    <col min="7" max="7" width="17.85546875" style="10" customWidth="1"/>
    <col min="8" max="8" width="13.85546875" style="133" customWidth="1"/>
    <col min="9" max="9" width="11.7109375" style="10" bestFit="1" customWidth="1"/>
    <col min="10" max="10" width="11.42578125" style="10" customWidth="1"/>
    <col min="11" max="11" width="11.140625" style="10" customWidth="1"/>
    <col min="12" max="12" width="12.7109375" style="10" customWidth="1"/>
    <col min="13" max="13" width="14.140625" style="10" customWidth="1"/>
    <col min="14" max="14" width="13.7109375" style="10" customWidth="1"/>
    <col min="15" max="15" width="20.140625" style="10" customWidth="1"/>
    <col min="16" max="16" width="16.28515625" style="7" customWidth="1"/>
    <col min="17" max="17" width="15.85546875" style="10" bestFit="1" customWidth="1"/>
    <col min="18" max="18" width="14.28515625" style="10" bestFit="1" customWidth="1"/>
    <col min="19" max="16384" width="8.85546875" style="10"/>
  </cols>
  <sheetData>
    <row r="1" spans="1:17" x14ac:dyDescent="0.25">
      <c r="B1" s="504" t="s">
        <v>3887</v>
      </c>
      <c r="C1" s="504"/>
      <c r="D1" s="504"/>
      <c r="E1" s="504"/>
      <c r="F1" s="504"/>
      <c r="G1" s="504"/>
      <c r="H1" s="504"/>
      <c r="I1" s="504"/>
      <c r="J1" s="504"/>
      <c r="K1" s="504"/>
      <c r="L1" s="504"/>
      <c r="M1" s="504"/>
      <c r="N1" s="504"/>
      <c r="O1" s="504"/>
      <c r="P1" s="504"/>
      <c r="Q1" s="504"/>
    </row>
    <row r="2" spans="1:17" x14ac:dyDescent="0.25">
      <c r="B2" s="504"/>
      <c r="C2" s="504"/>
      <c r="D2" s="504"/>
      <c r="E2" s="504"/>
      <c r="F2" s="504"/>
      <c r="G2" s="504"/>
      <c r="H2" s="504"/>
      <c r="I2" s="504"/>
      <c r="J2" s="504"/>
      <c r="K2" s="504"/>
      <c r="L2" s="504"/>
      <c r="M2" s="504"/>
      <c r="N2" s="504"/>
      <c r="O2" s="504"/>
      <c r="P2" s="504"/>
      <c r="Q2" s="504"/>
    </row>
    <row r="3" spans="1:17" ht="15.75" thickBot="1" x14ac:dyDescent="0.3">
      <c r="B3" s="505"/>
      <c r="C3" s="505"/>
      <c r="D3" s="504"/>
      <c r="E3" s="504"/>
      <c r="F3" s="504"/>
      <c r="G3" s="504"/>
      <c r="H3" s="504"/>
      <c r="I3" s="504"/>
      <c r="J3" s="504"/>
      <c r="K3" s="504"/>
      <c r="L3" s="504"/>
      <c r="M3" s="504"/>
      <c r="N3" s="504"/>
      <c r="O3" s="504"/>
      <c r="P3" s="504"/>
      <c r="Q3" s="504"/>
    </row>
    <row r="4" spans="1:17" s="132" customFormat="1" ht="29.45" customHeight="1" x14ac:dyDescent="0.25">
      <c r="A4" s="125" t="s">
        <v>3888</v>
      </c>
      <c r="B4" s="125" t="s">
        <v>3889</v>
      </c>
      <c r="C4" s="126" t="s">
        <v>3890</v>
      </c>
      <c r="D4" s="127" t="s">
        <v>3891</v>
      </c>
      <c r="E4" s="128" t="s">
        <v>3892</v>
      </c>
      <c r="F4" s="129" t="s">
        <v>3893</v>
      </c>
      <c r="G4" s="128" t="s">
        <v>3894</v>
      </c>
      <c r="H4" s="130" t="s">
        <v>3895</v>
      </c>
      <c r="I4" s="128" t="s">
        <v>3896</v>
      </c>
      <c r="J4" s="128" t="s">
        <v>3897</v>
      </c>
      <c r="K4" s="128" t="s">
        <v>3898</v>
      </c>
      <c r="L4" s="128" t="s">
        <v>3899</v>
      </c>
      <c r="M4" s="128" t="s">
        <v>3900</v>
      </c>
      <c r="N4" s="128" t="s">
        <v>3901</v>
      </c>
      <c r="O4" s="128" t="s">
        <v>3902</v>
      </c>
      <c r="P4" s="128" t="s">
        <v>3903</v>
      </c>
      <c r="Q4" s="131" t="s">
        <v>3904</v>
      </c>
    </row>
    <row r="5" spans="1:17" s="11" customFormat="1" x14ac:dyDescent="0.25">
      <c r="A5" s="146">
        <v>2</v>
      </c>
      <c r="B5" s="147">
        <v>61</v>
      </c>
      <c r="C5" s="148" t="s">
        <v>3905</v>
      </c>
      <c r="D5" s="149" t="s">
        <v>3906</v>
      </c>
      <c r="E5" s="150">
        <v>1430</v>
      </c>
      <c r="F5" s="151">
        <f t="shared" ref="F5:F31" si="0">SUM(E5*0.06)+E5</f>
        <v>1515.8</v>
      </c>
      <c r="G5" s="152">
        <v>440</v>
      </c>
      <c r="H5" s="152">
        <v>780</v>
      </c>
      <c r="I5" s="152">
        <v>380</v>
      </c>
      <c r="J5" s="152">
        <f t="shared" ref="J5:J47" si="1">SUM(F5/12*1.3333)</f>
        <v>168.41801166666664</v>
      </c>
      <c r="K5" s="152">
        <f t="shared" ref="K5:K47" si="2">SUM(F5/12)</f>
        <v>126.31666666666666</v>
      </c>
      <c r="L5" s="152">
        <f t="shared" ref="L5:L47" si="3">SUM(F5+J5+K5)*0.258</f>
        <v>467.11794700999997</v>
      </c>
      <c r="M5" s="152">
        <f t="shared" ref="M5:M47" si="4">SUM(F5+J5+K5)*0.08</f>
        <v>144.84277426666665</v>
      </c>
      <c r="N5" s="152">
        <f t="shared" ref="N5:N47" si="5">SUM(F5+J5+K5)*0.03</f>
        <v>54.316040349999994</v>
      </c>
      <c r="O5" s="153">
        <f t="shared" ref="O5:O47" si="6">SUM(F5:N5)</f>
        <v>4076.8114399600004</v>
      </c>
      <c r="P5" s="146">
        <v>2</v>
      </c>
      <c r="Q5" s="154">
        <f>O5*P5</f>
        <v>8153.6228799200007</v>
      </c>
    </row>
    <row r="6" spans="1:17" s="11" customFormat="1" x14ac:dyDescent="0.25">
      <c r="A6" s="146"/>
      <c r="B6" s="147"/>
      <c r="C6" s="148"/>
      <c r="D6" s="155" t="s">
        <v>3907</v>
      </c>
      <c r="E6" s="150"/>
      <c r="F6" s="156">
        <v>1701.49</v>
      </c>
      <c r="G6" s="152">
        <v>440</v>
      </c>
      <c r="H6" s="152">
        <v>780</v>
      </c>
      <c r="I6" s="152">
        <v>380</v>
      </c>
      <c r="J6" s="152">
        <f t="shared" si="1"/>
        <v>189.04971808333332</v>
      </c>
      <c r="K6" s="152">
        <f t="shared" si="2"/>
        <v>141.79083333333332</v>
      </c>
      <c r="L6" s="152">
        <f t="shared" si="3"/>
        <v>524.34128226550001</v>
      </c>
      <c r="M6" s="152">
        <f t="shared" si="4"/>
        <v>162.58644411333333</v>
      </c>
      <c r="N6" s="152">
        <f t="shared" si="5"/>
        <v>60.969916542499995</v>
      </c>
      <c r="O6" s="153">
        <f t="shared" si="6"/>
        <v>4380.2281943380003</v>
      </c>
      <c r="P6" s="146">
        <v>2</v>
      </c>
      <c r="Q6" s="154">
        <f t="shared" ref="Q6:Q47" si="7">O6*P6</f>
        <v>8760.4563886760006</v>
      </c>
    </row>
    <row r="7" spans="1:17" s="11" customFormat="1" x14ac:dyDescent="0.25">
      <c r="A7" s="146">
        <v>3</v>
      </c>
      <c r="B7" s="147">
        <v>46</v>
      </c>
      <c r="C7" s="148" t="s">
        <v>3908</v>
      </c>
      <c r="D7" s="149" t="s">
        <v>3909</v>
      </c>
      <c r="E7" s="150">
        <v>1605.18</v>
      </c>
      <c r="F7" s="151">
        <f t="shared" si="0"/>
        <v>1701.4908</v>
      </c>
      <c r="G7" s="152">
        <v>440</v>
      </c>
      <c r="H7" s="152">
        <v>780</v>
      </c>
      <c r="I7" s="152">
        <v>380</v>
      </c>
      <c r="J7" s="152">
        <f t="shared" si="1"/>
        <v>189.04980696999999</v>
      </c>
      <c r="K7" s="152">
        <f t="shared" si="2"/>
        <v>141.79089999999999</v>
      </c>
      <c r="L7" s="152">
        <f>SUM(F7+J7+K7)*0.258</f>
        <v>524.34152879826001</v>
      </c>
      <c r="M7" s="152">
        <f t="shared" si="4"/>
        <v>162.58652055760001</v>
      </c>
      <c r="N7" s="152">
        <f t="shared" si="5"/>
        <v>60.969945209099997</v>
      </c>
      <c r="O7" s="153">
        <f>SUM(F7:N7)</f>
        <v>4380.22950153496</v>
      </c>
      <c r="P7" s="146">
        <v>23</v>
      </c>
      <c r="Q7" s="154">
        <f t="shared" si="7"/>
        <v>100745.27853530408</v>
      </c>
    </row>
    <row r="8" spans="1:17" s="11" customFormat="1" x14ac:dyDescent="0.25">
      <c r="A8" s="146">
        <v>5</v>
      </c>
      <c r="B8" s="147">
        <v>18</v>
      </c>
      <c r="C8" s="148" t="s">
        <v>3910</v>
      </c>
      <c r="D8" s="149" t="s">
        <v>3911</v>
      </c>
      <c r="E8" s="150">
        <v>1430</v>
      </c>
      <c r="F8" s="151">
        <f t="shared" si="0"/>
        <v>1515.8</v>
      </c>
      <c r="G8" s="152">
        <v>440</v>
      </c>
      <c r="H8" s="152">
        <v>780</v>
      </c>
      <c r="I8" s="152">
        <v>380</v>
      </c>
      <c r="J8" s="152">
        <f t="shared" si="1"/>
        <v>168.41801166666664</v>
      </c>
      <c r="K8" s="152">
        <f t="shared" si="2"/>
        <v>126.31666666666666</v>
      </c>
      <c r="L8" s="152">
        <f t="shared" si="3"/>
        <v>467.11794700999997</v>
      </c>
      <c r="M8" s="152">
        <f t="shared" si="4"/>
        <v>144.84277426666665</v>
      </c>
      <c r="N8" s="152">
        <f t="shared" si="5"/>
        <v>54.316040349999994</v>
      </c>
      <c r="O8" s="153">
        <f t="shared" si="6"/>
        <v>4076.8114399600004</v>
      </c>
      <c r="P8" s="146">
        <v>3</v>
      </c>
      <c r="Q8" s="154">
        <f t="shared" si="7"/>
        <v>12230.434319880002</v>
      </c>
    </row>
    <row r="9" spans="1:17" s="144" customFormat="1" x14ac:dyDescent="0.25">
      <c r="A9" s="136">
        <v>6</v>
      </c>
      <c r="B9" s="137">
        <v>10</v>
      </c>
      <c r="C9" s="138" t="s">
        <v>3912</v>
      </c>
      <c r="D9" s="135" t="s">
        <v>3987</v>
      </c>
      <c r="E9" s="139">
        <v>2675</v>
      </c>
      <c r="F9" s="140">
        <f t="shared" si="0"/>
        <v>2835.5</v>
      </c>
      <c r="G9" s="141">
        <v>440</v>
      </c>
      <c r="H9" s="141">
        <v>780</v>
      </c>
      <c r="I9" s="141">
        <v>380</v>
      </c>
      <c r="J9" s="141">
        <f t="shared" si="1"/>
        <v>315.04767916666663</v>
      </c>
      <c r="K9" s="141">
        <f t="shared" si="2"/>
        <v>236.29166666666666</v>
      </c>
      <c r="L9" s="141">
        <f t="shared" si="3"/>
        <v>873.80455122499995</v>
      </c>
      <c r="M9" s="141">
        <f t="shared" si="4"/>
        <v>270.94714766666664</v>
      </c>
      <c r="N9" s="141">
        <f t="shared" si="5"/>
        <v>101.60518037499999</v>
      </c>
      <c r="O9" s="142">
        <f t="shared" si="6"/>
        <v>6233.1962251000004</v>
      </c>
      <c r="P9" s="136">
        <v>6</v>
      </c>
      <c r="Q9" s="143">
        <f t="shared" si="7"/>
        <v>37399.177350600003</v>
      </c>
    </row>
    <row r="10" spans="1:17" s="144" customFormat="1" x14ac:dyDescent="0.25">
      <c r="A10" s="136">
        <v>7</v>
      </c>
      <c r="B10" s="137">
        <v>36</v>
      </c>
      <c r="C10" s="138" t="s">
        <v>3913</v>
      </c>
      <c r="D10" s="135" t="s">
        <v>3988</v>
      </c>
      <c r="E10" s="139">
        <v>2425</v>
      </c>
      <c r="F10" s="140">
        <f t="shared" si="0"/>
        <v>2570.5</v>
      </c>
      <c r="G10" s="141">
        <v>440</v>
      </c>
      <c r="H10" s="141">
        <v>780</v>
      </c>
      <c r="I10" s="141">
        <v>380</v>
      </c>
      <c r="J10" s="141">
        <f t="shared" si="1"/>
        <v>285.60397083333334</v>
      </c>
      <c r="K10" s="141">
        <f t="shared" si="2"/>
        <v>214.20833333333334</v>
      </c>
      <c r="L10" s="141">
        <f t="shared" si="3"/>
        <v>792.14057447499999</v>
      </c>
      <c r="M10" s="141">
        <f t="shared" si="4"/>
        <v>245.62498433333334</v>
      </c>
      <c r="N10" s="141">
        <f t="shared" si="5"/>
        <v>92.109369125000001</v>
      </c>
      <c r="O10" s="142">
        <f t="shared" si="6"/>
        <v>5800.1872321000001</v>
      </c>
      <c r="P10" s="136">
        <v>4</v>
      </c>
      <c r="Q10" s="143">
        <f t="shared" si="7"/>
        <v>23200.7489284</v>
      </c>
    </row>
    <row r="11" spans="1:17" s="144" customFormat="1" x14ac:dyDescent="0.25">
      <c r="A11" s="136">
        <v>8</v>
      </c>
      <c r="B11" s="137">
        <v>89</v>
      </c>
      <c r="C11" s="138" t="s">
        <v>3914</v>
      </c>
      <c r="D11" s="135" t="s">
        <v>3915</v>
      </c>
      <c r="E11" s="139">
        <v>3100</v>
      </c>
      <c r="F11" s="140">
        <f t="shared" si="0"/>
        <v>3286</v>
      </c>
      <c r="G11" s="141">
        <v>440</v>
      </c>
      <c r="H11" s="141">
        <v>780</v>
      </c>
      <c r="I11" s="141">
        <v>380</v>
      </c>
      <c r="J11" s="141">
        <f t="shared" si="1"/>
        <v>365.10198333333329</v>
      </c>
      <c r="K11" s="141">
        <f t="shared" si="2"/>
        <v>273.83333333333331</v>
      </c>
      <c r="L11" s="141">
        <f t="shared" si="3"/>
        <v>1012.6333117000001</v>
      </c>
      <c r="M11" s="141">
        <f t="shared" si="4"/>
        <v>313.99482533333338</v>
      </c>
      <c r="N11" s="141">
        <f t="shared" si="5"/>
        <v>117.74805950000001</v>
      </c>
      <c r="O11" s="142">
        <f t="shared" si="6"/>
        <v>6969.3115131999994</v>
      </c>
      <c r="P11" s="136">
        <v>1</v>
      </c>
      <c r="Q11" s="143">
        <f t="shared" si="7"/>
        <v>6969.3115131999994</v>
      </c>
    </row>
    <row r="12" spans="1:17" s="144" customFormat="1" x14ac:dyDescent="0.25">
      <c r="A12" s="136">
        <v>14</v>
      </c>
      <c r="B12" s="137">
        <v>20</v>
      </c>
      <c r="C12" s="138" t="s">
        <v>3916</v>
      </c>
      <c r="D12" s="135" t="s">
        <v>3917</v>
      </c>
      <c r="E12" s="139">
        <v>3100</v>
      </c>
      <c r="F12" s="140">
        <f>SUM(E12*0.06)+E12</f>
        <v>3286</v>
      </c>
      <c r="G12" s="141">
        <v>440</v>
      </c>
      <c r="H12" s="141">
        <v>780</v>
      </c>
      <c r="I12" s="141">
        <v>380</v>
      </c>
      <c r="J12" s="141">
        <f t="shared" si="1"/>
        <v>365.10198333333329</v>
      </c>
      <c r="K12" s="141">
        <f t="shared" si="2"/>
        <v>273.83333333333331</v>
      </c>
      <c r="L12" s="141">
        <f t="shared" si="3"/>
        <v>1012.6333117000001</v>
      </c>
      <c r="M12" s="141">
        <f t="shared" si="4"/>
        <v>313.99482533333338</v>
      </c>
      <c r="N12" s="141">
        <f t="shared" si="5"/>
        <v>117.74805950000001</v>
      </c>
      <c r="O12" s="142">
        <f t="shared" si="6"/>
        <v>6969.3115131999994</v>
      </c>
      <c r="P12" s="136">
        <v>1</v>
      </c>
      <c r="Q12" s="143">
        <f t="shared" si="7"/>
        <v>6969.3115131999994</v>
      </c>
    </row>
    <row r="13" spans="1:17" s="144" customFormat="1" x14ac:dyDescent="0.25">
      <c r="A13" s="136">
        <v>15</v>
      </c>
      <c r="B13" s="137">
        <v>6</v>
      </c>
      <c r="C13" s="138" t="s">
        <v>3918</v>
      </c>
      <c r="D13" s="135" t="s">
        <v>3919</v>
      </c>
      <c r="E13" s="139">
        <v>2365</v>
      </c>
      <c r="F13" s="140">
        <f t="shared" si="0"/>
        <v>2506.9</v>
      </c>
      <c r="G13" s="141">
        <v>440</v>
      </c>
      <c r="H13" s="141">
        <v>780</v>
      </c>
      <c r="I13" s="141">
        <v>380</v>
      </c>
      <c r="J13" s="141">
        <f t="shared" si="1"/>
        <v>278.53748083333329</v>
      </c>
      <c r="K13" s="141">
        <f t="shared" si="2"/>
        <v>208.90833333333333</v>
      </c>
      <c r="L13" s="141">
        <f t="shared" si="3"/>
        <v>772.54122005499994</v>
      </c>
      <c r="M13" s="141">
        <f t="shared" si="4"/>
        <v>239.54766513333334</v>
      </c>
      <c r="N13" s="141">
        <f t="shared" si="5"/>
        <v>89.830374424999988</v>
      </c>
      <c r="O13" s="142">
        <f t="shared" si="6"/>
        <v>5696.2650737800004</v>
      </c>
      <c r="P13" s="136">
        <v>1</v>
      </c>
      <c r="Q13" s="143">
        <f t="shared" si="7"/>
        <v>5696.2650737800004</v>
      </c>
    </row>
    <row r="14" spans="1:17" s="144" customFormat="1" x14ac:dyDescent="0.25">
      <c r="A14" s="136">
        <v>17</v>
      </c>
      <c r="B14" s="137">
        <v>26</v>
      </c>
      <c r="C14" s="138" t="s">
        <v>3920</v>
      </c>
      <c r="D14" s="135" t="s">
        <v>3921</v>
      </c>
      <c r="E14" s="139">
        <v>1820.39</v>
      </c>
      <c r="F14" s="140">
        <f t="shared" si="0"/>
        <v>1929.6134000000002</v>
      </c>
      <c r="G14" s="141">
        <v>440</v>
      </c>
      <c r="H14" s="141">
        <v>780</v>
      </c>
      <c r="I14" s="141">
        <v>380</v>
      </c>
      <c r="J14" s="141">
        <f t="shared" si="1"/>
        <v>214.39612885166667</v>
      </c>
      <c r="K14" s="141">
        <f t="shared" si="2"/>
        <v>160.80111666666667</v>
      </c>
      <c r="L14" s="141">
        <f t="shared" si="3"/>
        <v>594.64114654372997</v>
      </c>
      <c r="M14" s="141">
        <f t="shared" si="4"/>
        <v>184.38485164146667</v>
      </c>
      <c r="N14" s="141">
        <f t="shared" si="5"/>
        <v>69.144319365550004</v>
      </c>
      <c r="O14" s="142">
        <f t="shared" si="6"/>
        <v>4752.9809630690797</v>
      </c>
      <c r="P14" s="136">
        <v>1</v>
      </c>
      <c r="Q14" s="143">
        <f t="shared" si="7"/>
        <v>4752.9809630690797</v>
      </c>
    </row>
    <row r="15" spans="1:17" s="144" customFormat="1" x14ac:dyDescent="0.25">
      <c r="A15" s="136">
        <v>19</v>
      </c>
      <c r="B15" s="137">
        <v>16</v>
      </c>
      <c r="C15" s="138" t="s">
        <v>3922</v>
      </c>
      <c r="D15" s="135" t="s">
        <v>3923</v>
      </c>
      <c r="E15" s="139">
        <v>2306</v>
      </c>
      <c r="F15" s="140">
        <f t="shared" si="0"/>
        <v>2444.36</v>
      </c>
      <c r="G15" s="141">
        <v>440</v>
      </c>
      <c r="H15" s="141">
        <v>780</v>
      </c>
      <c r="I15" s="141">
        <v>380</v>
      </c>
      <c r="J15" s="141">
        <f t="shared" si="1"/>
        <v>271.58876566666669</v>
      </c>
      <c r="K15" s="141">
        <f t="shared" si="2"/>
        <v>203.69666666666669</v>
      </c>
      <c r="L15" s="141">
        <f t="shared" si="3"/>
        <v>753.26852154200014</v>
      </c>
      <c r="M15" s="141">
        <f t="shared" si="4"/>
        <v>233.5716345866667</v>
      </c>
      <c r="N15" s="141">
        <f t="shared" si="5"/>
        <v>87.58936297000001</v>
      </c>
      <c r="O15" s="142">
        <f t="shared" si="6"/>
        <v>5594.0749514320005</v>
      </c>
      <c r="P15" s="136">
        <v>1</v>
      </c>
      <c r="Q15" s="143">
        <f t="shared" si="7"/>
        <v>5594.0749514320005</v>
      </c>
    </row>
    <row r="16" spans="1:17" s="144" customFormat="1" x14ac:dyDescent="0.25">
      <c r="A16" s="136">
        <v>20</v>
      </c>
      <c r="B16" s="137">
        <v>93</v>
      </c>
      <c r="C16" s="138" t="s">
        <v>3924</v>
      </c>
      <c r="D16" s="135" t="s">
        <v>3925</v>
      </c>
      <c r="E16" s="139">
        <v>1820.39</v>
      </c>
      <c r="F16" s="140">
        <f t="shared" si="0"/>
        <v>1929.6134000000002</v>
      </c>
      <c r="G16" s="141">
        <v>440</v>
      </c>
      <c r="H16" s="141">
        <v>780</v>
      </c>
      <c r="I16" s="141">
        <v>380</v>
      </c>
      <c r="J16" s="141">
        <f t="shared" si="1"/>
        <v>214.39612885166667</v>
      </c>
      <c r="K16" s="141">
        <f t="shared" si="2"/>
        <v>160.80111666666667</v>
      </c>
      <c r="L16" s="141">
        <f t="shared" si="3"/>
        <v>594.64114654372997</v>
      </c>
      <c r="M16" s="141">
        <f t="shared" si="4"/>
        <v>184.38485164146667</v>
      </c>
      <c r="N16" s="141">
        <f t="shared" si="5"/>
        <v>69.144319365550004</v>
      </c>
      <c r="O16" s="142">
        <f t="shared" si="6"/>
        <v>4752.9809630690797</v>
      </c>
      <c r="P16" s="136">
        <v>1</v>
      </c>
      <c r="Q16" s="143">
        <f t="shared" si="7"/>
        <v>4752.9809630690797</v>
      </c>
    </row>
    <row r="17" spans="1:17" s="144" customFormat="1" x14ac:dyDescent="0.25">
      <c r="A17" s="136">
        <v>22</v>
      </c>
      <c r="B17" s="137">
        <v>27</v>
      </c>
      <c r="C17" s="138" t="s">
        <v>3926</v>
      </c>
      <c r="D17" s="135" t="s">
        <v>3927</v>
      </c>
      <c r="E17" s="139">
        <v>2024.18</v>
      </c>
      <c r="F17" s="140">
        <f t="shared" si="0"/>
        <v>2145.6307999999999</v>
      </c>
      <c r="G17" s="141">
        <v>440</v>
      </c>
      <c r="H17" s="141">
        <v>780</v>
      </c>
      <c r="I17" s="141">
        <v>380</v>
      </c>
      <c r="J17" s="141">
        <f t="shared" si="1"/>
        <v>238.39746213666663</v>
      </c>
      <c r="K17" s="141">
        <f t="shared" si="2"/>
        <v>178.80256666666665</v>
      </c>
      <c r="L17" s="141">
        <f t="shared" si="3"/>
        <v>661.21035383126002</v>
      </c>
      <c r="M17" s="141">
        <f t="shared" si="4"/>
        <v>205.02646630426665</v>
      </c>
      <c r="N17" s="141">
        <f t="shared" si="5"/>
        <v>76.884924864099986</v>
      </c>
      <c r="O17" s="142">
        <f t="shared" si="6"/>
        <v>5105.9525738029597</v>
      </c>
      <c r="P17" s="136">
        <v>6</v>
      </c>
      <c r="Q17" s="143">
        <f t="shared" si="7"/>
        <v>30635.71544281776</v>
      </c>
    </row>
    <row r="18" spans="1:17" s="144" customFormat="1" x14ac:dyDescent="0.25">
      <c r="A18" s="136">
        <v>25</v>
      </c>
      <c r="B18" s="137">
        <v>23</v>
      </c>
      <c r="C18" s="138" t="s">
        <v>3928</v>
      </c>
      <c r="D18" s="135" t="s">
        <v>3929</v>
      </c>
      <c r="E18" s="139">
        <v>2175.31</v>
      </c>
      <c r="F18" s="140">
        <f t="shared" si="0"/>
        <v>2305.8285999999998</v>
      </c>
      <c r="G18" s="141">
        <v>440</v>
      </c>
      <c r="H18" s="141">
        <v>780</v>
      </c>
      <c r="I18" s="141">
        <v>380</v>
      </c>
      <c r="J18" s="141">
        <f t="shared" si="1"/>
        <v>256.19677269833329</v>
      </c>
      <c r="K18" s="141">
        <f t="shared" si="2"/>
        <v>192.15238333333332</v>
      </c>
      <c r="L18" s="141">
        <f t="shared" si="3"/>
        <v>710.57786105617004</v>
      </c>
      <c r="M18" s="141">
        <f t="shared" si="4"/>
        <v>220.33422048253334</v>
      </c>
      <c r="N18" s="141">
        <f t="shared" si="5"/>
        <v>82.625332680949995</v>
      </c>
      <c r="O18" s="142">
        <f t="shared" si="6"/>
        <v>5367.7151702513193</v>
      </c>
      <c r="P18" s="136">
        <v>2</v>
      </c>
      <c r="Q18" s="143">
        <f t="shared" si="7"/>
        <v>10735.430340502639</v>
      </c>
    </row>
    <row r="19" spans="1:17" s="144" customFormat="1" x14ac:dyDescent="0.25">
      <c r="A19" s="136">
        <v>26</v>
      </c>
      <c r="B19" s="137">
        <v>4</v>
      </c>
      <c r="C19" s="138" t="s">
        <v>3930</v>
      </c>
      <c r="D19" s="135" t="s">
        <v>3931</v>
      </c>
      <c r="E19" s="139">
        <v>2175.31</v>
      </c>
      <c r="F19" s="140">
        <f t="shared" si="0"/>
        <v>2305.8285999999998</v>
      </c>
      <c r="G19" s="141">
        <v>440</v>
      </c>
      <c r="H19" s="141">
        <v>780</v>
      </c>
      <c r="I19" s="141">
        <v>380</v>
      </c>
      <c r="J19" s="141">
        <f t="shared" si="1"/>
        <v>256.19677269833329</v>
      </c>
      <c r="K19" s="141">
        <f t="shared" si="2"/>
        <v>192.15238333333332</v>
      </c>
      <c r="L19" s="141">
        <f t="shared" si="3"/>
        <v>710.57786105617004</v>
      </c>
      <c r="M19" s="141">
        <f t="shared" si="4"/>
        <v>220.33422048253334</v>
      </c>
      <c r="N19" s="141">
        <f t="shared" si="5"/>
        <v>82.625332680949995</v>
      </c>
      <c r="O19" s="142">
        <f t="shared" si="6"/>
        <v>5367.7151702513193</v>
      </c>
      <c r="P19" s="136">
        <v>2</v>
      </c>
      <c r="Q19" s="143">
        <f t="shared" si="7"/>
        <v>10735.430340502639</v>
      </c>
    </row>
    <row r="20" spans="1:17" s="144" customFormat="1" x14ac:dyDescent="0.25">
      <c r="A20" s="136">
        <v>29</v>
      </c>
      <c r="B20" s="137">
        <v>66</v>
      </c>
      <c r="C20" s="138" t="s">
        <v>3932</v>
      </c>
      <c r="D20" s="135" t="s">
        <v>3933</v>
      </c>
      <c r="E20" s="139">
        <v>1820.39</v>
      </c>
      <c r="F20" s="140">
        <f t="shared" si="0"/>
        <v>1929.6134000000002</v>
      </c>
      <c r="G20" s="141">
        <v>440</v>
      </c>
      <c r="H20" s="141">
        <v>780</v>
      </c>
      <c r="I20" s="141">
        <v>380</v>
      </c>
      <c r="J20" s="141">
        <f t="shared" si="1"/>
        <v>214.39612885166667</v>
      </c>
      <c r="K20" s="141">
        <f t="shared" si="2"/>
        <v>160.80111666666667</v>
      </c>
      <c r="L20" s="141">
        <f t="shared" si="3"/>
        <v>594.64114654372997</v>
      </c>
      <c r="M20" s="141">
        <f t="shared" si="4"/>
        <v>184.38485164146667</v>
      </c>
      <c r="N20" s="141">
        <f t="shared" si="5"/>
        <v>69.144319365550004</v>
      </c>
      <c r="O20" s="142">
        <f t="shared" si="6"/>
        <v>4752.9809630690797</v>
      </c>
      <c r="P20" s="136">
        <v>2</v>
      </c>
      <c r="Q20" s="143">
        <f t="shared" si="7"/>
        <v>9505.9619261381595</v>
      </c>
    </row>
    <row r="21" spans="1:17" s="144" customFormat="1" x14ac:dyDescent="0.25">
      <c r="A21" s="136">
        <v>31</v>
      </c>
      <c r="B21" s="137">
        <v>17</v>
      </c>
      <c r="C21" s="138" t="s">
        <v>3934</v>
      </c>
      <c r="D21" s="135" t="s">
        <v>3935</v>
      </c>
      <c r="E21" s="139">
        <v>1850</v>
      </c>
      <c r="F21" s="140">
        <f t="shared" si="0"/>
        <v>1961</v>
      </c>
      <c r="G21" s="141">
        <v>440</v>
      </c>
      <c r="H21" s="141">
        <v>780</v>
      </c>
      <c r="I21" s="141">
        <v>380</v>
      </c>
      <c r="J21" s="141">
        <f t="shared" si="1"/>
        <v>217.88344166666664</v>
      </c>
      <c r="K21" s="141">
        <f t="shared" si="2"/>
        <v>163.41666666666666</v>
      </c>
      <c r="L21" s="141">
        <f t="shared" si="3"/>
        <v>604.31342795</v>
      </c>
      <c r="M21" s="141">
        <f t="shared" si="4"/>
        <v>187.38400866666666</v>
      </c>
      <c r="N21" s="141">
        <f t="shared" si="5"/>
        <v>70.269003249999997</v>
      </c>
      <c r="O21" s="142">
        <f t="shared" si="6"/>
        <v>4804.2665482000011</v>
      </c>
      <c r="P21" s="136">
        <v>1</v>
      </c>
      <c r="Q21" s="143">
        <f t="shared" si="7"/>
        <v>4804.2665482000011</v>
      </c>
    </row>
    <row r="22" spans="1:17" s="144" customFormat="1" x14ac:dyDescent="0.25">
      <c r="A22" s="136">
        <v>32</v>
      </c>
      <c r="B22" s="137">
        <v>28</v>
      </c>
      <c r="C22" s="138" t="s">
        <v>3936</v>
      </c>
      <c r="D22" s="135" t="s">
        <v>3937</v>
      </c>
      <c r="E22" s="139">
        <v>1430</v>
      </c>
      <c r="F22" s="140">
        <f t="shared" si="0"/>
        <v>1515.8</v>
      </c>
      <c r="G22" s="141">
        <v>440</v>
      </c>
      <c r="H22" s="141">
        <v>780</v>
      </c>
      <c r="I22" s="141">
        <v>380</v>
      </c>
      <c r="J22" s="141">
        <f t="shared" si="1"/>
        <v>168.41801166666664</v>
      </c>
      <c r="K22" s="141">
        <f t="shared" si="2"/>
        <v>126.31666666666666</v>
      </c>
      <c r="L22" s="141">
        <f t="shared" si="3"/>
        <v>467.11794700999997</v>
      </c>
      <c r="M22" s="141">
        <f t="shared" si="4"/>
        <v>144.84277426666665</v>
      </c>
      <c r="N22" s="141">
        <f t="shared" si="5"/>
        <v>54.316040349999994</v>
      </c>
      <c r="O22" s="142">
        <f t="shared" si="6"/>
        <v>4076.8114399600004</v>
      </c>
      <c r="P22" s="136">
        <v>3</v>
      </c>
      <c r="Q22" s="143">
        <f t="shared" si="7"/>
        <v>12230.434319880002</v>
      </c>
    </row>
    <row r="23" spans="1:17" s="11" customFormat="1" x14ac:dyDescent="0.25">
      <c r="A23" s="146">
        <v>33</v>
      </c>
      <c r="B23" s="147">
        <v>57</v>
      </c>
      <c r="C23" s="148" t="s">
        <v>3938</v>
      </c>
      <c r="D23" s="149" t="s">
        <v>3939</v>
      </c>
      <c r="E23" s="150">
        <v>1605.18</v>
      </c>
      <c r="F23" s="151">
        <f t="shared" si="0"/>
        <v>1701.4908</v>
      </c>
      <c r="G23" s="152">
        <v>440</v>
      </c>
      <c r="H23" s="152">
        <v>780</v>
      </c>
      <c r="I23" s="152">
        <v>380</v>
      </c>
      <c r="J23" s="152">
        <f t="shared" si="1"/>
        <v>189.04980696999999</v>
      </c>
      <c r="K23" s="152">
        <f t="shared" si="2"/>
        <v>141.79089999999999</v>
      </c>
      <c r="L23" s="152">
        <f t="shared" si="3"/>
        <v>524.34152879826001</v>
      </c>
      <c r="M23" s="152">
        <f t="shared" si="4"/>
        <v>162.58652055760001</v>
      </c>
      <c r="N23" s="152">
        <f t="shared" si="5"/>
        <v>60.969945209099997</v>
      </c>
      <c r="O23" s="153">
        <f t="shared" si="6"/>
        <v>4380.22950153496</v>
      </c>
      <c r="P23" s="146">
        <v>1</v>
      </c>
      <c r="Q23" s="154">
        <f t="shared" si="7"/>
        <v>4380.22950153496</v>
      </c>
    </row>
    <row r="24" spans="1:17" s="144" customFormat="1" x14ac:dyDescent="0.25">
      <c r="A24" s="136">
        <v>34</v>
      </c>
      <c r="B24" s="137">
        <v>102</v>
      </c>
      <c r="C24" s="138" t="s">
        <v>3940</v>
      </c>
      <c r="D24" s="135" t="s">
        <v>3941</v>
      </c>
      <c r="E24" s="139">
        <v>1790</v>
      </c>
      <c r="F24" s="140">
        <f t="shared" si="0"/>
        <v>1897.4</v>
      </c>
      <c r="G24" s="141">
        <v>440</v>
      </c>
      <c r="H24" s="141">
        <v>780</v>
      </c>
      <c r="I24" s="141">
        <v>380</v>
      </c>
      <c r="J24" s="141">
        <f t="shared" si="1"/>
        <v>210.81695166666665</v>
      </c>
      <c r="K24" s="141">
        <f t="shared" si="2"/>
        <v>158.11666666666667</v>
      </c>
      <c r="L24" s="141">
        <f t="shared" si="3"/>
        <v>584.71407353000006</v>
      </c>
      <c r="M24" s="141">
        <f t="shared" si="4"/>
        <v>181.30668946666668</v>
      </c>
      <c r="N24" s="141">
        <f t="shared" si="5"/>
        <v>67.990008549999999</v>
      </c>
      <c r="O24" s="142">
        <f t="shared" si="6"/>
        <v>4700.3443898800006</v>
      </c>
      <c r="P24" s="136">
        <v>1</v>
      </c>
      <c r="Q24" s="143">
        <f t="shared" si="7"/>
        <v>4700.3443898800006</v>
      </c>
    </row>
    <row r="25" spans="1:17" s="144" customFormat="1" x14ac:dyDescent="0.25">
      <c r="A25" s="136">
        <v>35</v>
      </c>
      <c r="B25" s="137">
        <v>40</v>
      </c>
      <c r="C25" s="138" t="s">
        <v>3942</v>
      </c>
      <c r="D25" s="135" t="s">
        <v>3943</v>
      </c>
      <c r="E25" s="139">
        <v>2002.43</v>
      </c>
      <c r="F25" s="140">
        <f t="shared" si="0"/>
        <v>2122.5758000000001</v>
      </c>
      <c r="G25" s="141">
        <v>440</v>
      </c>
      <c r="H25" s="141">
        <v>780</v>
      </c>
      <c r="I25" s="141">
        <v>380</v>
      </c>
      <c r="J25" s="141">
        <f t="shared" si="1"/>
        <v>235.83585951166665</v>
      </c>
      <c r="K25" s="141">
        <f t="shared" si="2"/>
        <v>176.88131666666666</v>
      </c>
      <c r="L25" s="141">
        <f t="shared" si="3"/>
        <v>654.10558785401008</v>
      </c>
      <c r="M25" s="141">
        <f t="shared" si="4"/>
        <v>202.82343809426669</v>
      </c>
      <c r="N25" s="141">
        <f t="shared" si="5"/>
        <v>76.058789285350002</v>
      </c>
      <c r="O25" s="142">
        <f t="shared" si="6"/>
        <v>5068.2807914119603</v>
      </c>
      <c r="P25" s="136">
        <v>8</v>
      </c>
      <c r="Q25" s="143">
        <f t="shared" si="7"/>
        <v>40546.246331295682</v>
      </c>
    </row>
    <row r="26" spans="1:17" s="144" customFormat="1" x14ac:dyDescent="0.25">
      <c r="A26" s="136">
        <v>36</v>
      </c>
      <c r="B26" s="137">
        <v>25</v>
      </c>
      <c r="C26" s="138" t="s">
        <v>3944</v>
      </c>
      <c r="D26" s="135" t="s">
        <v>3945</v>
      </c>
      <c r="E26" s="139">
        <v>1700.88</v>
      </c>
      <c r="F26" s="140">
        <f t="shared" si="0"/>
        <v>1802.9328</v>
      </c>
      <c r="G26" s="141">
        <v>440</v>
      </c>
      <c r="H26" s="141">
        <v>780</v>
      </c>
      <c r="I26" s="141">
        <v>380</v>
      </c>
      <c r="J26" s="141">
        <f t="shared" si="1"/>
        <v>200.32085852</v>
      </c>
      <c r="K26" s="141">
        <f t="shared" si="2"/>
        <v>150.24440000000001</v>
      </c>
      <c r="L26" s="141">
        <f t="shared" si="3"/>
        <v>555.60249909816002</v>
      </c>
      <c r="M26" s="141">
        <f t="shared" si="4"/>
        <v>172.2798446816</v>
      </c>
      <c r="N26" s="141">
        <f t="shared" si="5"/>
        <v>64.604941755599995</v>
      </c>
      <c r="O26" s="142">
        <f t="shared" si="6"/>
        <v>4545.9853440553588</v>
      </c>
      <c r="P26" s="136">
        <v>2</v>
      </c>
      <c r="Q26" s="143">
        <f t="shared" si="7"/>
        <v>9091.9706881107177</v>
      </c>
    </row>
    <row r="27" spans="1:17" s="144" customFormat="1" x14ac:dyDescent="0.25">
      <c r="A27" s="136">
        <v>40</v>
      </c>
      <c r="B27" s="137">
        <v>37</v>
      </c>
      <c r="C27" s="138" t="s">
        <v>3946</v>
      </c>
      <c r="D27" s="135" t="s">
        <v>3947</v>
      </c>
      <c r="E27" s="139">
        <v>2002.43</v>
      </c>
      <c r="F27" s="140">
        <f t="shared" si="0"/>
        <v>2122.5758000000001</v>
      </c>
      <c r="G27" s="141">
        <v>440</v>
      </c>
      <c r="H27" s="141">
        <v>780</v>
      </c>
      <c r="I27" s="141">
        <v>380</v>
      </c>
      <c r="J27" s="141">
        <f t="shared" si="1"/>
        <v>235.83585951166665</v>
      </c>
      <c r="K27" s="141">
        <f t="shared" si="2"/>
        <v>176.88131666666666</v>
      </c>
      <c r="L27" s="141">
        <f t="shared" si="3"/>
        <v>654.10558785401008</v>
      </c>
      <c r="M27" s="141">
        <f t="shared" si="4"/>
        <v>202.82343809426669</v>
      </c>
      <c r="N27" s="141">
        <f t="shared" si="5"/>
        <v>76.058789285350002</v>
      </c>
      <c r="O27" s="142">
        <f t="shared" si="6"/>
        <v>5068.2807914119603</v>
      </c>
      <c r="P27" s="136">
        <v>2</v>
      </c>
      <c r="Q27" s="143">
        <f t="shared" si="7"/>
        <v>10136.561582823921</v>
      </c>
    </row>
    <row r="28" spans="1:17" s="11" customFormat="1" x14ac:dyDescent="0.25">
      <c r="A28" s="146">
        <v>44</v>
      </c>
      <c r="B28" s="147">
        <v>13</v>
      </c>
      <c r="C28" s="148" t="s">
        <v>3948</v>
      </c>
      <c r="D28" s="149" t="s">
        <v>3949</v>
      </c>
      <c r="E28" s="150">
        <v>3402</v>
      </c>
      <c r="F28" s="151">
        <f t="shared" si="0"/>
        <v>3606.12</v>
      </c>
      <c r="G28" s="152">
        <v>440</v>
      </c>
      <c r="H28" s="152">
        <v>780</v>
      </c>
      <c r="I28" s="152">
        <v>380</v>
      </c>
      <c r="J28" s="152">
        <f t="shared" si="1"/>
        <v>400.66998299999995</v>
      </c>
      <c r="K28" s="152">
        <f t="shared" si="2"/>
        <v>300.51</v>
      </c>
      <c r="L28" s="152">
        <f t="shared" si="3"/>
        <v>1111.283395614</v>
      </c>
      <c r="M28" s="152">
        <f t="shared" si="4"/>
        <v>344.58399864</v>
      </c>
      <c r="N28" s="152">
        <f t="shared" si="5"/>
        <v>129.21899948999999</v>
      </c>
      <c r="O28" s="153">
        <f t="shared" si="6"/>
        <v>7492.3863767439998</v>
      </c>
      <c r="P28" s="146">
        <v>2</v>
      </c>
      <c r="Q28" s="154">
        <f t="shared" si="7"/>
        <v>14984.772753488</v>
      </c>
    </row>
    <row r="29" spans="1:17" s="11" customFormat="1" x14ac:dyDescent="0.25">
      <c r="A29" s="146">
        <v>45</v>
      </c>
      <c r="B29" s="147">
        <v>2</v>
      </c>
      <c r="C29" s="148" t="s">
        <v>3950</v>
      </c>
      <c r="D29" s="149" t="s">
        <v>3951</v>
      </c>
      <c r="E29" s="150">
        <v>2750.33</v>
      </c>
      <c r="F29" s="151">
        <f t="shared" si="0"/>
        <v>2915.3498</v>
      </c>
      <c r="G29" s="152">
        <v>440</v>
      </c>
      <c r="H29" s="152">
        <v>780</v>
      </c>
      <c r="I29" s="152">
        <v>380</v>
      </c>
      <c r="J29" s="152">
        <f t="shared" si="1"/>
        <v>323.91965736166668</v>
      </c>
      <c r="K29" s="152">
        <f t="shared" si="2"/>
        <v>242.94581666666667</v>
      </c>
      <c r="L29" s="152">
        <f t="shared" si="3"/>
        <v>898.41154069931008</v>
      </c>
      <c r="M29" s="152">
        <f t="shared" si="4"/>
        <v>278.57722192226669</v>
      </c>
      <c r="N29" s="152">
        <f t="shared" si="5"/>
        <v>104.46645822085</v>
      </c>
      <c r="O29" s="153">
        <f t="shared" si="6"/>
        <v>6363.6704948707584</v>
      </c>
      <c r="P29" s="146">
        <v>1</v>
      </c>
      <c r="Q29" s="154">
        <f t="shared" si="7"/>
        <v>6363.6704948707584</v>
      </c>
    </row>
    <row r="30" spans="1:17" s="11" customFormat="1" x14ac:dyDescent="0.25">
      <c r="A30" s="146">
        <v>46</v>
      </c>
      <c r="B30" s="147">
        <v>38</v>
      </c>
      <c r="C30" s="148" t="s">
        <v>3952</v>
      </c>
      <c r="D30" s="149" t="s">
        <v>3953</v>
      </c>
      <c r="E30" s="150">
        <v>2750.23</v>
      </c>
      <c r="F30" s="151">
        <f t="shared" si="0"/>
        <v>2915.2438000000002</v>
      </c>
      <c r="G30" s="152">
        <v>440</v>
      </c>
      <c r="H30" s="152">
        <v>780</v>
      </c>
      <c r="I30" s="152">
        <v>380</v>
      </c>
      <c r="J30" s="152">
        <f t="shared" si="1"/>
        <v>323.90787987833335</v>
      </c>
      <c r="K30" s="152">
        <f t="shared" si="2"/>
        <v>242.93698333333336</v>
      </c>
      <c r="L30" s="152">
        <f t="shared" si="3"/>
        <v>898.37887510861015</v>
      </c>
      <c r="M30" s="152">
        <f t="shared" si="4"/>
        <v>278.5670930569334</v>
      </c>
      <c r="N30" s="152">
        <f t="shared" si="5"/>
        <v>104.46265989635</v>
      </c>
      <c r="O30" s="153">
        <f t="shared" si="6"/>
        <v>6363.4972912735593</v>
      </c>
      <c r="P30" s="146">
        <v>1</v>
      </c>
      <c r="Q30" s="154">
        <f t="shared" si="7"/>
        <v>6363.4972912735593</v>
      </c>
    </row>
    <row r="31" spans="1:17" s="11" customFormat="1" x14ac:dyDescent="0.25">
      <c r="A31" s="146">
        <v>47</v>
      </c>
      <c r="B31" s="147">
        <v>52</v>
      </c>
      <c r="C31" s="148" t="s">
        <v>3954</v>
      </c>
      <c r="D31" s="149" t="s">
        <v>3955</v>
      </c>
      <c r="E31" s="150">
        <v>2750.33</v>
      </c>
      <c r="F31" s="151">
        <f t="shared" si="0"/>
        <v>2915.3498</v>
      </c>
      <c r="G31" s="152">
        <v>440</v>
      </c>
      <c r="H31" s="152">
        <v>780</v>
      </c>
      <c r="I31" s="152">
        <v>380</v>
      </c>
      <c r="J31" s="152">
        <f t="shared" si="1"/>
        <v>323.91965736166668</v>
      </c>
      <c r="K31" s="152">
        <f t="shared" si="2"/>
        <v>242.94581666666667</v>
      </c>
      <c r="L31" s="152">
        <f t="shared" si="3"/>
        <v>898.41154069931008</v>
      </c>
      <c r="M31" s="152">
        <f t="shared" si="4"/>
        <v>278.57722192226669</v>
      </c>
      <c r="N31" s="152">
        <f t="shared" si="5"/>
        <v>104.46645822085</v>
      </c>
      <c r="O31" s="153">
        <f t="shared" si="6"/>
        <v>6363.6704948707584</v>
      </c>
      <c r="P31" s="146">
        <v>1</v>
      </c>
      <c r="Q31" s="154">
        <f t="shared" si="7"/>
        <v>6363.6704948707584</v>
      </c>
    </row>
    <row r="32" spans="1:17" s="144" customFormat="1" x14ac:dyDescent="0.25">
      <c r="A32" s="136">
        <v>48</v>
      </c>
      <c r="B32" s="137">
        <v>33</v>
      </c>
      <c r="C32" s="138" t="s">
        <v>3956</v>
      </c>
      <c r="D32" s="135" t="s">
        <v>3957</v>
      </c>
      <c r="E32" s="139">
        <v>3100</v>
      </c>
      <c r="F32" s="140">
        <v>4000</v>
      </c>
      <c r="G32" s="141">
        <v>440</v>
      </c>
      <c r="H32" s="141">
        <v>780</v>
      </c>
      <c r="I32" s="141">
        <v>380</v>
      </c>
      <c r="J32" s="141">
        <f t="shared" si="1"/>
        <v>444.43333333333328</v>
      </c>
      <c r="K32" s="141">
        <f t="shared" si="2"/>
        <v>333.33333333333331</v>
      </c>
      <c r="L32" s="141">
        <f t="shared" si="3"/>
        <v>1232.6638</v>
      </c>
      <c r="M32" s="141">
        <f t="shared" si="4"/>
        <v>382.22133333333335</v>
      </c>
      <c r="N32" s="141">
        <f t="shared" si="5"/>
        <v>143.333</v>
      </c>
      <c r="O32" s="142">
        <f t="shared" si="6"/>
        <v>8135.9847999999993</v>
      </c>
      <c r="P32" s="136">
        <v>1</v>
      </c>
      <c r="Q32" s="143">
        <f t="shared" si="7"/>
        <v>8135.9847999999993</v>
      </c>
    </row>
    <row r="33" spans="1:17" s="144" customFormat="1" x14ac:dyDescent="0.25">
      <c r="A33" s="136">
        <v>49</v>
      </c>
      <c r="B33" s="137">
        <v>101</v>
      </c>
      <c r="C33" s="138" t="s">
        <v>3958</v>
      </c>
      <c r="D33" s="135" t="s">
        <v>3959</v>
      </c>
      <c r="E33" s="139">
        <v>7062</v>
      </c>
      <c r="F33" s="140">
        <v>12000</v>
      </c>
      <c r="G33" s="141">
        <v>440</v>
      </c>
      <c r="H33" s="141">
        <v>780</v>
      </c>
      <c r="I33" s="141">
        <v>380</v>
      </c>
      <c r="J33" s="141">
        <f t="shared" si="1"/>
        <v>1333.3</v>
      </c>
      <c r="K33" s="141">
        <f t="shared" si="2"/>
        <v>1000</v>
      </c>
      <c r="L33" s="141">
        <f t="shared" si="3"/>
        <v>3697.9913999999999</v>
      </c>
      <c r="M33" s="141">
        <f t="shared" si="4"/>
        <v>1146.664</v>
      </c>
      <c r="N33" s="141">
        <f t="shared" si="5"/>
        <v>429.99899999999997</v>
      </c>
      <c r="O33" s="142">
        <f t="shared" si="6"/>
        <v>21207.954399999999</v>
      </c>
      <c r="P33" s="136">
        <v>1</v>
      </c>
      <c r="Q33" s="143">
        <f t="shared" si="7"/>
        <v>21207.954399999999</v>
      </c>
    </row>
    <row r="34" spans="1:17" s="144" customFormat="1" x14ac:dyDescent="0.25">
      <c r="A34" s="136"/>
      <c r="B34" s="137"/>
      <c r="C34" s="138"/>
      <c r="D34" s="135" t="s">
        <v>3960</v>
      </c>
      <c r="E34" s="139"/>
      <c r="F34" s="140">
        <v>16000</v>
      </c>
      <c r="G34" s="141">
        <v>440</v>
      </c>
      <c r="H34" s="141">
        <v>780</v>
      </c>
      <c r="I34" s="141">
        <v>380</v>
      </c>
      <c r="J34" s="141">
        <f t="shared" si="1"/>
        <v>1777.7333333333331</v>
      </c>
      <c r="K34" s="141">
        <f t="shared" si="2"/>
        <v>1333.3333333333333</v>
      </c>
      <c r="L34" s="141">
        <f t="shared" si="3"/>
        <v>4930.6552000000001</v>
      </c>
      <c r="M34" s="141">
        <f t="shared" si="4"/>
        <v>1528.8853333333334</v>
      </c>
      <c r="N34" s="141">
        <f t="shared" si="5"/>
        <v>573.33199999999999</v>
      </c>
      <c r="O34" s="142">
        <f t="shared" si="6"/>
        <v>27743.939199999997</v>
      </c>
      <c r="P34" s="136">
        <v>1</v>
      </c>
      <c r="Q34" s="143">
        <f t="shared" si="7"/>
        <v>27743.939199999997</v>
      </c>
    </row>
    <row r="35" spans="1:17" s="144" customFormat="1" x14ac:dyDescent="0.25">
      <c r="A35" s="136">
        <v>50</v>
      </c>
      <c r="B35" s="137">
        <v>97</v>
      </c>
      <c r="C35" s="138" t="s">
        <v>3961</v>
      </c>
      <c r="D35" s="135" t="s">
        <v>3962</v>
      </c>
      <c r="E35" s="139">
        <v>7400</v>
      </c>
      <c r="F35" s="140">
        <v>12000</v>
      </c>
      <c r="G35" s="141">
        <v>440</v>
      </c>
      <c r="H35" s="141">
        <v>780</v>
      </c>
      <c r="I35" s="141">
        <v>380</v>
      </c>
      <c r="J35" s="141">
        <f t="shared" si="1"/>
        <v>1333.3</v>
      </c>
      <c r="K35" s="141">
        <f t="shared" si="2"/>
        <v>1000</v>
      </c>
      <c r="L35" s="141">
        <f t="shared" si="3"/>
        <v>3697.9913999999999</v>
      </c>
      <c r="M35" s="141">
        <f t="shared" si="4"/>
        <v>1146.664</v>
      </c>
      <c r="N35" s="141">
        <f t="shared" si="5"/>
        <v>429.99899999999997</v>
      </c>
      <c r="O35" s="142">
        <f t="shared" si="6"/>
        <v>21207.954399999999</v>
      </c>
      <c r="P35" s="136">
        <v>1</v>
      </c>
      <c r="Q35" s="143">
        <f t="shared" si="7"/>
        <v>21207.954399999999</v>
      </c>
    </row>
    <row r="36" spans="1:17" s="11" customFormat="1" ht="13.5" customHeight="1" x14ac:dyDescent="0.25">
      <c r="A36" s="146">
        <v>51</v>
      </c>
      <c r="B36" s="147">
        <v>47</v>
      </c>
      <c r="C36" s="148" t="s">
        <v>3963</v>
      </c>
      <c r="D36" s="149" t="s">
        <v>3964</v>
      </c>
      <c r="E36" s="150">
        <v>1450</v>
      </c>
      <c r="F36" s="151">
        <f>SUM(E36*0.06)+E36</f>
        <v>1537</v>
      </c>
      <c r="G36" s="152">
        <v>440</v>
      </c>
      <c r="H36" s="152">
        <v>780</v>
      </c>
      <c r="I36" s="152">
        <v>380</v>
      </c>
      <c r="J36" s="152">
        <f t="shared" si="1"/>
        <v>170.77350833333333</v>
      </c>
      <c r="K36" s="152">
        <f t="shared" si="2"/>
        <v>128.08333333333334</v>
      </c>
      <c r="L36" s="152">
        <f t="shared" si="3"/>
        <v>473.65106514999997</v>
      </c>
      <c r="M36" s="152">
        <f t="shared" si="4"/>
        <v>146.86854733333331</v>
      </c>
      <c r="N36" s="152">
        <f t="shared" si="5"/>
        <v>55.075705249999992</v>
      </c>
      <c r="O36" s="153">
        <f t="shared" si="6"/>
        <v>4111.4521593999998</v>
      </c>
      <c r="P36" s="146">
        <v>1</v>
      </c>
      <c r="Q36" s="154">
        <f t="shared" si="7"/>
        <v>4111.4521593999998</v>
      </c>
    </row>
    <row r="37" spans="1:17" s="11" customFormat="1" ht="13.5" customHeight="1" x14ac:dyDescent="0.25">
      <c r="A37" s="146">
        <v>54</v>
      </c>
      <c r="B37" s="147">
        <v>64</v>
      </c>
      <c r="C37" s="148" t="s">
        <v>3965</v>
      </c>
      <c r="D37" s="149" t="s">
        <v>3966</v>
      </c>
      <c r="E37" s="150">
        <v>1701</v>
      </c>
      <c r="F37" s="151">
        <f>SUM(E37*0.06)+E37</f>
        <v>1803.06</v>
      </c>
      <c r="G37" s="152">
        <v>440</v>
      </c>
      <c r="H37" s="152">
        <v>780</v>
      </c>
      <c r="I37" s="152">
        <v>380</v>
      </c>
      <c r="J37" s="152">
        <f t="shared" si="1"/>
        <v>200.33499149999997</v>
      </c>
      <c r="K37" s="152">
        <f t="shared" si="2"/>
        <v>150.255</v>
      </c>
      <c r="L37" s="152">
        <f t="shared" si="3"/>
        <v>555.64169780700001</v>
      </c>
      <c r="M37" s="152">
        <f t="shared" si="4"/>
        <v>172.29199932</v>
      </c>
      <c r="N37" s="152">
        <f t="shared" si="5"/>
        <v>64.609499744999994</v>
      </c>
      <c r="O37" s="153">
        <f t="shared" si="6"/>
        <v>4546.1931883719999</v>
      </c>
      <c r="P37" s="146">
        <v>1</v>
      </c>
      <c r="Q37" s="154">
        <f t="shared" si="7"/>
        <v>4546.1931883719999</v>
      </c>
    </row>
    <row r="38" spans="1:17" s="11" customFormat="1" ht="13.5" customHeight="1" x14ac:dyDescent="0.25">
      <c r="A38" s="146">
        <v>56</v>
      </c>
      <c r="B38" s="147">
        <v>21</v>
      </c>
      <c r="C38" s="148" t="s">
        <v>3967</v>
      </c>
      <c r="D38" s="149" t="s">
        <v>3968</v>
      </c>
      <c r="E38" s="150">
        <v>2675</v>
      </c>
      <c r="F38" s="151">
        <v>3000</v>
      </c>
      <c r="G38" s="152">
        <v>440</v>
      </c>
      <c r="H38" s="152">
        <v>780</v>
      </c>
      <c r="I38" s="152">
        <v>380</v>
      </c>
      <c r="J38" s="152">
        <f t="shared" si="1"/>
        <v>333.32499999999999</v>
      </c>
      <c r="K38" s="152">
        <f t="shared" si="2"/>
        <v>250</v>
      </c>
      <c r="L38" s="152">
        <f t="shared" si="3"/>
        <v>924.49784999999997</v>
      </c>
      <c r="M38" s="152">
        <f t="shared" si="4"/>
        <v>286.666</v>
      </c>
      <c r="N38" s="152">
        <f t="shared" si="5"/>
        <v>107.49974999999999</v>
      </c>
      <c r="O38" s="153">
        <f t="shared" si="6"/>
        <v>6501.9885999999997</v>
      </c>
      <c r="P38" s="146">
        <v>1</v>
      </c>
      <c r="Q38" s="154">
        <f t="shared" si="7"/>
        <v>6501.9885999999997</v>
      </c>
    </row>
    <row r="39" spans="1:17" s="11" customFormat="1" ht="13.5" customHeight="1" x14ac:dyDescent="0.25">
      <c r="A39" s="146"/>
      <c r="B39" s="147"/>
      <c r="C39" s="148"/>
      <c r="D39" s="149" t="s">
        <v>3969</v>
      </c>
      <c r="E39" s="150"/>
      <c r="F39" s="151">
        <v>4000</v>
      </c>
      <c r="G39" s="152">
        <v>440</v>
      </c>
      <c r="H39" s="152">
        <v>780</v>
      </c>
      <c r="I39" s="152">
        <v>380</v>
      </c>
      <c r="J39" s="152">
        <f t="shared" si="1"/>
        <v>444.43333333333328</v>
      </c>
      <c r="K39" s="152">
        <f t="shared" si="2"/>
        <v>333.33333333333331</v>
      </c>
      <c r="L39" s="152">
        <f t="shared" si="3"/>
        <v>1232.6638</v>
      </c>
      <c r="M39" s="152">
        <f t="shared" si="4"/>
        <v>382.22133333333335</v>
      </c>
      <c r="N39" s="152">
        <f t="shared" si="5"/>
        <v>143.333</v>
      </c>
      <c r="O39" s="153">
        <f t="shared" si="6"/>
        <v>8135.9847999999993</v>
      </c>
      <c r="P39" s="146">
        <v>1</v>
      </c>
      <c r="Q39" s="154">
        <f t="shared" si="7"/>
        <v>8135.9847999999993</v>
      </c>
    </row>
    <row r="40" spans="1:17" s="11" customFormat="1" ht="13.5" customHeight="1" x14ac:dyDescent="0.25">
      <c r="A40" s="146">
        <v>59</v>
      </c>
      <c r="B40" s="147">
        <v>5</v>
      </c>
      <c r="C40" s="148" t="s">
        <v>3970</v>
      </c>
      <c r="D40" s="149" t="s">
        <v>3971</v>
      </c>
      <c r="E40" s="150">
        <v>2161.36</v>
      </c>
      <c r="F40" s="151">
        <f>SUM(E40*0.06)+E40</f>
        <v>2291.0416</v>
      </c>
      <c r="G40" s="152">
        <v>440</v>
      </c>
      <c r="H40" s="152">
        <v>780</v>
      </c>
      <c r="I40" s="152">
        <v>380</v>
      </c>
      <c r="J40" s="152">
        <f t="shared" si="1"/>
        <v>254.5538137733333</v>
      </c>
      <c r="K40" s="152">
        <f t="shared" si="2"/>
        <v>190.92013333333333</v>
      </c>
      <c r="L40" s="152">
        <f t="shared" si="3"/>
        <v>706.02101115352002</v>
      </c>
      <c r="M40" s="152">
        <f t="shared" si="4"/>
        <v>218.92124376853334</v>
      </c>
      <c r="N40" s="152">
        <f t="shared" si="5"/>
        <v>82.0954664132</v>
      </c>
      <c r="O40" s="153">
        <f t="shared" si="6"/>
        <v>5343.5532684419195</v>
      </c>
      <c r="P40" s="146">
        <v>1</v>
      </c>
      <c r="Q40" s="154">
        <f t="shared" si="7"/>
        <v>5343.5532684419195</v>
      </c>
    </row>
    <row r="41" spans="1:17" s="11" customFormat="1" ht="13.5" customHeight="1" x14ac:dyDescent="0.25">
      <c r="A41" s="146">
        <v>60</v>
      </c>
      <c r="B41" s="147">
        <v>3</v>
      </c>
      <c r="C41" s="148" t="s">
        <v>3972</v>
      </c>
      <c r="D41" s="149" t="s">
        <v>3973</v>
      </c>
      <c r="E41" s="150">
        <v>2500.31</v>
      </c>
      <c r="F41" s="151">
        <v>2800</v>
      </c>
      <c r="G41" s="152">
        <v>440</v>
      </c>
      <c r="H41" s="152">
        <v>780</v>
      </c>
      <c r="I41" s="152">
        <v>380</v>
      </c>
      <c r="J41" s="152">
        <f t="shared" si="1"/>
        <v>311.10333333333335</v>
      </c>
      <c r="K41" s="152">
        <f t="shared" si="2"/>
        <v>233.33333333333334</v>
      </c>
      <c r="L41" s="152">
        <f t="shared" si="3"/>
        <v>862.86466000000007</v>
      </c>
      <c r="M41" s="152">
        <f t="shared" si="4"/>
        <v>267.55493333333334</v>
      </c>
      <c r="N41" s="152">
        <f t="shared" si="5"/>
        <v>100.3331</v>
      </c>
      <c r="O41" s="153">
        <f t="shared" si="6"/>
        <v>6175.1893600000003</v>
      </c>
      <c r="P41" s="146">
        <v>15</v>
      </c>
      <c r="Q41" s="154">
        <f t="shared" si="7"/>
        <v>92627.840400000001</v>
      </c>
    </row>
    <row r="42" spans="1:17" s="11" customFormat="1" ht="13.5" customHeight="1" x14ac:dyDescent="0.25">
      <c r="A42" s="146">
        <v>61</v>
      </c>
      <c r="B42" s="147">
        <v>30</v>
      </c>
      <c r="C42" s="148" t="s">
        <v>3974</v>
      </c>
      <c r="D42" s="149" t="s">
        <v>3975</v>
      </c>
      <c r="E42" s="150">
        <v>2043.65</v>
      </c>
      <c r="F42" s="151">
        <f t="shared" ref="F42:F47" si="8">SUM(E42*0.06)+E42</f>
        <v>2166.2690000000002</v>
      </c>
      <c r="G42" s="152">
        <v>440</v>
      </c>
      <c r="H42" s="152">
        <v>780</v>
      </c>
      <c r="I42" s="152">
        <v>380</v>
      </c>
      <c r="J42" s="152">
        <f t="shared" si="1"/>
        <v>240.69053814166668</v>
      </c>
      <c r="K42" s="152">
        <f t="shared" si="2"/>
        <v>180.52241666666669</v>
      </c>
      <c r="L42" s="152">
        <f t="shared" si="3"/>
        <v>667.57034434055015</v>
      </c>
      <c r="M42" s="152">
        <f t="shared" si="4"/>
        <v>206.9985563846667</v>
      </c>
      <c r="N42" s="152">
        <f t="shared" si="5"/>
        <v>77.624458644250012</v>
      </c>
      <c r="O42" s="153">
        <f t="shared" si="6"/>
        <v>5139.6753141778008</v>
      </c>
      <c r="P42" s="146">
        <v>1</v>
      </c>
      <c r="Q42" s="154">
        <f t="shared" si="7"/>
        <v>5139.6753141778008</v>
      </c>
    </row>
    <row r="43" spans="1:17" s="11" customFormat="1" ht="13.5" customHeight="1" x14ac:dyDescent="0.25">
      <c r="A43" s="146">
        <v>62</v>
      </c>
      <c r="B43" s="147">
        <v>1</v>
      </c>
      <c r="C43" s="148" t="s">
        <v>3976</v>
      </c>
      <c r="D43" s="149" t="s">
        <v>3977</v>
      </c>
      <c r="E43" s="150">
        <v>1577.67</v>
      </c>
      <c r="F43" s="151">
        <f t="shared" si="8"/>
        <v>1672.3302000000001</v>
      </c>
      <c r="G43" s="152">
        <v>440</v>
      </c>
      <c r="H43" s="152">
        <v>780</v>
      </c>
      <c r="I43" s="152">
        <v>380</v>
      </c>
      <c r="J43" s="152">
        <f t="shared" si="1"/>
        <v>185.80982130499999</v>
      </c>
      <c r="K43" s="152">
        <f t="shared" si="2"/>
        <v>139.36085</v>
      </c>
      <c r="L43" s="152">
        <f t="shared" si="3"/>
        <v>515.35522479669009</v>
      </c>
      <c r="M43" s="152">
        <f t="shared" si="4"/>
        <v>159.80006970440002</v>
      </c>
      <c r="N43" s="152">
        <f t="shared" si="5"/>
        <v>59.925026139149999</v>
      </c>
      <c r="O43" s="153">
        <f t="shared" si="6"/>
        <v>4332.5811919452399</v>
      </c>
      <c r="P43" s="146">
        <v>1</v>
      </c>
      <c r="Q43" s="154">
        <f t="shared" si="7"/>
        <v>4332.5811919452399</v>
      </c>
    </row>
    <row r="44" spans="1:17" s="11" customFormat="1" ht="13.5" customHeight="1" x14ac:dyDescent="0.25">
      <c r="A44" s="146">
        <v>64</v>
      </c>
      <c r="B44" s="147">
        <v>56</v>
      </c>
      <c r="C44" s="148" t="s">
        <v>3978</v>
      </c>
      <c r="D44" s="149" t="s">
        <v>3979</v>
      </c>
      <c r="E44" s="150">
        <v>2185</v>
      </c>
      <c r="F44" s="151">
        <f t="shared" si="8"/>
        <v>2316.1</v>
      </c>
      <c r="G44" s="152">
        <v>440</v>
      </c>
      <c r="H44" s="152">
        <v>780</v>
      </c>
      <c r="I44" s="152">
        <v>380</v>
      </c>
      <c r="J44" s="152">
        <f t="shared" si="1"/>
        <v>257.33801083333333</v>
      </c>
      <c r="K44" s="152">
        <f t="shared" si="2"/>
        <v>193.00833333333333</v>
      </c>
      <c r="L44" s="152">
        <f t="shared" si="3"/>
        <v>713.743156795</v>
      </c>
      <c r="M44" s="152">
        <f t="shared" si="4"/>
        <v>221.31570753333335</v>
      </c>
      <c r="N44" s="152">
        <f t="shared" si="5"/>
        <v>82.993390324999993</v>
      </c>
      <c r="O44" s="153">
        <f t="shared" si="6"/>
        <v>5384.4985988200006</v>
      </c>
      <c r="P44" s="146">
        <v>1</v>
      </c>
      <c r="Q44" s="154">
        <f t="shared" si="7"/>
        <v>5384.4985988200006</v>
      </c>
    </row>
    <row r="45" spans="1:17" s="11" customFormat="1" ht="13.5" customHeight="1" x14ac:dyDescent="0.25">
      <c r="A45" s="146">
        <v>65</v>
      </c>
      <c r="B45" s="147">
        <v>103</v>
      </c>
      <c r="C45" s="148" t="s">
        <v>3980</v>
      </c>
      <c r="D45" s="149" t="s">
        <v>3981</v>
      </c>
      <c r="E45" s="150">
        <v>3034</v>
      </c>
      <c r="F45" s="151">
        <f t="shared" si="8"/>
        <v>3216.04</v>
      </c>
      <c r="G45" s="152">
        <v>440</v>
      </c>
      <c r="H45" s="152">
        <v>780</v>
      </c>
      <c r="I45" s="152">
        <v>380</v>
      </c>
      <c r="J45" s="152">
        <f t="shared" si="1"/>
        <v>357.32884433333334</v>
      </c>
      <c r="K45" s="152">
        <f t="shared" si="2"/>
        <v>268.00333333333333</v>
      </c>
      <c r="L45" s="152">
        <f t="shared" si="3"/>
        <v>991.07402183799991</v>
      </c>
      <c r="M45" s="152">
        <f t="shared" si="4"/>
        <v>307.3097742133333</v>
      </c>
      <c r="N45" s="152">
        <f t="shared" si="5"/>
        <v>115.24116532999999</v>
      </c>
      <c r="O45" s="153">
        <f t="shared" si="6"/>
        <v>6854.9971390479986</v>
      </c>
      <c r="P45" s="146">
        <v>1</v>
      </c>
      <c r="Q45" s="154">
        <f t="shared" si="7"/>
        <v>6854.9971390479986</v>
      </c>
    </row>
    <row r="46" spans="1:17" s="144" customFormat="1" x14ac:dyDescent="0.25">
      <c r="A46" s="136">
        <v>70</v>
      </c>
      <c r="B46" s="137">
        <v>70</v>
      </c>
      <c r="C46" s="138" t="s">
        <v>3982</v>
      </c>
      <c r="D46" s="135" t="s">
        <v>3983</v>
      </c>
      <c r="E46" s="139">
        <v>2500</v>
      </c>
      <c r="F46" s="140">
        <f t="shared" si="8"/>
        <v>2650</v>
      </c>
      <c r="G46" s="141">
        <v>440</v>
      </c>
      <c r="H46" s="141">
        <v>780</v>
      </c>
      <c r="I46" s="141">
        <v>380</v>
      </c>
      <c r="J46" s="141">
        <f t="shared" si="1"/>
        <v>294.43708333333331</v>
      </c>
      <c r="K46" s="141">
        <f t="shared" si="2"/>
        <v>220.83333333333334</v>
      </c>
      <c r="L46" s="141">
        <f t="shared" si="3"/>
        <v>816.63976750000006</v>
      </c>
      <c r="M46" s="141">
        <f t="shared" si="4"/>
        <v>253.22163333333336</v>
      </c>
      <c r="N46" s="141">
        <f t="shared" si="5"/>
        <v>94.958112499999999</v>
      </c>
      <c r="O46" s="142">
        <f t="shared" si="6"/>
        <v>5930.0899300000001</v>
      </c>
      <c r="P46" s="136">
        <v>1</v>
      </c>
      <c r="Q46" s="143">
        <f t="shared" si="7"/>
        <v>5930.0899300000001</v>
      </c>
    </row>
    <row r="47" spans="1:17" s="11" customFormat="1" ht="15.75" thickBot="1" x14ac:dyDescent="0.3">
      <c r="A47" s="146">
        <v>71</v>
      </c>
      <c r="B47" s="147">
        <v>60</v>
      </c>
      <c r="C47" s="148" t="s">
        <v>3984</v>
      </c>
      <c r="D47" s="157" t="s">
        <v>3985</v>
      </c>
      <c r="E47" s="158">
        <v>2002.43</v>
      </c>
      <c r="F47" s="159">
        <f t="shared" si="8"/>
        <v>2122.5758000000001</v>
      </c>
      <c r="G47" s="160">
        <v>440</v>
      </c>
      <c r="H47" s="160">
        <v>780</v>
      </c>
      <c r="I47" s="160">
        <v>380</v>
      </c>
      <c r="J47" s="160">
        <f t="shared" si="1"/>
        <v>235.83585951166665</v>
      </c>
      <c r="K47" s="160">
        <f t="shared" si="2"/>
        <v>176.88131666666666</v>
      </c>
      <c r="L47" s="160">
        <f t="shared" si="3"/>
        <v>654.10558785401008</v>
      </c>
      <c r="M47" s="160">
        <f t="shared" si="4"/>
        <v>202.82343809426669</v>
      </c>
      <c r="N47" s="160">
        <f t="shared" si="5"/>
        <v>76.058789285350002</v>
      </c>
      <c r="O47" s="161">
        <f t="shared" si="6"/>
        <v>5068.2807914119603</v>
      </c>
      <c r="P47" s="162">
        <v>2</v>
      </c>
      <c r="Q47" s="154">
        <f t="shared" si="7"/>
        <v>10136.561582823921</v>
      </c>
    </row>
    <row r="48" spans="1:17" x14ac:dyDescent="0.25">
      <c r="D48" s="10" t="s">
        <v>3986</v>
      </c>
      <c r="N48" s="133"/>
      <c r="O48" s="134"/>
      <c r="P48" s="7">
        <f>SUM(P5:P47)</f>
        <v>112</v>
      </c>
      <c r="Q48" s="134">
        <f>SUM(Q5:Q47)</f>
        <v>644144.09479974839</v>
      </c>
    </row>
    <row r="49" spans="17:18" x14ac:dyDescent="0.25">
      <c r="Q49" s="134">
        <f>12*Q48</f>
        <v>7729729.1375969807</v>
      </c>
    </row>
    <row r="51" spans="17:18" x14ac:dyDescent="0.25">
      <c r="Q51" s="144" t="s">
        <v>3989</v>
      </c>
      <c r="R51" s="145">
        <f>SUM(Q9:Q22,Q24:Q27,Q32:Q35,Q46)</f>
        <v>322683.13589690166</v>
      </c>
    </row>
    <row r="52" spans="17:18" x14ac:dyDescent="0.25">
      <c r="Q52" s="11" t="s">
        <v>3867</v>
      </c>
      <c r="R52" s="163">
        <f>SUM(Q5:Q8,Q23,Q28:Q31,Q36:Q45,Q47)</f>
        <v>321460.95890284708</v>
      </c>
    </row>
    <row r="53" spans="17:18" x14ac:dyDescent="0.25">
      <c r="Q53" s="164" t="s">
        <v>3262</v>
      </c>
      <c r="R53" s="165">
        <f>SUM(R51:R52)</f>
        <v>644144.09479974874</v>
      </c>
    </row>
  </sheetData>
  <mergeCells count="1">
    <mergeCell ref="B1:Q3"/>
  </mergeCells>
  <pageMargins left="0.511811024" right="0.511811024" top="0.78740157499999996" bottom="0.78740157499999996" header="0.31496062000000002" footer="0.31496062000000002"/>
  <drawing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238D8-558A-4C08-881A-64E0AF8E6CD1}">
  <sheetPr codeName="Planilha17"/>
  <dimension ref="A1"/>
  <sheetViews>
    <sheetView topLeftCell="A7" workbookViewId="0">
      <selection activeCell="A21" sqref="A21"/>
    </sheetView>
  </sheetViews>
  <sheetFormatPr defaultRowHeight="15" x14ac:dyDescent="0.25"/>
  <sheetData/>
  <pageMargins left="0.511811024" right="0.511811024" top="0.78740157499999996" bottom="0.78740157499999996" header="0.31496062000000002" footer="0.31496062000000002"/>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EFF00-E26A-4AF4-B21F-E35E24006177}">
  <sheetPr codeName="Planilha18"/>
  <dimension ref="B2:AM27"/>
  <sheetViews>
    <sheetView topLeftCell="A13" workbookViewId="0">
      <selection activeCell="E27" sqref="E27"/>
    </sheetView>
  </sheetViews>
  <sheetFormatPr defaultRowHeight="15" x14ac:dyDescent="0.25"/>
  <cols>
    <col min="1" max="1" width="3.42578125" customWidth="1"/>
    <col min="2" max="2" width="24.7109375" bestFit="1" customWidth="1"/>
    <col min="4" max="4" width="5" customWidth="1"/>
    <col min="5" max="18" width="13.28515625" bestFit="1" customWidth="1"/>
    <col min="19" max="39" width="14.28515625" bestFit="1" customWidth="1"/>
  </cols>
  <sheetData>
    <row r="2" spans="2:39" x14ac:dyDescent="0.25">
      <c r="B2" s="1" t="s">
        <v>4048</v>
      </c>
    </row>
    <row r="3" spans="2:39" x14ac:dyDescent="0.25">
      <c r="B3" s="1" t="s">
        <v>4049</v>
      </c>
    </row>
    <row r="4" spans="2:39" x14ac:dyDescent="0.25">
      <c r="B4" s="1" t="s">
        <v>4050</v>
      </c>
      <c r="C4" s="1">
        <v>365</v>
      </c>
      <c r="D4" s="1" t="s">
        <v>4051</v>
      </c>
    </row>
    <row r="5" spans="2:39" x14ac:dyDescent="0.25">
      <c r="B5" s="172" t="s">
        <v>4052</v>
      </c>
      <c r="C5" s="206"/>
      <c r="D5" s="206"/>
      <c r="E5" s="100">
        <v>2026</v>
      </c>
      <c r="F5" s="100">
        <v>2027</v>
      </c>
      <c r="G5" s="100">
        <v>2028</v>
      </c>
      <c r="H5" s="100">
        <v>2029</v>
      </c>
      <c r="I5" s="100">
        <v>2030</v>
      </c>
      <c r="J5" s="100">
        <v>2031</v>
      </c>
      <c r="K5" s="100">
        <v>2032</v>
      </c>
      <c r="L5" s="100">
        <v>2033</v>
      </c>
      <c r="M5" s="100">
        <v>2034</v>
      </c>
      <c r="N5" s="100">
        <v>2035</v>
      </c>
      <c r="O5" s="100">
        <v>2036</v>
      </c>
      <c r="P5" s="100">
        <v>2037</v>
      </c>
      <c r="Q5" s="100">
        <v>2038</v>
      </c>
      <c r="R5" s="100">
        <v>2039</v>
      </c>
      <c r="S5" s="100">
        <v>2040</v>
      </c>
      <c r="T5" s="100">
        <v>2041</v>
      </c>
      <c r="U5" s="100">
        <v>2042</v>
      </c>
      <c r="V5" s="100">
        <v>2043</v>
      </c>
      <c r="W5" s="100">
        <v>2044</v>
      </c>
      <c r="X5" s="100">
        <v>2045</v>
      </c>
      <c r="Y5" s="100">
        <v>2046</v>
      </c>
      <c r="Z5" s="100">
        <v>2047</v>
      </c>
      <c r="AA5" s="100">
        <v>2048</v>
      </c>
      <c r="AB5" s="100">
        <v>2049</v>
      </c>
      <c r="AC5" s="100">
        <v>2050</v>
      </c>
      <c r="AD5" s="100">
        <v>2051</v>
      </c>
      <c r="AE5" s="100">
        <v>2052</v>
      </c>
      <c r="AF5" s="100">
        <v>2053</v>
      </c>
      <c r="AG5" s="100">
        <v>2054</v>
      </c>
      <c r="AH5" s="100">
        <v>2055</v>
      </c>
      <c r="AI5" s="100">
        <v>2056</v>
      </c>
      <c r="AJ5" s="100">
        <v>2057</v>
      </c>
      <c r="AK5" s="100">
        <v>2058</v>
      </c>
      <c r="AL5" s="100">
        <v>2059</v>
      </c>
      <c r="AM5" s="100">
        <v>2060</v>
      </c>
    </row>
    <row r="6" spans="2:39" x14ac:dyDescent="0.25">
      <c r="B6" s="172" t="s">
        <v>4053</v>
      </c>
      <c r="C6" s="206"/>
      <c r="D6" s="206"/>
      <c r="E6" s="100" t="s">
        <v>3701</v>
      </c>
      <c r="F6" s="100" t="s">
        <v>3702</v>
      </c>
      <c r="G6" s="100" t="s">
        <v>3703</v>
      </c>
      <c r="H6" s="100" t="s">
        <v>3704</v>
      </c>
      <c r="I6" s="100" t="s">
        <v>3705</v>
      </c>
      <c r="J6" s="100" t="s">
        <v>3706</v>
      </c>
      <c r="K6" s="100" t="s">
        <v>3707</v>
      </c>
      <c r="L6" s="100" t="s">
        <v>3708</v>
      </c>
      <c r="M6" s="100" t="s">
        <v>3709</v>
      </c>
      <c r="N6" s="100" t="s">
        <v>3710</v>
      </c>
      <c r="O6" s="100" t="s">
        <v>3711</v>
      </c>
      <c r="P6" s="100" t="s">
        <v>3712</v>
      </c>
      <c r="Q6" s="100" t="s">
        <v>3713</v>
      </c>
      <c r="R6" s="100" t="s">
        <v>3714</v>
      </c>
      <c r="S6" s="100" t="s">
        <v>3715</v>
      </c>
      <c r="T6" s="100" t="s">
        <v>3716</v>
      </c>
      <c r="U6" s="100" t="s">
        <v>3717</v>
      </c>
      <c r="V6" s="100" t="s">
        <v>3718</v>
      </c>
      <c r="W6" s="100" t="s">
        <v>3719</v>
      </c>
      <c r="X6" s="100" t="s">
        <v>3720</v>
      </c>
      <c r="Y6" s="100" t="s">
        <v>3721</v>
      </c>
      <c r="Z6" s="100" t="s">
        <v>3722</v>
      </c>
      <c r="AA6" s="100" t="s">
        <v>3723</v>
      </c>
      <c r="AB6" s="100" t="s">
        <v>3724</v>
      </c>
      <c r="AC6" s="100" t="s">
        <v>3725</v>
      </c>
      <c r="AD6" s="100" t="s">
        <v>3726</v>
      </c>
      <c r="AE6" s="100" t="s">
        <v>3727</v>
      </c>
      <c r="AF6" s="100" t="s">
        <v>3728</v>
      </c>
      <c r="AG6" s="100" t="s">
        <v>3729</v>
      </c>
      <c r="AH6" s="100" t="s">
        <v>3730</v>
      </c>
      <c r="AI6" s="100" t="s">
        <v>3731</v>
      </c>
      <c r="AJ6" s="100" t="s">
        <v>3732</v>
      </c>
      <c r="AK6" s="100" t="s">
        <v>3733</v>
      </c>
      <c r="AL6" s="100" t="s">
        <v>3734</v>
      </c>
      <c r="AM6" s="100" t="s">
        <v>3735</v>
      </c>
    </row>
    <row r="7" spans="2:39" x14ac:dyDescent="0.25">
      <c r="B7" s="1" t="s">
        <v>4054</v>
      </c>
      <c r="C7">
        <v>30</v>
      </c>
      <c r="D7" t="s">
        <v>4051</v>
      </c>
      <c r="E7" s="19">
        <f>($C$7/$C$4)*DRE_FC!D4</f>
        <v>1832211.9787397259</v>
      </c>
      <c r="F7" s="19">
        <f>($C$7/$C$4)*DRE_FC!E4</f>
        <v>1832211.9787397259</v>
      </c>
      <c r="G7" s="19">
        <f>($C$7/$C$4)*DRE_FC!F4</f>
        <v>1832211.9787397259</v>
      </c>
      <c r="H7" s="19">
        <f>($C$7/$C$4)*DRE_FC!G4</f>
        <v>1832211.9787397259</v>
      </c>
      <c r="I7" s="19">
        <f>($C$7/$C$4)*DRE_FC!H4</f>
        <v>2353360.3388892184</v>
      </c>
      <c r="J7" s="19">
        <f>($C$7/$C$4)*DRE_FC!I4</f>
        <v>2941367.9678511117</v>
      </c>
      <c r="K7" s="19">
        <f>($C$7/$C$4)*DRE_FC!J4</f>
        <v>3603825.9504884868</v>
      </c>
      <c r="L7" s="19">
        <f>($C$7/$C$4)*DRE_FC!K4</f>
        <v>4348469.707805478</v>
      </c>
      <c r="M7" s="19">
        <f>($C$7/$C$4)*DRE_FC!L4</f>
        <v>5183980.4150906894</v>
      </c>
      <c r="N7" s="19">
        <f>($C$7/$C$4)*DRE_FC!M4</f>
        <v>6119919.724232018</v>
      </c>
      <c r="O7" s="19">
        <f>($C$7/$C$4)*DRE_FC!N4</f>
        <v>7166818.2477393756</v>
      </c>
      <c r="P7" s="19">
        <f>($C$7/$C$4)*DRE_FC!O4</f>
        <v>8336272.9489747537</v>
      </c>
      <c r="Q7" s="19">
        <f>($C$7/$C$4)*DRE_FC!P4</f>
        <v>9641054.3399696518</v>
      </c>
      <c r="R7" s="19">
        <f>($C$7/$C$4)*DRE_FC!Q4</f>
        <v>11095224.48005881</v>
      </c>
      <c r="S7" s="19">
        <f>($C$7/$C$4)*DRE_FC!R4</f>
        <v>12714266.869833292</v>
      </c>
      <c r="T7" s="19">
        <f>($C$7/$C$4)*DRE_FC!S4</f>
        <v>14515752.03649536</v>
      </c>
      <c r="U7" s="19">
        <f>($C$7/$C$4)*DRE_FC!T4</f>
        <v>16517473.999999058</v>
      </c>
      <c r="V7" s="19">
        <f>($C$7/$C$4)*DRE_FC!U4</f>
        <v>18740556.313974634</v>
      </c>
      <c r="W7" s="19">
        <f>($C$7/$C$4)*DRE_FC!V4</f>
        <v>19790347.426654633</v>
      </c>
      <c r="X7" s="19">
        <f>($C$7/$C$4)*DRE_FC!W4</f>
        <v>20525564.545109451</v>
      </c>
      <c r="Y7" s="19">
        <f>($C$7/$C$4)*DRE_FC!X4</f>
        <v>21296210.605556779</v>
      </c>
      <c r="Z7" s="19">
        <f>($C$7/$C$4)*DRE_FC!Y4</f>
        <v>22099482.302746709</v>
      </c>
      <c r="AA7" s="19">
        <f>($C$7/$C$4)*DRE_FC!Z4</f>
        <v>22939224.783243142</v>
      </c>
      <c r="AB7" s="19">
        <f>($C$7/$C$4)*DRE_FC!AA4</f>
        <v>23817188.957776781</v>
      </c>
      <c r="AC7" s="19">
        <f>($C$7/$C$4)*DRE_FC!AB4</f>
        <v>24735212.805898506</v>
      </c>
      <c r="AD7" s="19">
        <f>($C$7/$C$4)*DRE_FC!AC4</f>
        <v>25674870.028234288</v>
      </c>
      <c r="AE7" s="19">
        <f>($C$7/$C$4)*DRE_FC!AD4</f>
        <v>26678532.539254189</v>
      </c>
      <c r="AF7" s="19">
        <f>($C$7/$C$4)*DRE_FC!AE4</f>
        <v>27728330.149099872</v>
      </c>
      <c r="AG7" s="19">
        <f>($C$7/$C$4)*DRE_FC!AF4</f>
        <v>28826495.837222289</v>
      </c>
      <c r="AH7" s="19">
        <f>($C$7/$C$4)*DRE_FC!AG4</f>
        <v>29975374.3275479</v>
      </c>
      <c r="AI7" s="19">
        <f>($C$7/$C$4)*DRE_FC!AH4</f>
        <v>31126456.261894453</v>
      </c>
      <c r="AJ7" s="19">
        <f>($C$7/$C$4)*DRE_FC!AI4</f>
        <v>32383355.621188436</v>
      </c>
      <c r="AK7" s="19">
        <f>($C$7/$C$4)*DRE_FC!AJ4</f>
        <v>33698714.893521808</v>
      </c>
      <c r="AL7" s="19">
        <f>($C$7/$C$4)*DRE_FC!AK4</f>
        <v>35075385.949633025</v>
      </c>
      <c r="AM7" s="19">
        <f>($C$7/$C$4)*DRE_FC!AL4</f>
        <v>36516364.261464909</v>
      </c>
    </row>
    <row r="9" spans="2:39" x14ac:dyDescent="0.25">
      <c r="B9" s="1" t="s">
        <v>4055</v>
      </c>
    </row>
    <row r="10" spans="2:39" x14ac:dyDescent="0.25">
      <c r="B10" s="1" t="s">
        <v>4056</v>
      </c>
      <c r="C10">
        <v>30</v>
      </c>
      <c r="D10" t="s">
        <v>4051</v>
      </c>
      <c r="E10" s="19">
        <f>($C$10/$C$4)*DRE_FC!D11</f>
        <v>-840910.27413688158</v>
      </c>
      <c r="F10" s="19">
        <f>($C$10/$C$4)*DRE_FC!E11</f>
        <v>-840910.27413688158</v>
      </c>
      <c r="G10" s="19">
        <f>($C$10/$C$4)*DRE_FC!F11</f>
        <v>-846275.66728756647</v>
      </c>
      <c r="H10" s="19">
        <f>($C$10/$C$4)*(-DRE_FC!G11)</f>
        <v>843418.37358893629</v>
      </c>
      <c r="I10" s="19">
        <f>($C$10/$C$4)*(-DRE_FC!H11)</f>
        <v>1725172.0827670968</v>
      </c>
      <c r="J10" s="19">
        <f>($C$10/$C$4)*(-DRE_FC!I11)</f>
        <v>2378193.812936774</v>
      </c>
      <c r="K10" s="19">
        <f>($C$10/$C$4)*(-DRE_FC!J11)</f>
        <v>3119795.9056068147</v>
      </c>
      <c r="L10" s="19">
        <f>($C$10/$C$4)*(-DRE_FC!K11)</f>
        <v>3708958.5138290771</v>
      </c>
      <c r="M10" s="19">
        <f>($C$10/$C$4)*(-DRE_FC!L11)</f>
        <v>4579822.7882077703</v>
      </c>
      <c r="N10" s="19">
        <f>($C$10/$C$4)*(-DRE_FC!M11)</f>
        <v>5570105.922555767</v>
      </c>
      <c r="O10" s="19">
        <f>($C$10/$C$4)*(-DRE_FC!N11)</f>
        <v>6132186.9577133851</v>
      </c>
      <c r="P10" s="19">
        <f>($C$10/$C$4)*(-DRE_FC!O11)</f>
        <v>7272485.4703520276</v>
      </c>
      <c r="Q10" s="19">
        <f>($C$10/$C$4)*(-DRE_FC!P11)</f>
        <v>8556188.0134338364</v>
      </c>
      <c r="R10" s="19">
        <f>($C$10/$C$4)*(-DRE_FC!Q11)</f>
        <v>9518512.7265791073</v>
      </c>
      <c r="S10" s="19">
        <f>($C$10/$C$4)*(-DRE_FC!R11)</f>
        <v>11060947.189598314</v>
      </c>
      <c r="T10" s="19">
        <f>($C$10/$C$4)*(-DRE_FC!S11)</f>
        <v>12800310.065354856</v>
      </c>
      <c r="U10" s="19">
        <f>($C$10/$C$4)*(-DRE_FC!T11)</f>
        <v>13970461.903403401</v>
      </c>
      <c r="V10" s="19">
        <f>($C$10/$C$4)*(-DRE_FC!U11)</f>
        <v>16046752.126317091</v>
      </c>
      <c r="W10" s="19">
        <f>($C$10/$C$4)*(-DRE_FC!V11)</f>
        <v>17027120.677738745</v>
      </c>
      <c r="X10" s="19">
        <f>($C$10/$C$4)*(-DRE_FC!W11)</f>
        <v>16707114.031572945</v>
      </c>
      <c r="Y10" s="19">
        <f>($C$10/$C$4)*(-DRE_FC!X11)</f>
        <v>17376428.255307179</v>
      </c>
      <c r="Z10" s="19">
        <f>($C$10/$C$4)*(-DRE_FC!Y11)</f>
        <v>18078845.834631436</v>
      </c>
      <c r="AA10" s="19">
        <f>($C$10/$C$4)*(-DRE_FC!Z11)</f>
        <v>17664535.634083487</v>
      </c>
      <c r="AB10" s="19">
        <f>($C$10/$C$4)*(-DRE_FC!AA11)</f>
        <v>18380891.016411472</v>
      </c>
      <c r="AC10" s="19">
        <f>($C$10/$C$4)*(-DRE_FC!AB11)</f>
        <v>19126357.579170708</v>
      </c>
      <c r="AD10" s="19">
        <f>($C$10/$C$4)*(-DRE_FC!AC11)</f>
        <v>18603967.829390302</v>
      </c>
      <c r="AE10" s="19">
        <f>($C$10/$C$4)*(-DRE_FC!AD11)</f>
        <v>19360885.860114418</v>
      </c>
      <c r="AF10" s="19">
        <f>($C$10/$C$4)*(-DRE_FC!AE11)</f>
        <v>20155224.511316642</v>
      </c>
      <c r="AG10" s="19">
        <f>($C$10/$C$4)*(-DRE_FC!AF11)</f>
        <v>19499005.396812998</v>
      </c>
      <c r="AH10" s="19">
        <f>($C$10/$C$4)*(-DRE_FC!AG11)</f>
        <v>20301433.523196787</v>
      </c>
      <c r="AI10" s="19">
        <f>($C$10/$C$4)*(-DRE_FC!AH11)</f>
        <v>21133916.272553314</v>
      </c>
      <c r="AJ10" s="19">
        <f>($C$10/$C$4)*(-DRE_FC!AI11)</f>
        <v>22010738.177095138</v>
      </c>
      <c r="AK10" s="19">
        <f>($C$10/$C$4)*(-DRE_FC!AJ11)</f>
        <v>22924269.934229732</v>
      </c>
      <c r="AL10" s="19">
        <f>($C$10/$C$4)*(-DRE_FC!AK11)</f>
        <v>23882561.242452785</v>
      </c>
      <c r="AM10" s="19">
        <f>($C$10/$C$4)*(-DRE_FC!AL11)</f>
        <v>24881320.292050131</v>
      </c>
    </row>
    <row r="11" spans="2:39" x14ac:dyDescent="0.25">
      <c r="B11" s="1" t="s">
        <v>4057</v>
      </c>
      <c r="C11">
        <v>30</v>
      </c>
      <c r="D11" t="s">
        <v>4051</v>
      </c>
      <c r="E11" s="19">
        <f>($C$11/$C$4)*(-DRE_FC!D5)</f>
        <v>183306.00661274939</v>
      </c>
      <c r="F11" s="19">
        <f>($C$11/$C$4)*(-DRE_FC!E5)</f>
        <v>183306.00661274939</v>
      </c>
      <c r="G11" s="19">
        <f>($C$11/$C$4)*(-DRE_FC!F5)</f>
        <v>182809.70774631103</v>
      </c>
      <c r="H11" s="19">
        <f>($C$11/$C$4)*(-DRE_FC!G5)</f>
        <v>183074.00741343436</v>
      </c>
      <c r="I11" s="19">
        <f>($C$11/$C$4)*(-DRE_FC!H5)</f>
        <v>175775.43063575716</v>
      </c>
      <c r="J11" s="19">
        <f>($C$11/$C$4)*(-DRE_FC!I5)</f>
        <v>199162.00772213185</v>
      </c>
      <c r="K11" s="19">
        <f>($C$11/$C$4)*(-DRE_FC!J5)</f>
        <v>224964.07667597901</v>
      </c>
      <c r="L11" s="19">
        <f>($C$11/$C$4)*(-DRE_FC!K5)</f>
        <v>276578.27083309094</v>
      </c>
      <c r="M11" s="19">
        <f>($C$11/$C$4)*(-DRE_FC!L5)</f>
        <v>315083.60124120454</v>
      </c>
      <c r="N11" s="19">
        <f>($C$11/$C$4)*(-DRE_FC!M5)</f>
        <v>356853.76286665414</v>
      </c>
      <c r="O11" s="19">
        <f>($C$11/$C$4)*(-DRE_FC!N5)</f>
        <v>454044.30671437294</v>
      </c>
      <c r="P11" s="19">
        <f>($C$11/$C$4)*(-DRE_FC!O5)</f>
        <v>515213.98922133981</v>
      </c>
      <c r="Q11" s="19">
        <f>($C$11/$C$4)*(-DRE_FC!P5)</f>
        <v>582402.85220304574</v>
      </c>
      <c r="R11" s="19">
        <f>($C$11/$C$4)*(-DRE_FC!Q5)</f>
        <v>700607.06119981292</v>
      </c>
      <c r="S11" s="19">
        <f>($C$11/$C$4)*(-DRE_FC!R5)</f>
        <v>788645.41391340003</v>
      </c>
      <c r="T11" s="19">
        <f>($C$11/$C$4)*(-DRE_FC!S5)</f>
        <v>884465.9841552648</v>
      </c>
      <c r="U11" s="19">
        <f>($C$11/$C$4)*(-DRE_FC!T5)</f>
        <v>1061472.3189350511</v>
      </c>
      <c r="V11" s="19">
        <f>($C$11/$C$4)*(-DRE_FC!U5)</f>
        <v>1186204.7030570544</v>
      </c>
      <c r="W11" s="19">
        <f>($C$11/$C$4)*(-DRE_FC!V5)</f>
        <v>1245115.8456074512</v>
      </c>
      <c r="X11" s="19">
        <f>($C$11/$C$4)*(-DRE_FC!W5)</f>
        <v>1379484.8997575995</v>
      </c>
      <c r="Y11" s="19">
        <f>($C$11/$C$4)*(-DRE_FC!X5)</f>
        <v>1427390.3976759266</v>
      </c>
      <c r="Z11" s="19">
        <f>($C$11/$C$4)*(-DRE_FC!Y5)</f>
        <v>1476882.9884379986</v>
      </c>
      <c r="AA11" s="19">
        <f>($C$11/$C$4)*(-DRE_FC!Z5)</f>
        <v>1634869.985459425</v>
      </c>
      <c r="AB11" s="19">
        <f>($C$11/$C$4)*(-DRE_FC!AA5)</f>
        <v>1693717.0074651306</v>
      </c>
      <c r="AC11" s="19">
        <f>($C$11/$C$4)*(-DRE_FC!AB5)</f>
        <v>1755579.7487672463</v>
      </c>
      <c r="AD11" s="19">
        <f>($C$11/$C$4)*(-DRE_FC!AC5)</f>
        <v>1937801.954804783</v>
      </c>
      <c r="AE11" s="19">
        <f>($C$11/$C$4)*(-DRE_FC!AD5)</f>
        <v>2010808.9447831381</v>
      </c>
      <c r="AF11" s="19">
        <f>($C$11/$C$4)*(-DRE_FC!AE5)</f>
        <v>2086928.7789499424</v>
      </c>
      <c r="AG11" s="19">
        <f>($C$11/$C$4)*(-DRE_FC!AF5)</f>
        <v>2304117.6575989742</v>
      </c>
      <c r="AH11" s="19">
        <f>($C$11/$C$4)*(-DRE_FC!AG5)</f>
        <v>2393608.2407798734</v>
      </c>
      <c r="AI11" s="19">
        <f>($C$11/$C$4)*(-DRE_FC!AH5)</f>
        <v>2480632.7621087786</v>
      </c>
      <c r="AJ11" s="19">
        <f>($C$11/$C$4)*(-DRE_FC!AI5)</f>
        <v>2578634.8946380522</v>
      </c>
      <c r="AK11" s="19">
        <f>($C$11/$C$4)*(-DRE_FC!AJ5)</f>
        <v>2681571.9034106075</v>
      </c>
      <c r="AL11" s="19">
        <f>($C$11/$C$4)*(-DRE_FC!AK5)</f>
        <v>2789105.5828958228</v>
      </c>
      <c r="AM11" s="19">
        <f>($C$11/$C$4)*(-DRE_FC!AL5)</f>
        <v>2902059.7802441125</v>
      </c>
    </row>
    <row r="12" spans="2:39" x14ac:dyDescent="0.25">
      <c r="B12" s="1" t="s">
        <v>4058</v>
      </c>
      <c r="C12">
        <v>30</v>
      </c>
      <c r="D12" t="s">
        <v>4051</v>
      </c>
      <c r="E12" s="19">
        <f>($C$12/$C$4)*(-DRE_FC!D31)</f>
        <v>272745.93457690626</v>
      </c>
      <c r="F12" s="19">
        <f>($C$12/$C$4)*(-DRE_FC!E31)</f>
        <v>269029.22224813915</v>
      </c>
      <c r="G12" s="19">
        <f>($C$12/$C$4)*(-DRE_FC!F31)</f>
        <v>254574.82608190624</v>
      </c>
      <c r="H12" s="19">
        <f>($C$12/$C$4)*(-DRE_FC!G31)</f>
        <v>246458.08788823508</v>
      </c>
      <c r="I12" s="19">
        <f>($C$12/$C$4)*(-DRE_FC!H31)</f>
        <v>76074.333268103554</v>
      </c>
      <c r="J12" s="19">
        <f>($C$12/$C$4)*(-DRE_FC!I31)</f>
        <v>10625.499908363765</v>
      </c>
      <c r="K12" s="19">
        <f>($C$12/$C$4)*(-DRE_FC!J31)</f>
        <v>0</v>
      </c>
      <c r="L12" s="19">
        <f>($C$12/$C$4)*(-DRE_FC!K31)</f>
        <v>15288.7007180405</v>
      </c>
      <c r="M12" s="19">
        <f>($C$12/$C$4)*(-DRE_FC!L31)</f>
        <v>0</v>
      </c>
      <c r="N12" s="19">
        <f>($C$12/$C$4)*(-DRE_FC!M31)</f>
        <v>0</v>
      </c>
      <c r="O12" s="19">
        <f>($C$12/$C$4)*(-DRE_FC!N31)</f>
        <v>114917.62714395188</v>
      </c>
      <c r="P12" s="19">
        <f>($C$12/$C$4)*(-DRE_FC!O31)</f>
        <v>105968.93943354409</v>
      </c>
      <c r="Q12" s="19">
        <f>($C$12/$C$4)*(-DRE_FC!P31)</f>
        <v>96898.931997895095</v>
      </c>
      <c r="R12" s="19">
        <f>($C$12/$C$4)*(-DRE_FC!Q31)</f>
        <v>196709.76185977741</v>
      </c>
      <c r="S12" s="19">
        <f>($C$12/$C$4)*(-DRE_FC!R31)</f>
        <v>205766.87060705945</v>
      </c>
      <c r="T12" s="19">
        <f>($C$12/$C$4)*(-DRE_FC!S31)</f>
        <v>201810.63145213138</v>
      </c>
      <c r="U12" s="19">
        <f>($C$12/$C$4)*(-DRE_FC!T31)</f>
        <v>474075.85317172838</v>
      </c>
      <c r="V12" s="19">
        <f>($C$12/$C$4)*(-DRE_FC!U31)</f>
        <v>481576.15353128931</v>
      </c>
      <c r="W12" s="19">
        <f>($C$12/$C$4)*(-DRE_FC!V31)</f>
        <v>485150.03589199111</v>
      </c>
      <c r="X12" s="19">
        <f>($C$12/$C$4)*(-DRE_FC!W31)</f>
        <v>798240.63745195093</v>
      </c>
      <c r="Y12" s="19">
        <f>($C$12/$C$4)*(-DRE_FC!X31)</f>
        <v>816405.59264217154</v>
      </c>
      <c r="Z12" s="19">
        <f>($C$12/$C$4)*(-DRE_FC!Y31)</f>
        <v>833868.51185739704</v>
      </c>
      <c r="AA12" s="19">
        <f>($C$12/$C$4)*(-DRE_FC!Z31)</f>
        <v>1206530.8444252016</v>
      </c>
      <c r="AB12" s="19">
        <f>($C$12/$C$4)*(-DRE_FC!AA31)</f>
        <v>1242447.9284849651</v>
      </c>
      <c r="AC12" s="19">
        <f>($C$12/$C$4)*(-DRE_FC!AB31)</f>
        <v>1280084.0734654914</v>
      </c>
      <c r="AD12" s="19">
        <f>($C$12/$C$4)*(-DRE_FC!AC31)</f>
        <v>1715224.4939322325</v>
      </c>
      <c r="AE12" s="19">
        <f>($C$12/$C$4)*(-DRE_FC!AD31)</f>
        <v>1776530.8570785152</v>
      </c>
      <c r="AF12" s="19">
        <f>($C$12/$C$4)*(-DRE_FC!AE31)</f>
        <v>1839154.9265238664</v>
      </c>
      <c r="AG12" s="19">
        <f>($C$12/$C$4)*(-DRE_FC!AF31)</f>
        <v>2366496.335196604</v>
      </c>
      <c r="AH12" s="19">
        <f>($C$12/$C$4)*(-DRE_FC!AG31)</f>
        <v>2463657.4551758659</v>
      </c>
      <c r="AI12" s="19">
        <f>($C$12/$C$4)*(-DRE_FC!AH31)</f>
        <v>2552075.8545192783</v>
      </c>
      <c r="AJ12" s="19">
        <f>($C$12/$C$4)*(-DRE_FC!AI31)</f>
        <v>2647981.4640750568</v>
      </c>
      <c r="AK12" s="19">
        <f>($C$12/$C$4)*(-DRE_FC!AJ31)</f>
        <v>2749604.2362599727</v>
      </c>
      <c r="AL12" s="19">
        <f>($C$12/$C$4)*(-DRE_FC!AK31)</f>
        <v>2855291.8995169741</v>
      </c>
      <c r="AM12" s="19">
        <f>($C$12/$C$4)*(-DRE_FC!AL31)</f>
        <v>2967242.0215782998</v>
      </c>
    </row>
    <row r="13" spans="2:39" x14ac:dyDescent="0.25">
      <c r="B13" s="1"/>
    </row>
    <row r="14" spans="2:39" x14ac:dyDescent="0.25">
      <c r="B14" s="1" t="s">
        <v>4059</v>
      </c>
      <c r="C14" s="6" t="s">
        <v>4060</v>
      </c>
      <c r="E14" s="19">
        <f>E7-SUM(E10:E12)</f>
        <v>2217070.3116869517</v>
      </c>
      <c r="F14" s="19">
        <f t="shared" ref="F14:AM14" si="0">F7-SUM(F10:F12)</f>
        <v>2220787.0240157191</v>
      </c>
      <c r="G14" s="19">
        <f t="shared" si="0"/>
        <v>2241103.1121990751</v>
      </c>
      <c r="H14" s="19">
        <f t="shared" si="0"/>
        <v>559261.50984912016</v>
      </c>
      <c r="I14" s="19">
        <f t="shared" si="0"/>
        <v>376338.49221826065</v>
      </c>
      <c r="J14" s="19">
        <f t="shared" si="0"/>
        <v>353386.64728384186</v>
      </c>
      <c r="K14" s="19">
        <f t="shared" si="0"/>
        <v>259065.96820569318</v>
      </c>
      <c r="L14" s="19">
        <f t="shared" si="0"/>
        <v>347644.22242526943</v>
      </c>
      <c r="M14" s="19">
        <f t="shared" si="0"/>
        <v>289074.02564171422</v>
      </c>
      <c r="N14" s="19">
        <f t="shared" si="0"/>
        <v>192960.03880959656</v>
      </c>
      <c r="O14" s="19">
        <f t="shared" si="0"/>
        <v>465669.35616766568</v>
      </c>
      <c r="P14" s="19">
        <f t="shared" si="0"/>
        <v>442604.54996784218</v>
      </c>
      <c r="Q14" s="19">
        <f t="shared" si="0"/>
        <v>405564.54233487509</v>
      </c>
      <c r="R14" s="19">
        <f t="shared" si="0"/>
        <v>679394.93042011186</v>
      </c>
      <c r="S14" s="19">
        <f t="shared" si="0"/>
        <v>658907.39571451768</v>
      </c>
      <c r="T14" s="19">
        <f t="shared" si="0"/>
        <v>629165.35553310625</v>
      </c>
      <c r="U14" s="19">
        <f t="shared" si="0"/>
        <v>1011463.924488876</v>
      </c>
      <c r="V14" s="19">
        <f t="shared" si="0"/>
        <v>1026023.3310691975</v>
      </c>
      <c r="W14" s="19">
        <f t="shared" si="0"/>
        <v>1032960.8674164452</v>
      </c>
      <c r="X14" s="19">
        <f t="shared" si="0"/>
        <v>1640724.9763269536</v>
      </c>
      <c r="Y14" s="19">
        <f t="shared" si="0"/>
        <v>1675986.3599314988</v>
      </c>
      <c r="Z14" s="19">
        <f t="shared" si="0"/>
        <v>1709884.967819877</v>
      </c>
      <c r="AA14" s="19">
        <f t="shared" si="0"/>
        <v>2433288.319275029</v>
      </c>
      <c r="AB14" s="19">
        <f t="shared" si="0"/>
        <v>2500133.0054152124</v>
      </c>
      <c r="AC14" s="19">
        <f t="shared" si="0"/>
        <v>2573191.4044950604</v>
      </c>
      <c r="AD14" s="19">
        <f t="shared" si="0"/>
        <v>3417875.7501069717</v>
      </c>
      <c r="AE14" s="19">
        <f t="shared" si="0"/>
        <v>3530306.8772781193</v>
      </c>
      <c r="AF14" s="19">
        <f t="shared" si="0"/>
        <v>3647021.9323094189</v>
      </c>
      <c r="AG14" s="19">
        <f t="shared" si="0"/>
        <v>4656876.4476137161</v>
      </c>
      <c r="AH14" s="19">
        <f t="shared" si="0"/>
        <v>4816675.1083953753</v>
      </c>
      <c r="AI14" s="19">
        <f t="shared" si="0"/>
        <v>4959831.3727130853</v>
      </c>
      <c r="AJ14" s="19">
        <f t="shared" si="0"/>
        <v>5146001.0853801854</v>
      </c>
      <c r="AK14" s="19">
        <f t="shared" si="0"/>
        <v>5343268.8196214959</v>
      </c>
      <c r="AL14" s="19">
        <f t="shared" si="0"/>
        <v>5548427.2247674428</v>
      </c>
      <c r="AM14" s="19">
        <f t="shared" si="0"/>
        <v>5765742.1675923653</v>
      </c>
    </row>
    <row r="15" spans="2:39" x14ac:dyDescent="0.25">
      <c r="B15" s="172" t="s">
        <v>4061</v>
      </c>
      <c r="C15" s="100" t="s">
        <v>4060</v>
      </c>
      <c r="D15" s="206"/>
      <c r="E15" s="210">
        <f>E14-D14</f>
        <v>2217070.3116869517</v>
      </c>
      <c r="F15" s="210">
        <f>F14-E14</f>
        <v>3716.712328767404</v>
      </c>
      <c r="G15" s="210">
        <f t="shared" ref="G15:AC15" si="1">G14-F14</f>
        <v>20316.088183355983</v>
      </c>
      <c r="H15" s="210">
        <f t="shared" si="1"/>
        <v>-1681841.6023499549</v>
      </c>
      <c r="I15" s="210">
        <f t="shared" si="1"/>
        <v>-182923.01763085951</v>
      </c>
      <c r="J15" s="210">
        <f t="shared" si="1"/>
        <v>-22951.844934418797</v>
      </c>
      <c r="K15" s="210">
        <f t="shared" si="1"/>
        <v>-94320.679078148678</v>
      </c>
      <c r="L15" s="210">
        <f t="shared" si="1"/>
        <v>88578.254219576251</v>
      </c>
      <c r="M15" s="210">
        <f t="shared" si="1"/>
        <v>-58570.196783555206</v>
      </c>
      <c r="N15" s="210">
        <f t="shared" si="1"/>
        <v>-96113.986832117662</v>
      </c>
      <c r="O15" s="210">
        <f t="shared" si="1"/>
        <v>272709.31735806912</v>
      </c>
      <c r="P15" s="210">
        <f t="shared" si="1"/>
        <v>-23064.806199823506</v>
      </c>
      <c r="Q15" s="210">
        <f t="shared" si="1"/>
        <v>-37040.007632967085</v>
      </c>
      <c r="R15" s="210">
        <f t="shared" si="1"/>
        <v>273830.38808523677</v>
      </c>
      <c r="S15" s="210">
        <f t="shared" si="1"/>
        <v>-20487.534705594182</v>
      </c>
      <c r="T15" s="210">
        <f t="shared" si="1"/>
        <v>-29742.04018141143</v>
      </c>
      <c r="U15" s="210">
        <f t="shared" si="1"/>
        <v>382298.56895576976</v>
      </c>
      <c r="V15" s="210">
        <f t="shared" si="1"/>
        <v>14559.406580321491</v>
      </c>
      <c r="W15" s="210">
        <f t="shared" si="1"/>
        <v>6937.5363472476602</v>
      </c>
      <c r="X15" s="210">
        <f t="shared" si="1"/>
        <v>607764.10891050845</v>
      </c>
      <c r="Y15" s="210">
        <f t="shared" si="1"/>
        <v>35261.383604545146</v>
      </c>
      <c r="Z15" s="210">
        <f t="shared" si="1"/>
        <v>33898.607888378203</v>
      </c>
      <c r="AA15" s="210">
        <f t="shared" si="1"/>
        <v>723403.35145515203</v>
      </c>
      <c r="AB15" s="210">
        <f t="shared" si="1"/>
        <v>66844.686140183359</v>
      </c>
      <c r="AC15" s="210">
        <f t="shared" si="1"/>
        <v>73058.399079848081</v>
      </c>
      <c r="AD15" s="210">
        <f t="shared" ref="AD15:AM15" si="2">AD14-AC14</f>
        <v>844684.34561191127</v>
      </c>
      <c r="AE15" s="210">
        <f t="shared" si="2"/>
        <v>112431.12717114761</v>
      </c>
      <c r="AF15" s="210">
        <f t="shared" si="2"/>
        <v>116715.05503129959</v>
      </c>
      <c r="AG15" s="210">
        <f t="shared" si="2"/>
        <v>1009854.5153042972</v>
      </c>
      <c r="AH15" s="210">
        <f t="shared" si="2"/>
        <v>159798.66078165919</v>
      </c>
      <c r="AI15" s="210">
        <f t="shared" si="2"/>
        <v>143156.26431770995</v>
      </c>
      <c r="AJ15" s="210">
        <f t="shared" si="2"/>
        <v>186169.71266710013</v>
      </c>
      <c r="AK15" s="210">
        <f t="shared" si="2"/>
        <v>197267.73424131051</v>
      </c>
      <c r="AL15" s="210">
        <f t="shared" si="2"/>
        <v>205158.40514594689</v>
      </c>
      <c r="AM15" s="210">
        <f t="shared" si="2"/>
        <v>217314.9428249225</v>
      </c>
    </row>
    <row r="17" spans="2:39" x14ac:dyDescent="0.25">
      <c r="B17" s="207" t="s">
        <v>4062</v>
      </c>
      <c r="C17" s="208"/>
      <c r="D17" s="208"/>
      <c r="E17" s="215">
        <v>2026</v>
      </c>
      <c r="F17" s="215">
        <v>2027</v>
      </c>
      <c r="G17" s="215">
        <v>2028</v>
      </c>
      <c r="H17" s="215">
        <v>2029</v>
      </c>
      <c r="I17" s="215">
        <v>2030</v>
      </c>
      <c r="J17" s="215">
        <v>2031</v>
      </c>
      <c r="K17" s="215">
        <v>2032</v>
      </c>
      <c r="L17" s="215">
        <v>2033</v>
      </c>
      <c r="M17" s="215">
        <v>2034</v>
      </c>
      <c r="N17" s="215">
        <v>2035</v>
      </c>
      <c r="O17" s="215">
        <v>2036</v>
      </c>
      <c r="P17" s="215">
        <v>2037</v>
      </c>
      <c r="Q17" s="215">
        <v>2038</v>
      </c>
      <c r="R17" s="215">
        <v>2039</v>
      </c>
      <c r="S17" s="215">
        <v>2040</v>
      </c>
      <c r="T17" s="215">
        <v>2041</v>
      </c>
      <c r="U17" s="215">
        <v>2042</v>
      </c>
      <c r="V17" s="215">
        <v>2043</v>
      </c>
      <c r="W17" s="215">
        <v>2044</v>
      </c>
      <c r="X17" s="215">
        <v>2045</v>
      </c>
      <c r="Y17" s="215">
        <v>2046</v>
      </c>
      <c r="Z17" s="215">
        <v>2047</v>
      </c>
      <c r="AA17" s="215">
        <v>2048</v>
      </c>
      <c r="AB17" s="215">
        <v>2049</v>
      </c>
      <c r="AC17" s="215">
        <v>2050</v>
      </c>
      <c r="AD17" s="215">
        <v>2051</v>
      </c>
      <c r="AE17" s="215">
        <v>2052</v>
      </c>
      <c r="AF17" s="215">
        <v>2053</v>
      </c>
      <c r="AG17" s="215">
        <v>2054</v>
      </c>
      <c r="AH17" s="215">
        <v>2055</v>
      </c>
      <c r="AI17" s="215">
        <v>2056</v>
      </c>
      <c r="AJ17" s="215">
        <v>2057</v>
      </c>
      <c r="AK17" s="215">
        <v>2058</v>
      </c>
      <c r="AL17" s="215">
        <v>2059</v>
      </c>
      <c r="AM17" s="215">
        <v>2060</v>
      </c>
    </row>
    <row r="18" spans="2:39" x14ac:dyDescent="0.25">
      <c r="B18" s="207" t="s">
        <v>4053</v>
      </c>
      <c r="C18" s="208"/>
      <c r="D18" s="208"/>
      <c r="E18" s="209" t="s">
        <v>3701</v>
      </c>
      <c r="F18" s="209" t="s">
        <v>3702</v>
      </c>
      <c r="G18" s="209" t="s">
        <v>3703</v>
      </c>
      <c r="H18" s="209" t="s">
        <v>3704</v>
      </c>
      <c r="I18" s="209" t="s">
        <v>3705</v>
      </c>
      <c r="J18" s="209" t="s">
        <v>3706</v>
      </c>
      <c r="K18" s="209" t="s">
        <v>3707</v>
      </c>
      <c r="L18" s="209" t="s">
        <v>3708</v>
      </c>
      <c r="M18" s="209" t="s">
        <v>3709</v>
      </c>
      <c r="N18" s="209" t="s">
        <v>3710</v>
      </c>
      <c r="O18" s="209" t="s">
        <v>3711</v>
      </c>
      <c r="P18" s="209" t="s">
        <v>3712</v>
      </c>
      <c r="Q18" s="209" t="s">
        <v>3713</v>
      </c>
      <c r="R18" s="209" t="s">
        <v>3714</v>
      </c>
      <c r="S18" s="209" t="s">
        <v>3715</v>
      </c>
      <c r="T18" s="209" t="s">
        <v>3716</v>
      </c>
      <c r="U18" s="209" t="s">
        <v>3717</v>
      </c>
      <c r="V18" s="209" t="s">
        <v>3718</v>
      </c>
      <c r="W18" s="209" t="s">
        <v>3719</v>
      </c>
      <c r="X18" s="209" t="s">
        <v>3720</v>
      </c>
      <c r="Y18" s="209" t="s">
        <v>3721</v>
      </c>
      <c r="Z18" s="209" t="s">
        <v>3722</v>
      </c>
      <c r="AA18" s="209" t="s">
        <v>3723</v>
      </c>
      <c r="AB18" s="209" t="s">
        <v>3724</v>
      </c>
      <c r="AC18" s="209" t="s">
        <v>3725</v>
      </c>
      <c r="AD18" s="209" t="s">
        <v>3726</v>
      </c>
      <c r="AE18" s="209" t="s">
        <v>3727</v>
      </c>
      <c r="AF18" s="209" t="s">
        <v>3728</v>
      </c>
      <c r="AG18" s="209" t="s">
        <v>3729</v>
      </c>
      <c r="AH18" s="209" t="s">
        <v>3730</v>
      </c>
      <c r="AI18" s="209" t="s">
        <v>3731</v>
      </c>
      <c r="AJ18" s="209" t="s">
        <v>3732</v>
      </c>
      <c r="AK18" s="209" t="s">
        <v>3733</v>
      </c>
      <c r="AL18" s="209" t="s">
        <v>3734</v>
      </c>
      <c r="AM18" s="209" t="s">
        <v>3735</v>
      </c>
    </row>
    <row r="19" spans="2:39" x14ac:dyDescent="0.25">
      <c r="B19" s="1" t="s">
        <v>4054</v>
      </c>
      <c r="C19">
        <v>30</v>
      </c>
      <c r="D19" t="s">
        <v>4051</v>
      </c>
      <c r="E19" s="19" t="e">
        <f>($C$19/$C$4)*DRE_FC!#REF!</f>
        <v>#REF!</v>
      </c>
      <c r="F19" s="19" t="e">
        <f>($C$19/$C$4)*DRE_FC!#REF!</f>
        <v>#REF!</v>
      </c>
      <c r="G19" s="19" t="e">
        <f>($C$19/$C$4)*DRE_FC!#REF!</f>
        <v>#REF!</v>
      </c>
      <c r="H19" s="19" t="e">
        <f>($C$19/$C$4)*DRE_FC!#REF!</f>
        <v>#REF!</v>
      </c>
      <c r="I19" s="19" t="e">
        <f>($C$19/$C$4)*DRE_FC!#REF!</f>
        <v>#REF!</v>
      </c>
      <c r="J19" s="19" t="e">
        <f>($C$19/$C$4)*DRE_FC!#REF!</f>
        <v>#REF!</v>
      </c>
      <c r="K19" s="19" t="e">
        <f>($C$19/$C$4)*DRE_FC!#REF!</f>
        <v>#REF!</v>
      </c>
      <c r="L19" s="19" t="e">
        <f>($C$19/$C$4)*DRE_FC!#REF!</f>
        <v>#REF!</v>
      </c>
      <c r="M19" s="19" t="e">
        <f>($C$19/$C$4)*DRE_FC!#REF!</f>
        <v>#REF!</v>
      </c>
      <c r="N19" s="19" t="e">
        <f>($C$19/$C$4)*DRE_FC!#REF!</f>
        <v>#REF!</v>
      </c>
      <c r="O19" s="19" t="e">
        <f>($C$19/$C$4)*DRE_FC!#REF!</f>
        <v>#REF!</v>
      </c>
      <c r="P19" s="19" t="e">
        <f>($C$19/$C$4)*DRE_FC!#REF!</f>
        <v>#REF!</v>
      </c>
      <c r="Q19" s="19" t="e">
        <f>($C$19/$C$4)*DRE_FC!#REF!</f>
        <v>#REF!</v>
      </c>
      <c r="R19" s="19" t="e">
        <f>($C$19/$C$4)*DRE_FC!#REF!</f>
        <v>#REF!</v>
      </c>
      <c r="S19" s="19" t="e">
        <f>($C$19/$C$4)*DRE_FC!#REF!</f>
        <v>#REF!</v>
      </c>
      <c r="T19" s="19" t="e">
        <f>($C$19/$C$4)*DRE_FC!#REF!</f>
        <v>#REF!</v>
      </c>
      <c r="U19" s="19" t="e">
        <f>($C$19/$C$4)*DRE_FC!#REF!</f>
        <v>#REF!</v>
      </c>
      <c r="V19" s="19" t="e">
        <f>($C$19/$C$4)*DRE_FC!#REF!</f>
        <v>#REF!</v>
      </c>
      <c r="W19" s="19" t="e">
        <f>($C$19/$C$4)*DRE_FC!#REF!</f>
        <v>#REF!</v>
      </c>
      <c r="X19" s="19" t="e">
        <f>($C$19/$C$4)*DRE_FC!#REF!</f>
        <v>#REF!</v>
      </c>
      <c r="Y19" s="19" t="e">
        <f>($C$19/$C$4)*DRE_FC!#REF!</f>
        <v>#REF!</v>
      </c>
      <c r="Z19" s="19" t="e">
        <f>($C$19/$C$4)*DRE_FC!#REF!</f>
        <v>#REF!</v>
      </c>
      <c r="AA19" s="19" t="e">
        <f>($C$19/$C$4)*DRE_FC!#REF!</f>
        <v>#REF!</v>
      </c>
      <c r="AB19" s="19" t="e">
        <f>($C$19/$C$4)*DRE_FC!#REF!</f>
        <v>#REF!</v>
      </c>
      <c r="AC19" s="19" t="e">
        <f>($C$19/$C$4)*DRE_FC!#REF!</f>
        <v>#REF!</v>
      </c>
      <c r="AD19" s="19" t="e">
        <f>($C$19/$C$4)*DRE_FC!#REF!</f>
        <v>#REF!</v>
      </c>
      <c r="AE19" s="19" t="e">
        <f>($C$19/$C$4)*DRE_FC!#REF!</f>
        <v>#REF!</v>
      </c>
      <c r="AF19" s="19" t="e">
        <f>($C$19/$C$4)*DRE_FC!#REF!</f>
        <v>#REF!</v>
      </c>
      <c r="AG19" s="19" t="e">
        <f>($C$19/$C$4)*DRE_FC!#REF!</f>
        <v>#REF!</v>
      </c>
      <c r="AH19" s="19" t="e">
        <f>($C$19/$C$4)*DRE_FC!#REF!</f>
        <v>#REF!</v>
      </c>
      <c r="AI19" s="19" t="e">
        <f>($C$19/$C$4)*DRE_FC!#REF!</f>
        <v>#REF!</v>
      </c>
      <c r="AJ19" s="19" t="e">
        <f>($C$19/$C$4)*DRE_FC!#REF!</f>
        <v>#REF!</v>
      </c>
      <c r="AK19" s="19" t="e">
        <f>($C$19/$C$4)*DRE_FC!#REF!</f>
        <v>#REF!</v>
      </c>
      <c r="AL19" s="19" t="e">
        <f>($C$19/$C$4)*DRE_FC!#REF!</f>
        <v>#REF!</v>
      </c>
      <c r="AM19" s="19" t="e">
        <f>($C$19/$C$4)*DRE_FC!#REF!</f>
        <v>#REF!</v>
      </c>
    </row>
    <row r="21" spans="2:39" x14ac:dyDescent="0.25">
      <c r="B21" s="1" t="s">
        <v>4055</v>
      </c>
    </row>
    <row r="22" spans="2:39" x14ac:dyDescent="0.25">
      <c r="B22" s="1" t="s">
        <v>4056</v>
      </c>
      <c r="C22">
        <v>30</v>
      </c>
      <c r="D22" t="s">
        <v>4051</v>
      </c>
      <c r="E22" s="19" t="e">
        <f>($C$22/$C$4)*(-DRE_FC!#REF!)</f>
        <v>#REF!</v>
      </c>
      <c r="F22" s="19" t="e">
        <f>($C$22/$C$4)*(-DRE_FC!#REF!)</f>
        <v>#REF!</v>
      </c>
      <c r="G22" s="19" t="e">
        <f>($C$22/$C$4)*(-DRE_FC!#REF!)</f>
        <v>#REF!</v>
      </c>
      <c r="H22" s="19" t="e">
        <f>($C$22/$C$4)*(-DRE_FC!#REF!)</f>
        <v>#REF!</v>
      </c>
      <c r="I22" s="19" t="e">
        <f>($C$22/$C$4)*(-DRE_FC!#REF!)</f>
        <v>#REF!</v>
      </c>
      <c r="J22" s="19" t="e">
        <f>($C$22/$C$4)*(-DRE_FC!#REF!)</f>
        <v>#REF!</v>
      </c>
      <c r="K22" s="19" t="e">
        <f>($C$22/$C$4)*(-DRE_FC!#REF!)</f>
        <v>#REF!</v>
      </c>
      <c r="L22" s="19" t="e">
        <f>($C$22/$C$4)*(-DRE_FC!#REF!)</f>
        <v>#REF!</v>
      </c>
      <c r="M22" s="19" t="e">
        <f>($C$22/$C$4)*(-DRE_FC!#REF!)</f>
        <v>#REF!</v>
      </c>
      <c r="N22" s="19" t="e">
        <f>($C$22/$C$4)*(-DRE_FC!#REF!)</f>
        <v>#REF!</v>
      </c>
      <c r="O22" s="19" t="e">
        <f>($C$22/$C$4)*(-DRE_FC!#REF!)</f>
        <v>#REF!</v>
      </c>
      <c r="P22" s="19" t="e">
        <f>($C$22/$C$4)*(-DRE_FC!#REF!)</f>
        <v>#REF!</v>
      </c>
      <c r="Q22" s="19" t="e">
        <f>($C$22/$C$4)*(-DRE_FC!#REF!)</f>
        <v>#REF!</v>
      </c>
      <c r="R22" s="19" t="e">
        <f>($C$22/$C$4)*(-DRE_FC!#REF!)</f>
        <v>#REF!</v>
      </c>
      <c r="S22" s="19" t="e">
        <f>($C$22/$C$4)*(-DRE_FC!#REF!)</f>
        <v>#REF!</v>
      </c>
      <c r="T22" s="19" t="e">
        <f>($C$22/$C$4)*(-DRE_FC!#REF!)</f>
        <v>#REF!</v>
      </c>
      <c r="U22" s="19" t="e">
        <f>($C$22/$C$4)*(-DRE_FC!#REF!)</f>
        <v>#REF!</v>
      </c>
      <c r="V22" s="19" t="e">
        <f>($C$22/$C$4)*(-DRE_FC!#REF!)</f>
        <v>#REF!</v>
      </c>
      <c r="W22" s="19" t="e">
        <f>($C$22/$C$4)*(-DRE_FC!#REF!)</f>
        <v>#REF!</v>
      </c>
      <c r="X22" s="19" t="e">
        <f>($C$22/$C$4)*(-DRE_FC!#REF!)</f>
        <v>#REF!</v>
      </c>
      <c r="Y22" s="19" t="e">
        <f>($C$22/$C$4)*(-DRE_FC!#REF!)</f>
        <v>#REF!</v>
      </c>
      <c r="Z22" s="19" t="e">
        <f>($C$22/$C$4)*(-DRE_FC!#REF!)</f>
        <v>#REF!</v>
      </c>
      <c r="AA22" s="19" t="e">
        <f>($C$22/$C$4)*(-DRE_FC!#REF!)</f>
        <v>#REF!</v>
      </c>
      <c r="AB22" s="19" t="e">
        <f>($C$22/$C$4)*(-DRE_FC!#REF!)</f>
        <v>#REF!</v>
      </c>
      <c r="AC22" s="19" t="e">
        <f>($C$22/$C$4)*(-DRE_FC!#REF!)</f>
        <v>#REF!</v>
      </c>
      <c r="AD22" s="19" t="e">
        <f>($C$22/$C$4)*(-DRE_FC!#REF!)</f>
        <v>#REF!</v>
      </c>
      <c r="AE22" s="19" t="e">
        <f>($C$22/$C$4)*(-DRE_FC!#REF!)</f>
        <v>#REF!</v>
      </c>
      <c r="AF22" s="19" t="e">
        <f>($C$22/$C$4)*(-DRE_FC!#REF!)</f>
        <v>#REF!</v>
      </c>
      <c r="AG22" s="19" t="e">
        <f>($C$22/$C$4)*(-DRE_FC!#REF!)</f>
        <v>#REF!</v>
      </c>
      <c r="AH22" s="19" t="e">
        <f>($C$22/$C$4)*(-DRE_FC!#REF!)</f>
        <v>#REF!</v>
      </c>
      <c r="AI22" s="19" t="e">
        <f>($C$22/$C$4)*(-DRE_FC!#REF!)</f>
        <v>#REF!</v>
      </c>
      <c r="AJ22" s="19" t="e">
        <f>($C$22/$C$4)*(-DRE_FC!#REF!)</f>
        <v>#REF!</v>
      </c>
      <c r="AK22" s="19" t="e">
        <f>($C$22/$C$4)*(-DRE_FC!#REF!)</f>
        <v>#REF!</v>
      </c>
      <c r="AL22" s="19" t="e">
        <f>($C$22/$C$4)*(-DRE_FC!#REF!)</f>
        <v>#REF!</v>
      </c>
      <c r="AM22" s="19" t="e">
        <f>($C$22/$C$4)*(-DRE_FC!#REF!)</f>
        <v>#REF!</v>
      </c>
    </row>
    <row r="23" spans="2:39" x14ac:dyDescent="0.25">
      <c r="B23" s="1" t="s">
        <v>4057</v>
      </c>
      <c r="C23">
        <v>30</v>
      </c>
      <c r="D23" t="s">
        <v>4051</v>
      </c>
      <c r="E23" s="19" t="e">
        <f>($C$23/$C$4)*(-DRE_FC!#REF!)</f>
        <v>#REF!</v>
      </c>
      <c r="F23" s="19" t="e">
        <f>($C$23/$C$4)*(-DRE_FC!#REF!)</f>
        <v>#REF!</v>
      </c>
      <c r="G23" s="19" t="e">
        <f>($C$23/$C$4)*(-DRE_FC!#REF!)</f>
        <v>#REF!</v>
      </c>
      <c r="H23" s="19" t="e">
        <f>($C$23/$C$4)*(-DRE_FC!#REF!)</f>
        <v>#REF!</v>
      </c>
      <c r="I23" s="19" t="e">
        <f>($C$23/$C$4)*(-DRE_FC!#REF!)</f>
        <v>#REF!</v>
      </c>
      <c r="J23" s="19" t="e">
        <f>($C$23/$C$4)*(-DRE_FC!#REF!)</f>
        <v>#REF!</v>
      </c>
      <c r="K23" s="19" t="e">
        <f>($C$23/$C$4)*(-DRE_FC!#REF!)</f>
        <v>#REF!</v>
      </c>
      <c r="L23" s="19" t="e">
        <f>($C$23/$C$4)*(-DRE_FC!#REF!)</f>
        <v>#REF!</v>
      </c>
      <c r="M23" s="19" t="e">
        <f>($C$23/$C$4)*(-DRE_FC!#REF!)</f>
        <v>#REF!</v>
      </c>
      <c r="N23" s="19" t="e">
        <f>($C$23/$C$4)*(-DRE_FC!#REF!)</f>
        <v>#REF!</v>
      </c>
      <c r="O23" s="19" t="e">
        <f>($C$23/$C$4)*(-DRE_FC!#REF!)</f>
        <v>#REF!</v>
      </c>
      <c r="P23" s="19" t="e">
        <f>($C$23/$C$4)*(-DRE_FC!#REF!)</f>
        <v>#REF!</v>
      </c>
      <c r="Q23" s="19" t="e">
        <f>($C$23/$C$4)*(-DRE_FC!#REF!)</f>
        <v>#REF!</v>
      </c>
      <c r="R23" s="19" t="e">
        <f>($C$23/$C$4)*(-DRE_FC!#REF!)</f>
        <v>#REF!</v>
      </c>
      <c r="S23" s="19" t="e">
        <f>($C$23/$C$4)*(-DRE_FC!#REF!)</f>
        <v>#REF!</v>
      </c>
      <c r="T23" s="19" t="e">
        <f>($C$23/$C$4)*(-DRE_FC!#REF!)</f>
        <v>#REF!</v>
      </c>
      <c r="U23" s="19" t="e">
        <f>($C$23/$C$4)*(-DRE_FC!#REF!)</f>
        <v>#REF!</v>
      </c>
      <c r="V23" s="19" t="e">
        <f>($C$23/$C$4)*(-DRE_FC!#REF!)</f>
        <v>#REF!</v>
      </c>
      <c r="W23" s="19" t="e">
        <f>($C$23/$C$4)*(-DRE_FC!#REF!)</f>
        <v>#REF!</v>
      </c>
      <c r="X23" s="19" t="e">
        <f>($C$23/$C$4)*(-DRE_FC!#REF!)</f>
        <v>#REF!</v>
      </c>
      <c r="Y23" s="19" t="e">
        <f>($C$23/$C$4)*(-DRE_FC!#REF!)</f>
        <v>#REF!</v>
      </c>
      <c r="Z23" s="19" t="e">
        <f>($C$23/$C$4)*(-DRE_FC!#REF!)</f>
        <v>#REF!</v>
      </c>
      <c r="AA23" s="19" t="e">
        <f>($C$23/$C$4)*(-DRE_FC!#REF!)</f>
        <v>#REF!</v>
      </c>
      <c r="AB23" s="19" t="e">
        <f>($C$23/$C$4)*(-DRE_FC!#REF!)</f>
        <v>#REF!</v>
      </c>
      <c r="AC23" s="19" t="e">
        <f>($C$23/$C$4)*(-DRE_FC!#REF!)</f>
        <v>#REF!</v>
      </c>
      <c r="AD23" s="19" t="e">
        <f>($C$23/$C$4)*(-DRE_FC!#REF!)</f>
        <v>#REF!</v>
      </c>
      <c r="AE23" s="19" t="e">
        <f>($C$23/$C$4)*(-DRE_FC!#REF!)</f>
        <v>#REF!</v>
      </c>
      <c r="AF23" s="19" t="e">
        <f>($C$23/$C$4)*(-DRE_FC!#REF!)</f>
        <v>#REF!</v>
      </c>
      <c r="AG23" s="19" t="e">
        <f>($C$23/$C$4)*(-DRE_FC!#REF!)</f>
        <v>#REF!</v>
      </c>
      <c r="AH23" s="19" t="e">
        <f>($C$23/$C$4)*(-DRE_FC!#REF!)</f>
        <v>#REF!</v>
      </c>
      <c r="AI23" s="19" t="e">
        <f>($C$23/$C$4)*(-DRE_FC!#REF!)</f>
        <v>#REF!</v>
      </c>
      <c r="AJ23" s="19" t="e">
        <f>($C$23/$C$4)*(-DRE_FC!#REF!)</f>
        <v>#REF!</v>
      </c>
      <c r="AK23" s="19" t="e">
        <f>($C$23/$C$4)*(-DRE_FC!#REF!)</f>
        <v>#REF!</v>
      </c>
      <c r="AL23" s="19" t="e">
        <f>($C$23/$C$4)*(-DRE_FC!#REF!)</f>
        <v>#REF!</v>
      </c>
      <c r="AM23" s="19" t="e">
        <f>($C$23/$C$4)*(-DRE_FC!#REF!)</f>
        <v>#REF!</v>
      </c>
    </row>
    <row r="24" spans="2:39" x14ac:dyDescent="0.25">
      <c r="B24" s="1" t="s">
        <v>4058</v>
      </c>
      <c r="C24">
        <v>30</v>
      </c>
      <c r="D24" t="s">
        <v>4051</v>
      </c>
      <c r="E24" s="19" t="e">
        <f>($C$24/$C$4)*(-DRE_FC!#REF!)</f>
        <v>#REF!</v>
      </c>
      <c r="F24" s="19" t="e">
        <f>($C$24/$C$4)*(-DRE_FC!#REF!)</f>
        <v>#REF!</v>
      </c>
      <c r="G24" s="19" t="e">
        <f>($C$24/$C$4)*(-DRE_FC!#REF!)</f>
        <v>#REF!</v>
      </c>
      <c r="H24" s="19" t="e">
        <f>($C$24/$C$4)*(-DRE_FC!#REF!)</f>
        <v>#REF!</v>
      </c>
      <c r="I24" s="19" t="e">
        <f>($C$24/$C$4)*(-DRE_FC!#REF!)</f>
        <v>#REF!</v>
      </c>
      <c r="J24" s="19" t="e">
        <f>($C$24/$C$4)*(-DRE_FC!#REF!)</f>
        <v>#REF!</v>
      </c>
      <c r="K24" s="19" t="e">
        <f>($C$24/$C$4)*(-DRE_FC!#REF!)</f>
        <v>#REF!</v>
      </c>
      <c r="L24" s="19" t="e">
        <f>($C$24/$C$4)*(-DRE_FC!#REF!)</f>
        <v>#REF!</v>
      </c>
      <c r="M24" s="19" t="e">
        <f>($C$24/$C$4)*(-DRE_FC!#REF!)</f>
        <v>#REF!</v>
      </c>
      <c r="N24" s="19" t="e">
        <f>($C$24/$C$4)*(-DRE_FC!#REF!)</f>
        <v>#REF!</v>
      </c>
      <c r="O24" s="19" t="e">
        <f>($C$24/$C$4)*(-DRE_FC!#REF!)</f>
        <v>#REF!</v>
      </c>
      <c r="P24" s="19" t="e">
        <f>($C$24/$C$4)*(-DRE_FC!#REF!)</f>
        <v>#REF!</v>
      </c>
      <c r="Q24" s="19" t="e">
        <f>($C$24/$C$4)*(-DRE_FC!#REF!)</f>
        <v>#REF!</v>
      </c>
      <c r="R24" s="19" t="e">
        <f>($C$24/$C$4)*(-DRE_FC!#REF!)</f>
        <v>#REF!</v>
      </c>
      <c r="S24" s="19" t="e">
        <f>($C$24/$C$4)*(-DRE_FC!#REF!)</f>
        <v>#REF!</v>
      </c>
      <c r="T24" s="19" t="e">
        <f>($C$24/$C$4)*(-DRE_FC!#REF!)</f>
        <v>#REF!</v>
      </c>
      <c r="U24" s="19" t="e">
        <f>($C$24/$C$4)*(-DRE_FC!#REF!)</f>
        <v>#REF!</v>
      </c>
      <c r="V24" s="19" t="e">
        <f>($C$24/$C$4)*(-DRE_FC!#REF!)</f>
        <v>#REF!</v>
      </c>
      <c r="W24" s="19" t="e">
        <f>($C$24/$C$4)*(-DRE_FC!#REF!)</f>
        <v>#REF!</v>
      </c>
      <c r="X24" s="19" t="e">
        <f>($C$24/$C$4)*(-DRE_FC!#REF!)</f>
        <v>#REF!</v>
      </c>
      <c r="Y24" s="19" t="e">
        <f>($C$24/$C$4)*(-DRE_FC!#REF!)</f>
        <v>#REF!</v>
      </c>
      <c r="Z24" s="19" t="e">
        <f>($C$24/$C$4)*(-DRE_FC!#REF!)</f>
        <v>#REF!</v>
      </c>
      <c r="AA24" s="19" t="e">
        <f>($C$24/$C$4)*(-DRE_FC!#REF!)</f>
        <v>#REF!</v>
      </c>
      <c r="AB24" s="19" t="e">
        <f>($C$24/$C$4)*(-DRE_FC!#REF!)</f>
        <v>#REF!</v>
      </c>
      <c r="AC24" s="19" t="e">
        <f>($C$24/$C$4)*(-DRE_FC!#REF!)</f>
        <v>#REF!</v>
      </c>
      <c r="AD24" s="19" t="e">
        <f>($C$24/$C$4)*(-DRE_FC!#REF!)</f>
        <v>#REF!</v>
      </c>
      <c r="AE24" s="19" t="e">
        <f>($C$24/$C$4)*(-DRE_FC!#REF!)</f>
        <v>#REF!</v>
      </c>
      <c r="AF24" s="19" t="e">
        <f>($C$24/$C$4)*(-DRE_FC!#REF!)</f>
        <v>#REF!</v>
      </c>
      <c r="AG24" s="19" t="e">
        <f>($C$24/$C$4)*(-DRE_FC!#REF!)</f>
        <v>#REF!</v>
      </c>
      <c r="AH24" s="19" t="e">
        <f>($C$24/$C$4)*(-DRE_FC!#REF!)</f>
        <v>#REF!</v>
      </c>
      <c r="AI24" s="19" t="e">
        <f>($C$24/$C$4)*(-DRE_FC!#REF!)</f>
        <v>#REF!</v>
      </c>
      <c r="AJ24" s="19" t="e">
        <f>($C$24/$C$4)*(-DRE_FC!#REF!)</f>
        <v>#REF!</v>
      </c>
      <c r="AK24" s="19" t="e">
        <f>($C$24/$C$4)*(-DRE_FC!#REF!)</f>
        <v>#REF!</v>
      </c>
      <c r="AL24" s="19" t="e">
        <f>($C$24/$C$4)*(-DRE_FC!#REF!)</f>
        <v>#REF!</v>
      </c>
      <c r="AM24" s="19" t="e">
        <f>($C$24/$C$4)*(-DRE_FC!#REF!)</f>
        <v>#REF!</v>
      </c>
    </row>
    <row r="26" spans="2:39" x14ac:dyDescent="0.25">
      <c r="B26" s="1" t="s">
        <v>4059</v>
      </c>
      <c r="C26" s="6" t="s">
        <v>4060</v>
      </c>
      <c r="E26" s="19" t="e">
        <f>E19-SUM(E22:E24)</f>
        <v>#REF!</v>
      </c>
      <c r="F26" s="19" t="e">
        <f t="shared" ref="F26:AM26" si="3">F19-SUM(F22:F24)</f>
        <v>#REF!</v>
      </c>
      <c r="G26" s="19" t="e">
        <f t="shared" si="3"/>
        <v>#REF!</v>
      </c>
      <c r="H26" s="19" t="e">
        <f t="shared" si="3"/>
        <v>#REF!</v>
      </c>
      <c r="I26" s="19" t="e">
        <f t="shared" si="3"/>
        <v>#REF!</v>
      </c>
      <c r="J26" s="19" t="e">
        <f t="shared" si="3"/>
        <v>#REF!</v>
      </c>
      <c r="K26" s="19" t="e">
        <f t="shared" si="3"/>
        <v>#REF!</v>
      </c>
      <c r="L26" s="19" t="e">
        <f t="shared" si="3"/>
        <v>#REF!</v>
      </c>
      <c r="M26" s="19" t="e">
        <f t="shared" si="3"/>
        <v>#REF!</v>
      </c>
      <c r="N26" s="19" t="e">
        <f t="shared" si="3"/>
        <v>#REF!</v>
      </c>
      <c r="O26" s="19" t="e">
        <f t="shared" si="3"/>
        <v>#REF!</v>
      </c>
      <c r="P26" s="19" t="e">
        <f t="shared" si="3"/>
        <v>#REF!</v>
      </c>
      <c r="Q26" s="19" t="e">
        <f t="shared" si="3"/>
        <v>#REF!</v>
      </c>
      <c r="R26" s="19" t="e">
        <f t="shared" si="3"/>
        <v>#REF!</v>
      </c>
      <c r="S26" s="19" t="e">
        <f t="shared" si="3"/>
        <v>#REF!</v>
      </c>
      <c r="T26" s="19" t="e">
        <f t="shared" si="3"/>
        <v>#REF!</v>
      </c>
      <c r="U26" s="19" t="e">
        <f t="shared" si="3"/>
        <v>#REF!</v>
      </c>
      <c r="V26" s="19" t="e">
        <f t="shared" si="3"/>
        <v>#REF!</v>
      </c>
      <c r="W26" s="19" t="e">
        <f t="shared" si="3"/>
        <v>#REF!</v>
      </c>
      <c r="X26" s="19" t="e">
        <f t="shared" si="3"/>
        <v>#REF!</v>
      </c>
      <c r="Y26" s="19" t="e">
        <f t="shared" si="3"/>
        <v>#REF!</v>
      </c>
      <c r="Z26" s="19" t="e">
        <f t="shared" si="3"/>
        <v>#REF!</v>
      </c>
      <c r="AA26" s="19" t="e">
        <f t="shared" si="3"/>
        <v>#REF!</v>
      </c>
      <c r="AB26" s="19" t="e">
        <f t="shared" si="3"/>
        <v>#REF!</v>
      </c>
      <c r="AC26" s="19" t="e">
        <f t="shared" si="3"/>
        <v>#REF!</v>
      </c>
      <c r="AD26" s="19" t="e">
        <f t="shared" si="3"/>
        <v>#REF!</v>
      </c>
      <c r="AE26" s="19" t="e">
        <f t="shared" si="3"/>
        <v>#REF!</v>
      </c>
      <c r="AF26" s="19" t="e">
        <f t="shared" si="3"/>
        <v>#REF!</v>
      </c>
      <c r="AG26" s="19" t="e">
        <f t="shared" si="3"/>
        <v>#REF!</v>
      </c>
      <c r="AH26" s="19" t="e">
        <f t="shared" si="3"/>
        <v>#REF!</v>
      </c>
      <c r="AI26" s="19" t="e">
        <f t="shared" si="3"/>
        <v>#REF!</v>
      </c>
      <c r="AJ26" s="19" t="e">
        <f t="shared" si="3"/>
        <v>#REF!</v>
      </c>
      <c r="AK26" s="19" t="e">
        <f t="shared" si="3"/>
        <v>#REF!</v>
      </c>
      <c r="AL26" s="19" t="e">
        <f t="shared" si="3"/>
        <v>#REF!</v>
      </c>
      <c r="AM26" s="19" t="e">
        <f t="shared" si="3"/>
        <v>#REF!</v>
      </c>
    </row>
    <row r="27" spans="2:39" x14ac:dyDescent="0.25">
      <c r="B27" s="207" t="s">
        <v>4061</v>
      </c>
      <c r="C27" s="209" t="s">
        <v>4060</v>
      </c>
      <c r="D27" s="208"/>
      <c r="E27" s="211" t="e">
        <f>E26-D26</f>
        <v>#REF!</v>
      </c>
      <c r="F27" s="211" t="e">
        <f>F26-E26</f>
        <v>#REF!</v>
      </c>
      <c r="G27" s="211" t="e">
        <f t="shared" ref="G27:AC27" si="4">G26-F26</f>
        <v>#REF!</v>
      </c>
      <c r="H27" s="211" t="e">
        <f t="shared" si="4"/>
        <v>#REF!</v>
      </c>
      <c r="I27" s="211" t="e">
        <f t="shared" si="4"/>
        <v>#REF!</v>
      </c>
      <c r="J27" s="211" t="e">
        <f t="shared" si="4"/>
        <v>#REF!</v>
      </c>
      <c r="K27" s="211" t="e">
        <f t="shared" si="4"/>
        <v>#REF!</v>
      </c>
      <c r="L27" s="211" t="e">
        <f t="shared" si="4"/>
        <v>#REF!</v>
      </c>
      <c r="M27" s="211" t="e">
        <f t="shared" si="4"/>
        <v>#REF!</v>
      </c>
      <c r="N27" s="211" t="e">
        <f t="shared" si="4"/>
        <v>#REF!</v>
      </c>
      <c r="O27" s="211" t="e">
        <f t="shared" si="4"/>
        <v>#REF!</v>
      </c>
      <c r="P27" s="211" t="e">
        <f t="shared" si="4"/>
        <v>#REF!</v>
      </c>
      <c r="Q27" s="211" t="e">
        <f t="shared" si="4"/>
        <v>#REF!</v>
      </c>
      <c r="R27" s="211" t="e">
        <f t="shared" si="4"/>
        <v>#REF!</v>
      </c>
      <c r="S27" s="211" t="e">
        <f t="shared" si="4"/>
        <v>#REF!</v>
      </c>
      <c r="T27" s="211" t="e">
        <f t="shared" si="4"/>
        <v>#REF!</v>
      </c>
      <c r="U27" s="211" t="e">
        <f t="shared" si="4"/>
        <v>#REF!</v>
      </c>
      <c r="V27" s="211" t="e">
        <f t="shared" si="4"/>
        <v>#REF!</v>
      </c>
      <c r="W27" s="211" t="e">
        <f t="shared" si="4"/>
        <v>#REF!</v>
      </c>
      <c r="X27" s="211" t="e">
        <f t="shared" si="4"/>
        <v>#REF!</v>
      </c>
      <c r="Y27" s="211" t="e">
        <f t="shared" si="4"/>
        <v>#REF!</v>
      </c>
      <c r="Z27" s="211" t="e">
        <f t="shared" si="4"/>
        <v>#REF!</v>
      </c>
      <c r="AA27" s="211" t="e">
        <f t="shared" si="4"/>
        <v>#REF!</v>
      </c>
      <c r="AB27" s="211" t="e">
        <f t="shared" si="4"/>
        <v>#REF!</v>
      </c>
      <c r="AC27" s="211" t="e">
        <f t="shared" si="4"/>
        <v>#REF!</v>
      </c>
      <c r="AD27" s="211" t="e">
        <f t="shared" ref="AD27:AM27" si="5">AD26-AC26</f>
        <v>#REF!</v>
      </c>
      <c r="AE27" s="211" t="e">
        <f t="shared" si="5"/>
        <v>#REF!</v>
      </c>
      <c r="AF27" s="211" t="e">
        <f t="shared" si="5"/>
        <v>#REF!</v>
      </c>
      <c r="AG27" s="211" t="e">
        <f t="shared" si="5"/>
        <v>#REF!</v>
      </c>
      <c r="AH27" s="211" t="e">
        <f t="shared" si="5"/>
        <v>#REF!</v>
      </c>
      <c r="AI27" s="211" t="e">
        <f t="shared" si="5"/>
        <v>#REF!</v>
      </c>
      <c r="AJ27" s="211" t="e">
        <f t="shared" si="5"/>
        <v>#REF!</v>
      </c>
      <c r="AK27" s="211" t="e">
        <f t="shared" si="5"/>
        <v>#REF!</v>
      </c>
      <c r="AL27" s="211" t="e">
        <f t="shared" si="5"/>
        <v>#REF!</v>
      </c>
      <c r="AM27" s="211" t="e">
        <f t="shared" si="5"/>
        <v>#REF!</v>
      </c>
    </row>
  </sheetData>
  <pageMargins left="0.511811024" right="0.511811024" top="0.78740157499999996" bottom="0.78740157499999996" header="0.31496062000000002" footer="0.3149606200000000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9B12A-9DE1-469A-AE63-C10745653BCE}">
  <sheetPr codeName="Planilha19"/>
  <dimension ref="B1:BF57"/>
  <sheetViews>
    <sheetView topLeftCell="I1" workbookViewId="0">
      <selection activeCell="M18" sqref="M18"/>
    </sheetView>
  </sheetViews>
  <sheetFormatPr defaultRowHeight="15" x14ac:dyDescent="0.25"/>
  <cols>
    <col min="1" max="1" width="3.5703125" customWidth="1"/>
    <col min="2" max="2" width="14.140625" customWidth="1"/>
    <col min="3" max="3" width="12.42578125" customWidth="1"/>
    <col min="4" max="4" width="12.85546875" bestFit="1" customWidth="1"/>
    <col min="5" max="5" width="20.42578125" customWidth="1"/>
    <col min="6" max="6" width="2.42578125" customWidth="1"/>
    <col min="7" max="7" width="19" customWidth="1"/>
    <col min="10" max="11" width="11.28515625" bestFit="1" customWidth="1"/>
    <col min="12" max="12" width="2.85546875" customWidth="1"/>
    <col min="13" max="13" width="29.5703125" customWidth="1"/>
    <col min="16" max="16" width="14.85546875" customWidth="1"/>
    <col min="17" max="17" width="13.7109375" customWidth="1"/>
    <col min="18" max="18" width="3.28515625" customWidth="1"/>
    <col min="19" max="19" width="13.7109375" customWidth="1"/>
    <col min="20" max="20" width="12.7109375" customWidth="1"/>
    <col min="21" max="21" width="16.42578125" bestFit="1" customWidth="1"/>
    <col min="22" max="55" width="12.7109375" bestFit="1" customWidth="1"/>
  </cols>
  <sheetData>
    <row r="1" spans="2:58" ht="15.75" thickBot="1" x14ac:dyDescent="0.3">
      <c r="S1" s="1" t="s">
        <v>4003</v>
      </c>
      <c r="T1" s="55" t="s">
        <v>4063</v>
      </c>
      <c r="U1" s="66">
        <f>U27</f>
        <v>1</v>
      </c>
      <c r="V1" s="66">
        <f t="shared" ref="V1:BC1" si="0">V27</f>
        <v>1</v>
      </c>
      <c r="W1" s="66">
        <f t="shared" si="0"/>
        <v>1</v>
      </c>
      <c r="X1" s="66">
        <f t="shared" si="0"/>
        <v>1</v>
      </c>
      <c r="Y1" s="66">
        <f t="shared" si="0"/>
        <v>1</v>
      </c>
      <c r="Z1" s="66">
        <f t="shared" si="0"/>
        <v>1</v>
      </c>
      <c r="AA1" s="66">
        <f t="shared" si="0"/>
        <v>1</v>
      </c>
      <c r="AB1" s="66">
        <f t="shared" si="0"/>
        <v>1</v>
      </c>
      <c r="AC1" s="66">
        <f t="shared" si="0"/>
        <v>1</v>
      </c>
      <c r="AD1" s="66">
        <f t="shared" si="0"/>
        <v>1</v>
      </c>
      <c r="AE1" s="66">
        <f>AE27</f>
        <v>1</v>
      </c>
      <c r="AF1" s="66">
        <f t="shared" si="0"/>
        <v>1</v>
      </c>
      <c r="AG1" s="66">
        <f t="shared" si="0"/>
        <v>1</v>
      </c>
      <c r="AH1" s="66">
        <f t="shared" si="0"/>
        <v>1</v>
      </c>
      <c r="AI1" s="66">
        <f t="shared" si="0"/>
        <v>1</v>
      </c>
      <c r="AJ1" s="66">
        <f t="shared" si="0"/>
        <v>1</v>
      </c>
      <c r="AK1" s="66">
        <f t="shared" si="0"/>
        <v>1</v>
      </c>
      <c r="AL1" s="66">
        <f t="shared" si="0"/>
        <v>1</v>
      </c>
      <c r="AM1" s="66">
        <f t="shared" si="0"/>
        <v>1</v>
      </c>
      <c r="AN1" s="66">
        <f t="shared" si="0"/>
        <v>1</v>
      </c>
      <c r="AO1" s="66">
        <f t="shared" si="0"/>
        <v>1</v>
      </c>
      <c r="AP1" s="66">
        <f t="shared" si="0"/>
        <v>1</v>
      </c>
      <c r="AQ1" s="66">
        <f t="shared" si="0"/>
        <v>1</v>
      </c>
      <c r="AR1" s="66">
        <f t="shared" si="0"/>
        <v>1</v>
      </c>
      <c r="AS1" s="66">
        <f t="shared" si="0"/>
        <v>1</v>
      </c>
      <c r="AT1" s="66">
        <f t="shared" si="0"/>
        <v>1</v>
      </c>
      <c r="AU1" s="66">
        <f t="shared" si="0"/>
        <v>1</v>
      </c>
      <c r="AV1" s="66">
        <f t="shared" si="0"/>
        <v>1</v>
      </c>
      <c r="AW1" s="66">
        <f t="shared" si="0"/>
        <v>1</v>
      </c>
      <c r="AX1" s="66">
        <f t="shared" si="0"/>
        <v>1</v>
      </c>
      <c r="AY1" s="66">
        <f t="shared" si="0"/>
        <v>1</v>
      </c>
      <c r="AZ1" s="66">
        <f t="shared" si="0"/>
        <v>1</v>
      </c>
      <c r="BA1" s="66">
        <f t="shared" si="0"/>
        <v>1</v>
      </c>
      <c r="BB1" s="66">
        <f t="shared" si="0"/>
        <v>1</v>
      </c>
      <c r="BC1" s="66">
        <f t="shared" si="0"/>
        <v>1</v>
      </c>
    </row>
    <row r="2" spans="2:58" ht="15.75" customHeight="1" x14ac:dyDescent="0.25">
      <c r="B2" s="92" t="s">
        <v>3801</v>
      </c>
      <c r="C2" s="93" t="s">
        <v>3795</v>
      </c>
      <c r="D2" s="93" t="s">
        <v>3796</v>
      </c>
      <c r="E2" s="94" t="s">
        <v>3797</v>
      </c>
      <c r="G2" s="110" t="s">
        <v>3822</v>
      </c>
      <c r="H2" s="221" t="s">
        <v>3828</v>
      </c>
      <c r="I2" s="221" t="s">
        <v>3829</v>
      </c>
      <c r="J2" s="221" t="s">
        <v>3833</v>
      </c>
      <c r="K2" s="98" t="s">
        <v>3834</v>
      </c>
      <c r="M2" s="110" t="s">
        <v>3835</v>
      </c>
      <c r="N2" s="221" t="s">
        <v>3828</v>
      </c>
      <c r="O2" s="221" t="s">
        <v>3829</v>
      </c>
      <c r="P2" s="221" t="s">
        <v>3833</v>
      </c>
      <c r="Q2" s="98" t="s">
        <v>3834</v>
      </c>
      <c r="S2" s="506" t="s">
        <v>3840</v>
      </c>
      <c r="T2" s="507" t="s">
        <v>3256</v>
      </c>
      <c r="U2" s="58">
        <v>2025</v>
      </c>
      <c r="V2" s="17">
        <v>2026</v>
      </c>
      <c r="W2" s="58">
        <v>2027</v>
      </c>
      <c r="X2" s="17">
        <v>2028</v>
      </c>
      <c r="Y2" s="58">
        <v>2029</v>
      </c>
      <c r="Z2" s="17">
        <v>2030</v>
      </c>
      <c r="AA2" s="58">
        <v>2031</v>
      </c>
      <c r="AB2" s="17">
        <v>2032</v>
      </c>
      <c r="AC2" s="58">
        <v>2033</v>
      </c>
      <c r="AD2" s="17">
        <v>2034</v>
      </c>
      <c r="AE2" s="58">
        <v>2035</v>
      </c>
      <c r="AF2" s="17">
        <v>2036</v>
      </c>
      <c r="AG2" s="58">
        <v>2037</v>
      </c>
      <c r="AH2" s="17">
        <v>2038</v>
      </c>
      <c r="AI2" s="58">
        <v>2039</v>
      </c>
      <c r="AJ2" s="17">
        <v>2040</v>
      </c>
      <c r="AK2" s="58">
        <v>2041</v>
      </c>
      <c r="AL2" s="17">
        <v>2042</v>
      </c>
      <c r="AM2" s="58">
        <v>2043</v>
      </c>
      <c r="AN2" s="17">
        <v>2044</v>
      </c>
      <c r="AO2" s="58">
        <v>2045</v>
      </c>
      <c r="AP2" s="17">
        <v>2046</v>
      </c>
      <c r="AQ2" s="58">
        <v>2047</v>
      </c>
      <c r="AR2" s="17">
        <v>2048</v>
      </c>
      <c r="AS2" s="58">
        <v>2049</v>
      </c>
      <c r="AT2" s="17">
        <v>2050</v>
      </c>
      <c r="AU2" s="58">
        <v>2051</v>
      </c>
      <c r="AV2" s="17">
        <v>2052</v>
      </c>
      <c r="AW2" s="58">
        <v>2053</v>
      </c>
      <c r="AX2" s="17">
        <v>2054</v>
      </c>
      <c r="AY2" s="58">
        <v>2055</v>
      </c>
      <c r="AZ2" s="17">
        <v>2056</v>
      </c>
      <c r="BA2" s="58">
        <v>2057</v>
      </c>
      <c r="BB2" s="17">
        <v>2058</v>
      </c>
      <c r="BC2" s="58">
        <v>2059</v>
      </c>
      <c r="BD2" s="117"/>
      <c r="BE2" s="117"/>
      <c r="BF2" s="117"/>
    </row>
    <row r="3" spans="2:58" ht="15" customHeight="1" thickBot="1" x14ac:dyDescent="0.3">
      <c r="B3" s="95" t="s">
        <v>3798</v>
      </c>
      <c r="C3" s="96" t="s">
        <v>3799</v>
      </c>
      <c r="D3" s="96" t="s">
        <v>3800</v>
      </c>
      <c r="E3" s="97">
        <v>10</v>
      </c>
      <c r="G3" s="111" t="s">
        <v>3823</v>
      </c>
      <c r="H3" s="6">
        <v>100</v>
      </c>
      <c r="I3" s="6" t="s">
        <v>3830</v>
      </c>
      <c r="J3" s="9">
        <v>103.83</v>
      </c>
      <c r="K3" s="112">
        <f>H3*J3</f>
        <v>10383</v>
      </c>
      <c r="M3" s="527" t="s">
        <v>3836</v>
      </c>
      <c r="N3" s="528">
        <v>3</v>
      </c>
      <c r="O3" s="528" t="s">
        <v>3837</v>
      </c>
      <c r="P3" s="528">
        <v>119.02</v>
      </c>
      <c r="Q3" s="529">
        <f>N3*P3</f>
        <v>357.06</v>
      </c>
      <c r="S3" s="506"/>
      <c r="T3" s="507"/>
      <c r="U3" s="58" t="s">
        <v>3701</v>
      </c>
      <c r="V3" s="17" t="s">
        <v>3702</v>
      </c>
      <c r="W3" s="58" t="s">
        <v>3703</v>
      </c>
      <c r="X3" s="17" t="s">
        <v>3704</v>
      </c>
      <c r="Y3" s="58" t="s">
        <v>3705</v>
      </c>
      <c r="Z3" s="17" t="s">
        <v>3706</v>
      </c>
      <c r="AA3" s="58" t="s">
        <v>3707</v>
      </c>
      <c r="AB3" s="17" t="s">
        <v>3708</v>
      </c>
      <c r="AC3" s="58" t="s">
        <v>3709</v>
      </c>
      <c r="AD3" s="17" t="s">
        <v>3710</v>
      </c>
      <c r="AE3" s="58" t="s">
        <v>3711</v>
      </c>
      <c r="AF3" s="17" t="s">
        <v>3712</v>
      </c>
      <c r="AG3" s="58" t="s">
        <v>3713</v>
      </c>
      <c r="AH3" s="17" t="s">
        <v>3714</v>
      </c>
      <c r="AI3" s="58" t="s">
        <v>3715</v>
      </c>
      <c r="AJ3" s="17" t="s">
        <v>3716</v>
      </c>
      <c r="AK3" s="58" t="s">
        <v>3717</v>
      </c>
      <c r="AL3" s="17" t="s">
        <v>3718</v>
      </c>
      <c r="AM3" s="58" t="s">
        <v>3719</v>
      </c>
      <c r="AN3" s="17" t="s">
        <v>3720</v>
      </c>
      <c r="AO3" s="58" t="s">
        <v>3721</v>
      </c>
      <c r="AP3" s="17" t="s">
        <v>3722</v>
      </c>
      <c r="AQ3" s="58" t="s">
        <v>3723</v>
      </c>
      <c r="AR3" s="17" t="s">
        <v>3724</v>
      </c>
      <c r="AS3" s="58" t="s">
        <v>3725</v>
      </c>
      <c r="AT3" s="17" t="s">
        <v>3726</v>
      </c>
      <c r="AU3" s="58" t="s">
        <v>3727</v>
      </c>
      <c r="AV3" s="17" t="s">
        <v>3728</v>
      </c>
      <c r="AW3" s="58" t="s">
        <v>3729</v>
      </c>
      <c r="AX3" s="17" t="s">
        <v>3730</v>
      </c>
      <c r="AY3" s="58" t="s">
        <v>3731</v>
      </c>
      <c r="AZ3" s="17" t="s">
        <v>3732</v>
      </c>
      <c r="BA3" s="58" t="s">
        <v>3733</v>
      </c>
      <c r="BB3" s="17" t="s">
        <v>3734</v>
      </c>
      <c r="BC3" s="58" t="s">
        <v>3735</v>
      </c>
    </row>
    <row r="4" spans="2:58" ht="15.75" thickBot="1" x14ac:dyDescent="0.3">
      <c r="B4" s="1"/>
      <c r="C4" s="1"/>
      <c r="D4" s="1"/>
      <c r="E4" s="1"/>
      <c r="G4" s="111" t="s">
        <v>3824</v>
      </c>
      <c r="H4" s="6">
        <v>8</v>
      </c>
      <c r="I4" s="6" t="s">
        <v>3831</v>
      </c>
      <c r="J4" s="9">
        <v>181.69</v>
      </c>
      <c r="K4" s="112">
        <f>H4*J4</f>
        <v>1453.52</v>
      </c>
      <c r="M4" s="527"/>
      <c r="N4" s="528"/>
      <c r="O4" s="528"/>
      <c r="P4" s="528"/>
      <c r="Q4" s="529"/>
      <c r="S4" s="506"/>
      <c r="T4" s="219" t="s">
        <v>3841</v>
      </c>
      <c r="U4" s="169">
        <v>0</v>
      </c>
      <c r="V4" s="169">
        <v>0</v>
      </c>
      <c r="W4" s="169">
        <v>0</v>
      </c>
      <c r="X4" s="119">
        <f ca="1">Import_Frios!E19</f>
        <v>34896.763193315252</v>
      </c>
      <c r="Y4" s="119">
        <f ca="1">Import_Frios!F19</f>
        <v>66964.937169357174</v>
      </c>
      <c r="Z4" s="119">
        <f ca="1">Import_Frios!G19</f>
        <v>62156.358266060182</v>
      </c>
      <c r="AA4" s="119">
        <f ca="1">Import_Frios!H19</f>
        <v>65403.497747093352</v>
      </c>
      <c r="AB4" s="119">
        <f ca="1">Import_Frios!I19</f>
        <v>54991.394195327601</v>
      </c>
      <c r="AC4" s="119">
        <f ca="1">Import_Frios!J19</f>
        <v>28608.415802039963</v>
      </c>
      <c r="AD4" s="119">
        <f ca="1">Import_Frios!K19</f>
        <v>64840.530325793785</v>
      </c>
      <c r="AE4" s="119">
        <f ca="1">Import_Frios!L19</f>
        <v>37437.688894378916</v>
      </c>
      <c r="AF4" s="119">
        <f ca="1">Import_Frios!M19</f>
        <v>58468.624560340548</v>
      </c>
      <c r="AG4" s="119">
        <f ca="1">Import_Frios!N19</f>
        <v>82165.924690917527</v>
      </c>
      <c r="AH4" s="119">
        <f ca="1">Import_Frios!O19</f>
        <v>88541.247614638982</v>
      </c>
      <c r="AI4" s="119">
        <f ca="1">Import_Frios!P19</f>
        <v>77575.909049373062</v>
      </c>
      <c r="AJ4" s="119">
        <f ca="1">Import_Frios!Q19</f>
        <v>115088.39291505613</v>
      </c>
      <c r="AK4" s="119">
        <f ca="1">Import_Frios!R19</f>
        <v>102792.62048193037</v>
      </c>
      <c r="AL4" s="119">
        <f ca="1">Import_Frios!S19</f>
        <v>80631.123219136338</v>
      </c>
      <c r="AM4" s="119">
        <f ca="1">Import_Frios!T19</f>
        <v>105777.1604351274</v>
      </c>
      <c r="AN4" s="119">
        <f ca="1">Import_Frios!U19</f>
        <v>146974.36809478907</v>
      </c>
      <c r="AO4" s="119">
        <f ca="1">Import_Frios!V19</f>
        <v>98589.17524420991</v>
      </c>
      <c r="AP4" s="119">
        <f ca="1">Import_Frios!W19</f>
        <v>113895.71199296028</v>
      </c>
      <c r="AQ4" s="119">
        <f ca="1">Import_Frios!X19</f>
        <v>125220.48920674712</v>
      </c>
      <c r="AR4" s="119">
        <f ca="1">Import_Frios!Y19</f>
        <v>167732.27430345863</v>
      </c>
      <c r="AS4" s="119">
        <f ca="1">Import_Frios!Z19</f>
        <v>214583.01466843369</v>
      </c>
      <c r="AT4" s="119">
        <f ca="1">Import_Frios!AA19</f>
        <v>219905.10830385293</v>
      </c>
      <c r="AU4" s="119">
        <f ca="1">Import_Frios!AB19</f>
        <v>105088.09424819078</v>
      </c>
      <c r="AV4" s="119">
        <f ca="1">Import_Frios!AC19</f>
        <v>223201.7806698246</v>
      </c>
      <c r="AW4" s="119">
        <f ca="1">Import_Frios!AD19</f>
        <v>180592.29837130624</v>
      </c>
      <c r="AX4" s="119">
        <f ca="1">Import_Frios!AE19</f>
        <v>285421.41591574397</v>
      </c>
      <c r="AY4" s="119">
        <f ca="1">Import_Frios!AF19</f>
        <v>159968.3979695662</v>
      </c>
      <c r="AZ4" s="119">
        <f ca="1">Import_Frios!AG19</f>
        <v>131617.28990465309</v>
      </c>
      <c r="BA4" s="119">
        <f ca="1">Import_Frios!AH19</f>
        <v>170624.77492883612</v>
      </c>
      <c r="BB4" s="119">
        <f ca="1">Import_Frios!AI19</f>
        <v>285726.78105641692</v>
      </c>
      <c r="BC4" s="119">
        <f ca="1">Import_Frios!AJ19</f>
        <v>224738.46720340525</v>
      </c>
    </row>
    <row r="5" spans="2:58" ht="29.25" customHeight="1" x14ac:dyDescent="0.25">
      <c r="B5" s="220" t="s">
        <v>3794</v>
      </c>
      <c r="C5" s="221" t="s">
        <v>3802</v>
      </c>
      <c r="D5" s="221" t="s">
        <v>3803</v>
      </c>
      <c r="E5" s="98" t="s">
        <v>3804</v>
      </c>
      <c r="G5" s="123" t="s">
        <v>3825</v>
      </c>
      <c r="H5" s="6">
        <v>100</v>
      </c>
      <c r="I5" s="6" t="s">
        <v>3830</v>
      </c>
      <c r="J5" s="9">
        <v>634.80999999999995</v>
      </c>
      <c r="K5" s="112">
        <f>H5*J5</f>
        <v>63480.999999999993</v>
      </c>
      <c r="M5" s="527"/>
      <c r="N5" s="528"/>
      <c r="O5" s="528"/>
      <c r="P5" s="528"/>
      <c r="Q5" s="529"/>
      <c r="S5" s="506"/>
      <c r="T5" s="219" t="s">
        <v>3843</v>
      </c>
      <c r="U5" s="169">
        <f>U4/$D$15</f>
        <v>0</v>
      </c>
      <c r="V5" s="169">
        <f>V4/$D$15</f>
        <v>0</v>
      </c>
      <c r="W5" s="169">
        <f t="shared" ref="W5:BC5" si="1">W4/$D$15</f>
        <v>0</v>
      </c>
      <c r="X5" s="169">
        <f t="shared" ca="1" si="1"/>
        <v>2410.205521423828</v>
      </c>
      <c r="Y5" s="121">
        <f t="shared" ca="1" si="1"/>
        <v>4625.0496188798879</v>
      </c>
      <c r="Z5" s="121">
        <f t="shared" ca="1" si="1"/>
        <v>4292.9367705126606</v>
      </c>
      <c r="AA5" s="121">
        <f t="shared" ca="1" si="1"/>
        <v>4517.206094938676</v>
      </c>
      <c r="AB5" s="121">
        <f t="shared" ca="1" si="1"/>
        <v>3798.0760905000502</v>
      </c>
      <c r="AC5" s="121">
        <f t="shared" ca="1" si="1"/>
        <v>1975.8898939507874</v>
      </c>
      <c r="AD5" s="121">
        <f t="shared" ca="1" si="1"/>
        <v>4478.3237728252634</v>
      </c>
      <c r="AE5" s="121">
        <f t="shared" ca="1" si="1"/>
        <v>2585.6989653374026</v>
      </c>
      <c r="AF5" s="121">
        <f t="shared" ca="1" si="1"/>
        <v>4038.2370412045616</v>
      </c>
      <c r="AG5" s="121">
        <f t="shared" ca="1" si="1"/>
        <v>5674.9322069182444</v>
      </c>
      <c r="AH5" s="121">
        <f t="shared" ca="1" si="1"/>
        <v>6115.254950506016</v>
      </c>
      <c r="AI5" s="121">
        <f t="shared" ca="1" si="1"/>
        <v>5357.9148095915089</v>
      </c>
      <c r="AJ5" s="121">
        <f t="shared" ca="1" si="1"/>
        <v>7948.7796194461625</v>
      </c>
      <c r="AK5" s="121">
        <f t="shared" ca="1" si="1"/>
        <v>7099.5507541694114</v>
      </c>
      <c r="AL5" s="121">
        <f t="shared" ca="1" si="1"/>
        <v>5568.9284792634953</v>
      </c>
      <c r="AM5" s="121">
        <f t="shared" ca="1" si="1"/>
        <v>7305.6831864026526</v>
      </c>
      <c r="AN5" s="121">
        <f t="shared" ca="1" si="1"/>
        <v>10151.039840786605</v>
      </c>
      <c r="AO5" s="121">
        <f t="shared" ca="1" si="1"/>
        <v>6809.2325127659442</v>
      </c>
      <c r="AP5" s="121">
        <f t="shared" ca="1" si="1"/>
        <v>7866.4050413854984</v>
      </c>
      <c r="AQ5" s="121">
        <f t="shared" ca="1" si="1"/>
        <v>8648.5704364497706</v>
      </c>
      <c r="AR5" s="121">
        <f t="shared" ca="1" si="1"/>
        <v>11584.720663279539</v>
      </c>
      <c r="AS5" s="121">
        <f t="shared" ca="1" si="1"/>
        <v>14820.54836698152</v>
      </c>
      <c r="AT5" s="121">
        <f t="shared" ca="1" si="1"/>
        <v>15188.128001647445</v>
      </c>
      <c r="AU5" s="121">
        <f t="shared" ca="1" si="1"/>
        <v>7258.091634166678</v>
      </c>
      <c r="AV5" s="121">
        <f t="shared" ca="1" si="1"/>
        <v>15415.818400747619</v>
      </c>
      <c r="AW5" s="121">
        <f t="shared" ca="1" si="1"/>
        <v>12472.920547098765</v>
      </c>
      <c r="AX5" s="121">
        <f t="shared" ca="1" si="1"/>
        <v>19713.125505706223</v>
      </c>
      <c r="AY5" s="121">
        <f t="shared" ca="1" si="1"/>
        <v>11048.495068259774</v>
      </c>
      <c r="AZ5" s="121">
        <f t="shared" ca="1" si="1"/>
        <v>9090.3765797912874</v>
      </c>
      <c r="BA5" s="121">
        <f t="shared" ca="1" si="1"/>
        <v>11784.496239581187</v>
      </c>
      <c r="BB5" s="121">
        <f t="shared" ca="1" si="1"/>
        <v>19734.216079179274</v>
      </c>
      <c r="BC5" s="121">
        <f t="shared" ca="1" si="1"/>
        <v>15521.952323467513</v>
      </c>
    </row>
    <row r="6" spans="2:58" ht="15" customHeight="1" x14ac:dyDescent="0.25">
      <c r="B6" s="99" t="s">
        <v>3793</v>
      </c>
      <c r="C6" s="100" t="s">
        <v>3811</v>
      </c>
      <c r="D6" s="100" t="s">
        <v>3813</v>
      </c>
      <c r="E6" s="101" t="s">
        <v>3809</v>
      </c>
      <c r="G6" s="111" t="s">
        <v>3826</v>
      </c>
      <c r="H6" s="6">
        <v>10</v>
      </c>
      <c r="I6" s="6" t="s">
        <v>3832</v>
      </c>
      <c r="J6" s="9">
        <v>380.84</v>
      </c>
      <c r="K6" s="112">
        <f>H6*J6</f>
        <v>3808.3999999999996</v>
      </c>
      <c r="M6" s="527"/>
      <c r="N6" s="528"/>
      <c r="O6" s="528"/>
      <c r="P6" s="528"/>
      <c r="Q6" s="529"/>
      <c r="S6" s="506"/>
      <c r="T6" s="219" t="s">
        <v>3842</v>
      </c>
      <c r="U6" s="88">
        <f>U5*$J16</f>
        <v>0</v>
      </c>
      <c r="V6" s="88">
        <f t="shared" ref="V6:BC6" si="2">V5*$J16</f>
        <v>0</v>
      </c>
      <c r="W6" s="88">
        <f t="shared" si="2"/>
        <v>0</v>
      </c>
      <c r="X6" s="88">
        <f t="shared" ca="1" si="2"/>
        <v>2765410.0421847687</v>
      </c>
      <c r="Y6" s="88">
        <f t="shared" ca="1" si="2"/>
        <v>5306667.2314722352</v>
      </c>
      <c r="Z6" s="88">
        <f t="shared" ca="1" si="2"/>
        <v>4925609.185654318</v>
      </c>
      <c r="AA6" s="88">
        <f t="shared" ca="1" si="2"/>
        <v>5182930.2466214821</v>
      </c>
      <c r="AB6" s="88">
        <f t="shared" ca="1" si="2"/>
        <v>4357818.3139527133</v>
      </c>
      <c r="AC6" s="88">
        <f t="shared" ca="1" si="2"/>
        <v>2267087.0622497634</v>
      </c>
      <c r="AD6" s="88">
        <f t="shared" ca="1" si="2"/>
        <v>5138317.6345101409</v>
      </c>
      <c r="AE6" s="88">
        <f t="shared" ca="1" si="2"/>
        <v>2966766.8674937952</v>
      </c>
      <c r="AF6" s="88">
        <f t="shared" ca="1" si="2"/>
        <v>4633373.0327994917</v>
      </c>
      <c r="AG6" s="88">
        <f t="shared" ca="1" si="2"/>
        <v>6511276.4758992614</v>
      </c>
      <c r="AH6" s="88">
        <f t="shared" ca="1" si="2"/>
        <v>7016491.8718878301</v>
      </c>
      <c r="AI6" s="88">
        <f t="shared" ca="1" si="2"/>
        <v>6147538.5762380194</v>
      </c>
      <c r="AJ6" s="88">
        <f t="shared" ca="1" si="2"/>
        <v>9120232.6056179646</v>
      </c>
      <c r="AK6" s="88">
        <f t="shared" ca="1" si="2"/>
        <v>8145848.4664752791</v>
      </c>
      <c r="AL6" s="88">
        <f t="shared" ca="1" si="2"/>
        <v>6389650.4276806489</v>
      </c>
      <c r="AM6" s="88">
        <f t="shared" ca="1" si="2"/>
        <v>8382359.7071353802</v>
      </c>
      <c r="AN6" s="88">
        <f t="shared" ca="1" si="2"/>
        <v>11647051.367530499</v>
      </c>
      <c r="AO6" s="88">
        <f t="shared" ca="1" si="2"/>
        <v>7812744.5161813274</v>
      </c>
      <c r="AP6" s="88">
        <f t="shared" ca="1" si="2"/>
        <v>9025718.0576406941</v>
      </c>
      <c r="AQ6" s="88">
        <f t="shared" ca="1" si="2"/>
        <v>9923155.2342356425</v>
      </c>
      <c r="AR6" s="88">
        <f t="shared" ca="1" si="2"/>
        <v>13292021.187974492</v>
      </c>
      <c r="AS6" s="88">
        <f t="shared" ca="1" si="2"/>
        <v>17004729.646675095</v>
      </c>
      <c r="AT6" s="88">
        <f t="shared" ca="1" si="2"/>
        <v>17426481.403515838</v>
      </c>
      <c r="AU6" s="88">
        <f t="shared" ca="1" si="2"/>
        <v>8327754.3403703189</v>
      </c>
      <c r="AV6" s="88">
        <f t="shared" ca="1" si="2"/>
        <v>17687727.72072148</v>
      </c>
      <c r="AW6" s="88">
        <f t="shared" ca="1" si="2"/>
        <v>14311119.707311554</v>
      </c>
      <c r="AX6" s="88">
        <f t="shared" ca="1" si="2"/>
        <v>22618351.319734778</v>
      </c>
      <c r="AY6" s="88">
        <f t="shared" ca="1" si="2"/>
        <v>12676769.238643572</v>
      </c>
      <c r="AZ6" s="88">
        <f t="shared" ca="1" si="2"/>
        <v>10430072.646313343</v>
      </c>
      <c r="BA6" s="88">
        <f t="shared" ca="1" si="2"/>
        <v>13521238.729788711</v>
      </c>
      <c r="BB6" s="88">
        <f t="shared" ca="1" si="2"/>
        <v>22642550.120691534</v>
      </c>
      <c r="BC6" s="88">
        <f t="shared" ca="1" si="2"/>
        <v>17809503.151529003</v>
      </c>
    </row>
    <row r="7" spans="2:58" ht="15.75" customHeight="1" x14ac:dyDescent="0.25">
      <c r="B7" s="102">
        <v>100</v>
      </c>
      <c r="C7" s="6" t="s">
        <v>3812</v>
      </c>
      <c r="D7" s="6" t="s">
        <v>3814</v>
      </c>
      <c r="E7" s="101" t="s">
        <v>3810</v>
      </c>
      <c r="G7" s="111" t="s">
        <v>3827</v>
      </c>
      <c r="H7" s="6">
        <v>100</v>
      </c>
      <c r="I7" s="6" t="s">
        <v>3830</v>
      </c>
      <c r="J7" s="9">
        <v>337.55</v>
      </c>
      <c r="K7" s="112">
        <f>H7*J7</f>
        <v>33755</v>
      </c>
      <c r="M7" s="527" t="s">
        <v>3838</v>
      </c>
      <c r="N7" s="528">
        <v>7</v>
      </c>
      <c r="O7" s="528" t="s">
        <v>3837</v>
      </c>
      <c r="P7" s="528">
        <v>214.22</v>
      </c>
      <c r="Q7" s="529">
        <f>N7*P7</f>
        <v>1499.54</v>
      </c>
      <c r="S7" s="1" t="s">
        <v>4004</v>
      </c>
      <c r="T7" s="214"/>
    </row>
    <row r="8" spans="2:58" ht="14.25" customHeight="1" thickBot="1" x14ac:dyDescent="0.3">
      <c r="B8" s="99" t="s">
        <v>3805</v>
      </c>
      <c r="C8" s="100" t="s">
        <v>3807</v>
      </c>
      <c r="D8" s="100" t="s">
        <v>3808</v>
      </c>
      <c r="E8" s="524" t="s">
        <v>3821</v>
      </c>
      <c r="G8" s="525" t="s">
        <v>3834</v>
      </c>
      <c r="H8" s="526"/>
      <c r="I8" s="526"/>
      <c r="J8" s="526"/>
      <c r="K8" s="113">
        <f>SUM(K3:K7)</f>
        <v>112880.91999999998</v>
      </c>
      <c r="M8" s="527"/>
      <c r="N8" s="528"/>
      <c r="O8" s="528"/>
      <c r="P8" s="528"/>
      <c r="Q8" s="529"/>
      <c r="S8" s="506" t="s">
        <v>3844</v>
      </c>
      <c r="T8" s="507" t="s">
        <v>3256</v>
      </c>
      <c r="U8" s="58">
        <v>2026</v>
      </c>
      <c r="V8" s="17">
        <v>2027</v>
      </c>
      <c r="W8" s="58">
        <v>2028</v>
      </c>
      <c r="X8" s="17">
        <v>2029</v>
      </c>
      <c r="Y8" s="58">
        <v>2030</v>
      </c>
      <c r="Z8" s="17">
        <v>2031</v>
      </c>
      <c r="AA8" s="58">
        <v>2032</v>
      </c>
      <c r="AB8" s="17">
        <v>2033</v>
      </c>
      <c r="AC8" s="58">
        <v>2034</v>
      </c>
      <c r="AD8" s="17">
        <v>2035</v>
      </c>
      <c r="AE8" s="58">
        <v>2036</v>
      </c>
      <c r="AF8" s="17">
        <v>2037</v>
      </c>
      <c r="AG8" s="58">
        <v>2038</v>
      </c>
      <c r="AH8" s="17">
        <v>2039</v>
      </c>
      <c r="AI8" s="58">
        <v>2040</v>
      </c>
      <c r="AJ8" s="17">
        <v>2041</v>
      </c>
      <c r="AK8" s="58">
        <v>2042</v>
      </c>
      <c r="AL8" s="17">
        <v>2043</v>
      </c>
      <c r="AM8" s="58">
        <v>2044</v>
      </c>
      <c r="AN8" s="17">
        <v>2045</v>
      </c>
      <c r="AO8" s="58">
        <v>2046</v>
      </c>
      <c r="AP8" s="17">
        <v>2047</v>
      </c>
      <c r="AQ8" s="58">
        <v>2048</v>
      </c>
      <c r="AR8" s="17">
        <v>2049</v>
      </c>
      <c r="AS8" s="58">
        <v>2050</v>
      </c>
      <c r="AT8" s="17">
        <v>2051</v>
      </c>
      <c r="AU8" s="58">
        <v>2052</v>
      </c>
      <c r="AV8" s="17">
        <v>2053</v>
      </c>
      <c r="AW8" s="58">
        <v>2054</v>
      </c>
      <c r="AX8" s="17">
        <v>2055</v>
      </c>
      <c r="AY8" s="58">
        <v>2056</v>
      </c>
      <c r="AZ8" s="17">
        <v>2057</v>
      </c>
      <c r="BA8" s="58">
        <v>2058</v>
      </c>
      <c r="BB8" s="17">
        <v>2059</v>
      </c>
      <c r="BC8" s="58">
        <v>2060</v>
      </c>
    </row>
    <row r="9" spans="2:58" ht="14.25" customHeight="1" thickBot="1" x14ac:dyDescent="0.3">
      <c r="B9" s="102" t="s">
        <v>3806</v>
      </c>
      <c r="C9" s="6" t="s">
        <v>3814</v>
      </c>
      <c r="D9" s="6" t="s">
        <v>3814</v>
      </c>
      <c r="E9" s="524"/>
      <c r="M9" s="527"/>
      <c r="N9" s="528"/>
      <c r="O9" s="528"/>
      <c r="P9" s="528"/>
      <c r="Q9" s="529"/>
      <c r="S9" s="506"/>
      <c r="T9" s="507"/>
      <c r="U9" s="58" t="s">
        <v>3701</v>
      </c>
      <c r="V9" s="17" t="s">
        <v>3702</v>
      </c>
      <c r="W9" s="58" t="s">
        <v>3703</v>
      </c>
      <c r="X9" s="17" t="s">
        <v>3704</v>
      </c>
      <c r="Y9" s="58" t="s">
        <v>3705</v>
      </c>
      <c r="Z9" s="17" t="s">
        <v>3706</v>
      </c>
      <c r="AA9" s="58" t="s">
        <v>3707</v>
      </c>
      <c r="AB9" s="17" t="s">
        <v>3708</v>
      </c>
      <c r="AC9" s="58" t="s">
        <v>3709</v>
      </c>
      <c r="AD9" s="17" t="s">
        <v>3710</v>
      </c>
      <c r="AE9" s="58" t="s">
        <v>3711</v>
      </c>
      <c r="AF9" s="17" t="s">
        <v>3712</v>
      </c>
      <c r="AG9" s="58" t="s">
        <v>3713</v>
      </c>
      <c r="AH9" s="17" t="s">
        <v>3714</v>
      </c>
      <c r="AI9" s="58" t="s">
        <v>3715</v>
      </c>
      <c r="AJ9" s="17" t="s">
        <v>3716</v>
      </c>
      <c r="AK9" s="58" t="s">
        <v>3717</v>
      </c>
      <c r="AL9" s="17" t="s">
        <v>3718</v>
      </c>
      <c r="AM9" s="58" t="s">
        <v>3719</v>
      </c>
      <c r="AN9" s="17" t="s">
        <v>3720</v>
      </c>
      <c r="AO9" s="58" t="s">
        <v>3721</v>
      </c>
      <c r="AP9" s="17" t="s">
        <v>3722</v>
      </c>
      <c r="AQ9" s="58" t="s">
        <v>3723</v>
      </c>
      <c r="AR9" s="17" t="s">
        <v>3724</v>
      </c>
      <c r="AS9" s="58" t="s">
        <v>3725</v>
      </c>
      <c r="AT9" s="17" t="s">
        <v>3726</v>
      </c>
      <c r="AU9" s="58" t="s">
        <v>3727</v>
      </c>
      <c r="AV9" s="17" t="s">
        <v>3728</v>
      </c>
      <c r="AW9" s="58" t="s">
        <v>3729</v>
      </c>
      <c r="AX9" s="17" t="s">
        <v>3730</v>
      </c>
      <c r="AY9" s="58" t="s">
        <v>3731</v>
      </c>
      <c r="AZ9" s="17" t="s">
        <v>3732</v>
      </c>
      <c r="BA9" s="58" t="s">
        <v>3733</v>
      </c>
      <c r="BB9" s="17" t="s">
        <v>3734</v>
      </c>
      <c r="BC9" s="58" t="s">
        <v>3735</v>
      </c>
    </row>
    <row r="10" spans="2:58" ht="15" customHeight="1" x14ac:dyDescent="0.25">
      <c r="B10" s="99" t="s">
        <v>3815</v>
      </c>
      <c r="C10" s="100" t="s">
        <v>3816</v>
      </c>
      <c r="D10" s="100" t="s">
        <v>3817</v>
      </c>
      <c r="E10" s="103" t="s">
        <v>3819</v>
      </c>
      <c r="G10" s="520" t="s">
        <v>3834</v>
      </c>
      <c r="H10" s="521"/>
      <c r="I10" s="93"/>
      <c r="J10" s="94"/>
      <c r="M10" s="527"/>
      <c r="N10" s="528"/>
      <c r="O10" s="528"/>
      <c r="P10" s="528"/>
      <c r="Q10" s="529"/>
      <c r="S10" s="506"/>
      <c r="T10" s="219" t="s">
        <v>3841</v>
      </c>
      <c r="U10" s="169">
        <v>0</v>
      </c>
      <c r="V10" s="169">
        <v>0</v>
      </c>
      <c r="W10" s="169">
        <v>0</v>
      </c>
      <c r="X10" s="169">
        <v>0</v>
      </c>
      <c r="Y10" s="119">
        <f ca="1">Export_Frutas!F32</f>
        <v>179147.13417883191</v>
      </c>
      <c r="Z10" s="119">
        <f ca="1">Export_Frutas!G32</f>
        <v>202897.53026960927</v>
      </c>
      <c r="AA10" s="119">
        <f ca="1">Export_Frutas!H32</f>
        <v>196335.12058953726</v>
      </c>
      <c r="AB10" s="119">
        <f ca="1">Export_Frutas!I32</f>
        <v>230039.25071361067</v>
      </c>
      <c r="AC10" s="119">
        <f ca="1">Export_Frutas!J32</f>
        <v>252586.04216785281</v>
      </c>
      <c r="AD10" s="119">
        <f ca="1">Export_Frutas!K32</f>
        <v>256186.15777280513</v>
      </c>
      <c r="AE10" s="119">
        <f ca="1">Export_Frutas!L32</f>
        <v>216665.71010782741</v>
      </c>
      <c r="AF10" s="119">
        <f ca="1">Export_Frutas!M32</f>
        <v>266219.39109000971</v>
      </c>
      <c r="AG10" s="119">
        <f ca="1">Export_Frutas!N32</f>
        <v>259511.02885616611</v>
      </c>
      <c r="AH10" s="119">
        <f ca="1">Export_Frutas!O32</f>
        <v>265294.62617756944</v>
      </c>
      <c r="AI10" s="119">
        <f ca="1">Export_Frutas!P32</f>
        <v>266432.82135505782</v>
      </c>
      <c r="AJ10" s="119">
        <f ca="1">Export_Frutas!Q32</f>
        <v>281469.71496683004</v>
      </c>
      <c r="AK10" s="119">
        <f ca="1">Export_Frutas!R32</f>
        <v>284147.37351364462</v>
      </c>
      <c r="AL10" s="119">
        <f ca="1">Export_Frutas!S32</f>
        <v>330859.30142199952</v>
      </c>
      <c r="AM10" s="119">
        <f ca="1">Export_Frutas!T32</f>
        <v>357842.03156426665</v>
      </c>
      <c r="AN10" s="119">
        <f ca="1">Export_Frutas!U32</f>
        <v>392977.99055686384</v>
      </c>
      <c r="AO10" s="119">
        <f ca="1">Export_Frutas!V32</f>
        <v>384240.34034374129</v>
      </c>
      <c r="AP10" s="119">
        <f ca="1">Export_Frutas!W32</f>
        <v>395865.51067129016</v>
      </c>
      <c r="AQ10" s="119">
        <f ca="1">Export_Frutas!X32</f>
        <v>417183.82233465195</v>
      </c>
      <c r="AR10" s="119">
        <f ca="1">Export_Frutas!Y32</f>
        <v>433012.26010702248</v>
      </c>
      <c r="AS10" s="119">
        <f ca="1">Export_Frutas!Z32</f>
        <v>436085.89672202314</v>
      </c>
      <c r="AT10" s="119">
        <f ca="1">Export_Frutas!AA32</f>
        <v>451730.68683470419</v>
      </c>
      <c r="AU10" s="119">
        <f ca="1">Export_Frutas!AB32</f>
        <v>442377.32964535855</v>
      </c>
      <c r="AV10" s="119">
        <f ca="1">Export_Frutas!AC32</f>
        <v>486352.66298783117</v>
      </c>
      <c r="AW10" s="119">
        <f ca="1">Export_Frutas!AD32</f>
        <v>582162.52723797306</v>
      </c>
      <c r="AX10" s="119">
        <f ca="1">Export_Frutas!AE32</f>
        <v>536938.38037663151</v>
      </c>
      <c r="AY10" s="119">
        <f ca="1">Export_Frutas!AF32</f>
        <v>555650.75963073201</v>
      </c>
      <c r="AZ10" s="119">
        <f ca="1">Export_Frutas!AG32</f>
        <v>687050.06344267412</v>
      </c>
      <c r="BA10" s="119">
        <f ca="1">Export_Frutas!AH32</f>
        <v>581861.46304053394</v>
      </c>
      <c r="BB10" s="119">
        <f ca="1">Export_Frutas!AI32</f>
        <v>673281.98736647889</v>
      </c>
      <c r="BC10" s="119">
        <f ca="1">Export_Frutas!AJ32</f>
        <v>648581.03929101583</v>
      </c>
    </row>
    <row r="11" spans="2:58" ht="18" customHeight="1" thickBot="1" x14ac:dyDescent="0.3">
      <c r="B11" s="104" t="s">
        <v>3818</v>
      </c>
      <c r="C11" s="105" t="s">
        <v>3814</v>
      </c>
      <c r="D11" s="105" t="s">
        <v>3814</v>
      </c>
      <c r="E11" s="97" t="s">
        <v>3820</v>
      </c>
      <c r="G11" s="510" t="s">
        <v>3822</v>
      </c>
      <c r="H11" s="511"/>
      <c r="I11" s="512">
        <f>K8</f>
        <v>112880.91999999998</v>
      </c>
      <c r="J11" s="513"/>
      <c r="M11" s="522" t="s">
        <v>3834</v>
      </c>
      <c r="N11" s="523"/>
      <c r="O11" s="523"/>
      <c r="P11" s="523"/>
      <c r="Q11" s="122">
        <f>SUM(Q3:Q10)</f>
        <v>1856.6</v>
      </c>
      <c r="S11" s="506"/>
      <c r="T11" s="219" t="s">
        <v>3843</v>
      </c>
      <c r="U11" s="169">
        <f>(80%)*U10/$D$15</f>
        <v>0</v>
      </c>
      <c r="V11" s="169">
        <f t="shared" ref="V11:BC11" si="3">(80%)*V10/$D$15</f>
        <v>0</v>
      </c>
      <c r="W11" s="169">
        <f t="shared" si="3"/>
        <v>0</v>
      </c>
      <c r="X11" s="169">
        <f t="shared" si="3"/>
        <v>0</v>
      </c>
      <c r="Y11" s="121">
        <f t="shared" ca="1" si="3"/>
        <v>9898.4862189806117</v>
      </c>
      <c r="Z11" s="121">
        <f t="shared" ca="1" si="3"/>
        <v>11210.776083272895</v>
      </c>
      <c r="AA11" s="121">
        <f t="shared" ca="1" si="3"/>
        <v>10848.18071115461</v>
      </c>
      <c r="AB11" s="121">
        <f t="shared" ca="1" si="3"/>
        <v>12710.448109877478</v>
      </c>
      <c r="AC11" s="121">
        <f t="shared" ca="1" si="3"/>
        <v>13956.234739482501</v>
      </c>
      <c r="AD11" s="121">
        <f t="shared" ca="1" si="3"/>
        <v>14155.153325960055</v>
      </c>
      <c r="AE11" s="121">
        <f t="shared" ca="1" si="3"/>
        <v>11971.514674005834</v>
      </c>
      <c r="AF11" s="121">
        <f t="shared" ca="1" si="3"/>
        <v>14709.523465216804</v>
      </c>
      <c r="AG11" s="121">
        <f t="shared" ca="1" si="3"/>
        <v>14338.863719929752</v>
      </c>
      <c r="AH11" s="121">
        <f t="shared" ca="1" si="3"/>
        <v>14658.427070158374</v>
      </c>
      <c r="AI11" s="121">
        <f t="shared" ca="1" si="3"/>
        <v>14721.316210587673</v>
      </c>
      <c r="AJ11" s="121">
        <f t="shared" ca="1" si="3"/>
        <v>15552.155536456121</v>
      </c>
      <c r="AK11" s="121">
        <f t="shared" ca="1" si="3"/>
        <v>15700.105244645823</v>
      </c>
      <c r="AL11" s="121">
        <f t="shared" ca="1" si="3"/>
        <v>18281.097549001097</v>
      </c>
      <c r="AM11" s="121">
        <f t="shared" ca="1" si="3"/>
        <v>19771.984822682436</v>
      </c>
      <c r="AN11" s="121">
        <f t="shared" ca="1" si="3"/>
        <v>21713.365618267537</v>
      </c>
      <c r="AO11" s="121">
        <f t="shared" ca="1" si="3"/>
        <v>21230.580835707024</v>
      </c>
      <c r="AP11" s="121">
        <f t="shared" ca="1" si="3"/>
        <v>21872.91088920191</v>
      </c>
      <c r="AQ11" s="121">
        <f t="shared" ca="1" si="3"/>
        <v>23050.819847550487</v>
      </c>
      <c r="AR11" s="121">
        <f t="shared" ca="1" si="3"/>
        <v>23925.394670508023</v>
      </c>
      <c r="AS11" s="121">
        <f t="shared" ca="1" si="3"/>
        <v>24095.223508771029</v>
      </c>
      <c r="AT11" s="121">
        <f t="shared" ca="1" si="3"/>
        <v>24959.651176224703</v>
      </c>
      <c r="AU11" s="121">
        <f t="shared" ca="1" si="3"/>
        <v>24442.846496851376</v>
      </c>
      <c r="AV11" s="121">
        <f t="shared" ca="1" si="3"/>
        <v>26872.632678253645</v>
      </c>
      <c r="AW11" s="121">
        <f t="shared" ca="1" si="3"/>
        <v>32166.452338107814</v>
      </c>
      <c r="AX11" s="121">
        <f t="shared" ca="1" si="3"/>
        <v>29667.664978075125</v>
      </c>
      <c r="AY11" s="121">
        <f t="shared" ca="1" si="3"/>
        <v>30701.587340384056</v>
      </c>
      <c r="AZ11" s="121">
        <f t="shared" ca="1" si="3"/>
        <v>37961.844133930026</v>
      </c>
      <c r="BA11" s="121">
        <f t="shared" ca="1" si="3"/>
        <v>32149.817521017161</v>
      </c>
      <c r="BB11" s="121">
        <f t="shared" ca="1" si="3"/>
        <v>37201.111276400457</v>
      </c>
      <c r="BC11" s="121">
        <f t="shared" ca="1" si="3"/>
        <v>35836.300193926458</v>
      </c>
    </row>
    <row r="12" spans="2:58" ht="16.5" thickBot="1" x14ac:dyDescent="0.3">
      <c r="B12" s="6"/>
      <c r="C12" s="6"/>
      <c r="D12" s="6"/>
      <c r="E12" s="6"/>
      <c r="G12" s="510" t="s">
        <v>3835</v>
      </c>
      <c r="H12" s="511"/>
      <c r="I12" s="512">
        <f>Q11</f>
        <v>1856.6</v>
      </c>
      <c r="J12" s="513"/>
      <c r="S12" s="506"/>
      <c r="T12" s="219" t="s">
        <v>3755</v>
      </c>
      <c r="U12" s="169">
        <f>20%*U10</f>
        <v>0</v>
      </c>
      <c r="V12" s="169">
        <f t="shared" ref="V12:BC12" si="4">20%*V10</f>
        <v>0</v>
      </c>
      <c r="W12" s="169">
        <f t="shared" si="4"/>
        <v>0</v>
      </c>
      <c r="X12" s="169">
        <f t="shared" si="4"/>
        <v>0</v>
      </c>
      <c r="Y12" s="119">
        <f t="shared" ca="1" si="4"/>
        <v>35829.426835766382</v>
      </c>
      <c r="Z12" s="119">
        <f t="shared" ca="1" si="4"/>
        <v>40579.506053921854</v>
      </c>
      <c r="AA12" s="119">
        <f t="shared" ca="1" si="4"/>
        <v>39267.024117907451</v>
      </c>
      <c r="AB12" s="119">
        <f t="shared" ca="1" si="4"/>
        <v>46007.850142722134</v>
      </c>
      <c r="AC12" s="119">
        <f t="shared" ca="1" si="4"/>
        <v>50517.208433570566</v>
      </c>
      <c r="AD12" s="119">
        <f t="shared" ca="1" si="4"/>
        <v>51237.231554561033</v>
      </c>
      <c r="AE12" s="119">
        <f t="shared" ca="1" si="4"/>
        <v>43333.142021565487</v>
      </c>
      <c r="AF12" s="119">
        <f t="shared" ca="1" si="4"/>
        <v>53243.878218001948</v>
      </c>
      <c r="AG12" s="119">
        <f t="shared" ca="1" si="4"/>
        <v>51902.205771233224</v>
      </c>
      <c r="AH12" s="119">
        <f t="shared" ca="1" si="4"/>
        <v>53058.925235513889</v>
      </c>
      <c r="AI12" s="119">
        <f t="shared" ca="1" si="4"/>
        <v>53286.564271011564</v>
      </c>
      <c r="AJ12" s="119">
        <f t="shared" ca="1" si="4"/>
        <v>56293.942993366014</v>
      </c>
      <c r="AK12" s="119">
        <f t="shared" ca="1" si="4"/>
        <v>56829.474702728927</v>
      </c>
      <c r="AL12" s="119">
        <f t="shared" ca="1" si="4"/>
        <v>66171.860284399911</v>
      </c>
      <c r="AM12" s="119">
        <f t="shared" ca="1" si="4"/>
        <v>71568.406312853331</v>
      </c>
      <c r="AN12" s="119">
        <f t="shared" ca="1" si="4"/>
        <v>78595.598111372776</v>
      </c>
      <c r="AO12" s="119">
        <f t="shared" ca="1" si="4"/>
        <v>76848.068068748267</v>
      </c>
      <c r="AP12" s="119">
        <f t="shared" ca="1" si="4"/>
        <v>79173.102134258035</v>
      </c>
      <c r="AQ12" s="119">
        <f t="shared" ca="1" si="4"/>
        <v>83436.764466930399</v>
      </c>
      <c r="AR12" s="119">
        <f t="shared" ca="1" si="4"/>
        <v>86602.452021404504</v>
      </c>
      <c r="AS12" s="119">
        <f t="shared" ca="1" si="4"/>
        <v>87217.179344404634</v>
      </c>
      <c r="AT12" s="119">
        <f t="shared" ca="1" si="4"/>
        <v>90346.137366940849</v>
      </c>
      <c r="AU12" s="119">
        <f t="shared" ca="1" si="4"/>
        <v>88475.46592907171</v>
      </c>
      <c r="AV12" s="119">
        <f t="shared" ca="1" si="4"/>
        <v>97270.532597566242</v>
      </c>
      <c r="AW12" s="119">
        <f t="shared" ca="1" si="4"/>
        <v>116432.50544759462</v>
      </c>
      <c r="AX12" s="119">
        <f t="shared" ca="1" si="4"/>
        <v>107387.67607532631</v>
      </c>
      <c r="AY12" s="119">
        <f t="shared" ca="1" si="4"/>
        <v>111130.15192614641</v>
      </c>
      <c r="AZ12" s="119">
        <f t="shared" ca="1" si="4"/>
        <v>137410.01268853483</v>
      </c>
      <c r="BA12" s="119">
        <f t="shared" ca="1" si="4"/>
        <v>116372.2926081068</v>
      </c>
      <c r="BB12" s="119">
        <f t="shared" ca="1" si="4"/>
        <v>134656.39747329577</v>
      </c>
      <c r="BC12" s="119">
        <f t="shared" ca="1" si="4"/>
        <v>129716.20785820317</v>
      </c>
    </row>
    <row r="13" spans="2:58" ht="15" customHeight="1" x14ac:dyDescent="0.25">
      <c r="B13" s="508" t="s">
        <v>3790</v>
      </c>
      <c r="C13" s="509"/>
      <c r="D13" s="106" t="s">
        <v>3791</v>
      </c>
      <c r="E13" s="6"/>
      <c r="G13" s="510" t="s">
        <v>3834</v>
      </c>
      <c r="H13" s="511"/>
      <c r="I13" s="512">
        <f>SUM(I11:J12)</f>
        <v>114737.51999999999</v>
      </c>
      <c r="J13" s="513"/>
      <c r="K13" s="91"/>
      <c r="P13" s="174" t="s">
        <v>4001</v>
      </c>
      <c r="Q13" s="175">
        <f>1499.46*100%</f>
        <v>1499.46</v>
      </c>
      <c r="S13" s="506"/>
      <c r="T13" s="219" t="s">
        <v>4002</v>
      </c>
      <c r="U13" s="169">
        <f>U11*$J16</f>
        <v>0</v>
      </c>
      <c r="V13" s="169">
        <f t="shared" ref="V13:BC13" si="5">V11*$J16</f>
        <v>0</v>
      </c>
      <c r="W13" s="169">
        <f t="shared" si="5"/>
        <v>0</v>
      </c>
      <c r="X13" s="169">
        <f t="shared" si="5"/>
        <v>0</v>
      </c>
      <c r="Y13" s="169">
        <f t="shared" ca="1" si="5"/>
        <v>11357277.605200123</v>
      </c>
      <c r="Z13" s="169">
        <f t="shared" ca="1" si="5"/>
        <v>12862966.450700453</v>
      </c>
      <c r="AA13" s="169">
        <f t="shared" ca="1" si="5"/>
        <v>12446933.513097161</v>
      </c>
      <c r="AB13" s="169">
        <f t="shared" ca="1" si="5"/>
        <v>14583652.942160292</v>
      </c>
      <c r="AC13" s="169">
        <f t="shared" ca="1" si="5"/>
        <v>16013037.625460682</v>
      </c>
      <c r="AD13" s="169">
        <f t="shared" ca="1" si="5"/>
        <v>16241271.878404083</v>
      </c>
      <c r="AE13" s="169">
        <f t="shared" ca="1" si="5"/>
        <v>13735819.043390378</v>
      </c>
      <c r="AF13" s="169">
        <f t="shared" ca="1" si="5"/>
        <v>16877342.427807823</v>
      </c>
      <c r="AG13" s="169">
        <f t="shared" ca="1" si="5"/>
        <v>16452056.628427142</v>
      </c>
      <c r="AH13" s="169">
        <f t="shared" ca="1" si="5"/>
        <v>16818715.691308375</v>
      </c>
      <c r="AI13" s="169">
        <f t="shared" ca="1" si="5"/>
        <v>16890873.131386273</v>
      </c>
      <c r="AJ13" s="169">
        <f t="shared" ca="1" si="5"/>
        <v>17844157.569072448</v>
      </c>
      <c r="AK13" s="169">
        <f t="shared" ca="1" si="5"/>
        <v>18013911.395096552</v>
      </c>
      <c r="AL13" s="169">
        <f t="shared" ca="1" si="5"/>
        <v>20975277.956504643</v>
      </c>
      <c r="AM13" s="169">
        <f t="shared" ca="1" si="5"/>
        <v>22685885.040322222</v>
      </c>
      <c r="AN13" s="169">
        <f t="shared" ca="1" si="5"/>
        <v>24913377.218932837</v>
      </c>
      <c r="AO13" s="169">
        <f t="shared" ca="1" si="5"/>
        <v>24359441.932485513</v>
      </c>
      <c r="AP13" s="169">
        <f t="shared" ca="1" si="5"/>
        <v>25096435.506080218</v>
      </c>
      <c r="AQ13" s="169">
        <f t="shared" ca="1" si="5"/>
        <v>26447939.032747209</v>
      </c>
      <c r="AR13" s="169">
        <f t="shared" ca="1" si="5"/>
        <v>27451404.495153077</v>
      </c>
      <c r="AS13" s="169">
        <f t="shared" ca="1" si="5"/>
        <v>27646261.892420858</v>
      </c>
      <c r="AT13" s="169">
        <f t="shared" ca="1" si="5"/>
        <v>28638084.760251053</v>
      </c>
      <c r="AU13" s="169">
        <f t="shared" ca="1" si="5"/>
        <v>28045115.887894146</v>
      </c>
      <c r="AV13" s="169">
        <f t="shared" ca="1" si="5"/>
        <v>30832992.29373781</v>
      </c>
      <c r="AW13" s="169">
        <f t="shared" ca="1" si="5"/>
        <v>36906989.684726916</v>
      </c>
      <c r="AX13" s="169">
        <f t="shared" ca="1" si="5"/>
        <v>34039943.037751943</v>
      </c>
      <c r="AY13" s="169">
        <f t="shared" ca="1" si="5"/>
        <v>35226239.914990626</v>
      </c>
      <c r="AZ13" s="169">
        <f t="shared" ca="1" si="5"/>
        <v>43556478.505536787</v>
      </c>
      <c r="BA13" s="169">
        <f t="shared" ca="1" si="5"/>
        <v>36887903.308140568</v>
      </c>
      <c r="BB13" s="169">
        <f t="shared" ca="1" si="5"/>
        <v>42683632.490982227</v>
      </c>
      <c r="BC13" s="169">
        <f t="shared" ca="1" si="5"/>
        <v>41117682.102266409</v>
      </c>
    </row>
    <row r="14" spans="2:58" ht="16.5" thickBot="1" x14ac:dyDescent="0.3">
      <c r="B14" s="107">
        <v>0.6</v>
      </c>
      <c r="C14" s="89">
        <v>0.75</v>
      </c>
      <c r="D14" s="108">
        <v>21.45</v>
      </c>
      <c r="E14" s="6"/>
      <c r="G14" s="514" t="s">
        <v>3839</v>
      </c>
      <c r="H14" s="515"/>
      <c r="I14" s="516">
        <f>I13/B7</f>
        <v>1147.3751999999999</v>
      </c>
      <c r="J14" s="517"/>
      <c r="S14" s="506"/>
      <c r="T14" s="219" t="s">
        <v>3999</v>
      </c>
      <c r="U14" s="169">
        <f>U12*Import_CG!$H6</f>
        <v>0</v>
      </c>
      <c r="V14" s="169">
        <f>V12*Import_CG!$H6</f>
        <v>0</v>
      </c>
      <c r="W14" s="169">
        <f>W12*Import_CG!$H6</f>
        <v>0</v>
      </c>
      <c r="X14" s="169">
        <f>X12*Import_CG!$H6</f>
        <v>0</v>
      </c>
      <c r="Y14" s="169">
        <f ca="1">Y12*Import_CG!$H6</f>
        <v>1297086.9133042432</v>
      </c>
      <c r="Z14" s="169">
        <f ca="1">Z12*Import_CG!$H6</f>
        <v>1469047.9558090451</v>
      </c>
      <c r="AA14" s="169">
        <f ca="1">AA12*Import_CG!$H6</f>
        <v>1421533.850965674</v>
      </c>
      <c r="AB14" s="169">
        <f ca="1">AB12*Import_CG!$H6</f>
        <v>1665563.3539137854</v>
      </c>
      <c r="AC14" s="169">
        <f ca="1">AC12*Import_CG!$H6</f>
        <v>1828809.8845733479</v>
      </c>
      <c r="AD14" s="169">
        <f ca="1">AD12*Import_CG!$H6</f>
        <v>1854875.9607010554</v>
      </c>
      <c r="AE14" s="169">
        <f ca="1">AE12*Import_CG!$H6</f>
        <v>1568734.3167995873</v>
      </c>
      <c r="AF14" s="169">
        <f ca="1">AF12*Import_CG!$H6</f>
        <v>1927520.0233232523</v>
      </c>
      <c r="AG14" s="169">
        <f ca="1">AG12*Import_CG!$H6</f>
        <v>1878949.1717541898</v>
      </c>
      <c r="AH14" s="169">
        <f ca="1">AH12*Import_CG!$H6</f>
        <v>1920824.4070561684</v>
      </c>
      <c r="AI14" s="169">
        <f ca="1">AI12*Import_CG!$H6</f>
        <v>1929065.3319041899</v>
      </c>
      <c r="AJ14" s="169">
        <f ca="1">AJ12*Import_CG!$H6</f>
        <v>2037937.6173023372</v>
      </c>
      <c r="AK14" s="169">
        <f ca="1">AK12*Import_CG!$H6</f>
        <v>2057324.7868224666</v>
      </c>
      <c r="AL14" s="169">
        <f ca="1">AL12*Import_CG!$H6</f>
        <v>2395535.2229696373</v>
      </c>
      <c r="AM14" s="169">
        <f ca="1">AM12*Import_CG!$H6</f>
        <v>2590899.4765658863</v>
      </c>
      <c r="AN14" s="169">
        <f ca="1">AN12*Import_CG!$H6</f>
        <v>2845295.9133528583</v>
      </c>
      <c r="AO14" s="169">
        <f ca="1">AO12*Import_CG!$H6</f>
        <v>2782032.3183396235</v>
      </c>
      <c r="AP14" s="169">
        <f ca="1">AP12*Import_CG!$H6</f>
        <v>2866202.5528561529</v>
      </c>
      <c r="AQ14" s="169">
        <f ca="1">AQ12*Import_CG!$H6</f>
        <v>3020554.4669910716</v>
      </c>
      <c r="AR14" s="169">
        <f ca="1">AR12*Import_CG!$H6</f>
        <v>3135157.8045588252</v>
      </c>
      <c r="AS14" s="169">
        <f ca="1">AS12*Import_CG!$H6</f>
        <v>3157411.9915869604</v>
      </c>
      <c r="AT14" s="169">
        <f ca="1">AT12*Import_CG!$H6</f>
        <v>3270685.6568876472</v>
      </c>
      <c r="AU14" s="169">
        <f ca="1">AU12*Import_CG!$H6</f>
        <v>3202964.1314422572</v>
      </c>
      <c r="AV14" s="169">
        <f ca="1">AV12*Import_CG!$H6</f>
        <v>3521360.6810056656</v>
      </c>
      <c r="AW14" s="169">
        <f ca="1">AW12*Import_CG!$H6</f>
        <v>4215057.0756142447</v>
      </c>
      <c r="AX14" s="169">
        <f ca="1">AX12*Import_CG!$H6</f>
        <v>3887618.6863367539</v>
      </c>
      <c r="AY14" s="169">
        <f ca="1">AY12*Import_CG!$H6</f>
        <v>4023102.7528753271</v>
      </c>
      <c r="AZ14" s="169">
        <f ca="1">AZ12*Import_CG!$H6</f>
        <v>4974478.9396784166</v>
      </c>
      <c r="BA14" s="169">
        <f ca="1">BA12*Import_CG!$H6</f>
        <v>4212877.2671994874</v>
      </c>
      <c r="BB14" s="169">
        <f ca="1">BB12*Import_CG!$H6</f>
        <v>4874793.329960634</v>
      </c>
      <c r="BC14" s="169">
        <f ca="1">BC12*Import_CG!$H6</f>
        <v>4695949.9639098672</v>
      </c>
    </row>
    <row r="15" spans="2:58" ht="15.75" thickBot="1" x14ac:dyDescent="0.3">
      <c r="B15" s="518" t="s">
        <v>3792</v>
      </c>
      <c r="C15" s="519"/>
      <c r="D15" s="109">
        <f>AVERAGE(B14:C14)*D14</f>
        <v>14.47875</v>
      </c>
      <c r="P15" s="170"/>
      <c r="S15" s="506"/>
      <c r="T15" s="219" t="s">
        <v>4083</v>
      </c>
      <c r="U15" s="169">
        <f>(20%*(U10/$D$15))*$Q13</f>
        <v>0</v>
      </c>
      <c r="V15" s="169">
        <f>(20%*(V10/$D$15))*$Q13</f>
        <v>0</v>
      </c>
      <c r="W15" s="169">
        <f t="shared" ref="W15:BC15" si="6">(20%*(W10/$D$15))*$Q13</f>
        <v>0</v>
      </c>
      <c r="X15" s="169">
        <f t="shared" si="6"/>
        <v>0</v>
      </c>
      <c r="Y15" s="169">
        <f t="shared" ca="1" si="6"/>
        <v>3710596.0364781669</v>
      </c>
      <c r="Z15" s="169">
        <f t="shared" ca="1" si="6"/>
        <v>4202527.5764560942</v>
      </c>
      <c r="AA15" s="169">
        <f t="shared" ca="1" si="6"/>
        <v>4066603.2622869727</v>
      </c>
      <c r="AB15" s="169">
        <f t="shared" ca="1" si="6"/>
        <v>4764702.1307092207</v>
      </c>
      <c r="AC15" s="169">
        <f t="shared" ca="1" si="6"/>
        <v>5231703.9356161077</v>
      </c>
      <c r="AD15" s="169">
        <f t="shared" ca="1" si="6"/>
        <v>5306271.5515360152</v>
      </c>
      <c r="AE15" s="169">
        <f t="shared" ca="1" si="6"/>
        <v>4487701.8482711967</v>
      </c>
      <c r="AF15" s="169">
        <f t="shared" ca="1" si="6"/>
        <v>5514085.5137884971</v>
      </c>
      <c r="AG15" s="169">
        <f t="shared" ca="1" si="6"/>
        <v>5375138.1483714664</v>
      </c>
      <c r="AH15" s="169">
        <f t="shared" ca="1" si="6"/>
        <v>5494931.2636549193</v>
      </c>
      <c r="AI15" s="169">
        <f t="shared" ca="1" si="6"/>
        <v>5518506.201281948</v>
      </c>
      <c r="AJ15" s="169">
        <f t="shared" ca="1" si="6"/>
        <v>5829958.7851736229</v>
      </c>
      <c r="AK15" s="169">
        <f t="shared" ca="1" si="6"/>
        <v>5885419.9525341569</v>
      </c>
      <c r="AL15" s="169">
        <f t="shared" ca="1" si="6"/>
        <v>6852943.6327062966</v>
      </c>
      <c r="AM15" s="169">
        <f t="shared" ca="1" si="6"/>
        <v>7411825.090554853</v>
      </c>
      <c r="AN15" s="169">
        <f t="shared" ca="1" si="6"/>
        <v>8139580.8024918605</v>
      </c>
      <c r="AO15" s="169">
        <f t="shared" ca="1" si="6"/>
        <v>7958601.6849773135</v>
      </c>
      <c r="AP15" s="169">
        <f t="shared" ca="1" si="6"/>
        <v>8199388.7404806744</v>
      </c>
      <c r="AQ15" s="169">
        <f t="shared" ca="1" si="6"/>
        <v>8640945.5821520127</v>
      </c>
      <c r="AR15" s="169">
        <f t="shared" ca="1" si="6"/>
        <v>8968793.073159989</v>
      </c>
      <c r="AS15" s="169">
        <f t="shared" ca="1" si="6"/>
        <v>9032455.9606154524</v>
      </c>
      <c r="AT15" s="169">
        <f t="shared" ca="1" si="6"/>
        <v>9356499.6381754726</v>
      </c>
      <c r="AU15" s="169">
        <f t="shared" ca="1" si="6"/>
        <v>9162767.6520421915</v>
      </c>
      <c r="AV15" s="169">
        <f t="shared" ca="1" si="6"/>
        <v>10073609.448933555</v>
      </c>
      <c r="AW15" s="169">
        <f t="shared" ca="1" si="6"/>
        <v>12058077.155724784</v>
      </c>
      <c r="AX15" s="169">
        <f t="shared" ca="1" si="6"/>
        <v>11121369.232006133</v>
      </c>
      <c r="AY15" s="169">
        <f t="shared" ca="1" si="6"/>
        <v>11508950.538353069</v>
      </c>
      <c r="AZ15" s="169">
        <f t="shared" ca="1" si="6"/>
        <v>14230566.701265676</v>
      </c>
      <c r="BA15" s="169">
        <f t="shared" ca="1" si="6"/>
        <v>12051841.345016098</v>
      </c>
      <c r="BB15" s="169">
        <f t="shared" ca="1" si="6"/>
        <v>13945394.578627858</v>
      </c>
      <c r="BC15" s="169">
        <f t="shared" ca="1" si="6"/>
        <v>13433774.672196241</v>
      </c>
    </row>
    <row r="16" spans="2:58" x14ac:dyDescent="0.25">
      <c r="J16" s="37">
        <f>I14*100%</f>
        <v>1147.3751999999999</v>
      </c>
      <c r="P16" s="19">
        <f>28*U10</f>
        <v>0</v>
      </c>
      <c r="S16" s="506"/>
      <c r="T16" s="219" t="s">
        <v>4000</v>
      </c>
      <c r="U16" s="168">
        <f>SUM(U13:U15)</f>
        <v>0</v>
      </c>
      <c r="V16" s="168">
        <f t="shared" ref="V16:AH16" si="7">SUM(V13:V15)</f>
        <v>0</v>
      </c>
      <c r="W16" s="168">
        <f t="shared" si="7"/>
        <v>0</v>
      </c>
      <c r="X16" s="168">
        <f t="shared" si="7"/>
        <v>0</v>
      </c>
      <c r="Y16" s="168">
        <f t="shared" ca="1" si="7"/>
        <v>16364960.554982534</v>
      </c>
      <c r="Z16" s="168">
        <f t="shared" ca="1" si="7"/>
        <v>18534541.982965592</v>
      </c>
      <c r="AA16" s="168">
        <f t="shared" ca="1" si="7"/>
        <v>17935070.626349807</v>
      </c>
      <c r="AB16" s="168">
        <f t="shared" ca="1" si="7"/>
        <v>21013918.426783297</v>
      </c>
      <c r="AC16" s="168">
        <f t="shared" ca="1" si="7"/>
        <v>23073551.445650138</v>
      </c>
      <c r="AD16" s="168">
        <f t="shared" ca="1" si="7"/>
        <v>23402419.390641153</v>
      </c>
      <c r="AE16" s="168">
        <f t="shared" ca="1" si="7"/>
        <v>19792255.208461162</v>
      </c>
      <c r="AF16" s="168">
        <f t="shared" ca="1" si="7"/>
        <v>24318947.964919575</v>
      </c>
      <c r="AG16" s="168">
        <f t="shared" ca="1" si="7"/>
        <v>23706143.948552798</v>
      </c>
      <c r="AH16" s="168">
        <f t="shared" ca="1" si="7"/>
        <v>24234471.362019464</v>
      </c>
      <c r="AI16" s="168">
        <f ca="1">SUM(AI13:AI15)</f>
        <v>24338444.66457241</v>
      </c>
      <c r="AJ16" s="168">
        <f t="shared" ref="AJ16:AO16" ca="1" si="8">SUM(AJ13:AJ15)</f>
        <v>25712053.971548408</v>
      </c>
      <c r="AK16" s="168">
        <f t="shared" ca="1" si="8"/>
        <v>25956656.134453177</v>
      </c>
      <c r="AL16" s="168">
        <f t="shared" ca="1" si="8"/>
        <v>30223756.812180575</v>
      </c>
      <c r="AM16" s="168">
        <f t="shared" ca="1" si="8"/>
        <v>32688609.60744296</v>
      </c>
      <c r="AN16" s="168">
        <f t="shared" ca="1" si="8"/>
        <v>35898253.934777558</v>
      </c>
      <c r="AO16" s="168">
        <f t="shared" ca="1" si="8"/>
        <v>35100075.935802452</v>
      </c>
      <c r="AP16" s="168">
        <f ca="1">SUM(AP13:AP15)</f>
        <v>36162026.799417049</v>
      </c>
      <c r="AQ16" s="168">
        <f t="shared" ref="AQ16:BC16" ca="1" si="9">SUM(AQ13:AQ15)</f>
        <v>38109439.081890292</v>
      </c>
      <c r="AR16" s="168">
        <f t="shared" ca="1" si="9"/>
        <v>39555355.372871891</v>
      </c>
      <c r="AS16" s="168">
        <f t="shared" ca="1" si="9"/>
        <v>39836129.844623268</v>
      </c>
      <c r="AT16" s="168">
        <f t="shared" ca="1" si="9"/>
        <v>41265270.055314168</v>
      </c>
      <c r="AU16" s="168">
        <f t="shared" ca="1" si="9"/>
        <v>40410847.671378598</v>
      </c>
      <c r="AV16" s="168">
        <f t="shared" ca="1" si="9"/>
        <v>44427962.423677035</v>
      </c>
      <c r="AW16" s="168">
        <f t="shared" ca="1" si="9"/>
        <v>53180123.916065946</v>
      </c>
      <c r="AX16" s="168">
        <f t="shared" ca="1" si="9"/>
        <v>49048930.956094831</v>
      </c>
      <c r="AY16" s="168">
        <f t="shared" ca="1" si="9"/>
        <v>50758293.206219025</v>
      </c>
      <c r="AZ16" s="168">
        <f t="shared" ca="1" si="9"/>
        <v>62761524.146480881</v>
      </c>
      <c r="BA16" s="168">
        <f t="shared" ca="1" si="9"/>
        <v>53152621.920356154</v>
      </c>
      <c r="BB16" s="168">
        <f t="shared" ca="1" si="9"/>
        <v>61503820.399570718</v>
      </c>
      <c r="BC16" s="168">
        <f t="shared" ca="1" si="9"/>
        <v>59247406.738372512</v>
      </c>
    </row>
    <row r="17" spans="2:55" x14ac:dyDescent="0.25">
      <c r="B17" s="118"/>
      <c r="C17" s="117"/>
      <c r="D17" s="117"/>
      <c r="E17" s="117"/>
      <c r="F17" s="117"/>
      <c r="G17" s="117"/>
      <c r="H17" s="117"/>
      <c r="I17" s="117"/>
      <c r="J17" s="117"/>
      <c r="K17" s="117"/>
      <c r="L17" s="117"/>
      <c r="M17" s="117"/>
      <c r="N17" s="117"/>
      <c r="O17" s="117"/>
      <c r="P17" s="117">
        <f>210000*12</f>
        <v>2520000</v>
      </c>
      <c r="Q17" s="117"/>
      <c r="R17" s="117"/>
      <c r="S17" s="1" t="s">
        <v>4003</v>
      </c>
      <c r="T17" s="214"/>
    </row>
    <row r="18" spans="2:55" x14ac:dyDescent="0.25">
      <c r="B18" s="118"/>
      <c r="C18" s="116"/>
      <c r="D18" s="115"/>
      <c r="E18" s="115"/>
      <c r="F18" s="115"/>
      <c r="G18" s="115"/>
      <c r="H18" s="115"/>
      <c r="I18" s="115"/>
      <c r="J18" s="115"/>
      <c r="K18" s="115"/>
      <c r="L18" s="115"/>
      <c r="M18" s="115"/>
      <c r="S18" s="506" t="s">
        <v>3845</v>
      </c>
      <c r="T18" s="507" t="s">
        <v>3256</v>
      </c>
      <c r="U18" s="58">
        <v>2025</v>
      </c>
      <c r="V18" s="17">
        <v>2026</v>
      </c>
      <c r="W18" s="58">
        <v>2027</v>
      </c>
      <c r="X18" s="17">
        <v>2028</v>
      </c>
      <c r="Y18" s="58">
        <v>2029</v>
      </c>
      <c r="Z18" s="17">
        <v>2030</v>
      </c>
      <c r="AA18" s="58">
        <v>2031</v>
      </c>
      <c r="AB18" s="17">
        <v>2032</v>
      </c>
      <c r="AC18" s="58">
        <v>2033</v>
      </c>
      <c r="AD18" s="17">
        <v>2034</v>
      </c>
      <c r="AE18" s="58">
        <v>2035</v>
      </c>
      <c r="AF18" s="17">
        <v>2036</v>
      </c>
      <c r="AG18" s="58">
        <v>2037</v>
      </c>
      <c r="AH18" s="17">
        <v>2038</v>
      </c>
      <c r="AI18" s="58">
        <v>2039</v>
      </c>
      <c r="AJ18" s="17">
        <v>2040</v>
      </c>
      <c r="AK18" s="58">
        <v>2041</v>
      </c>
      <c r="AL18" s="17">
        <v>2042</v>
      </c>
      <c r="AM18" s="58">
        <v>2043</v>
      </c>
      <c r="AN18" s="17">
        <v>2044</v>
      </c>
      <c r="AO18" s="58">
        <v>2045</v>
      </c>
      <c r="AP18" s="17">
        <v>2046</v>
      </c>
      <c r="AQ18" s="58">
        <v>2047</v>
      </c>
      <c r="AR18" s="17">
        <v>2048</v>
      </c>
      <c r="AS18" s="58">
        <v>2049</v>
      </c>
      <c r="AT18" s="17">
        <v>2050</v>
      </c>
      <c r="AU18" s="58">
        <v>2051</v>
      </c>
      <c r="AV18" s="17">
        <v>2052</v>
      </c>
      <c r="AW18" s="58">
        <v>2053</v>
      </c>
      <c r="AX18" s="17">
        <v>2054</v>
      </c>
      <c r="AY18" s="58">
        <v>2055</v>
      </c>
      <c r="AZ18" s="17">
        <v>2056</v>
      </c>
      <c r="BA18" s="58">
        <v>2057</v>
      </c>
      <c r="BB18" s="17">
        <v>2058</v>
      </c>
      <c r="BC18" s="58">
        <v>2059</v>
      </c>
    </row>
    <row r="19" spans="2:55" ht="16.5" customHeight="1" x14ac:dyDescent="0.4">
      <c r="B19" s="6"/>
      <c r="C19" s="9"/>
      <c r="E19" s="114"/>
      <c r="G19" s="9"/>
      <c r="S19" s="506"/>
      <c r="T19" s="507"/>
      <c r="U19" s="58" t="s">
        <v>3701</v>
      </c>
      <c r="V19" s="17" t="s">
        <v>3702</v>
      </c>
      <c r="W19" s="58" t="s">
        <v>3703</v>
      </c>
      <c r="X19" s="17" t="s">
        <v>3704</v>
      </c>
      <c r="Y19" s="58" t="s">
        <v>3705</v>
      </c>
      <c r="Z19" s="17" t="s">
        <v>3706</v>
      </c>
      <c r="AA19" s="58" t="s">
        <v>3707</v>
      </c>
      <c r="AB19" s="17" t="s">
        <v>3708</v>
      </c>
      <c r="AC19" s="58" t="s">
        <v>3709</v>
      </c>
      <c r="AD19" s="17" t="s">
        <v>3710</v>
      </c>
      <c r="AE19" s="58" t="s">
        <v>3711</v>
      </c>
      <c r="AF19" s="17" t="s">
        <v>3712</v>
      </c>
      <c r="AG19" s="58" t="s">
        <v>3713</v>
      </c>
      <c r="AH19" s="17" t="s">
        <v>3714</v>
      </c>
      <c r="AI19" s="58" t="s">
        <v>3715</v>
      </c>
      <c r="AJ19" s="17" t="s">
        <v>3716</v>
      </c>
      <c r="AK19" s="58" t="s">
        <v>3717</v>
      </c>
      <c r="AL19" s="17" t="s">
        <v>3718</v>
      </c>
      <c r="AM19" s="58" t="s">
        <v>3719</v>
      </c>
      <c r="AN19" s="17" t="s">
        <v>3720</v>
      </c>
      <c r="AO19" s="58" t="s">
        <v>3721</v>
      </c>
      <c r="AP19" s="17" t="s">
        <v>3722</v>
      </c>
      <c r="AQ19" s="58" t="s">
        <v>3723</v>
      </c>
      <c r="AR19" s="17" t="s">
        <v>3724</v>
      </c>
      <c r="AS19" s="58" t="s">
        <v>3725</v>
      </c>
      <c r="AT19" s="17" t="s">
        <v>3726</v>
      </c>
      <c r="AU19" s="58" t="s">
        <v>3727</v>
      </c>
      <c r="AV19" s="17" t="s">
        <v>3728</v>
      </c>
      <c r="AW19" s="58" t="s">
        <v>3729</v>
      </c>
      <c r="AX19" s="17" t="s">
        <v>3730</v>
      </c>
      <c r="AY19" s="58" t="s">
        <v>3731</v>
      </c>
      <c r="AZ19" s="17" t="s">
        <v>3732</v>
      </c>
      <c r="BA19" s="58" t="s">
        <v>3733</v>
      </c>
      <c r="BB19" s="17" t="s">
        <v>3734</v>
      </c>
      <c r="BC19" s="58" t="s">
        <v>3735</v>
      </c>
    </row>
    <row r="20" spans="2:55" x14ac:dyDescent="0.25">
      <c r="B20" s="6"/>
      <c r="C20" s="9"/>
      <c r="E20" s="37"/>
      <c r="S20" s="506"/>
      <c r="T20" s="219" t="s">
        <v>3841</v>
      </c>
      <c r="U20" s="169">
        <v>0</v>
      </c>
      <c r="V20" s="169">
        <v>0</v>
      </c>
      <c r="W20" s="277">
        <f ca="1">Import_CG!M15</f>
        <v>93022.886314136165</v>
      </c>
      <c r="X20" s="277">
        <f ca="1">Import_CG!N15</f>
        <v>126010.27542583329</v>
      </c>
      <c r="Y20" s="277">
        <f ca="1">Import_CG!O15</f>
        <v>127942.84310189309</v>
      </c>
      <c r="Z20" s="277">
        <f ca="1">Import_CG!P15</f>
        <v>143761.481089218</v>
      </c>
      <c r="AA20" s="277">
        <f ca="1">Import_CG!Q15</f>
        <v>94605.346663953867</v>
      </c>
      <c r="AB20" s="277">
        <f ca="1">Import_CG!R15</f>
        <v>101983.10382871653</v>
      </c>
      <c r="AC20" s="277">
        <f ca="1">Import_CG!S15</f>
        <v>117236.60435995019</v>
      </c>
      <c r="AD20" s="277">
        <f ca="1">Import_CG!T15</f>
        <v>137204.68010297403</v>
      </c>
      <c r="AE20" s="277">
        <f ca="1">Import_CG!U15</f>
        <v>117573.17101936182</v>
      </c>
      <c r="AF20" s="277">
        <f ca="1">Import_CG!V15</f>
        <v>92422.089860137945</v>
      </c>
      <c r="AG20" s="277">
        <f ca="1">Import_CG!W15</f>
        <v>129189.29080992124</v>
      </c>
      <c r="AH20" s="277">
        <f ca="1">Import_CG!X15</f>
        <v>104240.01252948027</v>
      </c>
      <c r="AI20" s="277">
        <f ca="1">Import_CG!Y15</f>
        <v>80521.440727262889</v>
      </c>
      <c r="AJ20" s="277">
        <f ca="1">Import_CG!Z15</f>
        <v>154503.15450176812</v>
      </c>
      <c r="AK20" s="277">
        <f ca="1">Import_CG!AA15</f>
        <v>84852.545491801604</v>
      </c>
      <c r="AL20" s="277">
        <f ca="1">Import_CG!AB15</f>
        <v>149623.18461902303</v>
      </c>
      <c r="AM20" s="277">
        <f ca="1">Import_CG!AC15</f>
        <v>137845.98042437009</v>
      </c>
      <c r="AN20" s="277">
        <f ca="1">Import_CG!AD15</f>
        <v>154779.72178833667</v>
      </c>
      <c r="AO20" s="277">
        <f ca="1">Import_CG!AE15</f>
        <v>138112.98925085599</v>
      </c>
      <c r="AP20" s="277">
        <f ca="1">Import_CG!AF15</f>
        <v>129047.81106291467</v>
      </c>
      <c r="AQ20" s="277">
        <f ca="1">Import_CG!AG15</f>
        <v>145529.50778305365</v>
      </c>
      <c r="AR20" s="277">
        <f ca="1">Import_CG!AH15</f>
        <v>151699.32047150048</v>
      </c>
      <c r="AS20" s="277">
        <f ca="1">Import_CG!AI15</f>
        <v>158529.08102340199</v>
      </c>
      <c r="AT20" s="277">
        <f ca="1">Import_CG!AJ15</f>
        <v>120438.20808826748</v>
      </c>
      <c r="AU20" s="277">
        <f ca="1">Import_CG!AK15</f>
        <v>165612.73887816689</v>
      </c>
      <c r="AV20" s="277">
        <f ca="1">Import_CG!AL15</f>
        <v>204879.08830242959</v>
      </c>
      <c r="AW20" s="277">
        <f ca="1">Import_CG!AM15</f>
        <v>164754.71543608952</v>
      </c>
      <c r="AX20" s="277">
        <f ca="1">Import_CG!AN15</f>
        <v>137146.78014013523</v>
      </c>
      <c r="AY20" s="277">
        <f ca="1">Import_CG!AO15</f>
        <v>175434.09406631507</v>
      </c>
      <c r="AZ20" s="277">
        <f ca="1">Import_CG!AP15</f>
        <v>179402.93537010241</v>
      </c>
      <c r="BA20" s="277">
        <f ca="1">Import_CG!AQ15</f>
        <v>187583.34379128509</v>
      </c>
      <c r="BB20" s="277">
        <f ca="1">Import_CG!AR15</f>
        <v>202308.22325941484</v>
      </c>
      <c r="BC20" s="277">
        <f ca="1">Import_CG!AS15</f>
        <v>155547.65523903421</v>
      </c>
    </row>
    <row r="21" spans="2:55" x14ac:dyDescent="0.25">
      <c r="B21" s="6"/>
      <c r="C21" s="6"/>
      <c r="E21" s="9"/>
      <c r="S21" s="506"/>
      <c r="T21" s="219" t="s">
        <v>3842</v>
      </c>
      <c r="U21" s="88">
        <f>U20*Import_CG!$H6</f>
        <v>0</v>
      </c>
      <c r="V21" s="88">
        <f>V20*Import_CG!$H6</f>
        <v>0</v>
      </c>
      <c r="W21" s="88">
        <f ca="1">W20*Import_CG!$H6</f>
        <v>3367588.5754166725</v>
      </c>
      <c r="X21" s="88">
        <f ca="1">X20*Import_CG!$H6</f>
        <v>4561788.8320098091</v>
      </c>
      <c r="Y21" s="88">
        <f ca="1">Y20*Import_CG!$H6</f>
        <v>4631751.1078001009</v>
      </c>
      <c r="Z21" s="88">
        <f ca="1">Z20*Import_CG!$H6</f>
        <v>5204413.0265549514</v>
      </c>
      <c r="AA21" s="88">
        <f ca="1">AA20*Import_CG!$H6</f>
        <v>3424876.3634680971</v>
      </c>
      <c r="AB21" s="88">
        <f ca="1">AB20*Import_CG!$H6</f>
        <v>3691963.8698302559</v>
      </c>
      <c r="AC21" s="88">
        <f ca="1">AC20*Import_CG!$H6</f>
        <v>4244166.8400824117</v>
      </c>
      <c r="AD21" s="88">
        <f ca="1">AD20*Import_CG!$H6</f>
        <v>4967045.5467071403</v>
      </c>
      <c r="AE21" s="88">
        <f ca="1">AE20*Import_CG!$H6</f>
        <v>4256351.1323787533</v>
      </c>
      <c r="AF21" s="88">
        <f ca="1">AF20*Import_CG!$H6</f>
        <v>3345838.7098212014</v>
      </c>
      <c r="AG21" s="88">
        <f ca="1">AG20*Import_CG!$H6</f>
        <v>4676874.6599465581</v>
      </c>
      <c r="AH21" s="88">
        <f ca="1">AH20*Import_CG!$H6</f>
        <v>3773667.8489003559</v>
      </c>
      <c r="AI21" s="88">
        <f ca="1">AI20*Import_CG!$H6</f>
        <v>2915014.7303912905</v>
      </c>
      <c r="AJ21" s="88">
        <f ca="1">AJ20*Import_CG!$H6</f>
        <v>5593280.0903311018</v>
      </c>
      <c r="AK21" s="88">
        <f ca="1">AK20*Import_CG!$H6</f>
        <v>3071808.1766270781</v>
      </c>
      <c r="AL21" s="88">
        <f ca="1">AL20*Import_CG!$H6</f>
        <v>5416616.7822284764</v>
      </c>
      <c r="AM21" s="88">
        <f ca="1">AM20*Import_CG!$H6</f>
        <v>4990261.722008897</v>
      </c>
      <c r="AN21" s="88">
        <f ca="1">AN20*Import_CG!$H6</f>
        <v>5603292.3020725986</v>
      </c>
      <c r="AO21" s="88">
        <f ca="1">AO20*Import_CG!$H6</f>
        <v>4999927.90104545</v>
      </c>
      <c r="AP21" s="88">
        <f ca="1">AP20*Import_CG!$H6</f>
        <v>4671752.8496206217</v>
      </c>
      <c r="AQ21" s="88">
        <f ca="1">AQ20*Import_CG!$H6</f>
        <v>5268418.6356164264</v>
      </c>
      <c r="AR21" s="88">
        <f ca="1">AR20*Import_CG!$H6</f>
        <v>5491776.473083538</v>
      </c>
      <c r="AS21" s="88">
        <f ca="1">AS20*Import_CG!$H6</f>
        <v>5739025.5589670381</v>
      </c>
      <c r="AT21" s="88">
        <f ca="1">AT20*Import_CG!$H6</f>
        <v>4360070.4049544288</v>
      </c>
      <c r="AU21" s="88">
        <f ca="1">AU20*Import_CG!$H6</f>
        <v>5995466.1641672421</v>
      </c>
      <c r="AV21" s="88">
        <f ca="1">AV20*Import_CG!$H6</f>
        <v>7416975.5900618406</v>
      </c>
      <c r="AW21" s="88">
        <f ca="1">AW20*Import_CG!$H6</f>
        <v>5964404.2389199249</v>
      </c>
      <c r="AX21" s="88">
        <f ca="1">AX20*Import_CG!$H6</f>
        <v>4964949.4684074996</v>
      </c>
      <c r="AY21" s="88">
        <f ca="1">AY20*Import_CG!$H6</f>
        <v>6351016.1243676385</v>
      </c>
      <c r="AZ21" s="88">
        <f ca="1">AZ20*Import_CG!$H6</f>
        <v>6494695.009874817</v>
      </c>
      <c r="BA21" s="88">
        <f ca="1">BA20*Import_CG!$H6</f>
        <v>6790839.8730688849</v>
      </c>
      <c r="BB21" s="88">
        <f ca="1">BB20*Import_CG!$H6</f>
        <v>7323905.8510885946</v>
      </c>
      <c r="BC21" s="88">
        <f ca="1">BC20*Import_CG!$H6</f>
        <v>5631092.8145885849</v>
      </c>
    </row>
    <row r="22" spans="2:55" x14ac:dyDescent="0.25">
      <c r="B22" s="6"/>
      <c r="C22" s="6"/>
      <c r="E22" s="9"/>
      <c r="S22" s="120"/>
    </row>
    <row r="23" spans="2:55" ht="16.5" customHeight="1" x14ac:dyDescent="0.25">
      <c r="B23" s="6"/>
      <c r="C23" s="6"/>
      <c r="S23" s="285" t="s">
        <v>3846</v>
      </c>
      <c r="T23" s="286"/>
      <c r="U23" s="287">
        <f>(U6+U16+U21)</f>
        <v>0</v>
      </c>
      <c r="V23" s="287">
        <f>(V6+V16+V21)</f>
        <v>0</v>
      </c>
      <c r="W23" s="287">
        <f ca="1">(W6+W16+W21)</f>
        <v>3367588.5754166725</v>
      </c>
      <c r="X23" s="287">
        <f ca="1">(X6+X16+X21)</f>
        <v>7327198.8741945773</v>
      </c>
      <c r="Y23" s="287">
        <f t="shared" ref="Y23:BC23" ca="1" si="10">(Y6+Y16+Y21)</f>
        <v>26303378.894254867</v>
      </c>
      <c r="Z23" s="287">
        <f t="shared" ca="1" si="10"/>
        <v>28664564.195174858</v>
      </c>
      <c r="AA23" s="287">
        <f t="shared" ca="1" si="10"/>
        <v>26542877.236439385</v>
      </c>
      <c r="AB23" s="287">
        <f t="shared" ca="1" si="10"/>
        <v>29063700.610566266</v>
      </c>
      <c r="AC23" s="287">
        <f t="shared" ca="1" si="10"/>
        <v>29584805.347982313</v>
      </c>
      <c r="AD23" s="287">
        <f t="shared" ca="1" si="10"/>
        <v>33507782.571858436</v>
      </c>
      <c r="AE23" s="287">
        <f t="shared" ca="1" si="10"/>
        <v>27015373.208333712</v>
      </c>
      <c r="AF23" s="287">
        <f t="shared" ca="1" si="10"/>
        <v>32298159.707540266</v>
      </c>
      <c r="AG23" s="287">
        <f t="shared" ca="1" si="10"/>
        <v>34894295.08439862</v>
      </c>
      <c r="AH23" s="287">
        <f t="shared" ca="1" si="10"/>
        <v>35024631.082807653</v>
      </c>
      <c r="AI23" s="287">
        <f t="shared" ca="1" si="10"/>
        <v>33400997.971201722</v>
      </c>
      <c r="AJ23" s="287">
        <f t="shared" ca="1" si="10"/>
        <v>40425566.667497471</v>
      </c>
      <c r="AK23" s="287">
        <f t="shared" ca="1" si="10"/>
        <v>37174312.777555533</v>
      </c>
      <c r="AL23" s="287">
        <f t="shared" ca="1" si="10"/>
        <v>42030024.022089697</v>
      </c>
      <c r="AM23" s="287">
        <f t="shared" ca="1" si="10"/>
        <v>46061231.036587238</v>
      </c>
      <c r="AN23" s="287">
        <f t="shared" ca="1" si="10"/>
        <v>53148597.604380652</v>
      </c>
      <c r="AO23" s="287">
        <f t="shared" ca="1" si="10"/>
        <v>47912748.353029229</v>
      </c>
      <c r="AP23" s="287">
        <f t="shared" ca="1" si="10"/>
        <v>49859497.706678361</v>
      </c>
      <c r="AQ23" s="287">
        <f t="shared" ca="1" si="10"/>
        <v>53301012.951742366</v>
      </c>
      <c r="AR23" s="287">
        <f t="shared" ca="1" si="10"/>
        <v>58339153.033929922</v>
      </c>
      <c r="AS23" s="287">
        <f t="shared" ca="1" si="10"/>
        <v>62579885.050265402</v>
      </c>
      <c r="AT23" s="287">
        <f t="shared" ca="1" si="10"/>
        <v>63051821.863784432</v>
      </c>
      <c r="AU23" s="287">
        <f t="shared" ca="1" si="10"/>
        <v>54734068.175916158</v>
      </c>
      <c r="AV23" s="287">
        <f t="shared" ca="1" si="10"/>
        <v>69532665.734460354</v>
      </c>
      <c r="AW23" s="287">
        <f t="shared" ca="1" si="10"/>
        <v>73455647.862297431</v>
      </c>
      <c r="AX23" s="287">
        <f t="shared" ca="1" si="10"/>
        <v>76632231.74423711</v>
      </c>
      <c r="AY23" s="287">
        <f t="shared" ca="1" si="10"/>
        <v>69786078.569230229</v>
      </c>
      <c r="AZ23" s="287">
        <f t="shared" ca="1" si="10"/>
        <v>79686291.802669048</v>
      </c>
      <c r="BA23" s="287">
        <f t="shared" ca="1" si="10"/>
        <v>73464700.523213759</v>
      </c>
      <c r="BB23" s="287">
        <f t="shared" ca="1" si="10"/>
        <v>91470276.371350855</v>
      </c>
      <c r="BC23" s="287">
        <f t="shared" ca="1" si="10"/>
        <v>82688002.70449011</v>
      </c>
    </row>
    <row r="24" spans="2:55" x14ac:dyDescent="0.25">
      <c r="B24" s="6"/>
      <c r="C24" s="6"/>
    </row>
    <row r="25" spans="2:55" x14ac:dyDescent="0.25">
      <c r="B25" s="6"/>
      <c r="C25" s="6"/>
      <c r="T25" s="17" t="s">
        <v>4063</v>
      </c>
      <c r="U25" s="66">
        <v>5.11E-2</v>
      </c>
      <c r="V25" s="66">
        <v>5.11E-2</v>
      </c>
      <c r="W25" s="66">
        <v>5.11E-2</v>
      </c>
      <c r="X25" s="66">
        <v>5.11E-2</v>
      </c>
      <c r="Y25" s="66">
        <v>5.11E-2</v>
      </c>
      <c r="Z25" s="66">
        <v>5.11E-2</v>
      </c>
      <c r="AA25" s="66">
        <v>5.11E-2</v>
      </c>
      <c r="AB25" s="66">
        <v>5.11E-2</v>
      </c>
      <c r="AC25" s="66">
        <v>5.11E-2</v>
      </c>
      <c r="AD25" s="66">
        <v>5.11E-2</v>
      </c>
      <c r="AE25" s="66">
        <v>5.11E-2</v>
      </c>
      <c r="AF25" s="66">
        <v>5.11E-2</v>
      </c>
      <c r="AG25" s="66">
        <v>5.11E-2</v>
      </c>
      <c r="AH25" s="66">
        <v>5.11E-2</v>
      </c>
      <c r="AI25" s="66">
        <v>5.11E-2</v>
      </c>
      <c r="AJ25" s="66">
        <v>5.11E-2</v>
      </c>
      <c r="AK25" s="66">
        <v>5.11E-2</v>
      </c>
      <c r="AL25" s="66">
        <v>5.11E-2</v>
      </c>
      <c r="AM25" s="66">
        <v>5.11E-2</v>
      </c>
      <c r="AN25" s="66">
        <v>5.11E-2</v>
      </c>
      <c r="AO25" s="66">
        <v>5.11E-2</v>
      </c>
      <c r="AP25" s="66">
        <v>5.11E-2</v>
      </c>
      <c r="AQ25" s="66">
        <v>5.11E-2</v>
      </c>
      <c r="AR25" s="66">
        <v>5.11E-2</v>
      </c>
      <c r="AS25" s="66">
        <v>5.11E-2</v>
      </c>
      <c r="AT25" s="66">
        <v>5.11E-2</v>
      </c>
      <c r="AU25" s="66">
        <v>5.11E-2</v>
      </c>
      <c r="AV25" s="66">
        <v>5.11E-2</v>
      </c>
      <c r="AW25" s="66">
        <v>5.11E-2</v>
      </c>
      <c r="AX25" s="66">
        <v>5.11E-2</v>
      </c>
      <c r="AY25" s="66">
        <v>5.11E-2</v>
      </c>
      <c r="AZ25" s="66">
        <v>5.11E-2</v>
      </c>
      <c r="BA25" s="66">
        <v>5.11E-2</v>
      </c>
      <c r="BB25" s="66">
        <v>5.11E-2</v>
      </c>
      <c r="BC25" s="66">
        <v>5.11E-2</v>
      </c>
    </row>
    <row r="26" spans="2:55" x14ac:dyDescent="0.25">
      <c r="B26" s="6"/>
      <c r="C26" s="6"/>
      <c r="U26" s="66">
        <f>1+U25</f>
        <v>1.0510999999999999</v>
      </c>
      <c r="V26" s="66">
        <f t="shared" ref="V26:BC26" si="11">1+V25</f>
        <v>1.0510999999999999</v>
      </c>
      <c r="W26" s="66">
        <f t="shared" si="11"/>
        <v>1.0510999999999999</v>
      </c>
      <c r="X26" s="66">
        <f t="shared" si="11"/>
        <v>1.0510999999999999</v>
      </c>
      <c r="Y26" s="66">
        <f t="shared" si="11"/>
        <v>1.0510999999999999</v>
      </c>
      <c r="Z26" s="66">
        <f t="shared" si="11"/>
        <v>1.0510999999999999</v>
      </c>
      <c r="AA26" s="66">
        <f t="shared" si="11"/>
        <v>1.0510999999999999</v>
      </c>
      <c r="AB26" s="66">
        <f t="shared" si="11"/>
        <v>1.0510999999999999</v>
      </c>
      <c r="AC26" s="66">
        <f t="shared" si="11"/>
        <v>1.0510999999999999</v>
      </c>
      <c r="AD26" s="66">
        <f t="shared" si="11"/>
        <v>1.0510999999999999</v>
      </c>
      <c r="AE26" s="66">
        <f t="shared" si="11"/>
        <v>1.0510999999999999</v>
      </c>
      <c r="AF26" s="66">
        <f t="shared" si="11"/>
        <v>1.0510999999999999</v>
      </c>
      <c r="AG26" s="66">
        <f t="shared" si="11"/>
        <v>1.0510999999999999</v>
      </c>
      <c r="AH26" s="66">
        <f t="shared" si="11"/>
        <v>1.0510999999999999</v>
      </c>
      <c r="AI26" s="66">
        <f t="shared" si="11"/>
        <v>1.0510999999999999</v>
      </c>
      <c r="AJ26" s="66">
        <f t="shared" si="11"/>
        <v>1.0510999999999999</v>
      </c>
      <c r="AK26" s="66">
        <f t="shared" si="11"/>
        <v>1.0510999999999999</v>
      </c>
      <c r="AL26" s="66">
        <f t="shared" si="11"/>
        <v>1.0510999999999999</v>
      </c>
      <c r="AM26" s="66">
        <f t="shared" si="11"/>
        <v>1.0510999999999999</v>
      </c>
      <c r="AN26" s="66">
        <f t="shared" si="11"/>
        <v>1.0510999999999999</v>
      </c>
      <c r="AO26" s="66">
        <f t="shared" si="11"/>
        <v>1.0510999999999999</v>
      </c>
      <c r="AP26" s="66">
        <f t="shared" si="11"/>
        <v>1.0510999999999999</v>
      </c>
      <c r="AQ26" s="66">
        <f t="shared" si="11"/>
        <v>1.0510999999999999</v>
      </c>
      <c r="AR26" s="66">
        <f t="shared" si="11"/>
        <v>1.0510999999999999</v>
      </c>
      <c r="AS26" s="66">
        <f t="shared" si="11"/>
        <v>1.0510999999999999</v>
      </c>
      <c r="AT26" s="66">
        <f t="shared" si="11"/>
        <v>1.0510999999999999</v>
      </c>
      <c r="AU26" s="66">
        <f t="shared" si="11"/>
        <v>1.0510999999999999</v>
      </c>
      <c r="AV26" s="66">
        <f t="shared" si="11"/>
        <v>1.0510999999999999</v>
      </c>
      <c r="AW26" s="66">
        <f t="shared" si="11"/>
        <v>1.0510999999999999</v>
      </c>
      <c r="AX26" s="66">
        <f t="shared" si="11"/>
        <v>1.0510999999999999</v>
      </c>
      <c r="AY26" s="66">
        <f t="shared" si="11"/>
        <v>1.0510999999999999</v>
      </c>
      <c r="AZ26" s="66">
        <f t="shared" si="11"/>
        <v>1.0510999999999999</v>
      </c>
      <c r="BA26" s="66">
        <f t="shared" si="11"/>
        <v>1.0510999999999999</v>
      </c>
      <c r="BB26" s="66">
        <f t="shared" si="11"/>
        <v>1.0510999999999999</v>
      </c>
      <c r="BC26" s="66">
        <f t="shared" si="11"/>
        <v>1.0510999999999999</v>
      </c>
    </row>
    <row r="27" spans="2:55" x14ac:dyDescent="0.25">
      <c r="B27" s="6"/>
      <c r="C27" s="6"/>
      <c r="T27" s="66"/>
      <c r="U27" s="66">
        <v>1</v>
      </c>
      <c r="V27" s="66">
        <v>1</v>
      </c>
      <c r="W27" s="66">
        <v>1</v>
      </c>
      <c r="X27" s="66">
        <v>1</v>
      </c>
      <c r="Y27" s="66">
        <v>1</v>
      </c>
      <c r="Z27" s="66">
        <v>1</v>
      </c>
      <c r="AA27" s="66">
        <v>1</v>
      </c>
      <c r="AB27" s="66">
        <v>1</v>
      </c>
      <c r="AC27" s="66">
        <v>1</v>
      </c>
      <c r="AD27" s="66">
        <v>1</v>
      </c>
      <c r="AE27" s="66">
        <v>1</v>
      </c>
      <c r="AF27" s="66">
        <v>1</v>
      </c>
      <c r="AG27" s="66">
        <v>1</v>
      </c>
      <c r="AH27" s="66">
        <v>1</v>
      </c>
      <c r="AI27" s="66">
        <f>AH27</f>
        <v>1</v>
      </c>
      <c r="AJ27" s="66">
        <f t="shared" ref="AJ27:BC27" si="12">AI27</f>
        <v>1</v>
      </c>
      <c r="AK27" s="66">
        <f t="shared" si="12"/>
        <v>1</v>
      </c>
      <c r="AL27" s="66">
        <f t="shared" si="12"/>
        <v>1</v>
      </c>
      <c r="AM27" s="66">
        <f t="shared" si="12"/>
        <v>1</v>
      </c>
      <c r="AN27" s="66">
        <f t="shared" si="12"/>
        <v>1</v>
      </c>
      <c r="AO27" s="66">
        <f t="shared" si="12"/>
        <v>1</v>
      </c>
      <c r="AP27" s="66">
        <f t="shared" si="12"/>
        <v>1</v>
      </c>
      <c r="AQ27" s="66">
        <f t="shared" si="12"/>
        <v>1</v>
      </c>
      <c r="AR27" s="66">
        <f t="shared" si="12"/>
        <v>1</v>
      </c>
      <c r="AS27" s="66">
        <f t="shared" si="12"/>
        <v>1</v>
      </c>
      <c r="AT27" s="66">
        <f t="shared" si="12"/>
        <v>1</v>
      </c>
      <c r="AU27" s="66">
        <f t="shared" si="12"/>
        <v>1</v>
      </c>
      <c r="AV27" s="66">
        <f t="shared" si="12"/>
        <v>1</v>
      </c>
      <c r="AW27" s="66">
        <f t="shared" si="12"/>
        <v>1</v>
      </c>
      <c r="AX27" s="66">
        <f t="shared" si="12"/>
        <v>1</v>
      </c>
      <c r="AY27" s="66">
        <f t="shared" si="12"/>
        <v>1</v>
      </c>
      <c r="AZ27" s="66">
        <f t="shared" si="12"/>
        <v>1</v>
      </c>
      <c r="BA27" s="66">
        <f t="shared" si="12"/>
        <v>1</v>
      </c>
      <c r="BB27" s="66">
        <f t="shared" si="12"/>
        <v>1</v>
      </c>
      <c r="BC27" s="66">
        <f t="shared" si="12"/>
        <v>1</v>
      </c>
    </row>
    <row r="28" spans="2:55" x14ac:dyDescent="0.25">
      <c r="B28" s="6"/>
      <c r="C28" s="6"/>
      <c r="T28" s="66" t="s">
        <v>4065</v>
      </c>
      <c r="U28" s="88"/>
      <c r="V28" s="88"/>
      <c r="W28" s="88"/>
      <c r="X28" s="88"/>
      <c r="Y28" s="88"/>
      <c r="Z28" s="88"/>
      <c r="AA28" s="88"/>
      <c r="AB28" s="88"/>
      <c r="AC28" s="88"/>
      <c r="AD28" s="88"/>
      <c r="AE28" s="88"/>
      <c r="AF28" s="88"/>
      <c r="AG28" s="88"/>
      <c r="AH28" s="88"/>
      <c r="AI28" s="88"/>
      <c r="AJ28" s="88"/>
      <c r="AK28" s="88"/>
      <c r="AL28" s="88"/>
      <c r="AM28" s="88"/>
      <c r="AN28" s="88"/>
      <c r="AO28" s="88"/>
      <c r="AP28" s="88"/>
      <c r="AQ28" s="88"/>
      <c r="AR28" s="88"/>
      <c r="AS28" s="88"/>
      <c r="AT28" s="88"/>
      <c r="AU28" s="88"/>
      <c r="AV28" s="88"/>
      <c r="AW28" s="88"/>
      <c r="AX28" s="88"/>
      <c r="AY28" s="88"/>
      <c r="AZ28" s="88"/>
      <c r="BA28" s="88"/>
      <c r="BB28" s="88"/>
      <c r="BC28" s="88"/>
    </row>
    <row r="29" spans="2:55" ht="15.75" customHeight="1" x14ac:dyDescent="0.25">
      <c r="B29" s="6"/>
      <c r="C29" s="6"/>
      <c r="T29" t="s">
        <v>4064</v>
      </c>
      <c r="U29" s="213"/>
      <c r="X29" s="66"/>
      <c r="Y29" s="66"/>
    </row>
    <row r="30" spans="2:55" x14ac:dyDescent="0.25">
      <c r="B30" s="6"/>
      <c r="C30" s="6"/>
    </row>
    <row r="31" spans="2:55" x14ac:dyDescent="0.25">
      <c r="B31" s="6"/>
      <c r="C31" s="6"/>
      <c r="U31" s="213"/>
    </row>
    <row r="32" spans="2:55" x14ac:dyDescent="0.25">
      <c r="B32" s="6"/>
      <c r="C32" s="6"/>
    </row>
    <row r="33" spans="2:22" x14ac:dyDescent="0.25">
      <c r="B33" s="6"/>
      <c r="C33" s="6"/>
    </row>
    <row r="34" spans="2:22" x14ac:dyDescent="0.25">
      <c r="B34" s="6"/>
      <c r="C34" s="6"/>
    </row>
    <row r="35" spans="2:22" x14ac:dyDescent="0.25">
      <c r="B35" s="6"/>
      <c r="C35" s="6"/>
    </row>
    <row r="36" spans="2:22" x14ac:dyDescent="0.25">
      <c r="B36" s="6"/>
      <c r="C36" s="6"/>
    </row>
    <row r="40" spans="2:22" x14ac:dyDescent="0.25">
      <c r="T40" s="66"/>
      <c r="U40" s="66"/>
      <c r="V40" s="66"/>
    </row>
    <row r="41" spans="2:22" x14ac:dyDescent="0.25">
      <c r="T41" s="66"/>
      <c r="U41" s="66"/>
      <c r="V41" s="66"/>
    </row>
    <row r="42" spans="2:22" x14ac:dyDescent="0.25">
      <c r="T42" s="66"/>
      <c r="U42" s="66"/>
      <c r="V42" s="66"/>
    </row>
    <row r="43" spans="2:22" x14ac:dyDescent="0.25">
      <c r="T43" s="66"/>
      <c r="U43" s="66"/>
      <c r="V43" s="66"/>
    </row>
    <row r="44" spans="2:22" x14ac:dyDescent="0.25">
      <c r="T44" s="66"/>
      <c r="U44" s="66"/>
      <c r="V44" s="66"/>
    </row>
    <row r="45" spans="2:22" x14ac:dyDescent="0.25">
      <c r="T45" s="66"/>
      <c r="U45" s="66"/>
      <c r="V45" s="66"/>
    </row>
    <row r="46" spans="2:22" x14ac:dyDescent="0.25">
      <c r="T46" s="66"/>
      <c r="U46" s="66"/>
      <c r="V46" s="66"/>
    </row>
    <row r="47" spans="2:22" x14ac:dyDescent="0.25">
      <c r="T47" s="66"/>
      <c r="U47" s="66"/>
      <c r="V47" s="66"/>
    </row>
    <row r="48" spans="2:22" x14ac:dyDescent="0.25">
      <c r="T48" s="66"/>
      <c r="U48" s="66"/>
      <c r="V48" s="66"/>
    </row>
    <row r="49" spans="20:22" x14ac:dyDescent="0.25">
      <c r="T49" s="66"/>
      <c r="U49" s="66"/>
      <c r="V49" s="66"/>
    </row>
    <row r="50" spans="20:22" x14ac:dyDescent="0.25">
      <c r="T50" s="66"/>
      <c r="U50" s="66"/>
      <c r="V50" s="66"/>
    </row>
    <row r="51" spans="20:22" x14ac:dyDescent="0.25">
      <c r="T51" s="66"/>
      <c r="U51" s="66"/>
      <c r="V51" s="66"/>
    </row>
    <row r="52" spans="20:22" x14ac:dyDescent="0.25">
      <c r="T52" s="66"/>
      <c r="U52" s="66"/>
      <c r="V52" s="66"/>
    </row>
    <row r="53" spans="20:22" x14ac:dyDescent="0.25">
      <c r="T53" s="66"/>
      <c r="U53" s="66"/>
      <c r="V53" s="212"/>
    </row>
    <row r="54" spans="20:22" x14ac:dyDescent="0.25">
      <c r="T54" s="66"/>
      <c r="U54" s="66"/>
      <c r="V54" s="212"/>
    </row>
    <row r="55" spans="20:22" x14ac:dyDescent="0.25">
      <c r="T55" s="66"/>
      <c r="U55" s="66"/>
      <c r="V55" s="212"/>
    </row>
    <row r="56" spans="20:22" x14ac:dyDescent="0.25">
      <c r="T56" s="66"/>
      <c r="U56" s="66"/>
      <c r="V56" s="212"/>
    </row>
    <row r="57" spans="20:22" x14ac:dyDescent="0.25">
      <c r="T57" s="66"/>
      <c r="U57" s="66"/>
      <c r="V57" s="212"/>
    </row>
  </sheetData>
  <mergeCells count="30">
    <mergeCell ref="E8:E9"/>
    <mergeCell ref="G8:J8"/>
    <mergeCell ref="S2:S6"/>
    <mergeCell ref="T2:T3"/>
    <mergeCell ref="M3:M6"/>
    <mergeCell ref="N3:N6"/>
    <mergeCell ref="O3:O6"/>
    <mergeCell ref="P3:P6"/>
    <mergeCell ref="Q3:Q6"/>
    <mergeCell ref="M7:M10"/>
    <mergeCell ref="N7:N10"/>
    <mergeCell ref="O7:O10"/>
    <mergeCell ref="P7:P10"/>
    <mergeCell ref="Q7:Q10"/>
    <mergeCell ref="S18:S21"/>
    <mergeCell ref="T18:T19"/>
    <mergeCell ref="B13:C13"/>
    <mergeCell ref="G13:H13"/>
    <mergeCell ref="I13:J13"/>
    <mergeCell ref="G14:H14"/>
    <mergeCell ref="I14:J14"/>
    <mergeCell ref="B15:C15"/>
    <mergeCell ref="S8:S16"/>
    <mergeCell ref="T8:T9"/>
    <mergeCell ref="G10:H10"/>
    <mergeCell ref="G11:H11"/>
    <mergeCell ref="I11:J11"/>
    <mergeCell ref="M11:P11"/>
    <mergeCell ref="G12:H12"/>
    <mergeCell ref="I12:J12"/>
  </mergeCells>
  <pageMargins left="0.511811024" right="0.511811024" top="0.78740157499999996" bottom="0.78740157499999996" header="0.31496062000000002" footer="0.3149606200000000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E511D-0A32-4332-8528-0E5296AA97C7}">
  <sheetPr codeName="Planilha20"/>
  <dimension ref="A1:BB40"/>
  <sheetViews>
    <sheetView topLeftCell="O1" workbookViewId="0">
      <selection activeCell="Z13" sqref="Z13"/>
    </sheetView>
  </sheetViews>
  <sheetFormatPr defaultRowHeight="15" x14ac:dyDescent="0.25"/>
  <cols>
    <col min="1" max="1" width="2.85546875" customWidth="1"/>
    <col min="2" max="2" width="18.7109375" customWidth="1"/>
    <col min="3" max="3" width="10.85546875" style="6" customWidth="1"/>
    <col min="4" max="4" width="10.140625" style="6" bestFit="1" customWidth="1"/>
    <col min="5" max="7" width="13.140625" style="6" bestFit="1" customWidth="1"/>
    <col min="8" max="8" width="3.28515625" customWidth="1"/>
    <col min="9" max="9" width="29" bestFit="1" customWidth="1"/>
    <col min="11" max="11" width="9.5703125" bestFit="1" customWidth="1"/>
    <col min="12" max="12" width="3.28515625" customWidth="1"/>
    <col min="13" max="13" width="18.28515625" customWidth="1"/>
    <col min="18" max="18" width="15.85546875" bestFit="1" customWidth="1"/>
    <col min="19" max="22" width="13.42578125" bestFit="1" customWidth="1"/>
    <col min="23" max="32" width="14.42578125" bestFit="1" customWidth="1"/>
    <col min="33" max="34" width="15.28515625" bestFit="1" customWidth="1"/>
    <col min="35" max="37" width="15.42578125" bestFit="1" customWidth="1"/>
    <col min="38" max="47" width="15.28515625" bestFit="1" customWidth="1"/>
    <col min="48" max="53" width="15.42578125" bestFit="1" customWidth="1"/>
    <col min="54" max="54" width="14.28515625" bestFit="1" customWidth="1"/>
  </cols>
  <sheetData>
    <row r="1" spans="1:54" x14ac:dyDescent="0.25">
      <c r="V1" t="s">
        <v>4124</v>
      </c>
      <c r="W1" s="66">
        <f>S27</f>
        <v>0.05</v>
      </c>
      <c r="X1" s="66">
        <f>T27</f>
        <v>0.10250000000000004</v>
      </c>
      <c r="Y1" s="66">
        <f t="shared" ref="Y1:AJ1" si="0">U27</f>
        <v>0.15762500000000013</v>
      </c>
      <c r="Z1" s="66">
        <f t="shared" si="0"/>
        <v>0.21550625000000023</v>
      </c>
      <c r="AA1" s="66">
        <f t="shared" si="0"/>
        <v>0.27628156250000035</v>
      </c>
      <c r="AB1" s="66">
        <f t="shared" si="0"/>
        <v>0.34009564062500042</v>
      </c>
      <c r="AC1" s="66">
        <f t="shared" si="0"/>
        <v>0.40710042265625046</v>
      </c>
      <c r="AD1" s="66">
        <f t="shared" si="0"/>
        <v>0.47745544378906302</v>
      </c>
      <c r="AE1" s="66">
        <f t="shared" si="0"/>
        <v>0.55132821597851622</v>
      </c>
      <c r="AF1" s="66">
        <f t="shared" si="0"/>
        <v>0.62889462677744201</v>
      </c>
      <c r="AG1" s="66">
        <f t="shared" si="0"/>
        <v>0.71033935811631421</v>
      </c>
      <c r="AH1" s="66">
        <f t="shared" si="0"/>
        <v>0.79585632602213008</v>
      </c>
      <c r="AI1" s="66">
        <f t="shared" si="0"/>
        <v>0.88564914232323666</v>
      </c>
      <c r="AJ1" s="66">
        <f t="shared" si="0"/>
        <v>0.97993159943939867</v>
      </c>
      <c r="AK1" s="66">
        <v>1</v>
      </c>
      <c r="AL1" s="66">
        <v>1</v>
      </c>
      <c r="AM1" s="66">
        <v>1</v>
      </c>
      <c r="AN1" s="66">
        <v>1</v>
      </c>
      <c r="AO1" s="66">
        <v>1</v>
      </c>
      <c r="AP1" s="66">
        <v>1</v>
      </c>
      <c r="AQ1" s="66">
        <v>1</v>
      </c>
      <c r="AR1" s="66">
        <v>1</v>
      </c>
      <c r="AS1" s="66">
        <v>1</v>
      </c>
      <c r="AT1" s="66">
        <v>1</v>
      </c>
      <c r="AU1" s="66">
        <v>1</v>
      </c>
      <c r="AV1" s="66">
        <v>1</v>
      </c>
      <c r="AW1" s="66">
        <v>1</v>
      </c>
      <c r="AX1" s="66">
        <v>1</v>
      </c>
      <c r="AY1" s="66">
        <v>1</v>
      </c>
      <c r="AZ1" s="66">
        <v>1</v>
      </c>
      <c r="BA1" s="66">
        <v>1</v>
      </c>
      <c r="BB1" s="66">
        <v>1</v>
      </c>
    </row>
    <row r="2" spans="1:54" x14ac:dyDescent="0.25">
      <c r="B2" s="535" t="s">
        <v>3991</v>
      </c>
      <c r="C2" s="535"/>
      <c r="D2" s="535"/>
      <c r="E2" s="535"/>
      <c r="F2" s="535"/>
      <c r="G2" s="535"/>
      <c r="M2" s="535" t="s">
        <v>4084</v>
      </c>
      <c r="N2" s="535"/>
      <c r="O2" s="535"/>
      <c r="P2" s="535"/>
      <c r="Q2" s="535"/>
      <c r="R2" s="535"/>
      <c r="S2" s="100">
        <v>2025</v>
      </c>
      <c r="T2" s="100">
        <v>2026</v>
      </c>
      <c r="U2" s="100">
        <v>2027</v>
      </c>
      <c r="V2" s="100">
        <v>2028</v>
      </c>
      <c r="W2" s="100">
        <v>2029</v>
      </c>
      <c r="X2" s="100">
        <v>2030</v>
      </c>
      <c r="Y2" s="100">
        <v>2031</v>
      </c>
      <c r="Z2" s="100">
        <v>2032</v>
      </c>
      <c r="AA2" s="100">
        <v>2033</v>
      </c>
      <c r="AB2" s="100">
        <v>2034</v>
      </c>
      <c r="AC2" s="100">
        <v>2035</v>
      </c>
      <c r="AD2" s="100">
        <v>2036</v>
      </c>
      <c r="AE2" s="100">
        <v>2037</v>
      </c>
      <c r="AF2" s="100">
        <v>2038</v>
      </c>
      <c r="AG2" s="100">
        <v>2039</v>
      </c>
      <c r="AH2" s="100">
        <v>2040</v>
      </c>
      <c r="AI2" s="100">
        <v>2041</v>
      </c>
      <c r="AJ2" s="100">
        <v>2042</v>
      </c>
      <c r="AK2" s="100">
        <v>2043</v>
      </c>
      <c r="AL2" s="100">
        <v>2044</v>
      </c>
      <c r="AM2" s="100">
        <v>2045</v>
      </c>
      <c r="AN2" s="100">
        <v>2046</v>
      </c>
      <c r="AO2" s="100">
        <v>2047</v>
      </c>
      <c r="AP2" s="100">
        <v>2048</v>
      </c>
      <c r="AQ2" s="100">
        <v>2049</v>
      </c>
      <c r="AR2" s="100">
        <v>2050</v>
      </c>
      <c r="AS2" s="100">
        <v>2051</v>
      </c>
      <c r="AT2" s="100">
        <v>2052</v>
      </c>
      <c r="AU2" s="100">
        <v>2053</v>
      </c>
      <c r="AV2" s="100">
        <v>2054</v>
      </c>
      <c r="AW2" s="100">
        <v>2055</v>
      </c>
      <c r="AX2" s="100">
        <v>2056</v>
      </c>
      <c r="AY2" s="100">
        <v>2057</v>
      </c>
      <c r="AZ2" s="100">
        <v>2058</v>
      </c>
      <c r="BA2" s="100">
        <v>2059</v>
      </c>
      <c r="BB2" s="17"/>
    </row>
    <row r="3" spans="1:54" x14ac:dyDescent="0.25">
      <c r="B3" s="172" t="s">
        <v>3873</v>
      </c>
      <c r="C3" s="100" t="s">
        <v>3874</v>
      </c>
      <c r="D3" s="100" t="s">
        <v>3875</v>
      </c>
      <c r="E3" s="100" t="s">
        <v>3756</v>
      </c>
      <c r="F3" s="100" t="s">
        <v>3876</v>
      </c>
      <c r="G3" s="100" t="s">
        <v>3877</v>
      </c>
      <c r="I3" s="171" t="s">
        <v>3998</v>
      </c>
      <c r="J3" s="100" t="s">
        <v>3868</v>
      </c>
      <c r="K3" s="100" t="s">
        <v>3869</v>
      </c>
      <c r="M3" s="172" t="s">
        <v>3873</v>
      </c>
      <c r="N3" s="100" t="s">
        <v>3874</v>
      </c>
      <c r="O3" s="100" t="s">
        <v>3875</v>
      </c>
      <c r="P3" s="100" t="s">
        <v>3756</v>
      </c>
      <c r="Q3" s="100" t="s">
        <v>3876</v>
      </c>
      <c r="R3" s="100" t="s">
        <v>3877</v>
      </c>
      <c r="S3" s="100" t="s">
        <v>3701</v>
      </c>
      <c r="T3" s="100" t="s">
        <v>3702</v>
      </c>
      <c r="U3" s="100" t="s">
        <v>3703</v>
      </c>
      <c r="V3" s="100" t="s">
        <v>3704</v>
      </c>
      <c r="W3" s="100" t="s">
        <v>3705</v>
      </c>
      <c r="X3" s="100" t="s">
        <v>3706</v>
      </c>
      <c r="Y3" s="100" t="s">
        <v>3707</v>
      </c>
      <c r="Z3" s="100" t="s">
        <v>3708</v>
      </c>
      <c r="AA3" s="100" t="s">
        <v>3709</v>
      </c>
      <c r="AB3" s="100" t="s">
        <v>3710</v>
      </c>
      <c r="AC3" s="100" t="s">
        <v>3711</v>
      </c>
      <c r="AD3" s="100" t="s">
        <v>3712</v>
      </c>
      <c r="AE3" s="100" t="s">
        <v>3713</v>
      </c>
      <c r="AF3" s="100" t="s">
        <v>3714</v>
      </c>
      <c r="AG3" s="100" t="s">
        <v>3715</v>
      </c>
      <c r="AH3" s="100" t="s">
        <v>3716</v>
      </c>
      <c r="AI3" s="100" t="s">
        <v>3717</v>
      </c>
      <c r="AJ3" s="100" t="s">
        <v>3718</v>
      </c>
      <c r="AK3" s="100" t="s">
        <v>3719</v>
      </c>
      <c r="AL3" s="100" t="s">
        <v>3720</v>
      </c>
      <c r="AM3" s="100" t="s">
        <v>3721</v>
      </c>
      <c r="AN3" s="100" t="s">
        <v>3722</v>
      </c>
      <c r="AO3" s="100" t="s">
        <v>3723</v>
      </c>
      <c r="AP3" s="100" t="s">
        <v>3724</v>
      </c>
      <c r="AQ3" s="100" t="s">
        <v>3725</v>
      </c>
      <c r="AR3" s="100" t="s">
        <v>3726</v>
      </c>
      <c r="AS3" s="100" t="s">
        <v>3727</v>
      </c>
      <c r="AT3" s="100" t="s">
        <v>3728</v>
      </c>
      <c r="AU3" s="100" t="s">
        <v>3729</v>
      </c>
      <c r="AV3" s="100" t="s">
        <v>3730</v>
      </c>
      <c r="AW3" s="100" t="s">
        <v>3731</v>
      </c>
      <c r="AX3" s="100" t="s">
        <v>3732</v>
      </c>
      <c r="AY3" s="100" t="s">
        <v>3733</v>
      </c>
      <c r="AZ3" s="100" t="s">
        <v>3734</v>
      </c>
      <c r="BA3" s="100" t="s">
        <v>3735</v>
      </c>
      <c r="BB3" s="17"/>
    </row>
    <row r="4" spans="1:54" x14ac:dyDescent="0.25">
      <c r="B4" s="206" t="s">
        <v>3878</v>
      </c>
      <c r="C4" s="9">
        <v>2700</v>
      </c>
      <c r="D4" s="9">
        <v>5400</v>
      </c>
      <c r="E4" s="9">
        <f t="shared" ref="E4:E12" si="1">AVERAGE(C4:D4)</f>
        <v>4050</v>
      </c>
      <c r="F4" s="9">
        <f t="shared" ref="F4:F12" ca="1" si="2">RAND()*(D4-C4)+C4</f>
        <v>5284.2832051082187</v>
      </c>
      <c r="G4" s="9">
        <f t="shared" ref="G4:G12" ca="1" si="3">IF(RAND() &lt; ((E4 - C4) / (D4 - C4)),  C4+ SQRT(RAND() * (D4 - C4) * (E4 - C4)),  D4 - SQRT((1 - RAND()) * (D4 - C4) * (D4 - C4)))</f>
        <v>3185.2310910442598</v>
      </c>
      <c r="I4" t="s">
        <v>4005</v>
      </c>
      <c r="J4" s="6">
        <v>4.5</v>
      </c>
      <c r="K4" s="6">
        <v>6.5</v>
      </c>
      <c r="M4" s="206" t="s">
        <v>3998</v>
      </c>
      <c r="N4" s="37">
        <f>J8</f>
        <v>2268</v>
      </c>
      <c r="O4" s="37">
        <f>K8</f>
        <v>3276</v>
      </c>
      <c r="P4" s="37">
        <f>AVERAGE(N4:O4)</f>
        <v>2772</v>
      </c>
      <c r="Q4" s="9">
        <f ca="1">RAND()*(O4-N4)+N4</f>
        <v>3010.4055243861949</v>
      </c>
      <c r="R4" s="9">
        <f ca="1">IF(RAND() &lt; ((P4 - N4) / (O4 - N4)),  N4+ SQRT(RAND() * (O4 - N4) * (P4 - N4)),  O4 - SQRT((1 - RAND()) * (O4 - N4) * (O4 - N4)))</f>
        <v>2975.8728674171821</v>
      </c>
      <c r="S4" s="9">
        <v>0</v>
      </c>
      <c r="T4" s="9">
        <v>0</v>
      </c>
      <c r="U4" s="9">
        <v>0</v>
      </c>
      <c r="V4" s="9">
        <v>0</v>
      </c>
      <c r="W4" s="306">
        <f>(Import_Frios!F16/$K13)*$K26*W1</f>
        <v>198708.59329398707</v>
      </c>
      <c r="X4" s="306">
        <f>(Import_Frios!G16/$K13)*$K26*X1</f>
        <v>431196.20955607516</v>
      </c>
      <c r="Y4" s="306">
        <f>(Import_Frios!H16/$K13)*$K26*Y1</f>
        <v>701908.64803800301</v>
      </c>
      <c r="Z4" s="306">
        <f>(Import_Frios!I16/$K13)*$K26*Z1</f>
        <v>1015827.0847369266</v>
      </c>
      <c r="AA4" s="306">
        <f>(Import_Frios!J16/$K13)*$K26*AA1</f>
        <v>1378530.0778301039</v>
      </c>
      <c r="AB4" s="306">
        <f>(Import_Frios!K16/$K13)*$K26*AB1</f>
        <v>1796262.6207455236</v>
      </c>
      <c r="AC4" s="306">
        <f>(Import_Frios!L16/$K13)*$K26*AC1</f>
        <v>2276013.0363873485</v>
      </c>
      <c r="AD4" s="306">
        <f>(Import_Frios!M16/$K13)*$K26*AD1</f>
        <v>2825598.5949481647</v>
      </c>
      <c r="AE4" s="306">
        <f>(Import_Frios!N16/$K13)*$K26*AE1</f>
        <v>3453760.8365908251</v>
      </c>
      <c r="AF4" s="306">
        <f>(Import_Frios!O16/$K13)*$K26*AF1</f>
        <v>4170271.6901802351</v>
      </c>
      <c r="AG4" s="306">
        <f>(Import_Frios!P16/$K13)*$K26*AG1</f>
        <v>4986051.6014229376</v>
      </c>
      <c r="AH4" s="306">
        <f>(Import_Frios!Q16/$K13)*$K26*AH1</f>
        <v>5913301.0196000775</v>
      </c>
      <c r="AI4" s="306">
        <f>(Import_Frios!R16/$K13)*$K26*AI1</f>
        <v>6965646.7430808768</v>
      </c>
      <c r="AJ4" s="306">
        <f>(Import_Frios!S16/$K13)*$K26*AJ1</f>
        <v>8158304.7916721497</v>
      </c>
      <c r="AK4" s="306">
        <f>(Import_Frios!T16/$K13)*$K26*AK1</f>
        <v>8812691.9306754842</v>
      </c>
      <c r="AL4" s="306">
        <f>(Import_Frios!U16/$K13)*$K26*AL1</f>
        <v>9328525.7167358063</v>
      </c>
      <c r="AM4" s="306">
        <f>(Import_Frios!V16/$K13)*$K26*AM1</f>
        <v>9874552.830434775</v>
      </c>
      <c r="AN4" s="306">
        <f>(Import_Frios!W16/$K13)*$K26*AN1</f>
        <v>10452540.5794954</v>
      </c>
      <c r="AO4" s="306">
        <f>(Import_Frios!X16/$K13)*$K26*AO1</f>
        <v>11064359.717561765</v>
      </c>
      <c r="AP4" s="306">
        <f>(Import_Frios!Y16/$K13)*$K26*AP1</f>
        <v>11711990.499204867</v>
      </c>
      <c r="AQ4" s="306">
        <f>(Import_Frios!Z16/$K13)*$K26*AQ1</f>
        <v>12397529.089346448</v>
      </c>
      <c r="AR4" s="306">
        <f>(Import_Frios!AA16/$K13)*$K26*AR1</f>
        <v>13123194.347846003</v>
      </c>
      <c r="AS4" s="306">
        <f>(Import_Frios!AB16/$K13)*$K26*AS1</f>
        <v>13891335.011210367</v>
      </c>
      <c r="AT4" s="306">
        <f>(Import_Frios!AC16/$K13)*$K26*AT1</f>
        <v>14704437.294670731</v>
      </c>
      <c r="AU4" s="306">
        <f>(Import_Frios!AD16/$K13)*$K26*AU1</f>
        <v>15565132.939232452</v>
      </c>
      <c r="AV4" s="306">
        <f>(Import_Frios!AE16/$K13)*$K26*AV1</f>
        <v>16476207.729743268</v>
      </c>
      <c r="AW4" s="306">
        <f>(Import_Frios!AF16/$K13)*$K26*AW1</f>
        <v>17440610.511550076</v>
      </c>
      <c r="AX4" s="306">
        <f>(Import_Frios!AG16/$K13)*$K26*AX1</f>
        <v>18461462.73492818</v>
      </c>
      <c r="AY4" s="306">
        <f>(Import_Frios!AH16/$K13)*$K26*AY1</f>
        <v>19542068.558175158</v>
      </c>
      <c r="AZ4" s="306">
        <f>(Import_Frios!AI16/$K13)*$K26*AZ1</f>
        <v>20685925.542069659</v>
      </c>
      <c r="BA4" s="306">
        <f>(Import_Frios!AJ16/$K13)*$K26*BA1</f>
        <v>21896735.970309585</v>
      </c>
      <c r="BB4" s="19"/>
    </row>
    <row r="5" spans="1:54" x14ac:dyDescent="0.25">
      <c r="B5" s="206" t="s">
        <v>3883</v>
      </c>
      <c r="C5" s="9">
        <v>1600</v>
      </c>
      <c r="D5" s="9">
        <v>5050</v>
      </c>
      <c r="E5" s="9">
        <f t="shared" si="1"/>
        <v>3325</v>
      </c>
      <c r="F5" s="9">
        <f t="shared" ca="1" si="2"/>
        <v>4016.9206092947538</v>
      </c>
      <c r="G5" s="9">
        <f t="shared" ca="1" si="3"/>
        <v>1652.2869191387631</v>
      </c>
      <c r="I5" t="s">
        <v>4006</v>
      </c>
      <c r="J5" s="6">
        <f>24*J4</f>
        <v>108</v>
      </c>
      <c r="K5" s="6">
        <f>24*K4</f>
        <v>156</v>
      </c>
      <c r="M5" s="206" t="s">
        <v>3997</v>
      </c>
      <c r="N5" s="176">
        <f>J20</f>
        <v>504</v>
      </c>
      <c r="O5" s="176">
        <f>K20</f>
        <v>840</v>
      </c>
      <c r="P5" s="37">
        <f>AVERAGE(N5:O5)</f>
        <v>672</v>
      </c>
      <c r="Q5" s="9">
        <f ca="1">RAND()*(O5-N5)+N5</f>
        <v>605.90813546241043</v>
      </c>
      <c r="R5" s="9">
        <f ca="1">IF(RAND() &lt; ((P5 - N5) / (O5 - N5)),  N5+ SQRT(RAND() * (O5 - N5) * (P5 - N5)),  O5 - SQRT((1 - RAND()) * (O5 - N5) * (O5 - N5)))</f>
        <v>599.65646690646622</v>
      </c>
      <c r="S5" s="9">
        <v>0</v>
      </c>
      <c r="T5" s="9">
        <v>0</v>
      </c>
      <c r="U5" s="9">
        <v>0</v>
      </c>
      <c r="V5" s="9">
        <v>0</v>
      </c>
      <c r="W5" s="306">
        <f>Export_Frutas!F29*100%*$P5*W1*W9</f>
        <v>6391497.8492735997</v>
      </c>
      <c r="X5" s="306">
        <f>Export_Frutas!G29*100%*$P5*X1*X9</f>
        <v>13684416.878821747</v>
      </c>
      <c r="Y5" s="306">
        <f>Export_Frutas!H29*100%*$P5*Y1*Y9</f>
        <v>21977955.098886527</v>
      </c>
      <c r="Z5" s="306">
        <f>Export_Frutas!I29*100%*$P5*Z1*Z9</f>
        <v>28243252.485379718</v>
      </c>
      <c r="AA5" s="306">
        <f>Export_Frutas!J29*100%*$P5*AA1*AA9</f>
        <v>37813571.369889006</v>
      </c>
      <c r="AB5" s="306">
        <f>Export_Frutas!K29*100%*$P5*AB1*AB9</f>
        <v>48610379.985109851</v>
      </c>
      <c r="AC5" s="306">
        <f>Export_Frutas!L29*100%*$P5*AC1*AC9</f>
        <v>54013300.829691976</v>
      </c>
      <c r="AD5" s="306">
        <f>Export_Frutas!M29*100%*$P5*AD1*AD9</f>
        <v>66152717.848533586</v>
      </c>
      <c r="AE5" s="306">
        <f>Export_Frutas!N29*100%*$P5*AE1*AE9</f>
        <v>79768793.610042557</v>
      </c>
      <c r="AF5" s="306">
        <f>Export_Frutas!O29*100%*$P5*AF1*AF9</f>
        <v>89078427.655807033</v>
      </c>
      <c r="AG5" s="306">
        <f>Export_Frutas!P29*100%*$P5*AG1*AG9</f>
        <v>105064027.55287479</v>
      </c>
      <c r="AH5" s="306">
        <f>Export_Frutas!Q29*100%*$P5*AH1*AH9</f>
        <v>122916328.71481872</v>
      </c>
      <c r="AI5" s="306">
        <f>Export_Frutas!R29*100%*$P5*AI1*AI9</f>
        <v>133307214.19054967</v>
      </c>
      <c r="AJ5" s="306">
        <f>Export_Frutas!S29*100%*$P5*AJ1*AJ9</f>
        <v>154014556.20425659</v>
      </c>
      <c r="AK5" s="306">
        <f>Export_Frutas!T29*100%*$P5*AK1*AK9</f>
        <v>164109653.43849978</v>
      </c>
      <c r="AL5" s="306">
        <f>Export_Frutas!U29*100%*$P5*AL1*AL9</f>
        <v>159115277.99364421</v>
      </c>
      <c r="AM5" s="306">
        <f>Export_Frutas!V29*100%*$P5*AM1*AM9</f>
        <v>166137960.87192494</v>
      </c>
      <c r="AN5" s="306">
        <f>Export_Frutas!W29*100%*$P5*AN1*AN9</f>
        <v>173468513.97371861</v>
      </c>
      <c r="AO5" s="306">
        <f>Export_Frutas!X29*100%*$P5*AO1*AO9</f>
        <v>167188093.05763119</v>
      </c>
      <c r="AP5" s="306">
        <f>Export_Frutas!Y29*100%*$P5*AP1*AP9</f>
        <v>174561055.31862813</v>
      </c>
      <c r="AQ5" s="306">
        <f>Export_Frutas!Z29*100%*$P5*AQ1*AQ9</f>
        <v>182257243.84209302</v>
      </c>
      <c r="AR5" s="306">
        <f>Export_Frutas!AA29*100%*$P5*AR1*AR9</f>
        <v>174433259.61814997</v>
      </c>
      <c r="AS5" s="306">
        <f>Export_Frutas!AB29*100%*$P5*AS1*AS9</f>
        <v>182120217.64573368</v>
      </c>
      <c r="AT5" s="306">
        <f>Export_Frutas!AC29*100%*$P5*AT1*AT9</f>
        <v>190144167.3226777</v>
      </c>
      <c r="AU5" s="306">
        <f>Export_Frutas!AD29*100%*$P5*AU1*AU9</f>
        <v>180472620.14694753</v>
      </c>
      <c r="AV5" s="306">
        <f>Export_Frutas!AE29*100%*$P5*AV1*AV9</f>
        <v>188420712.12478188</v>
      </c>
      <c r="AW5" s="306">
        <f>Export_Frutas!AF29*100%*$P5*AW1*AW9</f>
        <v>196717243.70840913</v>
      </c>
      <c r="AX5" s="306">
        <f>Export_Frutas!AG29*100%*$P5*AX1*AX9</f>
        <v>205377490.28206295</v>
      </c>
      <c r="AY5" s="306">
        <f>Export_Frutas!AH29*100%*$P5*AY1*AY9</f>
        <v>214417396.89369938</v>
      </c>
      <c r="AZ5" s="306">
        <f>Export_Frutas!AI29*100%*$P5*AZ1*AZ9</f>
        <v>223853607.61265463</v>
      </c>
      <c r="BA5" s="306">
        <f>Export_Frutas!AJ29*100%*$P5*BA1*BA9</f>
        <v>233703496.17432508</v>
      </c>
      <c r="BB5" s="19"/>
    </row>
    <row r="6" spans="1:54" x14ac:dyDescent="0.25">
      <c r="B6" s="206" t="s">
        <v>3879</v>
      </c>
      <c r="C6" s="9">
        <v>6400</v>
      </c>
      <c r="D6" s="9">
        <v>25200</v>
      </c>
      <c r="E6" s="9">
        <f t="shared" si="1"/>
        <v>15800</v>
      </c>
      <c r="F6" s="9">
        <f t="shared" ca="1" si="2"/>
        <v>18352.800088219421</v>
      </c>
      <c r="G6" s="9">
        <f t="shared" ca="1" si="3"/>
        <v>16753.324934651962</v>
      </c>
      <c r="H6" s="1"/>
      <c r="I6" t="s">
        <v>4122</v>
      </c>
      <c r="J6" s="6">
        <f>30*J5</f>
        <v>3240</v>
      </c>
      <c r="K6" s="6">
        <f>30*K5</f>
        <v>4680</v>
      </c>
      <c r="L6" s="1"/>
      <c r="M6" s="206" t="s">
        <v>3995</v>
      </c>
      <c r="N6" s="37">
        <f>90000-10%*9000</f>
        <v>89100</v>
      </c>
      <c r="O6" s="37">
        <f>90000+10%*9000</f>
        <v>90900</v>
      </c>
      <c r="P6" s="37">
        <f>AVERAGE(N6:O6)</f>
        <v>90000</v>
      </c>
      <c r="Q6" s="9">
        <f ca="1">RAND()*(O6-N6)+N6</f>
        <v>89713.270802657513</v>
      </c>
      <c r="R6" s="9">
        <f ca="1">IF(RAND() &lt; ((P6 - N6) / (O6 - N6)),  N6+ SQRT(RAND() * (O6 - N6) * (P6 - N6)),  O6 - SQRT((1 - RAND()) * (O6 - N6) * (O6 - N6)))</f>
        <v>90202.753078889888</v>
      </c>
      <c r="S6" s="9">
        <v>0</v>
      </c>
      <c r="T6" s="9">
        <v>0</v>
      </c>
      <c r="U6" s="9">
        <v>0</v>
      </c>
      <c r="V6" s="9">
        <v>0</v>
      </c>
      <c r="W6" s="19">
        <f>90000*12*W1</f>
        <v>54000</v>
      </c>
      <c r="X6" s="19">
        <f>90000*12*X1</f>
        <v>110700.00000000004</v>
      </c>
      <c r="Y6" s="19">
        <f>90000*12*Y1</f>
        <v>170235.00000000015</v>
      </c>
      <c r="Z6" s="19">
        <f t="shared" ref="Z6:BA6" si="4">90000*12*Z1</f>
        <v>232746.75000000026</v>
      </c>
      <c r="AA6" s="19">
        <f t="shared" si="4"/>
        <v>298384.08750000037</v>
      </c>
      <c r="AB6" s="19">
        <f t="shared" si="4"/>
        <v>367303.29187500046</v>
      </c>
      <c r="AC6" s="19">
        <f t="shared" si="4"/>
        <v>439668.45646875049</v>
      </c>
      <c r="AD6" s="19">
        <f t="shared" si="4"/>
        <v>515651.87929218804</v>
      </c>
      <c r="AE6" s="19">
        <f t="shared" si="4"/>
        <v>595434.47325679753</v>
      </c>
      <c r="AF6" s="19">
        <f t="shared" si="4"/>
        <v>679206.19691963738</v>
      </c>
      <c r="AG6" s="19">
        <f t="shared" si="4"/>
        <v>767166.50676561939</v>
      </c>
      <c r="AH6" s="19">
        <f t="shared" si="4"/>
        <v>859524.83210390049</v>
      </c>
      <c r="AI6" s="19">
        <f t="shared" si="4"/>
        <v>956501.0737090956</v>
      </c>
      <c r="AJ6" s="19">
        <f t="shared" si="4"/>
        <v>1058326.1273945505</v>
      </c>
      <c r="AK6" s="19">
        <f t="shared" si="4"/>
        <v>1080000</v>
      </c>
      <c r="AL6" s="19">
        <f t="shared" si="4"/>
        <v>1080000</v>
      </c>
      <c r="AM6" s="19">
        <f t="shared" si="4"/>
        <v>1080000</v>
      </c>
      <c r="AN6" s="19">
        <f t="shared" si="4"/>
        <v>1080000</v>
      </c>
      <c r="AO6" s="19">
        <f t="shared" si="4"/>
        <v>1080000</v>
      </c>
      <c r="AP6" s="19">
        <f t="shared" si="4"/>
        <v>1080000</v>
      </c>
      <c r="AQ6" s="19">
        <f t="shared" si="4"/>
        <v>1080000</v>
      </c>
      <c r="AR6" s="19">
        <f t="shared" si="4"/>
        <v>1080000</v>
      </c>
      <c r="AS6" s="19">
        <f t="shared" si="4"/>
        <v>1080000</v>
      </c>
      <c r="AT6" s="19">
        <f t="shared" si="4"/>
        <v>1080000</v>
      </c>
      <c r="AU6" s="19">
        <f t="shared" si="4"/>
        <v>1080000</v>
      </c>
      <c r="AV6" s="19">
        <f t="shared" si="4"/>
        <v>1080000</v>
      </c>
      <c r="AW6" s="19">
        <f t="shared" si="4"/>
        <v>1080000</v>
      </c>
      <c r="AX6" s="19">
        <f t="shared" si="4"/>
        <v>1080000</v>
      </c>
      <c r="AY6" s="19">
        <f t="shared" si="4"/>
        <v>1080000</v>
      </c>
      <c r="AZ6" s="19">
        <f t="shared" si="4"/>
        <v>1080000</v>
      </c>
      <c r="BA6" s="19">
        <f t="shared" si="4"/>
        <v>1080000</v>
      </c>
      <c r="BB6" s="19"/>
    </row>
    <row r="7" spans="1:54" x14ac:dyDescent="0.25">
      <c r="B7" s="206" t="s">
        <v>3880</v>
      </c>
      <c r="C7" s="9">
        <v>7800</v>
      </c>
      <c r="D7" s="9">
        <v>25500</v>
      </c>
      <c r="E7" s="9">
        <f t="shared" si="1"/>
        <v>16650</v>
      </c>
      <c r="F7" s="9">
        <f t="shared" ca="1" si="2"/>
        <v>19449.480146122114</v>
      </c>
      <c r="G7" s="9">
        <f t="shared" ca="1" si="3"/>
        <v>12317.187571904506</v>
      </c>
      <c r="H7" s="1"/>
      <c r="I7" t="s">
        <v>4007</v>
      </c>
      <c r="J7" s="538">
        <v>0.7</v>
      </c>
      <c r="K7" s="538"/>
      <c r="L7" s="1"/>
      <c r="M7" s="206" t="s">
        <v>3996</v>
      </c>
      <c r="N7" s="531"/>
      <c r="O7" s="531"/>
      <c r="P7" s="531"/>
      <c r="Q7" s="531"/>
      <c r="R7" s="531"/>
      <c r="S7" s="9">
        <v>0</v>
      </c>
      <c r="T7" s="9">
        <v>0</v>
      </c>
      <c r="U7" s="9">
        <v>0</v>
      </c>
      <c r="V7" s="9">
        <v>0</v>
      </c>
      <c r="W7" s="19">
        <f>6.33%*DRE_FC!H4*W1</f>
        <v>90622.023249776568</v>
      </c>
      <c r="X7" s="19">
        <f>6.33%*DRE_FC!I4*X1</f>
        <v>232192.69039515479</v>
      </c>
      <c r="Y7" s="19">
        <f>6.33%*DRE_FC!J4*Y1</f>
        <v>437486.06835304294</v>
      </c>
      <c r="Z7" s="19">
        <f>6.33%*DRE_FC!K4*Z1</f>
        <v>721724.8163351668</v>
      </c>
      <c r="AA7" s="19">
        <f>6.33%*DRE_FC!L4*AA1</f>
        <v>1103038.256700363</v>
      </c>
      <c r="AB7" s="19">
        <f>6.33%*DRE_FC!M4*AB1</f>
        <v>1602957.878476301</v>
      </c>
      <c r="AC7" s="19">
        <f>6.33%*DRE_FC!N4*AC1</f>
        <v>2247000.9902821891</v>
      </c>
      <c r="AD7" s="19">
        <f>6.33%*DRE_FC!O4*AD1</f>
        <v>3065350.1831426765</v>
      </c>
      <c r="AE7" s="19">
        <f>6.33%*DRE_FC!P4*AE1</f>
        <v>4093643.9806371089</v>
      </c>
      <c r="AF7" s="19">
        <f>6.33%*DRE_FC!Q4*AF1</f>
        <v>5373896.4940256225</v>
      </c>
      <c r="AG7" s="19">
        <f>6.33%*DRE_FC!R4*AG1</f>
        <v>6955566.7253974983</v>
      </c>
      <c r="AH7" s="19">
        <f>6.33%*DRE_FC!S4*AH1</f>
        <v>8897121.7435771376</v>
      </c>
      <c r="AI7" s="19">
        <f>6.33%*DRE_FC!T4*AI1</f>
        <v>11266283.047715271</v>
      </c>
      <c r="AJ7" s="19">
        <f>6.33%*DRE_FC!U4*AJ1</f>
        <v>14143391.428314179</v>
      </c>
      <c r="AK7" s="19">
        <f>6.33%*DRE_FC!V4*AK1</f>
        <v>15241536.070638066</v>
      </c>
      <c r="AL7" s="19">
        <f>6.33%*DRE_FC!W4*AL1</f>
        <v>15807763.534416042</v>
      </c>
      <c r="AM7" s="19">
        <f>6.33%*DRE_FC!X4*AM1</f>
        <v>16401276.597869553</v>
      </c>
      <c r="AN7" s="19">
        <f>6.33%*DRE_FC!Y4*AN1</f>
        <v>17019916.295460381</v>
      </c>
      <c r="AO7" s="19">
        <f>6.33%*DRE_FC!Z4*AO1</f>
        <v>17666643.966814704</v>
      </c>
      <c r="AP7" s="19">
        <f>6.33%*DRE_FC!AA4*AP1</f>
        <v>18342808.07583179</v>
      </c>
      <c r="AQ7" s="19">
        <f>6.33%*DRE_FC!AB4*AQ1</f>
        <v>19049824.142462734</v>
      </c>
      <c r="AR7" s="19">
        <f>6.33%*DRE_FC!AC4*AR1</f>
        <v>19773501.152244635</v>
      </c>
      <c r="AS7" s="19">
        <f>6.33%*DRE_FC!AD4*AS1</f>
        <v>20546471.835106611</v>
      </c>
      <c r="AT7" s="19">
        <f>6.33%*DRE_FC!AE4*AT1</f>
        <v>21354973.464329265</v>
      </c>
      <c r="AU7" s="19">
        <f>6.33%*DRE_FC!AF4*AU1</f>
        <v>22200725.769036744</v>
      </c>
      <c r="AV7" s="19">
        <f>6.33%*DRE_FC!AG4*AV1</f>
        <v>23085534.538361017</v>
      </c>
      <c r="AW7" s="19">
        <f>6.33%*DRE_FC!AH4*AW1</f>
        <v>23972040.290098015</v>
      </c>
      <c r="AX7" s="19">
        <f>6.33%*DRE_FC!AI4*AX1</f>
        <v>24940041.331658274</v>
      </c>
      <c r="AY7" s="19">
        <f>6.33%*DRE_FC!AJ4*AY1</f>
        <v>25953065.275245819</v>
      </c>
      <c r="AZ7" s="19">
        <f>6.33%*DRE_FC!AK4*AZ1</f>
        <v>27013308.489109874</v>
      </c>
      <c r="BA7" s="19">
        <f>6.33%*DRE_FC!AL4*BA1</f>
        <v>28123077.9359672</v>
      </c>
      <c r="BB7" s="19"/>
    </row>
    <row r="8" spans="1:54" x14ac:dyDescent="0.25">
      <c r="B8" s="206" t="s">
        <v>3881</v>
      </c>
      <c r="C8" s="9">
        <v>9500</v>
      </c>
      <c r="D8" s="9">
        <v>45000</v>
      </c>
      <c r="E8" s="9">
        <f t="shared" si="1"/>
        <v>27250</v>
      </c>
      <c r="F8" s="9">
        <f t="shared" ca="1" si="2"/>
        <v>32583.382525245161</v>
      </c>
      <c r="G8" s="9">
        <f t="shared" ca="1" si="3"/>
        <v>26460.496109962471</v>
      </c>
      <c r="H8" s="1"/>
      <c r="I8" s="172" t="s">
        <v>4008</v>
      </c>
      <c r="J8" s="173">
        <f>J6*J7</f>
        <v>2268</v>
      </c>
      <c r="K8" s="173">
        <f>K6*J7</f>
        <v>3276</v>
      </c>
      <c r="L8" s="1"/>
      <c r="M8" s="206" t="s">
        <v>4012</v>
      </c>
      <c r="N8" s="532">
        <f>12*MOB!R52</f>
        <v>3857531.5068341652</v>
      </c>
      <c r="O8" s="532"/>
      <c r="P8" s="532"/>
      <c r="Q8" s="532"/>
      <c r="R8" s="532"/>
      <c r="S8" s="9">
        <v>0</v>
      </c>
      <c r="T8" s="9">
        <v>0</v>
      </c>
      <c r="U8" s="9">
        <v>0</v>
      </c>
      <c r="V8" s="9">
        <v>0</v>
      </c>
      <c r="W8" s="19">
        <f>$N8*W1</f>
        <v>192876.57534170826</v>
      </c>
      <c r="X8" s="19">
        <f>$N8*X1</f>
        <v>395396.97945050208</v>
      </c>
      <c r="Y8" s="19">
        <f t="shared" ref="Y8:BA8" si="5">$N8*Y1</f>
        <v>608043.40376473579</v>
      </c>
      <c r="Z8" s="19">
        <f t="shared" si="5"/>
        <v>831322.14929468127</v>
      </c>
      <c r="AA8" s="19">
        <f t="shared" si="5"/>
        <v>1065764.8321011239</v>
      </c>
      <c r="AB8" s="19">
        <f t="shared" si="5"/>
        <v>1311929.6490478886</v>
      </c>
      <c r="AC8" s="19">
        <f t="shared" si="5"/>
        <v>1570402.7068419913</v>
      </c>
      <c r="AD8" s="19">
        <f t="shared" si="5"/>
        <v>1841799.4175257992</v>
      </c>
      <c r="AE8" s="19">
        <f t="shared" si="5"/>
        <v>2126765.963743798</v>
      </c>
      <c r="AF8" s="19">
        <f t="shared" si="5"/>
        <v>2425980.8372726957</v>
      </c>
      <c r="AG8" s="19">
        <f t="shared" si="5"/>
        <v>2740156.4544780394</v>
      </c>
      <c r="AH8" s="19">
        <f t="shared" si="5"/>
        <v>3070040.8525436502</v>
      </c>
      <c r="AI8" s="19">
        <f t="shared" si="5"/>
        <v>3416419.470512541</v>
      </c>
      <c r="AJ8" s="19">
        <f t="shared" si="5"/>
        <v>3780117.019379877</v>
      </c>
      <c r="AK8" s="19">
        <f t="shared" si="5"/>
        <v>3857531.5068341652</v>
      </c>
      <c r="AL8" s="19">
        <f t="shared" si="5"/>
        <v>3857531.5068341652</v>
      </c>
      <c r="AM8" s="19">
        <f t="shared" si="5"/>
        <v>3857531.5068341652</v>
      </c>
      <c r="AN8" s="19">
        <f t="shared" si="5"/>
        <v>3857531.5068341652</v>
      </c>
      <c r="AO8" s="19">
        <f t="shared" si="5"/>
        <v>3857531.5068341652</v>
      </c>
      <c r="AP8" s="19">
        <f t="shared" si="5"/>
        <v>3857531.5068341652</v>
      </c>
      <c r="AQ8" s="19">
        <f t="shared" si="5"/>
        <v>3857531.5068341652</v>
      </c>
      <c r="AR8" s="19">
        <f t="shared" si="5"/>
        <v>3857531.5068341652</v>
      </c>
      <c r="AS8" s="19">
        <f t="shared" si="5"/>
        <v>3857531.5068341652</v>
      </c>
      <c r="AT8" s="19">
        <f t="shared" si="5"/>
        <v>3857531.5068341652</v>
      </c>
      <c r="AU8" s="19">
        <f t="shared" si="5"/>
        <v>3857531.5068341652</v>
      </c>
      <c r="AV8" s="19">
        <f t="shared" si="5"/>
        <v>3857531.5068341652</v>
      </c>
      <c r="AW8" s="19">
        <f t="shared" si="5"/>
        <v>3857531.5068341652</v>
      </c>
      <c r="AX8" s="19">
        <f t="shared" si="5"/>
        <v>3857531.5068341652</v>
      </c>
      <c r="AY8" s="19">
        <f t="shared" si="5"/>
        <v>3857531.5068341652</v>
      </c>
      <c r="AZ8" s="19">
        <f t="shared" si="5"/>
        <v>3857531.5068341652</v>
      </c>
      <c r="BA8" s="19">
        <f t="shared" si="5"/>
        <v>3857531.5068341652</v>
      </c>
      <c r="BB8" s="19"/>
    </row>
    <row r="9" spans="1:54" x14ac:dyDescent="0.25">
      <c r="A9" s="80"/>
      <c r="B9" s="206" t="s">
        <v>3882</v>
      </c>
      <c r="C9" s="9">
        <f>22000/12</f>
        <v>1833.3333333333333</v>
      </c>
      <c r="D9" s="9">
        <f>105000/12</f>
        <v>8750</v>
      </c>
      <c r="E9" s="9">
        <f t="shared" si="1"/>
        <v>5291.666666666667</v>
      </c>
      <c r="F9" s="9">
        <f t="shared" ca="1" si="2"/>
        <v>6456.3472945187013</v>
      </c>
      <c r="G9" s="9">
        <f t="shared" ca="1" si="3"/>
        <v>3071.102615055026</v>
      </c>
      <c r="I9" s="172" t="s">
        <v>4009</v>
      </c>
      <c r="J9" s="539">
        <f>AVERAGE(J8:K8)</f>
        <v>2772</v>
      </c>
      <c r="K9" s="533"/>
      <c r="U9" s="36">
        <f>Import_Frios!F16/K13</f>
        <v>3379.3978451358344</v>
      </c>
      <c r="V9" t="s">
        <v>4241</v>
      </c>
      <c r="W9" s="438">
        <v>1</v>
      </c>
      <c r="X9" s="438">
        <v>1</v>
      </c>
      <c r="Y9" s="438">
        <v>1</v>
      </c>
      <c r="Z9" s="438">
        <v>0.9</v>
      </c>
      <c r="AA9" s="438">
        <v>0.9</v>
      </c>
      <c r="AB9" s="438">
        <v>0.9</v>
      </c>
      <c r="AC9" s="438">
        <v>0.8</v>
      </c>
      <c r="AD9" s="438">
        <v>0.8</v>
      </c>
      <c r="AE9" s="438">
        <v>0.8</v>
      </c>
      <c r="AF9" s="438">
        <v>0.75</v>
      </c>
      <c r="AG9" s="438">
        <v>0.75</v>
      </c>
      <c r="AH9" s="438">
        <v>0.75</v>
      </c>
      <c r="AI9" s="438">
        <v>0.7</v>
      </c>
      <c r="AJ9" s="438">
        <v>0.7</v>
      </c>
      <c r="AK9" s="438">
        <v>0.7</v>
      </c>
      <c r="AL9" s="438">
        <v>0.65</v>
      </c>
      <c r="AM9" s="438">
        <v>0.65</v>
      </c>
      <c r="AN9" s="438">
        <v>0.65</v>
      </c>
      <c r="AO9" s="438">
        <v>0.6</v>
      </c>
      <c r="AP9" s="438">
        <v>0.6</v>
      </c>
      <c r="AQ9" s="438">
        <v>0.6</v>
      </c>
      <c r="AR9" s="438">
        <v>0.55000000000000004</v>
      </c>
      <c r="AS9" s="438">
        <v>0.55000000000000004</v>
      </c>
      <c r="AT9" s="438">
        <v>0.55000000000000004</v>
      </c>
      <c r="AU9" s="438">
        <v>0.5</v>
      </c>
      <c r="AV9" s="438">
        <v>0.5</v>
      </c>
      <c r="AW9" s="438">
        <v>0.5</v>
      </c>
      <c r="AX9" s="438">
        <v>0.5</v>
      </c>
      <c r="AY9" s="438">
        <v>0.5</v>
      </c>
      <c r="AZ9" s="438">
        <v>0.5</v>
      </c>
      <c r="BA9" s="438">
        <v>0.5</v>
      </c>
    </row>
    <row r="10" spans="1:54" ht="15.75" thickBot="1" x14ac:dyDescent="0.3">
      <c r="A10" s="80"/>
      <c r="B10" s="206" t="s">
        <v>3884</v>
      </c>
      <c r="C10" s="9">
        <v>500</v>
      </c>
      <c r="D10" s="9">
        <v>5000</v>
      </c>
      <c r="E10" s="9">
        <f t="shared" si="1"/>
        <v>2750</v>
      </c>
      <c r="F10" s="9">
        <f t="shared" ca="1" si="2"/>
        <v>3886.7745197117897</v>
      </c>
      <c r="G10" s="9">
        <f t="shared" ca="1" si="3"/>
        <v>2771.6572590969422</v>
      </c>
      <c r="Q10" s="534" t="s">
        <v>4078</v>
      </c>
      <c r="R10" s="534"/>
      <c r="S10" s="267">
        <f>SUM(S4:S8)</f>
        <v>0</v>
      </c>
      <c r="T10" s="267">
        <f t="shared" ref="T10:BA10" si="6">SUM(T4:T8)</f>
        <v>0</v>
      </c>
      <c r="U10" s="267">
        <f>SUM(U4:U8)</f>
        <v>0</v>
      </c>
      <c r="V10" s="267">
        <f t="shared" si="6"/>
        <v>0</v>
      </c>
      <c r="W10" s="267">
        <f>SUM(W4:W8)</f>
        <v>6927705.041159072</v>
      </c>
      <c r="X10" s="267">
        <f t="shared" si="6"/>
        <v>14853902.758223478</v>
      </c>
      <c r="Y10" s="267">
        <f t="shared" si="6"/>
        <v>23895628.219042309</v>
      </c>
      <c r="Z10" s="267">
        <f t="shared" si="6"/>
        <v>31044873.285746496</v>
      </c>
      <c r="AA10" s="267">
        <f t="shared" si="6"/>
        <v>41659288.624020591</v>
      </c>
      <c r="AB10" s="267">
        <f t="shared" si="6"/>
        <v>53688833.425254561</v>
      </c>
      <c r="AC10" s="267">
        <f t="shared" si="6"/>
        <v>60546386.01967226</v>
      </c>
      <c r="AD10" s="267">
        <f t="shared" si="6"/>
        <v>74401117.923442408</v>
      </c>
      <c r="AE10" s="267">
        <f t="shared" si="6"/>
        <v>90038398.864271075</v>
      </c>
      <c r="AF10" s="267">
        <f t="shared" si="6"/>
        <v>101727782.87420522</v>
      </c>
      <c r="AG10" s="267">
        <f>SUM(AG4:AG8)</f>
        <v>120512968.84093888</v>
      </c>
      <c r="AH10" s="267">
        <f t="shared" si="6"/>
        <v>141656317.16264349</v>
      </c>
      <c r="AI10" s="267">
        <f t="shared" si="6"/>
        <v>155912064.52556747</v>
      </c>
      <c r="AJ10" s="267">
        <f t="shared" si="6"/>
        <v>181154695.57101735</v>
      </c>
      <c r="AK10" s="267">
        <f t="shared" si="6"/>
        <v>193101412.9466475</v>
      </c>
      <c r="AL10" s="267">
        <f t="shared" si="6"/>
        <v>189189098.75163025</v>
      </c>
      <c r="AM10" s="267">
        <f t="shared" si="6"/>
        <v>197351321.80706343</v>
      </c>
      <c r="AN10" s="267">
        <f t="shared" si="6"/>
        <v>205878502.35550857</v>
      </c>
      <c r="AO10" s="267">
        <f t="shared" si="6"/>
        <v>200856628.24884182</v>
      </c>
      <c r="AP10" s="267">
        <f t="shared" si="6"/>
        <v>209553385.40049899</v>
      </c>
      <c r="AQ10" s="267">
        <f>SUM(AQ4:AQ8)</f>
        <v>218642128.58073637</v>
      </c>
      <c r="AR10" s="267">
        <f>SUM(AR4:AR8)</f>
        <v>212267486.62507477</v>
      </c>
      <c r="AS10" s="267">
        <f t="shared" si="6"/>
        <v>221495555.99888483</v>
      </c>
      <c r="AT10" s="267">
        <f t="shared" si="6"/>
        <v>231141109.58851188</v>
      </c>
      <c r="AU10" s="267">
        <f t="shared" si="6"/>
        <v>223176010.36205089</v>
      </c>
      <c r="AV10" s="267">
        <f t="shared" si="6"/>
        <v>232919985.89972034</v>
      </c>
      <c r="AW10" s="267">
        <f t="shared" si="6"/>
        <v>243067426.01689139</v>
      </c>
      <c r="AX10" s="267">
        <f t="shared" si="6"/>
        <v>253716525.85548359</v>
      </c>
      <c r="AY10" s="267">
        <f t="shared" si="6"/>
        <v>264850062.23395452</v>
      </c>
      <c r="AZ10" s="267">
        <f t="shared" si="6"/>
        <v>276490373.15066832</v>
      </c>
      <c r="BA10" s="267">
        <f t="shared" si="6"/>
        <v>288660841.58743602</v>
      </c>
      <c r="BB10" s="19"/>
    </row>
    <row r="11" spans="1:54" x14ac:dyDescent="0.25">
      <c r="A11" s="80"/>
      <c r="B11" s="206" t="s">
        <v>3865</v>
      </c>
      <c r="C11" s="9">
        <v>1700</v>
      </c>
      <c r="D11" s="9">
        <v>5500</v>
      </c>
      <c r="E11" s="9">
        <f t="shared" si="1"/>
        <v>3600</v>
      </c>
      <c r="F11" s="9">
        <f t="shared" ca="1" si="2"/>
        <v>3393.1878120210458</v>
      </c>
      <c r="G11" s="9">
        <f t="shared" ca="1" si="3"/>
        <v>4027.377968940853</v>
      </c>
      <c r="I11" s="508" t="s">
        <v>3790</v>
      </c>
      <c r="J11" s="509"/>
      <c r="K11" s="106" t="s">
        <v>3791</v>
      </c>
      <c r="W11" s="36">
        <f>(Import_Frios!E16/Custos_Desp!$K13)</f>
        <v>3192.5293475839517</v>
      </c>
      <c r="X11" s="36">
        <f>(Import_Frios!F16/Custos_Desp!$K13)</f>
        <v>3379.3978451358344</v>
      </c>
      <c r="Y11" s="36">
        <f>(Import_Frios!G16/Custos_Desp!$K13)</f>
        <v>3577.2043268298903</v>
      </c>
      <c r="Z11" s="36">
        <f>(Import_Frios!H16/Custos_Desp!$K13)</f>
        <v>3786.5890262991925</v>
      </c>
      <c r="AA11" s="36">
        <f>(Import_Frios!I16/Custos_Desp!$K13)</f>
        <v>4008.2296520076043</v>
      </c>
      <c r="AB11" s="36">
        <f>(Import_Frios!J16/Custos_Desp!$K13)</f>
        <v>4242.8435807661308</v>
      </c>
      <c r="AC11" s="36">
        <f>(Import_Frios!K16/Custos_Desp!$K13)</f>
        <v>4491.1901796424827</v>
      </c>
      <c r="AD11" s="36">
        <f>(Import_Frios!L16/Custos_Desp!$K13)</f>
        <v>4754.0732637791089</v>
      </c>
      <c r="AE11" s="36">
        <f>(Import_Frios!M16/Custos_Desp!$K13)</f>
        <v>5032.3436980748147</v>
      </c>
      <c r="AF11" s="36">
        <f>(Import_Frios!N16/Custos_Desp!$K13)</f>
        <v>5326.9021511507726</v>
      </c>
      <c r="AG11" s="36">
        <f>(Import_Frios!O16/Custos_Desp!$K13)</f>
        <v>5638.7020105145575</v>
      </c>
      <c r="AH11" s="36">
        <f>(Import_Frios!P16/Custos_Desp!$K13)</f>
        <v>5968.752468357663</v>
      </c>
      <c r="AI11" s="36">
        <f>(Import_Frios!Q16/Custos_Desp!$K13)</f>
        <v>6318.1217879741534</v>
      </c>
      <c r="AJ11" s="36">
        <f>(Import_Frios!R16/Custos_Desp!$K13)</f>
        <v>6687.9407613727981</v>
      </c>
      <c r="AK11" s="36">
        <f>(Import_Frios!S16/Custos_Desp!$K13)</f>
        <v>7079.4063692737955</v>
      </c>
      <c r="AL11" s="36">
        <f>(Import_Frios!T16/Custos_Desp!$K13)</f>
        <v>7493.7856553362963</v>
      </c>
      <c r="AM11" s="36">
        <f>(Import_Frios!U16/Custos_Desp!$K13)</f>
        <v>7932.4198271562982</v>
      </c>
      <c r="AN11" s="36">
        <f>(Import_Frios!V16/Custos_Desp!$K13)</f>
        <v>8396.7285973084818</v>
      </c>
      <c r="AO11" s="36">
        <f>(Import_Frios!W16/Custos_Desp!$K13)</f>
        <v>8888.2147784824829</v>
      </c>
      <c r="AP11" s="36">
        <f>(Import_Frios!X16/Custos_Desp!$K13)</f>
        <v>9408.4691475865347</v>
      </c>
      <c r="AQ11" s="36">
        <f>(Import_Frios!Y16/Custos_Desp!$K13)</f>
        <v>9959.1755945619607</v>
      </c>
      <c r="AR11" s="36">
        <f>(Import_Frios!Z16/Custos_Desp!$K13)</f>
        <v>10542.11657257351</v>
      </c>
      <c r="AS11" s="36">
        <f>(Import_Frios!AA16/Custos_Desp!$K13)</f>
        <v>11159.178867215989</v>
      </c>
      <c r="AT11" s="36">
        <f>(Import_Frios!AB16/Custos_Desp!$K13)</f>
        <v>11812.359703410177</v>
      </c>
      <c r="AU11" s="36">
        <f>(Import_Frios!AC16/Custos_Desp!$K13)</f>
        <v>12503.773209754023</v>
      </c>
      <c r="AV11" s="36">
        <f>(Import_Frios!AD16/Custos_Desp!$K13)</f>
        <v>13235.657261252085</v>
      </c>
      <c r="AW11" s="36">
        <f>(Import_Frios!AE16/Custos_Desp!$K13)</f>
        <v>14010.380722570806</v>
      </c>
      <c r="AX11" s="36">
        <f>(Import_Frios!AF16/Custos_Desp!$K13)</f>
        <v>14830.45111526367</v>
      </c>
      <c r="AY11" s="36">
        <f>(Import_Frios!AG16/Custos_Desp!$K13)</f>
        <v>15698.522733782465</v>
      </c>
      <c r="AZ11" s="36">
        <f>(Import_Frios!AH16/Custos_Desp!$K13)</f>
        <v>16617.405236543502</v>
      </c>
      <c r="BA11" s="36">
        <f>(Import_Frios!AI16/Custos_Desp!$K13)</f>
        <v>17590.072739855153</v>
      </c>
    </row>
    <row r="12" spans="1:54" x14ac:dyDescent="0.25">
      <c r="A12" s="80"/>
      <c r="B12" s="206" t="s">
        <v>3886</v>
      </c>
      <c r="C12" s="9">
        <f>19000-12%*19000</f>
        <v>16720</v>
      </c>
      <c r="D12" s="9">
        <f>19000+12%*19000</f>
        <v>21280</v>
      </c>
      <c r="E12" s="9">
        <f t="shared" si="1"/>
        <v>19000</v>
      </c>
      <c r="F12" s="9">
        <f t="shared" ca="1" si="2"/>
        <v>19522.460720396793</v>
      </c>
      <c r="G12" s="9">
        <f t="shared" ca="1" si="3"/>
        <v>19438.44730375228</v>
      </c>
      <c r="I12" s="107">
        <v>0.6</v>
      </c>
      <c r="J12" s="89">
        <v>0.75</v>
      </c>
      <c r="K12" s="108">
        <v>21.45</v>
      </c>
      <c r="P12" s="37"/>
      <c r="W12" s="36">
        <f>80%*Export_Frutas!F29</f>
        <v>152178.52022079998</v>
      </c>
      <c r="X12" s="36">
        <f>80%*Export_Frutas!G29</f>
        <v>158936.31682719794</v>
      </c>
      <c r="Y12" s="36">
        <f>80%*Export_Frutas!H29</f>
        <v>165990.37120113676</v>
      </c>
      <c r="Z12" s="36">
        <f>80%*Export_Frutas!I29</f>
        <v>173353.67110622345</v>
      </c>
      <c r="AA12" s="36">
        <f>80%*Export_Frutas!J29</f>
        <v>181039.77368186545</v>
      </c>
      <c r="AB12" s="36">
        <f>80%*Export_Frutas!K29</f>
        <v>189062.83040436546</v>
      </c>
      <c r="AC12" s="36">
        <f>80%*Export_Frutas!L29</f>
        <v>197437.61314229656</v>
      </c>
      <c r="AD12" s="36">
        <f>80%*Export_Frutas!M29</f>
        <v>206179.54135412807</v>
      </c>
      <c r="AE12" s="36">
        <f>80%*Export_Frutas!N29</f>
        <v>215304.71047818047</v>
      </c>
      <c r="AF12" s="36">
        <f>80%*Export_Frutas!O29</f>
        <v>224829.92156717824</v>
      </c>
      <c r="AG12" s="36">
        <f>80%*Export_Frutas!P29</f>
        <v>234772.71222196371</v>
      </c>
      <c r="AH12" s="36">
        <f>80%*Export_Frutas!Q29</f>
        <v>245151.38888132709</v>
      </c>
      <c r="AI12" s="36">
        <f>80%*Export_Frutas!R29</f>
        <v>255985.06052740259</v>
      </c>
      <c r="AJ12" s="36">
        <f>80%*Export_Frutas!S29</f>
        <v>267293.67386868951</v>
      </c>
      <c r="AK12" s="36">
        <f>80%*Export_Frutas!T29</f>
        <v>279098.05006547587</v>
      </c>
      <c r="AL12" s="36">
        <f>80%*Export_Frutas!U29</f>
        <v>291419.9230652824</v>
      </c>
      <c r="AM12" s="36">
        <f>80%*Export_Frutas!V29</f>
        <v>304281.97961891018</v>
      </c>
      <c r="AN12" s="36">
        <f>80%*Export_Frutas!W29</f>
        <v>317707.9010507667</v>
      </c>
      <c r="AO12" s="36">
        <f>80%*Export_Frutas!X29</f>
        <v>331722.40686037944</v>
      </c>
      <c r="AP12" s="36">
        <f>80%*Export_Frutas!Y29</f>
        <v>346351.30023537326</v>
      </c>
      <c r="AQ12" s="36">
        <f>80%*Export_Frutas!Z29</f>
        <v>361621.51555970841</v>
      </c>
      <c r="AR12" s="36">
        <f>80%*Export_Frutas!AA29</f>
        <v>377561.16800465359</v>
      </c>
      <c r="AS12" s="36">
        <f>80%*Export_Frutas!AB29</f>
        <v>394199.60529379587</v>
      </c>
      <c r="AT12" s="36">
        <f>80%*Export_Frutas!AC29</f>
        <v>411567.46173739759</v>
      </c>
      <c r="AU12" s="36">
        <f>80%*Export_Frutas!AD29</f>
        <v>429696.71463558939</v>
      </c>
      <c r="AV12" s="36">
        <f>80%*Export_Frutas!AE29</f>
        <v>448620.74315424258</v>
      </c>
      <c r="AW12" s="36">
        <f>80%*Export_Frutas!AF29</f>
        <v>468374.38978192653</v>
      </c>
      <c r="AX12" s="36">
        <f>80%*Export_Frutas!AG29</f>
        <v>488994.0244811023</v>
      </c>
      <c r="AY12" s="36">
        <f>80%*Export_Frutas!AH29</f>
        <v>510517.61165166518</v>
      </c>
      <c r="AZ12" s="36">
        <f>80%*Export_Frutas!AI29</f>
        <v>532984.78003013006</v>
      </c>
      <c r="BA12" s="36">
        <f>80%*Export_Frutas!AJ29</f>
        <v>556436.89565315505</v>
      </c>
    </row>
    <row r="13" spans="1:54" ht="15.75" thickBot="1" x14ac:dyDescent="0.3">
      <c r="A13" s="80"/>
      <c r="B13" s="206" t="s">
        <v>3885</v>
      </c>
      <c r="C13" s="536">
        <v>57000</v>
      </c>
      <c r="D13" s="536"/>
      <c r="E13" s="536"/>
      <c r="F13" s="536"/>
      <c r="G13" s="536"/>
      <c r="I13" s="518" t="s">
        <v>3792</v>
      </c>
      <c r="J13" s="519"/>
      <c r="K13" s="109">
        <f>AVERAGE(I12:J12)*K12</f>
        <v>14.47875</v>
      </c>
      <c r="M13" s="172" t="s">
        <v>4210</v>
      </c>
      <c r="P13" s="37"/>
      <c r="W13" s="36"/>
      <c r="X13" s="36"/>
      <c r="Y13" s="36"/>
      <c r="Z13" s="36"/>
      <c r="AA13" s="36"/>
      <c r="AB13" s="36"/>
      <c r="AC13" s="36"/>
      <c r="AD13" s="36"/>
      <c r="AE13" s="36"/>
      <c r="AF13" s="36"/>
      <c r="AG13" s="36"/>
      <c r="AH13" s="36"/>
      <c r="AI13" s="36"/>
      <c r="AJ13" s="36"/>
      <c r="AK13" s="36"/>
      <c r="AL13" s="36"/>
      <c r="AM13" s="36"/>
      <c r="AN13" s="36"/>
      <c r="AO13" s="36"/>
      <c r="AP13" s="36"/>
      <c r="AQ13" s="36"/>
      <c r="AR13" s="36"/>
      <c r="AS13" s="36"/>
      <c r="AT13" s="36"/>
      <c r="AU13" s="36"/>
      <c r="AV13" s="36"/>
      <c r="AW13" s="36"/>
      <c r="AX13" s="36"/>
      <c r="AY13" s="36"/>
      <c r="AZ13" s="36"/>
      <c r="BA13" s="36"/>
    </row>
    <row r="14" spans="1:54" x14ac:dyDescent="0.25">
      <c r="A14" s="80"/>
      <c r="B14" s="206" t="s">
        <v>3990</v>
      </c>
      <c r="C14" s="536">
        <f>MOB!R51</f>
        <v>322683.13589690166</v>
      </c>
      <c r="D14" s="536"/>
      <c r="E14" s="536"/>
      <c r="F14" s="536"/>
      <c r="G14" s="536"/>
      <c r="M14" s="206" t="s">
        <v>3998</v>
      </c>
      <c r="P14" s="37"/>
      <c r="S14" s="9">
        <v>0</v>
      </c>
      <c r="T14" s="9">
        <v>0</v>
      </c>
      <c r="U14" s="9">
        <v>0</v>
      </c>
      <c r="V14" s="9">
        <v>0</v>
      </c>
      <c r="W14" s="9">
        <v>0</v>
      </c>
      <c r="X14" s="9">
        <v>0</v>
      </c>
      <c r="Y14" s="9">
        <v>0</v>
      </c>
      <c r="Z14" s="9">
        <v>0</v>
      </c>
      <c r="AA14" s="9">
        <v>0</v>
      </c>
      <c r="AB14" s="9">
        <v>0</v>
      </c>
      <c r="AC14" s="9">
        <v>0</v>
      </c>
      <c r="AD14" s="9">
        <v>0</v>
      </c>
      <c r="AE14" s="9">
        <v>0</v>
      </c>
      <c r="AF14" s="9">
        <v>0</v>
      </c>
      <c r="AG14" s="9">
        <v>0</v>
      </c>
      <c r="AH14" s="9">
        <v>0</v>
      </c>
      <c r="AI14" s="9">
        <v>0</v>
      </c>
      <c r="AJ14" s="9">
        <v>0</v>
      </c>
      <c r="AK14" s="9">
        <v>0</v>
      </c>
      <c r="AL14" s="9">
        <v>0</v>
      </c>
      <c r="AM14" s="9">
        <v>0</v>
      </c>
      <c r="AN14" s="9">
        <v>0</v>
      </c>
      <c r="AO14" s="9">
        <v>0</v>
      </c>
      <c r="AP14" s="9">
        <v>0</v>
      </c>
      <c r="AQ14" s="9">
        <v>0</v>
      </c>
      <c r="AR14" s="9">
        <v>0</v>
      </c>
      <c r="AS14" s="9">
        <v>0</v>
      </c>
      <c r="AT14" s="9">
        <v>0</v>
      </c>
      <c r="AU14" s="9">
        <v>0</v>
      </c>
      <c r="AV14" s="9">
        <v>0</v>
      </c>
      <c r="AW14" s="9">
        <v>0</v>
      </c>
      <c r="AX14" s="9">
        <v>0</v>
      </c>
      <c r="AY14" s="9">
        <v>0</v>
      </c>
      <c r="AZ14" s="9">
        <v>0</v>
      </c>
      <c r="BA14" s="9">
        <v>0</v>
      </c>
    </row>
    <row r="15" spans="1:54" x14ac:dyDescent="0.25">
      <c r="A15" s="80"/>
      <c r="B15" s="166" t="s">
        <v>3993</v>
      </c>
      <c r="C15" s="167" t="s">
        <v>3992</v>
      </c>
      <c r="I15" s="171" t="s">
        <v>4010</v>
      </c>
      <c r="J15" s="100" t="s">
        <v>3868</v>
      </c>
      <c r="K15" s="100" t="s">
        <v>3869</v>
      </c>
      <c r="M15" s="206" t="s">
        <v>3997</v>
      </c>
      <c r="P15" s="37"/>
      <c r="S15" s="9">
        <v>0</v>
      </c>
      <c r="T15" s="9">
        <v>0</v>
      </c>
      <c r="U15" s="9">
        <v>0</v>
      </c>
      <c r="V15" s="9">
        <v>0</v>
      </c>
      <c r="W15" s="9">
        <v>0</v>
      </c>
      <c r="X15" s="9">
        <v>0</v>
      </c>
      <c r="Y15" s="9">
        <v>0</v>
      </c>
      <c r="Z15" s="9">
        <v>0</v>
      </c>
      <c r="AA15" s="9">
        <v>0</v>
      </c>
      <c r="AB15" s="9">
        <v>0</v>
      </c>
      <c r="AC15" s="9">
        <v>0</v>
      </c>
      <c r="AD15" s="9">
        <v>0</v>
      </c>
      <c r="AE15" s="9">
        <v>0</v>
      </c>
      <c r="AF15" s="9">
        <v>0</v>
      </c>
      <c r="AG15" s="9">
        <v>0</v>
      </c>
      <c r="AH15" s="9">
        <v>0</v>
      </c>
      <c r="AI15" s="9">
        <v>0</v>
      </c>
      <c r="AJ15" s="9">
        <v>0</v>
      </c>
      <c r="AK15" s="9">
        <v>0</v>
      </c>
      <c r="AL15" s="9">
        <v>0</v>
      </c>
      <c r="AM15" s="9">
        <v>0</v>
      </c>
      <c r="AN15" s="9">
        <v>0</v>
      </c>
      <c r="AO15" s="9">
        <v>0</v>
      </c>
      <c r="AP15" s="9">
        <v>0</v>
      </c>
      <c r="AQ15" s="9">
        <v>0</v>
      </c>
      <c r="AR15" s="9">
        <v>0</v>
      </c>
      <c r="AS15" s="9">
        <v>0</v>
      </c>
      <c r="AT15" s="9">
        <v>0</v>
      </c>
      <c r="AU15" s="9">
        <v>0</v>
      </c>
      <c r="AV15" s="9">
        <v>0</v>
      </c>
      <c r="AW15" s="9">
        <v>0</v>
      </c>
      <c r="AX15" s="9">
        <v>0</v>
      </c>
      <c r="AY15" s="9">
        <v>0</v>
      </c>
      <c r="AZ15" s="9">
        <v>0</v>
      </c>
      <c r="BA15" s="9">
        <v>0</v>
      </c>
    </row>
    <row r="16" spans="1:54" x14ac:dyDescent="0.25">
      <c r="A16" s="80"/>
      <c r="B16" s="166"/>
      <c r="C16" s="167"/>
      <c r="I16" t="s">
        <v>4011</v>
      </c>
      <c r="J16" s="6">
        <v>60</v>
      </c>
      <c r="K16" s="6">
        <v>100</v>
      </c>
      <c r="M16" s="206" t="s">
        <v>3995</v>
      </c>
      <c r="P16" s="37"/>
      <c r="S16" s="9">
        <f>90000*12</f>
        <v>1080000</v>
      </c>
      <c r="T16" s="9">
        <f t="shared" ref="T16:BA16" si="7">90000*12</f>
        <v>1080000</v>
      </c>
      <c r="U16" s="9">
        <f t="shared" si="7"/>
        <v>1080000</v>
      </c>
      <c r="V16" s="9">
        <f t="shared" si="7"/>
        <v>1080000</v>
      </c>
      <c r="W16" s="9">
        <f t="shared" si="7"/>
        <v>1080000</v>
      </c>
      <c r="X16" s="9">
        <f t="shared" si="7"/>
        <v>1080000</v>
      </c>
      <c r="Y16" s="9">
        <f t="shared" si="7"/>
        <v>1080000</v>
      </c>
      <c r="Z16" s="9">
        <f t="shared" si="7"/>
        <v>1080000</v>
      </c>
      <c r="AA16" s="9">
        <f t="shared" si="7"/>
        <v>1080000</v>
      </c>
      <c r="AB16" s="9">
        <f t="shared" si="7"/>
        <v>1080000</v>
      </c>
      <c r="AC16" s="9">
        <f t="shared" si="7"/>
        <v>1080000</v>
      </c>
      <c r="AD16" s="9">
        <f t="shared" si="7"/>
        <v>1080000</v>
      </c>
      <c r="AE16" s="9">
        <f t="shared" si="7"/>
        <v>1080000</v>
      </c>
      <c r="AF16" s="9">
        <f t="shared" si="7"/>
        <v>1080000</v>
      </c>
      <c r="AG16" s="9">
        <f t="shared" si="7"/>
        <v>1080000</v>
      </c>
      <c r="AH16" s="9">
        <f t="shared" si="7"/>
        <v>1080000</v>
      </c>
      <c r="AI16" s="9">
        <f t="shared" si="7"/>
        <v>1080000</v>
      </c>
      <c r="AJ16" s="9">
        <f t="shared" si="7"/>
        <v>1080000</v>
      </c>
      <c r="AK16" s="9">
        <f t="shared" si="7"/>
        <v>1080000</v>
      </c>
      <c r="AL16" s="9">
        <f t="shared" si="7"/>
        <v>1080000</v>
      </c>
      <c r="AM16" s="9">
        <f t="shared" si="7"/>
        <v>1080000</v>
      </c>
      <c r="AN16" s="9">
        <f t="shared" si="7"/>
        <v>1080000</v>
      </c>
      <c r="AO16" s="9">
        <f t="shared" si="7"/>
        <v>1080000</v>
      </c>
      <c r="AP16" s="9">
        <f t="shared" si="7"/>
        <v>1080000</v>
      </c>
      <c r="AQ16" s="9">
        <f t="shared" si="7"/>
        <v>1080000</v>
      </c>
      <c r="AR16" s="9">
        <f t="shared" si="7"/>
        <v>1080000</v>
      </c>
      <c r="AS16" s="9">
        <f t="shared" si="7"/>
        <v>1080000</v>
      </c>
      <c r="AT16" s="9">
        <f t="shared" si="7"/>
        <v>1080000</v>
      </c>
      <c r="AU16" s="9">
        <f t="shared" si="7"/>
        <v>1080000</v>
      </c>
      <c r="AV16" s="9">
        <f t="shared" si="7"/>
        <v>1080000</v>
      </c>
      <c r="AW16" s="9">
        <f t="shared" si="7"/>
        <v>1080000</v>
      </c>
      <c r="AX16" s="9">
        <f t="shared" si="7"/>
        <v>1080000</v>
      </c>
      <c r="AY16" s="9">
        <f t="shared" si="7"/>
        <v>1080000</v>
      </c>
      <c r="AZ16" s="9">
        <f t="shared" si="7"/>
        <v>1080000</v>
      </c>
      <c r="BA16" s="9">
        <f t="shared" si="7"/>
        <v>1080000</v>
      </c>
    </row>
    <row r="17" spans="1:54" ht="15.75" x14ac:dyDescent="0.25">
      <c r="A17" s="80"/>
      <c r="B17" s="540" t="s">
        <v>3994</v>
      </c>
      <c r="C17" s="540"/>
      <c r="D17" s="540"/>
      <c r="E17" s="540"/>
      <c r="F17" s="540"/>
      <c r="G17" s="540"/>
      <c r="I17" t="s">
        <v>4007</v>
      </c>
      <c r="J17" s="538">
        <v>0.7</v>
      </c>
      <c r="K17" s="538"/>
      <c r="M17" s="206" t="s">
        <v>3996</v>
      </c>
      <c r="P17" s="37"/>
      <c r="S17" s="9">
        <f>6.33%*Receitas!F83</f>
        <v>1411078.0554263999</v>
      </c>
      <c r="T17" s="9">
        <f>6.33%*Receitas!G83</f>
        <v>1411078.0554263999</v>
      </c>
      <c r="U17" s="9">
        <f>6.33%*Receitas!H83</f>
        <v>1411078.0554263999</v>
      </c>
      <c r="V17" s="9">
        <f>6.33%*Receitas!I83</f>
        <v>1411078.0554263999</v>
      </c>
      <c r="W17" s="9">
        <f>6.33%*Receitas!J83</f>
        <v>1411078.0554263999</v>
      </c>
      <c r="X17" s="9">
        <f>6.33%*Receitas!K83</f>
        <v>1411078.0554263999</v>
      </c>
      <c r="Y17" s="9">
        <f>6.33%*Receitas!L83</f>
        <v>1411078.0554263999</v>
      </c>
      <c r="Z17" s="9">
        <f>6.33%*Receitas!M83</f>
        <v>1411078.0554263999</v>
      </c>
      <c r="AA17" s="9">
        <f>6.33%*Receitas!N83</f>
        <v>1411078.0554263999</v>
      </c>
      <c r="AB17" s="9">
        <f>6.33%*Receitas!O83</f>
        <v>1411078.0554263999</v>
      </c>
      <c r="AC17" s="9">
        <f>6.33%*Receitas!P83</f>
        <v>1411078.0554263999</v>
      </c>
      <c r="AD17" s="9">
        <f>6.33%*Receitas!Q83</f>
        <v>1411078.0554263999</v>
      </c>
      <c r="AE17" s="9">
        <f>6.33%*Receitas!R83</f>
        <v>1411078.0554263999</v>
      </c>
      <c r="AF17" s="9">
        <f>6.33%*Receitas!S83</f>
        <v>1411078.0554263999</v>
      </c>
      <c r="AG17" s="9">
        <f>6.33%*Receitas!T83</f>
        <v>1411078.0554263999</v>
      </c>
      <c r="AH17" s="9">
        <f>6.33%*Receitas!U83</f>
        <v>1411078.0554263999</v>
      </c>
      <c r="AI17" s="9">
        <f>6.33%*Receitas!V83</f>
        <v>1411078.0554263999</v>
      </c>
      <c r="AJ17" s="9">
        <f>6.33%*Receitas!W83</f>
        <v>1411078.0554263999</v>
      </c>
      <c r="AK17" s="9">
        <f>6.33%*Receitas!X83</f>
        <v>1411078.0554263999</v>
      </c>
      <c r="AL17" s="9">
        <f>6.33%*Receitas!Y83</f>
        <v>1411078.0554263999</v>
      </c>
      <c r="AM17" s="9">
        <f>6.33%*Receitas!Z83</f>
        <v>1411078.0554263999</v>
      </c>
      <c r="AN17" s="9">
        <f>6.33%*Receitas!AA83</f>
        <v>1411078.0554263999</v>
      </c>
      <c r="AO17" s="9">
        <f>6.33%*Receitas!AB83</f>
        <v>1411078.0554263999</v>
      </c>
      <c r="AP17" s="9">
        <f>6.33%*Receitas!AC83</f>
        <v>1411078.0554263999</v>
      </c>
      <c r="AQ17" s="9">
        <f>6.33%*Receitas!AD83</f>
        <v>1411078.0554263999</v>
      </c>
      <c r="AR17" s="9">
        <f>6.33%*Receitas!AE83</f>
        <v>1411078.0554263999</v>
      </c>
      <c r="AS17" s="9">
        <f>6.33%*Receitas!AF83</f>
        <v>1411078.0554263999</v>
      </c>
      <c r="AT17" s="9">
        <f>6.33%*Receitas!AG83</f>
        <v>1411078.0554263999</v>
      </c>
      <c r="AU17" s="9">
        <f>6.33%*Receitas!AH83</f>
        <v>1411078.0554263999</v>
      </c>
      <c r="AV17" s="9">
        <f>6.33%*Receitas!AI83</f>
        <v>1411078.0554263999</v>
      </c>
      <c r="AW17" s="9">
        <f>6.33%*Receitas!AJ83</f>
        <v>1411078.0554263999</v>
      </c>
      <c r="AX17" s="9">
        <f>6.33%*Receitas!AK83</f>
        <v>1411078.0554263999</v>
      </c>
      <c r="AY17" s="9">
        <f>6.33%*Receitas!AL83</f>
        <v>1411078.0554263999</v>
      </c>
      <c r="AZ17" s="9">
        <f>6.33%*Receitas!AM83</f>
        <v>1411078.0554263999</v>
      </c>
      <c r="BA17" s="9">
        <f>6.33%*Receitas!AN83</f>
        <v>1411078.0554263999</v>
      </c>
    </row>
    <row r="18" spans="1:54" ht="15.75" x14ac:dyDescent="0.25">
      <c r="A18" s="80"/>
      <c r="B18" s="269" t="s">
        <v>3873</v>
      </c>
      <c r="C18" s="100" t="s">
        <v>3874</v>
      </c>
      <c r="D18" s="100" t="s">
        <v>3875</v>
      </c>
      <c r="E18" s="100" t="s">
        <v>3756</v>
      </c>
      <c r="F18" s="100" t="s">
        <v>3876</v>
      </c>
      <c r="G18" s="100" t="s">
        <v>3877</v>
      </c>
      <c r="I18" s="304" t="s">
        <v>4123</v>
      </c>
      <c r="J18" s="305">
        <f>J16*J17</f>
        <v>42</v>
      </c>
      <c r="K18" s="305">
        <f>K16*J17</f>
        <v>70</v>
      </c>
      <c r="M18" s="206" t="s">
        <v>4012</v>
      </c>
      <c r="P18" s="37"/>
      <c r="S18" s="9">
        <f>$N8</f>
        <v>3857531.5068341652</v>
      </c>
      <c r="T18" s="9">
        <f>$N8</f>
        <v>3857531.5068341652</v>
      </c>
      <c r="U18" s="9">
        <f t="shared" ref="U18:BA18" si="8">$N8</f>
        <v>3857531.5068341652</v>
      </c>
      <c r="V18" s="9">
        <f t="shared" si="8"/>
        <v>3857531.5068341652</v>
      </c>
      <c r="W18" s="9">
        <f t="shared" si="8"/>
        <v>3857531.5068341652</v>
      </c>
      <c r="X18" s="9">
        <f t="shared" si="8"/>
        <v>3857531.5068341652</v>
      </c>
      <c r="Y18" s="9">
        <f t="shared" si="8"/>
        <v>3857531.5068341652</v>
      </c>
      <c r="Z18" s="9">
        <f t="shared" si="8"/>
        <v>3857531.5068341652</v>
      </c>
      <c r="AA18" s="9">
        <f t="shared" si="8"/>
        <v>3857531.5068341652</v>
      </c>
      <c r="AB18" s="9">
        <f t="shared" si="8"/>
        <v>3857531.5068341652</v>
      </c>
      <c r="AC18" s="9">
        <f t="shared" si="8"/>
        <v>3857531.5068341652</v>
      </c>
      <c r="AD18" s="9">
        <f t="shared" si="8"/>
        <v>3857531.5068341652</v>
      </c>
      <c r="AE18" s="9">
        <f t="shared" si="8"/>
        <v>3857531.5068341652</v>
      </c>
      <c r="AF18" s="9">
        <f t="shared" si="8"/>
        <v>3857531.5068341652</v>
      </c>
      <c r="AG18" s="9">
        <f t="shared" si="8"/>
        <v>3857531.5068341652</v>
      </c>
      <c r="AH18" s="9">
        <f t="shared" si="8"/>
        <v>3857531.5068341652</v>
      </c>
      <c r="AI18" s="9">
        <f t="shared" si="8"/>
        <v>3857531.5068341652</v>
      </c>
      <c r="AJ18" s="9">
        <f t="shared" si="8"/>
        <v>3857531.5068341652</v>
      </c>
      <c r="AK18" s="9">
        <f t="shared" si="8"/>
        <v>3857531.5068341652</v>
      </c>
      <c r="AL18" s="9">
        <f t="shared" si="8"/>
        <v>3857531.5068341652</v>
      </c>
      <c r="AM18" s="9">
        <f t="shared" si="8"/>
        <v>3857531.5068341652</v>
      </c>
      <c r="AN18" s="9">
        <f t="shared" si="8"/>
        <v>3857531.5068341652</v>
      </c>
      <c r="AO18" s="9">
        <f t="shared" si="8"/>
        <v>3857531.5068341652</v>
      </c>
      <c r="AP18" s="9">
        <f t="shared" si="8"/>
        <v>3857531.5068341652</v>
      </c>
      <c r="AQ18" s="9">
        <f t="shared" si="8"/>
        <v>3857531.5068341652</v>
      </c>
      <c r="AR18" s="9">
        <f t="shared" si="8"/>
        <v>3857531.5068341652</v>
      </c>
      <c r="AS18" s="9">
        <f t="shared" si="8"/>
        <v>3857531.5068341652</v>
      </c>
      <c r="AT18" s="9">
        <f t="shared" si="8"/>
        <v>3857531.5068341652</v>
      </c>
      <c r="AU18" s="9">
        <f>$N8</f>
        <v>3857531.5068341652</v>
      </c>
      <c r="AV18" s="9">
        <f t="shared" si="8"/>
        <v>3857531.5068341652</v>
      </c>
      <c r="AW18" s="9">
        <f t="shared" si="8"/>
        <v>3857531.5068341652</v>
      </c>
      <c r="AX18" s="9">
        <f t="shared" si="8"/>
        <v>3857531.5068341652</v>
      </c>
      <c r="AY18" s="9">
        <f t="shared" si="8"/>
        <v>3857531.5068341652</v>
      </c>
      <c r="AZ18" s="9">
        <f t="shared" si="8"/>
        <v>3857531.5068341652</v>
      </c>
      <c r="BA18" s="9">
        <f t="shared" si="8"/>
        <v>3857531.5068341652</v>
      </c>
    </row>
    <row r="19" spans="1:54" x14ac:dyDescent="0.25">
      <c r="A19" s="80"/>
      <c r="B19" s="206" t="s">
        <v>3878</v>
      </c>
      <c r="C19" s="9">
        <f>12*C4</f>
        <v>32400</v>
      </c>
      <c r="D19" s="9">
        <f>12*D4</f>
        <v>64800</v>
      </c>
      <c r="E19" s="9">
        <f>AVERAGE(C19:D19)</f>
        <v>48600</v>
      </c>
      <c r="F19" s="9">
        <f ca="1">RAND()*(D19-C19)+C19</f>
        <v>52082.209905672687</v>
      </c>
      <c r="G19" s="9">
        <f ca="1">IF(RAND() &lt; ((E19 - C19) / (D19 - C19)),  C19+ SQRT(RAND() * (D19 - C19) * (E19 - C19)),  D19 - SQRT((1 - RAND()) * (D19 - C19) * (D19 - C19)))</f>
        <v>43557.428939074292</v>
      </c>
      <c r="J19" s="6"/>
      <c r="K19" s="6"/>
      <c r="P19" s="37"/>
      <c r="W19" s="36"/>
      <c r="X19" s="36"/>
      <c r="Y19" s="36"/>
      <c r="Z19" s="36"/>
      <c r="AA19" s="36"/>
      <c r="AB19" s="36"/>
      <c r="AC19" s="36"/>
      <c r="AD19" s="36"/>
      <c r="AE19" s="36"/>
      <c r="AF19" s="36"/>
      <c r="AG19" s="36"/>
      <c r="AH19" s="36"/>
      <c r="AI19" s="36"/>
      <c r="AJ19" s="36"/>
      <c r="AK19" s="36"/>
      <c r="AL19" s="36"/>
      <c r="AM19" s="36"/>
      <c r="AN19" s="36"/>
      <c r="AO19" s="36"/>
      <c r="AP19" s="36"/>
      <c r="AQ19" s="36"/>
      <c r="AR19" s="36"/>
      <c r="AS19" s="36"/>
      <c r="AT19" s="36"/>
      <c r="AU19" s="36"/>
      <c r="AV19" s="36"/>
      <c r="AW19" s="36"/>
      <c r="AX19" s="36"/>
      <c r="AY19" s="36"/>
      <c r="AZ19" s="36"/>
      <c r="BA19" s="36"/>
    </row>
    <row r="20" spans="1:54" x14ac:dyDescent="0.25">
      <c r="A20" s="80"/>
      <c r="B20" s="206" t="s">
        <v>3883</v>
      </c>
      <c r="C20" s="9">
        <f t="shared" ref="C20:D26" si="9">12*C5</f>
        <v>19200</v>
      </c>
      <c r="D20" s="9">
        <f t="shared" si="9"/>
        <v>60600</v>
      </c>
      <c r="E20" s="9">
        <f t="shared" ref="E20:E27" si="10">AVERAGE(C20:D20)</f>
        <v>39900</v>
      </c>
      <c r="F20" s="9">
        <f t="shared" ref="F20:F27" ca="1" si="11">RAND()*(D20-C20)+C20</f>
        <v>28641.944440628038</v>
      </c>
      <c r="G20" s="9">
        <f t="shared" ref="G20:G27" ca="1" si="12">IF(RAND() &lt; ((E20 - C20) / (D20 - C20)),  C20+ SQRT(RAND() * (D20 - C20) * (E20 - C20)),  D20 - SQRT((1 - RAND()) * (D20 - C20) * (D20 - C20)))</f>
        <v>45620.28545423421</v>
      </c>
      <c r="J20" s="6">
        <f>12*J18</f>
        <v>504</v>
      </c>
      <c r="K20" s="6">
        <f>12*K18</f>
        <v>840</v>
      </c>
      <c r="P20" s="37"/>
      <c r="Q20" s="534" t="s">
        <v>4078</v>
      </c>
      <c r="R20" s="534"/>
      <c r="S20" s="267">
        <f>SUM(S14:S18)</f>
        <v>6348609.5622605653</v>
      </c>
      <c r="T20" s="267">
        <f t="shared" ref="T20:BA20" si="13">SUM(T14:T18)</f>
        <v>6348609.5622605653</v>
      </c>
      <c r="U20" s="267">
        <f>SUM(U14:U18)</f>
        <v>6348609.5622605653</v>
      </c>
      <c r="V20" s="267">
        <f t="shared" si="13"/>
        <v>6348609.5622605653</v>
      </c>
      <c r="W20" s="267">
        <f t="shared" si="13"/>
        <v>6348609.5622605653</v>
      </c>
      <c r="X20" s="267">
        <f t="shared" si="13"/>
        <v>6348609.5622605653</v>
      </c>
      <c r="Y20" s="267">
        <f t="shared" si="13"/>
        <v>6348609.5622605653</v>
      </c>
      <c r="Z20" s="267">
        <f t="shared" si="13"/>
        <v>6348609.5622605653</v>
      </c>
      <c r="AA20" s="267">
        <f t="shared" si="13"/>
        <v>6348609.5622605653</v>
      </c>
      <c r="AB20" s="267">
        <f t="shared" si="13"/>
        <v>6348609.5622605653</v>
      </c>
      <c r="AC20" s="267">
        <f t="shared" si="13"/>
        <v>6348609.5622605653</v>
      </c>
      <c r="AD20" s="267">
        <f t="shared" si="13"/>
        <v>6348609.5622605653</v>
      </c>
      <c r="AE20" s="267">
        <f t="shared" si="13"/>
        <v>6348609.5622605653</v>
      </c>
      <c r="AF20" s="267">
        <f t="shared" si="13"/>
        <v>6348609.5622605653</v>
      </c>
      <c r="AG20" s="267">
        <f t="shared" si="13"/>
        <v>6348609.5622605653</v>
      </c>
      <c r="AH20" s="267">
        <f t="shared" si="13"/>
        <v>6348609.5622605653</v>
      </c>
      <c r="AI20" s="267">
        <f t="shared" si="13"/>
        <v>6348609.5622605653</v>
      </c>
      <c r="AJ20" s="267">
        <f t="shared" si="13"/>
        <v>6348609.5622605653</v>
      </c>
      <c r="AK20" s="267">
        <f t="shared" si="13"/>
        <v>6348609.5622605653</v>
      </c>
      <c r="AL20" s="267">
        <f t="shared" si="13"/>
        <v>6348609.5622605653</v>
      </c>
      <c r="AM20" s="267">
        <f t="shared" si="13"/>
        <v>6348609.5622605653</v>
      </c>
      <c r="AN20" s="267">
        <f t="shared" si="13"/>
        <v>6348609.5622605653</v>
      </c>
      <c r="AO20" s="267">
        <f t="shared" si="13"/>
        <v>6348609.5622605653</v>
      </c>
      <c r="AP20" s="267">
        <f t="shared" si="13"/>
        <v>6348609.5622605653</v>
      </c>
      <c r="AQ20" s="267">
        <f t="shared" si="13"/>
        <v>6348609.5622605653</v>
      </c>
      <c r="AR20" s="267">
        <f t="shared" si="13"/>
        <v>6348609.5622605653</v>
      </c>
      <c r="AS20" s="267">
        <f t="shared" si="13"/>
        <v>6348609.5622605653</v>
      </c>
      <c r="AT20" s="267">
        <f t="shared" si="13"/>
        <v>6348609.5622605653</v>
      </c>
      <c r="AU20" s="267">
        <f t="shared" si="13"/>
        <v>6348609.5622605653</v>
      </c>
      <c r="AV20" s="267">
        <f t="shared" si="13"/>
        <v>6348609.5622605653</v>
      </c>
      <c r="AW20" s="267">
        <f t="shared" si="13"/>
        <v>6348609.5622605653</v>
      </c>
      <c r="AX20" s="267">
        <f t="shared" si="13"/>
        <v>6348609.5622605653</v>
      </c>
      <c r="AY20" s="267">
        <f t="shared" si="13"/>
        <v>6348609.5622605653</v>
      </c>
      <c r="AZ20" s="267">
        <f t="shared" si="13"/>
        <v>6348609.5622605653</v>
      </c>
      <c r="BA20" s="267">
        <f t="shared" si="13"/>
        <v>6348609.5622605653</v>
      </c>
    </row>
    <row r="21" spans="1:54" x14ac:dyDescent="0.25">
      <c r="A21" s="80"/>
      <c r="B21" s="206" t="s">
        <v>3879</v>
      </c>
      <c r="C21" s="9">
        <f t="shared" si="9"/>
        <v>76800</v>
      </c>
      <c r="D21" s="9">
        <f t="shared" si="9"/>
        <v>302400</v>
      </c>
      <c r="E21" s="9">
        <f t="shared" si="10"/>
        <v>189600</v>
      </c>
      <c r="F21" s="9">
        <f t="shared" ca="1" si="11"/>
        <v>243147.5520343541</v>
      </c>
      <c r="G21" s="9">
        <f t="shared" ca="1" si="12"/>
        <v>97882.265113487287</v>
      </c>
      <c r="H21" s="1"/>
      <c r="I21" s="1"/>
      <c r="J21" s="17"/>
      <c r="K21" s="17"/>
      <c r="L21" s="1"/>
      <c r="P21" s="37"/>
      <c r="W21" s="36"/>
      <c r="X21" s="36"/>
      <c r="Y21" s="36"/>
      <c r="Z21" s="36"/>
      <c r="AA21" s="36"/>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row>
    <row r="22" spans="1:54" x14ac:dyDescent="0.25">
      <c r="A22" s="80"/>
      <c r="B22" s="206" t="s">
        <v>3880</v>
      </c>
      <c r="C22" s="9">
        <f t="shared" si="9"/>
        <v>93600</v>
      </c>
      <c r="D22" s="9">
        <f t="shared" si="9"/>
        <v>306000</v>
      </c>
      <c r="E22" s="9">
        <f t="shared" si="10"/>
        <v>199800</v>
      </c>
      <c r="F22" s="9">
        <f t="shared" ca="1" si="11"/>
        <v>170618.19594901474</v>
      </c>
      <c r="G22" s="9">
        <f t="shared" ca="1" si="12"/>
        <v>177865.08941221904</v>
      </c>
      <c r="H22" s="1"/>
      <c r="I22" s="1"/>
      <c r="J22" t="s">
        <v>4126</v>
      </c>
      <c r="K22" s="312">
        <v>7</v>
      </c>
      <c r="L22" s="1"/>
      <c r="P22" s="37"/>
      <c r="Q22" s="533" t="s">
        <v>4138</v>
      </c>
      <c r="R22" s="533"/>
      <c r="S22" s="210">
        <f>S20+S10</f>
        <v>6348609.5622605653</v>
      </c>
      <c r="T22" s="210">
        <f>T20+T10</f>
        <v>6348609.5622605653</v>
      </c>
      <c r="U22" s="210">
        <f t="shared" ref="U22:BA22" si="14">U20+U10</f>
        <v>6348609.5622605653</v>
      </c>
      <c r="V22" s="210">
        <f t="shared" si="14"/>
        <v>6348609.5622605653</v>
      </c>
      <c r="W22" s="210">
        <f>W20+W10</f>
        <v>13276314.603419637</v>
      </c>
      <c r="X22" s="210">
        <f t="shared" si="14"/>
        <v>21202512.320484042</v>
      </c>
      <c r="Y22" s="210">
        <f t="shared" si="14"/>
        <v>30244237.781302873</v>
      </c>
      <c r="Z22" s="210">
        <f t="shared" si="14"/>
        <v>37393482.848007061</v>
      </c>
      <c r="AA22" s="210">
        <f t="shared" si="14"/>
        <v>48007898.18628116</v>
      </c>
      <c r="AB22" s="210">
        <f t="shared" si="14"/>
        <v>60037442.987515129</v>
      </c>
      <c r="AC22" s="210">
        <f t="shared" si="14"/>
        <v>66894995.581932828</v>
      </c>
      <c r="AD22" s="210">
        <f t="shared" si="14"/>
        <v>80749727.485702977</v>
      </c>
      <c r="AE22" s="210">
        <f t="shared" si="14"/>
        <v>96387008.426531643</v>
      </c>
      <c r="AF22" s="210">
        <f t="shared" si="14"/>
        <v>108076392.43646578</v>
      </c>
      <c r="AG22" s="210">
        <f>AG20+AG10</f>
        <v>126861578.40319945</v>
      </c>
      <c r="AH22" s="210">
        <f t="shared" si="14"/>
        <v>148004926.72490406</v>
      </c>
      <c r="AI22" s="210">
        <f t="shared" si="14"/>
        <v>162260674.08782804</v>
      </c>
      <c r="AJ22" s="210">
        <f t="shared" si="14"/>
        <v>187503305.13327792</v>
      </c>
      <c r="AK22" s="210">
        <f t="shared" si="14"/>
        <v>199450022.50890806</v>
      </c>
      <c r="AL22" s="210">
        <f t="shared" si="14"/>
        <v>195537708.31389081</v>
      </c>
      <c r="AM22" s="210">
        <f t="shared" si="14"/>
        <v>203699931.369324</v>
      </c>
      <c r="AN22" s="210">
        <f t="shared" si="14"/>
        <v>212227111.91776913</v>
      </c>
      <c r="AO22" s="210">
        <f t="shared" si="14"/>
        <v>207205237.81110239</v>
      </c>
      <c r="AP22" s="210">
        <f t="shared" si="14"/>
        <v>215901994.96275955</v>
      </c>
      <c r="AQ22" s="210">
        <f>AQ20+AQ10</f>
        <v>224990738.14299694</v>
      </c>
      <c r="AR22" s="210">
        <f>AR20+AR10</f>
        <v>218616096.18733534</v>
      </c>
      <c r="AS22" s="210">
        <f t="shared" si="14"/>
        <v>227844165.5611454</v>
      </c>
      <c r="AT22" s="210">
        <f t="shared" si="14"/>
        <v>237489719.15077245</v>
      </c>
      <c r="AU22" s="210">
        <f t="shared" si="14"/>
        <v>229524619.92431146</v>
      </c>
      <c r="AV22" s="210">
        <f t="shared" si="14"/>
        <v>239268595.46198091</v>
      </c>
      <c r="AW22" s="210">
        <f t="shared" si="14"/>
        <v>249416035.57915196</v>
      </c>
      <c r="AX22" s="210">
        <f t="shared" si="14"/>
        <v>260065135.41774416</v>
      </c>
      <c r="AY22" s="210">
        <f t="shared" si="14"/>
        <v>271198671.79621506</v>
      </c>
      <c r="AZ22" s="210">
        <f t="shared" si="14"/>
        <v>282838982.71292889</v>
      </c>
      <c r="BA22" s="210">
        <f t="shared" si="14"/>
        <v>295009451.14969659</v>
      </c>
    </row>
    <row r="23" spans="1:54" x14ac:dyDescent="0.25">
      <c r="A23" s="80"/>
      <c r="B23" s="206" t="s">
        <v>3881</v>
      </c>
      <c r="C23" s="9">
        <f t="shared" si="9"/>
        <v>114000</v>
      </c>
      <c r="D23" s="9">
        <f t="shared" si="9"/>
        <v>540000</v>
      </c>
      <c r="E23" s="9">
        <f t="shared" si="10"/>
        <v>327000</v>
      </c>
      <c r="F23" s="9">
        <f t="shared" ca="1" si="11"/>
        <v>355561.7186096654</v>
      </c>
      <c r="G23" s="9">
        <f t="shared" ca="1" si="12"/>
        <v>134811.52563872846</v>
      </c>
      <c r="H23" s="1"/>
      <c r="I23" s="1"/>
      <c r="J23" t="s">
        <v>4127</v>
      </c>
      <c r="K23" s="312">
        <v>24</v>
      </c>
      <c r="L23" s="1"/>
      <c r="P23" s="37"/>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row>
    <row r="24" spans="1:54" x14ac:dyDescent="0.25">
      <c r="A24" s="80"/>
      <c r="B24" s="206" t="s">
        <v>3882</v>
      </c>
      <c r="C24" s="9">
        <f t="shared" si="9"/>
        <v>22000</v>
      </c>
      <c r="D24" s="9">
        <f t="shared" si="9"/>
        <v>105000</v>
      </c>
      <c r="E24" s="9">
        <f t="shared" si="10"/>
        <v>63500</v>
      </c>
      <c r="F24" s="9">
        <f t="shared" ca="1" si="11"/>
        <v>84450.681634013861</v>
      </c>
      <c r="G24" s="9">
        <f t="shared" ca="1" si="12"/>
        <v>52187.000440950302</v>
      </c>
      <c r="J24" t="s">
        <v>4051</v>
      </c>
      <c r="K24" s="312">
        <v>10</v>
      </c>
      <c r="P24" s="37"/>
      <c r="R24" s="17" t="s">
        <v>4063</v>
      </c>
      <c r="S24">
        <v>1</v>
      </c>
      <c r="T24">
        <v>2</v>
      </c>
      <c r="U24">
        <v>3</v>
      </c>
      <c r="V24">
        <v>4</v>
      </c>
      <c r="W24">
        <v>5</v>
      </c>
      <c r="X24">
        <v>6</v>
      </c>
      <c r="Y24">
        <v>7</v>
      </c>
      <c r="Z24">
        <v>8</v>
      </c>
      <c r="AA24">
        <v>9</v>
      </c>
      <c r="AB24">
        <v>10</v>
      </c>
      <c r="AC24">
        <v>11</v>
      </c>
      <c r="AD24">
        <v>12</v>
      </c>
      <c r="AE24">
        <v>13</v>
      </c>
      <c r="AF24">
        <v>14</v>
      </c>
      <c r="AG24">
        <v>15</v>
      </c>
      <c r="AH24">
        <v>16</v>
      </c>
      <c r="AI24">
        <v>17</v>
      </c>
      <c r="AJ24">
        <v>18</v>
      </c>
      <c r="AK24">
        <v>19</v>
      </c>
      <c r="AL24">
        <v>20</v>
      </c>
      <c r="AM24">
        <v>21</v>
      </c>
      <c r="AN24">
        <v>22</v>
      </c>
      <c r="AO24">
        <v>23</v>
      </c>
      <c r="AP24">
        <v>24</v>
      </c>
      <c r="AQ24">
        <v>25</v>
      </c>
      <c r="AR24">
        <v>26</v>
      </c>
      <c r="AS24">
        <v>27</v>
      </c>
      <c r="AT24">
        <v>28</v>
      </c>
      <c r="AU24">
        <v>29</v>
      </c>
      <c r="AV24">
        <v>30</v>
      </c>
      <c r="AW24">
        <v>31</v>
      </c>
      <c r="AX24">
        <v>32</v>
      </c>
      <c r="AY24">
        <v>33</v>
      </c>
      <c r="AZ24">
        <v>34</v>
      </c>
      <c r="BA24">
        <v>35</v>
      </c>
    </row>
    <row r="25" spans="1:54" x14ac:dyDescent="0.25">
      <c r="B25" s="206" t="s">
        <v>3884</v>
      </c>
      <c r="C25" s="9">
        <f t="shared" si="9"/>
        <v>6000</v>
      </c>
      <c r="D25" s="9">
        <f t="shared" si="9"/>
        <v>60000</v>
      </c>
      <c r="E25" s="9">
        <f t="shared" si="10"/>
        <v>33000</v>
      </c>
      <c r="F25" s="9">
        <f t="shared" ca="1" si="11"/>
        <v>52176.417914055783</v>
      </c>
      <c r="G25" s="9">
        <f t="shared" ca="1" si="12"/>
        <v>21855.650137621727</v>
      </c>
      <c r="J25" t="s">
        <v>4128</v>
      </c>
      <c r="K25" s="312">
        <v>0.7</v>
      </c>
      <c r="P25" s="37"/>
      <c r="S25" s="66">
        <v>0.05</v>
      </c>
      <c r="T25" s="66">
        <v>0.05</v>
      </c>
      <c r="U25" s="66">
        <v>0.05</v>
      </c>
      <c r="V25" s="66">
        <v>0.05</v>
      </c>
      <c r="W25" s="66">
        <v>0.05</v>
      </c>
      <c r="X25" s="66">
        <v>0.05</v>
      </c>
      <c r="Y25" s="66">
        <v>0.05</v>
      </c>
      <c r="Z25" s="66">
        <v>0.05</v>
      </c>
      <c r="AA25" s="66">
        <v>0.05</v>
      </c>
      <c r="AB25" s="66">
        <v>0.05</v>
      </c>
      <c r="AC25" s="66">
        <v>0.05</v>
      </c>
      <c r="AD25" s="66">
        <v>0.05</v>
      </c>
      <c r="AE25" s="66">
        <v>0.05</v>
      </c>
      <c r="AF25" s="66">
        <v>0.05</v>
      </c>
      <c r="AG25" s="66">
        <v>0.05</v>
      </c>
      <c r="AH25" s="66">
        <v>0.05</v>
      </c>
      <c r="AI25" s="66">
        <v>0.05</v>
      </c>
      <c r="AJ25" s="66">
        <v>0.05</v>
      </c>
      <c r="AK25" s="66">
        <v>0.05</v>
      </c>
      <c r="AL25" s="66">
        <v>0.05</v>
      </c>
      <c r="AM25" s="66">
        <v>0.05</v>
      </c>
      <c r="AN25" s="66">
        <v>0.05</v>
      </c>
      <c r="AO25" s="66">
        <v>0.05</v>
      </c>
      <c r="AP25" s="66">
        <v>0.05</v>
      </c>
      <c r="AQ25" s="66">
        <v>0.05</v>
      </c>
      <c r="AR25" s="66">
        <v>0.05</v>
      </c>
      <c r="AS25" s="66">
        <v>0.05</v>
      </c>
      <c r="AT25" s="66">
        <v>0.05</v>
      </c>
      <c r="AU25" s="66">
        <v>0.05</v>
      </c>
      <c r="AV25" s="66">
        <v>0.05</v>
      </c>
      <c r="AW25" s="66">
        <v>0.05</v>
      </c>
      <c r="AX25" s="66">
        <v>0.05</v>
      </c>
      <c r="AY25" s="66">
        <v>0.05</v>
      </c>
      <c r="AZ25" s="66">
        <v>0.05</v>
      </c>
      <c r="BA25" s="66">
        <v>0.05</v>
      </c>
      <c r="BB25" s="36"/>
    </row>
    <row r="26" spans="1:54" x14ac:dyDescent="0.25">
      <c r="B26" s="206" t="s">
        <v>3865</v>
      </c>
      <c r="C26" s="9">
        <f t="shared" si="9"/>
        <v>20400</v>
      </c>
      <c r="D26" s="9">
        <f t="shared" si="9"/>
        <v>66000</v>
      </c>
      <c r="E26" s="9">
        <f t="shared" si="10"/>
        <v>43200</v>
      </c>
      <c r="F26" s="9">
        <f t="shared" ca="1" si="11"/>
        <v>44733.319561582219</v>
      </c>
      <c r="G26" s="9">
        <f t="shared" ca="1" si="12"/>
        <v>49346.286715675669</v>
      </c>
      <c r="K26" s="41">
        <f>PRODUCT(K22:K25)</f>
        <v>1176</v>
      </c>
      <c r="P26" s="37"/>
      <c r="R26" s="66"/>
      <c r="S26" s="66">
        <f>1+S25</f>
        <v>1.05</v>
      </c>
      <c r="T26" s="66">
        <f t="shared" ref="T26:BA26" si="15">1+T25</f>
        <v>1.05</v>
      </c>
      <c r="U26" s="66">
        <f t="shared" si="15"/>
        <v>1.05</v>
      </c>
      <c r="V26" s="66">
        <f t="shared" si="15"/>
        <v>1.05</v>
      </c>
      <c r="W26" s="66">
        <f t="shared" si="15"/>
        <v>1.05</v>
      </c>
      <c r="X26" s="66">
        <f t="shared" si="15"/>
        <v>1.05</v>
      </c>
      <c r="Y26" s="66">
        <f t="shared" si="15"/>
        <v>1.05</v>
      </c>
      <c r="Z26" s="66">
        <f t="shared" si="15"/>
        <v>1.05</v>
      </c>
      <c r="AA26" s="66">
        <f t="shared" si="15"/>
        <v>1.05</v>
      </c>
      <c r="AB26" s="66">
        <f t="shared" si="15"/>
        <v>1.05</v>
      </c>
      <c r="AC26" s="66">
        <f t="shared" si="15"/>
        <v>1.05</v>
      </c>
      <c r="AD26" s="66">
        <f t="shared" si="15"/>
        <v>1.05</v>
      </c>
      <c r="AE26" s="66">
        <f t="shared" si="15"/>
        <v>1.05</v>
      </c>
      <c r="AF26" s="66">
        <f t="shared" si="15"/>
        <v>1.05</v>
      </c>
      <c r="AG26" s="66">
        <f t="shared" si="15"/>
        <v>1.05</v>
      </c>
      <c r="AH26" s="66">
        <f t="shared" si="15"/>
        <v>1.05</v>
      </c>
      <c r="AI26" s="66">
        <f t="shared" si="15"/>
        <v>1.05</v>
      </c>
      <c r="AJ26" s="66">
        <f t="shared" si="15"/>
        <v>1.05</v>
      </c>
      <c r="AK26" s="66">
        <f t="shared" si="15"/>
        <v>1.05</v>
      </c>
      <c r="AL26" s="66">
        <f t="shared" si="15"/>
        <v>1.05</v>
      </c>
      <c r="AM26" s="66">
        <f t="shared" si="15"/>
        <v>1.05</v>
      </c>
      <c r="AN26" s="66">
        <f t="shared" si="15"/>
        <v>1.05</v>
      </c>
      <c r="AO26" s="66">
        <f t="shared" si="15"/>
        <v>1.05</v>
      </c>
      <c r="AP26" s="66">
        <f t="shared" si="15"/>
        <v>1.05</v>
      </c>
      <c r="AQ26" s="66">
        <f t="shared" si="15"/>
        <v>1.05</v>
      </c>
      <c r="AR26" s="66">
        <f t="shared" si="15"/>
        <v>1.05</v>
      </c>
      <c r="AS26" s="66">
        <f t="shared" si="15"/>
        <v>1.05</v>
      </c>
      <c r="AT26" s="66">
        <f t="shared" si="15"/>
        <v>1.05</v>
      </c>
      <c r="AU26" s="66">
        <f t="shared" si="15"/>
        <v>1.05</v>
      </c>
      <c r="AV26" s="66">
        <f t="shared" si="15"/>
        <v>1.05</v>
      </c>
      <c r="AW26" s="66">
        <f t="shared" si="15"/>
        <v>1.05</v>
      </c>
      <c r="AX26" s="66">
        <f t="shared" si="15"/>
        <v>1.05</v>
      </c>
      <c r="AY26" s="66">
        <f t="shared" si="15"/>
        <v>1.05</v>
      </c>
      <c r="AZ26" s="66">
        <f t="shared" si="15"/>
        <v>1.05</v>
      </c>
      <c r="BA26" s="66">
        <f t="shared" si="15"/>
        <v>1.05</v>
      </c>
    </row>
    <row r="27" spans="1:54" x14ac:dyDescent="0.25">
      <c r="B27" s="206" t="s">
        <v>3886</v>
      </c>
      <c r="C27" s="9">
        <f>12*C12</f>
        <v>200640</v>
      </c>
      <c r="D27" s="9">
        <f>12*D12</f>
        <v>255360</v>
      </c>
      <c r="E27" s="9">
        <f t="shared" si="10"/>
        <v>228000</v>
      </c>
      <c r="F27" s="9">
        <f t="shared" ca="1" si="11"/>
        <v>214012.42307618976</v>
      </c>
      <c r="G27" s="9">
        <f t="shared" ca="1" si="12"/>
        <v>219340.21709841921</v>
      </c>
      <c r="P27" s="37"/>
      <c r="S27" s="66">
        <f>S25</f>
        <v>0.05</v>
      </c>
      <c r="T27" s="46">
        <f>PRODUCT($S26:T26)-1</f>
        <v>0.10250000000000004</v>
      </c>
      <c r="U27" s="46">
        <f>PRODUCT($S26:U26)-1</f>
        <v>0.15762500000000013</v>
      </c>
      <c r="V27" s="46">
        <f>PRODUCT($S26:V26)-1</f>
        <v>0.21550625000000023</v>
      </c>
      <c r="W27" s="46">
        <f>PRODUCT($S26:W26)-1</f>
        <v>0.27628156250000035</v>
      </c>
      <c r="X27" s="46">
        <f>PRODUCT($S26:X26)-1</f>
        <v>0.34009564062500042</v>
      </c>
      <c r="Y27" s="46">
        <f>PRODUCT($S26:Y26)-1</f>
        <v>0.40710042265625046</v>
      </c>
      <c r="Z27" s="46">
        <f>PRODUCT($S26:Z26)-1</f>
        <v>0.47745544378906302</v>
      </c>
      <c r="AA27" s="46">
        <f>PRODUCT($S26:AA26)-1</f>
        <v>0.55132821597851622</v>
      </c>
      <c r="AB27" s="46">
        <f>PRODUCT($S26:AB26)-1</f>
        <v>0.62889462677744201</v>
      </c>
      <c r="AC27" s="46">
        <f>PRODUCT($S26:AC26)-1</f>
        <v>0.71033935811631421</v>
      </c>
      <c r="AD27" s="46">
        <f>PRODUCT($S26:AD26)-1</f>
        <v>0.79585632602213008</v>
      </c>
      <c r="AE27" s="46">
        <f>PRODUCT($S26:AE26)-1</f>
        <v>0.88564914232323666</v>
      </c>
      <c r="AF27" s="46">
        <f>PRODUCT($S26:AF26)-1</f>
        <v>0.97993159943939867</v>
      </c>
      <c r="AG27" s="46">
        <f>PRODUCT($S26:AG26)-1</f>
        <v>1.0789281794113688</v>
      </c>
      <c r="AH27" s="46">
        <f>PRODUCT($S26:AH26)-1</f>
        <v>1.1828745883819374</v>
      </c>
      <c r="AI27" s="46">
        <f>PRODUCT($S26:AI26)-1</f>
        <v>1.2920183178010345</v>
      </c>
      <c r="AJ27" s="46">
        <f>PRODUCT($S26:AJ26)-1</f>
        <v>1.4066192336910861</v>
      </c>
      <c r="AK27" s="46">
        <f>PRODUCT($S26:AK26)-1</f>
        <v>1.5269501953756404</v>
      </c>
      <c r="AL27" s="46">
        <f>PRODUCT($S26:AL26)-1</f>
        <v>1.6532977051444226</v>
      </c>
      <c r="AM27" s="46">
        <f>PRODUCT($S26:AM26)-1</f>
        <v>1.7859625904016441</v>
      </c>
      <c r="AN27" s="46">
        <f>PRODUCT($S26:AN26)-1</f>
        <v>1.9252607199217264</v>
      </c>
      <c r="AO27" s="46">
        <f>PRODUCT($S26:AO26)-1</f>
        <v>2.0715237559178128</v>
      </c>
      <c r="AP27" s="46">
        <f>PRODUCT($S26:AP26)-1</f>
        <v>2.2250999437137038</v>
      </c>
      <c r="AQ27" s="46">
        <f>PRODUCT($S26:AQ26)-1</f>
        <v>2.3863549408993889</v>
      </c>
      <c r="AR27" s="46">
        <f>PRODUCT($S26:AR26)-1</f>
        <v>2.5556726879443583</v>
      </c>
      <c r="AS27" s="46">
        <f>PRODUCT($S26:AS26)-1</f>
        <v>2.7334563223415764</v>
      </c>
      <c r="AT27" s="46">
        <f>PRODUCT($S26:AT26)-1</f>
        <v>2.9201291384586554</v>
      </c>
      <c r="AU27" s="46">
        <f>PRODUCT($S26:AU26)-1</f>
        <v>3.1161355953815884</v>
      </c>
      <c r="AV27" s="46">
        <f>PRODUCT($S26:AV26)-1</f>
        <v>3.3219423751506678</v>
      </c>
      <c r="AW27" s="46">
        <f>PRODUCT($S26:AW26)-1</f>
        <v>3.5380394939082018</v>
      </c>
      <c r="AX27" s="46">
        <f>PRODUCT($S26:AX26)-1</f>
        <v>3.7649414686036122</v>
      </c>
      <c r="AY27" s="46">
        <f>PRODUCT($S26:AY26)-1</f>
        <v>4.0031885420337927</v>
      </c>
      <c r="AZ27" s="46">
        <f>PRODUCT($S26:AZ26)-1</f>
        <v>4.2533479691354827</v>
      </c>
      <c r="BA27" s="46">
        <f>PRODUCT($S26:BA26)-1</f>
        <v>4.5160153675922574</v>
      </c>
    </row>
    <row r="28" spans="1:54" x14ac:dyDescent="0.25">
      <c r="B28" s="206" t="s">
        <v>3885</v>
      </c>
      <c r="C28" s="536">
        <f>12*C13</f>
        <v>684000</v>
      </c>
      <c r="D28" s="536"/>
      <c r="E28" s="536"/>
      <c r="F28" s="536"/>
      <c r="G28" s="536"/>
      <c r="P28" s="37"/>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row>
    <row r="29" spans="1:54" x14ac:dyDescent="0.25">
      <c r="B29" s="206" t="s">
        <v>3990</v>
      </c>
      <c r="C29" s="536">
        <f>12*C14</f>
        <v>3872197.6307628201</v>
      </c>
      <c r="D29" s="536"/>
      <c r="E29" s="536"/>
      <c r="F29" s="536"/>
      <c r="G29" s="536"/>
      <c r="P29" s="37"/>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row>
    <row r="30" spans="1:54" ht="15.75" x14ac:dyDescent="0.25">
      <c r="B30" s="537" t="s">
        <v>3262</v>
      </c>
      <c r="C30" s="537"/>
      <c r="D30" s="537"/>
      <c r="E30" s="268">
        <f>SUM(E19:E27)+C28+C29</f>
        <v>5728797.6307628201</v>
      </c>
      <c r="F30" s="268">
        <f ca="1">SUM(F19:F27)+C28+C29</f>
        <v>5801622.0938879969</v>
      </c>
      <c r="G30" s="268">
        <f ca="1">SUM(G19:G27)+C28+C29</f>
        <v>5398663.3797132298</v>
      </c>
      <c r="M30" s="530" t="s">
        <v>4085</v>
      </c>
      <c r="N30" s="530"/>
      <c r="O30" s="530"/>
      <c r="P30" s="530"/>
      <c r="Q30" s="530"/>
      <c r="R30" s="530"/>
      <c r="S30" s="272">
        <v>2025</v>
      </c>
      <c r="T30" s="272">
        <v>2026</v>
      </c>
      <c r="U30" s="272">
        <v>2027</v>
      </c>
      <c r="V30" s="272">
        <v>2028</v>
      </c>
      <c r="W30" s="272">
        <v>2029</v>
      </c>
      <c r="X30" s="272">
        <v>2030</v>
      </c>
      <c r="Y30" s="272">
        <v>2031</v>
      </c>
      <c r="Z30" s="272">
        <v>2032</v>
      </c>
      <c r="AA30" s="272">
        <v>2033</v>
      </c>
      <c r="AB30" s="272">
        <v>2034</v>
      </c>
      <c r="AC30" s="272">
        <v>2035</v>
      </c>
      <c r="AD30" s="272">
        <v>2036</v>
      </c>
      <c r="AE30" s="272">
        <v>2037</v>
      </c>
      <c r="AF30" s="272">
        <v>2038</v>
      </c>
      <c r="AG30" s="272">
        <v>2039</v>
      </c>
      <c r="AH30" s="272">
        <v>2040</v>
      </c>
      <c r="AI30" s="272">
        <v>2041</v>
      </c>
      <c r="AJ30" s="272">
        <v>2042</v>
      </c>
      <c r="AK30" s="272">
        <v>2043</v>
      </c>
      <c r="AL30" s="272">
        <v>2044</v>
      </c>
      <c r="AM30" s="272">
        <v>2045</v>
      </c>
      <c r="AN30" s="272">
        <v>2046</v>
      </c>
      <c r="AO30" s="272">
        <v>2047</v>
      </c>
      <c r="AP30" s="272">
        <v>2048</v>
      </c>
      <c r="AQ30" s="272">
        <v>2049</v>
      </c>
      <c r="AR30" s="272">
        <v>2050</v>
      </c>
      <c r="AS30" s="272">
        <v>2051</v>
      </c>
      <c r="AT30" s="272">
        <v>2052</v>
      </c>
      <c r="AU30" s="272">
        <v>2053</v>
      </c>
      <c r="AV30" s="272">
        <v>2054</v>
      </c>
      <c r="AW30" s="272">
        <v>2055</v>
      </c>
      <c r="AX30" s="272">
        <v>2056</v>
      </c>
      <c r="AY30" s="272">
        <v>2057</v>
      </c>
      <c r="AZ30" s="272">
        <v>2058</v>
      </c>
      <c r="BA30" s="272">
        <v>2059</v>
      </c>
    </row>
    <row r="31" spans="1:54" x14ac:dyDescent="0.25">
      <c r="M31" s="273" t="s">
        <v>3873</v>
      </c>
      <c r="N31" s="272" t="s">
        <v>3874</v>
      </c>
      <c r="O31" s="272" t="s">
        <v>3875</v>
      </c>
      <c r="P31" s="272" t="s">
        <v>3756</v>
      </c>
      <c r="Q31" s="272" t="s">
        <v>3876</v>
      </c>
      <c r="R31" s="272" t="s">
        <v>3877</v>
      </c>
      <c r="S31" s="272" t="s">
        <v>3701</v>
      </c>
      <c r="T31" s="272" t="s">
        <v>3702</v>
      </c>
      <c r="U31" s="272" t="s">
        <v>3703</v>
      </c>
      <c r="V31" s="272" t="s">
        <v>3704</v>
      </c>
      <c r="W31" s="272" t="s">
        <v>3705</v>
      </c>
      <c r="X31" s="272" t="s">
        <v>3706</v>
      </c>
      <c r="Y31" s="272" t="s">
        <v>3707</v>
      </c>
      <c r="Z31" s="272" t="s">
        <v>3708</v>
      </c>
      <c r="AA31" s="272" t="s">
        <v>3709</v>
      </c>
      <c r="AB31" s="272" t="s">
        <v>3710</v>
      </c>
      <c r="AC31" s="272" t="s">
        <v>3711</v>
      </c>
      <c r="AD31" s="272" t="s">
        <v>3712</v>
      </c>
      <c r="AE31" s="272" t="s">
        <v>3713</v>
      </c>
      <c r="AF31" s="272" t="s">
        <v>3714</v>
      </c>
      <c r="AG31" s="272" t="s">
        <v>3715</v>
      </c>
      <c r="AH31" s="272" t="s">
        <v>3716</v>
      </c>
      <c r="AI31" s="272" t="s">
        <v>3717</v>
      </c>
      <c r="AJ31" s="272" t="s">
        <v>3718</v>
      </c>
      <c r="AK31" s="272" t="s">
        <v>3719</v>
      </c>
      <c r="AL31" s="272" t="s">
        <v>3720</v>
      </c>
      <c r="AM31" s="272" t="s">
        <v>3721</v>
      </c>
      <c r="AN31" s="272" t="s">
        <v>3722</v>
      </c>
      <c r="AO31" s="272" t="s">
        <v>3723</v>
      </c>
      <c r="AP31" s="272" t="s">
        <v>3724</v>
      </c>
      <c r="AQ31" s="272" t="s">
        <v>3725</v>
      </c>
      <c r="AR31" s="272" t="s">
        <v>3726</v>
      </c>
      <c r="AS31" s="272" t="s">
        <v>3727</v>
      </c>
      <c r="AT31" s="272" t="s">
        <v>3728</v>
      </c>
      <c r="AU31" s="272" t="s">
        <v>3729</v>
      </c>
      <c r="AV31" s="272" t="s">
        <v>3730</v>
      </c>
      <c r="AW31" s="272" t="s">
        <v>3731</v>
      </c>
      <c r="AX31" s="272" t="s">
        <v>3732</v>
      </c>
      <c r="AY31" s="272" t="s">
        <v>3733</v>
      </c>
      <c r="AZ31" s="272" t="s">
        <v>3734</v>
      </c>
      <c r="BA31" s="272" t="s">
        <v>3735</v>
      </c>
    </row>
    <row r="32" spans="1:54" x14ac:dyDescent="0.25">
      <c r="B32" s="1" t="s">
        <v>4217</v>
      </c>
      <c r="M32" s="274" t="s">
        <v>3998</v>
      </c>
      <c r="N32" s="37">
        <f t="shared" ref="N32:V32" si="16">N4</f>
        <v>2268</v>
      </c>
      <c r="O32" s="37">
        <f t="shared" si="16"/>
        <v>3276</v>
      </c>
      <c r="P32" s="37">
        <f t="shared" si="16"/>
        <v>2772</v>
      </c>
      <c r="Q32" s="9">
        <f t="shared" ca="1" si="16"/>
        <v>3010.4055243861949</v>
      </c>
      <c r="R32" s="9">
        <f t="shared" ca="1" si="16"/>
        <v>2975.8728674171821</v>
      </c>
      <c r="S32" s="19">
        <f t="shared" si="16"/>
        <v>0</v>
      </c>
      <c r="T32" s="19">
        <f t="shared" si="16"/>
        <v>0</v>
      </c>
      <c r="U32" s="19">
        <f t="shared" si="16"/>
        <v>0</v>
      </c>
      <c r="V32" s="19">
        <f t="shared" si="16"/>
        <v>0</v>
      </c>
      <c r="W32" s="19">
        <f ca="1">(Import_Frios!E16/Custos_Desp!$K13)*$R4*W1</f>
        <v>475028.07319540804</v>
      </c>
      <c r="X32" s="19">
        <f ca="1">(Import_Frios!F16/Custos_Desp!$K13)*$R4*X1</f>
        <v>1030807.4814436521</v>
      </c>
      <c r="Y32" s="19">
        <f ca="1">(Import_Frios!G16/Custos_Desp!$K13)*$R4*Y1</f>
        <v>1677966.2475058944</v>
      </c>
      <c r="Z32" s="19">
        <f ca="1">(Import_Frios!H16/Custos_Desp!$K13)*$R4*Z1</f>
        <v>2428412.2531548948</v>
      </c>
      <c r="AA32" s="19">
        <f ca="1">(Import_Frios!I16/Custos_Desp!$K13)*$R4*AA1</f>
        <v>3295481.4679037109</v>
      </c>
      <c r="AB32" s="19">
        <f ca="1">(Import_Frios!J16/Custos_Desp!$K13)*$R4*AB1</f>
        <v>4294103.0256465534</v>
      </c>
      <c r="AC32" s="19">
        <f ca="1">(Import_Frios!K16/Custos_Desp!$K13)*$R4*AC1</f>
        <v>5440983.0461792536</v>
      </c>
      <c r="AD32" s="19">
        <f ca="1">(Import_Frios!L16/Custos_Desp!$K13)*$R4*AD1</f>
        <v>6754809.3111204933</v>
      </c>
      <c r="AE32" s="19">
        <f ca="1">(Import_Frios!M16/Custos_Desp!$K13)*$R4*AE1</f>
        <v>8256479.1400651811</v>
      </c>
      <c r="AF32" s="19">
        <f ca="1">(Import_Frios!N16/Custos_Desp!$K13)*$R4*AF1</f>
        <v>9969353.075520061</v>
      </c>
      <c r="AG32" s="19">
        <f ca="1">(Import_Frios!O16/Custos_Desp!$K13)*$R4*AG1</f>
        <v>11919537.277246118</v>
      </c>
      <c r="AH32" s="19">
        <f ca="1">(Import_Frios!P16/Custos_Desp!$K13)*$R4*AH1</f>
        <v>14136197.851339061</v>
      </c>
      <c r="AI32" s="19">
        <f ca="1">(Import_Frios!Q16/Custos_Desp!$K13)*$R4*AI1</f>
        <v>16651910.70035976</v>
      </c>
      <c r="AJ32" s="19">
        <f ca="1">(Import_Frios!R16/Custos_Desp!$K13)*$R4*AJ1</f>
        <v>19503050.882128894</v>
      </c>
      <c r="AK32" s="19">
        <f ca="1">(Import_Frios!S16/Custos_Desp!$K13)*$R4*AK1</f>
        <v>21067413.331742272</v>
      </c>
      <c r="AL32" s="19">
        <f ca="1">(Import_Frios!T16/Custos_Desp!$K13)*$R4*AL1</f>
        <v>22300553.405955371</v>
      </c>
      <c r="AM32" s="19">
        <f ca="1">(Import_Frios!U16/Custos_Desp!$K13)*$R4*AM1</f>
        <v>23605872.93659652</v>
      </c>
      <c r="AN32" s="19">
        <f ca="1">(Import_Frios!V16/Custos_Desp!$K13)*$R4*AN1</f>
        <v>24987596.807796244</v>
      </c>
      <c r="AO32" s="19">
        <f ca="1">(Import_Frios!W16/Custos_Desp!$K13)*$R4*AO1</f>
        <v>26450197.199062441</v>
      </c>
      <c r="AP32" s="19">
        <f ca="1">(Import_Frios!X16/Custos_Desp!$K13)*$R4*AP1</f>
        <v>27998408.060234431</v>
      </c>
      <c r="AQ32" s="19">
        <f ca="1">(Import_Frios!Y16/Custos_Desp!$K13)*$R4*AQ1</f>
        <v>29637240.433700319</v>
      </c>
      <c r="AR32" s="19">
        <f ca="1">(Import_Frios!Z16/Custos_Desp!$K13)*$R4*AR1</f>
        <v>31371998.673470527</v>
      </c>
      <c r="AS32" s="19">
        <f ca="1">(Import_Frios!AA16/Custos_Desp!$K13)*$R4*AS1</f>
        <v>33208297.613603268</v>
      </c>
      <c r="AT32" s="19">
        <f ca="1">(Import_Frios!AB16/Custos_Desp!$K13)*$R4*AT1</f>
        <v>35152080.741550416</v>
      </c>
      <c r="AU32" s="19">
        <f ca="1">(Import_Frios!AC16/Custos_Desp!$K13)*$R4*AU1</f>
        <v>37209639.435244843</v>
      </c>
      <c r="AV32" s="19">
        <f ca="1">(Import_Frios!AD16/Custos_Desp!$K13)*$R4*AV1</f>
        <v>39387633.326193288</v>
      </c>
      <c r="AW32" s="19">
        <f ca="1">(Import_Frios!AE16/Custos_Desp!$K13)*$R4*AW1</f>
        <v>41693111.854483195</v>
      </c>
      <c r="AX32" s="19">
        <f ca="1">(Import_Frios!AF16/Custos_Desp!$K13)*$R4*AX1</f>
        <v>44133537.085470043</v>
      </c>
      <c r="AY32" s="19">
        <f ca="1">(Import_Frios!AG16/Custos_Desp!$K13)*$R4*AY1</f>
        <v>46716807.861995049</v>
      </c>
      <c r="AZ32" s="19">
        <f ca="1">(Import_Frios!AH16/Custos_Desp!$K13)*$R4*AZ1</f>
        <v>49451285.370306008</v>
      </c>
      <c r="BA32" s="19">
        <f ca="1">(Import_Frios!AI16/Custos_Desp!$K13)*$R4*BA1</f>
        <v>52345820.202429563</v>
      </c>
    </row>
    <row r="33" spans="2:53" x14ac:dyDescent="0.25">
      <c r="B33" t="s">
        <v>3870</v>
      </c>
      <c r="M33" s="274" t="s">
        <v>3997</v>
      </c>
      <c r="N33" s="37">
        <f t="shared" ref="N33:R34" si="17">N5</f>
        <v>504</v>
      </c>
      <c r="O33" s="37">
        <f t="shared" si="17"/>
        <v>840</v>
      </c>
      <c r="P33" s="37">
        <f t="shared" si="17"/>
        <v>672</v>
      </c>
      <c r="Q33" s="9">
        <f t="shared" ca="1" si="17"/>
        <v>605.90813546241043</v>
      </c>
      <c r="R33" s="9">
        <f t="shared" ca="1" si="17"/>
        <v>599.65646690646622</v>
      </c>
      <c r="S33" s="19">
        <v>0</v>
      </c>
      <c r="T33" s="19">
        <v>0</v>
      </c>
      <c r="U33" s="19">
        <v>0</v>
      </c>
      <c r="V33" s="19">
        <v>0</v>
      </c>
      <c r="W33" s="19">
        <f ca="1">$R5*Export_Frutas!E29*80%*W1</f>
        <v>4376196.3086243756</v>
      </c>
      <c r="X33" s="19">
        <f ca="1">$R5*Export_Frutas!F29*80%*X1</f>
        <v>9353620.4619025663</v>
      </c>
      <c r="Y33" s="19">
        <f ca="1">$R5*Export_Frutas!G29*80%*Y1</f>
        <v>15022795.857123047</v>
      </c>
      <c r="Z33" s="19">
        <f ca="1">$R5*Export_Frutas!H29*80%*Z1</f>
        <v>21450888.6072824</v>
      </c>
      <c r="AA33" s="19">
        <f ca="1">$R5*Export_Frutas!I29*80%*AA1</f>
        <v>28720200.55166629</v>
      </c>
      <c r="AB33" s="19">
        <f ca="1">$R5*Export_Frutas!J29*80%*AB1</f>
        <v>36921351.064979509</v>
      </c>
      <c r="AC33" s="19">
        <f ca="1">$R5*Export_Frutas!K29*80%*AC1</f>
        <v>46154093.99636393</v>
      </c>
      <c r="AD33" s="19">
        <f ca="1">$R5*Export_Frutas!L29*80%*AD1</f>
        <v>56528213.860144615</v>
      </c>
      <c r="AE33" s="19">
        <f ca="1">$R5*Export_Frutas!M29*80%*AE1</f>
        <v>68164508.924140587</v>
      </c>
      <c r="AF33" s="19">
        <f ca="1">$R5*Export_Frutas!N29*80%*AF1</f>
        <v>81195869.577166423</v>
      </c>
      <c r="AG33" s="19">
        <f ca="1">$R5*Export_Frutas!O29*80%*AG1</f>
        <v>95768461.16386579</v>
      </c>
      <c r="AH33" s="19">
        <f ca="1">$R5*Export_Frutas!P29*80%*AH1</f>
        <v>112043021.35905446</v>
      </c>
      <c r="AI33" s="19">
        <f ca="1">$R5*Export_Frutas!Q29*80%*AI1</f>
        <v>130196283.12275955</v>
      </c>
      <c r="AJ33" s="19">
        <f ca="1">$R5*Export_Frutas!R29*80%*AJ1</f>
        <v>150422535.33927891</v>
      </c>
      <c r="AK33" s="19">
        <f ca="1">$R5*Export_Frutas!S29*80%*AK1</f>
        <v>160284380.09854758</v>
      </c>
      <c r="AL33" s="19">
        <f ca="1">$R5*Export_Frutas!T29*80%*AL1</f>
        <v>167362950.6227473</v>
      </c>
      <c r="AM33" s="19">
        <f ca="1">$R5*Export_Frutas!U29*80%*AM1</f>
        <v>174751841.45148146</v>
      </c>
      <c r="AN33" s="19">
        <f ca="1">$R5*Export_Frutas!V29*80%*AN1</f>
        <v>182464656.84158102</v>
      </c>
      <c r="AO33" s="19">
        <f ca="1">$R5*Export_Frutas!W29*80%*AO1</f>
        <v>190515597.45237193</v>
      </c>
      <c r="AP33" s="19">
        <f ca="1">$R5*Export_Frutas!X29*80%*AP1</f>
        <v>198919486.49160445</v>
      </c>
      <c r="AQ33" s="19">
        <f ca="1">$R5*Export_Frutas!Y29*80%*AQ1</f>
        <v>207691797.00760466</v>
      </c>
      <c r="AR33" s="19">
        <f ca="1">$R5*Export_Frutas!Z29*80%*AR1</f>
        <v>216848680.37789643</v>
      </c>
      <c r="AS33" s="19">
        <f ca="1">$R5*Export_Frutas!AA29*80%*AS1</f>
        <v>226406996.04674926</v>
      </c>
      <c r="AT33" s="19">
        <f ca="1">$R5*Export_Frutas!AB29*80%*AT1</f>
        <v>236384342.56640115</v>
      </c>
      <c r="AU33" s="19">
        <f ca="1">$R5*Export_Frutas!AC29*80%*AU1</f>
        <v>246799089.9991101</v>
      </c>
      <c r="AV33" s="19">
        <f ca="1">$R5*Export_Frutas!AD29*80%*AV1</f>
        <v>257670413.73969355</v>
      </c>
      <c r="AW33" s="19">
        <f ca="1">$R5*Export_Frutas!AE29*80%*AW1</f>
        <v>269018329.82082635</v>
      </c>
      <c r="AX33" s="19">
        <f ca="1">$R5*Export_Frutas!AF29*80%*AX1</f>
        <v>280863731.76610214</v>
      </c>
      <c r="AY33" s="19">
        <f ca="1">$R5*Export_Frutas!AG29*80%*AY1</f>
        <v>293228429.05871183</v>
      </c>
      <c r="AZ33" s="19">
        <f ca="1">$R5*Export_Frutas!AH29*80%*AZ1</f>
        <v>306135187.29656494</v>
      </c>
      <c r="BA33" s="19">
        <f ca="1">$R5*Export_Frutas!AI29*80%*BA1</f>
        <v>319607770.10778785</v>
      </c>
    </row>
    <row r="34" spans="2:53" x14ac:dyDescent="0.25">
      <c r="B34" t="s">
        <v>3871</v>
      </c>
      <c r="M34" s="274" t="s">
        <v>3995</v>
      </c>
      <c r="N34" s="37">
        <f t="shared" si="17"/>
        <v>89100</v>
      </c>
      <c r="O34" s="37">
        <f t="shared" si="17"/>
        <v>90900</v>
      </c>
      <c r="P34" s="37">
        <f t="shared" si="17"/>
        <v>90000</v>
      </c>
      <c r="Q34" s="9">
        <f t="shared" ca="1" si="17"/>
        <v>89713.270802657513</v>
      </c>
      <c r="R34" s="9">
        <f t="shared" ca="1" si="17"/>
        <v>90202.753078889888</v>
      </c>
      <c r="S34" s="19">
        <v>0</v>
      </c>
      <c r="T34" s="19">
        <v>0</v>
      </c>
      <c r="U34" s="19">
        <v>0</v>
      </c>
      <c r="V34" s="19">
        <v>0</v>
      </c>
      <c r="W34" s="19">
        <f t="shared" ref="W34:BA34" ca="1" si="18">$R6*12</f>
        <v>1082433.0369466785</v>
      </c>
      <c r="X34" s="19">
        <f t="shared" ca="1" si="18"/>
        <v>1082433.0369466785</v>
      </c>
      <c r="Y34" s="19">
        <f t="shared" ca="1" si="18"/>
        <v>1082433.0369466785</v>
      </c>
      <c r="Z34" s="19">
        <f t="shared" ca="1" si="18"/>
        <v>1082433.0369466785</v>
      </c>
      <c r="AA34" s="19">
        <f t="shared" ca="1" si="18"/>
        <v>1082433.0369466785</v>
      </c>
      <c r="AB34" s="19">
        <f t="shared" ca="1" si="18"/>
        <v>1082433.0369466785</v>
      </c>
      <c r="AC34" s="19">
        <f t="shared" ca="1" si="18"/>
        <v>1082433.0369466785</v>
      </c>
      <c r="AD34" s="19">
        <f t="shared" ca="1" si="18"/>
        <v>1082433.0369466785</v>
      </c>
      <c r="AE34" s="19">
        <f t="shared" ca="1" si="18"/>
        <v>1082433.0369466785</v>
      </c>
      <c r="AF34" s="19">
        <f t="shared" ca="1" si="18"/>
        <v>1082433.0369466785</v>
      </c>
      <c r="AG34" s="19">
        <f t="shared" ca="1" si="18"/>
        <v>1082433.0369466785</v>
      </c>
      <c r="AH34" s="19">
        <f t="shared" ca="1" si="18"/>
        <v>1082433.0369466785</v>
      </c>
      <c r="AI34" s="19">
        <f t="shared" ca="1" si="18"/>
        <v>1082433.0369466785</v>
      </c>
      <c r="AJ34" s="19">
        <f t="shared" ca="1" si="18"/>
        <v>1082433.0369466785</v>
      </c>
      <c r="AK34" s="19">
        <f t="shared" ca="1" si="18"/>
        <v>1082433.0369466785</v>
      </c>
      <c r="AL34" s="19">
        <f t="shared" ca="1" si="18"/>
        <v>1082433.0369466785</v>
      </c>
      <c r="AM34" s="19">
        <f t="shared" ca="1" si="18"/>
        <v>1082433.0369466785</v>
      </c>
      <c r="AN34" s="19">
        <f t="shared" ca="1" si="18"/>
        <v>1082433.0369466785</v>
      </c>
      <c r="AO34" s="19">
        <f t="shared" ca="1" si="18"/>
        <v>1082433.0369466785</v>
      </c>
      <c r="AP34" s="19">
        <f t="shared" ca="1" si="18"/>
        <v>1082433.0369466785</v>
      </c>
      <c r="AQ34" s="19">
        <f t="shared" ca="1" si="18"/>
        <v>1082433.0369466785</v>
      </c>
      <c r="AR34" s="19">
        <f t="shared" ca="1" si="18"/>
        <v>1082433.0369466785</v>
      </c>
      <c r="AS34" s="19">
        <f t="shared" ca="1" si="18"/>
        <v>1082433.0369466785</v>
      </c>
      <c r="AT34" s="19">
        <f t="shared" ca="1" si="18"/>
        <v>1082433.0369466785</v>
      </c>
      <c r="AU34" s="19">
        <f t="shared" ca="1" si="18"/>
        <v>1082433.0369466785</v>
      </c>
      <c r="AV34" s="19">
        <f t="shared" ca="1" si="18"/>
        <v>1082433.0369466785</v>
      </c>
      <c r="AW34" s="19">
        <f t="shared" ca="1" si="18"/>
        <v>1082433.0369466785</v>
      </c>
      <c r="AX34" s="19">
        <f t="shared" ca="1" si="18"/>
        <v>1082433.0369466785</v>
      </c>
      <c r="AY34" s="19">
        <f t="shared" ca="1" si="18"/>
        <v>1082433.0369466785</v>
      </c>
      <c r="AZ34" s="19">
        <f t="shared" ca="1" si="18"/>
        <v>1082433.0369466785</v>
      </c>
      <c r="BA34" s="19">
        <f t="shared" ca="1" si="18"/>
        <v>1082433.0369466785</v>
      </c>
    </row>
    <row r="35" spans="2:53" x14ac:dyDescent="0.25">
      <c r="B35" t="s">
        <v>3872</v>
      </c>
      <c r="M35" s="274" t="s">
        <v>3996</v>
      </c>
      <c r="N35" s="531"/>
      <c r="O35" s="531"/>
      <c r="P35" s="531"/>
      <c r="Q35" s="531"/>
      <c r="R35" s="531"/>
      <c r="S35" s="19" t="e">
        <f>6.33%*#REF!</f>
        <v>#REF!</v>
      </c>
      <c r="T35" s="19" t="e">
        <f>6.33%*#REF!</f>
        <v>#REF!</v>
      </c>
      <c r="U35" s="19" t="e">
        <f>6.33%*#REF!</f>
        <v>#REF!</v>
      </c>
      <c r="V35" s="19" t="e">
        <f>6.33%*#REF!</f>
        <v>#REF!</v>
      </c>
      <c r="W35" s="19" t="e">
        <f>6.33%*#REF!</f>
        <v>#REF!</v>
      </c>
      <c r="X35" s="19" t="e">
        <f>6.33%*#REF!</f>
        <v>#REF!</v>
      </c>
      <c r="Y35" s="19" t="e">
        <f>6.33%*#REF!</f>
        <v>#REF!</v>
      </c>
      <c r="Z35" s="19" t="e">
        <f>6.33%*#REF!</f>
        <v>#REF!</v>
      </c>
      <c r="AA35" s="19" t="e">
        <f>6.33%*#REF!</f>
        <v>#REF!</v>
      </c>
      <c r="AB35" s="19" t="e">
        <f>6.33%*#REF!</f>
        <v>#REF!</v>
      </c>
      <c r="AC35" s="19" t="e">
        <f>6.33%*#REF!</f>
        <v>#REF!</v>
      </c>
      <c r="AD35" s="19" t="e">
        <f>6.33%*#REF!</f>
        <v>#REF!</v>
      </c>
      <c r="AE35" s="19" t="e">
        <f>6.33%*#REF!</f>
        <v>#REF!</v>
      </c>
      <c r="AF35" s="19" t="e">
        <f>6.33%*#REF!</f>
        <v>#REF!</v>
      </c>
      <c r="AG35" s="19" t="e">
        <f>6.33%*#REF!</f>
        <v>#REF!</v>
      </c>
      <c r="AH35" s="19" t="e">
        <f>6.33%*#REF!</f>
        <v>#REF!</v>
      </c>
      <c r="AI35" s="19" t="e">
        <f>6.33%*#REF!</f>
        <v>#REF!</v>
      </c>
      <c r="AJ35" s="19" t="e">
        <f>6.33%*#REF!</f>
        <v>#REF!</v>
      </c>
      <c r="AK35" s="19" t="e">
        <f>6.33%*#REF!</f>
        <v>#REF!</v>
      </c>
      <c r="AL35" s="19" t="e">
        <f>6.33%*#REF!</f>
        <v>#REF!</v>
      </c>
      <c r="AM35" s="19" t="e">
        <f>6.33%*#REF!</f>
        <v>#REF!</v>
      </c>
      <c r="AN35" s="19" t="e">
        <f>6.33%*#REF!</f>
        <v>#REF!</v>
      </c>
      <c r="AO35" s="19" t="e">
        <f>6.33%*#REF!</f>
        <v>#REF!</v>
      </c>
      <c r="AP35" s="19" t="e">
        <f>6.33%*#REF!</f>
        <v>#REF!</v>
      </c>
      <c r="AQ35" s="19" t="e">
        <f>6.33%*#REF!</f>
        <v>#REF!</v>
      </c>
      <c r="AR35" s="19" t="e">
        <f>6.33%*#REF!</f>
        <v>#REF!</v>
      </c>
      <c r="AS35" s="19" t="e">
        <f>6.33%*#REF!</f>
        <v>#REF!</v>
      </c>
      <c r="AT35" s="19" t="e">
        <f>6.33%*#REF!</f>
        <v>#REF!</v>
      </c>
      <c r="AU35" s="19" t="e">
        <f>6.33%*#REF!</f>
        <v>#REF!</v>
      </c>
      <c r="AV35" s="19" t="e">
        <f>6.33%*#REF!</f>
        <v>#REF!</v>
      </c>
      <c r="AW35" s="19" t="e">
        <f>6.33%*#REF!</f>
        <v>#REF!</v>
      </c>
      <c r="AX35" s="19" t="e">
        <f>6.33%*#REF!</f>
        <v>#REF!</v>
      </c>
      <c r="AY35" s="19" t="e">
        <f>6.33%*#REF!</f>
        <v>#REF!</v>
      </c>
      <c r="AZ35" s="19" t="e">
        <f>6.33%*#REF!</f>
        <v>#REF!</v>
      </c>
      <c r="BA35" s="19" t="e">
        <f>6.33%*#REF!</f>
        <v>#REF!</v>
      </c>
    </row>
    <row r="36" spans="2:53" x14ac:dyDescent="0.25">
      <c r="M36" s="274" t="s">
        <v>4012</v>
      </c>
      <c r="N36" s="532">
        <f>12*MOB!R63</f>
        <v>0</v>
      </c>
      <c r="O36" s="532"/>
      <c r="P36" s="532"/>
      <c r="Q36" s="532"/>
      <c r="R36" s="532"/>
      <c r="S36" s="19">
        <f t="shared" ref="S36:BA36" si="19">S8</f>
        <v>0</v>
      </c>
      <c r="T36" s="19">
        <f t="shared" si="19"/>
        <v>0</v>
      </c>
      <c r="U36" s="19">
        <f t="shared" si="19"/>
        <v>0</v>
      </c>
      <c r="V36" s="19">
        <f t="shared" si="19"/>
        <v>0</v>
      </c>
      <c r="W36" s="19">
        <f t="shared" si="19"/>
        <v>192876.57534170826</v>
      </c>
      <c r="X36" s="19">
        <f t="shared" si="19"/>
        <v>395396.97945050208</v>
      </c>
      <c r="Y36" s="19">
        <f t="shared" si="19"/>
        <v>608043.40376473579</v>
      </c>
      <c r="Z36" s="19">
        <f t="shared" si="19"/>
        <v>831322.14929468127</v>
      </c>
      <c r="AA36" s="19">
        <f t="shared" si="19"/>
        <v>1065764.8321011239</v>
      </c>
      <c r="AB36" s="19">
        <f t="shared" si="19"/>
        <v>1311929.6490478886</v>
      </c>
      <c r="AC36" s="19">
        <f t="shared" si="19"/>
        <v>1570402.7068419913</v>
      </c>
      <c r="AD36" s="19">
        <f t="shared" si="19"/>
        <v>1841799.4175257992</v>
      </c>
      <c r="AE36" s="19">
        <f t="shared" si="19"/>
        <v>2126765.963743798</v>
      </c>
      <c r="AF36" s="19">
        <f t="shared" si="19"/>
        <v>2425980.8372726957</v>
      </c>
      <c r="AG36" s="19">
        <f t="shared" si="19"/>
        <v>2740156.4544780394</v>
      </c>
      <c r="AH36" s="19">
        <f t="shared" si="19"/>
        <v>3070040.8525436502</v>
      </c>
      <c r="AI36" s="19">
        <f t="shared" si="19"/>
        <v>3416419.470512541</v>
      </c>
      <c r="AJ36" s="19">
        <f t="shared" si="19"/>
        <v>3780117.019379877</v>
      </c>
      <c r="AK36" s="19">
        <f t="shared" si="19"/>
        <v>3857531.5068341652</v>
      </c>
      <c r="AL36" s="19">
        <f t="shared" si="19"/>
        <v>3857531.5068341652</v>
      </c>
      <c r="AM36" s="19">
        <f t="shared" si="19"/>
        <v>3857531.5068341652</v>
      </c>
      <c r="AN36" s="19">
        <f t="shared" si="19"/>
        <v>3857531.5068341652</v>
      </c>
      <c r="AO36" s="19">
        <f t="shared" si="19"/>
        <v>3857531.5068341652</v>
      </c>
      <c r="AP36" s="19">
        <f t="shared" si="19"/>
        <v>3857531.5068341652</v>
      </c>
      <c r="AQ36" s="19">
        <f t="shared" si="19"/>
        <v>3857531.5068341652</v>
      </c>
      <c r="AR36" s="19">
        <f t="shared" si="19"/>
        <v>3857531.5068341652</v>
      </c>
      <c r="AS36" s="19">
        <f t="shared" si="19"/>
        <v>3857531.5068341652</v>
      </c>
      <c r="AT36" s="19">
        <f t="shared" si="19"/>
        <v>3857531.5068341652</v>
      </c>
      <c r="AU36" s="19">
        <f t="shared" si="19"/>
        <v>3857531.5068341652</v>
      </c>
      <c r="AV36" s="19">
        <f t="shared" si="19"/>
        <v>3857531.5068341652</v>
      </c>
      <c r="AW36" s="19">
        <f t="shared" si="19"/>
        <v>3857531.5068341652</v>
      </c>
      <c r="AX36" s="19">
        <f t="shared" si="19"/>
        <v>3857531.5068341652</v>
      </c>
      <c r="AY36" s="19">
        <f t="shared" si="19"/>
        <v>3857531.5068341652</v>
      </c>
      <c r="AZ36" s="19">
        <f t="shared" si="19"/>
        <v>3857531.5068341652</v>
      </c>
      <c r="BA36" s="19">
        <f t="shared" si="19"/>
        <v>3857531.5068341652</v>
      </c>
    </row>
    <row r="37" spans="2:53" x14ac:dyDescent="0.25">
      <c r="B37" s="1" t="s">
        <v>4216</v>
      </c>
    </row>
    <row r="38" spans="2:53" x14ac:dyDescent="0.25">
      <c r="B38" t="s">
        <v>4215</v>
      </c>
      <c r="R38" s="274" t="s">
        <v>4078</v>
      </c>
      <c r="S38" s="275" t="e">
        <f>SUM(S32:S36)</f>
        <v>#REF!</v>
      </c>
      <c r="T38" s="275" t="e">
        <f>SUM(T32:T36)</f>
        <v>#REF!</v>
      </c>
      <c r="U38" s="275" t="e">
        <f>SUM(U32:U36)</f>
        <v>#REF!</v>
      </c>
      <c r="V38" s="275" t="e">
        <f t="shared" ref="V38:BA38" si="20">SUM(V32:V36)</f>
        <v>#REF!</v>
      </c>
      <c r="W38" s="275" t="e">
        <f t="shared" ca="1" si="20"/>
        <v>#REF!</v>
      </c>
      <c r="X38" s="275" t="e">
        <f t="shared" ca="1" si="20"/>
        <v>#REF!</v>
      </c>
      <c r="Y38" s="275" t="e">
        <f t="shared" ca="1" si="20"/>
        <v>#REF!</v>
      </c>
      <c r="Z38" s="275" t="e">
        <f t="shared" ca="1" si="20"/>
        <v>#REF!</v>
      </c>
      <c r="AA38" s="275" t="e">
        <f t="shared" ca="1" si="20"/>
        <v>#REF!</v>
      </c>
      <c r="AB38" s="275" t="e">
        <f t="shared" ca="1" si="20"/>
        <v>#REF!</v>
      </c>
      <c r="AC38" s="275" t="e">
        <f t="shared" ca="1" si="20"/>
        <v>#REF!</v>
      </c>
      <c r="AD38" s="275" t="e">
        <f t="shared" ca="1" si="20"/>
        <v>#REF!</v>
      </c>
      <c r="AE38" s="275" t="e">
        <f t="shared" ca="1" si="20"/>
        <v>#REF!</v>
      </c>
      <c r="AF38" s="275" t="e">
        <f t="shared" ca="1" si="20"/>
        <v>#REF!</v>
      </c>
      <c r="AG38" s="275" t="e">
        <f t="shared" ca="1" si="20"/>
        <v>#REF!</v>
      </c>
      <c r="AH38" s="275" t="e">
        <f t="shared" ca="1" si="20"/>
        <v>#REF!</v>
      </c>
      <c r="AI38" s="275" t="e">
        <f t="shared" ca="1" si="20"/>
        <v>#REF!</v>
      </c>
      <c r="AJ38" s="275" t="e">
        <f t="shared" ca="1" si="20"/>
        <v>#REF!</v>
      </c>
      <c r="AK38" s="275" t="e">
        <f t="shared" ca="1" si="20"/>
        <v>#REF!</v>
      </c>
      <c r="AL38" s="275" t="e">
        <f t="shared" ca="1" si="20"/>
        <v>#REF!</v>
      </c>
      <c r="AM38" s="275" t="e">
        <f t="shared" ca="1" si="20"/>
        <v>#REF!</v>
      </c>
      <c r="AN38" s="275" t="e">
        <f t="shared" ca="1" si="20"/>
        <v>#REF!</v>
      </c>
      <c r="AO38" s="275" t="e">
        <f t="shared" ca="1" si="20"/>
        <v>#REF!</v>
      </c>
      <c r="AP38" s="275" t="e">
        <f t="shared" ca="1" si="20"/>
        <v>#REF!</v>
      </c>
      <c r="AQ38" s="275" t="e">
        <f t="shared" ca="1" si="20"/>
        <v>#REF!</v>
      </c>
      <c r="AR38" s="275" t="e">
        <f t="shared" ca="1" si="20"/>
        <v>#REF!</v>
      </c>
      <c r="AS38" s="275" t="e">
        <f t="shared" ca="1" si="20"/>
        <v>#REF!</v>
      </c>
      <c r="AT38" s="275" t="e">
        <f t="shared" ca="1" si="20"/>
        <v>#REF!</v>
      </c>
      <c r="AU38" s="275" t="e">
        <f t="shared" ca="1" si="20"/>
        <v>#REF!</v>
      </c>
      <c r="AV38" s="275" t="e">
        <f t="shared" ca="1" si="20"/>
        <v>#REF!</v>
      </c>
      <c r="AW38" s="275" t="e">
        <f t="shared" ca="1" si="20"/>
        <v>#REF!</v>
      </c>
      <c r="AX38" s="275" t="e">
        <f t="shared" ca="1" si="20"/>
        <v>#REF!</v>
      </c>
      <c r="AY38" s="275" t="e">
        <f t="shared" ca="1" si="20"/>
        <v>#REF!</v>
      </c>
      <c r="AZ38" s="275" t="e">
        <f t="shared" ca="1" si="20"/>
        <v>#REF!</v>
      </c>
      <c r="BA38" s="275" t="e">
        <f t="shared" ca="1" si="20"/>
        <v>#REF!</v>
      </c>
    </row>
    <row r="40" spans="2:53" x14ac:dyDescent="0.25">
      <c r="V40" t="s">
        <v>4125</v>
      </c>
      <c r="W40" s="66">
        <v>5.1099999999999923E-2</v>
      </c>
      <c r="X40" s="66">
        <v>0.10481120999999982</v>
      </c>
      <c r="Y40" s="66">
        <v>0.16126706283099979</v>
      </c>
      <c r="Z40" s="66">
        <v>0.22060780974166372</v>
      </c>
      <c r="AA40" s="66">
        <v>0.28298086881946261</v>
      </c>
      <c r="AB40" s="66">
        <v>0.34854119121613714</v>
      </c>
      <c r="AC40" s="66">
        <v>0.41745164608728169</v>
      </c>
      <c r="AD40" s="66">
        <v>0.48988342520234163</v>
      </c>
      <c r="AE40" s="66">
        <v>0.5</v>
      </c>
      <c r="AF40" s="66">
        <v>0.5</v>
      </c>
      <c r="AG40" s="66">
        <v>0.5</v>
      </c>
      <c r="AH40" s="66">
        <v>0.5</v>
      </c>
      <c r="AI40" s="66">
        <v>0.5</v>
      </c>
      <c r="AJ40" s="66">
        <v>0.5</v>
      </c>
      <c r="AK40" s="66">
        <v>0.5</v>
      </c>
      <c r="AL40" s="66">
        <v>0.5</v>
      </c>
      <c r="AM40" s="66">
        <v>0.5</v>
      </c>
      <c r="AN40" s="66">
        <v>0.5</v>
      </c>
      <c r="AO40" s="66">
        <v>0.5</v>
      </c>
      <c r="AP40" s="66">
        <v>0.5</v>
      </c>
      <c r="AQ40" s="66">
        <v>0.5</v>
      </c>
      <c r="AR40" s="66">
        <v>0.5</v>
      </c>
      <c r="AS40" s="66">
        <v>0.5</v>
      </c>
      <c r="AT40" s="66">
        <v>0.5</v>
      </c>
      <c r="AU40" s="66">
        <v>0.5</v>
      </c>
      <c r="AV40" s="66">
        <v>0.5</v>
      </c>
      <c r="AW40" s="66">
        <v>0.5</v>
      </c>
      <c r="AX40" s="66">
        <v>0.5</v>
      </c>
      <c r="AY40" s="66">
        <v>0.5</v>
      </c>
      <c r="AZ40" s="66">
        <v>0.5</v>
      </c>
      <c r="BA40" s="66">
        <v>0.5</v>
      </c>
    </row>
  </sheetData>
  <mergeCells count="21">
    <mergeCell ref="B30:D30"/>
    <mergeCell ref="J7:K7"/>
    <mergeCell ref="J9:K9"/>
    <mergeCell ref="C13:G13"/>
    <mergeCell ref="C14:G14"/>
    <mergeCell ref="B17:G17"/>
    <mergeCell ref="J17:K17"/>
    <mergeCell ref="M2:R2"/>
    <mergeCell ref="I11:J11"/>
    <mergeCell ref="I13:J13"/>
    <mergeCell ref="C28:G28"/>
    <mergeCell ref="C29:G29"/>
    <mergeCell ref="B2:G2"/>
    <mergeCell ref="N8:R8"/>
    <mergeCell ref="N7:R7"/>
    <mergeCell ref="M30:R30"/>
    <mergeCell ref="N35:R35"/>
    <mergeCell ref="N36:R36"/>
    <mergeCell ref="Q22:R22"/>
    <mergeCell ref="Q10:R10"/>
    <mergeCell ref="Q20:R20"/>
  </mergeCells>
  <pageMargins left="0.511811024" right="0.511811024" top="0.78740157499999996" bottom="0.78740157499999996" header="0.31496062000000002" footer="0.3149606200000000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1BDCA-0517-4295-A448-EB8DECE791B4}">
  <sheetPr codeName="Planilha21"/>
  <dimension ref="B1:BD47"/>
  <sheetViews>
    <sheetView workbookViewId="0">
      <selection activeCell="W19" sqref="W19"/>
    </sheetView>
  </sheetViews>
  <sheetFormatPr defaultColWidth="9" defaultRowHeight="15" x14ac:dyDescent="0.25"/>
  <cols>
    <col min="1" max="1" width="1.7109375" customWidth="1"/>
    <col min="2" max="2" width="8.7109375" customWidth="1"/>
    <col min="3" max="21" width="10.28515625" customWidth="1"/>
    <col min="22" max="56" width="11.5703125" bestFit="1" customWidth="1"/>
  </cols>
  <sheetData>
    <row r="1" spans="2:56" ht="8.1" customHeight="1" x14ac:dyDescent="0.25"/>
    <row r="2" spans="2:56" ht="27.95" customHeight="1" x14ac:dyDescent="0.25">
      <c r="B2" s="325" t="s">
        <v>4045</v>
      </c>
      <c r="C2" s="326"/>
      <c r="D2" s="326"/>
      <c r="E2" s="327" t="s">
        <v>4139</v>
      </c>
      <c r="F2" s="327"/>
      <c r="G2" s="326"/>
      <c r="H2" s="326"/>
      <c r="I2" s="326"/>
      <c r="J2" s="326"/>
      <c r="K2" s="326"/>
      <c r="L2" s="326"/>
      <c r="M2" s="326"/>
      <c r="N2" s="326"/>
      <c r="O2" s="326"/>
      <c r="P2" s="326"/>
      <c r="Q2" s="326"/>
      <c r="R2" s="326"/>
      <c r="S2" s="326"/>
      <c r="T2" s="328">
        <v>45536</v>
      </c>
      <c r="U2" s="389"/>
    </row>
    <row r="3" spans="2:56" ht="8.1" customHeight="1" x14ac:dyDescent="0.25">
      <c r="B3" s="329"/>
      <c r="D3" s="329"/>
      <c r="E3" s="329"/>
      <c r="F3" s="329"/>
      <c r="G3" s="329"/>
      <c r="H3" s="329"/>
      <c r="I3" s="329"/>
      <c r="J3" s="329"/>
      <c r="K3" s="329"/>
      <c r="L3" s="329"/>
      <c r="M3" s="329"/>
      <c r="N3" s="329"/>
      <c r="P3" s="329"/>
      <c r="Q3" s="329"/>
      <c r="R3" s="329"/>
      <c r="S3" s="329"/>
      <c r="V3" s="1"/>
    </row>
    <row r="4" spans="2:56" ht="18" customHeight="1" x14ac:dyDescent="0.25">
      <c r="B4" s="330"/>
      <c r="C4" s="541" t="s">
        <v>4140</v>
      </c>
      <c r="D4" s="542"/>
      <c r="E4" s="542"/>
      <c r="F4" s="542"/>
      <c r="G4" s="542"/>
      <c r="H4" s="542"/>
      <c r="I4" s="542"/>
      <c r="J4" s="543" t="s">
        <v>4141</v>
      </c>
      <c r="K4" s="543"/>
      <c r="L4" s="543"/>
      <c r="M4" s="543"/>
      <c r="N4" s="543"/>
      <c r="O4" s="543"/>
      <c r="P4" s="543"/>
      <c r="Q4" s="543"/>
      <c r="R4" s="543"/>
      <c r="S4" s="544"/>
      <c r="T4" s="331" t="s">
        <v>3262</v>
      </c>
      <c r="U4" s="390"/>
    </row>
    <row r="5" spans="2:56" ht="27.95" customHeight="1" x14ac:dyDescent="0.25">
      <c r="B5" s="332" t="s">
        <v>3256</v>
      </c>
      <c r="C5" s="333" t="s">
        <v>4142</v>
      </c>
      <c r="D5" s="334" t="s">
        <v>4143</v>
      </c>
      <c r="E5" s="335" t="s">
        <v>4144</v>
      </c>
      <c r="F5" s="336" t="s">
        <v>4145</v>
      </c>
      <c r="G5" s="337" t="s">
        <v>4146</v>
      </c>
      <c r="H5" s="338" t="s">
        <v>4147</v>
      </c>
      <c r="I5" s="338" t="s">
        <v>4148</v>
      </c>
      <c r="J5" s="339" t="s">
        <v>4149</v>
      </c>
      <c r="K5" s="340" t="s">
        <v>4150</v>
      </c>
      <c r="L5" s="341" t="s">
        <v>4143</v>
      </c>
      <c r="M5" s="342" t="s">
        <v>4144</v>
      </c>
      <c r="N5" s="342" t="s">
        <v>4145</v>
      </c>
      <c r="O5" s="342" t="s">
        <v>4146</v>
      </c>
      <c r="P5" s="343" t="s">
        <v>4147</v>
      </c>
      <c r="Q5" s="342" t="s">
        <v>4148</v>
      </c>
      <c r="R5" s="344" t="s">
        <v>4151</v>
      </c>
      <c r="S5" s="345" t="s">
        <v>3262</v>
      </c>
      <c r="T5" s="346" t="s">
        <v>4152</v>
      </c>
      <c r="U5" s="391"/>
    </row>
    <row r="6" spans="2:56" ht="13.5" customHeight="1" x14ac:dyDescent="0.25">
      <c r="B6" s="347" t="s">
        <v>4153</v>
      </c>
      <c r="C6" s="348">
        <v>2800.47</v>
      </c>
      <c r="D6" s="349">
        <v>12422.49</v>
      </c>
      <c r="E6" s="350">
        <v>292493.15999999997</v>
      </c>
      <c r="F6" s="351">
        <v>117247.16</v>
      </c>
      <c r="G6" s="350">
        <v>14731.84</v>
      </c>
      <c r="H6" s="350">
        <v>174801.24</v>
      </c>
      <c r="I6" s="350">
        <v>74823.12</v>
      </c>
      <c r="J6" s="352"/>
      <c r="K6" s="353"/>
      <c r="M6" s="353"/>
      <c r="O6" s="353"/>
      <c r="Q6" s="353"/>
      <c r="S6" s="352"/>
      <c r="T6" s="352">
        <f>SUM(C6:S6)</f>
        <v>689319.4800000001</v>
      </c>
      <c r="U6" s="392"/>
      <c r="V6" t="s">
        <v>4153</v>
      </c>
      <c r="W6" t="s">
        <v>4154</v>
      </c>
      <c r="X6" t="s">
        <v>4155</v>
      </c>
      <c r="Y6" t="s">
        <v>4156</v>
      </c>
      <c r="Z6" t="s">
        <v>4157</v>
      </c>
      <c r="AA6" t="s">
        <v>4158</v>
      </c>
      <c r="AB6" t="s">
        <v>4159</v>
      </c>
      <c r="AC6" t="s">
        <v>4160</v>
      </c>
      <c r="AD6" t="s">
        <v>4161</v>
      </c>
      <c r="AE6" t="s">
        <v>4162</v>
      </c>
      <c r="AF6" t="s">
        <v>4163</v>
      </c>
      <c r="AG6" t="s">
        <v>4164</v>
      </c>
      <c r="AH6" t="s">
        <v>4165</v>
      </c>
      <c r="AI6" t="s">
        <v>4166</v>
      </c>
      <c r="AJ6" t="s">
        <v>4167</v>
      </c>
      <c r="AK6" t="s">
        <v>4168</v>
      </c>
      <c r="AL6" t="s">
        <v>4169</v>
      </c>
      <c r="AM6" t="s">
        <v>4170</v>
      </c>
      <c r="AN6" t="s">
        <v>4171</v>
      </c>
      <c r="AO6" t="s">
        <v>4172</v>
      </c>
      <c r="AP6" t="s">
        <v>4173</v>
      </c>
      <c r="AQ6" t="s">
        <v>4174</v>
      </c>
      <c r="AR6" t="s">
        <v>4175</v>
      </c>
      <c r="AS6" t="s">
        <v>4176</v>
      </c>
      <c r="AT6" t="s">
        <v>4177</v>
      </c>
      <c r="AU6" t="s">
        <v>4178</v>
      </c>
      <c r="AV6" t="s">
        <v>4179</v>
      </c>
      <c r="AW6" t="s">
        <v>4180</v>
      </c>
      <c r="AX6" t="s">
        <v>4181</v>
      </c>
      <c r="AY6" t="s">
        <v>4182</v>
      </c>
      <c r="AZ6" t="s">
        <v>4183</v>
      </c>
      <c r="BA6" t="s">
        <v>4184</v>
      </c>
      <c r="BB6" t="s">
        <v>4185</v>
      </c>
      <c r="BC6" t="s">
        <v>4186</v>
      </c>
      <c r="BD6" t="s">
        <v>4187</v>
      </c>
    </row>
    <row r="7" spans="2:56" ht="13.5" customHeight="1" x14ac:dyDescent="0.3">
      <c r="B7" s="354" t="s">
        <v>4154</v>
      </c>
      <c r="C7" s="348">
        <v>2800.47</v>
      </c>
      <c r="D7" s="349">
        <v>12422.49</v>
      </c>
      <c r="E7" s="350">
        <v>292493.15999999997</v>
      </c>
      <c r="F7" s="351">
        <v>117247.16</v>
      </c>
      <c r="G7" s="350">
        <v>14731.84</v>
      </c>
      <c r="H7" s="350">
        <v>174801.24</v>
      </c>
      <c r="I7" s="350">
        <v>74823.12</v>
      </c>
      <c r="J7" s="352"/>
      <c r="K7" s="355"/>
      <c r="L7" s="356"/>
      <c r="M7" s="355"/>
      <c r="N7" s="356"/>
      <c r="O7" s="357"/>
      <c r="P7" s="356"/>
      <c r="Q7" s="355"/>
      <c r="R7" s="356"/>
      <c r="S7" s="358"/>
      <c r="T7" s="352">
        <f>SUM(C7:S7)</f>
        <v>689319.4800000001</v>
      </c>
      <c r="U7" s="392"/>
      <c r="V7" s="19">
        <f>T6</f>
        <v>689319.4800000001</v>
      </c>
      <c r="W7" s="19">
        <f>T7</f>
        <v>689319.4800000001</v>
      </c>
      <c r="X7" s="19">
        <f>T8</f>
        <v>754598.43</v>
      </c>
      <c r="Y7" s="19">
        <f>T9</f>
        <v>719834.69000000006</v>
      </c>
      <c r="Z7" s="19">
        <f>T10</f>
        <v>700934.69000000006</v>
      </c>
      <c r="AA7" s="19">
        <f>T11</f>
        <v>719834.69000000006</v>
      </c>
      <c r="AB7" s="19">
        <f>T12</f>
        <v>700934.69000000006</v>
      </c>
      <c r="AC7" s="19">
        <f>T13</f>
        <v>719834.69000000006</v>
      </c>
      <c r="AD7" s="19">
        <f>T14</f>
        <v>700934.69000000006</v>
      </c>
      <c r="AE7" s="19">
        <f>T15</f>
        <v>719834.69000000006</v>
      </c>
      <c r="AF7" s="19">
        <f>T16</f>
        <v>700934.69000000006</v>
      </c>
      <c r="AG7" s="19">
        <f>T17</f>
        <v>719834.69000000006</v>
      </c>
      <c r="AH7" s="19">
        <f>T18</f>
        <v>700934.69000000006</v>
      </c>
      <c r="AI7" s="19">
        <f>T19</f>
        <v>719834.69000000006</v>
      </c>
      <c r="AJ7" s="19">
        <f>T20</f>
        <v>700934.69000000006</v>
      </c>
      <c r="AK7" s="19">
        <f>T21</f>
        <v>719834.69000000006</v>
      </c>
      <c r="AL7" s="19">
        <f>T22</f>
        <v>700934.69000000006</v>
      </c>
      <c r="AM7" s="19">
        <f>T23</f>
        <v>719834.69000000006</v>
      </c>
      <c r="AN7" s="19">
        <f>T24</f>
        <v>700934.69000000006</v>
      </c>
      <c r="AO7" s="19">
        <f>T25</f>
        <v>719834.69000000006</v>
      </c>
      <c r="AP7" s="19">
        <f>T26</f>
        <v>700934.69000000006</v>
      </c>
      <c r="AQ7" s="19">
        <f>T27</f>
        <v>719834.69000000006</v>
      </c>
      <c r="AR7" s="19">
        <f>T28</f>
        <v>700934.69000000006</v>
      </c>
      <c r="AS7" s="19">
        <f>T29</f>
        <v>719834.69000000006</v>
      </c>
      <c r="AT7" s="19">
        <f>T30</f>
        <v>700934.69000000006</v>
      </c>
      <c r="AU7" s="19">
        <f>T31</f>
        <v>719834.69000000006</v>
      </c>
      <c r="AV7" s="19">
        <f>T32</f>
        <v>700934.69000000006</v>
      </c>
      <c r="AW7" s="19">
        <f>T33</f>
        <v>719834.69000000006</v>
      </c>
      <c r="AX7" s="19">
        <f>T34</f>
        <v>700934.69000000006</v>
      </c>
      <c r="AY7" s="19">
        <f>T35</f>
        <v>719834.69000000006</v>
      </c>
      <c r="AZ7" s="19">
        <f>T36</f>
        <v>700934.69000000006</v>
      </c>
      <c r="BA7" s="19">
        <f>T37</f>
        <v>719834.69000000006</v>
      </c>
      <c r="BB7" s="19">
        <f>T38</f>
        <v>700934.69000000006</v>
      </c>
      <c r="BC7" s="19">
        <f>T39</f>
        <v>719834.69000000006</v>
      </c>
      <c r="BD7" s="19">
        <f>T40</f>
        <v>700934.69000000006</v>
      </c>
    </row>
    <row r="8" spans="2:56" ht="13.5" customHeight="1" x14ac:dyDescent="0.25">
      <c r="B8" s="347" t="s">
        <v>4155</v>
      </c>
      <c r="C8" s="348"/>
      <c r="D8" s="349"/>
      <c r="E8" s="352"/>
      <c r="F8" s="351"/>
      <c r="G8" s="350"/>
      <c r="H8" s="350"/>
      <c r="I8" s="350"/>
      <c r="J8" s="350">
        <v>3839.42</v>
      </c>
      <c r="K8" s="350">
        <v>64240</v>
      </c>
      <c r="L8" s="359">
        <v>12422.49</v>
      </c>
      <c r="M8" s="350">
        <v>292493.15999999997</v>
      </c>
      <c r="N8" s="359">
        <v>117247.16</v>
      </c>
      <c r="O8" s="350">
        <v>14731.84</v>
      </c>
      <c r="P8" s="359">
        <v>174801.24</v>
      </c>
      <c r="Q8" s="350">
        <v>74823.12</v>
      </c>
      <c r="R8" s="359"/>
      <c r="S8" s="352">
        <f>SUM(J8:R8)</f>
        <v>754598.43</v>
      </c>
      <c r="T8" s="352">
        <f>S8</f>
        <v>754598.43</v>
      </c>
      <c r="U8" s="392"/>
    </row>
    <row r="9" spans="2:56" ht="13.5" customHeight="1" x14ac:dyDescent="0.25">
      <c r="B9" s="354" t="s">
        <v>4156</v>
      </c>
      <c r="C9" s="360"/>
      <c r="D9" s="361"/>
      <c r="E9" s="358"/>
      <c r="F9" s="362"/>
      <c r="G9" s="355"/>
      <c r="H9" s="355"/>
      <c r="I9" s="355"/>
      <c r="J9" s="350">
        <v>3839.42</v>
      </c>
      <c r="K9" s="355">
        <v>19272</v>
      </c>
      <c r="L9" s="356">
        <v>3726.75</v>
      </c>
      <c r="M9" s="350">
        <v>292493.15999999997</v>
      </c>
      <c r="N9" s="359">
        <v>117247.16</v>
      </c>
      <c r="O9" s="350">
        <v>14731.84</v>
      </c>
      <c r="P9" s="359">
        <v>174801.24</v>
      </c>
      <c r="Q9" s="350">
        <v>74823.12</v>
      </c>
      <c r="R9" s="356">
        <v>18900</v>
      </c>
      <c r="S9" s="352">
        <f t="shared" ref="S9:S40" si="0">SUM(J9:R9)</f>
        <v>719834.69000000006</v>
      </c>
      <c r="T9" s="352">
        <f t="shared" ref="T9:T40" si="1">S9</f>
        <v>719834.69000000006</v>
      </c>
      <c r="U9" s="392"/>
    </row>
    <row r="10" spans="2:56" ht="13.5" customHeight="1" x14ac:dyDescent="0.25">
      <c r="B10" s="347" t="s">
        <v>4157</v>
      </c>
      <c r="C10" s="348"/>
      <c r="D10" s="349"/>
      <c r="E10" s="352"/>
      <c r="F10" s="351"/>
      <c r="G10" s="350"/>
      <c r="H10" s="350"/>
      <c r="I10" s="350"/>
      <c r="J10" s="350">
        <v>3839.42</v>
      </c>
      <c r="K10" s="355">
        <v>19272</v>
      </c>
      <c r="L10" s="356">
        <v>3726.75</v>
      </c>
      <c r="M10" s="350">
        <v>292493.15999999997</v>
      </c>
      <c r="N10" s="359">
        <v>117247.16</v>
      </c>
      <c r="O10" s="350">
        <v>14731.84</v>
      </c>
      <c r="P10" s="359">
        <v>174801.24</v>
      </c>
      <c r="Q10" s="350">
        <v>74823.12</v>
      </c>
      <c r="R10" s="356"/>
      <c r="S10" s="352">
        <f t="shared" si="0"/>
        <v>700934.69000000006</v>
      </c>
      <c r="T10" s="352">
        <f t="shared" si="1"/>
        <v>700934.69000000006</v>
      </c>
      <c r="U10" s="392"/>
    </row>
    <row r="11" spans="2:56" ht="13.5" customHeight="1" x14ac:dyDescent="0.25">
      <c r="B11" s="354" t="s">
        <v>4158</v>
      </c>
      <c r="C11" s="360"/>
      <c r="D11" s="361"/>
      <c r="E11" s="358"/>
      <c r="F11" s="362"/>
      <c r="G11" s="355"/>
      <c r="H11" s="355"/>
      <c r="I11" s="355"/>
      <c r="J11" s="350">
        <v>3839.42</v>
      </c>
      <c r="K11" s="355">
        <v>19272</v>
      </c>
      <c r="L11" s="356">
        <v>3726.75</v>
      </c>
      <c r="M11" s="350">
        <v>292493.15999999997</v>
      </c>
      <c r="N11" s="359">
        <v>117247.16</v>
      </c>
      <c r="O11" s="350">
        <v>14731.84</v>
      </c>
      <c r="P11" s="359">
        <v>174801.24</v>
      </c>
      <c r="Q11" s="350">
        <v>74823.12</v>
      </c>
      <c r="R11" s="356">
        <v>18900</v>
      </c>
      <c r="S11" s="352">
        <f>SUM(J11:R11)</f>
        <v>719834.69000000006</v>
      </c>
      <c r="T11" s="352">
        <f t="shared" si="1"/>
        <v>719834.69000000006</v>
      </c>
      <c r="U11" s="392"/>
    </row>
    <row r="12" spans="2:56" ht="13.5" customHeight="1" x14ac:dyDescent="0.25">
      <c r="B12" s="347" t="s">
        <v>4159</v>
      </c>
      <c r="C12" s="348"/>
      <c r="D12" s="349"/>
      <c r="E12" s="352"/>
      <c r="F12" s="351"/>
      <c r="G12" s="350"/>
      <c r="H12" s="350"/>
      <c r="I12" s="350"/>
      <c r="J12" s="350">
        <v>3839.42</v>
      </c>
      <c r="K12" s="355">
        <v>19272</v>
      </c>
      <c r="L12" s="356">
        <v>3726.75</v>
      </c>
      <c r="M12" s="350">
        <v>292493.15999999997</v>
      </c>
      <c r="N12" s="359">
        <v>117247.16</v>
      </c>
      <c r="O12" s="350">
        <v>14731.84</v>
      </c>
      <c r="P12" s="359">
        <v>174801.24</v>
      </c>
      <c r="Q12" s="350">
        <v>74823.12</v>
      </c>
      <c r="R12" s="356"/>
      <c r="S12" s="352">
        <f t="shared" si="0"/>
        <v>700934.69000000006</v>
      </c>
      <c r="T12" s="352">
        <f t="shared" si="1"/>
        <v>700934.69000000006</v>
      </c>
      <c r="U12" s="392"/>
    </row>
    <row r="13" spans="2:56" ht="13.5" customHeight="1" x14ac:dyDescent="0.25">
      <c r="B13" s="354" t="s">
        <v>4160</v>
      </c>
      <c r="C13" s="360"/>
      <c r="D13" s="361"/>
      <c r="E13" s="358"/>
      <c r="F13" s="362"/>
      <c r="G13" s="355"/>
      <c r="H13" s="355"/>
      <c r="I13" s="355"/>
      <c r="J13" s="350">
        <v>3839.42</v>
      </c>
      <c r="K13" s="355">
        <v>19272</v>
      </c>
      <c r="L13" s="356">
        <v>3726.75</v>
      </c>
      <c r="M13" s="350">
        <v>292493.15999999997</v>
      </c>
      <c r="N13" s="359">
        <v>117247.16</v>
      </c>
      <c r="O13" s="350">
        <v>14731.84</v>
      </c>
      <c r="P13" s="359">
        <v>174801.24</v>
      </c>
      <c r="Q13" s="350">
        <v>74823.12</v>
      </c>
      <c r="R13" s="356">
        <v>18900</v>
      </c>
      <c r="S13" s="352">
        <f t="shared" si="0"/>
        <v>719834.69000000006</v>
      </c>
      <c r="T13" s="352">
        <f t="shared" si="1"/>
        <v>719834.69000000006</v>
      </c>
      <c r="U13" s="392"/>
    </row>
    <row r="14" spans="2:56" ht="13.5" customHeight="1" x14ac:dyDescent="0.25">
      <c r="B14" s="347" t="s">
        <v>4161</v>
      </c>
      <c r="C14" s="348"/>
      <c r="D14" s="349"/>
      <c r="E14" s="352"/>
      <c r="F14" s="351"/>
      <c r="G14" s="350"/>
      <c r="H14" s="350"/>
      <c r="I14" s="350"/>
      <c r="J14" s="350">
        <v>3839.42</v>
      </c>
      <c r="K14" s="355">
        <v>19272</v>
      </c>
      <c r="L14" s="356">
        <v>3726.75</v>
      </c>
      <c r="M14" s="350">
        <v>292493.15999999997</v>
      </c>
      <c r="N14" s="359">
        <v>117247.16</v>
      </c>
      <c r="O14" s="350">
        <v>14731.84</v>
      </c>
      <c r="P14" s="359">
        <v>174801.24</v>
      </c>
      <c r="Q14" s="350">
        <v>74823.12</v>
      </c>
      <c r="R14" s="356"/>
      <c r="S14" s="352">
        <f t="shared" si="0"/>
        <v>700934.69000000006</v>
      </c>
      <c r="T14" s="352">
        <f t="shared" si="1"/>
        <v>700934.69000000006</v>
      </c>
      <c r="U14" s="392"/>
    </row>
    <row r="15" spans="2:56" ht="13.5" customHeight="1" x14ac:dyDescent="0.25">
      <c r="B15" s="354" t="s">
        <v>4162</v>
      </c>
      <c r="C15" s="360"/>
      <c r="D15" s="361"/>
      <c r="E15" s="358"/>
      <c r="F15" s="362"/>
      <c r="G15" s="355"/>
      <c r="H15" s="355"/>
      <c r="I15" s="355"/>
      <c r="J15" s="350">
        <v>3839.42</v>
      </c>
      <c r="K15" s="355">
        <v>19272</v>
      </c>
      <c r="L15" s="356">
        <v>3726.75</v>
      </c>
      <c r="M15" s="350">
        <v>292493.15999999997</v>
      </c>
      <c r="N15" s="359">
        <v>117247.16</v>
      </c>
      <c r="O15" s="350">
        <v>14731.84</v>
      </c>
      <c r="P15" s="359">
        <v>174801.24</v>
      </c>
      <c r="Q15" s="350">
        <v>74823.12</v>
      </c>
      <c r="R15" s="356">
        <v>18900</v>
      </c>
      <c r="S15" s="352">
        <f t="shared" si="0"/>
        <v>719834.69000000006</v>
      </c>
      <c r="T15" s="352">
        <f t="shared" si="1"/>
        <v>719834.69000000006</v>
      </c>
      <c r="U15" s="392"/>
      <c r="V15" s="1"/>
    </row>
    <row r="16" spans="2:56" ht="13.5" customHeight="1" x14ac:dyDescent="0.25">
      <c r="B16" s="347" t="s">
        <v>4163</v>
      </c>
      <c r="C16" s="348"/>
      <c r="D16" s="349"/>
      <c r="E16" s="352"/>
      <c r="F16" s="351"/>
      <c r="G16" s="350"/>
      <c r="H16" s="350"/>
      <c r="I16" s="350"/>
      <c r="J16" s="350">
        <v>3839.42</v>
      </c>
      <c r="K16" s="355">
        <v>19272</v>
      </c>
      <c r="L16" s="356">
        <v>3726.75</v>
      </c>
      <c r="M16" s="350">
        <v>292493.15999999997</v>
      </c>
      <c r="N16" s="359">
        <v>117247.16</v>
      </c>
      <c r="O16" s="350">
        <v>14731.84</v>
      </c>
      <c r="P16" s="359">
        <v>174801.24</v>
      </c>
      <c r="Q16" s="350">
        <v>74823.12</v>
      </c>
      <c r="R16" s="356"/>
      <c r="S16" s="352">
        <f t="shared" si="0"/>
        <v>700934.69000000006</v>
      </c>
      <c r="T16" s="352">
        <f t="shared" si="1"/>
        <v>700934.69000000006</v>
      </c>
      <c r="U16" s="392"/>
    </row>
    <row r="17" spans="2:21" ht="13.5" customHeight="1" x14ac:dyDescent="0.25">
      <c r="B17" s="354" t="s">
        <v>4164</v>
      </c>
      <c r="C17" s="360"/>
      <c r="D17" s="361"/>
      <c r="E17" s="358"/>
      <c r="F17" s="362"/>
      <c r="G17" s="355"/>
      <c r="H17" s="355"/>
      <c r="I17" s="355"/>
      <c r="J17" s="350">
        <v>3839.42</v>
      </c>
      <c r="K17" s="355">
        <v>19272</v>
      </c>
      <c r="L17" s="356">
        <v>3726.75</v>
      </c>
      <c r="M17" s="350">
        <v>292493.15999999997</v>
      </c>
      <c r="N17" s="359">
        <v>117247.16</v>
      </c>
      <c r="O17" s="350">
        <v>14731.84</v>
      </c>
      <c r="P17" s="359">
        <v>174801.24</v>
      </c>
      <c r="Q17" s="350">
        <v>74823.12</v>
      </c>
      <c r="R17" s="356">
        <v>18900</v>
      </c>
      <c r="S17" s="352">
        <f t="shared" si="0"/>
        <v>719834.69000000006</v>
      </c>
      <c r="T17" s="352">
        <f t="shared" si="1"/>
        <v>719834.69000000006</v>
      </c>
      <c r="U17" s="392"/>
    </row>
    <row r="18" spans="2:21" ht="13.5" customHeight="1" x14ac:dyDescent="0.25">
      <c r="B18" s="347" t="s">
        <v>4165</v>
      </c>
      <c r="C18" s="348"/>
      <c r="D18" s="349"/>
      <c r="E18" s="352"/>
      <c r="F18" s="351"/>
      <c r="G18" s="350"/>
      <c r="H18" s="350"/>
      <c r="I18" s="350"/>
      <c r="J18" s="350">
        <v>3839.42</v>
      </c>
      <c r="K18" s="355">
        <v>19272</v>
      </c>
      <c r="L18" s="356">
        <v>3726.75</v>
      </c>
      <c r="M18" s="350">
        <v>292493.15999999997</v>
      </c>
      <c r="N18" s="359">
        <v>117247.16</v>
      </c>
      <c r="O18" s="350">
        <v>14731.84</v>
      </c>
      <c r="P18" s="359">
        <v>174801.24</v>
      </c>
      <c r="Q18" s="350">
        <v>74823.12</v>
      </c>
      <c r="R18" s="356"/>
      <c r="S18" s="352">
        <f t="shared" si="0"/>
        <v>700934.69000000006</v>
      </c>
      <c r="T18" s="352">
        <f t="shared" si="1"/>
        <v>700934.69000000006</v>
      </c>
      <c r="U18" s="392"/>
    </row>
    <row r="19" spans="2:21" ht="13.5" customHeight="1" x14ac:dyDescent="0.25">
      <c r="B19" s="354" t="s">
        <v>4166</v>
      </c>
      <c r="C19" s="360"/>
      <c r="D19" s="361"/>
      <c r="E19" s="358"/>
      <c r="F19" s="362"/>
      <c r="G19" s="355"/>
      <c r="H19" s="355"/>
      <c r="I19" s="355"/>
      <c r="J19" s="350">
        <v>3839.42</v>
      </c>
      <c r="K19" s="355">
        <v>19272</v>
      </c>
      <c r="L19" s="356">
        <v>3726.75</v>
      </c>
      <c r="M19" s="350">
        <v>292493.15999999997</v>
      </c>
      <c r="N19" s="359">
        <v>117247.16</v>
      </c>
      <c r="O19" s="350">
        <v>14731.84</v>
      </c>
      <c r="P19" s="359">
        <v>174801.24</v>
      </c>
      <c r="Q19" s="350">
        <v>74823.12</v>
      </c>
      <c r="R19" s="356">
        <v>18900</v>
      </c>
      <c r="S19" s="352">
        <f t="shared" si="0"/>
        <v>719834.69000000006</v>
      </c>
      <c r="T19" s="352">
        <f t="shared" si="1"/>
        <v>719834.69000000006</v>
      </c>
      <c r="U19" s="392"/>
    </row>
    <row r="20" spans="2:21" ht="13.5" customHeight="1" x14ac:dyDescent="0.25">
      <c r="B20" s="354" t="s">
        <v>4167</v>
      </c>
      <c r="C20" s="360"/>
      <c r="D20" s="361"/>
      <c r="E20" s="358"/>
      <c r="F20" s="362"/>
      <c r="G20" s="355"/>
      <c r="H20" s="355"/>
      <c r="I20" s="355"/>
      <c r="J20" s="350">
        <v>3839.42</v>
      </c>
      <c r="K20" s="355">
        <v>19272</v>
      </c>
      <c r="L20" s="356">
        <v>3726.75</v>
      </c>
      <c r="M20" s="350">
        <v>292493.15999999997</v>
      </c>
      <c r="N20" s="359">
        <v>117247.16</v>
      </c>
      <c r="O20" s="350">
        <v>14731.84</v>
      </c>
      <c r="P20" s="359">
        <v>174801.24</v>
      </c>
      <c r="Q20" s="350">
        <v>74823.12</v>
      </c>
      <c r="R20" s="356"/>
      <c r="S20" s="352">
        <f t="shared" si="0"/>
        <v>700934.69000000006</v>
      </c>
      <c r="T20" s="352">
        <f t="shared" si="1"/>
        <v>700934.69000000006</v>
      </c>
      <c r="U20" s="392"/>
    </row>
    <row r="21" spans="2:21" ht="13.5" customHeight="1" x14ac:dyDescent="0.25">
      <c r="B21" s="354" t="s">
        <v>4168</v>
      </c>
      <c r="C21" s="360"/>
      <c r="D21" s="361"/>
      <c r="E21" s="358"/>
      <c r="F21" s="362"/>
      <c r="G21" s="355"/>
      <c r="H21" s="355"/>
      <c r="I21" s="355"/>
      <c r="J21" s="350">
        <v>3839.42</v>
      </c>
      <c r="K21" s="355">
        <v>19272</v>
      </c>
      <c r="L21" s="356">
        <v>3726.75</v>
      </c>
      <c r="M21" s="350">
        <v>292493.15999999997</v>
      </c>
      <c r="N21" s="359">
        <v>117247.16</v>
      </c>
      <c r="O21" s="350">
        <v>14731.84</v>
      </c>
      <c r="P21" s="359">
        <v>174801.24</v>
      </c>
      <c r="Q21" s="350">
        <v>74823.12</v>
      </c>
      <c r="R21" s="356">
        <v>18900</v>
      </c>
      <c r="S21" s="352">
        <f t="shared" si="0"/>
        <v>719834.69000000006</v>
      </c>
      <c r="T21" s="352">
        <f t="shared" si="1"/>
        <v>719834.69000000006</v>
      </c>
      <c r="U21" s="392"/>
    </row>
    <row r="22" spans="2:21" ht="13.5" customHeight="1" x14ac:dyDescent="0.25">
      <c r="B22" s="354" t="s">
        <v>4169</v>
      </c>
      <c r="C22" s="360"/>
      <c r="D22" s="361"/>
      <c r="E22" s="358"/>
      <c r="F22" s="362"/>
      <c r="G22" s="355"/>
      <c r="H22" s="355"/>
      <c r="I22" s="355"/>
      <c r="J22" s="350">
        <v>3839.42</v>
      </c>
      <c r="K22" s="355">
        <v>19272</v>
      </c>
      <c r="L22" s="356">
        <v>3726.75</v>
      </c>
      <c r="M22" s="350">
        <v>292493.15999999997</v>
      </c>
      <c r="N22" s="359">
        <v>117247.16</v>
      </c>
      <c r="O22" s="350">
        <v>14731.84</v>
      </c>
      <c r="P22" s="359">
        <v>174801.24</v>
      </c>
      <c r="Q22" s="350">
        <v>74823.12</v>
      </c>
      <c r="R22" s="356"/>
      <c r="S22" s="352">
        <f t="shared" si="0"/>
        <v>700934.69000000006</v>
      </c>
      <c r="T22" s="352">
        <f t="shared" si="1"/>
        <v>700934.69000000006</v>
      </c>
      <c r="U22" s="392"/>
    </row>
    <row r="23" spans="2:21" ht="13.5" customHeight="1" x14ac:dyDescent="0.25">
      <c r="B23" s="354" t="s">
        <v>4170</v>
      </c>
      <c r="C23" s="360"/>
      <c r="D23" s="361"/>
      <c r="E23" s="358"/>
      <c r="F23" s="362"/>
      <c r="G23" s="355"/>
      <c r="H23" s="355"/>
      <c r="I23" s="355"/>
      <c r="J23" s="350">
        <v>3839.42</v>
      </c>
      <c r="K23" s="355">
        <v>19272</v>
      </c>
      <c r="L23" s="356">
        <v>3726.75</v>
      </c>
      <c r="M23" s="350">
        <v>292493.15999999997</v>
      </c>
      <c r="N23" s="359">
        <v>117247.16</v>
      </c>
      <c r="O23" s="350">
        <v>14731.84</v>
      </c>
      <c r="P23" s="359">
        <v>174801.24</v>
      </c>
      <c r="Q23" s="350">
        <v>74823.12</v>
      </c>
      <c r="R23" s="356">
        <v>18900</v>
      </c>
      <c r="S23" s="352">
        <f t="shared" si="0"/>
        <v>719834.69000000006</v>
      </c>
      <c r="T23" s="352">
        <f t="shared" si="1"/>
        <v>719834.69000000006</v>
      </c>
      <c r="U23" s="392"/>
    </row>
    <row r="24" spans="2:21" ht="13.5" customHeight="1" x14ac:dyDescent="0.25">
      <c r="B24" s="354" t="s">
        <v>4171</v>
      </c>
      <c r="C24" s="360"/>
      <c r="D24" s="361"/>
      <c r="E24" s="358"/>
      <c r="F24" s="362"/>
      <c r="G24" s="355"/>
      <c r="H24" s="355"/>
      <c r="I24" s="355"/>
      <c r="J24" s="350">
        <v>3839.42</v>
      </c>
      <c r="K24" s="355">
        <v>19272</v>
      </c>
      <c r="L24" s="356">
        <v>3726.75</v>
      </c>
      <c r="M24" s="350">
        <v>292493.15999999997</v>
      </c>
      <c r="N24" s="359">
        <v>117247.16</v>
      </c>
      <c r="O24" s="350">
        <v>14731.84</v>
      </c>
      <c r="P24" s="359">
        <v>174801.24</v>
      </c>
      <c r="Q24" s="350">
        <v>74823.12</v>
      </c>
      <c r="R24" s="356"/>
      <c r="S24" s="352">
        <f t="shared" si="0"/>
        <v>700934.69000000006</v>
      </c>
      <c r="T24" s="352">
        <f t="shared" si="1"/>
        <v>700934.69000000006</v>
      </c>
      <c r="U24" s="392"/>
    </row>
    <row r="25" spans="2:21" ht="13.5" customHeight="1" x14ac:dyDescent="0.25">
      <c r="B25" s="354" t="s">
        <v>4172</v>
      </c>
      <c r="C25" s="360"/>
      <c r="D25" s="361"/>
      <c r="E25" s="358"/>
      <c r="F25" s="362"/>
      <c r="G25" s="355"/>
      <c r="H25" s="355"/>
      <c r="I25" s="355"/>
      <c r="J25" s="350">
        <v>3839.42</v>
      </c>
      <c r="K25" s="355">
        <v>19272</v>
      </c>
      <c r="L25" s="356">
        <v>3726.75</v>
      </c>
      <c r="M25" s="350">
        <v>292493.15999999997</v>
      </c>
      <c r="N25" s="359">
        <v>117247.16</v>
      </c>
      <c r="O25" s="350">
        <v>14731.84</v>
      </c>
      <c r="P25" s="359">
        <v>174801.24</v>
      </c>
      <c r="Q25" s="350">
        <v>74823.12</v>
      </c>
      <c r="R25" s="356">
        <v>18900</v>
      </c>
      <c r="S25" s="352">
        <f t="shared" si="0"/>
        <v>719834.69000000006</v>
      </c>
      <c r="T25" s="352">
        <f t="shared" si="1"/>
        <v>719834.69000000006</v>
      </c>
      <c r="U25" s="392"/>
    </row>
    <row r="26" spans="2:21" ht="13.5" customHeight="1" x14ac:dyDescent="0.25">
      <c r="B26" s="354" t="s">
        <v>4173</v>
      </c>
      <c r="C26" s="360"/>
      <c r="D26" s="361"/>
      <c r="E26" s="358"/>
      <c r="F26" s="362"/>
      <c r="G26" s="355"/>
      <c r="H26" s="355"/>
      <c r="I26" s="355"/>
      <c r="J26" s="350">
        <v>3839.42</v>
      </c>
      <c r="K26" s="355">
        <v>19272</v>
      </c>
      <c r="L26" s="356">
        <v>3726.75</v>
      </c>
      <c r="M26" s="350">
        <v>292493.15999999997</v>
      </c>
      <c r="N26" s="359">
        <v>117247.16</v>
      </c>
      <c r="O26" s="350">
        <v>14731.84</v>
      </c>
      <c r="P26" s="359">
        <v>174801.24</v>
      </c>
      <c r="Q26" s="350">
        <v>74823.12</v>
      </c>
      <c r="R26" s="356"/>
      <c r="S26" s="352">
        <f t="shared" si="0"/>
        <v>700934.69000000006</v>
      </c>
      <c r="T26" s="352">
        <f t="shared" si="1"/>
        <v>700934.69000000006</v>
      </c>
      <c r="U26" s="392"/>
    </row>
    <row r="27" spans="2:21" ht="13.5" customHeight="1" x14ac:dyDescent="0.25">
      <c r="B27" s="354" t="s">
        <v>4174</v>
      </c>
      <c r="C27" s="360"/>
      <c r="D27" s="361"/>
      <c r="E27" s="358"/>
      <c r="F27" s="362"/>
      <c r="G27" s="355"/>
      <c r="H27" s="355"/>
      <c r="I27" s="355"/>
      <c r="J27" s="350">
        <v>3839.42</v>
      </c>
      <c r="K27" s="355">
        <v>19272</v>
      </c>
      <c r="L27" s="356">
        <v>3726.75</v>
      </c>
      <c r="M27" s="350">
        <v>292493.15999999997</v>
      </c>
      <c r="N27" s="359">
        <v>117247.16</v>
      </c>
      <c r="O27" s="350">
        <v>14731.84</v>
      </c>
      <c r="P27" s="359">
        <v>174801.24</v>
      </c>
      <c r="Q27" s="350">
        <v>74823.12</v>
      </c>
      <c r="R27" s="356">
        <v>18900</v>
      </c>
      <c r="S27" s="352">
        <f t="shared" si="0"/>
        <v>719834.69000000006</v>
      </c>
      <c r="T27" s="352">
        <f t="shared" si="1"/>
        <v>719834.69000000006</v>
      </c>
      <c r="U27" s="392"/>
    </row>
    <row r="28" spans="2:21" ht="13.5" customHeight="1" x14ac:dyDescent="0.25">
      <c r="B28" s="354" t="s">
        <v>4175</v>
      </c>
      <c r="C28" s="360"/>
      <c r="D28" s="361"/>
      <c r="E28" s="358"/>
      <c r="F28" s="362"/>
      <c r="G28" s="355"/>
      <c r="H28" s="355"/>
      <c r="I28" s="355"/>
      <c r="J28" s="350">
        <v>3839.42</v>
      </c>
      <c r="K28" s="355">
        <v>19272</v>
      </c>
      <c r="L28" s="356">
        <v>3726.75</v>
      </c>
      <c r="M28" s="350">
        <v>292493.15999999997</v>
      </c>
      <c r="N28" s="359">
        <v>117247.16</v>
      </c>
      <c r="O28" s="350">
        <v>14731.84</v>
      </c>
      <c r="P28" s="359">
        <v>174801.24</v>
      </c>
      <c r="Q28" s="350">
        <v>74823.12</v>
      </c>
      <c r="R28" s="356"/>
      <c r="S28" s="352">
        <f t="shared" si="0"/>
        <v>700934.69000000006</v>
      </c>
      <c r="T28" s="352">
        <f t="shared" si="1"/>
        <v>700934.69000000006</v>
      </c>
      <c r="U28" s="392"/>
    </row>
    <row r="29" spans="2:21" ht="13.5" customHeight="1" x14ac:dyDescent="0.25">
      <c r="B29" s="354" t="s">
        <v>4176</v>
      </c>
      <c r="C29" s="360"/>
      <c r="D29" s="361"/>
      <c r="E29" s="358"/>
      <c r="F29" s="362"/>
      <c r="G29" s="355"/>
      <c r="H29" s="355"/>
      <c r="I29" s="355"/>
      <c r="J29" s="350">
        <v>3839.42</v>
      </c>
      <c r="K29" s="355">
        <v>19272</v>
      </c>
      <c r="L29" s="356">
        <v>3726.75</v>
      </c>
      <c r="M29" s="350">
        <v>292493.15999999997</v>
      </c>
      <c r="N29" s="359">
        <v>117247.16</v>
      </c>
      <c r="O29" s="350">
        <v>14731.84</v>
      </c>
      <c r="P29" s="359">
        <v>174801.24</v>
      </c>
      <c r="Q29" s="350">
        <v>74823.12</v>
      </c>
      <c r="R29" s="356">
        <v>18900</v>
      </c>
      <c r="S29" s="352">
        <f t="shared" si="0"/>
        <v>719834.69000000006</v>
      </c>
      <c r="T29" s="352">
        <f t="shared" si="1"/>
        <v>719834.69000000006</v>
      </c>
      <c r="U29" s="392"/>
    </row>
    <row r="30" spans="2:21" ht="13.5" customHeight="1" x14ac:dyDescent="0.25">
      <c r="B30" s="354" t="s">
        <v>4177</v>
      </c>
      <c r="C30" s="348"/>
      <c r="D30" s="349"/>
      <c r="E30" s="352"/>
      <c r="F30" s="351"/>
      <c r="G30" s="350"/>
      <c r="H30" s="350"/>
      <c r="I30" s="350"/>
      <c r="J30" s="350">
        <v>3839.42</v>
      </c>
      <c r="K30" s="355">
        <v>19272</v>
      </c>
      <c r="L30" s="356">
        <v>3726.75</v>
      </c>
      <c r="M30" s="350">
        <v>292493.15999999997</v>
      </c>
      <c r="N30" s="359">
        <v>117247.16</v>
      </c>
      <c r="O30" s="350">
        <v>14731.84</v>
      </c>
      <c r="P30" s="359">
        <v>174801.24</v>
      </c>
      <c r="Q30" s="350">
        <v>74823.12</v>
      </c>
      <c r="R30" s="356"/>
      <c r="S30" s="352">
        <f t="shared" si="0"/>
        <v>700934.69000000006</v>
      </c>
      <c r="T30" s="352">
        <f t="shared" si="1"/>
        <v>700934.69000000006</v>
      </c>
      <c r="U30" s="392"/>
    </row>
    <row r="31" spans="2:21" ht="13.5" customHeight="1" x14ac:dyDescent="0.25">
      <c r="B31" s="354" t="s">
        <v>4178</v>
      </c>
      <c r="C31" s="360"/>
      <c r="D31" s="361"/>
      <c r="E31" s="358"/>
      <c r="F31" s="362"/>
      <c r="G31" s="355"/>
      <c r="H31" s="355"/>
      <c r="I31" s="355"/>
      <c r="J31" s="350">
        <v>3839.42</v>
      </c>
      <c r="K31" s="355">
        <v>19272</v>
      </c>
      <c r="L31" s="356">
        <v>3726.75</v>
      </c>
      <c r="M31" s="350">
        <v>292493.15999999997</v>
      </c>
      <c r="N31" s="359">
        <v>117247.16</v>
      </c>
      <c r="O31" s="350">
        <v>14731.84</v>
      </c>
      <c r="P31" s="359">
        <v>174801.24</v>
      </c>
      <c r="Q31" s="350">
        <v>74823.12</v>
      </c>
      <c r="R31" s="356">
        <v>18900</v>
      </c>
      <c r="S31" s="352">
        <f t="shared" si="0"/>
        <v>719834.69000000006</v>
      </c>
      <c r="T31" s="352">
        <f t="shared" si="1"/>
        <v>719834.69000000006</v>
      </c>
      <c r="U31" s="392"/>
    </row>
    <row r="32" spans="2:21" ht="13.5" customHeight="1" x14ac:dyDescent="0.25">
      <c r="B32" s="354" t="s">
        <v>4179</v>
      </c>
      <c r="C32" s="348"/>
      <c r="D32" s="349"/>
      <c r="E32" s="352"/>
      <c r="F32" s="351"/>
      <c r="G32" s="350"/>
      <c r="H32" s="350"/>
      <c r="I32" s="350"/>
      <c r="J32" s="350">
        <v>3839.42</v>
      </c>
      <c r="K32" s="355">
        <v>19272</v>
      </c>
      <c r="L32" s="356">
        <v>3726.75</v>
      </c>
      <c r="M32" s="350">
        <v>292493.15999999997</v>
      </c>
      <c r="N32" s="359">
        <v>117247.16</v>
      </c>
      <c r="O32" s="350">
        <v>14731.84</v>
      </c>
      <c r="P32" s="359">
        <v>174801.24</v>
      </c>
      <c r="Q32" s="350">
        <v>74823.12</v>
      </c>
      <c r="R32" s="356"/>
      <c r="S32" s="352">
        <f t="shared" si="0"/>
        <v>700934.69000000006</v>
      </c>
      <c r="T32" s="352">
        <f t="shared" si="1"/>
        <v>700934.69000000006</v>
      </c>
      <c r="U32" s="392"/>
    </row>
    <row r="33" spans="2:22" ht="13.5" customHeight="1" x14ac:dyDescent="0.25">
      <c r="B33" s="354" t="s">
        <v>4180</v>
      </c>
      <c r="C33" s="360"/>
      <c r="D33" s="361"/>
      <c r="E33" s="358"/>
      <c r="F33" s="362"/>
      <c r="G33" s="355"/>
      <c r="H33" s="355"/>
      <c r="I33" s="355"/>
      <c r="J33" s="350">
        <v>3839.42</v>
      </c>
      <c r="K33" s="355">
        <v>19272</v>
      </c>
      <c r="L33" s="356">
        <v>3726.75</v>
      </c>
      <c r="M33" s="350">
        <v>292493.15999999997</v>
      </c>
      <c r="N33" s="359">
        <v>117247.16</v>
      </c>
      <c r="O33" s="350">
        <v>14731.84</v>
      </c>
      <c r="P33" s="359">
        <v>174801.24</v>
      </c>
      <c r="Q33" s="350">
        <v>74823.12</v>
      </c>
      <c r="R33" s="356">
        <v>18900</v>
      </c>
      <c r="S33" s="352">
        <f t="shared" si="0"/>
        <v>719834.69000000006</v>
      </c>
      <c r="T33" s="352">
        <f t="shared" si="1"/>
        <v>719834.69000000006</v>
      </c>
      <c r="U33" s="392"/>
    </row>
    <row r="34" spans="2:22" ht="13.5" customHeight="1" x14ac:dyDescent="0.25">
      <c r="B34" s="354" t="s">
        <v>4181</v>
      </c>
      <c r="C34" s="348"/>
      <c r="D34" s="349"/>
      <c r="E34" s="352"/>
      <c r="F34" s="351"/>
      <c r="G34" s="350"/>
      <c r="H34" s="350"/>
      <c r="I34" s="350"/>
      <c r="J34" s="350">
        <v>3839.42</v>
      </c>
      <c r="K34" s="355">
        <v>19272</v>
      </c>
      <c r="L34" s="356">
        <v>3726.75</v>
      </c>
      <c r="M34" s="350">
        <v>292493.15999999997</v>
      </c>
      <c r="N34" s="359">
        <v>117247.16</v>
      </c>
      <c r="O34" s="350">
        <v>14731.84</v>
      </c>
      <c r="P34" s="359">
        <v>174801.24</v>
      </c>
      <c r="Q34" s="350">
        <v>74823.12</v>
      </c>
      <c r="R34" s="356"/>
      <c r="S34" s="352">
        <f t="shared" si="0"/>
        <v>700934.69000000006</v>
      </c>
      <c r="T34" s="352">
        <f t="shared" si="1"/>
        <v>700934.69000000006</v>
      </c>
      <c r="U34" s="392"/>
      <c r="V34" s="1"/>
    </row>
    <row r="35" spans="2:22" ht="13.5" customHeight="1" x14ac:dyDescent="0.25">
      <c r="B35" s="354" t="s">
        <v>4182</v>
      </c>
      <c r="C35" s="360"/>
      <c r="D35" s="361"/>
      <c r="E35" s="358"/>
      <c r="F35" s="362"/>
      <c r="G35" s="355"/>
      <c r="H35" s="355"/>
      <c r="I35" s="355"/>
      <c r="J35" s="350">
        <v>3839.42</v>
      </c>
      <c r="K35" s="355">
        <v>19272</v>
      </c>
      <c r="L35" s="356">
        <v>3726.75</v>
      </c>
      <c r="M35" s="350">
        <v>292493.15999999997</v>
      </c>
      <c r="N35" s="359">
        <v>117247.16</v>
      </c>
      <c r="O35" s="350">
        <v>14731.84</v>
      </c>
      <c r="P35" s="359">
        <v>174801.24</v>
      </c>
      <c r="Q35" s="350">
        <v>74823.12</v>
      </c>
      <c r="R35" s="356">
        <v>18900</v>
      </c>
      <c r="S35" s="352">
        <f t="shared" si="0"/>
        <v>719834.69000000006</v>
      </c>
      <c r="T35" s="352">
        <f t="shared" si="1"/>
        <v>719834.69000000006</v>
      </c>
      <c r="U35" s="392"/>
    </row>
    <row r="36" spans="2:22" ht="13.5" customHeight="1" x14ac:dyDescent="0.25">
      <c r="B36" s="354" t="s">
        <v>4183</v>
      </c>
      <c r="C36" s="348"/>
      <c r="D36" s="349"/>
      <c r="E36" s="352"/>
      <c r="F36" s="351"/>
      <c r="G36" s="350"/>
      <c r="H36" s="350"/>
      <c r="I36" s="350"/>
      <c r="J36" s="350">
        <v>3839.42</v>
      </c>
      <c r="K36" s="355">
        <v>19272</v>
      </c>
      <c r="L36" s="356">
        <v>3726.75</v>
      </c>
      <c r="M36" s="350">
        <v>292493.15999999997</v>
      </c>
      <c r="N36" s="359">
        <v>117247.16</v>
      </c>
      <c r="O36" s="350">
        <v>14731.84</v>
      </c>
      <c r="P36" s="359">
        <v>174801.24</v>
      </c>
      <c r="Q36" s="350">
        <v>74823.12</v>
      </c>
      <c r="R36" s="356"/>
      <c r="S36" s="352">
        <f t="shared" si="0"/>
        <v>700934.69000000006</v>
      </c>
      <c r="T36" s="352">
        <f t="shared" si="1"/>
        <v>700934.69000000006</v>
      </c>
      <c r="U36" s="392"/>
    </row>
    <row r="37" spans="2:22" ht="13.5" customHeight="1" x14ac:dyDescent="0.25">
      <c r="B37" s="354" t="s">
        <v>4184</v>
      </c>
      <c r="C37" s="360"/>
      <c r="D37" s="361"/>
      <c r="E37" s="358"/>
      <c r="F37" s="362"/>
      <c r="G37" s="355"/>
      <c r="H37" s="355"/>
      <c r="I37" s="355"/>
      <c r="J37" s="350">
        <v>3839.42</v>
      </c>
      <c r="K37" s="355">
        <v>19272</v>
      </c>
      <c r="L37" s="356">
        <v>3726.75</v>
      </c>
      <c r="M37" s="350">
        <v>292493.15999999997</v>
      </c>
      <c r="N37" s="359">
        <v>117247.16</v>
      </c>
      <c r="O37" s="350">
        <v>14731.84</v>
      </c>
      <c r="P37" s="359">
        <v>174801.24</v>
      </c>
      <c r="Q37" s="350">
        <v>74823.12</v>
      </c>
      <c r="R37" s="356">
        <v>18900</v>
      </c>
      <c r="S37" s="352">
        <f t="shared" si="0"/>
        <v>719834.69000000006</v>
      </c>
      <c r="T37" s="352">
        <f t="shared" si="1"/>
        <v>719834.69000000006</v>
      </c>
      <c r="U37" s="392"/>
    </row>
    <row r="38" spans="2:22" ht="13.5" customHeight="1" x14ac:dyDescent="0.25">
      <c r="B38" s="354" t="s">
        <v>4185</v>
      </c>
      <c r="C38" s="348"/>
      <c r="D38" s="349"/>
      <c r="E38" s="352"/>
      <c r="F38" s="351"/>
      <c r="G38" s="350"/>
      <c r="H38" s="350"/>
      <c r="I38" s="350"/>
      <c r="J38" s="350">
        <v>3839.42</v>
      </c>
      <c r="K38" s="355">
        <v>19272</v>
      </c>
      <c r="L38" s="356">
        <v>3726.75</v>
      </c>
      <c r="M38" s="350">
        <v>292493.15999999997</v>
      </c>
      <c r="N38" s="359">
        <v>117247.16</v>
      </c>
      <c r="O38" s="350">
        <v>14731.84</v>
      </c>
      <c r="P38" s="359">
        <v>174801.24</v>
      </c>
      <c r="Q38" s="350">
        <v>74823.12</v>
      </c>
      <c r="R38" s="356"/>
      <c r="S38" s="352">
        <f t="shared" si="0"/>
        <v>700934.69000000006</v>
      </c>
      <c r="T38" s="352">
        <f t="shared" si="1"/>
        <v>700934.69000000006</v>
      </c>
      <c r="U38" s="392"/>
    </row>
    <row r="39" spans="2:22" ht="13.5" customHeight="1" x14ac:dyDescent="0.25">
      <c r="B39" s="354" t="s">
        <v>4186</v>
      </c>
      <c r="C39" s="360"/>
      <c r="D39" s="361"/>
      <c r="E39" s="358"/>
      <c r="F39" s="362"/>
      <c r="G39" s="355"/>
      <c r="H39" s="355"/>
      <c r="I39" s="355"/>
      <c r="J39" s="350">
        <v>3839.42</v>
      </c>
      <c r="K39" s="355">
        <v>19272</v>
      </c>
      <c r="L39" s="356">
        <v>3726.75</v>
      </c>
      <c r="M39" s="350">
        <v>292493.15999999997</v>
      </c>
      <c r="N39" s="359">
        <v>117247.16</v>
      </c>
      <c r="O39" s="350">
        <v>14731.84</v>
      </c>
      <c r="P39" s="359">
        <v>174801.24</v>
      </c>
      <c r="Q39" s="350">
        <v>74823.12</v>
      </c>
      <c r="R39" s="356">
        <v>18900</v>
      </c>
      <c r="S39" s="352">
        <f t="shared" si="0"/>
        <v>719834.69000000006</v>
      </c>
      <c r="T39" s="352">
        <f t="shared" si="1"/>
        <v>719834.69000000006</v>
      </c>
      <c r="U39" s="392"/>
    </row>
    <row r="40" spans="2:22" ht="13.5" customHeight="1" x14ac:dyDescent="0.25">
      <c r="B40" s="354" t="s">
        <v>4187</v>
      </c>
      <c r="C40" s="348"/>
      <c r="D40" s="349"/>
      <c r="E40" s="363"/>
      <c r="F40" s="364"/>
      <c r="G40" s="365"/>
      <c r="H40" s="365"/>
      <c r="I40" s="365"/>
      <c r="J40" s="350">
        <v>3839.42</v>
      </c>
      <c r="K40" s="355">
        <v>19272</v>
      </c>
      <c r="L40" s="356">
        <v>3726.75</v>
      </c>
      <c r="M40" s="350">
        <v>292493.15999999997</v>
      </c>
      <c r="N40" s="359">
        <v>117247.16</v>
      </c>
      <c r="O40" s="350">
        <v>14731.84</v>
      </c>
      <c r="P40" s="359">
        <v>174801.24</v>
      </c>
      <c r="Q40" s="350">
        <v>74823.12</v>
      </c>
      <c r="R40" s="356"/>
      <c r="S40" s="352">
        <f t="shared" si="0"/>
        <v>700934.69000000006</v>
      </c>
      <c r="T40" s="352">
        <f t="shared" si="1"/>
        <v>700934.69000000006</v>
      </c>
      <c r="U40" s="392"/>
    </row>
    <row r="41" spans="2:22" s="372" customFormat="1" ht="13.5" customHeight="1" x14ac:dyDescent="0.25">
      <c r="B41" s="366" t="s">
        <v>3262</v>
      </c>
      <c r="C41" s="367">
        <f t="shared" ref="C41:T41" si="2">SUM(C6:C40)</f>
        <v>5600.94</v>
      </c>
      <c r="D41" s="368">
        <f t="shared" si="2"/>
        <v>24844.98</v>
      </c>
      <c r="E41" s="369">
        <f t="shared" si="2"/>
        <v>584986.31999999995</v>
      </c>
      <c r="F41" s="367">
        <f t="shared" si="2"/>
        <v>234494.32</v>
      </c>
      <c r="G41" s="370">
        <f t="shared" si="2"/>
        <v>29463.68</v>
      </c>
      <c r="H41" s="370">
        <f t="shared" si="2"/>
        <v>349602.48</v>
      </c>
      <c r="I41" s="370">
        <f t="shared" si="2"/>
        <v>149646.24</v>
      </c>
      <c r="J41" s="371">
        <f t="shared" si="2"/>
        <v>126700.85999999996</v>
      </c>
      <c r="K41" s="367">
        <f t="shared" ref="K41:R41" si="3">SUM(K7:K40)</f>
        <v>680944</v>
      </c>
      <c r="L41" s="370">
        <f t="shared" si="3"/>
        <v>131678.49</v>
      </c>
      <c r="M41" s="370">
        <f t="shared" si="3"/>
        <v>9652274.2800000031</v>
      </c>
      <c r="N41" s="370">
        <f t="shared" si="3"/>
        <v>3869156.2800000017</v>
      </c>
      <c r="O41" s="370">
        <f t="shared" si="3"/>
        <v>486150.72000000038</v>
      </c>
      <c r="P41" s="370">
        <f t="shared" si="3"/>
        <v>5768440.9200000046</v>
      </c>
      <c r="Q41" s="370">
        <f t="shared" si="3"/>
        <v>2469162.9600000018</v>
      </c>
      <c r="R41" s="368">
        <f t="shared" si="3"/>
        <v>302400</v>
      </c>
      <c r="S41" s="371">
        <f t="shared" si="2"/>
        <v>23486908.510000009</v>
      </c>
      <c r="T41" s="371">
        <f t="shared" si="2"/>
        <v>24865547.47000001</v>
      </c>
      <c r="U41" s="393"/>
    </row>
    <row r="42" spans="2:22" ht="8.1" customHeight="1" x14ac:dyDescent="0.25">
      <c r="B42" s="329"/>
      <c r="D42" s="329"/>
      <c r="E42" s="329"/>
      <c r="F42" s="329"/>
      <c r="G42" s="329"/>
      <c r="H42" s="329"/>
      <c r="I42" s="329"/>
      <c r="J42" s="329"/>
      <c r="K42" s="329"/>
      <c r="L42" s="329"/>
      <c r="M42" s="329"/>
      <c r="N42" s="329"/>
      <c r="P42" s="329"/>
      <c r="Q42" s="329"/>
      <c r="R42" s="329"/>
      <c r="S42" s="329"/>
      <c r="V42" s="1"/>
    </row>
    <row r="43" spans="2:22" ht="13.5" customHeight="1" x14ac:dyDescent="0.25">
      <c r="B43" s="373" t="s">
        <v>4188</v>
      </c>
      <c r="C43" s="374" t="s">
        <v>4143</v>
      </c>
      <c r="D43" s="375" t="s">
        <v>4189</v>
      </c>
      <c r="E43" s="375"/>
      <c r="F43" s="375"/>
      <c r="G43" s="375"/>
      <c r="H43" s="375"/>
      <c r="I43" s="375"/>
      <c r="J43" s="375"/>
      <c r="K43" s="374" t="s">
        <v>4190</v>
      </c>
      <c r="L43" s="376" t="s">
        <v>4191</v>
      </c>
      <c r="M43" s="375"/>
      <c r="N43" s="375"/>
      <c r="O43" s="375"/>
      <c r="P43" s="375"/>
      <c r="Q43" s="375"/>
      <c r="R43" s="375"/>
      <c r="S43" s="375"/>
      <c r="T43" s="377"/>
    </row>
    <row r="44" spans="2:22" ht="13.5" customHeight="1" x14ac:dyDescent="0.25">
      <c r="B44" s="378"/>
      <c r="C44" s="379" t="s">
        <v>4150</v>
      </c>
      <c r="D44" s="380" t="s">
        <v>4192</v>
      </c>
      <c r="E44" s="380"/>
      <c r="F44" s="380"/>
      <c r="G44" s="380"/>
      <c r="H44" s="380"/>
      <c r="I44" s="380"/>
      <c r="J44" s="380"/>
      <c r="K44" s="379" t="s">
        <v>4146</v>
      </c>
      <c r="L44" s="380" t="s">
        <v>4193</v>
      </c>
      <c r="M44" s="380"/>
      <c r="N44" s="380"/>
      <c r="O44" s="380"/>
      <c r="P44" s="380"/>
      <c r="Q44" s="380"/>
      <c r="R44" s="380"/>
      <c r="S44" s="329"/>
      <c r="T44" s="381"/>
    </row>
    <row r="45" spans="2:22" ht="13.5" customHeight="1" x14ac:dyDescent="0.25">
      <c r="B45" s="378"/>
      <c r="C45" s="382" t="s">
        <v>4144</v>
      </c>
      <c r="D45" s="329" t="s">
        <v>4194</v>
      </c>
      <c r="E45" s="329"/>
      <c r="F45" s="329"/>
      <c r="G45" s="329"/>
      <c r="H45" s="329"/>
      <c r="I45" s="329"/>
      <c r="J45" s="329"/>
      <c r="K45" s="382" t="s">
        <v>4145</v>
      </c>
      <c r="L45" s="329" t="s">
        <v>4195</v>
      </c>
      <c r="M45" s="329"/>
      <c r="N45" s="329"/>
      <c r="O45" s="329"/>
      <c r="P45" s="329"/>
      <c r="Q45" s="329"/>
      <c r="R45" s="329"/>
      <c r="S45" s="380"/>
      <c r="T45" s="383"/>
      <c r="U45" s="394"/>
    </row>
    <row r="46" spans="2:22" ht="13.5" customHeight="1" x14ac:dyDescent="0.25">
      <c r="B46" s="378"/>
      <c r="C46" s="379" t="s">
        <v>4148</v>
      </c>
      <c r="D46" s="380" t="s">
        <v>4196</v>
      </c>
      <c r="E46" s="380"/>
      <c r="F46" s="380"/>
      <c r="G46" s="380"/>
      <c r="H46" s="380"/>
      <c r="I46" s="380"/>
      <c r="J46" s="380"/>
      <c r="K46" s="379" t="s">
        <v>4147</v>
      </c>
      <c r="L46" s="380" t="s">
        <v>4197</v>
      </c>
      <c r="M46" s="380"/>
      <c r="N46" s="380"/>
      <c r="O46" s="380"/>
      <c r="P46" s="380"/>
      <c r="Q46" s="380"/>
      <c r="R46" s="380"/>
      <c r="S46" s="329"/>
      <c r="T46" s="381"/>
    </row>
    <row r="47" spans="2:22" ht="13.5" customHeight="1" x14ac:dyDescent="0.25">
      <c r="B47" s="384"/>
      <c r="C47" s="324"/>
      <c r="D47" s="324"/>
      <c r="E47" s="324"/>
      <c r="F47" s="324"/>
      <c r="G47" s="324"/>
      <c r="H47" s="324"/>
      <c r="I47" s="385"/>
      <c r="J47" s="385"/>
      <c r="K47" s="386" t="s">
        <v>4151</v>
      </c>
      <c r="L47" s="385" t="s">
        <v>4198</v>
      </c>
      <c r="M47" s="385"/>
      <c r="N47" s="385"/>
      <c r="O47" s="385"/>
      <c r="P47" s="385"/>
      <c r="Q47" s="385"/>
      <c r="R47" s="385"/>
      <c r="S47" s="387"/>
      <c r="T47" s="388"/>
      <c r="U47" s="394"/>
    </row>
  </sheetData>
  <mergeCells count="2">
    <mergeCell ref="C4:I4"/>
    <mergeCell ref="J4:S4"/>
  </mergeCells>
  <pageMargins left="0.511811024" right="0.511811024" top="0.78740157499999996" bottom="0.78740157499999996" header="0.31496062000000002" footer="0.3149606200000000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C3A5-4634-4905-B80A-6EBAD00CEC13}">
  <sheetPr codeName="Planilha22"/>
  <dimension ref="A1:AS103"/>
  <sheetViews>
    <sheetView topLeftCell="G1" workbookViewId="0">
      <selection activeCell="J1" sqref="J1:AN1"/>
    </sheetView>
  </sheetViews>
  <sheetFormatPr defaultRowHeight="15" x14ac:dyDescent="0.25"/>
  <cols>
    <col min="1" max="1" width="3.28515625" style="1" customWidth="1"/>
    <col min="2" max="2" width="21.5703125" customWidth="1"/>
    <col min="3" max="3" width="9.28515625" bestFit="1" customWidth="1"/>
    <col min="4" max="5" width="15.140625" customWidth="1"/>
    <col min="6" max="6" width="16.28515625" customWidth="1"/>
    <col min="7" max="10" width="14.5703125" bestFit="1" customWidth="1"/>
    <col min="11" max="18" width="14.7109375" bestFit="1" customWidth="1"/>
    <col min="19" max="19" width="15.42578125" bestFit="1" customWidth="1"/>
    <col min="20" max="20" width="15.5703125" bestFit="1" customWidth="1"/>
    <col min="21" max="40" width="15.85546875" bestFit="1" customWidth="1"/>
    <col min="41" max="41" width="9.28515625" bestFit="1" customWidth="1"/>
    <col min="42" max="42" width="13.28515625" bestFit="1" customWidth="1"/>
  </cols>
  <sheetData>
    <row r="1" spans="1:45" x14ac:dyDescent="0.25">
      <c r="I1" s="80" t="s">
        <v>4125</v>
      </c>
      <c r="J1" s="66">
        <v>0.05</v>
      </c>
      <c r="K1" s="66">
        <v>0.10250000000000004</v>
      </c>
      <c r="L1" s="66">
        <v>0.15762500000000013</v>
      </c>
      <c r="M1" s="66">
        <v>0.21550625000000023</v>
      </c>
      <c r="N1" s="66">
        <v>0.27628156250000035</v>
      </c>
      <c r="O1" s="66">
        <v>0.34009564062500042</v>
      </c>
      <c r="P1" s="66">
        <v>0.40710042265625046</v>
      </c>
      <c r="Q1" s="66">
        <v>0.47745544378906302</v>
      </c>
      <c r="R1" s="66">
        <v>0.55132821597851622</v>
      </c>
      <c r="S1" s="66">
        <v>0.62889462677744201</v>
      </c>
      <c r="T1" s="66">
        <v>0.71033935811631421</v>
      </c>
      <c r="U1" s="66">
        <v>0.79585632602213008</v>
      </c>
      <c r="V1" s="66">
        <v>0.88564914232323666</v>
      </c>
      <c r="W1" s="66">
        <v>0.97993159943939867</v>
      </c>
      <c r="X1" s="66">
        <v>1</v>
      </c>
      <c r="Y1" s="66">
        <v>1</v>
      </c>
      <c r="Z1" s="66">
        <v>1</v>
      </c>
      <c r="AA1" s="66">
        <v>1</v>
      </c>
      <c r="AB1" s="66">
        <v>1</v>
      </c>
      <c r="AC1" s="66">
        <v>1</v>
      </c>
      <c r="AD1" s="66">
        <v>1</v>
      </c>
      <c r="AE1" s="66">
        <v>1</v>
      </c>
      <c r="AF1" s="66">
        <v>1</v>
      </c>
      <c r="AG1" s="66">
        <v>1</v>
      </c>
      <c r="AH1" s="66">
        <v>1</v>
      </c>
      <c r="AI1" s="66">
        <v>1</v>
      </c>
      <c r="AJ1" s="66">
        <v>1</v>
      </c>
      <c r="AK1" s="66">
        <v>1</v>
      </c>
      <c r="AL1" s="66">
        <v>1</v>
      </c>
      <c r="AM1" s="66">
        <v>1</v>
      </c>
      <c r="AN1" s="66">
        <v>1</v>
      </c>
      <c r="AO1" s="66">
        <v>1</v>
      </c>
    </row>
    <row r="2" spans="1:45" x14ac:dyDescent="0.25">
      <c r="A2" s="546" t="s">
        <v>3844</v>
      </c>
      <c r="B2" s="547" t="s">
        <v>4104</v>
      </c>
      <c r="C2" s="547"/>
      <c r="D2" s="547"/>
      <c r="E2" s="293"/>
      <c r="F2" s="58" t="s">
        <v>3701</v>
      </c>
      <c r="G2" s="17" t="s">
        <v>3702</v>
      </c>
      <c r="H2" s="58" t="s">
        <v>3703</v>
      </c>
      <c r="I2" s="17" t="s">
        <v>3704</v>
      </c>
      <c r="J2" s="58" t="s">
        <v>3705</v>
      </c>
      <c r="K2" s="17" t="s">
        <v>3706</v>
      </c>
      <c r="L2" s="58" t="s">
        <v>3707</v>
      </c>
      <c r="M2" s="17" t="s">
        <v>3708</v>
      </c>
      <c r="N2" s="58" t="s">
        <v>3709</v>
      </c>
      <c r="O2" s="17" t="s">
        <v>3710</v>
      </c>
      <c r="P2" s="58" t="s">
        <v>3711</v>
      </c>
      <c r="Q2" s="17" t="s">
        <v>3712</v>
      </c>
      <c r="R2" s="58" t="s">
        <v>3713</v>
      </c>
      <c r="S2" s="17" t="s">
        <v>3714</v>
      </c>
      <c r="T2" s="58" t="s">
        <v>3715</v>
      </c>
      <c r="U2" s="17" t="s">
        <v>3716</v>
      </c>
      <c r="V2" s="58" t="s">
        <v>3717</v>
      </c>
      <c r="W2" s="17" t="s">
        <v>3718</v>
      </c>
      <c r="X2" s="58" t="s">
        <v>3719</v>
      </c>
      <c r="Y2" s="17" t="s">
        <v>3720</v>
      </c>
      <c r="Z2" s="58" t="s">
        <v>3721</v>
      </c>
      <c r="AA2" s="17" t="s">
        <v>3722</v>
      </c>
      <c r="AB2" s="58" t="s">
        <v>3723</v>
      </c>
      <c r="AC2" s="17" t="s">
        <v>3724</v>
      </c>
      <c r="AD2" s="58" t="s">
        <v>3725</v>
      </c>
      <c r="AE2" s="17" t="s">
        <v>3726</v>
      </c>
      <c r="AF2" s="58" t="s">
        <v>3727</v>
      </c>
      <c r="AG2" s="17" t="s">
        <v>3728</v>
      </c>
      <c r="AH2" s="58" t="s">
        <v>3729</v>
      </c>
      <c r="AI2" s="17" t="s">
        <v>3730</v>
      </c>
      <c r="AJ2" s="58" t="s">
        <v>3731</v>
      </c>
      <c r="AK2" s="17" t="s">
        <v>3732</v>
      </c>
      <c r="AL2" s="58" t="s">
        <v>3733</v>
      </c>
      <c r="AM2" s="17" t="s">
        <v>3734</v>
      </c>
      <c r="AN2" s="17" t="s">
        <v>3735</v>
      </c>
      <c r="AO2" s="66"/>
      <c r="AP2" s="66"/>
      <c r="AQ2" s="66"/>
      <c r="AR2" s="66"/>
    </row>
    <row r="3" spans="1:45" x14ac:dyDescent="0.25">
      <c r="A3" s="546"/>
      <c r="B3" s="547"/>
      <c r="C3" s="547"/>
      <c r="D3" s="547"/>
      <c r="E3" s="311" t="s">
        <v>4113</v>
      </c>
      <c r="F3" s="36">
        <v>0</v>
      </c>
      <c r="G3">
        <v>0</v>
      </c>
      <c r="H3">
        <v>0</v>
      </c>
      <c r="I3">
        <v>0</v>
      </c>
      <c r="J3" s="36">
        <f>Export_Frutas!F29</f>
        <v>190223.15027599997</v>
      </c>
      <c r="K3" s="36">
        <f>Export_Frutas!G29</f>
        <v>198670.39603399741</v>
      </c>
      <c r="L3" s="36">
        <f>Export_Frutas!H29</f>
        <v>207487.96400142094</v>
      </c>
      <c r="M3" s="36">
        <f>Export_Frutas!I29</f>
        <v>216692.0888827793</v>
      </c>
      <c r="N3" s="36">
        <f>Export_Frutas!J29</f>
        <v>226299.71710233181</v>
      </c>
      <c r="O3" s="36">
        <f>Export_Frutas!K29</f>
        <v>236328.53800545682</v>
      </c>
      <c r="P3" s="36">
        <f>Export_Frutas!L29</f>
        <v>246797.01642787067</v>
      </c>
      <c r="Q3" s="36">
        <f>Export_Frutas!M29</f>
        <v>257724.42669266008</v>
      </c>
      <c r="R3" s="36">
        <f>Export_Frutas!N29</f>
        <v>269130.88809772558</v>
      </c>
      <c r="S3" s="36">
        <f>Export_Frutas!O29</f>
        <v>281037.4019589728</v>
      </c>
      <c r="T3" s="36">
        <f>Export_Frutas!P29</f>
        <v>293465.89027745463</v>
      </c>
      <c r="U3" s="36">
        <f>Export_Frutas!Q29</f>
        <v>306439.23610165884</v>
      </c>
      <c r="V3" s="36">
        <f>Export_Frutas!R29</f>
        <v>319981.32565925323</v>
      </c>
      <c r="W3" s="36">
        <f>Export_Frutas!S29</f>
        <v>334117.09233586187</v>
      </c>
      <c r="X3" s="36">
        <f>Export_Frutas!T29</f>
        <v>348872.5625818448</v>
      </c>
      <c r="Y3" s="36">
        <f>Export_Frutas!U29</f>
        <v>364274.90383160301</v>
      </c>
      <c r="Z3" s="36">
        <f>Export_Frutas!V29</f>
        <v>380352.47452363768</v>
      </c>
      <c r="AA3" s="36">
        <f>Export_Frutas!W29</f>
        <v>397134.87631345831</v>
      </c>
      <c r="AB3" s="36">
        <f>Export_Frutas!X29</f>
        <v>414653.00857547426</v>
      </c>
      <c r="AC3" s="36">
        <f>Export_Frutas!Y29</f>
        <v>432939.12529421656</v>
      </c>
      <c r="AD3" s="36">
        <f>Export_Frutas!Z29</f>
        <v>452026.89444963547</v>
      </c>
      <c r="AE3" s="36">
        <f>Export_Frutas!AA29</f>
        <v>471951.46000581695</v>
      </c>
      <c r="AF3" s="36">
        <f>Export_Frutas!AB29</f>
        <v>492749.5066172448</v>
      </c>
      <c r="AG3" s="36">
        <f>Export_Frutas!AC29</f>
        <v>514459.32717174699</v>
      </c>
      <c r="AH3" s="36">
        <f>Export_Frutas!AD29</f>
        <v>537120.89329448668</v>
      </c>
      <c r="AI3" s="36">
        <f>Export_Frutas!AE29</f>
        <v>560775.92894280318</v>
      </c>
      <c r="AJ3" s="36">
        <f>Export_Frutas!AF29</f>
        <v>585467.9872274081</v>
      </c>
      <c r="AK3" s="36">
        <f>Export_Frutas!AG29</f>
        <v>611242.53060137783</v>
      </c>
      <c r="AL3" s="36">
        <f>Export_Frutas!AH29</f>
        <v>638147.01456458145</v>
      </c>
      <c r="AM3" s="36">
        <f>Export_Frutas!AI29</f>
        <v>666230.97503766255</v>
      </c>
      <c r="AN3" s="36">
        <f>Export_Frutas!AJ29</f>
        <v>695546.11956644373</v>
      </c>
      <c r="AO3" s="66"/>
      <c r="AP3" s="41">
        <f>AN3+AN33</f>
        <v>965135.71644579736</v>
      </c>
      <c r="AQ3" s="410" t="s">
        <v>4200</v>
      </c>
      <c r="AR3" s="66"/>
    </row>
    <row r="4" spans="1:45" x14ac:dyDescent="0.25">
      <c r="A4" s="546"/>
      <c r="B4" s="547"/>
      <c r="C4" s="547"/>
      <c r="D4" s="547"/>
      <c r="E4" s="311" t="s">
        <v>3259</v>
      </c>
      <c r="F4" s="36">
        <v>0</v>
      </c>
      <c r="G4">
        <v>0</v>
      </c>
      <c r="H4">
        <v>0</v>
      </c>
      <c r="I4">
        <v>0</v>
      </c>
      <c r="J4" s="36">
        <f>80%*J3/$D17</f>
        <v>10510.473640390226</v>
      </c>
      <c r="K4" s="36">
        <f t="shared" ref="K4:AN4" si="0">80%*K3/$D17</f>
        <v>10977.212592744398</v>
      </c>
      <c r="L4" s="36">
        <f t="shared" si="0"/>
        <v>11464.413102038281</v>
      </c>
      <c r="M4" s="36">
        <f t="shared" si="0"/>
        <v>11972.972190708691</v>
      </c>
      <c r="N4" s="36">
        <f t="shared" si="0"/>
        <v>12503.82620612038</v>
      </c>
      <c r="O4" s="36">
        <f t="shared" si="0"/>
        <v>13057.952544547386</v>
      </c>
      <c r="P4" s="36">
        <f t="shared" si="0"/>
        <v>13636.371450732733</v>
      </c>
      <c r="Q4" s="36">
        <f t="shared" si="0"/>
        <v>14240.147896339675</v>
      </c>
      <c r="R4" s="36">
        <f t="shared" si="0"/>
        <v>14870.393540753204</v>
      </c>
      <c r="S4" s="36">
        <f t="shared" si="0"/>
        <v>15528.268777841889</v>
      </c>
      <c r="T4" s="36">
        <f t="shared" si="0"/>
        <v>16214.9848724485</v>
      </c>
      <c r="U4" s="36">
        <f t="shared" si="0"/>
        <v>16931.806190543182</v>
      </c>
      <c r="V4" s="36">
        <f t="shared" si="0"/>
        <v>17680.052527145133</v>
      </c>
      <c r="W4" s="36">
        <f t="shared" si="0"/>
        <v>18461.101536299026</v>
      </c>
      <c r="X4" s="36">
        <f t="shared" si="0"/>
        <v>19276.391267580133</v>
      </c>
      <c r="Y4" s="36">
        <f t="shared" si="0"/>
        <v>20127.422813798319</v>
      </c>
      <c r="Z4" s="36">
        <f t="shared" si="0"/>
        <v>21015.763074775805</v>
      </c>
      <c r="AA4" s="36">
        <f t="shared" si="0"/>
        <v>21943.047642287263</v>
      </c>
      <c r="AB4" s="36">
        <f t="shared" si="0"/>
        <v>22910.98381147402</v>
      </c>
      <c r="AC4" s="36">
        <f t="shared" si="0"/>
        <v>23921.353724276836</v>
      </c>
      <c r="AD4" s="36">
        <f t="shared" si="0"/>
        <v>24976.017650674847</v>
      </c>
      <c r="AE4" s="36">
        <f t="shared" si="0"/>
        <v>26076.917413772157</v>
      </c>
      <c r="AF4" s="36">
        <f t="shared" si="0"/>
        <v>27226.079965038134</v>
      </c>
      <c r="AG4" s="36">
        <f t="shared" si="0"/>
        <v>28425.621116284045</v>
      </c>
      <c r="AH4" s="36">
        <f t="shared" si="0"/>
        <v>29677.749435247475</v>
      </c>
      <c r="AI4" s="36">
        <f>80%*AI3/$D17</f>
        <v>30984.770311956665</v>
      </c>
      <c r="AJ4" s="36">
        <f t="shared" si="0"/>
        <v>32349.090203361928</v>
      </c>
      <c r="AK4" s="36">
        <f t="shared" si="0"/>
        <v>33773.221064049198</v>
      </c>
      <c r="AL4" s="36">
        <f t="shared" si="0"/>
        <v>35259.784971193316</v>
      </c>
      <c r="AM4" s="36">
        <f t="shared" si="0"/>
        <v>36811.518952266604</v>
      </c>
      <c r="AN4" s="36">
        <f t="shared" si="0"/>
        <v>38431.280024391264</v>
      </c>
      <c r="AP4" s="36">
        <f>AN47+AN61*D17+AN73</f>
        <v>267960.01735681493</v>
      </c>
      <c r="AQ4" s="411" t="s">
        <v>4201</v>
      </c>
      <c r="AR4" s="17"/>
      <c r="AS4" s="17"/>
    </row>
    <row r="5" spans="1:45" x14ac:dyDescent="0.25">
      <c r="A5" s="546"/>
      <c r="B5" s="172" t="s">
        <v>4097</v>
      </c>
      <c r="C5" s="172"/>
      <c r="D5" s="288">
        <v>0.8</v>
      </c>
      <c r="E5" s="298" t="s">
        <v>4114</v>
      </c>
      <c r="F5" s="36">
        <v>0</v>
      </c>
      <c r="G5">
        <v>0</v>
      </c>
      <c r="H5">
        <v>0</v>
      </c>
      <c r="I5">
        <v>0</v>
      </c>
      <c r="J5" s="36">
        <f>J1*J4</f>
        <v>525.52368201951128</v>
      </c>
      <c r="K5" s="36">
        <f>K1*K4</f>
        <v>1125.1642907563012</v>
      </c>
      <c r="L5" s="36">
        <f t="shared" ref="L5:AN5" si="1">L1*L4</f>
        <v>1807.0781152087854</v>
      </c>
      <c r="M5" s="36">
        <f t="shared" si="1"/>
        <v>2580.2503381739175</v>
      </c>
      <c r="N5" s="36">
        <f t="shared" si="1"/>
        <v>3454.57664145539</v>
      </c>
      <c r="O5" s="36">
        <f t="shared" si="1"/>
        <v>4440.952735888698</v>
      </c>
      <c r="P5" s="36">
        <f t="shared" si="1"/>
        <v>5551.3725810909227</v>
      </c>
      <c r="Q5" s="36">
        <f t="shared" si="1"/>
        <v>6799.0361334687514</v>
      </c>
      <c r="R5" s="36">
        <f t="shared" si="1"/>
        <v>8198.467541721915</v>
      </c>
      <c r="S5" s="36">
        <f t="shared" si="1"/>
        <v>9765.6447975406809</v>
      </c>
      <c r="T5" s="36">
        <f t="shared" si="1"/>
        <v>11518.141946160813</v>
      </c>
      <c r="U5" s="36">
        <f t="shared" si="1"/>
        <v>13475.285067724455</v>
      </c>
      <c r="V5" s="36">
        <f t="shared" si="1"/>
        <v>15658.32335689586</v>
      </c>
      <c r="W5" s="36">
        <f t="shared" si="1"/>
        <v>18090.616755878644</v>
      </c>
      <c r="X5" s="36">
        <f t="shared" si="1"/>
        <v>19276.391267580133</v>
      </c>
      <c r="Y5" s="36">
        <f t="shared" si="1"/>
        <v>20127.422813798319</v>
      </c>
      <c r="Z5" s="36">
        <f t="shared" si="1"/>
        <v>21015.763074775805</v>
      </c>
      <c r="AA5" s="36">
        <f t="shared" si="1"/>
        <v>21943.047642287263</v>
      </c>
      <c r="AB5" s="36">
        <f t="shared" si="1"/>
        <v>22910.98381147402</v>
      </c>
      <c r="AC5" s="36">
        <f t="shared" si="1"/>
        <v>23921.353724276836</v>
      </c>
      <c r="AD5" s="36">
        <f t="shared" si="1"/>
        <v>24976.017650674847</v>
      </c>
      <c r="AE5" s="36">
        <f t="shared" si="1"/>
        <v>26076.917413772157</v>
      </c>
      <c r="AF5" s="36">
        <f t="shared" si="1"/>
        <v>27226.079965038134</v>
      </c>
      <c r="AG5" s="36">
        <f t="shared" si="1"/>
        <v>28425.621116284045</v>
      </c>
      <c r="AH5" s="36">
        <f t="shared" si="1"/>
        <v>29677.749435247475</v>
      </c>
      <c r="AI5" s="36">
        <f t="shared" si="1"/>
        <v>30984.770311956665</v>
      </c>
      <c r="AJ5" s="36">
        <f t="shared" si="1"/>
        <v>32349.090203361928</v>
      </c>
      <c r="AK5" s="36">
        <f t="shared" si="1"/>
        <v>33773.221064049198</v>
      </c>
      <c r="AL5" s="36">
        <f t="shared" si="1"/>
        <v>35259.784971193316</v>
      </c>
      <c r="AM5" s="36">
        <f>AM1*AM4</f>
        <v>36811.518952266604</v>
      </c>
      <c r="AN5" s="36">
        <f t="shared" si="1"/>
        <v>38431.280024391264</v>
      </c>
    </row>
    <row r="6" spans="1:45" x14ac:dyDescent="0.25">
      <c r="A6" s="546"/>
      <c r="B6" s="545" t="s">
        <v>4106</v>
      </c>
      <c r="C6" s="545"/>
      <c r="D6" s="289">
        <f>106.59*D5</f>
        <v>85.272000000000006</v>
      </c>
      <c r="E6" s="300" t="s">
        <v>4115</v>
      </c>
      <c r="F6" s="301">
        <f>F5*$D6</f>
        <v>0</v>
      </c>
      <c r="G6" s="301">
        <f t="shared" ref="G6:AN6" si="2">G5*$D6</f>
        <v>0</v>
      </c>
      <c r="H6" s="301">
        <f t="shared" si="2"/>
        <v>0</v>
      </c>
      <c r="I6" s="301">
        <f t="shared" si="2"/>
        <v>0</v>
      </c>
      <c r="J6" s="301">
        <f>J5*$D6</f>
        <v>44812.455413167772</v>
      </c>
      <c r="K6" s="301">
        <f t="shared" si="2"/>
        <v>95945.009401371324</v>
      </c>
      <c r="L6" s="301">
        <f t="shared" si="2"/>
        <v>154093.16504008355</v>
      </c>
      <c r="M6" s="301">
        <f>M5*$D6</f>
        <v>220023.1068367663</v>
      </c>
      <c r="N6" s="301">
        <f t="shared" si="2"/>
        <v>294578.65937018406</v>
      </c>
      <c r="O6" s="301">
        <f t="shared" si="2"/>
        <v>378688.92169470107</v>
      </c>
      <c r="P6" s="301">
        <f t="shared" si="2"/>
        <v>473376.64273478521</v>
      </c>
      <c r="Q6" s="301">
        <f t="shared" si="2"/>
        <v>579767.4091731474</v>
      </c>
      <c r="R6" s="301">
        <f t="shared" si="2"/>
        <v>699099.72421771113</v>
      </c>
      <c r="S6" s="301">
        <f t="shared" si="2"/>
        <v>832736.06317588896</v>
      </c>
      <c r="T6" s="301">
        <f t="shared" si="2"/>
        <v>982175.00003302493</v>
      </c>
      <c r="U6" s="301">
        <f t="shared" si="2"/>
        <v>1149064.5082949998</v>
      </c>
      <c r="V6" s="301">
        <f t="shared" si="2"/>
        <v>1335216.549289224</v>
      </c>
      <c r="W6" s="301">
        <f t="shared" si="2"/>
        <v>1542623.0720072838</v>
      </c>
      <c r="X6" s="301">
        <f t="shared" si="2"/>
        <v>1643736.4361690932</v>
      </c>
      <c r="Y6" s="301">
        <f t="shared" si="2"/>
        <v>1716305.5981782104</v>
      </c>
      <c r="Z6" s="301">
        <f t="shared" si="2"/>
        <v>1792056.1489122827</v>
      </c>
      <c r="AA6" s="301">
        <f t="shared" si="2"/>
        <v>1871127.5585531197</v>
      </c>
      <c r="AB6" s="301">
        <f t="shared" si="2"/>
        <v>1953665.4115720128</v>
      </c>
      <c r="AC6" s="301">
        <f t="shared" si="2"/>
        <v>2039821.6747765345</v>
      </c>
      <c r="AD6" s="301">
        <f t="shared" si="2"/>
        <v>2129754.9771083458</v>
      </c>
      <c r="AE6" s="301">
        <f t="shared" si="2"/>
        <v>2223630.9017071794</v>
      </c>
      <c r="AF6" s="301">
        <f t="shared" si="2"/>
        <v>2321622.2907787319</v>
      </c>
      <c r="AG6" s="301">
        <f t="shared" si="2"/>
        <v>2423909.5638277731</v>
      </c>
      <c r="AH6" s="301">
        <f t="shared" si="2"/>
        <v>2530681.0498424228</v>
      </c>
      <c r="AI6" s="301">
        <f>AI5*$D6</f>
        <v>2642133.3340411689</v>
      </c>
      <c r="AJ6" s="301">
        <f t="shared" si="2"/>
        <v>2758471.6198210786</v>
      </c>
      <c r="AK6" s="301">
        <f t="shared" si="2"/>
        <v>2879910.1065736036</v>
      </c>
      <c r="AL6" s="301">
        <f t="shared" si="2"/>
        <v>3006672.3840635968</v>
      </c>
      <c r="AM6" s="301">
        <f t="shared" si="2"/>
        <v>3138991.8440976781</v>
      </c>
      <c r="AN6" s="301">
        <f t="shared" si="2"/>
        <v>3277112.1102398923</v>
      </c>
    </row>
    <row r="7" spans="1:45" x14ac:dyDescent="0.25">
      <c r="A7" s="546"/>
      <c r="B7" s="545" t="s">
        <v>4107</v>
      </c>
      <c r="C7" s="545"/>
      <c r="D7" s="289">
        <f>651.68*D5</f>
        <v>521.34399999999994</v>
      </c>
      <c r="E7" s="300" t="s">
        <v>4098</v>
      </c>
      <c r="F7" s="301">
        <f>F5*$D7</f>
        <v>0</v>
      </c>
      <c r="G7" s="301">
        <f t="shared" ref="G7:AN7" si="3">G5*$D7</f>
        <v>0</v>
      </c>
      <c r="H7" s="301">
        <f t="shared" si="3"/>
        <v>0</v>
      </c>
      <c r="I7" s="301">
        <f t="shared" si="3"/>
        <v>0</v>
      </c>
      <c r="J7" s="301">
        <f>J5*$D7</f>
        <v>273978.61847878003</v>
      </c>
      <c r="K7" s="301">
        <f t="shared" si="3"/>
        <v>586597.65200005297</v>
      </c>
      <c r="L7" s="301">
        <f t="shared" si="3"/>
        <v>942109.33289540897</v>
      </c>
      <c r="M7" s="301">
        <f t="shared" si="3"/>
        <v>1345198.0323049426</v>
      </c>
      <c r="N7" s="301">
        <f t="shared" si="3"/>
        <v>1801022.8045629186</v>
      </c>
      <c r="O7" s="301">
        <f t="shared" si="3"/>
        <v>2315264.0631391569</v>
      </c>
      <c r="P7" s="301">
        <f t="shared" si="3"/>
        <v>2894174.7869162657</v>
      </c>
      <c r="Q7" s="301">
        <f t="shared" si="3"/>
        <v>3544636.6939671324</v>
      </c>
      <c r="R7" s="301">
        <f t="shared" si="3"/>
        <v>4274221.8620714694</v>
      </c>
      <c r="S7" s="301">
        <f t="shared" si="3"/>
        <v>5091260.3213290479</v>
      </c>
      <c r="T7" s="301">
        <f t="shared" si="3"/>
        <v>6004914.1947792619</v>
      </c>
      <c r="U7" s="301">
        <f t="shared" si="3"/>
        <v>7025259.0183477374</v>
      </c>
      <c r="V7" s="301">
        <f t="shared" si="3"/>
        <v>8163372.9321775148</v>
      </c>
      <c r="W7" s="301">
        <f t="shared" si="3"/>
        <v>9431434.5019767936</v>
      </c>
      <c r="X7" s="301">
        <f t="shared" si="3"/>
        <v>10049630.929005295</v>
      </c>
      <c r="Y7" s="301">
        <f t="shared" si="3"/>
        <v>10493311.119436869</v>
      </c>
      <c r="Z7" s="301">
        <f t="shared" si="3"/>
        <v>10956441.984455915</v>
      </c>
      <c r="AA7" s="301">
        <f t="shared" si="3"/>
        <v>11439876.230020611</v>
      </c>
      <c r="AB7" s="301">
        <f t="shared" si="3"/>
        <v>11944503.94420911</v>
      </c>
      <c r="AC7" s="301">
        <f t="shared" si="3"/>
        <v>12471254.236029381</v>
      </c>
      <c r="AD7" s="301">
        <f t="shared" si="3"/>
        <v>13021096.946073426</v>
      </c>
      <c r="AE7" s="301">
        <f t="shared" si="3"/>
        <v>13595044.43216563</v>
      </c>
      <c r="AF7" s="301">
        <f t="shared" si="3"/>
        <v>14194153.43329284</v>
      </c>
      <c r="AG7" s="301">
        <f t="shared" si="3"/>
        <v>14819527.015247988</v>
      </c>
      <c r="AH7" s="301">
        <f t="shared" si="3"/>
        <v>15472316.601569658</v>
      </c>
      <c r="AI7" s="301">
        <f t="shared" si="3"/>
        <v>16153724.093516733</v>
      </c>
      <c r="AJ7" s="301">
        <f t="shared" si="3"/>
        <v>16865004.082981519</v>
      </c>
      <c r="AK7" s="301">
        <f t="shared" si="3"/>
        <v>17607466.162415661</v>
      </c>
      <c r="AL7" s="301">
        <f t="shared" si="3"/>
        <v>18382477.336021807</v>
      </c>
      <c r="AM7" s="301">
        <f t="shared" si="3"/>
        <v>19191464.536650479</v>
      </c>
      <c r="AN7" s="301">
        <f t="shared" si="3"/>
        <v>20035917.253036238</v>
      </c>
    </row>
    <row r="8" spans="1:45" x14ac:dyDescent="0.25">
      <c r="A8" s="546"/>
      <c r="B8" s="545" t="s">
        <v>4108</v>
      </c>
      <c r="C8" s="545"/>
      <c r="D8" s="289">
        <f>390.96*D5</f>
        <v>312.76800000000003</v>
      </c>
      <c r="E8" s="300" t="s">
        <v>4116</v>
      </c>
      <c r="F8" s="301">
        <f>F5*$D10*$D8</f>
        <v>0</v>
      </c>
      <c r="G8" s="301">
        <f t="shared" ref="G8:AN8" si="4">G5*$D10*$D8</f>
        <v>0</v>
      </c>
      <c r="H8" s="301">
        <f t="shared" si="4"/>
        <v>0</v>
      </c>
      <c r="I8" s="301">
        <f t="shared" si="4"/>
        <v>0</v>
      </c>
      <c r="J8" s="301">
        <f t="shared" si="4"/>
        <v>1643669.9097787852</v>
      </c>
      <c r="K8" s="301">
        <f t="shared" si="4"/>
        <v>3519153.8489126684</v>
      </c>
      <c r="L8" s="301">
        <f t="shared" si="4"/>
        <v>5651962.0793762142</v>
      </c>
      <c r="M8" s="301">
        <f t="shared" si="4"/>
        <v>8070197.3776997989</v>
      </c>
      <c r="N8" s="301">
        <f t="shared" si="4"/>
        <v>10804810.269947195</v>
      </c>
      <c r="O8" s="301">
        <f t="shared" si="4"/>
        <v>13889879.052984364</v>
      </c>
      <c r="P8" s="301">
        <f t="shared" si="4"/>
        <v>17362916.994426459</v>
      </c>
      <c r="Q8" s="301">
        <f t="shared" si="4"/>
        <v>21265209.333927546</v>
      </c>
      <c r="R8" s="301">
        <f t="shared" si="4"/>
        <v>25642182.9608928</v>
      </c>
      <c r="S8" s="301">
        <f t="shared" si="4"/>
        <v>30543811.920372039</v>
      </c>
      <c r="T8" s="301">
        <f t="shared" si="4"/>
        <v>36025062.202168256</v>
      </c>
      <c r="U8" s="301">
        <f t="shared" si="4"/>
        <v>42146379.600620426</v>
      </c>
      <c r="V8" s="301">
        <f t="shared" si="4"/>
        <v>48974224.796896048</v>
      </c>
      <c r="W8" s="301">
        <f t="shared" si="4"/>
        <v>56581660.21502652</v>
      </c>
      <c r="X8" s="301">
        <f t="shared" si="4"/>
        <v>60290383.439785033</v>
      </c>
      <c r="Y8" s="301">
        <f t="shared" si="4"/>
        <v>62952137.786260732</v>
      </c>
      <c r="Z8" s="301">
        <f t="shared" si="4"/>
        <v>65730581.853714801</v>
      </c>
      <c r="AA8" s="301">
        <f t="shared" si="4"/>
        <v>68630831.249829039</v>
      </c>
      <c r="AB8" s="301">
        <f t="shared" si="4"/>
        <v>71658225.847471073</v>
      </c>
      <c r="AC8" s="301">
        <f t="shared" si="4"/>
        <v>74818339.61634618</v>
      </c>
      <c r="AD8" s="301">
        <f t="shared" si="4"/>
        <v>78116990.88566272</v>
      </c>
      <c r="AE8" s="301">
        <f t="shared" si="4"/>
        <v>81560253.056706905</v>
      </c>
      <c r="AF8" s="301">
        <f t="shared" si="4"/>
        <v>85154465.785050467</v>
      </c>
      <c r="AG8" s="301">
        <f t="shared" si="4"/>
        <v>88906246.652979285</v>
      </c>
      <c r="AH8" s="301">
        <f t="shared" si="4"/>
        <v>92822503.353634834</v>
      </c>
      <c r="AI8" s="301">
        <f t="shared" si="4"/>
        <v>96910446.40930064</v>
      </c>
      <c r="AJ8" s="301">
        <f t="shared" si="4"/>
        <v>101177602.44725105</v>
      </c>
      <c r="AK8" s="301">
        <f t="shared" si="4"/>
        <v>105631828.0576054</v>
      </c>
      <c r="AL8" s="301">
        <f t="shared" si="4"/>
        <v>110281324.25870192</v>
      </c>
      <c r="AM8" s="301">
        <f t="shared" si="4"/>
        <v>115134651.59662522</v>
      </c>
      <c r="AN8" s="301">
        <f t="shared" si="4"/>
        <v>120200745.90668806</v>
      </c>
    </row>
    <row r="9" spans="1:45" x14ac:dyDescent="0.25">
      <c r="A9" s="546"/>
      <c r="B9" s="172" t="s">
        <v>4099</v>
      </c>
      <c r="C9" s="172"/>
      <c r="D9" s="206"/>
      <c r="E9" s="115"/>
      <c r="F9" s="37"/>
      <c r="J9" s="212"/>
      <c r="K9" s="212"/>
      <c r="L9" s="212"/>
      <c r="M9" s="212"/>
      <c r="N9" s="212"/>
      <c r="O9" s="212"/>
      <c r="P9" s="212"/>
      <c r="Q9" s="212"/>
      <c r="R9" s="212"/>
      <c r="S9" s="212"/>
      <c r="T9" s="212"/>
      <c r="U9" s="212"/>
      <c r="V9" s="212"/>
      <c r="W9" s="212"/>
      <c r="X9" s="212"/>
      <c r="Y9" s="212"/>
      <c r="Z9" s="212"/>
      <c r="AA9" s="212"/>
      <c r="AB9" s="212"/>
      <c r="AC9" s="212"/>
      <c r="AD9" s="212"/>
      <c r="AE9" s="212"/>
      <c r="AF9" s="212"/>
      <c r="AG9" s="212"/>
      <c r="AH9" s="212"/>
      <c r="AI9" s="212"/>
      <c r="AJ9" s="212"/>
      <c r="AK9" s="212"/>
      <c r="AL9" s="212"/>
      <c r="AM9" s="212"/>
      <c r="AN9" s="212"/>
    </row>
    <row r="10" spans="1:45" x14ac:dyDescent="0.25">
      <c r="A10" s="546"/>
      <c r="B10" s="545" t="s">
        <v>4100</v>
      </c>
      <c r="C10" s="545"/>
      <c r="D10" s="290">
        <v>10</v>
      </c>
      <c r="E10" s="302" t="s">
        <v>4119</v>
      </c>
      <c r="F10" s="37"/>
    </row>
    <row r="11" spans="1:45" x14ac:dyDescent="0.25">
      <c r="A11" s="546"/>
      <c r="B11" s="206" t="s">
        <v>4101</v>
      </c>
      <c r="C11" s="206">
        <v>3</v>
      </c>
      <c r="D11" s="289">
        <f>171.05*D5</f>
        <v>136.84</v>
      </c>
      <c r="E11" s="307" t="s">
        <v>4101</v>
      </c>
      <c r="F11" s="301">
        <f>$C11*$D11*F5</f>
        <v>0</v>
      </c>
      <c r="G11" s="301">
        <f t="shared" ref="G11:AN11" si="5">$C11*$D11*G5</f>
        <v>0</v>
      </c>
      <c r="H11" s="301">
        <f t="shared" si="5"/>
        <v>0</v>
      </c>
      <c r="I11" s="301">
        <f t="shared" si="5"/>
        <v>0</v>
      </c>
      <c r="J11" s="301">
        <f>$C11*$D11*J5</f>
        <v>215737.98194264976</v>
      </c>
      <c r="K11" s="301">
        <f t="shared" si="5"/>
        <v>461902.44464127673</v>
      </c>
      <c r="L11" s="301">
        <f t="shared" si="5"/>
        <v>741841.70785551053</v>
      </c>
      <c r="M11" s="301">
        <f t="shared" si="5"/>
        <v>1059244.3688271565</v>
      </c>
      <c r="N11" s="301">
        <f t="shared" si="5"/>
        <v>1418172.8028502667</v>
      </c>
      <c r="O11" s="301">
        <f t="shared" si="5"/>
        <v>1823099.9171370282</v>
      </c>
      <c r="P11" s="301">
        <f t="shared" si="5"/>
        <v>2278949.4719894454</v>
      </c>
      <c r="Q11" s="301">
        <f t="shared" si="5"/>
        <v>2791140.3135115919</v>
      </c>
      <c r="R11" s="301">
        <f t="shared" si="5"/>
        <v>3365634.8952276804</v>
      </c>
      <c r="S11" s="301">
        <f t="shared" si="5"/>
        <v>4008992.5022864002</v>
      </c>
      <c r="T11" s="301">
        <f t="shared" si="5"/>
        <v>4728427.6317379363</v>
      </c>
      <c r="U11" s="301">
        <f t="shared" si="5"/>
        <v>5531874.0260022432</v>
      </c>
      <c r="V11" s="301">
        <f t="shared" si="5"/>
        <v>6428054.9044728884</v>
      </c>
      <c r="W11" s="301">
        <f t="shared" si="5"/>
        <v>7426559.9906233009</v>
      </c>
      <c r="X11" s="301">
        <f t="shared" si="5"/>
        <v>7913344.1431669956</v>
      </c>
      <c r="Y11" s="301">
        <f t="shared" si="5"/>
        <v>8262709.6135204853</v>
      </c>
      <c r="Z11" s="301">
        <f t="shared" si="5"/>
        <v>8627391.0574569628</v>
      </c>
      <c r="AA11" s="301">
        <f t="shared" si="5"/>
        <v>9008059.9181117676</v>
      </c>
      <c r="AB11" s="301">
        <f t="shared" si="5"/>
        <v>9405417.0742863137</v>
      </c>
      <c r="AC11" s="301">
        <f t="shared" si="5"/>
        <v>9820194.1308901273</v>
      </c>
      <c r="AD11" s="301">
        <f t="shared" si="5"/>
        <v>10253154.765955038</v>
      </c>
      <c r="AE11" s="301">
        <f t="shared" si="5"/>
        <v>10705096.136701746</v>
      </c>
      <c r="AF11" s="301">
        <f t="shared" si="5"/>
        <v>11176850.347247453</v>
      </c>
      <c r="AG11" s="301">
        <f t="shared" si="5"/>
        <v>11669285.980656926</v>
      </c>
      <c r="AH11" s="301">
        <f t="shared" si="5"/>
        <v>12183309.698157793</v>
      </c>
      <c r="AI11" s="301">
        <f t="shared" si="5"/>
        <v>12719867.90846445</v>
      </c>
      <c r="AJ11" s="301">
        <f t="shared" si="5"/>
        <v>13279948.510284139</v>
      </c>
      <c r="AK11" s="301">
        <f t="shared" si="5"/>
        <v>13864582.711213475</v>
      </c>
      <c r="AL11" s="301">
        <f t="shared" si="5"/>
        <v>14474846.926374279</v>
      </c>
      <c r="AM11" s="301">
        <f t="shared" si="5"/>
        <v>15111864.760284485</v>
      </c>
      <c r="AN11" s="301">
        <f t="shared" si="5"/>
        <v>15776809.075613102</v>
      </c>
    </row>
    <row r="12" spans="1:45" x14ac:dyDescent="0.25">
      <c r="A12" s="546"/>
      <c r="B12" s="206" t="s">
        <v>4102</v>
      </c>
      <c r="C12" s="206">
        <v>7</v>
      </c>
      <c r="D12" s="289">
        <f>219.91*D5</f>
        <v>175.928</v>
      </c>
      <c r="E12" s="307" t="s">
        <v>4120</v>
      </c>
      <c r="F12" s="301">
        <f>$C12*$D12*F5</f>
        <v>0</v>
      </c>
      <c r="G12" s="301">
        <f t="shared" ref="G12:AN12" si="6">$C12*$D12*G5</f>
        <v>0</v>
      </c>
      <c r="H12" s="301">
        <f t="shared" si="6"/>
        <v>0</v>
      </c>
      <c r="I12" s="301">
        <f t="shared" si="6"/>
        <v>0</v>
      </c>
      <c r="J12" s="301">
        <f>$C12*$D12*J5</f>
        <v>647180.31231230008</v>
      </c>
      <c r="K12" s="301">
        <f t="shared" si="6"/>
        <v>1385635.3234092221</v>
      </c>
      <c r="L12" s="301">
        <f t="shared" si="6"/>
        <v>2225409.4705671584</v>
      </c>
      <c r="M12" s="301">
        <f t="shared" si="6"/>
        <v>3177567.9704598268</v>
      </c>
      <c r="N12" s="301">
        <f t="shared" si="6"/>
        <v>4254297.3156457469</v>
      </c>
      <c r="O12" s="301">
        <f t="shared" si="6"/>
        <v>5469015.5304359887</v>
      </c>
      <c r="P12" s="301">
        <f t="shared" si="6"/>
        <v>6836493.1281231474</v>
      </c>
      <c r="Q12" s="301">
        <f t="shared" si="6"/>
        <v>8372985.8022222342</v>
      </c>
      <c r="R12" s="301">
        <f t="shared" si="6"/>
        <v>10096379.983760372</v>
      </c>
      <c r="S12" s="301">
        <f t="shared" si="6"/>
        <v>12026352.50559216</v>
      </c>
      <c r="T12" s="301">
        <f t="shared" si="6"/>
        <v>14184545.734129258</v>
      </c>
      <c r="U12" s="301">
        <f t="shared" si="6"/>
        <v>16594759.659762397</v>
      </c>
      <c r="V12" s="301">
        <f t="shared" si="6"/>
        <v>19283162.580723826</v>
      </c>
      <c r="W12" s="301">
        <f t="shared" si="6"/>
        <v>22278522.172397528</v>
      </c>
      <c r="X12" s="301">
        <f t="shared" si="6"/>
        <v>23738798.740459867</v>
      </c>
      <c r="Y12" s="301">
        <f t="shared" si="6"/>
        <v>24786840.685501378</v>
      </c>
      <c r="Z12" s="301">
        <f t="shared" si="6"/>
        <v>25880828.163534105</v>
      </c>
      <c r="AA12" s="301">
        <f t="shared" si="6"/>
        <v>27022775.399286199</v>
      </c>
      <c r="AB12" s="301">
        <f t="shared" si="6"/>
        <v>28214784.919895012</v>
      </c>
      <c r="AC12" s="301">
        <f t="shared" si="6"/>
        <v>29459051.426032029</v>
      </c>
      <c r="AD12" s="301">
        <f t="shared" si="6"/>
        <v>30757865.832735475</v>
      </c>
      <c r="AE12" s="301">
        <f t="shared" si="6"/>
        <v>32113619.487390757</v>
      </c>
      <c r="AF12" s="301">
        <f t="shared" si="6"/>
        <v>33528808.572624605</v>
      </c>
      <c r="AG12" s="301">
        <f t="shared" si="6"/>
        <v>35006038.702219337</v>
      </c>
      <c r="AH12" s="301">
        <f t="shared" si="6"/>
        <v>36548029.718509525</v>
      </c>
      <c r="AI12" s="301">
        <f t="shared" si="6"/>
        <v>38157620.700093389</v>
      </c>
      <c r="AJ12" s="301">
        <f t="shared" si="6"/>
        <v>39837775.189079404</v>
      </c>
      <c r="AK12" s="301">
        <f t="shared" si="6"/>
        <v>41591586.647492334</v>
      </c>
      <c r="AL12" s="301">
        <f t="shared" si="6"/>
        <v>43422284.152884685</v>
      </c>
      <c r="AM12" s="301">
        <f t="shared" si="6"/>
        <v>45333238.343640521</v>
      </c>
      <c r="AN12" s="301">
        <f t="shared" si="6"/>
        <v>47327967.624917746</v>
      </c>
    </row>
    <row r="13" spans="1:45" x14ac:dyDescent="0.25">
      <c r="A13" s="546"/>
      <c r="B13" s="172" t="s">
        <v>4103</v>
      </c>
      <c r="C13" s="206"/>
      <c r="D13" s="206"/>
      <c r="E13" s="115"/>
      <c r="F13" s="37"/>
    </row>
    <row r="14" spans="1:45" x14ac:dyDescent="0.25">
      <c r="A14" s="546"/>
      <c r="B14" s="493" t="s">
        <v>3262</v>
      </c>
      <c r="C14" s="493"/>
      <c r="D14" s="493"/>
      <c r="E14" s="18"/>
      <c r="F14" s="88">
        <f>SUM(F6:F8,F11:F12)</f>
        <v>0</v>
      </c>
      <c r="G14" s="88">
        <f>SUM(G6:G8,G11:G12)</f>
        <v>0</v>
      </c>
      <c r="H14" s="88">
        <f t="shared" ref="H14:AM14" si="7">SUM(H6:H8,H11:H12)</f>
        <v>0</v>
      </c>
      <c r="I14" s="88">
        <f t="shared" si="7"/>
        <v>0</v>
      </c>
      <c r="J14" s="88">
        <f>SUM(J6:J8,J11:J12)</f>
        <v>2825379.2779256832</v>
      </c>
      <c r="K14" s="88">
        <f t="shared" si="7"/>
        <v>6049234.2783645913</v>
      </c>
      <c r="L14" s="88">
        <f t="shared" si="7"/>
        <v>9715415.7557343766</v>
      </c>
      <c r="M14" s="88">
        <f t="shared" si="7"/>
        <v>13872230.856128491</v>
      </c>
      <c r="N14" s="88">
        <f t="shared" si="7"/>
        <v>18572881.852376312</v>
      </c>
      <c r="O14" s="88">
        <f t="shared" si="7"/>
        <v>23875947.485391237</v>
      </c>
      <c r="P14" s="88">
        <f t="shared" si="7"/>
        <v>29845911.024190105</v>
      </c>
      <c r="Q14" s="88">
        <f t="shared" si="7"/>
        <v>36553739.552801654</v>
      </c>
      <c r="R14" s="88">
        <f t="shared" si="7"/>
        <v>44077519.426170029</v>
      </c>
      <c r="S14" s="88">
        <f t="shared" si="7"/>
        <v>52503153.312755533</v>
      </c>
      <c r="T14" s="88">
        <f t="shared" si="7"/>
        <v>61925124.762847729</v>
      </c>
      <c r="U14" s="88">
        <f t="shared" si="7"/>
        <v>72447336.813027799</v>
      </c>
      <c r="V14" s="88">
        <f t="shared" si="7"/>
        <v>84184031.763559505</v>
      </c>
      <c r="W14" s="88">
        <f t="shared" si="7"/>
        <v>97260799.952031419</v>
      </c>
      <c r="X14" s="88">
        <f t="shared" si="7"/>
        <v>103635893.68858626</v>
      </c>
      <c r="Y14" s="88">
        <f t="shared" si="7"/>
        <v>108211304.80289768</v>
      </c>
      <c r="Z14" s="88">
        <f t="shared" si="7"/>
        <v>112987299.20807406</v>
      </c>
      <c r="AA14" s="88">
        <f t="shared" si="7"/>
        <v>117972670.35580073</v>
      </c>
      <c r="AB14" s="88">
        <f t="shared" si="7"/>
        <v>123176597.19743352</v>
      </c>
      <c r="AC14" s="88">
        <f t="shared" si="7"/>
        <v>128608661.08407426</v>
      </c>
      <c r="AD14" s="88">
        <f t="shared" si="7"/>
        <v>134278863.40753502</v>
      </c>
      <c r="AE14" s="88">
        <f t="shared" si="7"/>
        <v>140197644.01467222</v>
      </c>
      <c r="AF14" s="88">
        <f t="shared" si="7"/>
        <v>146375900.42899409</v>
      </c>
      <c r="AG14" s="88">
        <f t="shared" si="7"/>
        <v>152825007.9149313</v>
      </c>
      <c r="AH14" s="88">
        <f t="shared" si="7"/>
        <v>159556840.42171425</v>
      </c>
      <c r="AI14" s="88">
        <f t="shared" si="7"/>
        <v>166583792.44541639</v>
      </c>
      <c r="AJ14" s="88">
        <f t="shared" si="7"/>
        <v>173918801.84941721</v>
      </c>
      <c r="AK14" s="88">
        <f t="shared" si="7"/>
        <v>181575373.68530047</v>
      </c>
      <c r="AL14" s="88">
        <f t="shared" si="7"/>
        <v>189567605.05804631</v>
      </c>
      <c r="AM14" s="88">
        <f t="shared" si="7"/>
        <v>197910211.08129841</v>
      </c>
      <c r="AN14" s="88">
        <f>SUM(AN6:AN8,AN11:AN12)</f>
        <v>206618551.97049505</v>
      </c>
    </row>
    <row r="15" spans="1:45" x14ac:dyDescent="0.25">
      <c r="A15" s="546"/>
      <c r="B15" s="100" t="s">
        <v>3790</v>
      </c>
      <c r="C15" s="100"/>
      <c r="D15" s="172" t="s">
        <v>3791</v>
      </c>
      <c r="E15" s="294"/>
      <c r="F15" s="17" t="s">
        <v>4063</v>
      </c>
      <c r="J15" s="213"/>
    </row>
    <row r="16" spans="1:45" x14ac:dyDescent="0.25">
      <c r="A16" s="546"/>
      <c r="B16" s="89">
        <v>0.6</v>
      </c>
      <c r="C16" s="89">
        <v>0.75</v>
      </c>
      <c r="D16" s="6">
        <v>21.45</v>
      </c>
      <c r="E16" s="295"/>
      <c r="F16" s="66">
        <v>5.11E-2</v>
      </c>
      <c r="G16" s="66">
        <v>5.11E-2</v>
      </c>
      <c r="H16" s="66">
        <v>5.11E-2</v>
      </c>
      <c r="I16" s="66">
        <v>5.11E-2</v>
      </c>
      <c r="J16" s="66">
        <v>5.11E-2</v>
      </c>
      <c r="K16" s="66">
        <v>5.11E-2</v>
      </c>
      <c r="L16" s="66">
        <v>5.11E-2</v>
      </c>
      <c r="M16" s="66">
        <v>5.11E-2</v>
      </c>
      <c r="N16" s="66">
        <v>5.11E-2</v>
      </c>
      <c r="O16" s="66">
        <v>5.11E-2</v>
      </c>
      <c r="P16" s="66">
        <v>5.11E-2</v>
      </c>
      <c r="Q16" s="66">
        <v>5.11E-2</v>
      </c>
      <c r="R16" s="66">
        <v>5.11E-2</v>
      </c>
      <c r="S16" s="66">
        <v>5.11E-2</v>
      </c>
      <c r="T16" s="66">
        <v>5.11E-2</v>
      </c>
      <c r="U16" s="66">
        <v>5.11E-2</v>
      </c>
      <c r="V16" s="66">
        <v>5.11E-2</v>
      </c>
      <c r="W16" s="66">
        <v>5.11E-2</v>
      </c>
      <c r="X16" s="66">
        <v>5.11E-2</v>
      </c>
      <c r="Y16" s="66">
        <v>5.11E-2</v>
      </c>
      <c r="Z16" s="66">
        <v>5.11E-2</v>
      </c>
      <c r="AA16" s="66">
        <v>5.11E-2</v>
      </c>
      <c r="AB16" s="66">
        <v>5.11E-2</v>
      </c>
      <c r="AC16" s="66">
        <v>5.11E-2</v>
      </c>
      <c r="AD16" s="66">
        <v>5.11E-2</v>
      </c>
      <c r="AE16" s="66">
        <v>5.11E-2</v>
      </c>
      <c r="AF16" s="66">
        <v>5.11E-2</v>
      </c>
      <c r="AG16" s="66">
        <v>5.11E-2</v>
      </c>
      <c r="AH16" s="66">
        <v>5.11E-2</v>
      </c>
      <c r="AI16" s="66">
        <v>5.11E-2</v>
      </c>
      <c r="AJ16" s="66">
        <v>5.11E-2</v>
      </c>
      <c r="AK16" s="66">
        <v>5.11E-2</v>
      </c>
      <c r="AL16" s="66">
        <v>5.11E-2</v>
      </c>
      <c r="AM16" s="66">
        <v>5.11E-2</v>
      </c>
      <c r="AN16" s="66">
        <v>5.11E-2</v>
      </c>
    </row>
    <row r="17" spans="1:40" x14ac:dyDescent="0.25">
      <c r="A17" s="546"/>
      <c r="B17" s="533" t="s">
        <v>3792</v>
      </c>
      <c r="C17" s="533"/>
      <c r="D17" s="291">
        <f>AVERAGE(B16:C16)*D16</f>
        <v>14.47875</v>
      </c>
      <c r="E17" s="296"/>
      <c r="F17" s="66">
        <f t="shared" ref="F17:AN17" si="8">1+F16</f>
        <v>1.0510999999999999</v>
      </c>
      <c r="G17" s="66">
        <f t="shared" si="8"/>
        <v>1.0510999999999999</v>
      </c>
      <c r="H17" s="66">
        <f t="shared" si="8"/>
        <v>1.0510999999999999</v>
      </c>
      <c r="I17" s="66">
        <f t="shared" si="8"/>
        <v>1.0510999999999999</v>
      </c>
      <c r="J17" s="66">
        <f t="shared" si="8"/>
        <v>1.0510999999999999</v>
      </c>
      <c r="K17" s="66">
        <f t="shared" si="8"/>
        <v>1.0510999999999999</v>
      </c>
      <c r="L17" s="66">
        <f t="shared" si="8"/>
        <v>1.0510999999999999</v>
      </c>
      <c r="M17" s="66">
        <f t="shared" si="8"/>
        <v>1.0510999999999999</v>
      </c>
      <c r="N17" s="66">
        <f t="shared" si="8"/>
        <v>1.0510999999999999</v>
      </c>
      <c r="O17" s="66">
        <f t="shared" si="8"/>
        <v>1.0510999999999999</v>
      </c>
      <c r="P17" s="66">
        <f t="shared" si="8"/>
        <v>1.0510999999999999</v>
      </c>
      <c r="Q17" s="66">
        <f t="shared" si="8"/>
        <v>1.0510999999999999</v>
      </c>
      <c r="R17" s="66">
        <f t="shared" si="8"/>
        <v>1.0510999999999999</v>
      </c>
      <c r="S17" s="66">
        <f t="shared" si="8"/>
        <v>1.0510999999999999</v>
      </c>
      <c r="T17" s="66">
        <f t="shared" si="8"/>
        <v>1.0510999999999999</v>
      </c>
      <c r="U17" s="66">
        <f t="shared" si="8"/>
        <v>1.0510999999999999</v>
      </c>
      <c r="V17" s="66">
        <f t="shared" si="8"/>
        <v>1.0510999999999999</v>
      </c>
      <c r="W17" s="66">
        <f t="shared" si="8"/>
        <v>1.0510999999999999</v>
      </c>
      <c r="X17" s="66">
        <f t="shared" si="8"/>
        <v>1.0510999999999999</v>
      </c>
      <c r="Y17" s="66">
        <f t="shared" si="8"/>
        <v>1.0510999999999999</v>
      </c>
      <c r="Z17" s="66">
        <f t="shared" si="8"/>
        <v>1.0510999999999999</v>
      </c>
      <c r="AA17" s="66">
        <f t="shared" si="8"/>
        <v>1.0510999999999999</v>
      </c>
      <c r="AB17" s="66">
        <f t="shared" si="8"/>
        <v>1.0510999999999999</v>
      </c>
      <c r="AC17" s="66">
        <f t="shared" si="8"/>
        <v>1.0510999999999999</v>
      </c>
      <c r="AD17" s="66">
        <f t="shared" si="8"/>
        <v>1.0510999999999999</v>
      </c>
      <c r="AE17" s="66">
        <f t="shared" si="8"/>
        <v>1.0510999999999999</v>
      </c>
      <c r="AF17" s="66">
        <f t="shared" si="8"/>
        <v>1.0510999999999999</v>
      </c>
      <c r="AG17" s="66">
        <f t="shared" si="8"/>
        <v>1.0510999999999999</v>
      </c>
      <c r="AH17" s="66">
        <f t="shared" si="8"/>
        <v>1.0510999999999999</v>
      </c>
      <c r="AI17" s="66">
        <f t="shared" si="8"/>
        <v>1.0510999999999999</v>
      </c>
      <c r="AJ17" s="66">
        <f t="shared" si="8"/>
        <v>1.0510999999999999</v>
      </c>
      <c r="AK17" s="66">
        <f t="shared" si="8"/>
        <v>1.0510999999999999</v>
      </c>
      <c r="AL17" s="66">
        <f t="shared" si="8"/>
        <v>1.0510999999999999</v>
      </c>
      <c r="AM17" s="66">
        <f t="shared" si="8"/>
        <v>1.0510999999999999</v>
      </c>
      <c r="AN17" s="66">
        <f t="shared" si="8"/>
        <v>1.0510999999999999</v>
      </c>
    </row>
    <row r="18" spans="1:40" x14ac:dyDescent="0.25">
      <c r="A18" s="546"/>
      <c r="E18" s="115"/>
      <c r="F18" s="66" t="s">
        <v>4137</v>
      </c>
    </row>
    <row r="19" spans="1:40" x14ac:dyDescent="0.25">
      <c r="A19" s="546"/>
      <c r="E19" s="115"/>
      <c r="F19" s="88"/>
      <c r="G19" s="88"/>
      <c r="H19" s="88"/>
      <c r="I19" s="88"/>
      <c r="J19" s="88"/>
      <c r="K19" s="88"/>
      <c r="L19" s="88"/>
      <c r="M19" s="88"/>
      <c r="N19" s="88"/>
      <c r="O19" s="88"/>
      <c r="P19" s="88"/>
      <c r="Q19" s="88"/>
      <c r="R19" s="88"/>
      <c r="S19" s="88"/>
      <c r="T19" s="88"/>
      <c r="U19" s="88"/>
      <c r="V19" s="88"/>
      <c r="W19" s="88"/>
      <c r="X19" s="88"/>
      <c r="Y19" s="88"/>
      <c r="Z19" s="88"/>
      <c r="AA19" s="88"/>
      <c r="AB19" s="88"/>
      <c r="AC19" s="88"/>
      <c r="AD19" s="88"/>
      <c r="AE19" s="88"/>
      <c r="AF19" s="88"/>
      <c r="AG19" s="88"/>
      <c r="AH19" s="88"/>
      <c r="AI19" s="88"/>
      <c r="AJ19" s="88"/>
      <c r="AK19" s="88"/>
      <c r="AL19" s="88"/>
      <c r="AM19" s="249"/>
    </row>
    <row r="20" spans="1:40" x14ac:dyDescent="0.25">
      <c r="A20" s="546"/>
      <c r="B20" s="547" t="s">
        <v>4105</v>
      </c>
      <c r="C20" s="547"/>
      <c r="D20" s="547"/>
      <c r="E20" s="293"/>
      <c r="F20" s="58" t="s">
        <v>3701</v>
      </c>
      <c r="G20" s="17" t="s">
        <v>3702</v>
      </c>
      <c r="H20" s="58" t="s">
        <v>3703</v>
      </c>
      <c r="I20" s="17" t="s">
        <v>3704</v>
      </c>
      <c r="J20" s="58" t="s">
        <v>3705</v>
      </c>
      <c r="K20" s="17" t="s">
        <v>3706</v>
      </c>
      <c r="L20" s="58" t="s">
        <v>3707</v>
      </c>
      <c r="M20" s="17" t="s">
        <v>3708</v>
      </c>
      <c r="N20" s="58" t="s">
        <v>3709</v>
      </c>
      <c r="O20" s="17" t="s">
        <v>3710</v>
      </c>
      <c r="P20" s="58" t="s">
        <v>3711</v>
      </c>
      <c r="Q20" s="17" t="s">
        <v>3712</v>
      </c>
      <c r="R20" s="58" t="s">
        <v>3713</v>
      </c>
      <c r="S20" s="17" t="s">
        <v>3714</v>
      </c>
      <c r="T20" s="58" t="s">
        <v>3715</v>
      </c>
      <c r="U20" s="17" t="s">
        <v>3716</v>
      </c>
      <c r="V20" s="58" t="s">
        <v>3717</v>
      </c>
      <c r="W20" s="17" t="s">
        <v>3718</v>
      </c>
      <c r="X20" s="58" t="s">
        <v>3719</v>
      </c>
      <c r="Y20" s="17" t="s">
        <v>3720</v>
      </c>
      <c r="Z20" s="58" t="s">
        <v>3721</v>
      </c>
      <c r="AA20" s="17" t="s">
        <v>3722</v>
      </c>
      <c r="AB20" s="58" t="s">
        <v>3723</v>
      </c>
      <c r="AC20" s="17" t="s">
        <v>3724</v>
      </c>
      <c r="AD20" s="58" t="s">
        <v>3725</v>
      </c>
      <c r="AE20" s="17" t="s">
        <v>3726</v>
      </c>
      <c r="AF20" s="58" t="s">
        <v>3727</v>
      </c>
      <c r="AG20" s="17" t="s">
        <v>3728</v>
      </c>
      <c r="AH20" s="58" t="s">
        <v>3729</v>
      </c>
      <c r="AI20" s="17" t="s">
        <v>3730</v>
      </c>
      <c r="AJ20" s="58" t="s">
        <v>3731</v>
      </c>
      <c r="AK20" s="17" t="s">
        <v>3732</v>
      </c>
      <c r="AL20" s="58" t="s">
        <v>3733</v>
      </c>
      <c r="AM20" s="17" t="s">
        <v>3734</v>
      </c>
      <c r="AN20" s="17" t="s">
        <v>3735</v>
      </c>
    </row>
    <row r="21" spans="1:40" x14ac:dyDescent="0.25">
      <c r="A21" s="546"/>
      <c r="B21" s="547"/>
      <c r="C21" s="547"/>
      <c r="D21" s="547"/>
      <c r="E21" s="549" t="s">
        <v>4113</v>
      </c>
      <c r="F21" s="36">
        <v>0</v>
      </c>
      <c r="G21">
        <v>0</v>
      </c>
      <c r="H21">
        <v>0</v>
      </c>
      <c r="I21">
        <v>0</v>
      </c>
      <c r="J21" s="36">
        <f>J3</f>
        <v>190223.15027599997</v>
      </c>
      <c r="K21" s="36">
        <f t="shared" ref="K21:AN21" si="9">K3</f>
        <v>198670.39603399741</v>
      </c>
      <c r="L21" s="36">
        <f t="shared" si="9"/>
        <v>207487.96400142094</v>
      </c>
      <c r="M21" s="36">
        <f t="shared" si="9"/>
        <v>216692.0888827793</v>
      </c>
      <c r="N21" s="36">
        <f t="shared" si="9"/>
        <v>226299.71710233181</v>
      </c>
      <c r="O21" s="36">
        <f t="shared" si="9"/>
        <v>236328.53800545682</v>
      </c>
      <c r="P21" s="36">
        <f t="shared" si="9"/>
        <v>246797.01642787067</v>
      </c>
      <c r="Q21" s="36">
        <f t="shared" si="9"/>
        <v>257724.42669266008</v>
      </c>
      <c r="R21" s="36">
        <f t="shared" si="9"/>
        <v>269130.88809772558</v>
      </c>
      <c r="S21" s="36">
        <f t="shared" si="9"/>
        <v>281037.4019589728</v>
      </c>
      <c r="T21" s="36">
        <f t="shared" si="9"/>
        <v>293465.89027745463</v>
      </c>
      <c r="U21" s="36">
        <f t="shared" si="9"/>
        <v>306439.23610165884</v>
      </c>
      <c r="V21" s="36">
        <f t="shared" si="9"/>
        <v>319981.32565925323</v>
      </c>
      <c r="W21" s="36">
        <f t="shared" si="9"/>
        <v>334117.09233586187</v>
      </c>
      <c r="X21" s="36">
        <f t="shared" si="9"/>
        <v>348872.5625818448</v>
      </c>
      <c r="Y21" s="36">
        <f t="shared" si="9"/>
        <v>364274.90383160301</v>
      </c>
      <c r="Z21" s="36">
        <f t="shared" si="9"/>
        <v>380352.47452363768</v>
      </c>
      <c r="AA21" s="36">
        <f t="shared" si="9"/>
        <v>397134.87631345831</v>
      </c>
      <c r="AB21" s="36">
        <f t="shared" si="9"/>
        <v>414653.00857547426</v>
      </c>
      <c r="AC21" s="36">
        <f t="shared" si="9"/>
        <v>432939.12529421656</v>
      </c>
      <c r="AD21" s="36">
        <f t="shared" si="9"/>
        <v>452026.89444963547</v>
      </c>
      <c r="AE21" s="36">
        <f t="shared" si="9"/>
        <v>471951.46000581695</v>
      </c>
      <c r="AF21" s="36">
        <f t="shared" si="9"/>
        <v>492749.5066172448</v>
      </c>
      <c r="AG21" s="36">
        <f t="shared" si="9"/>
        <v>514459.32717174699</v>
      </c>
      <c r="AH21" s="36">
        <f t="shared" si="9"/>
        <v>537120.89329448668</v>
      </c>
      <c r="AI21" s="36">
        <f t="shared" si="9"/>
        <v>560775.92894280318</v>
      </c>
      <c r="AJ21" s="36">
        <f t="shared" si="9"/>
        <v>585467.9872274081</v>
      </c>
      <c r="AK21" s="36">
        <f t="shared" si="9"/>
        <v>611242.53060137783</v>
      </c>
      <c r="AL21" s="36">
        <f t="shared" si="9"/>
        <v>638147.01456458145</v>
      </c>
      <c r="AM21" s="36">
        <f t="shared" si="9"/>
        <v>666230.97503766255</v>
      </c>
      <c r="AN21" s="36">
        <f t="shared" si="9"/>
        <v>695546.11956644373</v>
      </c>
    </row>
    <row r="22" spans="1:40" x14ac:dyDescent="0.25">
      <c r="A22" s="546"/>
      <c r="B22" s="547"/>
      <c r="C22" s="547"/>
      <c r="D22" s="547"/>
      <c r="E22" s="549"/>
      <c r="F22" s="36">
        <v>0</v>
      </c>
      <c r="G22">
        <v>0</v>
      </c>
      <c r="H22">
        <v>0</v>
      </c>
      <c r="I22">
        <v>0</v>
      </c>
      <c r="J22" s="36">
        <f>20%*J21</f>
        <v>38044.630055199996</v>
      </c>
      <c r="K22" s="36">
        <f>20%*K21</f>
        <v>39734.079206799484</v>
      </c>
      <c r="L22" s="36">
        <f t="shared" ref="L22:R22" si="10">20%*L21</f>
        <v>41497.59280028419</v>
      </c>
      <c r="M22" s="36">
        <f t="shared" si="10"/>
        <v>43338.417776555863</v>
      </c>
      <c r="N22" s="36">
        <f t="shared" si="10"/>
        <v>45259.943420466363</v>
      </c>
      <c r="O22" s="36">
        <f t="shared" si="10"/>
        <v>47265.707601091366</v>
      </c>
      <c r="P22" s="36">
        <f t="shared" si="10"/>
        <v>49359.403285574139</v>
      </c>
      <c r="Q22" s="36">
        <f t="shared" si="10"/>
        <v>51544.885338532018</v>
      </c>
      <c r="R22" s="36">
        <f t="shared" si="10"/>
        <v>53826.177619545117</v>
      </c>
      <c r="S22" s="36">
        <f t="shared" ref="S22:AN22" si="11">20%*S21</f>
        <v>56207.480391794561</v>
      </c>
      <c r="T22" s="36">
        <f t="shared" si="11"/>
        <v>58693.178055490927</v>
      </c>
      <c r="U22" s="36">
        <f t="shared" si="11"/>
        <v>61287.847220331772</v>
      </c>
      <c r="V22" s="36">
        <f t="shared" si="11"/>
        <v>63996.265131850647</v>
      </c>
      <c r="W22" s="36">
        <f t="shared" si="11"/>
        <v>66823.418467172378</v>
      </c>
      <c r="X22" s="36">
        <f t="shared" si="11"/>
        <v>69774.512516368966</v>
      </c>
      <c r="Y22" s="36">
        <f t="shared" si="11"/>
        <v>72854.980766320601</v>
      </c>
      <c r="Z22" s="36">
        <f t="shared" si="11"/>
        <v>76070.494904727544</v>
      </c>
      <c r="AA22" s="36">
        <f t="shared" si="11"/>
        <v>79426.975262691674</v>
      </c>
      <c r="AB22" s="36">
        <f t="shared" si="11"/>
        <v>82930.601715094861</v>
      </c>
      <c r="AC22" s="36">
        <f t="shared" si="11"/>
        <v>86587.825058843315</v>
      </c>
      <c r="AD22" s="36">
        <f t="shared" si="11"/>
        <v>90405.378889927102</v>
      </c>
      <c r="AE22" s="36">
        <f t="shared" si="11"/>
        <v>94390.292001163398</v>
      </c>
      <c r="AF22" s="36">
        <f t="shared" si="11"/>
        <v>98549.901323448968</v>
      </c>
      <c r="AG22" s="36">
        <f t="shared" si="11"/>
        <v>102891.8654343494</v>
      </c>
      <c r="AH22" s="36">
        <f t="shared" si="11"/>
        <v>107424.17865889735</v>
      </c>
      <c r="AI22" s="36">
        <f t="shared" si="11"/>
        <v>112155.18578856064</v>
      </c>
      <c r="AJ22" s="36">
        <f t="shared" si="11"/>
        <v>117093.59744548163</v>
      </c>
      <c r="AK22" s="36">
        <f t="shared" si="11"/>
        <v>122248.50612027558</v>
      </c>
      <c r="AL22" s="36">
        <f t="shared" si="11"/>
        <v>127629.4029129163</v>
      </c>
      <c r="AM22" s="36">
        <f t="shared" si="11"/>
        <v>133246.19500753251</v>
      </c>
      <c r="AN22" s="36">
        <f t="shared" si="11"/>
        <v>139109.22391328876</v>
      </c>
    </row>
    <row r="23" spans="1:40" x14ac:dyDescent="0.25">
      <c r="A23" s="546"/>
      <c r="B23" s="172" t="s">
        <v>4097</v>
      </c>
      <c r="C23" s="172"/>
      <c r="D23" s="288">
        <v>0.8</v>
      </c>
      <c r="E23" s="298" t="s">
        <v>4114</v>
      </c>
      <c r="F23" s="36">
        <v>0</v>
      </c>
      <c r="G23">
        <v>0</v>
      </c>
      <c r="H23">
        <v>0</v>
      </c>
      <c r="I23">
        <v>0</v>
      </c>
      <c r="J23" s="36">
        <f>J1*J22</f>
        <v>1902.2315027599998</v>
      </c>
      <c r="K23" s="36">
        <f>K1*K22</f>
        <v>4072.7431186969484</v>
      </c>
      <c r="L23" s="36">
        <f t="shared" ref="L23:AN23" si="12">L1*L22</f>
        <v>6541.0580651448008</v>
      </c>
      <c r="M23" s="36">
        <f t="shared" si="12"/>
        <v>9339.6998959589018</v>
      </c>
      <c r="N23" s="36">
        <f t="shared" si="12"/>
        <v>12504.487886868057</v>
      </c>
      <c r="O23" s="36">
        <f t="shared" si="12"/>
        <v>16074.86110618712</v>
      </c>
      <c r="P23" s="36">
        <f t="shared" si="12"/>
        <v>20094.233939617548</v>
      </c>
      <c r="Q23" s="36">
        <f t="shared" si="12"/>
        <v>24610.386104365174</v>
      </c>
      <c r="R23" s="36">
        <f t="shared" si="12"/>
        <v>29675.890479926547</v>
      </c>
      <c r="S23" s="36">
        <f t="shared" si="12"/>
        <v>35348.582403098029</v>
      </c>
      <c r="T23" s="36">
        <f t="shared" si="12"/>
        <v>41692.074425743966</v>
      </c>
      <c r="U23" s="36">
        <f t="shared" si="12"/>
        <v>48776.320918578858</v>
      </c>
      <c r="V23" s="36">
        <f t="shared" si="12"/>
        <v>56678.237325913979</v>
      </c>
      <c r="W23" s="36">
        <f t="shared" si="12"/>
        <v>65482.379338544481</v>
      </c>
      <c r="X23" s="36">
        <f t="shared" si="12"/>
        <v>69774.512516368966</v>
      </c>
      <c r="Y23" s="36">
        <f t="shared" si="12"/>
        <v>72854.980766320601</v>
      </c>
      <c r="Z23" s="36">
        <f t="shared" si="12"/>
        <v>76070.494904727544</v>
      </c>
      <c r="AA23" s="36">
        <f t="shared" si="12"/>
        <v>79426.975262691674</v>
      </c>
      <c r="AB23" s="36">
        <f t="shared" si="12"/>
        <v>82930.601715094861</v>
      </c>
      <c r="AC23" s="36">
        <f t="shared" si="12"/>
        <v>86587.825058843315</v>
      </c>
      <c r="AD23" s="36">
        <f t="shared" si="12"/>
        <v>90405.378889927102</v>
      </c>
      <c r="AE23" s="36">
        <f t="shared" si="12"/>
        <v>94390.292001163398</v>
      </c>
      <c r="AF23" s="36">
        <f t="shared" si="12"/>
        <v>98549.901323448968</v>
      </c>
      <c r="AG23" s="36">
        <f t="shared" si="12"/>
        <v>102891.8654343494</v>
      </c>
      <c r="AH23" s="36">
        <f t="shared" si="12"/>
        <v>107424.17865889735</v>
      </c>
      <c r="AI23" s="36">
        <f t="shared" si="12"/>
        <v>112155.18578856064</v>
      </c>
      <c r="AJ23" s="36">
        <f t="shared" si="12"/>
        <v>117093.59744548163</v>
      </c>
      <c r="AK23" s="36">
        <f t="shared" si="12"/>
        <v>122248.50612027558</v>
      </c>
      <c r="AL23" s="36">
        <f t="shared" si="12"/>
        <v>127629.4029129163</v>
      </c>
      <c r="AM23" s="36">
        <f t="shared" si="12"/>
        <v>133246.19500753251</v>
      </c>
      <c r="AN23" s="36">
        <f t="shared" si="12"/>
        <v>139109.22391328876</v>
      </c>
    </row>
    <row r="24" spans="1:40" x14ac:dyDescent="0.25">
      <c r="A24" s="546"/>
      <c r="B24" s="545" t="s">
        <v>4109</v>
      </c>
      <c r="C24" s="545"/>
      <c r="D24" s="289">
        <f>55.25*D23</f>
        <v>44.2</v>
      </c>
      <c r="E24" s="300" t="s">
        <v>4115</v>
      </c>
      <c r="F24" s="301">
        <f>F23*$D24</f>
        <v>0</v>
      </c>
      <c r="G24" s="301">
        <f t="shared" ref="G24:L24" si="13">G23*$D24</f>
        <v>0</v>
      </c>
      <c r="H24" s="301">
        <f t="shared" si="13"/>
        <v>0</v>
      </c>
      <c r="I24" s="301">
        <f t="shared" si="13"/>
        <v>0</v>
      </c>
      <c r="J24" s="301">
        <f>J23*$D24</f>
        <v>84078.632421991992</v>
      </c>
      <c r="K24" s="301">
        <f t="shared" si="13"/>
        <v>180015.24584640513</v>
      </c>
      <c r="L24" s="301">
        <f t="shared" si="13"/>
        <v>289114.76647940022</v>
      </c>
      <c r="M24" s="301">
        <f t="shared" ref="M24:AN24" si="14">M23*$D24</f>
        <v>412814.73540138348</v>
      </c>
      <c r="N24" s="301">
        <f t="shared" si="14"/>
        <v>552698.36459956819</v>
      </c>
      <c r="O24" s="301">
        <f t="shared" si="14"/>
        <v>710508.8608934707</v>
      </c>
      <c r="P24" s="301">
        <f t="shared" si="14"/>
        <v>888165.14013109566</v>
      </c>
      <c r="Q24" s="301">
        <f t="shared" si="14"/>
        <v>1087779.0658129407</v>
      </c>
      <c r="R24" s="301">
        <f t="shared" si="14"/>
        <v>1311674.3592127536</v>
      </c>
      <c r="S24" s="301">
        <f t="shared" si="14"/>
        <v>1562407.3422169329</v>
      </c>
      <c r="T24" s="301">
        <f t="shared" si="14"/>
        <v>1842789.6896178834</v>
      </c>
      <c r="U24" s="301">
        <f t="shared" si="14"/>
        <v>2155913.3846011856</v>
      </c>
      <c r="V24" s="301">
        <f t="shared" si="14"/>
        <v>2505178.0898053981</v>
      </c>
      <c r="W24" s="301">
        <f t="shared" si="14"/>
        <v>2894321.1667636661</v>
      </c>
      <c r="X24" s="301">
        <f t="shared" si="14"/>
        <v>3084033.4532235083</v>
      </c>
      <c r="Y24" s="301">
        <f t="shared" si="14"/>
        <v>3220190.1498713708</v>
      </c>
      <c r="Z24" s="301">
        <f t="shared" si="14"/>
        <v>3362315.8747889576</v>
      </c>
      <c r="AA24" s="301">
        <f t="shared" si="14"/>
        <v>3510672.3066109722</v>
      </c>
      <c r="AB24" s="301">
        <f t="shared" si="14"/>
        <v>3665532.5958071933</v>
      </c>
      <c r="AC24" s="301">
        <f t="shared" si="14"/>
        <v>3827181.867600875</v>
      </c>
      <c r="AD24" s="301">
        <f t="shared" si="14"/>
        <v>3995917.7469347781</v>
      </c>
      <c r="AE24" s="301">
        <f t="shared" si="14"/>
        <v>4172050.9064514223</v>
      </c>
      <c r="AF24" s="301">
        <f t="shared" si="14"/>
        <v>4355905.6384964446</v>
      </c>
      <c r="AG24" s="301">
        <f t="shared" si="14"/>
        <v>4547820.4521982437</v>
      </c>
      <c r="AH24" s="301">
        <f t="shared" si="14"/>
        <v>4748148.6967232628</v>
      </c>
      <c r="AI24" s="301">
        <f t="shared" si="14"/>
        <v>4957259.2118543806</v>
      </c>
      <c r="AJ24" s="301">
        <f t="shared" si="14"/>
        <v>5175537.0070902882</v>
      </c>
      <c r="AK24" s="301">
        <f t="shared" si="14"/>
        <v>5403383.9705161806</v>
      </c>
      <c r="AL24" s="301">
        <f t="shared" si="14"/>
        <v>5641219.6087509003</v>
      </c>
      <c r="AM24" s="301">
        <f t="shared" si="14"/>
        <v>5889481.8193329377</v>
      </c>
      <c r="AN24" s="301">
        <f t="shared" si="14"/>
        <v>6148627.6969673634</v>
      </c>
    </row>
    <row r="25" spans="1:40" x14ac:dyDescent="0.25">
      <c r="A25" s="546"/>
      <c r="B25" s="172" t="s">
        <v>4099</v>
      </c>
      <c r="C25" s="172"/>
      <c r="D25" s="206"/>
      <c r="E25" s="308"/>
      <c r="F25" s="46"/>
    </row>
    <row r="26" spans="1:40" x14ac:dyDescent="0.25">
      <c r="A26" s="546"/>
      <c r="B26" s="545" t="s">
        <v>4100</v>
      </c>
      <c r="C26" s="545"/>
      <c r="D26" s="290">
        <v>10</v>
      </c>
      <c r="E26" s="309"/>
      <c r="F26" s="46"/>
    </row>
    <row r="27" spans="1:40" x14ac:dyDescent="0.25">
      <c r="A27" s="546"/>
      <c r="B27" s="545" t="s">
        <v>4110</v>
      </c>
      <c r="C27" s="545"/>
      <c r="D27" s="289">
        <f>342.52*D23</f>
        <v>274.01600000000002</v>
      </c>
      <c r="E27" s="300" t="s">
        <v>4117</v>
      </c>
      <c r="F27" s="301">
        <f>F23*$D27</f>
        <v>0</v>
      </c>
      <c r="G27" s="301">
        <f t="shared" ref="G27:M27" si="15">G23*$D27</f>
        <v>0</v>
      </c>
      <c r="H27" s="301">
        <f t="shared" si="15"/>
        <v>0</v>
      </c>
      <c r="I27" s="301">
        <f t="shared" si="15"/>
        <v>0</v>
      </c>
      <c r="J27" s="301">
        <f t="shared" si="15"/>
        <v>521241.86746028415</v>
      </c>
      <c r="K27" s="301">
        <f t="shared" si="15"/>
        <v>1115996.7784128631</v>
      </c>
      <c r="L27" s="301">
        <f t="shared" si="15"/>
        <v>1792354.5667787178</v>
      </c>
      <c r="M27" s="301">
        <f t="shared" si="15"/>
        <v>2559227.2066910747</v>
      </c>
      <c r="N27" s="301">
        <f t="shared" ref="N27:AM27" si="16">N23*$D27</f>
        <v>3426429.7528080377</v>
      </c>
      <c r="O27" s="301">
        <f t="shared" si="16"/>
        <v>4404769.1408729702</v>
      </c>
      <c r="P27" s="301">
        <f t="shared" si="16"/>
        <v>5506141.6071982421</v>
      </c>
      <c r="Q27" s="301">
        <f t="shared" si="16"/>
        <v>6743639.5587737281</v>
      </c>
      <c r="R27" s="301">
        <f t="shared" si="16"/>
        <v>8131668.8057475537</v>
      </c>
      <c r="S27" s="301">
        <f t="shared" si="16"/>
        <v>9686077.1557673104</v>
      </c>
      <c r="T27" s="301">
        <f t="shared" si="16"/>
        <v>11424295.465844659</v>
      </c>
      <c r="U27" s="301">
        <f t="shared" si="16"/>
        <v>13365492.352825304</v>
      </c>
      <c r="V27" s="301">
        <f t="shared" si="16"/>
        <v>15530743.879097646</v>
      </c>
      <c r="W27" s="301">
        <f t="shared" si="16"/>
        <v>17943219.656830605</v>
      </c>
      <c r="X27" s="301">
        <f t="shared" si="16"/>
        <v>19119332.821685359</v>
      </c>
      <c r="Y27" s="301">
        <f t="shared" si="16"/>
        <v>19963430.409664106</v>
      </c>
      <c r="Z27" s="301">
        <f t="shared" si="16"/>
        <v>20844532.731813826</v>
      </c>
      <c r="AA27" s="301">
        <f t="shared" si="16"/>
        <v>21764262.053581722</v>
      </c>
      <c r="AB27" s="301">
        <f t="shared" si="16"/>
        <v>22724311.759563435</v>
      </c>
      <c r="AC27" s="301">
        <f t="shared" si="16"/>
        <v>23726449.471324012</v>
      </c>
      <c r="AD27" s="301">
        <f t="shared" si="16"/>
        <v>24772520.301902268</v>
      </c>
      <c r="AE27" s="301">
        <f t="shared" si="16"/>
        <v>25864450.25299079</v>
      </c>
      <c r="AF27" s="301">
        <f>AF23*$D27</f>
        <v>27004249.761046194</v>
      </c>
      <c r="AG27" s="301">
        <f t="shared" si="16"/>
        <v>28194017.398858685</v>
      </c>
      <c r="AH27" s="301">
        <f t="shared" si="16"/>
        <v>29435943.739396419</v>
      </c>
      <c r="AI27" s="301">
        <f t="shared" si="16"/>
        <v>30732315.389038235</v>
      </c>
      <c r="AJ27" s="301">
        <f t="shared" si="16"/>
        <v>32085519.197621096</v>
      </c>
      <c r="AK27" s="301">
        <f t="shared" si="16"/>
        <v>33498046.653053433</v>
      </c>
      <c r="AL27" s="301">
        <f t="shared" si="16"/>
        <v>34972498.468585677</v>
      </c>
      <c r="AM27" s="301">
        <f t="shared" si="16"/>
        <v>36511589.371184029</v>
      </c>
      <c r="AN27" s="301">
        <f>AN23*$D27</f>
        <v>38118153.099823736</v>
      </c>
    </row>
    <row r="28" spans="1:40" x14ac:dyDescent="0.25">
      <c r="A28" s="546"/>
      <c r="B28" s="545" t="s">
        <v>4111</v>
      </c>
      <c r="C28" s="545"/>
      <c r="D28" s="289">
        <f>6.25*D23</f>
        <v>5</v>
      </c>
      <c r="E28" s="300" t="s">
        <v>4118</v>
      </c>
      <c r="F28" s="301">
        <f>F23*$D28*$D26</f>
        <v>0</v>
      </c>
      <c r="G28" s="301">
        <f t="shared" ref="G28:K28" si="17">G23*$D28*$D26</f>
        <v>0</v>
      </c>
      <c r="H28" s="301">
        <f t="shared" si="17"/>
        <v>0</v>
      </c>
      <c r="I28" s="301">
        <f t="shared" si="17"/>
        <v>0</v>
      </c>
      <c r="J28" s="301">
        <f t="shared" si="17"/>
        <v>95111.575137999986</v>
      </c>
      <c r="K28" s="301">
        <f t="shared" si="17"/>
        <v>203637.15593484743</v>
      </c>
      <c r="L28" s="301">
        <f t="shared" ref="L28:AN28" si="18">L23*$D28*$D26</f>
        <v>327052.90325724002</v>
      </c>
      <c r="M28" s="301">
        <f t="shared" si="18"/>
        <v>466984.99479794514</v>
      </c>
      <c r="N28" s="301">
        <f t="shared" si="18"/>
        <v>625224.39434340282</v>
      </c>
      <c r="O28" s="301">
        <f>O23*$D28*$D26</f>
        <v>803743.05530935596</v>
      </c>
      <c r="P28" s="301">
        <f t="shared" si="18"/>
        <v>1004711.6969808774</v>
      </c>
      <c r="Q28" s="301">
        <f t="shared" si="18"/>
        <v>1230519.3052182586</v>
      </c>
      <c r="R28" s="301">
        <f t="shared" si="18"/>
        <v>1483794.5239963275</v>
      </c>
      <c r="S28" s="301">
        <f t="shared" si="18"/>
        <v>1767429.1201549014</v>
      </c>
      <c r="T28" s="301">
        <f t="shared" si="18"/>
        <v>2084603.7212871981</v>
      </c>
      <c r="U28" s="301">
        <f t="shared" si="18"/>
        <v>2438816.045928943</v>
      </c>
      <c r="V28" s="301">
        <f t="shared" si="18"/>
        <v>2833911.866295699</v>
      </c>
      <c r="W28" s="301">
        <f t="shared" si="18"/>
        <v>3274118.9669272238</v>
      </c>
      <c r="X28" s="301">
        <f t="shared" si="18"/>
        <v>3488725.6258184486</v>
      </c>
      <c r="Y28" s="301">
        <f t="shared" si="18"/>
        <v>3642749.0383160301</v>
      </c>
      <c r="Z28" s="301">
        <f t="shared" si="18"/>
        <v>3803524.7452363772</v>
      </c>
      <c r="AA28" s="301">
        <f t="shared" si="18"/>
        <v>3971348.7631345838</v>
      </c>
      <c r="AB28" s="301">
        <f t="shared" si="18"/>
        <v>4146530.0857547433</v>
      </c>
      <c r="AC28" s="301">
        <f t="shared" si="18"/>
        <v>4329391.2529421654</v>
      </c>
      <c r="AD28" s="301">
        <f t="shared" si="18"/>
        <v>4520268.944496355</v>
      </c>
      <c r="AE28" s="301">
        <f t="shared" si="18"/>
        <v>4719514.60005817</v>
      </c>
      <c r="AF28" s="301">
        <f t="shared" si="18"/>
        <v>4927495.0661724489</v>
      </c>
      <c r="AG28" s="301">
        <f t="shared" si="18"/>
        <v>5144593.2717174701</v>
      </c>
      <c r="AH28" s="301">
        <f t="shared" si="18"/>
        <v>5371208.9329448668</v>
      </c>
      <c r="AI28" s="301">
        <f t="shared" si="18"/>
        <v>5607759.289428032</v>
      </c>
      <c r="AJ28" s="301">
        <f t="shared" si="18"/>
        <v>5854679.8722740822</v>
      </c>
      <c r="AK28" s="301">
        <f t="shared" si="18"/>
        <v>6112425.3060137779</v>
      </c>
      <c r="AL28" s="301">
        <f t="shared" si="18"/>
        <v>6381470.145645814</v>
      </c>
      <c r="AM28" s="301">
        <f t="shared" si="18"/>
        <v>6662309.750376625</v>
      </c>
      <c r="AN28" s="301">
        <f t="shared" si="18"/>
        <v>6955461.1956644384</v>
      </c>
    </row>
    <row r="29" spans="1:40" x14ac:dyDescent="0.25">
      <c r="A29" s="546"/>
      <c r="B29" s="533" t="s">
        <v>3262</v>
      </c>
      <c r="C29" s="533"/>
      <c r="D29" s="533"/>
      <c r="E29" s="18"/>
    </row>
    <row r="30" spans="1:40" x14ac:dyDescent="0.25">
      <c r="B30" s="493" t="s">
        <v>3262</v>
      </c>
      <c r="C30" s="493"/>
      <c r="D30" s="493"/>
      <c r="E30" s="297"/>
      <c r="F30" s="88">
        <f>SUM(F24,F27:F28)</f>
        <v>0</v>
      </c>
      <c r="G30" s="88">
        <f t="shared" ref="G30:AN30" si="19">SUM(G24,G27:G28)</f>
        <v>0</v>
      </c>
      <c r="H30" s="88">
        <f t="shared" si="19"/>
        <v>0</v>
      </c>
      <c r="I30" s="88">
        <f t="shared" si="19"/>
        <v>0</v>
      </c>
      <c r="J30" s="88">
        <f>SUM(J24,J27:J28)</f>
        <v>700432.07502027613</v>
      </c>
      <c r="K30" s="88">
        <f t="shared" si="19"/>
        <v>1499649.1801941157</v>
      </c>
      <c r="L30" s="88">
        <f t="shared" si="19"/>
        <v>2408522.2365153581</v>
      </c>
      <c r="M30" s="88">
        <f t="shared" si="19"/>
        <v>3439026.9368904033</v>
      </c>
      <c r="N30" s="88">
        <f t="shared" si="19"/>
        <v>4604352.5117510092</v>
      </c>
      <c r="O30" s="88">
        <f t="shared" si="19"/>
        <v>5919021.0570757976</v>
      </c>
      <c r="P30" s="88">
        <f t="shared" si="19"/>
        <v>7399018.4443102153</v>
      </c>
      <c r="Q30" s="88">
        <f t="shared" si="19"/>
        <v>9061937.9298049267</v>
      </c>
      <c r="R30" s="88">
        <f t="shared" si="19"/>
        <v>10927137.688956635</v>
      </c>
      <c r="S30" s="88">
        <f t="shared" si="19"/>
        <v>13015913.618139144</v>
      </c>
      <c r="T30" s="88">
        <f t="shared" si="19"/>
        <v>15351688.876749741</v>
      </c>
      <c r="U30" s="88">
        <f t="shared" si="19"/>
        <v>17960221.783355433</v>
      </c>
      <c r="V30" s="88">
        <f t="shared" si="19"/>
        <v>20869833.835198741</v>
      </c>
      <c r="W30" s="88">
        <f t="shared" si="19"/>
        <v>24111659.790521495</v>
      </c>
      <c r="X30" s="88">
        <f t="shared" si="19"/>
        <v>25692091.900727317</v>
      </c>
      <c r="Y30" s="88">
        <f t="shared" si="19"/>
        <v>26826369.597851507</v>
      </c>
      <c r="Z30" s="88">
        <f t="shared" si="19"/>
        <v>28010373.351839162</v>
      </c>
      <c r="AA30" s="88">
        <f t="shared" si="19"/>
        <v>29246283.123327278</v>
      </c>
      <c r="AB30" s="88">
        <f t="shared" si="19"/>
        <v>30536374.441125374</v>
      </c>
      <c r="AC30" s="88">
        <f t="shared" si="19"/>
        <v>31883022.591867052</v>
      </c>
      <c r="AD30" s="88">
        <f t="shared" si="19"/>
        <v>33288706.993333403</v>
      </c>
      <c r="AE30" s="88">
        <f t="shared" si="19"/>
        <v>34756015.759500384</v>
      </c>
      <c r="AF30" s="88">
        <f t="shared" si="19"/>
        <v>36287650.465715088</v>
      </c>
      <c r="AG30" s="88">
        <f t="shared" si="19"/>
        <v>37886431.1227744</v>
      </c>
      <c r="AH30" s="88">
        <f t="shared" si="19"/>
        <v>39555301.369064547</v>
      </c>
      <c r="AI30" s="88">
        <f t="shared" si="19"/>
        <v>41297333.890320651</v>
      </c>
      <c r="AJ30" s="88">
        <f t="shared" si="19"/>
        <v>43115736.076985464</v>
      </c>
      <c r="AK30" s="88">
        <f t="shared" si="19"/>
        <v>45013855.929583393</v>
      </c>
      <c r="AL30" s="88">
        <f t="shared" si="19"/>
        <v>46995188.222982392</v>
      </c>
      <c r="AM30" s="88">
        <f t="shared" si="19"/>
        <v>49063380.94089359</v>
      </c>
      <c r="AN30" s="88">
        <f t="shared" si="19"/>
        <v>51222241.992455535</v>
      </c>
    </row>
    <row r="31" spans="1:40" x14ac:dyDescent="0.25">
      <c r="B31" s="17"/>
      <c r="C31" s="17"/>
      <c r="D31" s="17"/>
      <c r="E31" s="297"/>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8"/>
      <c r="AM31" s="88"/>
      <c r="AN31" s="88"/>
    </row>
    <row r="32" spans="1:40" ht="15" customHeight="1" x14ac:dyDescent="0.25">
      <c r="A32" s="546" t="s">
        <v>4121</v>
      </c>
      <c r="B32" s="547" t="s">
        <v>4112</v>
      </c>
      <c r="C32" s="547"/>
      <c r="D32" s="547"/>
      <c r="E32" s="293"/>
      <c r="F32" s="58" t="s">
        <v>3701</v>
      </c>
      <c r="G32" s="17" t="s">
        <v>3702</v>
      </c>
      <c r="H32" s="58" t="s">
        <v>3703</v>
      </c>
      <c r="I32" s="17" t="s">
        <v>3704</v>
      </c>
      <c r="J32" s="58" t="s">
        <v>3705</v>
      </c>
      <c r="K32" s="17" t="s">
        <v>3706</v>
      </c>
      <c r="L32" s="58" t="s">
        <v>3707</v>
      </c>
      <c r="M32" s="17" t="s">
        <v>3708</v>
      </c>
      <c r="N32" s="58" t="s">
        <v>3709</v>
      </c>
      <c r="O32" s="17" t="s">
        <v>3710</v>
      </c>
      <c r="P32" s="58" t="s">
        <v>3711</v>
      </c>
      <c r="Q32" s="17" t="s">
        <v>3712</v>
      </c>
      <c r="R32" s="58" t="s">
        <v>3713</v>
      </c>
      <c r="S32" s="17" t="s">
        <v>3714</v>
      </c>
      <c r="T32" s="58" t="s">
        <v>3715</v>
      </c>
      <c r="U32" s="17" t="s">
        <v>3716</v>
      </c>
      <c r="V32" s="58" t="s">
        <v>3717</v>
      </c>
      <c r="W32" s="17" t="s">
        <v>3718</v>
      </c>
      <c r="X32" s="58" t="s">
        <v>3719</v>
      </c>
      <c r="Y32" s="17" t="s">
        <v>3720</v>
      </c>
      <c r="Z32" s="58" t="s">
        <v>3721</v>
      </c>
      <c r="AA32" s="17" t="s">
        <v>3722</v>
      </c>
      <c r="AB32" s="58" t="s">
        <v>3723</v>
      </c>
      <c r="AC32" s="17" t="s">
        <v>3724</v>
      </c>
      <c r="AD32" s="58" t="s">
        <v>3725</v>
      </c>
      <c r="AE32" s="17" t="s">
        <v>3726</v>
      </c>
      <c r="AF32" s="58" t="s">
        <v>3727</v>
      </c>
      <c r="AG32" s="17" t="s">
        <v>3728</v>
      </c>
      <c r="AH32" s="58" t="s">
        <v>3729</v>
      </c>
      <c r="AI32" s="17" t="s">
        <v>3730</v>
      </c>
      <c r="AJ32" s="58" t="s">
        <v>3731</v>
      </c>
      <c r="AK32" s="17" t="s">
        <v>3732</v>
      </c>
      <c r="AL32" s="58" t="s">
        <v>3733</v>
      </c>
      <c r="AM32" s="17" t="s">
        <v>3734</v>
      </c>
      <c r="AN32" s="17" t="s">
        <v>3735</v>
      </c>
    </row>
    <row r="33" spans="1:45" x14ac:dyDescent="0.25">
      <c r="A33" s="546"/>
      <c r="B33" s="547"/>
      <c r="C33" s="547"/>
      <c r="D33" s="547"/>
      <c r="E33" s="311" t="s">
        <v>4113</v>
      </c>
      <c r="F33" s="36">
        <v>0</v>
      </c>
      <c r="G33" s="36">
        <v>0</v>
      </c>
      <c r="H33" s="36">
        <v>0</v>
      </c>
      <c r="I33" s="36">
        <v>0</v>
      </c>
      <c r="J33" s="36">
        <f>Import_Frios!F16</f>
        <v>48929.45655026046</v>
      </c>
      <c r="K33" s="36">
        <f>Import_Frios!G16</f>
        <v>51793.447147088271</v>
      </c>
      <c r="L33" s="36">
        <f>Import_Frios!H16</f>
        <v>54825.075864529434</v>
      </c>
      <c r="M33" s="36">
        <f>Import_Frios!I16</f>
        <v>58034.155074005103</v>
      </c>
      <c r="N33" s="36">
        <f>Import_Frios!J16</f>
        <v>61431.071495017612</v>
      </c>
      <c r="O33" s="36">
        <f>Import_Frios!K16</f>
        <v>65026.819813498601</v>
      </c>
      <c r="P33" s="36">
        <f>Import_Frios!L16</f>
        <v>68833.038267941767</v>
      </c>
      <c r="Q33" s="36">
        <f>Import_Frios!M16</f>
        <v>72862.046318500725</v>
      </c>
      <c r="R33" s="36">
        <f>Import_Frios!N16</f>
        <v>77126.884520974243</v>
      </c>
      <c r="S33" s="36">
        <f>Import_Frios!O16</f>
        <v>81641.356734737652</v>
      </c>
      <c r="T33" s="36">
        <f>Import_Frios!P16</f>
        <v>86420.07480123351</v>
      </c>
      <c r="U33" s="36">
        <f>Import_Frios!Q16</f>
        <v>91478.505837630772</v>
      </c>
      <c r="V33" s="36">
        <f>Import_Frios!R16</f>
        <v>96833.022298726399</v>
      </c>
      <c r="W33" s="36">
        <f>Import_Frios!S16</f>
        <v>102500.95496912296</v>
      </c>
      <c r="X33" s="36">
        <f>Import_Frios!T16</f>
        <v>108500.6490572004</v>
      </c>
      <c r="Y33" s="36">
        <f>Import_Frios!U16</f>
        <v>114851.52357243926</v>
      </c>
      <c r="Z33" s="36">
        <f>Import_Frios!V16</f>
        <v>121574.13417828019</v>
      </c>
      <c r="AA33" s="36">
        <f>Import_Frios!W16</f>
        <v>128690.23972395324</v>
      </c>
      <c r="AB33" s="36">
        <f>Import_Frios!X16</f>
        <v>136222.87267061853</v>
      </c>
      <c r="AC33" s="36">
        <f>Import_Frios!Y16</f>
        <v>144196.41363976398</v>
      </c>
      <c r="AD33" s="36">
        <f>Import_Frios!Z16</f>
        <v>152636.67032514871</v>
      </c>
      <c r="AE33" s="36">
        <f>Import_Frios!AA16</f>
        <v>161570.96102370351</v>
      </c>
      <c r="AF33" s="36">
        <f>Import_Frios!AB16</f>
        <v>171028.20305575008</v>
      </c>
      <c r="AG33" s="36">
        <f>Import_Frios!AC16</f>
        <v>181039.00636072605</v>
      </c>
      <c r="AH33" s="36">
        <f>Import_Frios!AD16</f>
        <v>191635.77257135362</v>
      </c>
      <c r="AI33" s="36">
        <f>Import_Frios!AE16</f>
        <v>202852.79988692206</v>
      </c>
      <c r="AJ33" s="36">
        <f>Import_Frios!AF16</f>
        <v>214726.39408512384</v>
      </c>
      <c r="AK33" s="36">
        <f>Import_Frios!AG16</f>
        <v>227294.98603175287</v>
      </c>
      <c r="AL33" s="36">
        <f>Import_Frios!AH16</f>
        <v>240599.25606860421</v>
      </c>
      <c r="AM33" s="36">
        <f>Import_Frios!AI16</f>
        <v>254682.26568217782</v>
      </c>
      <c r="AN33" s="36">
        <f>Import_Frios!AJ16</f>
        <v>269589.59687935369</v>
      </c>
    </row>
    <row r="34" spans="1:45" x14ac:dyDescent="0.25">
      <c r="A34" s="546"/>
      <c r="B34" s="547"/>
      <c r="C34" s="547"/>
      <c r="D34" s="547"/>
      <c r="E34" s="311" t="s">
        <v>4114</v>
      </c>
      <c r="F34" s="36">
        <v>0</v>
      </c>
      <c r="G34" s="36">
        <v>0</v>
      </c>
      <c r="H34" s="36">
        <v>0</v>
      </c>
      <c r="I34" s="36">
        <f>I33*J1</f>
        <v>0</v>
      </c>
      <c r="J34" s="36">
        <f>J33*J1</f>
        <v>2446.4728275130233</v>
      </c>
      <c r="K34" s="36">
        <f>K33*K1</f>
        <v>5308.8283325765497</v>
      </c>
      <c r="L34" s="36">
        <f t="shared" ref="L34:AN34" si="20">L33*L1</f>
        <v>8641.8025831464583</v>
      </c>
      <c r="M34" s="36">
        <f t="shared" si="20"/>
        <v>12506.723131917326</v>
      </c>
      <c r="N34" s="36">
        <f t="shared" si="20"/>
        <v>16972.272418692697</v>
      </c>
      <c r="O34" s="36">
        <f t="shared" si="20"/>
        <v>22115.337942278278</v>
      </c>
      <c r="P34" s="36">
        <f t="shared" si="20"/>
        <v>28021.958971592954</v>
      </c>
      <c r="Q34" s="36">
        <f t="shared" si="20"/>
        <v>34788.380660379029</v>
      </c>
      <c r="R34" s="36">
        <f t="shared" si="20"/>
        <v>42522.227646929765</v>
      </c>
      <c r="S34" s="36">
        <f t="shared" si="20"/>
        <v>51343.81057329684</v>
      </c>
      <c r="T34" s="36">
        <f t="shared" si="20"/>
        <v>61387.580462672071</v>
      </c>
      <c r="U34" s="36">
        <f t="shared" si="20"/>
        <v>72803.747565930811</v>
      </c>
      <c r="V34" s="36">
        <f t="shared" si="20"/>
        <v>85760.083147433892</v>
      </c>
      <c r="W34" s="36">
        <f t="shared" si="20"/>
        <v>100443.92474695844</v>
      </c>
      <c r="X34" s="36">
        <f t="shared" si="20"/>
        <v>108500.6490572004</v>
      </c>
      <c r="Y34" s="36">
        <f t="shared" si="20"/>
        <v>114851.52357243926</v>
      </c>
      <c r="Z34" s="36">
        <f t="shared" si="20"/>
        <v>121574.13417828019</v>
      </c>
      <c r="AA34" s="36">
        <f t="shared" si="20"/>
        <v>128690.23972395324</v>
      </c>
      <c r="AB34" s="36">
        <f t="shared" si="20"/>
        <v>136222.87267061853</v>
      </c>
      <c r="AC34" s="36">
        <f t="shared" si="20"/>
        <v>144196.41363976398</v>
      </c>
      <c r="AD34" s="36">
        <f t="shared" si="20"/>
        <v>152636.67032514871</v>
      </c>
      <c r="AE34" s="36">
        <f t="shared" si="20"/>
        <v>161570.96102370351</v>
      </c>
      <c r="AF34" s="36">
        <f t="shared" si="20"/>
        <v>171028.20305575008</v>
      </c>
      <c r="AG34" s="36">
        <f t="shared" si="20"/>
        <v>181039.00636072605</v>
      </c>
      <c r="AH34" s="36">
        <f t="shared" si="20"/>
        <v>191635.77257135362</v>
      </c>
      <c r="AI34" s="36">
        <f t="shared" si="20"/>
        <v>202852.79988692206</v>
      </c>
      <c r="AJ34" s="36">
        <f t="shared" si="20"/>
        <v>214726.39408512384</v>
      </c>
      <c r="AK34" s="36">
        <f t="shared" si="20"/>
        <v>227294.98603175287</v>
      </c>
      <c r="AL34" s="36">
        <f t="shared" si="20"/>
        <v>240599.25606860421</v>
      </c>
      <c r="AM34" s="36">
        <f t="shared" si="20"/>
        <v>254682.26568217782</v>
      </c>
      <c r="AN34" s="36">
        <f t="shared" si="20"/>
        <v>269589.59687935369</v>
      </c>
    </row>
    <row r="35" spans="1:45" x14ac:dyDescent="0.25">
      <c r="A35" s="546"/>
      <c r="B35" s="172" t="s">
        <v>4097</v>
      </c>
      <c r="C35" s="172"/>
      <c r="D35" s="288">
        <v>0.8</v>
      </c>
      <c r="E35" s="299" t="s">
        <v>3259</v>
      </c>
      <c r="F35" s="36">
        <v>0</v>
      </c>
      <c r="G35" s="36">
        <v>0</v>
      </c>
      <c r="H35" s="36">
        <v>0</v>
      </c>
      <c r="I35" s="36">
        <f>I33/$D17</f>
        <v>0</v>
      </c>
      <c r="J35" s="36">
        <f t="shared" ref="J35:AN35" si="21">J34/$D17</f>
        <v>168.96989225679172</v>
      </c>
      <c r="K35" s="36">
        <f t="shared" si="21"/>
        <v>366.66344350006386</v>
      </c>
      <c r="L35" s="36">
        <f t="shared" si="21"/>
        <v>596.86109527041071</v>
      </c>
      <c r="M35" s="36">
        <f t="shared" si="21"/>
        <v>863.79854144296473</v>
      </c>
      <c r="N35" s="36">
        <f t="shared" si="21"/>
        <v>1172.2194539371628</v>
      </c>
      <c r="O35" s="36">
        <f t="shared" si="21"/>
        <v>1527.4342013142211</v>
      </c>
      <c r="P35" s="36">
        <f t="shared" si="21"/>
        <v>1935.3852350232551</v>
      </c>
      <c r="Q35" s="36">
        <f t="shared" si="21"/>
        <v>2402.7198936634054</v>
      </c>
      <c r="R35" s="36">
        <f t="shared" si="21"/>
        <v>2936.8714596860755</v>
      </c>
      <c r="S35" s="36">
        <f t="shared" si="21"/>
        <v>3546.1493964117649</v>
      </c>
      <c r="T35" s="36">
        <f t="shared" si="21"/>
        <v>4239.8397971283484</v>
      </c>
      <c r="U35" s="36">
        <f t="shared" si="21"/>
        <v>5028.3171935374812</v>
      </c>
      <c r="V35" s="36">
        <f t="shared" si="21"/>
        <v>5923.1689992184338</v>
      </c>
      <c r="W35" s="36">
        <f t="shared" si="21"/>
        <v>6937.3340065239363</v>
      </c>
      <c r="X35" s="36">
        <f t="shared" si="21"/>
        <v>7493.7856553362963</v>
      </c>
      <c r="Y35" s="36">
        <f t="shared" si="21"/>
        <v>7932.4198271562982</v>
      </c>
      <c r="Z35" s="36">
        <f t="shared" si="21"/>
        <v>8396.7285973084818</v>
      </c>
      <c r="AA35" s="36">
        <f t="shared" si="21"/>
        <v>8888.2147784824829</v>
      </c>
      <c r="AB35" s="36">
        <f t="shared" si="21"/>
        <v>9408.4691475865347</v>
      </c>
      <c r="AC35" s="36">
        <f t="shared" si="21"/>
        <v>9959.1755945619607</v>
      </c>
      <c r="AD35" s="36">
        <f t="shared" si="21"/>
        <v>10542.11657257351</v>
      </c>
      <c r="AE35" s="36">
        <f t="shared" si="21"/>
        <v>11159.178867215989</v>
      </c>
      <c r="AF35" s="36">
        <f t="shared" si="21"/>
        <v>11812.359703410177</v>
      </c>
      <c r="AG35" s="36">
        <f t="shared" si="21"/>
        <v>12503.773209754023</v>
      </c>
      <c r="AH35" s="36">
        <f t="shared" si="21"/>
        <v>13235.657261252085</v>
      </c>
      <c r="AI35" s="36">
        <f t="shared" si="21"/>
        <v>14010.380722570806</v>
      </c>
      <c r="AJ35" s="36">
        <f t="shared" si="21"/>
        <v>14830.45111526367</v>
      </c>
      <c r="AK35" s="36">
        <f t="shared" si="21"/>
        <v>15698.522733782465</v>
      </c>
      <c r="AL35" s="36">
        <f t="shared" si="21"/>
        <v>16617.405236543502</v>
      </c>
      <c r="AM35" s="36">
        <f t="shared" si="21"/>
        <v>17590.072739855153</v>
      </c>
      <c r="AN35" s="36">
        <f t="shared" si="21"/>
        <v>18619.673444140804</v>
      </c>
    </row>
    <row r="36" spans="1:45" x14ac:dyDescent="0.25">
      <c r="A36" s="546"/>
      <c r="B36" s="545" t="s">
        <v>4106</v>
      </c>
      <c r="C36" s="545"/>
      <c r="D36" s="289">
        <f>106.59*D35</f>
        <v>85.272000000000006</v>
      </c>
      <c r="E36" s="300" t="s">
        <v>4115</v>
      </c>
      <c r="F36" s="301">
        <f>F35*$D36</f>
        <v>0</v>
      </c>
      <c r="G36" s="301">
        <f t="shared" ref="G36:M36" si="22">G35*$D36</f>
        <v>0</v>
      </c>
      <c r="H36" s="301">
        <f t="shared" si="22"/>
        <v>0</v>
      </c>
      <c r="I36" s="301">
        <f t="shared" si="22"/>
        <v>0</v>
      </c>
      <c r="J36" s="301">
        <f t="shared" si="22"/>
        <v>14408.400652521144</v>
      </c>
      <c r="K36" s="301">
        <f t="shared" si="22"/>
        <v>31266.125154137448</v>
      </c>
      <c r="L36" s="301">
        <f t="shared" si="22"/>
        <v>50895.539315898466</v>
      </c>
      <c r="M36" s="301">
        <f t="shared" si="22"/>
        <v>73657.829225924492</v>
      </c>
      <c r="N36" s="301">
        <f t="shared" ref="N36:AN36" si="23">N35*$D36</f>
        <v>99957.497276129754</v>
      </c>
      <c r="O36" s="301">
        <f t="shared" si="23"/>
        <v>130247.36921446628</v>
      </c>
      <c r="P36" s="301">
        <f t="shared" si="23"/>
        <v>165034.16976090302</v>
      </c>
      <c r="Q36" s="301">
        <f t="shared" si="23"/>
        <v>204884.73077246593</v>
      </c>
      <c r="R36" s="301">
        <f t="shared" si="23"/>
        <v>250432.90311035104</v>
      </c>
      <c r="S36" s="301">
        <f t="shared" si="23"/>
        <v>302387.25133082404</v>
      </c>
      <c r="T36" s="301">
        <f t="shared" si="23"/>
        <v>361539.61918072856</v>
      </c>
      <c r="U36" s="301">
        <f t="shared" si="23"/>
        <v>428774.66372732812</v>
      </c>
      <c r="V36" s="301">
        <f t="shared" si="23"/>
        <v>505080.46690135432</v>
      </c>
      <c r="W36" s="301">
        <f t="shared" si="23"/>
        <v>591560.3454043091</v>
      </c>
      <c r="X36" s="301">
        <f t="shared" si="23"/>
        <v>639010.09040183667</v>
      </c>
      <c r="Y36" s="301">
        <f t="shared" si="23"/>
        <v>676413.30350127188</v>
      </c>
      <c r="Z36" s="301">
        <f t="shared" si="23"/>
        <v>716005.84094968892</v>
      </c>
      <c r="AA36" s="301">
        <f t="shared" si="23"/>
        <v>757915.85059075837</v>
      </c>
      <c r="AB36" s="301">
        <f t="shared" si="23"/>
        <v>802278.9811529991</v>
      </c>
      <c r="AC36" s="301">
        <f t="shared" si="23"/>
        <v>849238.82129948761</v>
      </c>
      <c r="AD36" s="301">
        <f t="shared" si="23"/>
        <v>898947.36437648837</v>
      </c>
      <c r="AE36" s="301">
        <f t="shared" si="23"/>
        <v>951565.5003652419</v>
      </c>
      <c r="AF36" s="301">
        <f t="shared" si="23"/>
        <v>1007263.5366291926</v>
      </c>
      <c r="AG36" s="301">
        <f t="shared" si="23"/>
        <v>1066221.749142145</v>
      </c>
      <c r="AH36" s="301">
        <f t="shared" si="23"/>
        <v>1128630.9659814879</v>
      </c>
      <c r="AI36" s="301">
        <f t="shared" si="23"/>
        <v>1194693.1849750578</v>
      </c>
      <c r="AJ36" s="301">
        <f t="shared" si="23"/>
        <v>1264622.2275007637</v>
      </c>
      <c r="AK36" s="301">
        <f t="shared" si="23"/>
        <v>1338644.4305550985</v>
      </c>
      <c r="AL36" s="301">
        <f t="shared" si="23"/>
        <v>1416999.3793305375</v>
      </c>
      <c r="AM36" s="301">
        <f t="shared" si="23"/>
        <v>1499940.6826729288</v>
      </c>
      <c r="AN36" s="301">
        <f t="shared" si="23"/>
        <v>1587736.7939287748</v>
      </c>
    </row>
    <row r="37" spans="1:45" x14ac:dyDescent="0.25">
      <c r="A37" s="546"/>
      <c r="B37" s="545" t="s">
        <v>4107</v>
      </c>
      <c r="C37" s="545"/>
      <c r="D37" s="289">
        <f>651.68*D35</f>
        <v>521.34399999999994</v>
      </c>
      <c r="E37" s="300" t="s">
        <v>4098</v>
      </c>
      <c r="F37" s="301">
        <f>F35*$D37</f>
        <v>0</v>
      </c>
      <c r="G37" s="301">
        <f t="shared" ref="G37:AN37" si="24">G35*$D37</f>
        <v>0</v>
      </c>
      <c r="H37" s="301">
        <f t="shared" si="24"/>
        <v>0</v>
      </c>
      <c r="I37" s="301">
        <f t="shared" si="24"/>
        <v>0</v>
      </c>
      <c r="J37" s="301">
        <f t="shared" si="24"/>
        <v>88091.439508724812</v>
      </c>
      <c r="K37" s="301">
        <f t="shared" si="24"/>
        <v>191157.78628809727</v>
      </c>
      <c r="L37" s="301">
        <f t="shared" si="24"/>
        <v>311169.95085265697</v>
      </c>
      <c r="M37" s="301">
        <f t="shared" si="24"/>
        <v>450336.18679004093</v>
      </c>
      <c r="N37" s="301">
        <f t="shared" si="24"/>
        <v>611129.57899341616</v>
      </c>
      <c r="O37" s="301">
        <f t="shared" si="24"/>
        <v>796318.65624996123</v>
      </c>
      <c r="P37" s="301">
        <f t="shared" si="24"/>
        <v>1009001.4799679638</v>
      </c>
      <c r="Q37" s="301">
        <f t="shared" si="24"/>
        <v>1252643.6002420543</v>
      </c>
      <c r="R37" s="301">
        <f t="shared" si="24"/>
        <v>1531120.3142785772</v>
      </c>
      <c r="S37" s="301">
        <f t="shared" si="24"/>
        <v>1848763.710922895</v>
      </c>
      <c r="T37" s="301">
        <f t="shared" si="24"/>
        <v>2210415.0391940814</v>
      </c>
      <c r="U37" s="301">
        <f t="shared" si="24"/>
        <v>2621482.9989476041</v>
      </c>
      <c r="V37" s="301">
        <f t="shared" si="24"/>
        <v>3088008.6187285348</v>
      </c>
      <c r="W37" s="301">
        <f t="shared" si="24"/>
        <v>3616737.4602972148</v>
      </c>
      <c r="X37" s="301">
        <f t="shared" si="24"/>
        <v>3906840.1886956454</v>
      </c>
      <c r="Y37" s="301">
        <f t="shared" si="24"/>
        <v>4135519.4823689726</v>
      </c>
      <c r="Z37" s="301">
        <f t="shared" si="24"/>
        <v>4377584.0738351922</v>
      </c>
      <c r="AA37" s="301">
        <f t="shared" si="24"/>
        <v>4633817.4454731708</v>
      </c>
      <c r="AB37" s="301">
        <f t="shared" si="24"/>
        <v>4905048.9392793542</v>
      </c>
      <c r="AC37" s="301">
        <f t="shared" si="24"/>
        <v>5192156.4411713099</v>
      </c>
      <c r="AD37" s="301">
        <f t="shared" si="24"/>
        <v>5496069.2224117629</v>
      </c>
      <c r="AE37" s="301">
        <f t="shared" si="24"/>
        <v>5817770.947349852</v>
      </c>
      <c r="AF37" s="301">
        <f t="shared" si="24"/>
        <v>6158302.8572146744</v>
      </c>
      <c r="AG37" s="301">
        <f t="shared" si="24"/>
        <v>6518767.1402660003</v>
      </c>
      <c r="AH37" s="301">
        <f t="shared" si="24"/>
        <v>6900330.4992102059</v>
      </c>
      <c r="AI37" s="301">
        <f t="shared" si="24"/>
        <v>7304227.9274279531</v>
      </c>
      <c r="AJ37" s="301">
        <f t="shared" si="24"/>
        <v>7731766.7062360216</v>
      </c>
      <c r="AK37" s="301">
        <f t="shared" si="24"/>
        <v>8184330.6361210849</v>
      </c>
      <c r="AL37" s="301">
        <f t="shared" si="24"/>
        <v>8663384.5156405345</v>
      </c>
      <c r="AM37" s="301">
        <f t="shared" si="24"/>
        <v>9170478.8824870437</v>
      </c>
      <c r="AN37" s="301">
        <f t="shared" si="24"/>
        <v>9707255.0320621431</v>
      </c>
    </row>
    <row r="38" spans="1:45" x14ac:dyDescent="0.25">
      <c r="A38" s="546"/>
      <c r="B38" s="545" t="s">
        <v>4108</v>
      </c>
      <c r="C38" s="545"/>
      <c r="D38" s="289">
        <f>390.96*D35</f>
        <v>312.76800000000003</v>
      </c>
      <c r="E38" s="300" t="s">
        <v>4116</v>
      </c>
      <c r="F38" s="301">
        <f>F35*$D38*$D40</f>
        <v>0</v>
      </c>
      <c r="G38" s="301">
        <f t="shared" ref="G38:AN38" si="25">G35*$D38*$D40</f>
        <v>0</v>
      </c>
      <c r="H38" s="301">
        <f t="shared" si="25"/>
        <v>0</v>
      </c>
      <c r="I38" s="301">
        <f t="shared" si="25"/>
        <v>0</v>
      </c>
      <c r="J38" s="301">
        <f t="shared" si="25"/>
        <v>528483.75261372235</v>
      </c>
      <c r="K38" s="301">
        <f t="shared" si="25"/>
        <v>1146805.9189662798</v>
      </c>
      <c r="L38" s="301">
        <f t="shared" si="25"/>
        <v>1866790.5104553583</v>
      </c>
      <c r="M38" s="301">
        <f t="shared" si="25"/>
        <v>2701685.4221003321</v>
      </c>
      <c r="N38" s="301">
        <f t="shared" si="25"/>
        <v>3666327.3416901855</v>
      </c>
      <c r="O38" s="301">
        <f t="shared" si="25"/>
        <v>4777325.4027664643</v>
      </c>
      <c r="P38" s="301">
        <f t="shared" si="25"/>
        <v>6053265.6918775346</v>
      </c>
      <c r="Q38" s="301">
        <f t="shared" si="25"/>
        <v>7514938.9570131609</v>
      </c>
      <c r="R38" s="301">
        <f t="shared" si="25"/>
        <v>9185594.1270309463</v>
      </c>
      <c r="S38" s="301">
        <f t="shared" si="25"/>
        <v>11091220.54416915</v>
      </c>
      <c r="T38" s="301">
        <f t="shared" si="25"/>
        <v>13260862.136682393</v>
      </c>
      <c r="U38" s="301">
        <f t="shared" si="25"/>
        <v>15726967.11988331</v>
      </c>
      <c r="V38" s="301">
        <f t="shared" si="25"/>
        <v>18525777.215475511</v>
      </c>
      <c r="W38" s="301">
        <f t="shared" si="25"/>
        <v>21697760.825524785</v>
      </c>
      <c r="X38" s="301">
        <f t="shared" si="25"/>
        <v>23438163.518482227</v>
      </c>
      <c r="Y38" s="301">
        <f t="shared" si="25"/>
        <v>24810070.845000215</v>
      </c>
      <c r="Z38" s="301">
        <f t="shared" si="25"/>
        <v>26262280.099229794</v>
      </c>
      <c r="AA38" s="301">
        <f t="shared" si="25"/>
        <v>27799491.598364096</v>
      </c>
      <c r="AB38" s="301">
        <f t="shared" si="25"/>
        <v>29426680.783523455</v>
      </c>
      <c r="AC38" s="301">
        <f t="shared" si="25"/>
        <v>31149114.323599558</v>
      </c>
      <c r="AD38" s="301">
        <f t="shared" si="25"/>
        <v>32972367.16170672</v>
      </c>
      <c r="AE38" s="301">
        <f t="shared" si="25"/>
        <v>34902340.559414111</v>
      </c>
      <c r="AF38" s="301">
        <f t="shared" si="25"/>
        <v>36945281.197161943</v>
      </c>
      <c r="AG38" s="301">
        <f t="shared" si="25"/>
        <v>39107801.392683469</v>
      </c>
      <c r="AH38" s="301">
        <f t="shared" si="25"/>
        <v>41396900.502872922</v>
      </c>
      <c r="AI38" s="301">
        <f t="shared" si="25"/>
        <v>43819987.578370266</v>
      </c>
      <c r="AJ38" s="301">
        <f t="shared" si="25"/>
        <v>46384905.344187878</v>
      </c>
      <c r="AK38" s="301">
        <f t="shared" si="25"/>
        <v>49099955.583996743</v>
      </c>
      <c r="AL38" s="301">
        <f t="shared" si="25"/>
        <v>51973926.010232382</v>
      </c>
      <c r="AM38" s="301">
        <f t="shared" si="25"/>
        <v>55016118.706990175</v>
      </c>
      <c r="AN38" s="301">
        <f t="shared" si="25"/>
        <v>58236380.237770312</v>
      </c>
    </row>
    <row r="39" spans="1:45" x14ac:dyDescent="0.25">
      <c r="A39" s="546"/>
      <c r="B39" s="172" t="s">
        <v>4099</v>
      </c>
      <c r="C39" s="172"/>
      <c r="D39" s="206"/>
      <c r="E39" s="115"/>
    </row>
    <row r="40" spans="1:45" x14ac:dyDescent="0.25">
      <c r="A40" s="546"/>
      <c r="B40" s="545" t="s">
        <v>4100</v>
      </c>
      <c r="C40" s="545"/>
      <c r="D40" s="290">
        <v>10</v>
      </c>
      <c r="E40" s="302" t="s">
        <v>4119</v>
      </c>
      <c r="F40" s="36"/>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c r="AI40" s="36"/>
      <c r="AJ40" s="36"/>
      <c r="AK40" s="36"/>
      <c r="AL40" s="36"/>
      <c r="AM40" s="36"/>
      <c r="AN40" s="36"/>
    </row>
    <row r="41" spans="1:45" x14ac:dyDescent="0.25">
      <c r="A41" s="546"/>
      <c r="B41" s="206" t="s">
        <v>4101</v>
      </c>
      <c r="C41" s="206">
        <v>3</v>
      </c>
      <c r="D41" s="289">
        <f>171.05*D35</f>
        <v>136.84</v>
      </c>
      <c r="E41" s="307" t="s">
        <v>4101</v>
      </c>
      <c r="F41" s="301">
        <f>$C41*$D41*F35</f>
        <v>0</v>
      </c>
      <c r="G41" s="301">
        <f t="shared" ref="G41:AN41" si="26">$C41*$D41*G35</f>
        <v>0</v>
      </c>
      <c r="H41" s="301">
        <f t="shared" si="26"/>
        <v>0</v>
      </c>
      <c r="I41" s="301">
        <f t="shared" si="26"/>
        <v>0</v>
      </c>
      <c r="J41" s="301">
        <f t="shared" si="26"/>
        <v>69365.520169258132</v>
      </c>
      <c r="K41" s="301">
        <f t="shared" si="26"/>
        <v>150522.67682564622</v>
      </c>
      <c r="L41" s="301">
        <f t="shared" si="26"/>
        <v>245023.416830409</v>
      </c>
      <c r="M41" s="301">
        <f t="shared" si="26"/>
        <v>354606.57723316585</v>
      </c>
      <c r="N41" s="301">
        <f t="shared" si="26"/>
        <v>481219.53023028409</v>
      </c>
      <c r="O41" s="301">
        <f t="shared" si="26"/>
        <v>627042.28832351405</v>
      </c>
      <c r="P41" s="301">
        <f t="shared" si="26"/>
        <v>794514.34668174665</v>
      </c>
      <c r="Q41" s="301">
        <f t="shared" si="26"/>
        <v>986364.57074670109</v>
      </c>
      <c r="R41" s="301">
        <f t="shared" si="26"/>
        <v>1205644.4716303276</v>
      </c>
      <c r="S41" s="301">
        <f t="shared" si="26"/>
        <v>1455765.2502149576</v>
      </c>
      <c r="T41" s="301">
        <f t="shared" si="26"/>
        <v>1740539.0335171295</v>
      </c>
      <c r="U41" s="301">
        <f t="shared" si="26"/>
        <v>2064224.7742910066</v>
      </c>
      <c r="V41" s="301">
        <f t="shared" si="26"/>
        <v>2431579.3375591515</v>
      </c>
      <c r="W41" s="301">
        <f t="shared" si="26"/>
        <v>2847914.3563582064</v>
      </c>
      <c r="X41" s="301">
        <f t="shared" si="26"/>
        <v>3076348.8872286561</v>
      </c>
      <c r="Y41" s="301">
        <f t="shared" si="26"/>
        <v>3256416.9874442033</v>
      </c>
      <c r="Z41" s="301">
        <f t="shared" si="26"/>
        <v>3447025.0237670778</v>
      </c>
      <c r="AA41" s="301">
        <f t="shared" si="26"/>
        <v>3648789.9308626289</v>
      </c>
      <c r="AB41" s="301">
        <f t="shared" si="26"/>
        <v>3862364.7544672242</v>
      </c>
      <c r="AC41" s="301">
        <f t="shared" si="26"/>
        <v>4088440.7650795761</v>
      </c>
      <c r="AD41" s="301">
        <f t="shared" si="26"/>
        <v>4327749.6953728767</v>
      </c>
      <c r="AE41" s="301">
        <f t="shared" si="26"/>
        <v>4581066.1085695075</v>
      </c>
      <c r="AF41" s="301">
        <f t="shared" si="26"/>
        <v>4849209.9054439459</v>
      </c>
      <c r="AG41" s="301">
        <f t="shared" si="26"/>
        <v>5133048.9780682214</v>
      </c>
      <c r="AH41" s="301">
        <f t="shared" si="26"/>
        <v>5433502.0188892055</v>
      </c>
      <c r="AI41" s="301">
        <f t="shared" si="26"/>
        <v>5751541.4942297675</v>
      </c>
      <c r="AJ41" s="301">
        <f t="shared" si="26"/>
        <v>6088196.7918380415</v>
      </c>
      <c r="AK41" s="301">
        <f t="shared" si="26"/>
        <v>6444557.5526723778</v>
      </c>
      <c r="AL41" s="301">
        <f t="shared" si="26"/>
        <v>6821777.1977058379</v>
      </c>
      <c r="AM41" s="301">
        <f t="shared" si="26"/>
        <v>7221076.6611653371</v>
      </c>
      <c r="AN41" s="301">
        <f t="shared" si="26"/>
        <v>7643748.3422886822</v>
      </c>
    </row>
    <row r="42" spans="1:45" x14ac:dyDescent="0.25">
      <c r="A42" s="546"/>
      <c r="B42" s="206" t="s">
        <v>4102</v>
      </c>
      <c r="C42" s="206">
        <v>7</v>
      </c>
      <c r="D42" s="289">
        <f>219.91*D35</f>
        <v>175.928</v>
      </c>
      <c r="E42" s="307" t="s">
        <v>4120</v>
      </c>
      <c r="F42" s="301">
        <f>$C42*$D42*F35</f>
        <v>0</v>
      </c>
      <c r="G42" s="301">
        <f t="shared" ref="G42:AN42" si="27">$C42*$D42*G35</f>
        <v>0</v>
      </c>
      <c r="H42" s="301">
        <f t="shared" si="27"/>
        <v>0</v>
      </c>
      <c r="I42" s="301">
        <f t="shared" si="27"/>
        <v>0</v>
      </c>
      <c r="J42" s="301">
        <f t="shared" si="27"/>
        <v>208085.74643467</v>
      </c>
      <c r="K42" s="301">
        <f t="shared" si="27"/>
        <v>451544.56401655468</v>
      </c>
      <c r="L42" s="301">
        <f t="shared" si="27"/>
        <v>735032.05138112977</v>
      </c>
      <c r="M42" s="301">
        <f t="shared" si="27"/>
        <v>1063764.4485928454</v>
      </c>
      <c r="N42" s="301">
        <f t="shared" si="27"/>
        <v>1443583.5686458005</v>
      </c>
      <c r="O42" s="301">
        <f t="shared" si="27"/>
        <v>1881029.1091816581</v>
      </c>
      <c r="P42" s="301">
        <f t="shared" si="27"/>
        <v>2383419.1753901988</v>
      </c>
      <c r="Q42" s="301">
        <f t="shared" si="27"/>
        <v>2958939.9381669094</v>
      </c>
      <c r="R42" s="301">
        <f t="shared" si="27"/>
        <v>3616745.4551175633</v>
      </c>
      <c r="S42" s="301">
        <f t="shared" si="27"/>
        <v>4367068.7970835036</v>
      </c>
      <c r="T42" s="301">
        <f t="shared" si="27"/>
        <v>5221345.7508043731</v>
      </c>
      <c r="U42" s="301">
        <f t="shared" si="27"/>
        <v>6192352.5105726346</v>
      </c>
      <c r="V42" s="301">
        <f t="shared" si="27"/>
        <v>7294358.9298615046</v>
      </c>
      <c r="W42" s="301">
        <f t="shared" si="27"/>
        <v>8543299.0796982013</v>
      </c>
      <c r="X42" s="301">
        <f t="shared" si="27"/>
        <v>9228567.0594040286</v>
      </c>
      <c r="Y42" s="301">
        <f t="shared" si="27"/>
        <v>9768743.2874636725</v>
      </c>
      <c r="Z42" s="301">
        <f t="shared" si="27"/>
        <v>10340537.680671006</v>
      </c>
      <c r="AA42" s="301">
        <f t="shared" si="27"/>
        <v>10945800.946842065</v>
      </c>
      <c r="AB42" s="301">
        <f t="shared" si="27"/>
        <v>11586492.121376228</v>
      </c>
      <c r="AC42" s="301">
        <f t="shared" si="27"/>
        <v>12264684.908000678</v>
      </c>
      <c r="AD42" s="301">
        <f t="shared" si="27"/>
        <v>12982574.390657987</v>
      </c>
      <c r="AE42" s="301">
        <f t="shared" si="27"/>
        <v>13742484.138261022</v>
      </c>
      <c r="AF42" s="301">
        <f t="shared" si="27"/>
        <v>14546873.725310819</v>
      </c>
      <c r="AG42" s="301">
        <f t="shared" si="27"/>
        <v>15398346.692719242</v>
      </c>
      <c r="AH42" s="301">
        <f t="shared" si="27"/>
        <v>16299658.974602899</v>
      </c>
      <c r="AI42" s="301">
        <f t="shared" si="27"/>
        <v>17253727.818323057</v>
      </c>
      <c r="AJ42" s="301">
        <f t="shared" si="27"/>
        <v>18263641.22664275</v>
      </c>
      <c r="AK42" s="301">
        <f t="shared" si="27"/>
        <v>19332667.952562172</v>
      </c>
      <c r="AL42" s="301">
        <f t="shared" si="27"/>
        <v>20464268.079182379</v>
      </c>
      <c r="AM42" s="301">
        <f t="shared" si="27"/>
        <v>21662104.218840662</v>
      </c>
      <c r="AN42" s="301">
        <f t="shared" si="27"/>
        <v>22930053.367765624</v>
      </c>
    </row>
    <row r="43" spans="1:45" x14ac:dyDescent="0.25">
      <c r="A43" s="546"/>
      <c r="B43" s="172" t="s">
        <v>4103</v>
      </c>
      <c r="C43" s="206"/>
      <c r="D43" s="206"/>
      <c r="E43" s="115"/>
    </row>
    <row r="44" spans="1:45" x14ac:dyDescent="0.25">
      <c r="B44" s="493" t="s">
        <v>3262</v>
      </c>
      <c r="C44" s="493"/>
      <c r="D44" s="493"/>
      <c r="E44" s="115"/>
      <c r="F44" s="88">
        <f>SUM(F36:F38,F41:F42)</f>
        <v>0</v>
      </c>
      <c r="G44" s="88">
        <f t="shared" ref="G44:AN44" si="28">SUM(G36:G38,G41:G42)</f>
        <v>0</v>
      </c>
      <c r="H44" s="88">
        <f t="shared" si="28"/>
        <v>0</v>
      </c>
      <c r="I44" s="88">
        <f t="shared" si="28"/>
        <v>0</v>
      </c>
      <c r="J44" s="88">
        <f t="shared" si="28"/>
        <v>908434.85937889642</v>
      </c>
      <c r="K44" s="88">
        <f t="shared" si="28"/>
        <v>1971297.0712507155</v>
      </c>
      <c r="L44" s="88">
        <f t="shared" si="28"/>
        <v>3208911.4688354521</v>
      </c>
      <c r="M44" s="88">
        <f t="shared" si="28"/>
        <v>4644050.4639423089</v>
      </c>
      <c r="N44" s="88">
        <f t="shared" si="28"/>
        <v>6302217.5168358153</v>
      </c>
      <c r="O44" s="88">
        <f t="shared" si="28"/>
        <v>8211962.8257360645</v>
      </c>
      <c r="P44" s="88">
        <f t="shared" si="28"/>
        <v>10405234.863678347</v>
      </c>
      <c r="Q44" s="88">
        <f t="shared" si="28"/>
        <v>12917771.796941292</v>
      </c>
      <c r="R44" s="88">
        <f t="shared" si="28"/>
        <v>15789537.271167764</v>
      </c>
      <c r="S44" s="88">
        <f t="shared" si="28"/>
        <v>19065205.553721331</v>
      </c>
      <c r="T44" s="88">
        <f t="shared" si="28"/>
        <v>22794701.579378705</v>
      </c>
      <c r="U44" s="88">
        <f t="shared" si="28"/>
        <v>27033802.067421883</v>
      </c>
      <c r="V44" s="88">
        <f t="shared" si="28"/>
        <v>31844804.568526056</v>
      </c>
      <c r="W44" s="88">
        <f t="shared" si="28"/>
        <v>37297272.067282721</v>
      </c>
      <c r="X44" s="88">
        <f t="shared" si="28"/>
        <v>40288929.744212396</v>
      </c>
      <c r="Y44" s="88">
        <f t="shared" si="28"/>
        <v>42647163.905778334</v>
      </c>
      <c r="Z44" s="88">
        <f t="shared" si="28"/>
        <v>45143432.718452759</v>
      </c>
      <c r="AA44" s="88">
        <f t="shared" si="28"/>
        <v>47785815.772132725</v>
      </c>
      <c r="AB44" s="88">
        <f t="shared" si="28"/>
        <v>50582865.579799265</v>
      </c>
      <c r="AC44" s="88">
        <f t="shared" si="28"/>
        <v>53543635.259150609</v>
      </c>
      <c r="AD44" s="88">
        <f t="shared" si="28"/>
        <v>56677707.834525838</v>
      </c>
      <c r="AE44" s="88">
        <f t="shared" si="28"/>
        <v>59995227.253959738</v>
      </c>
      <c r="AF44" s="88">
        <f t="shared" si="28"/>
        <v>63506931.221760571</v>
      </c>
      <c r="AG44" s="88">
        <f t="shared" si="28"/>
        <v>67224185.952879071</v>
      </c>
      <c r="AH44" s="88">
        <f t="shared" si="28"/>
        <v>71159022.961556718</v>
      </c>
      <c r="AI44" s="88">
        <f t="shared" si="28"/>
        <v>75324178.003326103</v>
      </c>
      <c r="AJ44" s="88">
        <f t="shared" si="28"/>
        <v>79733132.296405464</v>
      </c>
      <c r="AK44" s="88">
        <f t="shared" si="28"/>
        <v>84400156.155907482</v>
      </c>
      <c r="AL44" s="88">
        <f t="shared" si="28"/>
        <v>89340355.182091683</v>
      </c>
      <c r="AM44" s="88">
        <f t="shared" si="28"/>
        <v>94569719.152156144</v>
      </c>
      <c r="AN44" s="88">
        <f t="shared" si="28"/>
        <v>100105173.77381554</v>
      </c>
    </row>
    <row r="45" spans="1:45" x14ac:dyDescent="0.25">
      <c r="E45" s="115"/>
    </row>
    <row r="46" spans="1:45" x14ac:dyDescent="0.25">
      <c r="A46" s="546" t="s">
        <v>3845</v>
      </c>
      <c r="B46" s="547" t="s">
        <v>4136</v>
      </c>
      <c r="C46" s="547"/>
      <c r="D46" s="547"/>
      <c r="E46" s="115"/>
      <c r="F46" s="58" t="s">
        <v>3701</v>
      </c>
      <c r="G46" s="17" t="s">
        <v>3702</v>
      </c>
      <c r="H46" s="58" t="s">
        <v>3703</v>
      </c>
      <c r="I46" s="17" t="s">
        <v>3704</v>
      </c>
      <c r="J46" s="58" t="s">
        <v>3705</v>
      </c>
      <c r="K46" s="17" t="s">
        <v>3706</v>
      </c>
      <c r="L46" s="58" t="s">
        <v>3707</v>
      </c>
      <c r="M46" s="17" t="s">
        <v>3708</v>
      </c>
      <c r="N46" s="58" t="s">
        <v>3709</v>
      </c>
      <c r="O46" s="17" t="s">
        <v>3710</v>
      </c>
      <c r="P46" s="58" t="s">
        <v>3711</v>
      </c>
      <c r="Q46" s="17" t="s">
        <v>3712</v>
      </c>
      <c r="R46" s="58" t="s">
        <v>3713</v>
      </c>
      <c r="S46" s="17" t="s">
        <v>3714</v>
      </c>
      <c r="T46" s="58" t="s">
        <v>3715</v>
      </c>
      <c r="U46" s="17" t="s">
        <v>3716</v>
      </c>
      <c r="V46" s="58" t="s">
        <v>3717</v>
      </c>
      <c r="W46" s="17" t="s">
        <v>3718</v>
      </c>
      <c r="X46" s="58" t="s">
        <v>3719</v>
      </c>
      <c r="Y46" s="17" t="s">
        <v>3720</v>
      </c>
      <c r="Z46" s="58" t="s">
        <v>3721</v>
      </c>
      <c r="AA46" s="17" t="s">
        <v>3722</v>
      </c>
      <c r="AB46" s="58" t="s">
        <v>3723</v>
      </c>
      <c r="AC46" s="17" t="s">
        <v>3724</v>
      </c>
      <c r="AD46" s="58" t="s">
        <v>3725</v>
      </c>
      <c r="AE46" s="17" t="s">
        <v>3726</v>
      </c>
      <c r="AF46" s="58" t="s">
        <v>3727</v>
      </c>
      <c r="AG46" s="17" t="s">
        <v>3728</v>
      </c>
      <c r="AH46" s="58" t="s">
        <v>3729</v>
      </c>
      <c r="AI46" s="17" t="s">
        <v>3730</v>
      </c>
      <c r="AJ46" s="58" t="s">
        <v>3731</v>
      </c>
      <c r="AK46" s="17" t="s">
        <v>3732</v>
      </c>
      <c r="AL46" s="58" t="s">
        <v>3733</v>
      </c>
      <c r="AM46" s="17" t="s">
        <v>3734</v>
      </c>
      <c r="AN46" s="17" t="s">
        <v>3735</v>
      </c>
    </row>
    <row r="47" spans="1:45" x14ac:dyDescent="0.25">
      <c r="A47" s="546"/>
      <c r="B47" s="547"/>
      <c r="C47" s="547"/>
      <c r="D47" s="547"/>
      <c r="E47" s="311" t="s">
        <v>4113</v>
      </c>
      <c r="F47">
        <v>0</v>
      </c>
      <c r="G47">
        <v>0</v>
      </c>
      <c r="H47">
        <v>0</v>
      </c>
      <c r="I47">
        <v>0</v>
      </c>
      <c r="J47" s="36">
        <f>Import_CG!O6</f>
        <v>103547.4922053342</v>
      </c>
      <c r="K47" s="36">
        <f>Import_CG!P6</f>
        <v>105308.03687988473</v>
      </c>
      <c r="L47" s="36">
        <f>Import_CG!Q6</f>
        <v>107198.17637624244</v>
      </c>
      <c r="M47" s="36">
        <f>Import_CG!R6</f>
        <v>109122.24136795208</v>
      </c>
      <c r="N47" s="36">
        <f>Import_CG!S6</f>
        <v>111080.84077262908</v>
      </c>
      <c r="O47" s="36">
        <f>Import_CG!T6</f>
        <v>113074.59443715181</v>
      </c>
      <c r="P47" s="36">
        <f>Import_CG!U6</f>
        <v>115104.1333338275</v>
      </c>
      <c r="Q47" s="36">
        <f>Import_CG!V6</f>
        <v>117170.09976007896</v>
      </c>
      <c r="R47" s="36">
        <f>Import_CG!W6</f>
        <v>119273.14754171508</v>
      </c>
      <c r="S47" s="36">
        <f>Import_CG!X6</f>
        <v>121413.94223985038</v>
      </c>
      <c r="T47" s="36">
        <f>Import_CG!Y6</f>
        <v>123593.16136153805</v>
      </c>
      <c r="U47" s="36">
        <f>Import_CG!Z6</f>
        <v>125833.19135481244</v>
      </c>
      <c r="V47" s="36">
        <f>Import_CG!AA6</f>
        <v>128091.73013285226</v>
      </c>
      <c r="W47" s="36">
        <f>Import_CG!AB6</f>
        <v>130390.80668440784</v>
      </c>
      <c r="X47" s="36">
        <f>Import_CG!AC6</f>
        <v>132731.14860871181</v>
      </c>
      <c r="Y47" s="36">
        <f>Import_CG!AD6</f>
        <v>135113.4965644372</v>
      </c>
      <c r="Z47" s="36">
        <f>Import_CG!AE6</f>
        <v>137611.8311387198</v>
      </c>
      <c r="AA47" s="36">
        <f>Import_CG!AF6</f>
        <v>140081.78086817948</v>
      </c>
      <c r="AB47" s="36">
        <f>Import_CG!AG6</f>
        <v>142596.06291714669</v>
      </c>
      <c r="AC47" s="36">
        <f>Import_CG!AH6</f>
        <v>145155.47299191842</v>
      </c>
      <c r="AD47" s="36">
        <f>Import_CG!AI6</f>
        <v>147760.82108066353</v>
      </c>
      <c r="AE47" s="36">
        <f>Import_CG!AJ6</f>
        <v>149740.33151026801</v>
      </c>
      <c r="AF47" s="36">
        <f>Import_CG!AK6</f>
        <v>152427.97172435801</v>
      </c>
      <c r="AG47" s="36">
        <f>Import_CG!AL6</f>
        <v>155163.85151323417</v>
      </c>
      <c r="AH47" s="36">
        <f>Import_CG!AM6</f>
        <v>157948.83671323999</v>
      </c>
      <c r="AI47" s="36">
        <f>Import_CG!AN6</f>
        <v>160783.80870133211</v>
      </c>
      <c r="AJ47" s="36">
        <f>Import_CG!AO6</f>
        <v>161985.45207769645</v>
      </c>
      <c r="AK47" s="36">
        <f>Import_CG!AP6</f>
        <v>164892.87595415363</v>
      </c>
      <c r="AL47" s="36">
        <f>Import_CG!AQ6</f>
        <v>167852.4842304379</v>
      </c>
      <c r="AM47" s="36">
        <f>Import_CG!AR6</f>
        <v>170865.21354726661</v>
      </c>
      <c r="AN47" s="36">
        <f>Import_CG!AS6</f>
        <v>173932.01735681493</v>
      </c>
      <c r="AO47" s="36"/>
      <c r="AQ47" s="36"/>
      <c r="AR47" s="36"/>
      <c r="AS47" s="36"/>
    </row>
    <row r="48" spans="1:45" x14ac:dyDescent="0.25">
      <c r="A48" s="546"/>
      <c r="B48" s="547"/>
      <c r="C48" s="547"/>
      <c r="D48" s="547"/>
      <c r="E48" s="298" t="s">
        <v>4114</v>
      </c>
      <c r="F48">
        <v>0</v>
      </c>
      <c r="G48">
        <v>0</v>
      </c>
      <c r="H48">
        <v>0</v>
      </c>
      <c r="I48">
        <v>0</v>
      </c>
      <c r="J48" s="36">
        <f>J1*J47</f>
        <v>5177.3746102667101</v>
      </c>
      <c r="K48" s="36">
        <f>K1*K47</f>
        <v>10794.07378018819</v>
      </c>
      <c r="L48" s="36">
        <f>L1*L47</f>
        <v>16897.112551305228</v>
      </c>
      <c r="M48" s="36">
        <f t="shared" ref="M48:AN48" si="29">M1*M47</f>
        <v>23516.525028802251</v>
      </c>
      <c r="N48" s="36">
        <f t="shared" si="29"/>
        <v>30689.588252475707</v>
      </c>
      <c r="O48" s="36">
        <f t="shared" si="29"/>
        <v>38456.176633515257</v>
      </c>
      <c r="P48" s="36">
        <f t="shared" si="29"/>
        <v>46858.941329682581</v>
      </c>
      <c r="Q48" s="36">
        <f t="shared" si="29"/>
        <v>55943.501979757282</v>
      </c>
      <c r="R48" s="36">
        <f t="shared" si="29"/>
        <v>65758.651648316125</v>
      </c>
      <c r="S48" s="36">
        <f t="shared" si="29"/>
        <v>76356.575890508611</v>
      </c>
      <c r="T48" s="36">
        <f t="shared" si="29"/>
        <v>87793.08690912099</v>
      </c>
      <c r="U48" s="36">
        <f t="shared" si="29"/>
        <v>100145.14136328069</v>
      </c>
      <c r="V48" s="36">
        <f t="shared" si="29"/>
        <v>113444.33093086009</v>
      </c>
      <c r="W48" s="36">
        <f t="shared" si="29"/>
        <v>127774.07174644522</v>
      </c>
      <c r="X48" s="36">
        <f t="shared" si="29"/>
        <v>132731.14860871181</v>
      </c>
      <c r="Y48" s="36">
        <f t="shared" si="29"/>
        <v>135113.4965644372</v>
      </c>
      <c r="Z48" s="36">
        <f t="shared" si="29"/>
        <v>137611.8311387198</v>
      </c>
      <c r="AA48" s="36">
        <f t="shared" si="29"/>
        <v>140081.78086817948</v>
      </c>
      <c r="AB48" s="36">
        <f t="shared" si="29"/>
        <v>142596.06291714669</v>
      </c>
      <c r="AC48" s="36">
        <f t="shared" si="29"/>
        <v>145155.47299191842</v>
      </c>
      <c r="AD48" s="36">
        <f t="shared" si="29"/>
        <v>147760.82108066353</v>
      </c>
      <c r="AE48" s="36">
        <f t="shared" si="29"/>
        <v>149740.33151026801</v>
      </c>
      <c r="AF48" s="36">
        <f t="shared" si="29"/>
        <v>152427.97172435801</v>
      </c>
      <c r="AG48" s="36">
        <f t="shared" si="29"/>
        <v>155163.85151323417</v>
      </c>
      <c r="AH48" s="36">
        <f t="shared" si="29"/>
        <v>157948.83671323999</v>
      </c>
      <c r="AI48" s="36">
        <f t="shared" si="29"/>
        <v>160783.80870133211</v>
      </c>
      <c r="AJ48" s="36">
        <f t="shared" si="29"/>
        <v>161985.45207769645</v>
      </c>
      <c r="AK48" s="36">
        <f t="shared" si="29"/>
        <v>164892.87595415363</v>
      </c>
      <c r="AL48" s="36">
        <f t="shared" si="29"/>
        <v>167852.4842304379</v>
      </c>
      <c r="AM48" s="36">
        <f t="shared" si="29"/>
        <v>170865.21354726661</v>
      </c>
      <c r="AN48" s="36">
        <f t="shared" si="29"/>
        <v>173932.01735681493</v>
      </c>
    </row>
    <row r="49" spans="1:40" x14ac:dyDescent="0.25">
      <c r="A49" s="546"/>
      <c r="B49" s="172" t="s">
        <v>4097</v>
      </c>
      <c r="C49" s="172"/>
      <c r="D49" s="288">
        <v>0.8</v>
      </c>
      <c r="E49" s="300" t="s">
        <v>4115</v>
      </c>
      <c r="F49" s="301">
        <f t="shared" ref="F49:AN49" si="30">F48*$D50</f>
        <v>0</v>
      </c>
      <c r="G49" s="301">
        <f t="shared" si="30"/>
        <v>0</v>
      </c>
      <c r="H49" s="301">
        <f t="shared" si="30"/>
        <v>0</v>
      </c>
      <c r="I49" s="301">
        <f t="shared" si="30"/>
        <v>0</v>
      </c>
      <c r="J49" s="301">
        <f t="shared" si="30"/>
        <v>228839.9577737886</v>
      </c>
      <c r="K49" s="301">
        <f t="shared" si="30"/>
        <v>477098.06108431803</v>
      </c>
      <c r="L49" s="301">
        <f t="shared" si="30"/>
        <v>746852.37476769113</v>
      </c>
      <c r="M49" s="301">
        <f t="shared" si="30"/>
        <v>1039430.4062730595</v>
      </c>
      <c r="N49" s="301">
        <f t="shared" si="30"/>
        <v>1356479.8007594263</v>
      </c>
      <c r="O49" s="301">
        <f t="shared" si="30"/>
        <v>1699763.0072013745</v>
      </c>
      <c r="P49" s="301">
        <f t="shared" si="30"/>
        <v>2071165.2067719703</v>
      </c>
      <c r="Q49" s="301">
        <f t="shared" si="30"/>
        <v>2472702.7875052718</v>
      </c>
      <c r="R49" s="301">
        <f t="shared" si="30"/>
        <v>2906532.4028555728</v>
      </c>
      <c r="S49" s="301">
        <f t="shared" si="30"/>
        <v>3374960.6543604806</v>
      </c>
      <c r="T49" s="301">
        <f t="shared" si="30"/>
        <v>3880454.4413831481</v>
      </c>
      <c r="U49" s="301">
        <f t="shared" si="30"/>
        <v>4426415.2482570065</v>
      </c>
      <c r="V49" s="301">
        <f t="shared" si="30"/>
        <v>5014239.4271440161</v>
      </c>
      <c r="W49" s="301">
        <f t="shared" si="30"/>
        <v>5647613.9711928787</v>
      </c>
      <c r="X49" s="301">
        <f t="shared" si="30"/>
        <v>5866716.768505062</v>
      </c>
      <c r="Y49" s="301">
        <f t="shared" si="30"/>
        <v>5972016.5481481245</v>
      </c>
      <c r="Z49" s="301">
        <f t="shared" si="30"/>
        <v>6082442.9363314155</v>
      </c>
      <c r="AA49" s="301">
        <f t="shared" si="30"/>
        <v>6191614.7143735336</v>
      </c>
      <c r="AB49" s="301">
        <f t="shared" si="30"/>
        <v>6302745.9809378842</v>
      </c>
      <c r="AC49" s="301">
        <f t="shared" si="30"/>
        <v>6415871.9062427944</v>
      </c>
      <c r="AD49" s="301">
        <f t="shared" si="30"/>
        <v>6531028.2917653285</v>
      </c>
      <c r="AE49" s="301">
        <f t="shared" si="30"/>
        <v>6618522.6527538467</v>
      </c>
      <c r="AF49" s="301">
        <f t="shared" si="30"/>
        <v>6737316.3502166243</v>
      </c>
      <c r="AG49" s="301">
        <f t="shared" si="30"/>
        <v>6858242.2368849507</v>
      </c>
      <c r="AH49" s="301">
        <f t="shared" si="30"/>
        <v>6981338.5827252083</v>
      </c>
      <c r="AI49" s="301">
        <f t="shared" si="30"/>
        <v>7106644.3445988791</v>
      </c>
      <c r="AJ49" s="301">
        <f t="shared" si="30"/>
        <v>7159756.9818341834</v>
      </c>
      <c r="AK49" s="301">
        <f t="shared" si="30"/>
        <v>7288265.1171735907</v>
      </c>
      <c r="AL49" s="301">
        <f t="shared" si="30"/>
        <v>7419079.8029853553</v>
      </c>
      <c r="AM49" s="301">
        <f t="shared" si="30"/>
        <v>7552242.4387891851</v>
      </c>
      <c r="AN49" s="301">
        <f t="shared" si="30"/>
        <v>7687795.1671712203</v>
      </c>
    </row>
    <row r="50" spans="1:40" x14ac:dyDescent="0.25">
      <c r="A50" s="546"/>
      <c r="B50" s="545" t="s">
        <v>4109</v>
      </c>
      <c r="C50" s="545"/>
      <c r="D50" s="289">
        <f>55.25*D49</f>
        <v>44.2</v>
      </c>
      <c r="E50" s="308"/>
      <c r="F50" s="46"/>
    </row>
    <row r="51" spans="1:40" x14ac:dyDescent="0.25">
      <c r="A51" s="546"/>
      <c r="B51" s="172" t="s">
        <v>4099</v>
      </c>
      <c r="C51" s="172"/>
      <c r="D51" s="206"/>
      <c r="E51" s="309"/>
      <c r="F51" s="46"/>
    </row>
    <row r="52" spans="1:40" x14ac:dyDescent="0.25">
      <c r="A52" s="546"/>
      <c r="B52" s="545" t="s">
        <v>4100</v>
      </c>
      <c r="C52" s="545"/>
      <c r="D52" s="290">
        <v>10</v>
      </c>
      <c r="E52" s="300" t="s">
        <v>4117</v>
      </c>
      <c r="F52" s="301">
        <f>F48*$D53</f>
        <v>0</v>
      </c>
      <c r="G52" s="301">
        <f t="shared" ref="G52:L52" si="31">G48*$D53</f>
        <v>0</v>
      </c>
      <c r="H52" s="301">
        <f t="shared" si="31"/>
        <v>0</v>
      </c>
      <c r="I52" s="301">
        <f t="shared" si="31"/>
        <v>0</v>
      </c>
      <c r="J52" s="301">
        <f>J48*$D53</f>
        <v>1418683.4812068429</v>
      </c>
      <c r="K52" s="301">
        <f t="shared" si="31"/>
        <v>2957748.9209520472</v>
      </c>
      <c r="L52" s="301">
        <f t="shared" si="31"/>
        <v>4630079.1928584538</v>
      </c>
      <c r="M52" s="301">
        <f t="shared" ref="M52:AN52" si="32">M48*$D53</f>
        <v>6443904.1222922783</v>
      </c>
      <c r="N52" s="301">
        <f t="shared" si="32"/>
        <v>8409438.2145903837</v>
      </c>
      <c r="O52" s="301">
        <f t="shared" si="32"/>
        <v>10537607.696409317</v>
      </c>
      <c r="P52" s="301">
        <f t="shared" si="32"/>
        <v>12840099.667394303</v>
      </c>
      <c r="Q52" s="301">
        <f t="shared" si="32"/>
        <v>15329414.638485173</v>
      </c>
      <c r="R52" s="301">
        <f t="shared" si="32"/>
        <v>18018922.690064993</v>
      </c>
      <c r="S52" s="301">
        <f t="shared" si="32"/>
        <v>20922923.49921361</v>
      </c>
      <c r="T52" s="301">
        <f t="shared" si="32"/>
        <v>24056710.502489697</v>
      </c>
      <c r="U52" s="301">
        <f t="shared" si="32"/>
        <v>27441371.055800725</v>
      </c>
      <c r="V52" s="301">
        <f t="shared" si="32"/>
        <v>31085561.784350559</v>
      </c>
      <c r="W52" s="301">
        <f t="shared" si="32"/>
        <v>35012140.043673933</v>
      </c>
      <c r="X52" s="301">
        <f t="shared" si="32"/>
        <v>36370458.41716478</v>
      </c>
      <c r="Y52" s="301">
        <f t="shared" si="32"/>
        <v>37023259.874600828</v>
      </c>
      <c r="Z52" s="301">
        <f t="shared" si="32"/>
        <v>37707843.521307446</v>
      </c>
      <c r="AA52" s="301">
        <f t="shared" si="32"/>
        <v>38384649.266375072</v>
      </c>
      <c r="AB52" s="301">
        <f t="shared" si="32"/>
        <v>39073602.776304871</v>
      </c>
      <c r="AC52" s="301">
        <f t="shared" si="32"/>
        <v>39774922.08735352</v>
      </c>
      <c r="AD52" s="301">
        <f t="shared" si="32"/>
        <v>40488829.149239101</v>
      </c>
      <c r="AE52" s="301">
        <f t="shared" si="32"/>
        <v>41031246.679117598</v>
      </c>
      <c r="AF52" s="301">
        <f t="shared" si="32"/>
        <v>41767703.10002169</v>
      </c>
      <c r="AG52" s="301">
        <f t="shared" si="32"/>
        <v>42517377.936250381</v>
      </c>
      <c r="AH52" s="301">
        <f t="shared" si="32"/>
        <v>43280508.440815173</v>
      </c>
      <c r="AI52" s="301">
        <f t="shared" si="32"/>
        <v>44057336.125104219</v>
      </c>
      <c r="AJ52" s="301">
        <f t="shared" si="32"/>
        <v>44386605.636522077</v>
      </c>
      <c r="AK52" s="301">
        <f t="shared" si="32"/>
        <v>45183286.297453366</v>
      </c>
      <c r="AL52" s="301">
        <f t="shared" si="32"/>
        <v>45994266.318887673</v>
      </c>
      <c r="AM52" s="301">
        <f t="shared" si="32"/>
        <v>46819802.35536781</v>
      </c>
      <c r="AN52" s="301">
        <f t="shared" si="32"/>
        <v>47660155.668045007</v>
      </c>
    </row>
    <row r="53" spans="1:40" x14ac:dyDescent="0.25">
      <c r="A53" s="546"/>
      <c r="B53" s="545" t="s">
        <v>4110</v>
      </c>
      <c r="C53" s="545"/>
      <c r="D53" s="289">
        <f>342.52*D49</f>
        <v>274.01600000000002</v>
      </c>
      <c r="E53" s="300" t="s">
        <v>4118</v>
      </c>
      <c r="F53" s="301">
        <f>F48*$D54*$D52</f>
        <v>0</v>
      </c>
      <c r="G53" s="301">
        <f t="shared" ref="G53:AN53" si="33">G48*$D54*$D52</f>
        <v>0</v>
      </c>
      <c r="H53" s="301">
        <f t="shared" si="33"/>
        <v>0</v>
      </c>
      <c r="I53" s="301">
        <f t="shared" si="33"/>
        <v>0</v>
      </c>
      <c r="J53" s="301">
        <f>J48*$D54*$D52</f>
        <v>258868.7305133355</v>
      </c>
      <c r="K53" s="301">
        <f t="shared" si="33"/>
        <v>539703.68900940951</v>
      </c>
      <c r="L53" s="301">
        <f t="shared" si="33"/>
        <v>844855.62756526144</v>
      </c>
      <c r="M53" s="301">
        <f t="shared" si="33"/>
        <v>1175826.2514401125</v>
      </c>
      <c r="N53" s="301">
        <f t="shared" si="33"/>
        <v>1534479.4126237854</v>
      </c>
      <c r="O53" s="301">
        <f t="shared" si="33"/>
        <v>1922808.8316757628</v>
      </c>
      <c r="P53" s="301">
        <f t="shared" si="33"/>
        <v>2342947.0664841291</v>
      </c>
      <c r="Q53" s="301">
        <f t="shared" si="33"/>
        <v>2797175.0989878643</v>
      </c>
      <c r="R53" s="301">
        <f t="shared" si="33"/>
        <v>3287932.5824158061</v>
      </c>
      <c r="S53" s="301">
        <f t="shared" si="33"/>
        <v>3817828.7945254305</v>
      </c>
      <c r="T53" s="301">
        <f t="shared" si="33"/>
        <v>4389654.3454560498</v>
      </c>
      <c r="U53" s="301">
        <f t="shared" si="33"/>
        <v>5007257.0681640347</v>
      </c>
      <c r="V53" s="301">
        <f t="shared" si="33"/>
        <v>5672216.546543004</v>
      </c>
      <c r="W53" s="301">
        <f t="shared" si="33"/>
        <v>6388703.5873222612</v>
      </c>
      <c r="X53" s="301">
        <f t="shared" si="33"/>
        <v>6636557.4304355904</v>
      </c>
      <c r="Y53" s="301">
        <f t="shared" si="33"/>
        <v>6755674.8282218594</v>
      </c>
      <c r="Z53" s="301">
        <f t="shared" si="33"/>
        <v>6880591.5569359902</v>
      </c>
      <c r="AA53" s="301">
        <f t="shared" si="33"/>
        <v>7004089.043408975</v>
      </c>
      <c r="AB53" s="301">
        <f t="shared" si="33"/>
        <v>7129803.1458573341</v>
      </c>
      <c r="AC53" s="301">
        <f t="shared" si="33"/>
        <v>7257773.6495959209</v>
      </c>
      <c r="AD53" s="301">
        <f t="shared" si="33"/>
        <v>7388041.054033176</v>
      </c>
      <c r="AE53" s="301">
        <f t="shared" si="33"/>
        <v>7487016.5755134001</v>
      </c>
      <c r="AF53" s="301">
        <f t="shared" si="33"/>
        <v>7621398.5862179007</v>
      </c>
      <c r="AG53" s="301">
        <f t="shared" si="33"/>
        <v>7758192.5756617086</v>
      </c>
      <c r="AH53" s="301">
        <f t="shared" si="33"/>
        <v>7897441.8356619999</v>
      </c>
      <c r="AI53" s="301">
        <f t="shared" si="33"/>
        <v>8039190.435066605</v>
      </c>
      <c r="AJ53" s="301">
        <f t="shared" si="33"/>
        <v>8099272.6038848227</v>
      </c>
      <c r="AK53" s="301">
        <f t="shared" si="33"/>
        <v>8244643.7977076806</v>
      </c>
      <c r="AL53" s="301">
        <f t="shared" si="33"/>
        <v>8392624.2115218956</v>
      </c>
      <c r="AM53" s="301">
        <f t="shared" si="33"/>
        <v>8543260.6773633305</v>
      </c>
      <c r="AN53" s="301">
        <f t="shared" si="33"/>
        <v>8696600.8678407464</v>
      </c>
    </row>
    <row r="54" spans="1:40" x14ac:dyDescent="0.25">
      <c r="A54" s="546"/>
      <c r="B54" s="545" t="s">
        <v>4111</v>
      </c>
      <c r="C54" s="545"/>
      <c r="D54" s="289">
        <f>6.25*D49</f>
        <v>5</v>
      </c>
    </row>
    <row r="55" spans="1:40" x14ac:dyDescent="0.25">
      <c r="A55" s="546"/>
      <c r="B55" s="533" t="s">
        <v>3262</v>
      </c>
      <c r="C55" s="533"/>
      <c r="D55" s="533"/>
    </row>
    <row r="56" spans="1:40" x14ac:dyDescent="0.25">
      <c r="B56" s="493" t="s">
        <v>3262</v>
      </c>
      <c r="C56" s="493"/>
      <c r="D56" s="493"/>
      <c r="E56" s="115"/>
      <c r="F56" s="88">
        <f>SUM(F49,F52:F53)</f>
        <v>0</v>
      </c>
      <c r="G56" s="88">
        <f t="shared" ref="G56:AN56" si="34">SUM(G49,G52:G53)</f>
        <v>0</v>
      </c>
      <c r="H56" s="88">
        <f t="shared" si="34"/>
        <v>0</v>
      </c>
      <c r="I56" s="88">
        <f t="shared" si="34"/>
        <v>0</v>
      </c>
      <c r="J56" s="88">
        <f t="shared" si="34"/>
        <v>1906392.169493967</v>
      </c>
      <c r="K56" s="88">
        <f>SUM(K49,K52:K53)</f>
        <v>3974550.6710457746</v>
      </c>
      <c r="L56" s="88">
        <f t="shared" si="34"/>
        <v>6221787.1951914057</v>
      </c>
      <c r="M56" s="88">
        <f t="shared" si="34"/>
        <v>8659160.7800054513</v>
      </c>
      <c r="N56" s="88">
        <f t="shared" si="34"/>
        <v>11300397.427973595</v>
      </c>
      <c r="O56" s="88">
        <f t="shared" si="34"/>
        <v>14160179.535286454</v>
      </c>
      <c r="P56" s="88">
        <f t="shared" si="34"/>
        <v>17254211.940650403</v>
      </c>
      <c r="Q56" s="88">
        <f t="shared" si="34"/>
        <v>20599292.52497831</v>
      </c>
      <c r="R56" s="88">
        <f t="shared" si="34"/>
        <v>24213387.675336368</v>
      </c>
      <c r="S56" s="88">
        <f t="shared" si="34"/>
        <v>28115712.94809952</v>
      </c>
      <c r="T56" s="88">
        <f t="shared" si="34"/>
        <v>32326819.289328896</v>
      </c>
      <c r="U56" s="88">
        <f t="shared" si="34"/>
        <v>36875043.372221768</v>
      </c>
      <c r="V56" s="88">
        <f t="shared" si="34"/>
        <v>41772017.758037575</v>
      </c>
      <c r="W56" s="88">
        <f t="shared" si="34"/>
        <v>47048457.602189079</v>
      </c>
      <c r="X56" s="88">
        <f t="shared" si="34"/>
        <v>48873732.61610543</v>
      </c>
      <c r="Y56" s="88">
        <f t="shared" si="34"/>
        <v>49750951.250970811</v>
      </c>
      <c r="Z56" s="88">
        <f t="shared" si="34"/>
        <v>50670878.014574848</v>
      </c>
      <c r="AA56" s="88">
        <f t="shared" si="34"/>
        <v>51580353.024157584</v>
      </c>
      <c r="AB56" s="88">
        <f t="shared" si="34"/>
        <v>52506151.903100088</v>
      </c>
      <c r="AC56" s="88">
        <f t="shared" si="34"/>
        <v>53448567.643192239</v>
      </c>
      <c r="AD56" s="88">
        <f t="shared" si="34"/>
        <v>54407898.4950376</v>
      </c>
      <c r="AE56" s="88">
        <f t="shared" si="34"/>
        <v>55136785.907384843</v>
      </c>
      <c r="AF56" s="88">
        <f t="shared" si="34"/>
        <v>56126418.03645622</v>
      </c>
      <c r="AG56" s="88">
        <f t="shared" si="34"/>
        <v>57133812.748797044</v>
      </c>
      <c r="AH56" s="88">
        <f t="shared" si="34"/>
        <v>58159288.859202377</v>
      </c>
      <c r="AI56" s="88">
        <f t="shared" si="34"/>
        <v>59203170.904769704</v>
      </c>
      <c r="AJ56" s="88">
        <f t="shared" si="34"/>
        <v>59645635.222241081</v>
      </c>
      <c r="AK56" s="88">
        <f t="shared" si="34"/>
        <v>60716195.212334633</v>
      </c>
      <c r="AL56" s="88">
        <f t="shared" si="34"/>
        <v>61805970.333394922</v>
      </c>
      <c r="AM56" s="88">
        <f t="shared" si="34"/>
        <v>62915305.471520327</v>
      </c>
      <c r="AN56" s="88">
        <f t="shared" si="34"/>
        <v>64044551.703056969</v>
      </c>
    </row>
    <row r="58" spans="1:40" ht="15.75" x14ac:dyDescent="0.25">
      <c r="B58" s="76"/>
      <c r="C58" s="76"/>
      <c r="D58" s="548" t="s">
        <v>4199</v>
      </c>
      <c r="E58" s="548"/>
      <c r="F58" s="315">
        <f>SUM(F56,F44,F30,F14)</f>
        <v>0</v>
      </c>
      <c r="G58" s="315">
        <f t="shared" ref="G58:AN58" si="35">SUM(G56,G44,G30,G14)</f>
        <v>0</v>
      </c>
      <c r="H58" s="315">
        <f t="shared" si="35"/>
        <v>0</v>
      </c>
      <c r="I58" s="315">
        <f t="shared" si="35"/>
        <v>0</v>
      </c>
      <c r="J58" s="315">
        <f>SUM(J56,J44,J30,J14)</f>
        <v>6340638.3818188226</v>
      </c>
      <c r="K58" s="315">
        <f>SUM(K56,K44,K30,K14)</f>
        <v>13494731.200855197</v>
      </c>
      <c r="L58" s="315">
        <f t="shared" si="35"/>
        <v>21554636.656276591</v>
      </c>
      <c r="M58" s="315">
        <f t="shared" si="35"/>
        <v>30614469.036966652</v>
      </c>
      <c r="N58" s="315">
        <f t="shared" si="35"/>
        <v>40779849.30893673</v>
      </c>
      <c r="O58" s="315">
        <f t="shared" si="35"/>
        <v>52167110.903489552</v>
      </c>
      <c r="P58" s="315">
        <f t="shared" si="35"/>
        <v>64904376.272829071</v>
      </c>
      <c r="Q58" s="315">
        <f t="shared" si="35"/>
        <v>79132741.80452618</v>
      </c>
      <c r="R58" s="315">
        <f t="shared" si="35"/>
        <v>95007582.061630785</v>
      </c>
      <c r="S58" s="315">
        <f t="shared" si="35"/>
        <v>112699985.43271554</v>
      </c>
      <c r="T58" s="315">
        <f t="shared" si="35"/>
        <v>132398334.50830507</v>
      </c>
      <c r="U58" s="315">
        <f t="shared" si="35"/>
        <v>154316404.0360269</v>
      </c>
      <c r="V58" s="315">
        <f t="shared" si="35"/>
        <v>178670687.92532188</v>
      </c>
      <c r="W58" s="315">
        <f t="shared" si="35"/>
        <v>205718189.41202474</v>
      </c>
      <c r="X58" s="315">
        <f t="shared" si="35"/>
        <v>218490647.94963139</v>
      </c>
      <c r="Y58" s="315">
        <f t="shared" si="35"/>
        <v>227435789.55749834</v>
      </c>
      <c r="Z58" s="315">
        <f t="shared" si="35"/>
        <v>236811983.29294083</v>
      </c>
      <c r="AA58" s="315">
        <f t="shared" si="35"/>
        <v>246585122.27541834</v>
      </c>
      <c r="AB58" s="315">
        <f t="shared" si="35"/>
        <v>256801989.12145823</v>
      </c>
      <c r="AC58" s="315">
        <f t="shared" si="35"/>
        <v>267483886.57828417</v>
      </c>
      <c r="AD58" s="315">
        <f t="shared" si="35"/>
        <v>278653176.73043185</v>
      </c>
      <c r="AE58" s="315">
        <f t="shared" si="35"/>
        <v>290085672.93551719</v>
      </c>
      <c r="AF58" s="315">
        <f t="shared" si="35"/>
        <v>302296900.15292597</v>
      </c>
      <c r="AG58" s="315">
        <f t="shared" si="35"/>
        <v>315069437.73938179</v>
      </c>
      <c r="AH58" s="315">
        <f t="shared" si="35"/>
        <v>328430453.61153787</v>
      </c>
      <c r="AI58" s="315">
        <f t="shared" si="35"/>
        <v>342408475.24383283</v>
      </c>
      <c r="AJ58" s="315">
        <f t="shared" si="35"/>
        <v>356413305.44504923</v>
      </c>
      <c r="AK58" s="315">
        <f t="shared" si="35"/>
        <v>371705580.98312598</v>
      </c>
      <c r="AL58" s="315">
        <f t="shared" si="35"/>
        <v>387709118.79651535</v>
      </c>
      <c r="AM58" s="315">
        <f t="shared" si="35"/>
        <v>404458616.64586848</v>
      </c>
      <c r="AN58" s="315">
        <f t="shared" si="35"/>
        <v>421990519.43982309</v>
      </c>
    </row>
    <row r="59" spans="1:40" ht="15.75" x14ac:dyDescent="0.25">
      <c r="B59" s="313"/>
      <c r="C59" s="313"/>
      <c r="D59" s="313"/>
      <c r="E59" s="314"/>
      <c r="F59" s="315"/>
      <c r="G59" s="315"/>
      <c r="H59" s="315"/>
      <c r="I59" s="315"/>
      <c r="J59" s="315"/>
      <c r="K59" s="315"/>
      <c r="L59" s="315"/>
      <c r="M59" s="315"/>
      <c r="N59" s="315"/>
      <c r="O59" s="315"/>
      <c r="P59" s="315"/>
      <c r="Q59" s="315"/>
      <c r="R59" s="315"/>
      <c r="S59" s="315"/>
      <c r="T59" s="315"/>
      <c r="U59" s="315"/>
      <c r="V59" s="315"/>
      <c r="W59" s="315"/>
      <c r="X59" s="315"/>
      <c r="Y59" s="315"/>
      <c r="Z59" s="315"/>
      <c r="AA59" s="315"/>
      <c r="AB59" s="315"/>
      <c r="AC59" s="315"/>
      <c r="AD59" s="315"/>
      <c r="AE59" s="315"/>
      <c r="AF59" s="315"/>
      <c r="AG59" s="315"/>
      <c r="AH59" s="315"/>
      <c r="AI59" s="315"/>
      <c r="AJ59" s="315"/>
      <c r="AK59" s="315"/>
      <c r="AL59" s="315"/>
      <c r="AM59" s="315"/>
      <c r="AN59" s="315"/>
    </row>
    <row r="60" spans="1:40" x14ac:dyDescent="0.25">
      <c r="A60" s="546" t="s">
        <v>3754</v>
      </c>
      <c r="B60" s="547" t="s">
        <v>4129</v>
      </c>
      <c r="C60" s="547"/>
      <c r="D60" s="547"/>
      <c r="E60" s="293"/>
      <c r="F60" s="58" t="s">
        <v>3701</v>
      </c>
      <c r="G60" s="17" t="s">
        <v>3702</v>
      </c>
      <c r="H60" s="58" t="s">
        <v>3703</v>
      </c>
      <c r="I60" s="17" t="s">
        <v>3704</v>
      </c>
      <c r="J60" s="58" t="s">
        <v>3705</v>
      </c>
      <c r="K60" s="17" t="s">
        <v>3706</v>
      </c>
      <c r="L60" s="58" t="s">
        <v>3707</v>
      </c>
      <c r="M60" s="17" t="s">
        <v>3708</v>
      </c>
      <c r="N60" s="58" t="s">
        <v>3709</v>
      </c>
      <c r="O60" s="17" t="s">
        <v>3710</v>
      </c>
      <c r="P60" s="58" t="s">
        <v>3711</v>
      </c>
      <c r="Q60" s="17" t="s">
        <v>3712</v>
      </c>
      <c r="R60" s="58" t="s">
        <v>3713</v>
      </c>
      <c r="S60" s="17" t="s">
        <v>3714</v>
      </c>
      <c r="T60" s="58" t="s">
        <v>3715</v>
      </c>
      <c r="U60" s="17" t="s">
        <v>3716</v>
      </c>
      <c r="V60" s="58" t="s">
        <v>3717</v>
      </c>
      <c r="W60" s="17" t="s">
        <v>3718</v>
      </c>
      <c r="X60" s="58" t="s">
        <v>3719</v>
      </c>
      <c r="Y60" s="17" t="s">
        <v>3720</v>
      </c>
      <c r="Z60" s="58" t="s">
        <v>3721</v>
      </c>
      <c r="AA60" s="17" t="s">
        <v>3722</v>
      </c>
      <c r="AB60" s="58" t="s">
        <v>3723</v>
      </c>
      <c r="AC60" s="17" t="s">
        <v>3724</v>
      </c>
      <c r="AD60" s="58" t="s">
        <v>3725</v>
      </c>
      <c r="AE60" s="17" t="s">
        <v>3726</v>
      </c>
      <c r="AF60" s="58" t="s">
        <v>3727</v>
      </c>
      <c r="AG60" s="17" t="s">
        <v>3728</v>
      </c>
      <c r="AH60" s="58" t="s">
        <v>3729</v>
      </c>
      <c r="AI60" s="17" t="s">
        <v>3730</v>
      </c>
      <c r="AJ60" s="58" t="s">
        <v>3731</v>
      </c>
      <c r="AK60" s="17" t="s">
        <v>3732</v>
      </c>
      <c r="AL60" s="58" t="s">
        <v>3733</v>
      </c>
      <c r="AM60" s="17" t="s">
        <v>3734</v>
      </c>
      <c r="AN60" s="17" t="s">
        <v>3735</v>
      </c>
    </row>
    <row r="61" spans="1:40" ht="15.75" x14ac:dyDescent="0.25">
      <c r="A61" s="546"/>
      <c r="B61" s="547"/>
      <c r="C61" s="547"/>
      <c r="D61" s="547"/>
      <c r="E61" s="311" t="s">
        <v>4130</v>
      </c>
      <c r="F61" s="316">
        <v>4000</v>
      </c>
      <c r="G61" s="316">
        <f>F61</f>
        <v>4000</v>
      </c>
      <c r="H61" s="316">
        <f t="shared" ref="H61:AN61" si="36">G61</f>
        <v>4000</v>
      </c>
      <c r="I61" s="316">
        <f t="shared" si="36"/>
        <v>4000</v>
      </c>
      <c r="J61" s="316">
        <f t="shared" si="36"/>
        <v>4000</v>
      </c>
      <c r="K61" s="316">
        <f t="shared" si="36"/>
        <v>4000</v>
      </c>
      <c r="L61" s="316">
        <f t="shared" si="36"/>
        <v>4000</v>
      </c>
      <c r="M61" s="316">
        <f t="shared" si="36"/>
        <v>4000</v>
      </c>
      <c r="N61" s="316">
        <f t="shared" si="36"/>
        <v>4000</v>
      </c>
      <c r="O61" s="316">
        <f t="shared" si="36"/>
        <v>4000</v>
      </c>
      <c r="P61" s="316">
        <f t="shared" si="36"/>
        <v>4000</v>
      </c>
      <c r="Q61" s="316">
        <f t="shared" si="36"/>
        <v>4000</v>
      </c>
      <c r="R61" s="316">
        <f t="shared" si="36"/>
        <v>4000</v>
      </c>
      <c r="S61" s="316">
        <f t="shared" si="36"/>
        <v>4000</v>
      </c>
      <c r="T61" s="316">
        <f t="shared" si="36"/>
        <v>4000</v>
      </c>
      <c r="U61" s="316">
        <f t="shared" si="36"/>
        <v>4000</v>
      </c>
      <c r="V61" s="316">
        <f t="shared" si="36"/>
        <v>4000</v>
      </c>
      <c r="W61" s="316">
        <f t="shared" si="36"/>
        <v>4000</v>
      </c>
      <c r="X61" s="316">
        <f t="shared" si="36"/>
        <v>4000</v>
      </c>
      <c r="Y61" s="316">
        <f t="shared" si="36"/>
        <v>4000</v>
      </c>
      <c r="Z61" s="316">
        <f t="shared" si="36"/>
        <v>4000</v>
      </c>
      <c r="AA61" s="316">
        <f t="shared" si="36"/>
        <v>4000</v>
      </c>
      <c r="AB61" s="316">
        <f t="shared" si="36"/>
        <v>4000</v>
      </c>
      <c r="AC61" s="316">
        <f t="shared" si="36"/>
        <v>4000</v>
      </c>
      <c r="AD61" s="316">
        <f t="shared" si="36"/>
        <v>4000</v>
      </c>
      <c r="AE61" s="316">
        <f t="shared" si="36"/>
        <v>4000</v>
      </c>
      <c r="AF61" s="316">
        <f t="shared" si="36"/>
        <v>4000</v>
      </c>
      <c r="AG61" s="316">
        <f t="shared" si="36"/>
        <v>4000</v>
      </c>
      <c r="AH61" s="316">
        <f t="shared" si="36"/>
        <v>4000</v>
      </c>
      <c r="AI61" s="316">
        <f t="shared" si="36"/>
        <v>4000</v>
      </c>
      <c r="AJ61" s="316">
        <f t="shared" si="36"/>
        <v>4000</v>
      </c>
      <c r="AK61" s="316">
        <f t="shared" si="36"/>
        <v>4000</v>
      </c>
      <c r="AL61" s="316">
        <f t="shared" si="36"/>
        <v>4000</v>
      </c>
      <c r="AM61" s="316">
        <f t="shared" si="36"/>
        <v>4000</v>
      </c>
      <c r="AN61" s="316">
        <f t="shared" si="36"/>
        <v>4000</v>
      </c>
    </row>
    <row r="62" spans="1:40" ht="15.75" x14ac:dyDescent="0.25">
      <c r="A62" s="546"/>
      <c r="B62" s="545" t="s">
        <v>4106</v>
      </c>
      <c r="C62" s="545"/>
      <c r="D62" s="289">
        <f>D6</f>
        <v>85.272000000000006</v>
      </c>
      <c r="E62" s="300" t="s">
        <v>4115</v>
      </c>
      <c r="F62" s="318">
        <f>$D62*F61</f>
        <v>341088</v>
      </c>
      <c r="G62" s="318">
        <f t="shared" ref="G62:AN62" si="37">$D62*G61</f>
        <v>341088</v>
      </c>
      <c r="H62" s="318">
        <f t="shared" si="37"/>
        <v>341088</v>
      </c>
      <c r="I62" s="318">
        <f t="shared" si="37"/>
        <v>341088</v>
      </c>
      <c r="J62" s="318">
        <f t="shared" si="37"/>
        <v>341088</v>
      </c>
      <c r="K62" s="318">
        <f t="shared" si="37"/>
        <v>341088</v>
      </c>
      <c r="L62" s="318">
        <f t="shared" si="37"/>
        <v>341088</v>
      </c>
      <c r="M62" s="318">
        <f t="shared" si="37"/>
        <v>341088</v>
      </c>
      <c r="N62" s="318">
        <f t="shared" si="37"/>
        <v>341088</v>
      </c>
      <c r="O62" s="318">
        <f t="shared" si="37"/>
        <v>341088</v>
      </c>
      <c r="P62" s="318">
        <f t="shared" si="37"/>
        <v>341088</v>
      </c>
      <c r="Q62" s="318">
        <f t="shared" si="37"/>
        <v>341088</v>
      </c>
      <c r="R62" s="318">
        <f t="shared" si="37"/>
        <v>341088</v>
      </c>
      <c r="S62" s="318">
        <f t="shared" si="37"/>
        <v>341088</v>
      </c>
      <c r="T62" s="318">
        <f t="shared" si="37"/>
        <v>341088</v>
      </c>
      <c r="U62" s="318">
        <f t="shared" si="37"/>
        <v>341088</v>
      </c>
      <c r="V62" s="318">
        <f t="shared" si="37"/>
        <v>341088</v>
      </c>
      <c r="W62" s="318">
        <f t="shared" si="37"/>
        <v>341088</v>
      </c>
      <c r="X62" s="318">
        <f t="shared" si="37"/>
        <v>341088</v>
      </c>
      <c r="Y62" s="318">
        <f t="shared" si="37"/>
        <v>341088</v>
      </c>
      <c r="Z62" s="318">
        <f t="shared" si="37"/>
        <v>341088</v>
      </c>
      <c r="AA62" s="318">
        <f t="shared" si="37"/>
        <v>341088</v>
      </c>
      <c r="AB62" s="318">
        <f t="shared" si="37"/>
        <v>341088</v>
      </c>
      <c r="AC62" s="318">
        <f t="shared" si="37"/>
        <v>341088</v>
      </c>
      <c r="AD62" s="318">
        <f t="shared" si="37"/>
        <v>341088</v>
      </c>
      <c r="AE62" s="318">
        <f t="shared" si="37"/>
        <v>341088</v>
      </c>
      <c r="AF62" s="318">
        <f t="shared" si="37"/>
        <v>341088</v>
      </c>
      <c r="AG62" s="318">
        <f t="shared" si="37"/>
        <v>341088</v>
      </c>
      <c r="AH62" s="318">
        <f t="shared" si="37"/>
        <v>341088</v>
      </c>
      <c r="AI62" s="318">
        <f t="shared" si="37"/>
        <v>341088</v>
      </c>
      <c r="AJ62" s="318">
        <f t="shared" si="37"/>
        <v>341088</v>
      </c>
      <c r="AK62" s="318">
        <f t="shared" si="37"/>
        <v>341088</v>
      </c>
      <c r="AL62" s="318">
        <f t="shared" si="37"/>
        <v>341088</v>
      </c>
      <c r="AM62" s="318">
        <f t="shared" si="37"/>
        <v>341088</v>
      </c>
      <c r="AN62" s="318">
        <f t="shared" si="37"/>
        <v>341088</v>
      </c>
    </row>
    <row r="63" spans="1:40" ht="15.75" x14ac:dyDescent="0.25">
      <c r="A63" s="546"/>
      <c r="B63" s="545" t="s">
        <v>4107</v>
      </c>
      <c r="C63" s="545"/>
      <c r="D63" s="289">
        <f>D7</f>
        <v>521.34399999999994</v>
      </c>
      <c r="E63" s="300" t="s">
        <v>4098</v>
      </c>
      <c r="F63" s="318">
        <f>F61*$D63</f>
        <v>2085375.9999999998</v>
      </c>
      <c r="G63" s="318">
        <f t="shared" ref="G63:AN63" si="38">G61*$D63</f>
        <v>2085375.9999999998</v>
      </c>
      <c r="H63" s="318">
        <f t="shared" si="38"/>
        <v>2085375.9999999998</v>
      </c>
      <c r="I63" s="318">
        <f t="shared" si="38"/>
        <v>2085375.9999999998</v>
      </c>
      <c r="J63" s="318">
        <f t="shared" si="38"/>
        <v>2085375.9999999998</v>
      </c>
      <c r="K63" s="318">
        <f t="shared" si="38"/>
        <v>2085375.9999999998</v>
      </c>
      <c r="L63" s="318">
        <f t="shared" si="38"/>
        <v>2085375.9999999998</v>
      </c>
      <c r="M63" s="318">
        <f t="shared" si="38"/>
        <v>2085375.9999999998</v>
      </c>
      <c r="N63" s="318">
        <f t="shared" si="38"/>
        <v>2085375.9999999998</v>
      </c>
      <c r="O63" s="318">
        <f t="shared" si="38"/>
        <v>2085375.9999999998</v>
      </c>
      <c r="P63" s="318">
        <f t="shared" si="38"/>
        <v>2085375.9999999998</v>
      </c>
      <c r="Q63" s="318">
        <f t="shared" si="38"/>
        <v>2085375.9999999998</v>
      </c>
      <c r="R63" s="318">
        <f t="shared" si="38"/>
        <v>2085375.9999999998</v>
      </c>
      <c r="S63" s="318">
        <f t="shared" si="38"/>
        <v>2085375.9999999998</v>
      </c>
      <c r="T63" s="318">
        <f t="shared" si="38"/>
        <v>2085375.9999999998</v>
      </c>
      <c r="U63" s="318">
        <f t="shared" si="38"/>
        <v>2085375.9999999998</v>
      </c>
      <c r="V63" s="318">
        <f t="shared" si="38"/>
        <v>2085375.9999999998</v>
      </c>
      <c r="W63" s="318">
        <f t="shared" si="38"/>
        <v>2085375.9999999998</v>
      </c>
      <c r="X63" s="318">
        <f t="shared" si="38"/>
        <v>2085375.9999999998</v>
      </c>
      <c r="Y63" s="318">
        <f t="shared" si="38"/>
        <v>2085375.9999999998</v>
      </c>
      <c r="Z63" s="318">
        <f t="shared" si="38"/>
        <v>2085375.9999999998</v>
      </c>
      <c r="AA63" s="318">
        <f t="shared" si="38"/>
        <v>2085375.9999999998</v>
      </c>
      <c r="AB63" s="318">
        <f t="shared" si="38"/>
        <v>2085375.9999999998</v>
      </c>
      <c r="AC63" s="318">
        <f t="shared" si="38"/>
        <v>2085375.9999999998</v>
      </c>
      <c r="AD63" s="318">
        <f t="shared" si="38"/>
        <v>2085375.9999999998</v>
      </c>
      <c r="AE63" s="318">
        <f t="shared" si="38"/>
        <v>2085375.9999999998</v>
      </c>
      <c r="AF63" s="318">
        <f t="shared" si="38"/>
        <v>2085375.9999999998</v>
      </c>
      <c r="AG63" s="318">
        <f t="shared" si="38"/>
        <v>2085375.9999999998</v>
      </c>
      <c r="AH63" s="318">
        <f t="shared" si="38"/>
        <v>2085375.9999999998</v>
      </c>
      <c r="AI63" s="318">
        <f t="shared" si="38"/>
        <v>2085375.9999999998</v>
      </c>
      <c r="AJ63" s="318">
        <f t="shared" si="38"/>
        <v>2085375.9999999998</v>
      </c>
      <c r="AK63" s="318">
        <f t="shared" si="38"/>
        <v>2085375.9999999998</v>
      </c>
      <c r="AL63" s="318">
        <f t="shared" si="38"/>
        <v>2085375.9999999998</v>
      </c>
      <c r="AM63" s="318">
        <f t="shared" si="38"/>
        <v>2085375.9999999998</v>
      </c>
      <c r="AN63" s="318">
        <f t="shared" si="38"/>
        <v>2085375.9999999998</v>
      </c>
    </row>
    <row r="64" spans="1:40" ht="15.75" x14ac:dyDescent="0.25">
      <c r="A64" s="546"/>
      <c r="B64" s="172" t="s">
        <v>4099</v>
      </c>
      <c r="C64" s="172"/>
      <c r="D64" s="206"/>
      <c r="E64" s="115"/>
      <c r="F64" s="315"/>
      <c r="G64" s="315"/>
      <c r="H64" s="315"/>
      <c r="I64" s="315"/>
      <c r="J64" s="315"/>
      <c r="K64" s="315"/>
      <c r="L64" s="315"/>
      <c r="M64" s="315"/>
      <c r="N64" s="315"/>
      <c r="O64" s="315"/>
      <c r="P64" s="315"/>
      <c r="Q64" s="315"/>
      <c r="R64" s="315"/>
      <c r="S64" s="315"/>
      <c r="T64" s="315"/>
      <c r="U64" s="315"/>
      <c r="V64" s="315"/>
      <c r="W64" s="315"/>
      <c r="X64" s="315"/>
      <c r="Y64" s="315"/>
      <c r="Z64" s="315"/>
      <c r="AA64" s="315"/>
      <c r="AB64" s="315"/>
      <c r="AC64" s="315"/>
      <c r="AD64" s="315"/>
      <c r="AE64" s="315"/>
      <c r="AF64" s="315"/>
      <c r="AG64" s="315"/>
      <c r="AH64" s="315"/>
      <c r="AI64" s="315"/>
      <c r="AJ64" s="315"/>
      <c r="AK64" s="315"/>
      <c r="AL64" s="315"/>
      <c r="AM64" s="315"/>
      <c r="AN64" s="315"/>
    </row>
    <row r="65" spans="1:40" ht="15.75" x14ac:dyDescent="0.25">
      <c r="A65" s="546"/>
      <c r="B65" s="545" t="s">
        <v>4100</v>
      </c>
      <c r="C65" s="545"/>
      <c r="D65" s="290">
        <v>10</v>
      </c>
      <c r="E65" s="302" t="s">
        <v>4119</v>
      </c>
      <c r="F65" s="315"/>
      <c r="G65" s="315"/>
      <c r="H65" s="315"/>
      <c r="I65" s="315"/>
      <c r="J65" s="315"/>
      <c r="K65" s="315"/>
      <c r="L65" s="315"/>
      <c r="M65" s="315"/>
      <c r="N65" s="315"/>
      <c r="O65" s="315"/>
      <c r="P65" s="315"/>
      <c r="Q65" s="315"/>
      <c r="R65" s="315"/>
      <c r="S65" s="315"/>
      <c r="T65" s="315"/>
      <c r="U65" s="315"/>
      <c r="V65" s="315"/>
      <c r="W65" s="315"/>
      <c r="X65" s="315"/>
      <c r="Y65" s="315"/>
      <c r="Z65" s="315"/>
      <c r="AA65" s="315"/>
      <c r="AB65" s="315"/>
      <c r="AC65" s="315"/>
      <c r="AD65" s="315"/>
      <c r="AE65" s="315"/>
      <c r="AF65" s="315"/>
      <c r="AG65" s="315"/>
      <c r="AH65" s="315"/>
      <c r="AI65" s="315"/>
      <c r="AJ65" s="315"/>
      <c r="AK65" s="315"/>
      <c r="AL65" s="315"/>
      <c r="AM65" s="315"/>
      <c r="AN65" s="315"/>
    </row>
    <row r="66" spans="1:40" x14ac:dyDescent="0.25">
      <c r="A66" s="546"/>
      <c r="B66" s="206" t="s">
        <v>4101</v>
      </c>
      <c r="C66" s="206">
        <v>3</v>
      </c>
      <c r="D66" s="289">
        <f>D11</f>
        <v>136.84</v>
      </c>
      <c r="E66" s="307" t="s">
        <v>4101</v>
      </c>
      <c r="F66" s="301">
        <f>F61*$C66*$D66</f>
        <v>1642080</v>
      </c>
      <c r="G66" s="301">
        <f t="shared" ref="G66:AN66" si="39">G61*$C66*$D66</f>
        <v>1642080</v>
      </c>
      <c r="H66" s="301">
        <f t="shared" si="39"/>
        <v>1642080</v>
      </c>
      <c r="I66" s="301">
        <f t="shared" si="39"/>
        <v>1642080</v>
      </c>
      <c r="J66" s="301">
        <f t="shared" si="39"/>
        <v>1642080</v>
      </c>
      <c r="K66" s="301">
        <f t="shared" si="39"/>
        <v>1642080</v>
      </c>
      <c r="L66" s="301">
        <f t="shared" si="39"/>
        <v>1642080</v>
      </c>
      <c r="M66" s="301">
        <f t="shared" si="39"/>
        <v>1642080</v>
      </c>
      <c r="N66" s="301">
        <f t="shared" si="39"/>
        <v>1642080</v>
      </c>
      <c r="O66" s="301">
        <f t="shared" si="39"/>
        <v>1642080</v>
      </c>
      <c r="P66" s="301">
        <f t="shared" si="39"/>
        <v>1642080</v>
      </c>
      <c r="Q66" s="301">
        <f t="shared" si="39"/>
        <v>1642080</v>
      </c>
      <c r="R66" s="301">
        <f t="shared" si="39"/>
        <v>1642080</v>
      </c>
      <c r="S66" s="301">
        <f t="shared" si="39"/>
        <v>1642080</v>
      </c>
      <c r="T66" s="301">
        <f t="shared" si="39"/>
        <v>1642080</v>
      </c>
      <c r="U66" s="301">
        <f t="shared" si="39"/>
        <v>1642080</v>
      </c>
      <c r="V66" s="301">
        <f t="shared" si="39"/>
        <v>1642080</v>
      </c>
      <c r="W66" s="301">
        <f t="shared" si="39"/>
        <v>1642080</v>
      </c>
      <c r="X66" s="301">
        <f t="shared" si="39"/>
        <v>1642080</v>
      </c>
      <c r="Y66" s="301">
        <f t="shared" si="39"/>
        <v>1642080</v>
      </c>
      <c r="Z66" s="301">
        <f t="shared" si="39"/>
        <v>1642080</v>
      </c>
      <c r="AA66" s="301">
        <f t="shared" si="39"/>
        <v>1642080</v>
      </c>
      <c r="AB66" s="301">
        <f t="shared" si="39"/>
        <v>1642080</v>
      </c>
      <c r="AC66" s="301">
        <f t="shared" si="39"/>
        <v>1642080</v>
      </c>
      <c r="AD66" s="301">
        <f t="shared" si="39"/>
        <v>1642080</v>
      </c>
      <c r="AE66" s="301">
        <f t="shared" si="39"/>
        <v>1642080</v>
      </c>
      <c r="AF66" s="301">
        <f t="shared" si="39"/>
        <v>1642080</v>
      </c>
      <c r="AG66" s="301">
        <f t="shared" si="39"/>
        <v>1642080</v>
      </c>
      <c r="AH66" s="301">
        <f t="shared" si="39"/>
        <v>1642080</v>
      </c>
      <c r="AI66" s="301">
        <f t="shared" si="39"/>
        <v>1642080</v>
      </c>
      <c r="AJ66" s="301">
        <f t="shared" si="39"/>
        <v>1642080</v>
      </c>
      <c r="AK66" s="301">
        <f t="shared" si="39"/>
        <v>1642080</v>
      </c>
      <c r="AL66" s="301">
        <f t="shared" si="39"/>
        <v>1642080</v>
      </c>
      <c r="AM66" s="301">
        <f t="shared" si="39"/>
        <v>1642080</v>
      </c>
      <c r="AN66" s="301">
        <f t="shared" si="39"/>
        <v>1642080</v>
      </c>
    </row>
    <row r="67" spans="1:40" x14ac:dyDescent="0.25">
      <c r="A67" s="546"/>
      <c r="B67" s="206" t="s">
        <v>4102</v>
      </c>
      <c r="C67" s="206">
        <v>7</v>
      </c>
      <c r="D67" s="289">
        <f>D12</f>
        <v>175.928</v>
      </c>
      <c r="E67" s="307" t="s">
        <v>4120</v>
      </c>
      <c r="F67" s="301">
        <f>F61*$C67*$D67</f>
        <v>4925984</v>
      </c>
      <c r="G67" s="301">
        <f t="shared" ref="G67:AN67" si="40">G61*$C67*$D67</f>
        <v>4925984</v>
      </c>
      <c r="H67" s="301">
        <f t="shared" si="40"/>
        <v>4925984</v>
      </c>
      <c r="I67" s="301">
        <f t="shared" si="40"/>
        <v>4925984</v>
      </c>
      <c r="J67" s="301">
        <f t="shared" si="40"/>
        <v>4925984</v>
      </c>
      <c r="K67" s="301">
        <f t="shared" si="40"/>
        <v>4925984</v>
      </c>
      <c r="L67" s="301">
        <f t="shared" si="40"/>
        <v>4925984</v>
      </c>
      <c r="M67" s="301">
        <f t="shared" si="40"/>
        <v>4925984</v>
      </c>
      <c r="N67" s="301">
        <f t="shared" si="40"/>
        <v>4925984</v>
      </c>
      <c r="O67" s="301">
        <f t="shared" si="40"/>
        <v>4925984</v>
      </c>
      <c r="P67" s="301">
        <f t="shared" si="40"/>
        <v>4925984</v>
      </c>
      <c r="Q67" s="301">
        <f t="shared" si="40"/>
        <v>4925984</v>
      </c>
      <c r="R67" s="301">
        <f t="shared" si="40"/>
        <v>4925984</v>
      </c>
      <c r="S67" s="301">
        <f t="shared" si="40"/>
        <v>4925984</v>
      </c>
      <c r="T67" s="301">
        <f t="shared" si="40"/>
        <v>4925984</v>
      </c>
      <c r="U67" s="301">
        <f t="shared" si="40"/>
        <v>4925984</v>
      </c>
      <c r="V67" s="301">
        <f t="shared" si="40"/>
        <v>4925984</v>
      </c>
      <c r="W67" s="301">
        <f t="shared" si="40"/>
        <v>4925984</v>
      </c>
      <c r="X67" s="301">
        <f t="shared" si="40"/>
        <v>4925984</v>
      </c>
      <c r="Y67" s="301">
        <f t="shared" si="40"/>
        <v>4925984</v>
      </c>
      <c r="Z67" s="301">
        <f t="shared" si="40"/>
        <v>4925984</v>
      </c>
      <c r="AA67" s="301">
        <f t="shared" si="40"/>
        <v>4925984</v>
      </c>
      <c r="AB67" s="301">
        <f t="shared" si="40"/>
        <v>4925984</v>
      </c>
      <c r="AC67" s="301">
        <f t="shared" si="40"/>
        <v>4925984</v>
      </c>
      <c r="AD67" s="301">
        <f t="shared" si="40"/>
        <v>4925984</v>
      </c>
      <c r="AE67" s="301">
        <f t="shared" si="40"/>
        <v>4925984</v>
      </c>
      <c r="AF67" s="301">
        <f t="shared" si="40"/>
        <v>4925984</v>
      </c>
      <c r="AG67" s="301">
        <f t="shared" si="40"/>
        <v>4925984</v>
      </c>
      <c r="AH67" s="301">
        <f t="shared" si="40"/>
        <v>4925984</v>
      </c>
      <c r="AI67" s="301">
        <f t="shared" si="40"/>
        <v>4925984</v>
      </c>
      <c r="AJ67" s="301">
        <f t="shared" si="40"/>
        <v>4925984</v>
      </c>
      <c r="AK67" s="301">
        <f t="shared" si="40"/>
        <v>4925984</v>
      </c>
      <c r="AL67" s="301">
        <f t="shared" si="40"/>
        <v>4925984</v>
      </c>
      <c r="AM67" s="301">
        <f t="shared" si="40"/>
        <v>4925984</v>
      </c>
      <c r="AN67" s="301">
        <f t="shared" si="40"/>
        <v>4925984</v>
      </c>
    </row>
    <row r="68" spans="1:40" ht="15.75" x14ac:dyDescent="0.25">
      <c r="A68" s="546"/>
      <c r="B68" s="172" t="s">
        <v>4103</v>
      </c>
      <c r="C68" s="206"/>
      <c r="D68" s="206"/>
      <c r="E68" s="115"/>
      <c r="F68" s="315"/>
      <c r="G68" s="315"/>
      <c r="H68" s="315"/>
      <c r="I68" s="315"/>
      <c r="J68" s="315"/>
      <c r="K68" s="315"/>
      <c r="L68" s="315"/>
      <c r="M68" s="315"/>
      <c r="N68" s="315"/>
      <c r="O68" s="315"/>
      <c r="P68" s="315"/>
      <c r="Q68" s="315"/>
      <c r="R68" s="315"/>
      <c r="S68" s="315"/>
      <c r="T68" s="315"/>
      <c r="U68" s="315"/>
      <c r="V68" s="315"/>
      <c r="W68" s="315"/>
      <c r="X68" s="315"/>
      <c r="Y68" s="315"/>
      <c r="Z68" s="315"/>
      <c r="AA68" s="315"/>
      <c r="AB68" s="315"/>
      <c r="AC68" s="315"/>
      <c r="AD68" s="315"/>
      <c r="AE68" s="315"/>
      <c r="AF68" s="315"/>
      <c r="AG68" s="315"/>
      <c r="AH68" s="315"/>
      <c r="AI68" s="315"/>
      <c r="AJ68" s="315"/>
      <c r="AK68" s="315"/>
      <c r="AL68" s="315"/>
      <c r="AM68" s="315"/>
      <c r="AN68" s="315"/>
    </row>
    <row r="69" spans="1:40" ht="15.75" x14ac:dyDescent="0.25">
      <c r="A69" s="546"/>
      <c r="B69" s="493" t="s">
        <v>3262</v>
      </c>
      <c r="C69" s="493"/>
      <c r="D69" s="493"/>
      <c r="E69" s="314"/>
      <c r="F69" s="88">
        <f>SUM(F62:F63,F66:F67)</f>
        <v>8994528</v>
      </c>
      <c r="G69" s="88">
        <f t="shared" ref="G69:AN69" si="41">SUM(G62:G63,G66:G67)</f>
        <v>8994528</v>
      </c>
      <c r="H69" s="88">
        <f t="shared" si="41"/>
        <v>8994528</v>
      </c>
      <c r="I69" s="88">
        <f t="shared" si="41"/>
        <v>8994528</v>
      </c>
      <c r="J69" s="88">
        <f t="shared" si="41"/>
        <v>8994528</v>
      </c>
      <c r="K69" s="88">
        <f t="shared" si="41"/>
        <v>8994528</v>
      </c>
      <c r="L69" s="88">
        <f t="shared" si="41"/>
        <v>8994528</v>
      </c>
      <c r="M69" s="88">
        <f t="shared" si="41"/>
        <v>8994528</v>
      </c>
      <c r="N69" s="88">
        <f t="shared" si="41"/>
        <v>8994528</v>
      </c>
      <c r="O69" s="88">
        <f t="shared" si="41"/>
        <v>8994528</v>
      </c>
      <c r="P69" s="88">
        <f t="shared" si="41"/>
        <v>8994528</v>
      </c>
      <c r="Q69" s="88">
        <f t="shared" si="41"/>
        <v>8994528</v>
      </c>
      <c r="R69" s="88">
        <f t="shared" si="41"/>
        <v>8994528</v>
      </c>
      <c r="S69" s="88">
        <f t="shared" si="41"/>
        <v>8994528</v>
      </c>
      <c r="T69" s="88">
        <f t="shared" si="41"/>
        <v>8994528</v>
      </c>
      <c r="U69" s="88">
        <f t="shared" si="41"/>
        <v>8994528</v>
      </c>
      <c r="V69" s="88">
        <f t="shared" si="41"/>
        <v>8994528</v>
      </c>
      <c r="W69" s="88">
        <f t="shared" si="41"/>
        <v>8994528</v>
      </c>
      <c r="X69" s="88">
        <f t="shared" si="41"/>
        <v>8994528</v>
      </c>
      <c r="Y69" s="88">
        <f t="shared" si="41"/>
        <v>8994528</v>
      </c>
      <c r="Z69" s="88">
        <f t="shared" si="41"/>
        <v>8994528</v>
      </c>
      <c r="AA69" s="88">
        <f t="shared" si="41"/>
        <v>8994528</v>
      </c>
      <c r="AB69" s="88">
        <f t="shared" si="41"/>
        <v>8994528</v>
      </c>
      <c r="AC69" s="88">
        <f t="shared" si="41"/>
        <v>8994528</v>
      </c>
      <c r="AD69" s="88">
        <f t="shared" si="41"/>
        <v>8994528</v>
      </c>
      <c r="AE69" s="88">
        <f t="shared" si="41"/>
        <v>8994528</v>
      </c>
      <c r="AF69" s="88">
        <f t="shared" si="41"/>
        <v>8994528</v>
      </c>
      <c r="AG69" s="88">
        <f t="shared" si="41"/>
        <v>8994528</v>
      </c>
      <c r="AH69" s="88">
        <f t="shared" si="41"/>
        <v>8994528</v>
      </c>
      <c r="AI69" s="88">
        <f t="shared" si="41"/>
        <v>8994528</v>
      </c>
      <c r="AJ69" s="88">
        <f t="shared" si="41"/>
        <v>8994528</v>
      </c>
      <c r="AK69" s="88">
        <f t="shared" si="41"/>
        <v>8994528</v>
      </c>
      <c r="AL69" s="88">
        <f t="shared" si="41"/>
        <v>8994528</v>
      </c>
      <c r="AM69" s="88">
        <f t="shared" si="41"/>
        <v>8994528</v>
      </c>
      <c r="AN69" s="88">
        <f t="shared" si="41"/>
        <v>8994528</v>
      </c>
    </row>
    <row r="70" spans="1:40" ht="15.75" x14ac:dyDescent="0.25">
      <c r="A70" s="546"/>
      <c r="B70" s="53" t="s">
        <v>4131</v>
      </c>
      <c r="M70" s="41">
        <f>M61*D17</f>
        <v>57915</v>
      </c>
    </row>
    <row r="71" spans="1:40" ht="15.75" x14ac:dyDescent="0.25">
      <c r="A71" s="546"/>
      <c r="B71" s="313" t="s">
        <v>4132</v>
      </c>
      <c r="C71" s="317">
        <f>Import_Frios!N12</f>
        <v>5.8533055520163302E-2</v>
      </c>
    </row>
    <row r="72" spans="1:40" x14ac:dyDescent="0.25">
      <c r="A72" s="546"/>
      <c r="B72" s="547" t="s">
        <v>4133</v>
      </c>
      <c r="C72" s="547"/>
      <c r="D72" s="547"/>
      <c r="F72" s="58" t="s">
        <v>3701</v>
      </c>
      <c r="G72" s="17" t="s">
        <v>3702</v>
      </c>
      <c r="H72" s="58" t="s">
        <v>3703</v>
      </c>
      <c r="I72" s="17" t="s">
        <v>3704</v>
      </c>
      <c r="J72" s="58" t="s">
        <v>3705</v>
      </c>
      <c r="K72" s="17" t="s">
        <v>3706</v>
      </c>
      <c r="L72" s="58" t="s">
        <v>3707</v>
      </c>
      <c r="M72" s="17" t="s">
        <v>3708</v>
      </c>
      <c r="N72" s="58" t="s">
        <v>3709</v>
      </c>
      <c r="O72" s="17" t="s">
        <v>3710</v>
      </c>
      <c r="P72" s="58" t="s">
        <v>3711</v>
      </c>
      <c r="Q72" s="17" t="s">
        <v>3712</v>
      </c>
      <c r="R72" s="58" t="s">
        <v>3713</v>
      </c>
      <c r="S72" s="17" t="s">
        <v>3714</v>
      </c>
      <c r="T72" s="58" t="s">
        <v>3715</v>
      </c>
      <c r="U72" s="17" t="s">
        <v>3716</v>
      </c>
      <c r="V72" s="58" t="s">
        <v>3717</v>
      </c>
      <c r="W72" s="17" t="s">
        <v>3718</v>
      </c>
      <c r="X72" s="58" t="s">
        <v>3719</v>
      </c>
      <c r="Y72" s="17" t="s">
        <v>3720</v>
      </c>
      <c r="Z72" s="58" t="s">
        <v>3721</v>
      </c>
      <c r="AA72" s="17" t="s">
        <v>3722</v>
      </c>
      <c r="AB72" s="58" t="s">
        <v>3723</v>
      </c>
      <c r="AC72" s="17" t="s">
        <v>3724</v>
      </c>
      <c r="AD72" s="58" t="s">
        <v>3725</v>
      </c>
      <c r="AE72" s="17" t="s">
        <v>3726</v>
      </c>
      <c r="AF72" s="58" t="s">
        <v>3727</v>
      </c>
      <c r="AG72" s="17" t="s">
        <v>3728</v>
      </c>
      <c r="AH72" s="58" t="s">
        <v>3729</v>
      </c>
      <c r="AI72" s="17" t="s">
        <v>3730</v>
      </c>
      <c r="AJ72" s="58" t="s">
        <v>3731</v>
      </c>
      <c r="AK72" s="17" t="s">
        <v>3732</v>
      </c>
      <c r="AL72" s="58" t="s">
        <v>3733</v>
      </c>
      <c r="AM72" s="17" t="s">
        <v>3734</v>
      </c>
      <c r="AN72" s="17" t="s">
        <v>3735</v>
      </c>
    </row>
    <row r="73" spans="1:40" ht="15.75" x14ac:dyDescent="0.25">
      <c r="A73" s="546"/>
      <c r="B73" s="547"/>
      <c r="C73" s="547"/>
      <c r="D73" s="547"/>
      <c r="E73" s="298" t="s">
        <v>3755</v>
      </c>
      <c r="F73" s="319">
        <f>36113</f>
        <v>36113</v>
      </c>
      <c r="G73" s="319">
        <f>F73</f>
        <v>36113</v>
      </c>
      <c r="H73" s="319">
        <f t="shared" ref="H73:AN73" si="42">G73</f>
        <v>36113</v>
      </c>
      <c r="I73" s="319">
        <f t="shared" si="42"/>
        <v>36113</v>
      </c>
      <c r="J73" s="319">
        <f t="shared" si="42"/>
        <v>36113</v>
      </c>
      <c r="K73" s="319">
        <f t="shared" si="42"/>
        <v>36113</v>
      </c>
      <c r="L73" s="319">
        <f t="shared" si="42"/>
        <v>36113</v>
      </c>
      <c r="M73" s="319">
        <f t="shared" si="42"/>
        <v>36113</v>
      </c>
      <c r="N73" s="319">
        <f t="shared" si="42"/>
        <v>36113</v>
      </c>
      <c r="O73" s="319">
        <f t="shared" si="42"/>
        <v>36113</v>
      </c>
      <c r="P73" s="319">
        <f t="shared" si="42"/>
        <v>36113</v>
      </c>
      <c r="Q73" s="319">
        <f t="shared" si="42"/>
        <v>36113</v>
      </c>
      <c r="R73" s="319">
        <f t="shared" si="42"/>
        <v>36113</v>
      </c>
      <c r="S73" s="319">
        <f t="shared" si="42"/>
        <v>36113</v>
      </c>
      <c r="T73" s="319">
        <f t="shared" si="42"/>
        <v>36113</v>
      </c>
      <c r="U73" s="319">
        <f t="shared" si="42"/>
        <v>36113</v>
      </c>
      <c r="V73" s="319">
        <f t="shared" si="42"/>
        <v>36113</v>
      </c>
      <c r="W73" s="319">
        <f t="shared" si="42"/>
        <v>36113</v>
      </c>
      <c r="X73" s="319">
        <f t="shared" si="42"/>
        <v>36113</v>
      </c>
      <c r="Y73" s="319">
        <f t="shared" si="42"/>
        <v>36113</v>
      </c>
      <c r="Z73" s="319">
        <f t="shared" si="42"/>
        <v>36113</v>
      </c>
      <c r="AA73" s="319">
        <f t="shared" si="42"/>
        <v>36113</v>
      </c>
      <c r="AB73" s="319">
        <f t="shared" si="42"/>
        <v>36113</v>
      </c>
      <c r="AC73" s="319">
        <f t="shared" si="42"/>
        <v>36113</v>
      </c>
      <c r="AD73" s="319">
        <f t="shared" si="42"/>
        <v>36113</v>
      </c>
      <c r="AE73" s="319">
        <f t="shared" si="42"/>
        <v>36113</v>
      </c>
      <c r="AF73" s="319">
        <f t="shared" si="42"/>
        <v>36113</v>
      </c>
      <c r="AG73" s="319">
        <f t="shared" si="42"/>
        <v>36113</v>
      </c>
      <c r="AH73" s="319">
        <f t="shared" si="42"/>
        <v>36113</v>
      </c>
      <c r="AI73" s="319">
        <f t="shared" si="42"/>
        <v>36113</v>
      </c>
      <c r="AJ73" s="319">
        <f t="shared" si="42"/>
        <v>36113</v>
      </c>
      <c r="AK73" s="319">
        <f t="shared" si="42"/>
        <v>36113</v>
      </c>
      <c r="AL73" s="319">
        <f t="shared" si="42"/>
        <v>36113</v>
      </c>
      <c r="AM73" s="319">
        <f t="shared" si="42"/>
        <v>36113</v>
      </c>
      <c r="AN73" s="319">
        <f t="shared" si="42"/>
        <v>36113</v>
      </c>
    </row>
    <row r="74" spans="1:40" x14ac:dyDescent="0.25">
      <c r="A74" s="546"/>
      <c r="B74" s="172" t="s">
        <v>4097</v>
      </c>
      <c r="C74" s="172"/>
      <c r="D74" s="288"/>
    </row>
    <row r="75" spans="1:40" x14ac:dyDescent="0.25">
      <c r="A75" s="546"/>
      <c r="B75" s="545" t="s">
        <v>4109</v>
      </c>
      <c r="C75" s="545"/>
      <c r="D75" s="289">
        <f>D24</f>
        <v>44.2</v>
      </c>
      <c r="E75" s="300" t="s">
        <v>4115</v>
      </c>
      <c r="F75" s="37">
        <f>$D75*F73</f>
        <v>1596194.6</v>
      </c>
      <c r="G75" s="37">
        <f t="shared" ref="G75:AN75" si="43">$D75*G73</f>
        <v>1596194.6</v>
      </c>
      <c r="H75" s="37">
        <f t="shared" si="43"/>
        <v>1596194.6</v>
      </c>
      <c r="I75" s="37">
        <f t="shared" si="43"/>
        <v>1596194.6</v>
      </c>
      <c r="J75" s="37">
        <f t="shared" si="43"/>
        <v>1596194.6</v>
      </c>
      <c r="K75" s="37">
        <f t="shared" si="43"/>
        <v>1596194.6</v>
      </c>
      <c r="L75" s="37">
        <f t="shared" si="43"/>
        <v>1596194.6</v>
      </c>
      <c r="M75" s="37">
        <f t="shared" si="43"/>
        <v>1596194.6</v>
      </c>
      <c r="N75" s="37">
        <f t="shared" si="43"/>
        <v>1596194.6</v>
      </c>
      <c r="O75" s="37">
        <f t="shared" si="43"/>
        <v>1596194.6</v>
      </c>
      <c r="P75" s="37">
        <f t="shared" si="43"/>
        <v>1596194.6</v>
      </c>
      <c r="Q75" s="37">
        <f t="shared" si="43"/>
        <v>1596194.6</v>
      </c>
      <c r="R75" s="37">
        <f t="shared" si="43"/>
        <v>1596194.6</v>
      </c>
      <c r="S75" s="37">
        <f t="shared" si="43"/>
        <v>1596194.6</v>
      </c>
      <c r="T75" s="37">
        <f t="shared" si="43"/>
        <v>1596194.6</v>
      </c>
      <c r="U75" s="37">
        <f t="shared" si="43"/>
        <v>1596194.6</v>
      </c>
      <c r="V75" s="37">
        <f t="shared" si="43"/>
        <v>1596194.6</v>
      </c>
      <c r="W75" s="37">
        <f t="shared" si="43"/>
        <v>1596194.6</v>
      </c>
      <c r="X75" s="37">
        <f t="shared" si="43"/>
        <v>1596194.6</v>
      </c>
      <c r="Y75" s="37">
        <f t="shared" si="43"/>
        <v>1596194.6</v>
      </c>
      <c r="Z75" s="37">
        <f t="shared" si="43"/>
        <v>1596194.6</v>
      </c>
      <c r="AA75" s="37">
        <f t="shared" si="43"/>
        <v>1596194.6</v>
      </c>
      <c r="AB75" s="37">
        <f t="shared" si="43"/>
        <v>1596194.6</v>
      </c>
      <c r="AC75" s="37">
        <f t="shared" si="43"/>
        <v>1596194.6</v>
      </c>
      <c r="AD75" s="37">
        <f t="shared" si="43"/>
        <v>1596194.6</v>
      </c>
      <c r="AE75" s="37">
        <f t="shared" si="43"/>
        <v>1596194.6</v>
      </c>
      <c r="AF75" s="37">
        <f t="shared" si="43"/>
        <v>1596194.6</v>
      </c>
      <c r="AG75" s="37">
        <f t="shared" si="43"/>
        <v>1596194.6</v>
      </c>
      <c r="AH75" s="37">
        <f t="shared" si="43"/>
        <v>1596194.6</v>
      </c>
      <c r="AI75" s="37">
        <f t="shared" si="43"/>
        <v>1596194.6</v>
      </c>
      <c r="AJ75" s="37">
        <f t="shared" si="43"/>
        <v>1596194.6</v>
      </c>
      <c r="AK75" s="37">
        <f t="shared" si="43"/>
        <v>1596194.6</v>
      </c>
      <c r="AL75" s="37">
        <f t="shared" si="43"/>
        <v>1596194.6</v>
      </c>
      <c r="AM75" s="37">
        <f t="shared" si="43"/>
        <v>1596194.6</v>
      </c>
      <c r="AN75" s="37">
        <f t="shared" si="43"/>
        <v>1596194.6</v>
      </c>
    </row>
    <row r="76" spans="1:40" x14ac:dyDescent="0.25">
      <c r="A76" s="546"/>
      <c r="B76" s="172" t="s">
        <v>4099</v>
      </c>
      <c r="C76" s="172"/>
      <c r="D76" s="206"/>
      <c r="E76" s="308"/>
    </row>
    <row r="77" spans="1:40" x14ac:dyDescent="0.25">
      <c r="A77" s="546"/>
      <c r="B77" s="545" t="s">
        <v>4100</v>
      </c>
      <c r="C77" s="545"/>
      <c r="D77" s="290">
        <v>10</v>
      </c>
      <c r="E77" s="309"/>
    </row>
    <row r="78" spans="1:40" x14ac:dyDescent="0.25">
      <c r="A78" s="546"/>
      <c r="B78" s="545" t="s">
        <v>4110</v>
      </c>
      <c r="C78" s="545"/>
      <c r="D78" s="289">
        <f>D27</f>
        <v>274.01600000000002</v>
      </c>
      <c r="E78" s="300" t="s">
        <v>4117</v>
      </c>
      <c r="F78" s="41">
        <f>F73*$D78</f>
        <v>9895539.8080000002</v>
      </c>
      <c r="G78" s="41">
        <f t="shared" ref="G78:AN78" si="44">G73*$D78</f>
        <v>9895539.8080000002</v>
      </c>
      <c r="H78" s="41">
        <f t="shared" si="44"/>
        <v>9895539.8080000002</v>
      </c>
      <c r="I78" s="41">
        <f t="shared" si="44"/>
        <v>9895539.8080000002</v>
      </c>
      <c r="J78" s="41">
        <f t="shared" si="44"/>
        <v>9895539.8080000002</v>
      </c>
      <c r="K78" s="41">
        <f t="shared" si="44"/>
        <v>9895539.8080000002</v>
      </c>
      <c r="L78" s="41">
        <f t="shared" si="44"/>
        <v>9895539.8080000002</v>
      </c>
      <c r="M78" s="41">
        <f t="shared" si="44"/>
        <v>9895539.8080000002</v>
      </c>
      <c r="N78" s="41">
        <f t="shared" si="44"/>
        <v>9895539.8080000002</v>
      </c>
      <c r="O78" s="41">
        <f t="shared" si="44"/>
        <v>9895539.8080000002</v>
      </c>
      <c r="P78" s="41">
        <f t="shared" si="44"/>
        <v>9895539.8080000002</v>
      </c>
      <c r="Q78" s="41">
        <f t="shared" si="44"/>
        <v>9895539.8080000002</v>
      </c>
      <c r="R78" s="41">
        <f t="shared" si="44"/>
        <v>9895539.8080000002</v>
      </c>
      <c r="S78" s="41">
        <f t="shared" si="44"/>
        <v>9895539.8080000002</v>
      </c>
      <c r="T78" s="41">
        <f t="shared" si="44"/>
        <v>9895539.8080000002</v>
      </c>
      <c r="U78" s="41">
        <f t="shared" si="44"/>
        <v>9895539.8080000002</v>
      </c>
      <c r="V78" s="41">
        <f t="shared" si="44"/>
        <v>9895539.8080000002</v>
      </c>
      <c r="W78" s="41">
        <f t="shared" si="44"/>
        <v>9895539.8080000002</v>
      </c>
      <c r="X78" s="41">
        <f t="shared" si="44"/>
        <v>9895539.8080000002</v>
      </c>
      <c r="Y78" s="41">
        <f t="shared" si="44"/>
        <v>9895539.8080000002</v>
      </c>
      <c r="Z78" s="41">
        <f t="shared" si="44"/>
        <v>9895539.8080000002</v>
      </c>
      <c r="AA78" s="41">
        <f t="shared" si="44"/>
        <v>9895539.8080000002</v>
      </c>
      <c r="AB78" s="41">
        <f t="shared" si="44"/>
        <v>9895539.8080000002</v>
      </c>
      <c r="AC78" s="41">
        <f t="shared" si="44"/>
        <v>9895539.8080000002</v>
      </c>
      <c r="AD78" s="41">
        <f t="shared" si="44"/>
        <v>9895539.8080000002</v>
      </c>
      <c r="AE78" s="41">
        <f t="shared" si="44"/>
        <v>9895539.8080000002</v>
      </c>
      <c r="AF78" s="41">
        <f t="shared" si="44"/>
        <v>9895539.8080000002</v>
      </c>
      <c r="AG78" s="41">
        <f t="shared" si="44"/>
        <v>9895539.8080000002</v>
      </c>
      <c r="AH78" s="41">
        <f t="shared" si="44"/>
        <v>9895539.8080000002</v>
      </c>
      <c r="AI78" s="41">
        <f t="shared" si="44"/>
        <v>9895539.8080000002</v>
      </c>
      <c r="AJ78" s="41">
        <f t="shared" si="44"/>
        <v>9895539.8080000002</v>
      </c>
      <c r="AK78" s="41">
        <f t="shared" si="44"/>
        <v>9895539.8080000002</v>
      </c>
      <c r="AL78" s="41">
        <f t="shared" si="44"/>
        <v>9895539.8080000002</v>
      </c>
      <c r="AM78" s="41">
        <f t="shared" si="44"/>
        <v>9895539.8080000002</v>
      </c>
      <c r="AN78" s="41">
        <f t="shared" si="44"/>
        <v>9895539.8080000002</v>
      </c>
    </row>
    <row r="79" spans="1:40" x14ac:dyDescent="0.25">
      <c r="A79" s="546"/>
      <c r="B79" s="545" t="s">
        <v>4111</v>
      </c>
      <c r="C79" s="545"/>
      <c r="D79" s="289">
        <f>D28</f>
        <v>5</v>
      </c>
      <c r="E79" s="300" t="s">
        <v>4118</v>
      </c>
      <c r="F79" s="41">
        <f>F73*$D77*$D79</f>
        <v>1805650</v>
      </c>
      <c r="G79" s="41">
        <f t="shared" ref="G79:AN79" si="45">G73*$D77*$D79</f>
        <v>1805650</v>
      </c>
      <c r="H79" s="41">
        <f t="shared" si="45"/>
        <v>1805650</v>
      </c>
      <c r="I79" s="41">
        <f t="shared" si="45"/>
        <v>1805650</v>
      </c>
      <c r="J79" s="41">
        <f t="shared" si="45"/>
        <v>1805650</v>
      </c>
      <c r="K79" s="41">
        <f t="shared" si="45"/>
        <v>1805650</v>
      </c>
      <c r="L79" s="41">
        <f t="shared" si="45"/>
        <v>1805650</v>
      </c>
      <c r="M79" s="41">
        <f t="shared" si="45"/>
        <v>1805650</v>
      </c>
      <c r="N79" s="41">
        <f t="shared" si="45"/>
        <v>1805650</v>
      </c>
      <c r="O79" s="41">
        <f t="shared" si="45"/>
        <v>1805650</v>
      </c>
      <c r="P79" s="41">
        <f t="shared" si="45"/>
        <v>1805650</v>
      </c>
      <c r="Q79" s="41">
        <f t="shared" si="45"/>
        <v>1805650</v>
      </c>
      <c r="R79" s="41">
        <f t="shared" si="45"/>
        <v>1805650</v>
      </c>
      <c r="S79" s="41">
        <f t="shared" si="45"/>
        <v>1805650</v>
      </c>
      <c r="T79" s="41">
        <f t="shared" si="45"/>
        <v>1805650</v>
      </c>
      <c r="U79" s="41">
        <f t="shared" si="45"/>
        <v>1805650</v>
      </c>
      <c r="V79" s="41">
        <f t="shared" si="45"/>
        <v>1805650</v>
      </c>
      <c r="W79" s="41">
        <f t="shared" si="45"/>
        <v>1805650</v>
      </c>
      <c r="X79" s="41">
        <f t="shared" si="45"/>
        <v>1805650</v>
      </c>
      <c r="Y79" s="41">
        <f t="shared" si="45"/>
        <v>1805650</v>
      </c>
      <c r="Z79" s="41">
        <f t="shared" si="45"/>
        <v>1805650</v>
      </c>
      <c r="AA79" s="41">
        <f t="shared" si="45"/>
        <v>1805650</v>
      </c>
      <c r="AB79" s="41">
        <f t="shared" si="45"/>
        <v>1805650</v>
      </c>
      <c r="AC79" s="41">
        <f t="shared" si="45"/>
        <v>1805650</v>
      </c>
      <c r="AD79" s="41">
        <f t="shared" si="45"/>
        <v>1805650</v>
      </c>
      <c r="AE79" s="41">
        <f t="shared" si="45"/>
        <v>1805650</v>
      </c>
      <c r="AF79" s="41">
        <f t="shared" si="45"/>
        <v>1805650</v>
      </c>
      <c r="AG79" s="41">
        <f t="shared" si="45"/>
        <v>1805650</v>
      </c>
      <c r="AH79" s="41">
        <f t="shared" si="45"/>
        <v>1805650</v>
      </c>
      <c r="AI79" s="41">
        <f t="shared" si="45"/>
        <v>1805650</v>
      </c>
      <c r="AJ79" s="41">
        <f t="shared" si="45"/>
        <v>1805650</v>
      </c>
      <c r="AK79" s="41">
        <f t="shared" si="45"/>
        <v>1805650</v>
      </c>
      <c r="AL79" s="41">
        <f t="shared" si="45"/>
        <v>1805650</v>
      </c>
      <c r="AM79" s="41">
        <f t="shared" si="45"/>
        <v>1805650</v>
      </c>
      <c r="AN79" s="41">
        <f t="shared" si="45"/>
        <v>1805650</v>
      </c>
    </row>
    <row r="80" spans="1:40" x14ac:dyDescent="0.25">
      <c r="A80" s="546"/>
      <c r="B80" s="533" t="s">
        <v>3262</v>
      </c>
      <c r="C80" s="533"/>
      <c r="D80" s="533"/>
    </row>
    <row r="81" spans="2:40" x14ac:dyDescent="0.25">
      <c r="B81" s="493" t="s">
        <v>3262</v>
      </c>
      <c r="C81" s="493"/>
      <c r="D81" s="493"/>
      <c r="F81" s="88">
        <f>SUM(F75,F78:F79)</f>
        <v>13297384.408</v>
      </c>
      <c r="G81" s="88">
        <f>SUM(G75,G78:G79)</f>
        <v>13297384.408</v>
      </c>
      <c r="H81" s="88">
        <f t="shared" ref="H81:AN81" si="46">SUM(H75,H78:H79)</f>
        <v>13297384.408</v>
      </c>
      <c r="I81" s="88">
        <f t="shared" si="46"/>
        <v>13297384.408</v>
      </c>
      <c r="J81" s="88">
        <f t="shared" si="46"/>
        <v>13297384.408</v>
      </c>
      <c r="K81" s="88">
        <f t="shared" si="46"/>
        <v>13297384.408</v>
      </c>
      <c r="L81" s="88">
        <f t="shared" si="46"/>
        <v>13297384.408</v>
      </c>
      <c r="M81" s="88">
        <f t="shared" si="46"/>
        <v>13297384.408</v>
      </c>
      <c r="N81" s="88">
        <f t="shared" si="46"/>
        <v>13297384.408</v>
      </c>
      <c r="O81" s="88">
        <f t="shared" si="46"/>
        <v>13297384.408</v>
      </c>
      <c r="P81" s="88">
        <f t="shared" si="46"/>
        <v>13297384.408</v>
      </c>
      <c r="Q81" s="88">
        <f t="shared" si="46"/>
        <v>13297384.408</v>
      </c>
      <c r="R81" s="88">
        <f t="shared" si="46"/>
        <v>13297384.408</v>
      </c>
      <c r="S81" s="88">
        <f t="shared" si="46"/>
        <v>13297384.408</v>
      </c>
      <c r="T81" s="88">
        <f t="shared" si="46"/>
        <v>13297384.408</v>
      </c>
      <c r="U81" s="88">
        <f t="shared" si="46"/>
        <v>13297384.408</v>
      </c>
      <c r="V81" s="88">
        <f t="shared" si="46"/>
        <v>13297384.408</v>
      </c>
      <c r="W81" s="88">
        <f t="shared" si="46"/>
        <v>13297384.408</v>
      </c>
      <c r="X81" s="88">
        <f t="shared" si="46"/>
        <v>13297384.408</v>
      </c>
      <c r="Y81" s="88">
        <f t="shared" si="46"/>
        <v>13297384.408</v>
      </c>
      <c r="Z81" s="88">
        <f t="shared" si="46"/>
        <v>13297384.408</v>
      </c>
      <c r="AA81" s="88">
        <f t="shared" si="46"/>
        <v>13297384.408</v>
      </c>
      <c r="AB81" s="88">
        <f t="shared" si="46"/>
        <v>13297384.408</v>
      </c>
      <c r="AC81" s="88">
        <f t="shared" si="46"/>
        <v>13297384.408</v>
      </c>
      <c r="AD81" s="88">
        <f t="shared" si="46"/>
        <v>13297384.408</v>
      </c>
      <c r="AE81" s="88">
        <f t="shared" si="46"/>
        <v>13297384.408</v>
      </c>
      <c r="AF81" s="88">
        <f t="shared" si="46"/>
        <v>13297384.408</v>
      </c>
      <c r="AG81" s="88">
        <f t="shared" si="46"/>
        <v>13297384.408</v>
      </c>
      <c r="AH81" s="88">
        <f t="shared" si="46"/>
        <v>13297384.408</v>
      </c>
      <c r="AI81" s="88">
        <f t="shared" si="46"/>
        <v>13297384.408</v>
      </c>
      <c r="AJ81" s="88">
        <f t="shared" si="46"/>
        <v>13297384.408</v>
      </c>
      <c r="AK81" s="88">
        <f t="shared" si="46"/>
        <v>13297384.408</v>
      </c>
      <c r="AL81" s="88">
        <f t="shared" si="46"/>
        <v>13297384.408</v>
      </c>
      <c r="AM81" s="88">
        <f t="shared" si="46"/>
        <v>13297384.408</v>
      </c>
      <c r="AN81" s="88">
        <f t="shared" si="46"/>
        <v>13297384.408</v>
      </c>
    </row>
    <row r="83" spans="2:40" ht="15.75" x14ac:dyDescent="0.25">
      <c r="C83" s="1"/>
      <c r="D83" s="548" t="s">
        <v>4134</v>
      </c>
      <c r="E83" s="548"/>
      <c r="F83" s="315">
        <f>F69+F81</f>
        <v>22291912.408</v>
      </c>
      <c r="G83" s="315">
        <f t="shared" ref="G83:AN83" si="47">G69+G81</f>
        <v>22291912.408</v>
      </c>
      <c r="H83" s="315">
        <f t="shared" si="47"/>
        <v>22291912.408</v>
      </c>
      <c r="I83" s="315">
        <f t="shared" si="47"/>
        <v>22291912.408</v>
      </c>
      <c r="J83" s="315">
        <f t="shared" si="47"/>
        <v>22291912.408</v>
      </c>
      <c r="K83" s="315">
        <f t="shared" si="47"/>
        <v>22291912.408</v>
      </c>
      <c r="L83" s="315">
        <f t="shared" si="47"/>
        <v>22291912.408</v>
      </c>
      <c r="M83" s="315">
        <f t="shared" si="47"/>
        <v>22291912.408</v>
      </c>
      <c r="N83" s="315">
        <f t="shared" si="47"/>
        <v>22291912.408</v>
      </c>
      <c r="O83" s="315">
        <f t="shared" si="47"/>
        <v>22291912.408</v>
      </c>
      <c r="P83" s="315">
        <f t="shared" si="47"/>
        <v>22291912.408</v>
      </c>
      <c r="Q83" s="315">
        <f t="shared" si="47"/>
        <v>22291912.408</v>
      </c>
      <c r="R83" s="315">
        <f t="shared" si="47"/>
        <v>22291912.408</v>
      </c>
      <c r="S83" s="315">
        <f t="shared" si="47"/>
        <v>22291912.408</v>
      </c>
      <c r="T83" s="315">
        <f t="shared" si="47"/>
        <v>22291912.408</v>
      </c>
      <c r="U83" s="315">
        <f>U69+U81</f>
        <v>22291912.408</v>
      </c>
      <c r="V83" s="315">
        <f t="shared" si="47"/>
        <v>22291912.408</v>
      </c>
      <c r="W83" s="315">
        <f t="shared" si="47"/>
        <v>22291912.408</v>
      </c>
      <c r="X83" s="315">
        <f t="shared" si="47"/>
        <v>22291912.408</v>
      </c>
      <c r="Y83" s="315">
        <f t="shared" si="47"/>
        <v>22291912.408</v>
      </c>
      <c r="Z83" s="315">
        <f t="shared" si="47"/>
        <v>22291912.408</v>
      </c>
      <c r="AA83" s="315">
        <f t="shared" si="47"/>
        <v>22291912.408</v>
      </c>
      <c r="AB83" s="315">
        <f t="shared" si="47"/>
        <v>22291912.408</v>
      </c>
      <c r="AC83" s="315">
        <f t="shared" si="47"/>
        <v>22291912.408</v>
      </c>
      <c r="AD83" s="315">
        <f t="shared" si="47"/>
        <v>22291912.408</v>
      </c>
      <c r="AE83" s="315">
        <f t="shared" si="47"/>
        <v>22291912.408</v>
      </c>
      <c r="AF83" s="315">
        <f t="shared" si="47"/>
        <v>22291912.408</v>
      </c>
      <c r="AG83" s="315">
        <f t="shared" si="47"/>
        <v>22291912.408</v>
      </c>
      <c r="AH83" s="315">
        <f t="shared" si="47"/>
        <v>22291912.408</v>
      </c>
      <c r="AI83" s="315">
        <f t="shared" si="47"/>
        <v>22291912.408</v>
      </c>
      <c r="AJ83" s="315">
        <f t="shared" si="47"/>
        <v>22291912.408</v>
      </c>
      <c r="AK83" s="315">
        <f t="shared" si="47"/>
        <v>22291912.408</v>
      </c>
      <c r="AL83" s="315">
        <f t="shared" si="47"/>
        <v>22291912.408</v>
      </c>
      <c r="AM83" s="315">
        <f t="shared" si="47"/>
        <v>22291912.408</v>
      </c>
      <c r="AN83" s="315">
        <f t="shared" si="47"/>
        <v>22291912.408</v>
      </c>
    </row>
    <row r="84" spans="2:40" x14ac:dyDescent="0.25">
      <c r="D84" s="1"/>
      <c r="E84" s="1"/>
    </row>
    <row r="85" spans="2:40" ht="15.75" x14ac:dyDescent="0.25">
      <c r="D85" s="537" t="s">
        <v>4135</v>
      </c>
      <c r="E85" s="537"/>
      <c r="F85" s="268">
        <f>F58+F83</f>
        <v>22291912.408</v>
      </c>
      <c r="G85" s="268">
        <f t="shared" ref="G85:AN85" si="48">G58+G83</f>
        <v>22291912.408</v>
      </c>
      <c r="H85" s="268">
        <f t="shared" si="48"/>
        <v>22291912.408</v>
      </c>
      <c r="I85" s="268">
        <f t="shared" si="48"/>
        <v>22291912.408</v>
      </c>
      <c r="J85" s="268">
        <f t="shared" si="48"/>
        <v>28632550.789818823</v>
      </c>
      <c r="K85" s="268">
        <f>K58+K83</f>
        <v>35786643.608855195</v>
      </c>
      <c r="L85" s="268">
        <f t="shared" si="48"/>
        <v>43846549.064276591</v>
      </c>
      <c r="M85" s="268">
        <f t="shared" si="48"/>
        <v>52906381.444966651</v>
      </c>
      <c r="N85" s="268">
        <f t="shared" si="48"/>
        <v>63071761.71693673</v>
      </c>
      <c r="O85" s="268">
        <f t="shared" si="48"/>
        <v>74459023.311489552</v>
      </c>
      <c r="P85" s="268">
        <f t="shared" si="48"/>
        <v>87196288.680829078</v>
      </c>
      <c r="Q85" s="268">
        <f t="shared" si="48"/>
        <v>101424654.21252617</v>
      </c>
      <c r="R85" s="268">
        <f t="shared" si="48"/>
        <v>117299494.46963078</v>
      </c>
      <c r="S85" s="268">
        <f t="shared" si="48"/>
        <v>134991897.84071553</v>
      </c>
      <c r="T85" s="268">
        <f t="shared" si="48"/>
        <v>154690246.91630507</v>
      </c>
      <c r="U85" s="268">
        <f t="shared" si="48"/>
        <v>176608316.44402689</v>
      </c>
      <c r="V85" s="268">
        <f t="shared" si="48"/>
        <v>200962600.33332187</v>
      </c>
      <c r="W85" s="268">
        <f t="shared" si="48"/>
        <v>228010101.82002473</v>
      </c>
      <c r="X85" s="268">
        <f t="shared" si="48"/>
        <v>240782560.35763139</v>
      </c>
      <c r="Y85" s="268">
        <f t="shared" si="48"/>
        <v>249727701.96549833</v>
      </c>
      <c r="Z85" s="268">
        <f t="shared" si="48"/>
        <v>259103895.70094082</v>
      </c>
      <c r="AA85" s="268">
        <f t="shared" si="48"/>
        <v>268877034.68341833</v>
      </c>
      <c r="AB85" s="268">
        <f t="shared" si="48"/>
        <v>279093901.52945822</v>
      </c>
      <c r="AC85" s="268">
        <f t="shared" si="48"/>
        <v>289775798.9862842</v>
      </c>
      <c r="AD85" s="268">
        <f t="shared" si="48"/>
        <v>300945089.13843185</v>
      </c>
      <c r="AE85" s="268">
        <f t="shared" si="48"/>
        <v>312377585.34351718</v>
      </c>
      <c r="AF85" s="268">
        <f t="shared" si="48"/>
        <v>324588812.56092596</v>
      </c>
      <c r="AG85" s="268">
        <f t="shared" si="48"/>
        <v>337361350.14738178</v>
      </c>
      <c r="AH85" s="268">
        <f t="shared" si="48"/>
        <v>350722366.01953787</v>
      </c>
      <c r="AI85" s="268">
        <f t="shared" si="48"/>
        <v>364700387.65183282</v>
      </c>
      <c r="AJ85" s="268">
        <f t="shared" si="48"/>
        <v>378705217.85304922</v>
      </c>
      <c r="AK85" s="268">
        <f t="shared" si="48"/>
        <v>393997493.39112598</v>
      </c>
      <c r="AL85" s="268">
        <f t="shared" si="48"/>
        <v>410001031.20451534</v>
      </c>
      <c r="AM85" s="268">
        <f t="shared" si="48"/>
        <v>426750529.05386847</v>
      </c>
      <c r="AN85" s="268">
        <f t="shared" si="48"/>
        <v>444282431.84782308</v>
      </c>
    </row>
    <row r="89" spans="2:40" ht="15.75" x14ac:dyDescent="0.25">
      <c r="B89" s="313"/>
    </row>
    <row r="90" spans="2:40" ht="15.75" x14ac:dyDescent="0.25">
      <c r="B90" s="313"/>
    </row>
    <row r="91" spans="2:40" ht="15.75" x14ac:dyDescent="0.25">
      <c r="B91" s="313"/>
    </row>
    <row r="93" spans="2:40" ht="15.75" x14ac:dyDescent="0.25">
      <c r="B93" s="320"/>
      <c r="C93" s="17"/>
      <c r="D93" s="17"/>
      <c r="E93" s="1"/>
    </row>
    <row r="94" spans="2:40" ht="15.75" x14ac:dyDescent="0.25">
      <c r="B94" s="312"/>
      <c r="C94" s="319"/>
      <c r="D94" s="321"/>
      <c r="E94" s="323"/>
      <c r="F94" s="213"/>
    </row>
    <row r="95" spans="2:40" ht="15.75" x14ac:dyDescent="0.25">
      <c r="B95" s="312"/>
      <c r="C95" s="319"/>
      <c r="D95" s="321"/>
      <c r="E95" s="323"/>
      <c r="F95" s="58"/>
      <c r="G95" s="17"/>
      <c r="H95" s="58"/>
      <c r="I95" s="17"/>
      <c r="J95" s="58"/>
      <c r="K95" s="17"/>
      <c r="L95" s="58"/>
      <c r="M95" s="17"/>
      <c r="N95" s="58"/>
      <c r="O95" s="17"/>
      <c r="P95" s="58"/>
      <c r="Q95" s="17"/>
      <c r="R95" s="58"/>
      <c r="S95" s="17"/>
      <c r="T95" s="58"/>
      <c r="U95" s="17"/>
      <c r="V95" s="58"/>
      <c r="W95" s="17"/>
      <c r="X95" s="58"/>
      <c r="Y95" s="17"/>
      <c r="Z95" s="58"/>
      <c r="AA95" s="17"/>
      <c r="AB95" s="58"/>
      <c r="AC95" s="17"/>
      <c r="AD95" s="58"/>
      <c r="AE95" s="17"/>
      <c r="AF95" s="58"/>
      <c r="AG95" s="17"/>
      <c r="AH95" s="58"/>
      <c r="AI95" s="17"/>
      <c r="AJ95" s="58"/>
      <c r="AK95" s="17"/>
      <c r="AL95" s="58"/>
      <c r="AM95" s="17"/>
      <c r="AN95" s="17"/>
    </row>
    <row r="96" spans="2:40" ht="15.75" x14ac:dyDescent="0.25">
      <c r="B96" s="312"/>
      <c r="C96" s="319"/>
      <c r="D96" s="321"/>
      <c r="E96" s="323"/>
    </row>
    <row r="97" spans="2:5" x14ac:dyDescent="0.25">
      <c r="B97" s="1"/>
      <c r="C97" s="1"/>
      <c r="D97" s="1"/>
      <c r="E97" s="322"/>
    </row>
    <row r="98" spans="2:5" ht="15.75" x14ac:dyDescent="0.25">
      <c r="B98" s="313"/>
    </row>
    <row r="99" spans="2:5" ht="15.75" x14ac:dyDescent="0.25">
      <c r="B99" s="313"/>
      <c r="D99" s="37"/>
    </row>
    <row r="100" spans="2:5" x14ac:dyDescent="0.25">
      <c r="B100" s="17"/>
      <c r="C100" s="17"/>
    </row>
    <row r="101" spans="2:5" x14ac:dyDescent="0.25">
      <c r="B101" s="6"/>
      <c r="C101" s="6"/>
    </row>
    <row r="102" spans="2:5" x14ac:dyDescent="0.25">
      <c r="B102" s="6"/>
      <c r="C102" s="6"/>
    </row>
    <row r="103" spans="2:5" x14ac:dyDescent="0.25">
      <c r="B103" s="6"/>
      <c r="C103" s="6"/>
    </row>
  </sheetData>
  <mergeCells count="47">
    <mergeCell ref="A60:A80"/>
    <mergeCell ref="D83:E83"/>
    <mergeCell ref="D85:E85"/>
    <mergeCell ref="B78:C78"/>
    <mergeCell ref="B79:C79"/>
    <mergeCell ref="B80:D80"/>
    <mergeCell ref="B81:D81"/>
    <mergeCell ref="B65:C65"/>
    <mergeCell ref="B69:D69"/>
    <mergeCell ref="B72:D73"/>
    <mergeCell ref="B75:C75"/>
    <mergeCell ref="B77:C77"/>
    <mergeCell ref="B60:D61"/>
    <mergeCell ref="B62:C62"/>
    <mergeCell ref="B63:C63"/>
    <mergeCell ref="D58:E58"/>
    <mergeCell ref="B44:D44"/>
    <mergeCell ref="E21:E22"/>
    <mergeCell ref="B30:D30"/>
    <mergeCell ref="B10:C10"/>
    <mergeCell ref="B29:D29"/>
    <mergeCell ref="B32:D34"/>
    <mergeCell ref="B26:C26"/>
    <mergeCell ref="B27:C27"/>
    <mergeCell ref="B28:C28"/>
    <mergeCell ref="B17:C17"/>
    <mergeCell ref="B20:D22"/>
    <mergeCell ref="B56:D56"/>
    <mergeCell ref="B46:D48"/>
    <mergeCell ref="B50:C50"/>
    <mergeCell ref="B52:C52"/>
    <mergeCell ref="B53:C53"/>
    <mergeCell ref="B54:C54"/>
    <mergeCell ref="B55:D55"/>
    <mergeCell ref="A2:A29"/>
    <mergeCell ref="A32:A43"/>
    <mergeCell ref="B24:C24"/>
    <mergeCell ref="B14:D14"/>
    <mergeCell ref="A46:A55"/>
    <mergeCell ref="B2:D4"/>
    <mergeCell ref="B38:C38"/>
    <mergeCell ref="B40:C40"/>
    <mergeCell ref="B36:C36"/>
    <mergeCell ref="B37:C37"/>
    <mergeCell ref="B6:C6"/>
    <mergeCell ref="B7:C7"/>
    <mergeCell ref="B8:C8"/>
  </mergeCells>
  <pageMargins left="0.511811024" right="0.511811024" top="0.78740157499999996" bottom="0.78740157499999996" header="0.31496062000000002" footer="0.3149606200000000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CC7A8-8510-41E5-A283-0F8516326616}">
  <sheetPr codeName="Planilha24"/>
  <dimension ref="A1:E4"/>
  <sheetViews>
    <sheetView workbookViewId="0">
      <selection activeCell="N11" sqref="N11"/>
    </sheetView>
  </sheetViews>
  <sheetFormatPr defaultRowHeight="15" x14ac:dyDescent="0.25"/>
  <cols>
    <col min="2" max="2" width="10.140625" bestFit="1" customWidth="1"/>
    <col min="4" max="4" width="11" bestFit="1" customWidth="1"/>
  </cols>
  <sheetData>
    <row r="1" spans="1:5" x14ac:dyDescent="0.25">
      <c r="A1" s="1" t="s">
        <v>4074</v>
      </c>
      <c r="B1" s="17" t="s">
        <v>4072</v>
      </c>
      <c r="C1" s="17" t="s">
        <v>4073</v>
      </c>
      <c r="D1" s="493" t="s">
        <v>4039</v>
      </c>
      <c r="E1" s="493"/>
    </row>
    <row r="2" spans="1:5" x14ac:dyDescent="0.25">
      <c r="A2" s="1" t="s">
        <v>3259</v>
      </c>
      <c r="B2" s="63">
        <f>SUM(Receitas!F4:AN4,Receitas!F35:AN35)*Receitas!D17</f>
        <v>13285427.472186496</v>
      </c>
      <c r="C2" s="32">
        <f>B2/B$4</f>
        <v>0.70790454303613271</v>
      </c>
      <c r="D2" s="247">
        <v>8.9800000000000005E-2</v>
      </c>
      <c r="E2" t="s">
        <v>3319</v>
      </c>
    </row>
    <row r="3" spans="1:5" x14ac:dyDescent="0.25">
      <c r="A3" s="1" t="s">
        <v>3755</v>
      </c>
      <c r="B3" s="63">
        <f>SUM(Receitas!F48:AN48,Receitas!F23:AN23)</f>
        <v>5481830.9143843967</v>
      </c>
      <c r="C3" s="32">
        <f>B3/B$4</f>
        <v>0.29209545696386735</v>
      </c>
      <c r="D3" s="247">
        <v>0.109</v>
      </c>
      <c r="E3" t="s">
        <v>3319</v>
      </c>
    </row>
    <row r="4" spans="1:5" x14ac:dyDescent="0.25">
      <c r="A4" s="1" t="s">
        <v>3262</v>
      </c>
      <c r="B4" s="64">
        <f>SUM(B2:B3)</f>
        <v>18767258.386570893</v>
      </c>
      <c r="C4" s="65">
        <f>B4/B$4</f>
        <v>1</v>
      </c>
      <c r="D4" s="248">
        <f>C2*D2+C3*D3</f>
        <v>9.5408232773706261E-2</v>
      </c>
      <c r="E4" s="1" t="s">
        <v>3319</v>
      </c>
    </row>
  </sheetData>
  <mergeCells count="1">
    <mergeCell ref="D1:E1"/>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CA303-60A2-4752-A503-449402FEEAB1}">
  <sheetPr codeName="Planilha23"/>
  <dimension ref="A1:AS103"/>
  <sheetViews>
    <sheetView topLeftCell="A64" workbookViewId="0">
      <selection activeCell="AH90" sqref="AH90"/>
    </sheetView>
  </sheetViews>
  <sheetFormatPr defaultRowHeight="15" x14ac:dyDescent="0.25"/>
  <cols>
    <col min="1" max="1" width="3.28515625" style="1" customWidth="1"/>
    <col min="2" max="2" width="21.5703125" customWidth="1"/>
    <col min="3" max="3" width="9.28515625" bestFit="1" customWidth="1"/>
    <col min="4" max="5" width="15.140625" customWidth="1"/>
    <col min="6" max="6" width="16.28515625" customWidth="1"/>
    <col min="7" max="10" width="14.5703125" bestFit="1" customWidth="1"/>
    <col min="11" max="18" width="14.7109375" bestFit="1" customWidth="1"/>
    <col min="19" max="19" width="15.42578125" bestFit="1" customWidth="1"/>
    <col min="20" max="20" width="15.5703125" bestFit="1" customWidth="1"/>
    <col min="21" max="40" width="15.85546875" bestFit="1" customWidth="1"/>
    <col min="41" max="41" width="9.28515625" bestFit="1" customWidth="1"/>
  </cols>
  <sheetData>
    <row r="1" spans="1:45" x14ac:dyDescent="0.25">
      <c r="I1" t="s">
        <v>4096</v>
      </c>
      <c r="J1" s="66">
        <f>PRODUCT($F17:F17)-1</f>
        <v>5.1099999999999923E-2</v>
      </c>
      <c r="K1" s="66">
        <f>PRODUCT($F17:G17)-1</f>
        <v>0.10481120999999982</v>
      </c>
      <c r="L1" s="66">
        <f>PRODUCT($F17:H17)-1</f>
        <v>0.16126706283099979</v>
      </c>
      <c r="M1" s="66">
        <f>PRODUCT($F17:I17)-1</f>
        <v>0.22060780974166372</v>
      </c>
      <c r="N1" s="66">
        <f>PRODUCT($F17:J17)-1</f>
        <v>0.28298086881946261</v>
      </c>
      <c r="O1" s="66">
        <f>PRODUCT($F17:K17)-1</f>
        <v>0.34854119121613714</v>
      </c>
      <c r="P1" s="66">
        <f>PRODUCT($F17:L17)-1</f>
        <v>0.41745164608728169</v>
      </c>
      <c r="Q1" s="66">
        <f>PRODUCT($F17:M17)-1</f>
        <v>0.48988342520234163</v>
      </c>
      <c r="R1" s="66">
        <f>PRODUCT($F17:N17)-1</f>
        <v>0.56601646823018115</v>
      </c>
      <c r="S1" s="66">
        <f>PRODUCT($F17:O17)-1</f>
        <v>0.6460399097567433</v>
      </c>
      <c r="T1" s="66">
        <f>PRODUCT($F17:P17)-1</f>
        <v>0.73015254914531269</v>
      </c>
      <c r="U1" s="66">
        <f>PRODUCT($F17:Q17)-1</f>
        <v>0.81856334440663803</v>
      </c>
      <c r="V1" s="66">
        <f>PRODUCT($F17:R17)-1</f>
        <v>0.91149193130581718</v>
      </c>
      <c r="W1" s="66">
        <v>1</v>
      </c>
      <c r="X1" s="66">
        <v>1</v>
      </c>
      <c r="Y1" s="66">
        <v>1</v>
      </c>
      <c r="Z1" s="66">
        <v>1</v>
      </c>
      <c r="AA1" s="66">
        <v>1</v>
      </c>
      <c r="AB1" s="66">
        <v>1</v>
      </c>
      <c r="AC1" s="66">
        <v>1</v>
      </c>
      <c r="AD1" s="66">
        <v>1</v>
      </c>
      <c r="AE1" s="66">
        <v>1</v>
      </c>
      <c r="AF1" s="66">
        <v>1</v>
      </c>
      <c r="AG1" s="66">
        <v>1</v>
      </c>
      <c r="AH1" s="66">
        <v>1</v>
      </c>
      <c r="AI1" s="66">
        <v>1</v>
      </c>
      <c r="AJ1" s="66">
        <v>1</v>
      </c>
      <c r="AK1" s="66">
        <v>1</v>
      </c>
      <c r="AL1" s="66">
        <v>1</v>
      </c>
      <c r="AM1" s="66">
        <v>1</v>
      </c>
      <c r="AN1" s="66">
        <v>1</v>
      </c>
      <c r="AO1" s="66">
        <v>1</v>
      </c>
    </row>
    <row r="2" spans="1:45" x14ac:dyDescent="0.25">
      <c r="A2" s="553" t="s">
        <v>3844</v>
      </c>
      <c r="B2" s="554" t="s">
        <v>4104</v>
      </c>
      <c r="C2" s="554"/>
      <c r="D2" s="554"/>
      <c r="E2" s="293"/>
      <c r="F2" s="58" t="s">
        <v>3701</v>
      </c>
      <c r="G2" s="17" t="s">
        <v>3702</v>
      </c>
      <c r="H2" s="58" t="s">
        <v>3703</v>
      </c>
      <c r="I2" s="17" t="s">
        <v>3704</v>
      </c>
      <c r="J2" s="58" t="s">
        <v>3705</v>
      </c>
      <c r="K2" s="17" t="s">
        <v>3706</v>
      </c>
      <c r="L2" s="58" t="s">
        <v>3707</v>
      </c>
      <c r="M2" s="17" t="s">
        <v>3708</v>
      </c>
      <c r="N2" s="58" t="s">
        <v>3709</v>
      </c>
      <c r="O2" s="17" t="s">
        <v>3710</v>
      </c>
      <c r="P2" s="58" t="s">
        <v>3711</v>
      </c>
      <c r="Q2" s="17" t="s">
        <v>3712</v>
      </c>
      <c r="R2" s="58" t="s">
        <v>3713</v>
      </c>
      <c r="S2" s="17" t="s">
        <v>3714</v>
      </c>
      <c r="T2" s="58" t="s">
        <v>3715</v>
      </c>
      <c r="U2" s="17" t="s">
        <v>3716</v>
      </c>
      <c r="V2" s="58" t="s">
        <v>3717</v>
      </c>
      <c r="W2" s="17" t="s">
        <v>3718</v>
      </c>
      <c r="X2" s="58" t="s">
        <v>3719</v>
      </c>
      <c r="Y2" s="17" t="s">
        <v>3720</v>
      </c>
      <c r="Z2" s="58" t="s">
        <v>3721</v>
      </c>
      <c r="AA2" s="17" t="s">
        <v>3722</v>
      </c>
      <c r="AB2" s="58" t="s">
        <v>3723</v>
      </c>
      <c r="AC2" s="17" t="s">
        <v>3724</v>
      </c>
      <c r="AD2" s="58" t="s">
        <v>3725</v>
      </c>
      <c r="AE2" s="17" t="s">
        <v>3726</v>
      </c>
      <c r="AF2" s="58" t="s">
        <v>3727</v>
      </c>
      <c r="AG2" s="17" t="s">
        <v>3728</v>
      </c>
      <c r="AH2" s="58" t="s">
        <v>3729</v>
      </c>
      <c r="AI2" s="17" t="s">
        <v>3730</v>
      </c>
      <c r="AJ2" s="58" t="s">
        <v>3731</v>
      </c>
      <c r="AK2" s="17" t="s">
        <v>3732</v>
      </c>
      <c r="AL2" s="58" t="s">
        <v>3733</v>
      </c>
      <c r="AM2" s="17" t="s">
        <v>3734</v>
      </c>
      <c r="AN2" s="17" t="s">
        <v>3735</v>
      </c>
      <c r="AO2" s="66"/>
      <c r="AP2" s="66"/>
      <c r="AQ2" s="66"/>
      <c r="AR2" s="66"/>
    </row>
    <row r="3" spans="1:45" x14ac:dyDescent="0.25">
      <c r="A3" s="553"/>
      <c r="B3" s="554"/>
      <c r="C3" s="554"/>
      <c r="D3" s="554"/>
      <c r="E3" s="311" t="s">
        <v>4113</v>
      </c>
      <c r="F3" s="36">
        <v>0</v>
      </c>
      <c r="G3">
        <v>0</v>
      </c>
      <c r="H3">
        <v>0</v>
      </c>
      <c r="I3">
        <v>0</v>
      </c>
      <c r="J3" s="36">
        <f ca="1">Export_Frutas!F32</f>
        <v>179147.13417883191</v>
      </c>
      <c r="K3" s="36">
        <f ca="1">Export_Frutas!G32</f>
        <v>202897.53026960927</v>
      </c>
      <c r="L3" s="36">
        <f ca="1">Export_Frutas!H32</f>
        <v>196335.12058953726</v>
      </c>
      <c r="M3" s="36">
        <f ca="1">Export_Frutas!I32</f>
        <v>230039.25071361067</v>
      </c>
      <c r="N3" s="36">
        <f ca="1">Export_Frutas!J32</f>
        <v>252586.04216785281</v>
      </c>
      <c r="O3" s="36">
        <f ca="1">Export_Frutas!K32</f>
        <v>256186.15777280513</v>
      </c>
      <c r="P3" s="36">
        <f ca="1">Export_Frutas!L32</f>
        <v>216665.71010782741</v>
      </c>
      <c r="Q3" s="36">
        <f ca="1">Export_Frutas!M32</f>
        <v>266219.39109000971</v>
      </c>
      <c r="R3" s="36">
        <f ca="1">Export_Frutas!N32</f>
        <v>259511.02885616611</v>
      </c>
      <c r="S3" s="36">
        <f ca="1">Export_Frutas!O32</f>
        <v>265294.62617756944</v>
      </c>
      <c r="T3" s="36">
        <f ca="1">Export_Frutas!P32</f>
        <v>266432.82135505782</v>
      </c>
      <c r="U3" s="36">
        <f ca="1">Export_Frutas!Q32</f>
        <v>281469.71496683004</v>
      </c>
      <c r="V3" s="36">
        <f ca="1">Export_Frutas!R32</f>
        <v>284147.37351364462</v>
      </c>
      <c r="W3" s="36">
        <f ca="1">Export_Frutas!S32</f>
        <v>330859.30142199952</v>
      </c>
      <c r="X3" s="36">
        <f ca="1">Export_Frutas!T32</f>
        <v>357842.03156426665</v>
      </c>
      <c r="Y3" s="36">
        <f ca="1">Export_Frutas!U32</f>
        <v>392977.99055686384</v>
      </c>
      <c r="Z3" s="36">
        <f ca="1">Export_Frutas!V32</f>
        <v>384240.34034374129</v>
      </c>
      <c r="AA3" s="36">
        <f ca="1">Export_Frutas!W32</f>
        <v>395865.51067129016</v>
      </c>
      <c r="AB3" s="36">
        <f ca="1">Export_Frutas!X32</f>
        <v>417183.82233465195</v>
      </c>
      <c r="AC3" s="36">
        <f ca="1">Export_Frutas!Y32</f>
        <v>433012.26010702248</v>
      </c>
      <c r="AD3" s="36">
        <f ca="1">Export_Frutas!Z32</f>
        <v>436085.89672202314</v>
      </c>
      <c r="AE3" s="36">
        <f ca="1">Export_Frutas!AA32</f>
        <v>451730.68683470419</v>
      </c>
      <c r="AF3" s="36">
        <f ca="1">Export_Frutas!AB32</f>
        <v>442377.32964535855</v>
      </c>
      <c r="AG3" s="36">
        <f ca="1">Export_Frutas!AC32</f>
        <v>486352.66298783117</v>
      </c>
      <c r="AH3" s="36">
        <f ca="1">Export_Frutas!AD32</f>
        <v>582162.52723797306</v>
      </c>
      <c r="AI3" s="36">
        <f ca="1">Export_Frutas!AE32</f>
        <v>536938.38037663151</v>
      </c>
      <c r="AJ3" s="36">
        <f ca="1">Export_Frutas!AF32</f>
        <v>555650.75963073201</v>
      </c>
      <c r="AK3" s="36">
        <f ca="1">Export_Frutas!AG32</f>
        <v>687050.06344267412</v>
      </c>
      <c r="AL3" s="36">
        <f ca="1">Export_Frutas!AH32</f>
        <v>581861.46304053394</v>
      </c>
      <c r="AM3" s="36">
        <f ca="1">Export_Frutas!AI32</f>
        <v>673281.98736647889</v>
      </c>
      <c r="AN3" s="36">
        <f ca="1">Export_Frutas!AJ32</f>
        <v>648581.03929101583</v>
      </c>
      <c r="AO3" s="66"/>
      <c r="AP3" s="66"/>
      <c r="AQ3" s="66"/>
      <c r="AR3" s="66"/>
    </row>
    <row r="4" spans="1:45" x14ac:dyDescent="0.25">
      <c r="A4" s="553"/>
      <c r="B4" s="554"/>
      <c r="C4" s="554"/>
      <c r="D4" s="554"/>
      <c r="E4" s="311" t="s">
        <v>3259</v>
      </c>
      <c r="F4" s="36">
        <v>0</v>
      </c>
      <c r="G4">
        <v>0</v>
      </c>
      <c r="H4">
        <v>0</v>
      </c>
      <c r="I4">
        <v>0</v>
      </c>
      <c r="J4" s="36">
        <f ca="1">80%*J3/$D17</f>
        <v>9898.4862189806117</v>
      </c>
      <c r="K4" s="36">
        <f t="shared" ref="K4:AN4" ca="1" si="0">80%*K3/$D17</f>
        <v>11210.776083272895</v>
      </c>
      <c r="L4" s="36">
        <f t="shared" ca="1" si="0"/>
        <v>10848.18071115461</v>
      </c>
      <c r="M4" s="36">
        <f t="shared" ca="1" si="0"/>
        <v>12710.448109877478</v>
      </c>
      <c r="N4" s="36">
        <f t="shared" ca="1" si="0"/>
        <v>13956.234739482501</v>
      </c>
      <c r="O4" s="36">
        <f t="shared" ca="1" si="0"/>
        <v>14155.153325960055</v>
      </c>
      <c r="P4" s="36">
        <f t="shared" ca="1" si="0"/>
        <v>11971.514674005834</v>
      </c>
      <c r="Q4" s="36">
        <f t="shared" ca="1" si="0"/>
        <v>14709.523465216804</v>
      </c>
      <c r="R4" s="36">
        <f t="shared" ca="1" si="0"/>
        <v>14338.863719929752</v>
      </c>
      <c r="S4" s="36">
        <f t="shared" ca="1" si="0"/>
        <v>14658.427070158374</v>
      </c>
      <c r="T4" s="36">
        <f t="shared" ca="1" si="0"/>
        <v>14721.316210587673</v>
      </c>
      <c r="U4" s="36">
        <f t="shared" ca="1" si="0"/>
        <v>15552.155536456121</v>
      </c>
      <c r="V4" s="36">
        <f t="shared" ca="1" si="0"/>
        <v>15700.105244645823</v>
      </c>
      <c r="W4" s="36">
        <f t="shared" ca="1" si="0"/>
        <v>18281.097549001097</v>
      </c>
      <c r="X4" s="36">
        <f t="shared" ca="1" si="0"/>
        <v>19771.984822682436</v>
      </c>
      <c r="Y4" s="36">
        <f t="shared" ca="1" si="0"/>
        <v>21713.365618267537</v>
      </c>
      <c r="Z4" s="36">
        <f t="shared" ca="1" si="0"/>
        <v>21230.580835707024</v>
      </c>
      <c r="AA4" s="36">
        <f t="shared" ca="1" si="0"/>
        <v>21872.91088920191</v>
      </c>
      <c r="AB4" s="36">
        <f t="shared" ca="1" si="0"/>
        <v>23050.819847550487</v>
      </c>
      <c r="AC4" s="36">
        <f t="shared" ca="1" si="0"/>
        <v>23925.394670508023</v>
      </c>
      <c r="AD4" s="36">
        <f t="shared" ca="1" si="0"/>
        <v>24095.223508771029</v>
      </c>
      <c r="AE4" s="36">
        <f t="shared" ca="1" si="0"/>
        <v>24959.651176224703</v>
      </c>
      <c r="AF4" s="36">
        <f t="shared" ca="1" si="0"/>
        <v>24442.846496851376</v>
      </c>
      <c r="AG4" s="36">
        <f t="shared" ca="1" si="0"/>
        <v>26872.632678253645</v>
      </c>
      <c r="AH4" s="36">
        <f t="shared" ca="1" si="0"/>
        <v>32166.452338107814</v>
      </c>
      <c r="AI4" s="36">
        <f ca="1">80%*AI3/$D17</f>
        <v>29667.664978075125</v>
      </c>
      <c r="AJ4" s="36">
        <f t="shared" ca="1" si="0"/>
        <v>30701.587340384056</v>
      </c>
      <c r="AK4" s="36">
        <f t="shared" ca="1" si="0"/>
        <v>37961.844133930026</v>
      </c>
      <c r="AL4" s="36">
        <f t="shared" ca="1" si="0"/>
        <v>32149.817521017161</v>
      </c>
      <c r="AM4" s="36">
        <f t="shared" ca="1" si="0"/>
        <v>37201.111276400457</v>
      </c>
      <c r="AN4" s="36">
        <f t="shared" ca="1" si="0"/>
        <v>35836.300193926458</v>
      </c>
      <c r="AP4" s="17"/>
      <c r="AQ4" s="58"/>
      <c r="AR4" s="17"/>
      <c r="AS4" s="17"/>
    </row>
    <row r="5" spans="1:45" x14ac:dyDescent="0.25">
      <c r="A5" s="553"/>
      <c r="B5" s="398" t="s">
        <v>4097</v>
      </c>
      <c r="C5" s="398"/>
      <c r="D5" s="399">
        <v>0.8</v>
      </c>
      <c r="E5" s="298" t="s">
        <v>4114</v>
      </c>
      <c r="F5" s="36">
        <v>0</v>
      </c>
      <c r="G5">
        <v>0</v>
      </c>
      <c r="H5">
        <v>0</v>
      </c>
      <c r="I5">
        <v>0</v>
      </c>
      <c r="J5" s="36">
        <f ca="1">J1*J4</f>
        <v>505.81264578990852</v>
      </c>
      <c r="K5" s="36">
        <f ca="1">K1*K4</f>
        <v>1175.0150063268909</v>
      </c>
      <c r="L5" s="36">
        <f t="shared" ref="L5:AN5" ca="1" si="1">L1*L4</f>
        <v>1749.4542403478104</v>
      </c>
      <c r="M5" s="36">
        <f t="shared" ca="1" si="1"/>
        <v>2804.0241183551398</v>
      </c>
      <c r="N5" s="36">
        <f t="shared" ca="1" si="1"/>
        <v>3949.3474320271243</v>
      </c>
      <c r="O5" s="36">
        <f t="shared" ca="1" si="1"/>
        <v>4933.6540020771827</v>
      </c>
      <c r="P5" s="36">
        <f t="shared" ca="1" si="1"/>
        <v>4997.5285068217827</v>
      </c>
      <c r="Q5" s="36">
        <f t="shared" ca="1" si="1"/>
        <v>7205.9517382346248</v>
      </c>
      <c r="R5" s="36">
        <f t="shared" ca="1" si="1"/>
        <v>8116.0330011885153</v>
      </c>
      <c r="S5" s="36">
        <f t="shared" ca="1" si="1"/>
        <v>9469.928901580919</v>
      </c>
      <c r="T5" s="36">
        <f t="shared" ca="1" si="1"/>
        <v>10748.806557934804</v>
      </c>
      <c r="U5" s="36">
        <f t="shared" ca="1" si="1"/>
        <v>12730.424448653734</v>
      </c>
      <c r="V5" s="36">
        <f t="shared" ca="1" si="1"/>
        <v>14310.51925114681</v>
      </c>
      <c r="W5" s="36">
        <f t="shared" ca="1" si="1"/>
        <v>18281.097549001097</v>
      </c>
      <c r="X5" s="36">
        <f t="shared" ca="1" si="1"/>
        <v>19771.984822682436</v>
      </c>
      <c r="Y5" s="36">
        <f t="shared" ca="1" si="1"/>
        <v>21713.365618267537</v>
      </c>
      <c r="Z5" s="36">
        <f t="shared" ca="1" si="1"/>
        <v>21230.580835707024</v>
      </c>
      <c r="AA5" s="36">
        <f t="shared" ca="1" si="1"/>
        <v>21872.91088920191</v>
      </c>
      <c r="AB5" s="36">
        <f t="shared" ca="1" si="1"/>
        <v>23050.819847550487</v>
      </c>
      <c r="AC5" s="36">
        <f t="shared" ca="1" si="1"/>
        <v>23925.394670508023</v>
      </c>
      <c r="AD5" s="36">
        <f t="shared" ca="1" si="1"/>
        <v>24095.223508771029</v>
      </c>
      <c r="AE5" s="36">
        <f t="shared" ca="1" si="1"/>
        <v>24959.651176224703</v>
      </c>
      <c r="AF5" s="36">
        <f t="shared" ca="1" si="1"/>
        <v>24442.846496851376</v>
      </c>
      <c r="AG5" s="36">
        <f t="shared" ca="1" si="1"/>
        <v>26872.632678253645</v>
      </c>
      <c r="AH5" s="36">
        <f t="shared" ca="1" si="1"/>
        <v>32166.452338107814</v>
      </c>
      <c r="AI5" s="36">
        <f t="shared" ca="1" si="1"/>
        <v>29667.664978075125</v>
      </c>
      <c r="AJ5" s="36">
        <f t="shared" ca="1" si="1"/>
        <v>30701.587340384056</v>
      </c>
      <c r="AK5" s="36">
        <f t="shared" ca="1" si="1"/>
        <v>37961.844133930026</v>
      </c>
      <c r="AL5" s="36">
        <f t="shared" ca="1" si="1"/>
        <v>32149.817521017161</v>
      </c>
      <c r="AM5" s="36">
        <f ca="1">AM1*AM4</f>
        <v>37201.111276400457</v>
      </c>
      <c r="AN5" s="36">
        <f t="shared" ca="1" si="1"/>
        <v>35836.300193926458</v>
      </c>
    </row>
    <row r="6" spans="1:45" x14ac:dyDescent="0.25">
      <c r="A6" s="553"/>
      <c r="B6" s="551" t="s">
        <v>4106</v>
      </c>
      <c r="C6" s="551"/>
      <c r="D6" s="400">
        <f>106.59*D5</f>
        <v>85.272000000000006</v>
      </c>
      <c r="E6" s="404" t="s">
        <v>4115</v>
      </c>
      <c r="F6" s="405">
        <f t="shared" ref="F6:AN6" si="2">F5*$D6</f>
        <v>0</v>
      </c>
      <c r="G6" s="405">
        <f t="shared" si="2"/>
        <v>0</v>
      </c>
      <c r="H6" s="405">
        <f t="shared" si="2"/>
        <v>0</v>
      </c>
      <c r="I6" s="405">
        <f t="shared" si="2"/>
        <v>0</v>
      </c>
      <c r="J6" s="405">
        <f t="shared" ca="1" si="2"/>
        <v>43131.655931797082</v>
      </c>
      <c r="K6" s="405">
        <f t="shared" ca="1" si="2"/>
        <v>100195.87961950665</v>
      </c>
      <c r="L6" s="405">
        <f t="shared" ca="1" si="2"/>
        <v>149179.46198293849</v>
      </c>
      <c r="M6" s="405">
        <f ca="1">M5*$D6</f>
        <v>239104.7446203795</v>
      </c>
      <c r="N6" s="405">
        <f t="shared" ca="1" si="2"/>
        <v>336768.75422381697</v>
      </c>
      <c r="O6" s="405">
        <f t="shared" ca="1" si="2"/>
        <v>420702.54406512552</v>
      </c>
      <c r="P6" s="405">
        <f t="shared" ca="1" si="2"/>
        <v>426149.2508337071</v>
      </c>
      <c r="Q6" s="405">
        <f t="shared" ca="1" si="2"/>
        <v>614465.91662274301</v>
      </c>
      <c r="R6" s="405">
        <f t="shared" ca="1" si="2"/>
        <v>692070.36607734708</v>
      </c>
      <c r="S6" s="405">
        <f t="shared" ca="1" si="2"/>
        <v>807519.77729560819</v>
      </c>
      <c r="T6" s="405">
        <f t="shared" ca="1" si="2"/>
        <v>916572.23280821671</v>
      </c>
      <c r="U6" s="405">
        <f t="shared" ca="1" si="2"/>
        <v>1085548.7535856012</v>
      </c>
      <c r="V6" s="405">
        <f t="shared" ca="1" si="2"/>
        <v>1220286.5975837908</v>
      </c>
      <c r="W6" s="405">
        <f t="shared" ca="1" si="2"/>
        <v>1558865.7501984215</v>
      </c>
      <c r="X6" s="405">
        <f t="shared" ca="1" si="2"/>
        <v>1685996.6897997768</v>
      </c>
      <c r="Y6" s="405">
        <f t="shared" ca="1" si="2"/>
        <v>1851542.1130009096</v>
      </c>
      <c r="Z6" s="405">
        <f t="shared" ca="1" si="2"/>
        <v>1810374.0890224094</v>
      </c>
      <c r="AA6" s="405">
        <f t="shared" ca="1" si="2"/>
        <v>1865146.8573440255</v>
      </c>
      <c r="AB6" s="405">
        <f t="shared" ca="1" si="2"/>
        <v>1965589.5100403253</v>
      </c>
      <c r="AC6" s="405">
        <f t="shared" ca="1" si="2"/>
        <v>2040166.2543435602</v>
      </c>
      <c r="AD6" s="405">
        <f t="shared" ca="1" si="2"/>
        <v>2054647.8990399232</v>
      </c>
      <c r="AE6" s="405">
        <f t="shared" ca="1" si="2"/>
        <v>2128359.3750990331</v>
      </c>
      <c r="AF6" s="405">
        <f t="shared" ca="1" si="2"/>
        <v>2084290.4064795107</v>
      </c>
      <c r="AG6" s="405">
        <f t="shared" ca="1" si="2"/>
        <v>2291483.1337400451</v>
      </c>
      <c r="AH6" s="405">
        <f t="shared" ca="1" si="2"/>
        <v>2742897.7237751298</v>
      </c>
      <c r="AI6" s="405">
        <f ca="1">AI5*$D6</f>
        <v>2529821.128010422</v>
      </c>
      <c r="AJ6" s="405">
        <f t="shared" ca="1" si="2"/>
        <v>2617985.7556892294</v>
      </c>
      <c r="AK6" s="405">
        <f t="shared" ca="1" si="2"/>
        <v>3237082.3729884815</v>
      </c>
      <c r="AL6" s="405">
        <f t="shared" ca="1" si="2"/>
        <v>2741479.2396521755</v>
      </c>
      <c r="AM6" s="405">
        <f t="shared" ca="1" si="2"/>
        <v>3172213.1607612199</v>
      </c>
      <c r="AN6" s="405">
        <f t="shared" ca="1" si="2"/>
        <v>3055832.9901364972</v>
      </c>
    </row>
    <row r="7" spans="1:45" x14ac:dyDescent="0.25">
      <c r="A7" s="553"/>
      <c r="B7" s="551" t="s">
        <v>4107</v>
      </c>
      <c r="C7" s="551"/>
      <c r="D7" s="400">
        <f>651.68*D5</f>
        <v>521.34399999999994</v>
      </c>
      <c r="E7" s="404" t="s">
        <v>4098</v>
      </c>
      <c r="F7" s="405">
        <f t="shared" ref="F7:AN7" si="3">F5*$D7</f>
        <v>0</v>
      </c>
      <c r="G7" s="405">
        <f t="shared" si="3"/>
        <v>0</v>
      </c>
      <c r="H7" s="405">
        <f t="shared" si="3"/>
        <v>0</v>
      </c>
      <c r="I7" s="405">
        <f t="shared" si="3"/>
        <v>0</v>
      </c>
      <c r="J7" s="405">
        <f t="shared" ca="1" si="3"/>
        <v>263702.38800669403</v>
      </c>
      <c r="K7" s="405">
        <f t="shared" ca="1" si="3"/>
        <v>612587.02345848654</v>
      </c>
      <c r="L7" s="405">
        <f t="shared" ca="1" si="3"/>
        <v>912067.47147988877</v>
      </c>
      <c r="M7" s="405">
        <f t="shared" ca="1" si="3"/>
        <v>1461861.1499597419</v>
      </c>
      <c r="N7" s="405">
        <f t="shared" ca="1" si="3"/>
        <v>2058968.5876027488</v>
      </c>
      <c r="O7" s="405">
        <f t="shared" ca="1" si="3"/>
        <v>2572130.9120589262</v>
      </c>
      <c r="P7" s="405">
        <f t="shared" ca="1" si="3"/>
        <v>2605431.5018604952</v>
      </c>
      <c r="Q7" s="405">
        <f t="shared" ca="1" si="3"/>
        <v>3756779.7030181917</v>
      </c>
      <c r="R7" s="405">
        <f t="shared" ca="1" si="3"/>
        <v>4231245.1089716246</v>
      </c>
      <c r="S7" s="405">
        <f t="shared" ca="1" si="3"/>
        <v>4937090.6132658022</v>
      </c>
      <c r="T7" s="405">
        <f t="shared" ca="1" si="3"/>
        <v>5603825.8061399618</v>
      </c>
      <c r="U7" s="405">
        <f t="shared" ca="1" si="3"/>
        <v>6636930.403758931</v>
      </c>
      <c r="V7" s="405">
        <f t="shared" ca="1" si="3"/>
        <v>7460703.3484698813</v>
      </c>
      <c r="W7" s="405">
        <f t="shared" ca="1" si="3"/>
        <v>9530740.5205864273</v>
      </c>
      <c r="X7" s="405">
        <f t="shared" ca="1" si="3"/>
        <v>10308005.655396551</v>
      </c>
      <c r="Y7" s="405">
        <f t="shared" ca="1" si="3"/>
        <v>11320132.88489007</v>
      </c>
      <c r="Z7" s="405">
        <f t="shared" ca="1" si="3"/>
        <v>11068435.935210841</v>
      </c>
      <c r="AA7" s="405">
        <f t="shared" ca="1" si="3"/>
        <v>11403310.854620079</v>
      </c>
      <c r="AB7" s="405">
        <f t="shared" ca="1" si="3"/>
        <v>12017406.62260136</v>
      </c>
      <c r="AC7" s="405">
        <f t="shared" ca="1" si="3"/>
        <v>12473360.959101334</v>
      </c>
      <c r="AD7" s="405">
        <f t="shared" ca="1" si="3"/>
        <v>12561900.204956722</v>
      </c>
      <c r="AE7" s="405">
        <f t="shared" ca="1" si="3"/>
        <v>13012564.382817689</v>
      </c>
      <c r="AF7" s="405">
        <f t="shared" ca="1" si="3"/>
        <v>12743131.364054482</v>
      </c>
      <c r="AG7" s="405">
        <f t="shared" ca="1" si="3"/>
        <v>14009885.811011467</v>
      </c>
      <c r="AH7" s="405">
        <f t="shared" ca="1" si="3"/>
        <v>16769786.927758478</v>
      </c>
      <c r="AI7" s="405">
        <f t="shared" ca="1" si="3"/>
        <v>15467059.130329596</v>
      </c>
      <c r="AJ7" s="405">
        <f t="shared" ca="1" si="3"/>
        <v>16006088.350385183</v>
      </c>
      <c r="AK7" s="405">
        <f t="shared" ca="1" si="3"/>
        <v>19791179.668159612</v>
      </c>
      <c r="AL7" s="405">
        <f t="shared" ca="1" si="3"/>
        <v>16761114.465677168</v>
      </c>
      <c r="AM7" s="405">
        <f t="shared" ca="1" si="3"/>
        <v>19394576.157283716</v>
      </c>
      <c r="AN7" s="405">
        <f t="shared" ca="1" si="3"/>
        <v>18683040.088302393</v>
      </c>
    </row>
    <row r="8" spans="1:45" x14ac:dyDescent="0.25">
      <c r="A8" s="553"/>
      <c r="B8" s="551" t="s">
        <v>4108</v>
      </c>
      <c r="C8" s="551"/>
      <c r="D8" s="400">
        <f>390.96*D5</f>
        <v>312.76800000000003</v>
      </c>
      <c r="E8" s="404" t="s">
        <v>4116</v>
      </c>
      <c r="F8" s="405">
        <f t="shared" ref="F8:AN8" si="4">F5*$D10*$D8</f>
        <v>0</v>
      </c>
      <c r="G8" s="405">
        <f t="shared" si="4"/>
        <v>0</v>
      </c>
      <c r="H8" s="405">
        <f t="shared" si="4"/>
        <v>0</v>
      </c>
      <c r="I8" s="405">
        <f t="shared" si="4"/>
        <v>0</v>
      </c>
      <c r="J8" s="405">
        <f t="shared" ca="1" si="4"/>
        <v>1582020.0959841812</v>
      </c>
      <c r="K8" s="405">
        <f t="shared" ca="1" si="4"/>
        <v>3675070.9349884908</v>
      </c>
      <c r="L8" s="405">
        <f t="shared" ca="1" si="4"/>
        <v>5471733.0384510402</v>
      </c>
      <c r="M8" s="405">
        <f t="shared" ca="1" si="4"/>
        <v>8770090.154497005</v>
      </c>
      <c r="N8" s="405">
        <f t="shared" ca="1" si="4"/>
        <v>12352294.976202596</v>
      </c>
      <c r="O8" s="405">
        <f t="shared" ca="1" si="4"/>
        <v>15430890.949216764</v>
      </c>
      <c r="P8" s="405">
        <f t="shared" ca="1" si="4"/>
        <v>15630669.960216355</v>
      </c>
      <c r="Q8" s="405">
        <f t="shared" ca="1" si="4"/>
        <v>22537911.132641677</v>
      </c>
      <c r="R8" s="405">
        <f t="shared" ca="1" si="4"/>
        <v>25384354.097157296</v>
      </c>
      <c r="S8" s="405">
        <f t="shared" ca="1" si="4"/>
        <v>29618907.22689661</v>
      </c>
      <c r="T8" s="405">
        <f t="shared" ca="1" si="4"/>
        <v>33618827.295121528</v>
      </c>
      <c r="U8" s="405">
        <f t="shared" ca="1" si="4"/>
        <v>39816693.939565316</v>
      </c>
      <c r="V8" s="405">
        <f t="shared" ca="1" si="4"/>
        <v>44758724.851426862</v>
      </c>
      <c r="W8" s="405">
        <f t="shared" ca="1" si="4"/>
        <v>57177423.182059757</v>
      </c>
      <c r="X8" s="405">
        <f t="shared" ca="1" si="4"/>
        <v>61840441.490207411</v>
      </c>
      <c r="Y8" s="405">
        <f t="shared" ca="1" si="4"/>
        <v>67912459.376943007</v>
      </c>
      <c r="Z8" s="405">
        <f t="shared" ca="1" si="4"/>
        <v>66402463.068224147</v>
      </c>
      <c r="AA8" s="405">
        <f t="shared" ca="1" si="4"/>
        <v>68411465.929939047</v>
      </c>
      <c r="AB8" s="405">
        <f t="shared" ca="1" si="4"/>
        <v>72095588.220786721</v>
      </c>
      <c r="AC8" s="405">
        <f t="shared" ca="1" si="4"/>
        <v>74830978.403054535</v>
      </c>
      <c r="AD8" s="405">
        <f t="shared" ca="1" si="4"/>
        <v>75362148.663912982</v>
      </c>
      <c r="AE8" s="405">
        <f t="shared" ca="1" si="4"/>
        <v>78065801.790854484</v>
      </c>
      <c r="AF8" s="405">
        <f t="shared" ca="1" si="4"/>
        <v>76449402.131272122</v>
      </c>
      <c r="AG8" s="405">
        <f t="shared" ca="1" si="4"/>
        <v>84048995.775120378</v>
      </c>
      <c r="AH8" s="405">
        <f t="shared" ca="1" si="4"/>
        <v>100606369.64885306</v>
      </c>
      <c r="AI8" s="405">
        <f t="shared" ca="1" si="4"/>
        <v>92790962.398626015</v>
      </c>
      <c r="AJ8" s="405">
        <f t="shared" ca="1" si="4"/>
        <v>96024740.692772418</v>
      </c>
      <c r="AK8" s="405">
        <f t="shared" ca="1" si="4"/>
        <v>118732500.66081028</v>
      </c>
      <c r="AL8" s="405">
        <f t="shared" ca="1" si="4"/>
        <v>100554341.26413496</v>
      </c>
      <c r="AM8" s="405">
        <f t="shared" ca="1" si="4"/>
        <v>116353171.71697219</v>
      </c>
      <c r="AN8" s="405">
        <f t="shared" ca="1" si="4"/>
        <v>112084479.39053991</v>
      </c>
    </row>
    <row r="9" spans="1:45" x14ac:dyDescent="0.25">
      <c r="A9" s="553"/>
      <c r="B9" s="398" t="s">
        <v>4099</v>
      </c>
      <c r="C9" s="398"/>
      <c r="D9" s="401"/>
      <c r="E9" s="115"/>
      <c r="F9" s="37"/>
      <c r="J9" s="212"/>
      <c r="K9" s="212"/>
      <c r="L9" s="212"/>
      <c r="M9" s="212"/>
      <c r="N9" s="212"/>
      <c r="O9" s="212"/>
      <c r="P9" s="212"/>
      <c r="Q9" s="212"/>
      <c r="R9" s="212"/>
      <c r="S9" s="212"/>
      <c r="T9" s="212"/>
      <c r="U9" s="212"/>
      <c r="V9" s="212"/>
      <c r="W9" s="212"/>
      <c r="X9" s="212"/>
      <c r="Y9" s="212"/>
      <c r="Z9" s="212"/>
      <c r="AA9" s="212"/>
      <c r="AB9" s="212"/>
      <c r="AC9" s="212"/>
      <c r="AD9" s="212"/>
      <c r="AE9" s="212"/>
      <c r="AF9" s="212"/>
      <c r="AG9" s="212"/>
      <c r="AH9" s="212"/>
      <c r="AI9" s="212"/>
      <c r="AJ9" s="212"/>
      <c r="AK9" s="212"/>
      <c r="AL9" s="212"/>
      <c r="AM9" s="212"/>
      <c r="AN9" s="212"/>
    </row>
    <row r="10" spans="1:45" x14ac:dyDescent="0.25">
      <c r="A10" s="553"/>
      <c r="B10" s="551" t="s">
        <v>4100</v>
      </c>
      <c r="C10" s="551"/>
      <c r="D10" s="402">
        <v>10</v>
      </c>
      <c r="E10" s="302" t="s">
        <v>4119</v>
      </c>
      <c r="F10" s="37"/>
    </row>
    <row r="11" spans="1:45" x14ac:dyDescent="0.25">
      <c r="A11" s="553"/>
      <c r="B11" s="401" t="s">
        <v>4101</v>
      </c>
      <c r="C11" s="401">
        <v>3</v>
      </c>
      <c r="D11" s="400">
        <f>171.05*D5</f>
        <v>136.84</v>
      </c>
      <c r="E11" s="406" t="s">
        <v>4101</v>
      </c>
      <c r="F11" s="405">
        <f>$C11*$D11*F5</f>
        <v>0</v>
      </c>
      <c r="G11" s="405">
        <f t="shared" ref="G11:AN11" si="5">$C11*$D11*G5</f>
        <v>0</v>
      </c>
      <c r="H11" s="405">
        <f t="shared" si="5"/>
        <v>0</v>
      </c>
      <c r="I11" s="405">
        <f t="shared" si="5"/>
        <v>0</v>
      </c>
      <c r="J11" s="405">
        <f ca="1">$C11*$D11*J5</f>
        <v>207646.20734967323</v>
      </c>
      <c r="K11" s="405">
        <f t="shared" ca="1" si="5"/>
        <v>482367.16039731522</v>
      </c>
      <c r="L11" s="405">
        <f t="shared" ca="1" si="5"/>
        <v>718185.95474758302</v>
      </c>
      <c r="M11" s="405">
        <f t="shared" ca="1" si="5"/>
        <v>1151107.981067152</v>
      </c>
      <c r="N11" s="405">
        <f t="shared" ca="1" si="5"/>
        <v>1621286.1077957749</v>
      </c>
      <c r="O11" s="405">
        <f t="shared" ca="1" si="5"/>
        <v>2025363.640932725</v>
      </c>
      <c r="P11" s="405">
        <f t="shared" ca="1" si="5"/>
        <v>2051585.4026204781</v>
      </c>
      <c r="Q11" s="405">
        <f t="shared" ca="1" si="5"/>
        <v>2958187.307580078</v>
      </c>
      <c r="R11" s="405">
        <f t="shared" ca="1" si="5"/>
        <v>3331793.8676479091</v>
      </c>
      <c r="S11" s="405">
        <f t="shared" ca="1" si="5"/>
        <v>3887595.2126769987</v>
      </c>
      <c r="T11" s="405">
        <f t="shared" ca="1" si="5"/>
        <v>4412600.0681633959</v>
      </c>
      <c r="U11" s="405">
        <f t="shared" ca="1" si="5"/>
        <v>5226093.8446613308</v>
      </c>
      <c r="V11" s="405">
        <f t="shared" ca="1" si="5"/>
        <v>5874754.3629807886</v>
      </c>
      <c r="W11" s="405">
        <f t="shared" ca="1" si="5"/>
        <v>7504756.1658159299</v>
      </c>
      <c r="X11" s="405">
        <f t="shared" ca="1" si="5"/>
        <v>8116795.2094075931</v>
      </c>
      <c r="Y11" s="405">
        <f t="shared" ca="1" si="5"/>
        <v>8913770.853611188</v>
      </c>
      <c r="Z11" s="405">
        <f t="shared" ca="1" si="5"/>
        <v>8715578.0446744468</v>
      </c>
      <c r="AA11" s="405">
        <f t="shared" ca="1" si="5"/>
        <v>8979267.3782351688</v>
      </c>
      <c r="AB11" s="405">
        <f t="shared" ca="1" si="5"/>
        <v>9462822.5638164263</v>
      </c>
      <c r="AC11" s="405">
        <f t="shared" ca="1" si="5"/>
        <v>9821853.0201369543</v>
      </c>
      <c r="AD11" s="405">
        <f t="shared" ca="1" si="5"/>
        <v>9891571.1548206825</v>
      </c>
      <c r="AE11" s="405">
        <f t="shared" ca="1" si="5"/>
        <v>10246436.000863764</v>
      </c>
      <c r="AF11" s="405">
        <f t="shared" ca="1" si="5"/>
        <v>10034277.343887426</v>
      </c>
      <c r="AG11" s="405">
        <f t="shared" ca="1" si="5"/>
        <v>11031753.167076686</v>
      </c>
      <c r="AH11" s="405">
        <f t="shared" ca="1" si="5"/>
        <v>13204972.01384002</v>
      </c>
      <c r="AI11" s="405">
        <f t="shared" ca="1" si="5"/>
        <v>12179169.8267994</v>
      </c>
      <c r="AJ11" s="405">
        <f t="shared" ca="1" si="5"/>
        <v>12603615.634974463</v>
      </c>
      <c r="AK11" s="405">
        <f t="shared" ca="1" si="5"/>
        <v>15584096.253860954</v>
      </c>
      <c r="AL11" s="405">
        <f t="shared" ca="1" si="5"/>
        <v>13198143.088727964</v>
      </c>
      <c r="AM11" s="405">
        <f t="shared" ca="1" si="5"/>
        <v>15271800.201187914</v>
      </c>
      <c r="AN11" s="405">
        <f t="shared" ca="1" si="5"/>
        <v>14711517.955610689</v>
      </c>
    </row>
    <row r="12" spans="1:45" x14ac:dyDescent="0.25">
      <c r="A12" s="553"/>
      <c r="B12" s="401" t="s">
        <v>4102</v>
      </c>
      <c r="C12" s="401">
        <v>7</v>
      </c>
      <c r="D12" s="400">
        <f>219.91*D5</f>
        <v>175.928</v>
      </c>
      <c r="E12" s="406" t="s">
        <v>4120</v>
      </c>
      <c r="F12" s="405">
        <f>$C12*$D12*F5</f>
        <v>0</v>
      </c>
      <c r="G12" s="405">
        <f t="shared" ref="G12:AN12" si="6">$C12*$D12*G5</f>
        <v>0</v>
      </c>
      <c r="H12" s="405">
        <f t="shared" si="6"/>
        <v>0</v>
      </c>
      <c r="I12" s="405">
        <f t="shared" si="6"/>
        <v>0</v>
      </c>
      <c r="J12" s="405">
        <f ca="1">$C12*$D12*J5</f>
        <v>622906.25003968924</v>
      </c>
      <c r="K12" s="405">
        <f t="shared" ca="1" si="6"/>
        <v>1447026.280231541</v>
      </c>
      <c r="L12" s="405">
        <f t="shared" ca="1" si="6"/>
        <v>2154445.8991713673</v>
      </c>
      <c r="M12" s="405">
        <f t="shared" ca="1" si="6"/>
        <v>3453144.4856578815</v>
      </c>
      <c r="N12" s="405">
        <f t="shared" ca="1" si="6"/>
        <v>4863605.5651516756</v>
      </c>
      <c r="O12" s="405">
        <f t="shared" ca="1" si="6"/>
        <v>6075775.1689420426</v>
      </c>
      <c r="P12" s="405">
        <f t="shared" ca="1" si="6"/>
        <v>6154436.3660369981</v>
      </c>
      <c r="Q12" s="405">
        <f t="shared" ca="1" si="6"/>
        <v>8874100.7418289874</v>
      </c>
      <c r="R12" s="405">
        <f t="shared" ca="1" si="6"/>
        <v>9994862.1768316533</v>
      </c>
      <c r="S12" s="405">
        <f t="shared" ca="1" si="6"/>
        <v>11662179.562581297</v>
      </c>
      <c r="T12" s="405">
        <f t="shared" ca="1" si="6"/>
        <v>13237112.28087048</v>
      </c>
      <c r="U12" s="405">
        <f t="shared" ca="1" si="6"/>
        <v>15677466.786819279</v>
      </c>
      <c r="V12" s="405">
        <f t="shared" ca="1" si="6"/>
        <v>17623347.215710294</v>
      </c>
      <c r="W12" s="405">
        <f t="shared" ca="1" si="6"/>
        <v>22513098.507204656</v>
      </c>
      <c r="X12" s="405">
        <f t="shared" ca="1" si="6"/>
        <v>24349120.221194129</v>
      </c>
      <c r="Y12" s="405">
        <f t="shared" ca="1" si="6"/>
        <v>26739922.905434001</v>
      </c>
      <c r="Z12" s="405">
        <f t="shared" ca="1" si="6"/>
        <v>26145375.37684986</v>
      </c>
      <c r="AA12" s="405">
        <f t="shared" ca="1" si="6"/>
        <v>26936402.268408597</v>
      </c>
      <c r="AB12" s="405">
        <f t="shared" ca="1" si="6"/>
        <v>28386992.438979037</v>
      </c>
      <c r="AC12" s="405">
        <f t="shared" ca="1" si="6"/>
        <v>29464027.835151952</v>
      </c>
      <c r="AD12" s="405">
        <f t="shared" ca="1" si="6"/>
        <v>29673171.370157488</v>
      </c>
      <c r="AE12" s="405">
        <f t="shared" ca="1" si="6"/>
        <v>30737710.584916018</v>
      </c>
      <c r="AF12" s="405">
        <f t="shared" ca="1" si="6"/>
        <v>30101267.689486485</v>
      </c>
      <c r="AG12" s="405">
        <f t="shared" ca="1" si="6"/>
        <v>33093539.652738653</v>
      </c>
      <c r="AH12" s="405">
        <f t="shared" ca="1" si="6"/>
        <v>39612857.38857042</v>
      </c>
      <c r="AI12" s="405">
        <f t="shared" ca="1" si="6"/>
        <v>36535610.749839604</v>
      </c>
      <c r="AJ12" s="405">
        <f t="shared" ca="1" si="6"/>
        <v>37808882.003333606</v>
      </c>
      <c r="AK12" s="405">
        <f t="shared" ca="1" si="6"/>
        <v>46749859.203558296</v>
      </c>
      <c r="AL12" s="405">
        <f t="shared" ca="1" si="6"/>
        <v>39592371.677862555</v>
      </c>
      <c r="AM12" s="405">
        <f t="shared" ca="1" si="6"/>
        <v>45813019.732442059</v>
      </c>
      <c r="AN12" s="405">
        <f t="shared" ca="1" si="6"/>
        <v>44132260.34361966</v>
      </c>
    </row>
    <row r="13" spans="1:45" x14ac:dyDescent="0.25">
      <c r="A13" s="553"/>
      <c r="B13" s="398" t="s">
        <v>4103</v>
      </c>
      <c r="C13" s="401"/>
      <c r="D13" s="401"/>
      <c r="E13" s="115"/>
      <c r="F13" s="37"/>
    </row>
    <row r="14" spans="1:45" x14ac:dyDescent="0.25">
      <c r="A14" s="553"/>
      <c r="B14" s="493" t="s">
        <v>3262</v>
      </c>
      <c r="C14" s="493"/>
      <c r="D14" s="493"/>
      <c r="E14" s="18"/>
      <c r="F14" s="88">
        <f>SUM(F6:F8,F11:F12)</f>
        <v>0</v>
      </c>
      <c r="G14" s="88">
        <f t="shared" ref="G14:AM14" si="7">SUM(G6:G8,G11:G12)</f>
        <v>0</v>
      </c>
      <c r="H14" s="88">
        <f t="shared" si="7"/>
        <v>0</v>
      </c>
      <c r="I14" s="88">
        <f t="shared" si="7"/>
        <v>0</v>
      </c>
      <c r="J14" s="88">
        <f ca="1">SUM(J6:J8,J11:J12)</f>
        <v>2719406.597312035</v>
      </c>
      <c r="K14" s="88">
        <f t="shared" ca="1" si="7"/>
        <v>6317247.2786953403</v>
      </c>
      <c r="L14" s="88">
        <f t="shared" ca="1" si="7"/>
        <v>9405611.8258328177</v>
      </c>
      <c r="M14" s="88">
        <f t="shared" ca="1" si="7"/>
        <v>15075308.515802162</v>
      </c>
      <c r="N14" s="88">
        <f t="shared" ca="1" si="7"/>
        <v>21232923.990976613</v>
      </c>
      <c r="O14" s="88">
        <f t="shared" ca="1" si="7"/>
        <v>26524863.215215582</v>
      </c>
      <c r="P14" s="88">
        <f t="shared" ca="1" si="7"/>
        <v>26868272.481568031</v>
      </c>
      <c r="Q14" s="88">
        <f t="shared" ca="1" si="7"/>
        <v>38741444.801691674</v>
      </c>
      <c r="R14" s="88">
        <f t="shared" ca="1" si="7"/>
        <v>43634325.61668583</v>
      </c>
      <c r="S14" s="88">
        <f t="shared" ca="1" si="7"/>
        <v>50913292.392716318</v>
      </c>
      <c r="T14" s="88">
        <f t="shared" ca="1" si="7"/>
        <v>57788937.683103584</v>
      </c>
      <c r="U14" s="88">
        <f t="shared" ca="1" si="7"/>
        <v>68442733.728390455</v>
      </c>
      <c r="V14" s="88">
        <f t="shared" ca="1" si="7"/>
        <v>76937816.376171619</v>
      </c>
      <c r="W14" s="88">
        <f t="shared" ca="1" si="7"/>
        <v>98284884.125865191</v>
      </c>
      <c r="X14" s="88">
        <f t="shared" ca="1" si="7"/>
        <v>106300359.26600547</v>
      </c>
      <c r="Y14" s="88">
        <f t="shared" ca="1" si="7"/>
        <v>116737828.13387917</v>
      </c>
      <c r="Z14" s="88">
        <f t="shared" ca="1" si="7"/>
        <v>114142226.5139817</v>
      </c>
      <c r="AA14" s="88">
        <f t="shared" ca="1" si="7"/>
        <v>117595593.28854692</v>
      </c>
      <c r="AB14" s="88">
        <f t="shared" ca="1" si="7"/>
        <v>123928399.35622388</v>
      </c>
      <c r="AC14" s="88">
        <f t="shared" ca="1" si="7"/>
        <v>128630386.47178833</v>
      </c>
      <c r="AD14" s="88">
        <f t="shared" ca="1" si="7"/>
        <v>129543439.29288781</v>
      </c>
      <c r="AE14" s="88">
        <f t="shared" ca="1" si="7"/>
        <v>134190872.13455099</v>
      </c>
      <c r="AF14" s="88">
        <f t="shared" ca="1" si="7"/>
        <v>131412368.93518002</v>
      </c>
      <c r="AG14" s="88">
        <f t="shared" ca="1" si="7"/>
        <v>144475657.53968725</v>
      </c>
      <c r="AH14" s="88">
        <f t="shared" ca="1" si="7"/>
        <v>172936883.70279711</v>
      </c>
      <c r="AI14" s="88">
        <f t="shared" ca="1" si="7"/>
        <v>159502623.23360503</v>
      </c>
      <c r="AJ14" s="88">
        <f t="shared" ca="1" si="7"/>
        <v>165061312.43715489</v>
      </c>
      <c r="AK14" s="88">
        <f t="shared" ca="1" si="7"/>
        <v>204094718.1593776</v>
      </c>
      <c r="AL14" s="88">
        <f t="shared" ca="1" si="7"/>
        <v>172847449.73605484</v>
      </c>
      <c r="AM14" s="88">
        <f t="shared" ca="1" si="7"/>
        <v>200004780.96864709</v>
      </c>
      <c r="AN14" s="88">
        <f ca="1">SUM(AN6:AN8,AN11:AN12)</f>
        <v>192667130.76820916</v>
      </c>
    </row>
    <row r="15" spans="1:45" x14ac:dyDescent="0.25">
      <c r="A15" s="553"/>
      <c r="B15" s="395" t="s">
        <v>3790</v>
      </c>
      <c r="C15" s="395"/>
      <c r="D15" s="398" t="s">
        <v>3791</v>
      </c>
      <c r="E15" s="294"/>
      <c r="F15" s="17" t="s">
        <v>4063</v>
      </c>
      <c r="J15" s="213"/>
    </row>
    <row r="16" spans="1:45" x14ac:dyDescent="0.25">
      <c r="A16" s="553"/>
      <c r="B16" s="89">
        <v>0.6</v>
      </c>
      <c r="C16" s="89">
        <v>0.75</v>
      </c>
      <c r="D16" s="6">
        <v>21.45</v>
      </c>
      <c r="E16" s="295"/>
      <c r="F16" s="66">
        <v>5.11E-2</v>
      </c>
      <c r="G16" s="66">
        <v>5.11E-2</v>
      </c>
      <c r="H16" s="66">
        <v>5.11E-2</v>
      </c>
      <c r="I16" s="66">
        <v>5.11E-2</v>
      </c>
      <c r="J16" s="66">
        <v>5.11E-2</v>
      </c>
      <c r="K16" s="66">
        <v>5.11E-2</v>
      </c>
      <c r="L16" s="66">
        <v>5.11E-2</v>
      </c>
      <c r="M16" s="66">
        <v>5.11E-2</v>
      </c>
      <c r="N16" s="66">
        <v>5.11E-2</v>
      </c>
      <c r="O16" s="66">
        <v>5.11E-2</v>
      </c>
      <c r="P16" s="66">
        <v>5.11E-2</v>
      </c>
      <c r="Q16" s="66">
        <v>5.11E-2</v>
      </c>
      <c r="R16" s="66">
        <v>5.11E-2</v>
      </c>
      <c r="S16" s="66">
        <v>5.11E-2</v>
      </c>
      <c r="T16" s="66">
        <v>5.11E-2</v>
      </c>
      <c r="U16" s="66">
        <v>5.11E-2</v>
      </c>
      <c r="V16" s="66">
        <v>5.11E-2</v>
      </c>
      <c r="W16" s="66">
        <v>5.11E-2</v>
      </c>
      <c r="X16" s="66">
        <v>5.11E-2</v>
      </c>
      <c r="Y16" s="66">
        <v>5.11E-2</v>
      </c>
      <c r="Z16" s="66">
        <v>5.11E-2</v>
      </c>
      <c r="AA16" s="66">
        <v>5.11E-2</v>
      </c>
      <c r="AB16" s="66">
        <v>5.11E-2</v>
      </c>
      <c r="AC16" s="66">
        <v>5.11E-2</v>
      </c>
      <c r="AD16" s="66">
        <v>5.11E-2</v>
      </c>
      <c r="AE16" s="66">
        <v>5.11E-2</v>
      </c>
      <c r="AF16" s="66">
        <v>5.11E-2</v>
      </c>
      <c r="AG16" s="66">
        <v>5.11E-2</v>
      </c>
      <c r="AH16" s="66">
        <v>5.11E-2</v>
      </c>
      <c r="AI16" s="66">
        <v>5.11E-2</v>
      </c>
      <c r="AJ16" s="66">
        <v>5.11E-2</v>
      </c>
      <c r="AK16" s="66">
        <v>5.11E-2</v>
      </c>
      <c r="AL16" s="66">
        <v>5.11E-2</v>
      </c>
      <c r="AM16" s="66">
        <v>5.11E-2</v>
      </c>
      <c r="AN16" s="66">
        <v>5.11E-2</v>
      </c>
    </row>
    <row r="17" spans="1:40" x14ac:dyDescent="0.25">
      <c r="A17" s="553"/>
      <c r="B17" s="552" t="s">
        <v>3792</v>
      </c>
      <c r="C17" s="552"/>
      <c r="D17" s="403">
        <f>AVERAGE(B16:C16)*D16</f>
        <v>14.47875</v>
      </c>
      <c r="E17" s="296"/>
      <c r="F17" s="66">
        <f t="shared" ref="F17:AN17" si="8">1+F16</f>
        <v>1.0510999999999999</v>
      </c>
      <c r="G17" s="66">
        <f t="shared" si="8"/>
        <v>1.0510999999999999</v>
      </c>
      <c r="H17" s="66">
        <f t="shared" si="8"/>
        <v>1.0510999999999999</v>
      </c>
      <c r="I17" s="66">
        <f t="shared" si="8"/>
        <v>1.0510999999999999</v>
      </c>
      <c r="J17" s="66">
        <f t="shared" si="8"/>
        <v>1.0510999999999999</v>
      </c>
      <c r="K17" s="66">
        <f t="shared" si="8"/>
        <v>1.0510999999999999</v>
      </c>
      <c r="L17" s="66">
        <f t="shared" si="8"/>
        <v>1.0510999999999999</v>
      </c>
      <c r="M17" s="66">
        <f t="shared" si="8"/>
        <v>1.0510999999999999</v>
      </c>
      <c r="N17" s="66">
        <f t="shared" si="8"/>
        <v>1.0510999999999999</v>
      </c>
      <c r="O17" s="66">
        <f t="shared" si="8"/>
        <v>1.0510999999999999</v>
      </c>
      <c r="P17" s="66">
        <f t="shared" si="8"/>
        <v>1.0510999999999999</v>
      </c>
      <c r="Q17" s="66">
        <f t="shared" si="8"/>
        <v>1.0510999999999999</v>
      </c>
      <c r="R17" s="66">
        <f t="shared" si="8"/>
        <v>1.0510999999999999</v>
      </c>
      <c r="S17" s="66">
        <f t="shared" si="8"/>
        <v>1.0510999999999999</v>
      </c>
      <c r="T17" s="66">
        <f t="shared" si="8"/>
        <v>1.0510999999999999</v>
      </c>
      <c r="U17" s="66">
        <f t="shared" si="8"/>
        <v>1.0510999999999999</v>
      </c>
      <c r="V17" s="66">
        <f t="shared" si="8"/>
        <v>1.0510999999999999</v>
      </c>
      <c r="W17" s="66">
        <f t="shared" si="8"/>
        <v>1.0510999999999999</v>
      </c>
      <c r="X17" s="66">
        <f t="shared" si="8"/>
        <v>1.0510999999999999</v>
      </c>
      <c r="Y17" s="66">
        <f t="shared" si="8"/>
        <v>1.0510999999999999</v>
      </c>
      <c r="Z17" s="66">
        <f t="shared" si="8"/>
        <v>1.0510999999999999</v>
      </c>
      <c r="AA17" s="66">
        <f t="shared" si="8"/>
        <v>1.0510999999999999</v>
      </c>
      <c r="AB17" s="66">
        <f t="shared" si="8"/>
        <v>1.0510999999999999</v>
      </c>
      <c r="AC17" s="66">
        <f t="shared" si="8"/>
        <v>1.0510999999999999</v>
      </c>
      <c r="AD17" s="66">
        <f t="shared" si="8"/>
        <v>1.0510999999999999</v>
      </c>
      <c r="AE17" s="66">
        <f t="shared" si="8"/>
        <v>1.0510999999999999</v>
      </c>
      <c r="AF17" s="66">
        <f t="shared" si="8"/>
        <v>1.0510999999999999</v>
      </c>
      <c r="AG17" s="66">
        <f t="shared" si="8"/>
        <v>1.0510999999999999</v>
      </c>
      <c r="AH17" s="66">
        <f t="shared" si="8"/>
        <v>1.0510999999999999</v>
      </c>
      <c r="AI17" s="66">
        <f t="shared" si="8"/>
        <v>1.0510999999999999</v>
      </c>
      <c r="AJ17" s="66">
        <f t="shared" si="8"/>
        <v>1.0510999999999999</v>
      </c>
      <c r="AK17" s="66">
        <f t="shared" si="8"/>
        <v>1.0510999999999999</v>
      </c>
      <c r="AL17" s="66">
        <f t="shared" si="8"/>
        <v>1.0510999999999999</v>
      </c>
      <c r="AM17" s="66">
        <f t="shared" si="8"/>
        <v>1.0510999999999999</v>
      </c>
      <c r="AN17" s="66">
        <f t="shared" si="8"/>
        <v>1.0510999999999999</v>
      </c>
    </row>
    <row r="18" spans="1:40" x14ac:dyDescent="0.25">
      <c r="A18" s="553"/>
      <c r="E18" s="115"/>
      <c r="F18" s="66" t="s">
        <v>4137</v>
      </c>
    </row>
    <row r="19" spans="1:40" x14ac:dyDescent="0.25">
      <c r="A19" s="553"/>
      <c r="E19" s="115"/>
      <c r="F19" s="88"/>
      <c r="G19" s="88"/>
      <c r="H19" s="88"/>
      <c r="I19" s="88"/>
      <c r="J19" s="88"/>
      <c r="K19" s="88"/>
      <c r="L19" s="88"/>
      <c r="M19" s="88"/>
      <c r="N19" s="88"/>
      <c r="O19" s="88"/>
      <c r="P19" s="88"/>
      <c r="Q19" s="88"/>
      <c r="R19" s="88"/>
      <c r="S19" s="88"/>
      <c r="T19" s="88"/>
      <c r="U19" s="88"/>
      <c r="V19" s="88"/>
      <c r="W19" s="88"/>
      <c r="X19" s="88"/>
      <c r="Y19" s="88"/>
      <c r="Z19" s="88"/>
      <c r="AA19" s="88"/>
      <c r="AB19" s="88"/>
      <c r="AC19" s="88"/>
      <c r="AD19" s="88"/>
      <c r="AE19" s="88"/>
      <c r="AF19" s="88"/>
      <c r="AG19" s="88"/>
      <c r="AH19" s="88"/>
      <c r="AI19" s="88"/>
      <c r="AJ19" s="88"/>
      <c r="AK19" s="88"/>
      <c r="AL19" s="88"/>
      <c r="AM19" s="249"/>
    </row>
    <row r="20" spans="1:40" x14ac:dyDescent="0.25">
      <c r="A20" s="553"/>
      <c r="B20" s="554" t="s">
        <v>4105</v>
      </c>
      <c r="C20" s="554"/>
      <c r="D20" s="554"/>
      <c r="E20" s="293"/>
      <c r="F20" s="58" t="s">
        <v>3701</v>
      </c>
      <c r="G20" s="17" t="s">
        <v>3702</v>
      </c>
      <c r="H20" s="58" t="s">
        <v>3703</v>
      </c>
      <c r="I20" s="17" t="s">
        <v>3704</v>
      </c>
      <c r="J20" s="58" t="s">
        <v>3705</v>
      </c>
      <c r="K20" s="17" t="s">
        <v>3706</v>
      </c>
      <c r="L20" s="58" t="s">
        <v>3707</v>
      </c>
      <c r="M20" s="17" t="s">
        <v>3708</v>
      </c>
      <c r="N20" s="58" t="s">
        <v>3709</v>
      </c>
      <c r="O20" s="17" t="s">
        <v>3710</v>
      </c>
      <c r="P20" s="58" t="s">
        <v>3711</v>
      </c>
      <c r="Q20" s="17" t="s">
        <v>3712</v>
      </c>
      <c r="R20" s="58" t="s">
        <v>3713</v>
      </c>
      <c r="S20" s="17" t="s">
        <v>3714</v>
      </c>
      <c r="T20" s="58" t="s">
        <v>3715</v>
      </c>
      <c r="U20" s="17" t="s">
        <v>3716</v>
      </c>
      <c r="V20" s="58" t="s">
        <v>3717</v>
      </c>
      <c r="W20" s="17" t="s">
        <v>3718</v>
      </c>
      <c r="X20" s="58" t="s">
        <v>3719</v>
      </c>
      <c r="Y20" s="17" t="s">
        <v>3720</v>
      </c>
      <c r="Z20" s="58" t="s">
        <v>3721</v>
      </c>
      <c r="AA20" s="17" t="s">
        <v>3722</v>
      </c>
      <c r="AB20" s="58" t="s">
        <v>3723</v>
      </c>
      <c r="AC20" s="17" t="s">
        <v>3724</v>
      </c>
      <c r="AD20" s="58" t="s">
        <v>3725</v>
      </c>
      <c r="AE20" s="17" t="s">
        <v>3726</v>
      </c>
      <c r="AF20" s="58" t="s">
        <v>3727</v>
      </c>
      <c r="AG20" s="17" t="s">
        <v>3728</v>
      </c>
      <c r="AH20" s="58" t="s">
        <v>3729</v>
      </c>
      <c r="AI20" s="17" t="s">
        <v>3730</v>
      </c>
      <c r="AJ20" s="58" t="s">
        <v>3731</v>
      </c>
      <c r="AK20" s="17" t="s">
        <v>3732</v>
      </c>
      <c r="AL20" s="58" t="s">
        <v>3733</v>
      </c>
      <c r="AM20" s="17" t="s">
        <v>3734</v>
      </c>
      <c r="AN20" s="17" t="s">
        <v>3735</v>
      </c>
    </row>
    <row r="21" spans="1:40" x14ac:dyDescent="0.25">
      <c r="A21" s="553"/>
      <c r="B21" s="554"/>
      <c r="C21" s="554"/>
      <c r="D21" s="554"/>
      <c r="E21" s="549" t="s">
        <v>4113</v>
      </c>
      <c r="F21" s="36">
        <v>0</v>
      </c>
      <c r="G21">
        <v>0</v>
      </c>
      <c r="H21">
        <v>0</v>
      </c>
      <c r="I21">
        <v>0</v>
      </c>
      <c r="J21" s="36">
        <f ca="1">J3</f>
        <v>179147.13417883191</v>
      </c>
      <c r="K21" s="36">
        <f t="shared" ref="K21:AN21" ca="1" si="9">K3</f>
        <v>202897.53026960927</v>
      </c>
      <c r="L21" s="36">
        <f t="shared" ca="1" si="9"/>
        <v>196335.12058953726</v>
      </c>
      <c r="M21" s="36">
        <f t="shared" ca="1" si="9"/>
        <v>230039.25071361067</v>
      </c>
      <c r="N21" s="36">
        <f t="shared" ca="1" si="9"/>
        <v>252586.04216785281</v>
      </c>
      <c r="O21" s="36">
        <f t="shared" ca="1" si="9"/>
        <v>256186.15777280513</v>
      </c>
      <c r="P21" s="36">
        <f t="shared" ca="1" si="9"/>
        <v>216665.71010782741</v>
      </c>
      <c r="Q21" s="36">
        <f t="shared" ca="1" si="9"/>
        <v>266219.39109000971</v>
      </c>
      <c r="R21" s="36">
        <f t="shared" ca="1" si="9"/>
        <v>259511.02885616611</v>
      </c>
      <c r="S21" s="36">
        <f t="shared" ca="1" si="9"/>
        <v>265294.62617756944</v>
      </c>
      <c r="T21" s="36">
        <f t="shared" ca="1" si="9"/>
        <v>266432.82135505782</v>
      </c>
      <c r="U21" s="36">
        <f t="shared" ca="1" si="9"/>
        <v>281469.71496683004</v>
      </c>
      <c r="V21" s="36">
        <f t="shared" ca="1" si="9"/>
        <v>284147.37351364462</v>
      </c>
      <c r="W21" s="36">
        <f t="shared" ca="1" si="9"/>
        <v>330859.30142199952</v>
      </c>
      <c r="X21" s="36">
        <f t="shared" ca="1" si="9"/>
        <v>357842.03156426665</v>
      </c>
      <c r="Y21" s="36">
        <f t="shared" ca="1" si="9"/>
        <v>392977.99055686384</v>
      </c>
      <c r="Z21" s="36">
        <f t="shared" ca="1" si="9"/>
        <v>384240.34034374129</v>
      </c>
      <c r="AA21" s="36">
        <f t="shared" ca="1" si="9"/>
        <v>395865.51067129016</v>
      </c>
      <c r="AB21" s="36">
        <f t="shared" ca="1" si="9"/>
        <v>417183.82233465195</v>
      </c>
      <c r="AC21" s="36">
        <f t="shared" ca="1" si="9"/>
        <v>433012.26010702248</v>
      </c>
      <c r="AD21" s="36">
        <f t="shared" ca="1" si="9"/>
        <v>436085.89672202314</v>
      </c>
      <c r="AE21" s="36">
        <f t="shared" ca="1" si="9"/>
        <v>451730.68683470419</v>
      </c>
      <c r="AF21" s="36">
        <f t="shared" ca="1" si="9"/>
        <v>442377.32964535855</v>
      </c>
      <c r="AG21" s="36">
        <f t="shared" ca="1" si="9"/>
        <v>486352.66298783117</v>
      </c>
      <c r="AH21" s="36">
        <f t="shared" ca="1" si="9"/>
        <v>582162.52723797306</v>
      </c>
      <c r="AI21" s="36">
        <f t="shared" ca="1" si="9"/>
        <v>536938.38037663151</v>
      </c>
      <c r="AJ21" s="36">
        <f t="shared" ca="1" si="9"/>
        <v>555650.75963073201</v>
      </c>
      <c r="AK21" s="36">
        <f t="shared" ca="1" si="9"/>
        <v>687050.06344267412</v>
      </c>
      <c r="AL21" s="36">
        <f t="shared" ca="1" si="9"/>
        <v>581861.46304053394</v>
      </c>
      <c r="AM21" s="36">
        <f t="shared" ca="1" si="9"/>
        <v>673281.98736647889</v>
      </c>
      <c r="AN21" s="36">
        <f t="shared" ca="1" si="9"/>
        <v>648581.03929101583</v>
      </c>
    </row>
    <row r="22" spans="1:40" x14ac:dyDescent="0.25">
      <c r="A22" s="553"/>
      <c r="B22" s="554"/>
      <c r="C22" s="554"/>
      <c r="D22" s="554"/>
      <c r="E22" s="549"/>
      <c r="F22" s="36">
        <v>0</v>
      </c>
      <c r="G22">
        <v>0</v>
      </c>
      <c r="H22">
        <v>0</v>
      </c>
      <c r="I22">
        <v>0</v>
      </c>
      <c r="J22" s="36">
        <f ca="1">20%*J21</f>
        <v>35829.426835766382</v>
      </c>
      <c r="K22" s="36">
        <f t="shared" ref="K22:AN22" ca="1" si="10">20%*K21</f>
        <v>40579.506053921854</v>
      </c>
      <c r="L22" s="36">
        <f t="shared" ca="1" si="10"/>
        <v>39267.024117907451</v>
      </c>
      <c r="M22" s="36">
        <f t="shared" ca="1" si="10"/>
        <v>46007.850142722134</v>
      </c>
      <c r="N22" s="36">
        <f t="shared" ca="1" si="10"/>
        <v>50517.208433570566</v>
      </c>
      <c r="O22" s="36">
        <f t="shared" ca="1" si="10"/>
        <v>51237.231554561033</v>
      </c>
      <c r="P22" s="36">
        <f t="shared" ca="1" si="10"/>
        <v>43333.142021565487</v>
      </c>
      <c r="Q22" s="36">
        <f t="shared" ca="1" si="10"/>
        <v>53243.878218001948</v>
      </c>
      <c r="R22" s="36">
        <f t="shared" ca="1" si="10"/>
        <v>51902.205771233224</v>
      </c>
      <c r="S22" s="36">
        <f t="shared" ca="1" si="10"/>
        <v>53058.925235513889</v>
      </c>
      <c r="T22" s="36">
        <f t="shared" ca="1" si="10"/>
        <v>53286.564271011564</v>
      </c>
      <c r="U22" s="36">
        <f t="shared" ca="1" si="10"/>
        <v>56293.942993366014</v>
      </c>
      <c r="V22" s="36">
        <f t="shared" ca="1" si="10"/>
        <v>56829.474702728927</v>
      </c>
      <c r="W22" s="36">
        <f t="shared" ca="1" si="10"/>
        <v>66171.860284399911</v>
      </c>
      <c r="X22" s="36">
        <f t="shared" ca="1" si="10"/>
        <v>71568.406312853331</v>
      </c>
      <c r="Y22" s="36">
        <f t="shared" ca="1" si="10"/>
        <v>78595.598111372776</v>
      </c>
      <c r="Z22" s="36">
        <f t="shared" ca="1" si="10"/>
        <v>76848.068068748267</v>
      </c>
      <c r="AA22" s="36">
        <f t="shared" ca="1" si="10"/>
        <v>79173.102134258035</v>
      </c>
      <c r="AB22" s="36">
        <f t="shared" ca="1" si="10"/>
        <v>83436.764466930399</v>
      </c>
      <c r="AC22" s="36">
        <f t="shared" ca="1" si="10"/>
        <v>86602.452021404504</v>
      </c>
      <c r="AD22" s="36">
        <f t="shared" ca="1" si="10"/>
        <v>87217.179344404634</v>
      </c>
      <c r="AE22" s="36">
        <f t="shared" ca="1" si="10"/>
        <v>90346.137366940849</v>
      </c>
      <c r="AF22" s="36">
        <f t="shared" ca="1" si="10"/>
        <v>88475.46592907171</v>
      </c>
      <c r="AG22" s="36">
        <f t="shared" ca="1" si="10"/>
        <v>97270.532597566242</v>
      </c>
      <c r="AH22" s="36">
        <f t="shared" ca="1" si="10"/>
        <v>116432.50544759462</v>
      </c>
      <c r="AI22" s="36">
        <f t="shared" ca="1" si="10"/>
        <v>107387.67607532631</v>
      </c>
      <c r="AJ22" s="36">
        <f t="shared" ca="1" si="10"/>
        <v>111130.15192614641</v>
      </c>
      <c r="AK22" s="36">
        <f t="shared" ca="1" si="10"/>
        <v>137410.01268853483</v>
      </c>
      <c r="AL22" s="36">
        <f t="shared" ca="1" si="10"/>
        <v>116372.2926081068</v>
      </c>
      <c r="AM22" s="36">
        <f t="shared" ca="1" si="10"/>
        <v>134656.39747329577</v>
      </c>
      <c r="AN22" s="36">
        <f t="shared" ca="1" si="10"/>
        <v>129716.20785820317</v>
      </c>
    </row>
    <row r="23" spans="1:40" x14ac:dyDescent="0.25">
      <c r="A23" s="553"/>
      <c r="B23" s="398" t="s">
        <v>4097</v>
      </c>
      <c r="C23" s="398"/>
      <c r="D23" s="399">
        <v>0.8</v>
      </c>
      <c r="E23" s="298" t="s">
        <v>4114</v>
      </c>
      <c r="F23" s="36">
        <v>0</v>
      </c>
      <c r="G23">
        <v>0</v>
      </c>
      <c r="H23">
        <v>0</v>
      </c>
      <c r="I23">
        <v>0</v>
      </c>
      <c r="J23" s="36">
        <f ca="1">J1*J22</f>
        <v>1830.8837113076595</v>
      </c>
      <c r="K23" s="36">
        <f ca="1">K1*K22</f>
        <v>4253.1871307138672</v>
      </c>
      <c r="L23" s="36">
        <f t="shared" ref="L23:AN23" ca="1" si="11">L1*L22</f>
        <v>6332.4776456089648</v>
      </c>
      <c r="M23" s="36">
        <f t="shared" ca="1" si="11"/>
        <v>10149.691050908621</v>
      </c>
      <c r="N23" s="36">
        <f t="shared" ca="1" si="11"/>
        <v>14295.403532865683</v>
      </c>
      <c r="O23" s="36">
        <f t="shared" ca="1" si="11"/>
        <v>17858.285720643751</v>
      </c>
      <c r="P23" s="36">
        <f t="shared" ca="1" si="11"/>
        <v>18089.491467036471</v>
      </c>
      <c r="Q23" s="36">
        <f t="shared" ca="1" si="11"/>
        <v>26083.293432491144</v>
      </c>
      <c r="R23" s="36">
        <f t="shared" ca="1" si="11"/>
        <v>29377.503203989556</v>
      </c>
      <c r="S23" s="36">
        <f t="shared" ca="1" si="11"/>
        <v>34278.183270941183</v>
      </c>
      <c r="T23" s="36">
        <f t="shared" ca="1" si="11"/>
        <v>38907.320737674636</v>
      </c>
      <c r="U23" s="36">
        <f t="shared" ca="1" si="11"/>
        <v>46080.15824648631</v>
      </c>
      <c r="V23" s="36">
        <f t="shared" ca="1" si="11"/>
        <v>51799.607651885468</v>
      </c>
      <c r="W23" s="36">
        <f t="shared" ca="1" si="11"/>
        <v>66171.860284399911</v>
      </c>
      <c r="X23" s="36">
        <f t="shared" ca="1" si="11"/>
        <v>71568.406312853331</v>
      </c>
      <c r="Y23" s="36">
        <f t="shared" ca="1" si="11"/>
        <v>78595.598111372776</v>
      </c>
      <c r="Z23" s="36">
        <f t="shared" ca="1" si="11"/>
        <v>76848.068068748267</v>
      </c>
      <c r="AA23" s="36">
        <f t="shared" ca="1" si="11"/>
        <v>79173.102134258035</v>
      </c>
      <c r="AB23" s="36">
        <f t="shared" ca="1" si="11"/>
        <v>83436.764466930399</v>
      </c>
      <c r="AC23" s="36">
        <f t="shared" ca="1" si="11"/>
        <v>86602.452021404504</v>
      </c>
      <c r="AD23" s="36">
        <f t="shared" ca="1" si="11"/>
        <v>87217.179344404634</v>
      </c>
      <c r="AE23" s="36">
        <f t="shared" ca="1" si="11"/>
        <v>90346.137366940849</v>
      </c>
      <c r="AF23" s="36">
        <f t="shared" ca="1" si="11"/>
        <v>88475.46592907171</v>
      </c>
      <c r="AG23" s="36">
        <f t="shared" ca="1" si="11"/>
        <v>97270.532597566242</v>
      </c>
      <c r="AH23" s="36">
        <f t="shared" ca="1" si="11"/>
        <v>116432.50544759462</v>
      </c>
      <c r="AI23" s="36">
        <f t="shared" ca="1" si="11"/>
        <v>107387.67607532631</v>
      </c>
      <c r="AJ23" s="36">
        <f t="shared" ca="1" si="11"/>
        <v>111130.15192614641</v>
      </c>
      <c r="AK23" s="36">
        <f t="shared" ca="1" si="11"/>
        <v>137410.01268853483</v>
      </c>
      <c r="AL23" s="36">
        <f t="shared" ca="1" si="11"/>
        <v>116372.2926081068</v>
      </c>
      <c r="AM23" s="36">
        <f t="shared" ca="1" si="11"/>
        <v>134656.39747329577</v>
      </c>
      <c r="AN23" s="36">
        <f t="shared" ca="1" si="11"/>
        <v>129716.20785820317</v>
      </c>
    </row>
    <row r="24" spans="1:40" x14ac:dyDescent="0.25">
      <c r="A24" s="553"/>
      <c r="B24" s="551" t="s">
        <v>4109</v>
      </c>
      <c r="C24" s="551"/>
      <c r="D24" s="400">
        <f>55.25*D23</f>
        <v>44.2</v>
      </c>
      <c r="E24" s="404" t="s">
        <v>4115</v>
      </c>
      <c r="F24" s="405">
        <f t="shared" ref="F24:AN24" si="12">F23*$D24</f>
        <v>0</v>
      </c>
      <c r="G24" s="405">
        <f t="shared" si="12"/>
        <v>0</v>
      </c>
      <c r="H24" s="405">
        <f t="shared" si="12"/>
        <v>0</v>
      </c>
      <c r="I24" s="405">
        <f t="shared" si="12"/>
        <v>0</v>
      </c>
      <c r="J24" s="405">
        <f ca="1">J23*$D24</f>
        <v>80925.060039798554</v>
      </c>
      <c r="K24" s="405">
        <f t="shared" ca="1" si="12"/>
        <v>187990.87117755294</v>
      </c>
      <c r="L24" s="405">
        <f t="shared" ca="1" si="12"/>
        <v>279895.51193591626</v>
      </c>
      <c r="M24" s="405">
        <f t="shared" ca="1" si="12"/>
        <v>448616.34445016109</v>
      </c>
      <c r="N24" s="405">
        <f t="shared" ca="1" si="12"/>
        <v>631856.83615266322</v>
      </c>
      <c r="O24" s="405">
        <f t="shared" ca="1" si="12"/>
        <v>789336.22885245387</v>
      </c>
      <c r="P24" s="405">
        <f t="shared" ca="1" si="12"/>
        <v>799555.522843012</v>
      </c>
      <c r="Q24" s="405">
        <f t="shared" ca="1" si="12"/>
        <v>1152881.5697161087</v>
      </c>
      <c r="R24" s="405">
        <f t="shared" ca="1" si="12"/>
        <v>1298485.6416163384</v>
      </c>
      <c r="S24" s="405">
        <f t="shared" ca="1" si="12"/>
        <v>1515095.7005756004</v>
      </c>
      <c r="T24" s="405">
        <f t="shared" ca="1" si="12"/>
        <v>1719703.5766052189</v>
      </c>
      <c r="U24" s="405">
        <f t="shared" ca="1" si="12"/>
        <v>2036742.994494695</v>
      </c>
      <c r="V24" s="405">
        <f t="shared" ca="1" si="12"/>
        <v>2289542.6582133379</v>
      </c>
      <c r="W24" s="405">
        <f t="shared" ca="1" si="12"/>
        <v>2924796.2245704765</v>
      </c>
      <c r="X24" s="405">
        <f t="shared" ca="1" si="12"/>
        <v>3163323.5590281175</v>
      </c>
      <c r="Y24" s="405">
        <f t="shared" ca="1" si="12"/>
        <v>3473925.4365226771</v>
      </c>
      <c r="Z24" s="405">
        <f t="shared" ca="1" si="12"/>
        <v>3396684.6086386736</v>
      </c>
      <c r="AA24" s="405">
        <f t="shared" ca="1" si="12"/>
        <v>3499451.1143342052</v>
      </c>
      <c r="AB24" s="405">
        <f t="shared" ca="1" si="12"/>
        <v>3687904.9894383238</v>
      </c>
      <c r="AC24" s="405">
        <f t="shared" ca="1" si="12"/>
        <v>3827828.3793460792</v>
      </c>
      <c r="AD24" s="405">
        <f t="shared" ca="1" si="12"/>
        <v>3854999.3270226852</v>
      </c>
      <c r="AE24" s="405">
        <f t="shared" ca="1" si="12"/>
        <v>3993299.2716187858</v>
      </c>
      <c r="AF24" s="405">
        <f t="shared" ca="1" si="12"/>
        <v>3910615.59406497</v>
      </c>
      <c r="AG24" s="405">
        <f t="shared" ca="1" si="12"/>
        <v>4299357.5408124281</v>
      </c>
      <c r="AH24" s="405">
        <f t="shared" ca="1" si="12"/>
        <v>5146316.740783683</v>
      </c>
      <c r="AI24" s="405">
        <f t="shared" ca="1" si="12"/>
        <v>4746535.282529423</v>
      </c>
      <c r="AJ24" s="405">
        <f t="shared" ca="1" si="12"/>
        <v>4911952.7151356721</v>
      </c>
      <c r="AK24" s="405">
        <f t="shared" ca="1" si="12"/>
        <v>6073522.5608332399</v>
      </c>
      <c r="AL24" s="405">
        <f t="shared" ca="1" si="12"/>
        <v>5143655.3332783207</v>
      </c>
      <c r="AM24" s="405">
        <f t="shared" ca="1" si="12"/>
        <v>5951812.7683196738</v>
      </c>
      <c r="AN24" s="405">
        <f t="shared" ca="1" si="12"/>
        <v>5733456.3873325801</v>
      </c>
    </row>
    <row r="25" spans="1:40" x14ac:dyDescent="0.25">
      <c r="A25" s="553"/>
      <c r="B25" s="398" t="s">
        <v>4099</v>
      </c>
      <c r="C25" s="398"/>
      <c r="D25" s="401"/>
      <c r="E25" s="308"/>
      <c r="F25" s="46"/>
    </row>
    <row r="26" spans="1:40" x14ac:dyDescent="0.25">
      <c r="A26" s="553"/>
      <c r="B26" s="551" t="s">
        <v>4100</v>
      </c>
      <c r="C26" s="551"/>
      <c r="D26" s="402">
        <v>10</v>
      </c>
      <c r="E26" s="309"/>
      <c r="F26" s="46"/>
    </row>
    <row r="27" spans="1:40" x14ac:dyDescent="0.25">
      <c r="A27" s="553"/>
      <c r="B27" s="551" t="s">
        <v>4110</v>
      </c>
      <c r="C27" s="551"/>
      <c r="D27" s="400">
        <f>342.52*D23</f>
        <v>274.01600000000002</v>
      </c>
      <c r="E27" s="404" t="s">
        <v>4117</v>
      </c>
      <c r="F27" s="405">
        <f t="shared" ref="F27:AM27" si="13">F23*$D27</f>
        <v>0</v>
      </c>
      <c r="G27" s="405">
        <f t="shared" si="13"/>
        <v>0</v>
      </c>
      <c r="H27" s="405">
        <f t="shared" si="13"/>
        <v>0</v>
      </c>
      <c r="I27" s="405">
        <f t="shared" si="13"/>
        <v>0</v>
      </c>
      <c r="J27" s="405">
        <f t="shared" ca="1" si="13"/>
        <v>501691.43103767966</v>
      </c>
      <c r="K27" s="405">
        <f t="shared" ca="1" si="13"/>
        <v>1165441.3248096912</v>
      </c>
      <c r="L27" s="405">
        <f t="shared" ca="1" si="13"/>
        <v>1735200.1945391863</v>
      </c>
      <c r="M27" s="405">
        <f t="shared" ca="1" si="13"/>
        <v>2781177.7430057768</v>
      </c>
      <c r="N27" s="405">
        <f t="shared" ca="1" si="13"/>
        <v>3917169.2944617234</v>
      </c>
      <c r="O27" s="405">
        <f t="shared" ca="1" si="13"/>
        <v>4893456.0200279187</v>
      </c>
      <c r="P27" s="405">
        <f t="shared" ca="1" si="13"/>
        <v>4956810.0938314656</v>
      </c>
      <c r="Q27" s="405">
        <f t="shared" ca="1" si="13"/>
        <v>7147239.7331974935</v>
      </c>
      <c r="R27" s="405">
        <f t="shared" ca="1" si="13"/>
        <v>8049905.9179444024</v>
      </c>
      <c r="S27" s="405">
        <f t="shared" ca="1" si="13"/>
        <v>9392770.6671702191</v>
      </c>
      <c r="T27" s="405">
        <f t="shared" ca="1" si="13"/>
        <v>10661228.399254654</v>
      </c>
      <c r="U27" s="405">
        <f t="shared" ca="1" si="13"/>
        <v>12626700.642069193</v>
      </c>
      <c r="V27" s="405">
        <f t="shared" ca="1" si="13"/>
        <v>14193921.290339049</v>
      </c>
      <c r="W27" s="405">
        <f t="shared" ca="1" si="13"/>
        <v>18132148.467690129</v>
      </c>
      <c r="X27" s="405">
        <f t="shared" ca="1" si="13"/>
        <v>19610888.42422282</v>
      </c>
      <c r="Y27" s="405">
        <f t="shared" ca="1" si="13"/>
        <v>21536451.412085924</v>
      </c>
      <c r="Z27" s="405">
        <f t="shared" ca="1" si="13"/>
        <v>21057600.219926126</v>
      </c>
      <c r="AA27" s="405">
        <f t="shared" ca="1" si="13"/>
        <v>21694696.75442085</v>
      </c>
      <c r="AB27" s="405">
        <f t="shared" ca="1" si="13"/>
        <v>22863008.452170402</v>
      </c>
      <c r="AC27" s="405">
        <f t="shared" ca="1" si="13"/>
        <v>23730457.493097179</v>
      </c>
      <c r="AD27" s="405">
        <f t="shared" ca="1" si="13"/>
        <v>23898902.615236383</v>
      </c>
      <c r="AE27" s="405">
        <f t="shared" ca="1" si="13"/>
        <v>24756287.176739667</v>
      </c>
      <c r="AF27" s="405">
        <f ca="1">AF23*$D27</f>
        <v>24243693.272020515</v>
      </c>
      <c r="AG27" s="405">
        <f t="shared" ca="1" si="13"/>
        <v>26653682.260254715</v>
      </c>
      <c r="AH27" s="405">
        <f t="shared" ca="1" si="13"/>
        <v>31904369.41272809</v>
      </c>
      <c r="AI27" s="405">
        <f t="shared" ca="1" si="13"/>
        <v>29425941.447456617</v>
      </c>
      <c r="AJ27" s="405">
        <f t="shared" ca="1" si="13"/>
        <v>30451439.710194938</v>
      </c>
      <c r="AK27" s="405">
        <f t="shared" ca="1" si="13"/>
        <v>37652542.036861561</v>
      </c>
      <c r="AL27" s="405">
        <f t="shared" ca="1" si="13"/>
        <v>31887870.131302994</v>
      </c>
      <c r="AM27" s="405">
        <f t="shared" ca="1" si="13"/>
        <v>36898007.410042614</v>
      </c>
      <c r="AN27" s="405">
        <f ca="1">AN23*$D27</f>
        <v>35544316.412473403</v>
      </c>
    </row>
    <row r="28" spans="1:40" x14ac:dyDescent="0.25">
      <c r="A28" s="553"/>
      <c r="B28" s="551" t="s">
        <v>4111</v>
      </c>
      <c r="C28" s="551"/>
      <c r="D28" s="400">
        <f>6.25*D23</f>
        <v>5</v>
      </c>
      <c r="E28" s="404" t="s">
        <v>4118</v>
      </c>
      <c r="F28" s="405">
        <f t="shared" ref="F28:AN28" si="14">F23*$D28*$D26</f>
        <v>0</v>
      </c>
      <c r="G28" s="405">
        <f t="shared" si="14"/>
        <v>0</v>
      </c>
      <c r="H28" s="405">
        <f t="shared" si="14"/>
        <v>0</v>
      </c>
      <c r="I28" s="405">
        <f t="shared" si="14"/>
        <v>0</v>
      </c>
      <c r="J28" s="405">
        <f t="shared" ca="1" si="14"/>
        <v>91544.18556538297</v>
      </c>
      <c r="K28" s="405">
        <f t="shared" ca="1" si="14"/>
        <v>212659.35653569337</v>
      </c>
      <c r="L28" s="405">
        <f t="shared" ca="1" si="14"/>
        <v>316623.88228044822</v>
      </c>
      <c r="M28" s="405">
        <f t="shared" ca="1" si="14"/>
        <v>507484.55254543107</v>
      </c>
      <c r="N28" s="405">
        <f t="shared" ca="1" si="14"/>
        <v>714770.17664328427</v>
      </c>
      <c r="O28" s="405">
        <f ca="1">O23*$D28*$D26</f>
        <v>892914.28603218752</v>
      </c>
      <c r="P28" s="405">
        <f t="shared" ca="1" si="14"/>
        <v>904474.57335182349</v>
      </c>
      <c r="Q28" s="405">
        <f t="shared" ca="1" si="14"/>
        <v>1304164.6716245571</v>
      </c>
      <c r="R28" s="405">
        <f t="shared" ca="1" si="14"/>
        <v>1468875.1601994778</v>
      </c>
      <c r="S28" s="405">
        <f t="shared" ca="1" si="14"/>
        <v>1713909.1635470593</v>
      </c>
      <c r="T28" s="405">
        <f t="shared" ca="1" si="14"/>
        <v>1945366.0368837318</v>
      </c>
      <c r="U28" s="405">
        <f t="shared" ca="1" si="14"/>
        <v>2304007.9123243154</v>
      </c>
      <c r="V28" s="405">
        <f t="shared" ca="1" si="14"/>
        <v>2589980.3825942734</v>
      </c>
      <c r="W28" s="405">
        <f t="shared" ca="1" si="14"/>
        <v>3308593.0142199956</v>
      </c>
      <c r="X28" s="405">
        <f t="shared" ca="1" si="14"/>
        <v>3578420.3156426665</v>
      </c>
      <c r="Y28" s="405">
        <f t="shared" ca="1" si="14"/>
        <v>3929779.9055686388</v>
      </c>
      <c r="Z28" s="405">
        <f t="shared" ca="1" si="14"/>
        <v>3842403.4034374133</v>
      </c>
      <c r="AA28" s="405">
        <f t="shared" ca="1" si="14"/>
        <v>3958655.1067129015</v>
      </c>
      <c r="AB28" s="405">
        <f t="shared" ca="1" si="14"/>
        <v>4171838.2233465202</v>
      </c>
      <c r="AC28" s="405">
        <f t="shared" ca="1" si="14"/>
        <v>4330122.6010702252</v>
      </c>
      <c r="AD28" s="405">
        <f t="shared" ca="1" si="14"/>
        <v>4360858.9672202319</v>
      </c>
      <c r="AE28" s="405">
        <f t="shared" ca="1" si="14"/>
        <v>4517306.8683470422</v>
      </c>
      <c r="AF28" s="405">
        <f t="shared" ca="1" si="14"/>
        <v>4423773.2964535858</v>
      </c>
      <c r="AG28" s="405">
        <f t="shared" ca="1" si="14"/>
        <v>4863526.6298783123</v>
      </c>
      <c r="AH28" s="405">
        <f t="shared" ca="1" si="14"/>
        <v>5821625.2723797318</v>
      </c>
      <c r="AI28" s="405">
        <f t="shared" ca="1" si="14"/>
        <v>5369383.8037663149</v>
      </c>
      <c r="AJ28" s="405">
        <f t="shared" ca="1" si="14"/>
        <v>5556507.5963073205</v>
      </c>
      <c r="AK28" s="405">
        <f t="shared" ca="1" si="14"/>
        <v>6870500.6344267409</v>
      </c>
      <c r="AL28" s="405">
        <f t="shared" ca="1" si="14"/>
        <v>5818614.6304053394</v>
      </c>
      <c r="AM28" s="405">
        <f t="shared" ca="1" si="14"/>
        <v>6732819.8736647889</v>
      </c>
      <c r="AN28" s="405">
        <f t="shared" ca="1" si="14"/>
        <v>6485810.3929101583</v>
      </c>
    </row>
    <row r="29" spans="1:40" x14ac:dyDescent="0.25">
      <c r="A29" s="553"/>
      <c r="B29" s="552" t="s">
        <v>3262</v>
      </c>
      <c r="C29" s="552"/>
      <c r="D29" s="552"/>
      <c r="E29" s="18"/>
    </row>
    <row r="30" spans="1:40" x14ac:dyDescent="0.25">
      <c r="B30" s="493" t="s">
        <v>3262</v>
      </c>
      <c r="C30" s="493"/>
      <c r="D30" s="493"/>
      <c r="E30" s="297"/>
      <c r="F30" s="88">
        <f t="shared" ref="F30:AN30" si="15">SUM(F24,F27:F28)</f>
        <v>0</v>
      </c>
      <c r="G30" s="88">
        <f t="shared" si="15"/>
        <v>0</v>
      </c>
      <c r="H30" s="88">
        <f t="shared" si="15"/>
        <v>0</v>
      </c>
      <c r="I30" s="88">
        <f t="shared" si="15"/>
        <v>0</v>
      </c>
      <c r="J30" s="88">
        <f ca="1">SUM(J24,J27:J28)</f>
        <v>674160.67664286122</v>
      </c>
      <c r="K30" s="88">
        <f t="shared" ca="1" si="15"/>
        <v>1566091.5525229375</v>
      </c>
      <c r="L30" s="88">
        <f t="shared" ca="1" si="15"/>
        <v>2331719.5887555508</v>
      </c>
      <c r="M30" s="88">
        <f t="shared" ca="1" si="15"/>
        <v>3737278.6400013687</v>
      </c>
      <c r="N30" s="88">
        <f t="shared" ca="1" si="15"/>
        <v>5263796.3072576709</v>
      </c>
      <c r="O30" s="88">
        <f t="shared" ca="1" si="15"/>
        <v>6575706.5349125601</v>
      </c>
      <c r="P30" s="88">
        <f t="shared" ca="1" si="15"/>
        <v>6660840.190026301</v>
      </c>
      <c r="Q30" s="88">
        <f t="shared" ca="1" si="15"/>
        <v>9604285.9745381586</v>
      </c>
      <c r="R30" s="88">
        <f t="shared" ca="1" si="15"/>
        <v>10817266.719760219</v>
      </c>
      <c r="S30" s="88">
        <f t="shared" ca="1" si="15"/>
        <v>12621775.53129288</v>
      </c>
      <c r="T30" s="88">
        <f t="shared" ca="1" si="15"/>
        <v>14326298.012743605</v>
      </c>
      <c r="U30" s="88">
        <f t="shared" ca="1" si="15"/>
        <v>16967451.548888203</v>
      </c>
      <c r="V30" s="88">
        <f t="shared" ca="1" si="15"/>
        <v>19073444.331146661</v>
      </c>
      <c r="W30" s="88">
        <f t="shared" ca="1" si="15"/>
        <v>24365537.7064806</v>
      </c>
      <c r="X30" s="88">
        <f t="shared" ca="1" si="15"/>
        <v>26352632.298893604</v>
      </c>
      <c r="Y30" s="88">
        <f t="shared" ca="1" si="15"/>
        <v>28940156.754177243</v>
      </c>
      <c r="Z30" s="88">
        <f t="shared" ca="1" si="15"/>
        <v>28296688.232002214</v>
      </c>
      <c r="AA30" s="88">
        <f t="shared" ca="1" si="15"/>
        <v>29152802.975467958</v>
      </c>
      <c r="AB30" s="88">
        <f t="shared" ca="1" si="15"/>
        <v>30722751.664955247</v>
      </c>
      <c r="AC30" s="88">
        <f t="shared" ca="1" si="15"/>
        <v>31888408.473513484</v>
      </c>
      <c r="AD30" s="88">
        <f t="shared" ca="1" si="15"/>
        <v>32114760.909479301</v>
      </c>
      <c r="AE30" s="88">
        <f t="shared" ca="1" si="15"/>
        <v>33266893.316705495</v>
      </c>
      <c r="AF30" s="88">
        <f t="shared" ca="1" si="15"/>
        <v>32578082.162539072</v>
      </c>
      <c r="AG30" s="88">
        <f t="shared" ca="1" si="15"/>
        <v>35816566.430945456</v>
      </c>
      <c r="AH30" s="88">
        <f t="shared" ca="1" si="15"/>
        <v>42872311.425891504</v>
      </c>
      <c r="AI30" s="88">
        <f t="shared" ca="1" si="15"/>
        <v>39541860.533752359</v>
      </c>
      <c r="AJ30" s="88">
        <f t="shared" ca="1" si="15"/>
        <v>40919900.021637931</v>
      </c>
      <c r="AK30" s="88">
        <f t="shared" ca="1" si="15"/>
        <v>50596565.232121542</v>
      </c>
      <c r="AL30" s="88">
        <f t="shared" ca="1" si="15"/>
        <v>42850140.094986647</v>
      </c>
      <c r="AM30" s="88">
        <f t="shared" ca="1" si="15"/>
        <v>49582640.052027076</v>
      </c>
      <c r="AN30" s="88">
        <f t="shared" ca="1" si="15"/>
        <v>47763583.192716144</v>
      </c>
    </row>
    <row r="31" spans="1:40" x14ac:dyDescent="0.25">
      <c r="B31" s="17"/>
      <c r="C31" s="17"/>
      <c r="D31" s="17"/>
      <c r="E31" s="297"/>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8"/>
      <c r="AM31" s="88"/>
      <c r="AN31" s="88"/>
    </row>
    <row r="32" spans="1:40" ht="15" customHeight="1" x14ac:dyDescent="0.25">
      <c r="A32" s="553" t="s">
        <v>4121</v>
      </c>
      <c r="B32" s="554" t="s">
        <v>4112</v>
      </c>
      <c r="C32" s="554"/>
      <c r="D32" s="554"/>
      <c r="E32" s="293"/>
      <c r="F32" s="58" t="s">
        <v>3701</v>
      </c>
      <c r="G32" s="17" t="s">
        <v>3702</v>
      </c>
      <c r="H32" s="58" t="s">
        <v>3703</v>
      </c>
      <c r="I32" s="17" t="s">
        <v>3704</v>
      </c>
      <c r="J32" s="58" t="s">
        <v>3705</v>
      </c>
      <c r="K32" s="17" t="s">
        <v>3706</v>
      </c>
      <c r="L32" s="58" t="s">
        <v>3707</v>
      </c>
      <c r="M32" s="17" t="s">
        <v>3708</v>
      </c>
      <c r="N32" s="58" t="s">
        <v>3709</v>
      </c>
      <c r="O32" s="17" t="s">
        <v>3710</v>
      </c>
      <c r="P32" s="58" t="s">
        <v>3711</v>
      </c>
      <c r="Q32" s="17" t="s">
        <v>3712</v>
      </c>
      <c r="R32" s="58" t="s">
        <v>3713</v>
      </c>
      <c r="S32" s="17" t="s">
        <v>3714</v>
      </c>
      <c r="T32" s="58" t="s">
        <v>3715</v>
      </c>
      <c r="U32" s="17" t="s">
        <v>3716</v>
      </c>
      <c r="V32" s="58" t="s">
        <v>3717</v>
      </c>
      <c r="W32" s="17" t="s">
        <v>3718</v>
      </c>
      <c r="X32" s="58" t="s">
        <v>3719</v>
      </c>
      <c r="Y32" s="17" t="s">
        <v>3720</v>
      </c>
      <c r="Z32" s="58" t="s">
        <v>3721</v>
      </c>
      <c r="AA32" s="17" t="s">
        <v>3722</v>
      </c>
      <c r="AB32" s="58" t="s">
        <v>3723</v>
      </c>
      <c r="AC32" s="17" t="s">
        <v>3724</v>
      </c>
      <c r="AD32" s="58" t="s">
        <v>3725</v>
      </c>
      <c r="AE32" s="17" t="s">
        <v>3726</v>
      </c>
      <c r="AF32" s="58" t="s">
        <v>3727</v>
      </c>
      <c r="AG32" s="17" t="s">
        <v>3728</v>
      </c>
      <c r="AH32" s="58" t="s">
        <v>3729</v>
      </c>
      <c r="AI32" s="17" t="s">
        <v>3730</v>
      </c>
      <c r="AJ32" s="58" t="s">
        <v>3731</v>
      </c>
      <c r="AK32" s="17" t="s">
        <v>3732</v>
      </c>
      <c r="AL32" s="58" t="s">
        <v>3733</v>
      </c>
      <c r="AM32" s="17" t="s">
        <v>3734</v>
      </c>
      <c r="AN32" s="17" t="s">
        <v>3735</v>
      </c>
    </row>
    <row r="33" spans="1:45" x14ac:dyDescent="0.25">
      <c r="A33" s="553"/>
      <c r="B33" s="554"/>
      <c r="C33" s="554"/>
      <c r="D33" s="554"/>
      <c r="E33" s="311" t="s">
        <v>4113</v>
      </c>
      <c r="F33" s="36">
        <v>0</v>
      </c>
      <c r="G33" s="36">
        <v>0</v>
      </c>
      <c r="H33" s="36">
        <v>0</v>
      </c>
      <c r="I33" s="36">
        <v>0</v>
      </c>
      <c r="J33" s="36">
        <f ca="1">Import_Frios!F19</f>
        <v>66964.937169357174</v>
      </c>
      <c r="K33" s="36">
        <f ca="1">Import_Frios!G19</f>
        <v>62156.358266060182</v>
      </c>
      <c r="L33" s="36">
        <f ca="1">Import_Frios!H19</f>
        <v>65403.497747093352</v>
      </c>
      <c r="M33" s="36">
        <f ca="1">Import_Frios!I19</f>
        <v>54991.394195327601</v>
      </c>
      <c r="N33" s="36">
        <f ca="1">Import_Frios!J19</f>
        <v>28608.415802039963</v>
      </c>
      <c r="O33" s="36">
        <f ca="1">Import_Frios!K19</f>
        <v>64840.530325793785</v>
      </c>
      <c r="P33" s="36">
        <f ca="1">Import_Frios!L19</f>
        <v>37437.688894378916</v>
      </c>
      <c r="Q33" s="36">
        <f ca="1">Import_Frios!M19</f>
        <v>58468.624560340548</v>
      </c>
      <c r="R33" s="36">
        <f ca="1">Import_Frios!N19</f>
        <v>82165.924690917527</v>
      </c>
      <c r="S33" s="36">
        <f ca="1">Import_Frios!O19</f>
        <v>88541.247614638982</v>
      </c>
      <c r="T33" s="36">
        <f ca="1">Import_Frios!P19</f>
        <v>77575.909049373062</v>
      </c>
      <c r="U33" s="36">
        <f ca="1">Import_Frios!Q19</f>
        <v>115088.39291505613</v>
      </c>
      <c r="V33" s="36">
        <f ca="1">Import_Frios!R19</f>
        <v>102792.62048193037</v>
      </c>
      <c r="W33" s="36">
        <f ca="1">Import_Frios!S19</f>
        <v>80631.123219136338</v>
      </c>
      <c r="X33" s="36">
        <f ca="1">Import_Frios!T19</f>
        <v>105777.1604351274</v>
      </c>
      <c r="Y33" s="36">
        <f ca="1">Import_Frios!U19</f>
        <v>146974.36809478907</v>
      </c>
      <c r="Z33" s="36">
        <f ca="1">Import_Frios!V19</f>
        <v>98589.17524420991</v>
      </c>
      <c r="AA33" s="36">
        <f ca="1">Import_Frios!W19</f>
        <v>113895.71199296028</v>
      </c>
      <c r="AB33" s="36">
        <f ca="1">Import_Frios!X19</f>
        <v>125220.48920674712</v>
      </c>
      <c r="AC33" s="36">
        <f ca="1">Import_Frios!Y19</f>
        <v>167732.27430345863</v>
      </c>
      <c r="AD33" s="36">
        <f ca="1">Import_Frios!Z19</f>
        <v>214583.01466843369</v>
      </c>
      <c r="AE33" s="36">
        <f ca="1">Import_Frios!AA19</f>
        <v>219905.10830385293</v>
      </c>
      <c r="AF33" s="36">
        <f ca="1">Import_Frios!AB19</f>
        <v>105088.09424819078</v>
      </c>
      <c r="AG33" s="36">
        <f ca="1">Import_Frios!AC19</f>
        <v>223201.7806698246</v>
      </c>
      <c r="AH33" s="36">
        <f ca="1">Import_Frios!AD19</f>
        <v>180592.29837130624</v>
      </c>
      <c r="AI33" s="36">
        <f ca="1">Import_Frios!AE19</f>
        <v>285421.41591574397</v>
      </c>
      <c r="AJ33" s="36">
        <f ca="1">Import_Frios!AF19</f>
        <v>159968.3979695662</v>
      </c>
      <c r="AK33" s="36">
        <f ca="1">Import_Frios!AG19</f>
        <v>131617.28990465309</v>
      </c>
      <c r="AL33" s="36">
        <f ca="1">Import_Frios!AH19</f>
        <v>170624.77492883612</v>
      </c>
      <c r="AM33" s="36">
        <f ca="1">Import_Frios!AI19</f>
        <v>285726.78105641692</v>
      </c>
      <c r="AN33" s="36">
        <f ca="1">Import_Frios!AJ19</f>
        <v>224738.46720340525</v>
      </c>
    </row>
    <row r="34" spans="1:45" x14ac:dyDescent="0.25">
      <c r="A34" s="553"/>
      <c r="B34" s="554"/>
      <c r="C34" s="554"/>
      <c r="D34" s="554"/>
      <c r="E34" s="311" t="s">
        <v>4114</v>
      </c>
      <c r="F34" s="36">
        <v>0</v>
      </c>
      <c r="G34" s="36">
        <v>0</v>
      </c>
      <c r="H34" s="36">
        <v>0</v>
      </c>
      <c r="I34" s="36">
        <f>I33*J1</f>
        <v>0</v>
      </c>
      <c r="J34" s="36">
        <f ca="1">J33*J1</f>
        <v>3421.9082893541463</v>
      </c>
      <c r="K34" s="36">
        <f ca="1">K33*K1</f>
        <v>6514.6831190592584</v>
      </c>
      <c r="L34" s="36">
        <f t="shared" ref="L34:AN34" ca="1" si="16">L33*L1</f>
        <v>10547.429980547657</v>
      </c>
      <c r="M34" s="36">
        <f t="shared" ca="1" si="16"/>
        <v>12131.531028071662</v>
      </c>
      <c r="N34" s="36">
        <f t="shared" ca="1" si="16"/>
        <v>8095.6343592097119</v>
      </c>
      <c r="O34" s="36">
        <f t="shared" ca="1" si="16"/>
        <v>22599.595678838232</v>
      </c>
      <c r="P34" s="36">
        <f t="shared" ca="1" si="16"/>
        <v>15628.424854662024</v>
      </c>
      <c r="Q34" s="36">
        <f t="shared" ca="1" si="16"/>
        <v>28642.810066489383</v>
      </c>
      <c r="R34" s="36">
        <f t="shared" ca="1" si="16"/>
        <v>46507.266502420178</v>
      </c>
      <c r="S34" s="36">
        <f t="shared" ca="1" si="16"/>
        <v>57201.179618710834</v>
      </c>
      <c r="T34" s="36">
        <f t="shared" ca="1" si="16"/>
        <v>56642.247744664674</v>
      </c>
      <c r="U34" s="36">
        <f t="shared" ca="1" si="16"/>
        <v>94207.13980693357</v>
      </c>
      <c r="V34" s="36">
        <f t="shared" ca="1" si="16"/>
        <v>93694.644167060615</v>
      </c>
      <c r="W34" s="36">
        <f t="shared" ca="1" si="16"/>
        <v>80631.123219136338</v>
      </c>
      <c r="X34" s="36">
        <f t="shared" ca="1" si="16"/>
        <v>105777.1604351274</v>
      </c>
      <c r="Y34" s="36">
        <f t="shared" ca="1" si="16"/>
        <v>146974.36809478907</v>
      </c>
      <c r="Z34" s="36">
        <f t="shared" ca="1" si="16"/>
        <v>98589.17524420991</v>
      </c>
      <c r="AA34" s="36">
        <f t="shared" ca="1" si="16"/>
        <v>113895.71199296028</v>
      </c>
      <c r="AB34" s="36">
        <f t="shared" ca="1" si="16"/>
        <v>125220.48920674712</v>
      </c>
      <c r="AC34" s="36">
        <f t="shared" ca="1" si="16"/>
        <v>167732.27430345863</v>
      </c>
      <c r="AD34" s="36">
        <f t="shared" ca="1" si="16"/>
        <v>214583.01466843369</v>
      </c>
      <c r="AE34" s="36">
        <f t="shared" ca="1" si="16"/>
        <v>219905.10830385293</v>
      </c>
      <c r="AF34" s="36">
        <f t="shared" ca="1" si="16"/>
        <v>105088.09424819078</v>
      </c>
      <c r="AG34" s="36">
        <f t="shared" ca="1" si="16"/>
        <v>223201.7806698246</v>
      </c>
      <c r="AH34" s="36">
        <f t="shared" ca="1" si="16"/>
        <v>180592.29837130624</v>
      </c>
      <c r="AI34" s="36">
        <f t="shared" ca="1" si="16"/>
        <v>285421.41591574397</v>
      </c>
      <c r="AJ34" s="36">
        <f t="shared" ca="1" si="16"/>
        <v>159968.3979695662</v>
      </c>
      <c r="AK34" s="36">
        <f t="shared" ca="1" si="16"/>
        <v>131617.28990465309</v>
      </c>
      <c r="AL34" s="36">
        <f t="shared" ca="1" si="16"/>
        <v>170624.77492883612</v>
      </c>
      <c r="AM34" s="36">
        <f t="shared" ca="1" si="16"/>
        <v>285726.78105641692</v>
      </c>
      <c r="AN34" s="36">
        <f t="shared" ca="1" si="16"/>
        <v>224738.46720340525</v>
      </c>
    </row>
    <row r="35" spans="1:45" x14ac:dyDescent="0.25">
      <c r="A35" s="553"/>
      <c r="B35" s="398" t="s">
        <v>4097</v>
      </c>
      <c r="C35" s="398"/>
      <c r="D35" s="399">
        <v>0.8</v>
      </c>
      <c r="E35" s="299" t="s">
        <v>3259</v>
      </c>
      <c r="F35" s="36">
        <v>0</v>
      </c>
      <c r="G35" s="36">
        <v>0</v>
      </c>
      <c r="H35" s="36">
        <v>0</v>
      </c>
      <c r="I35" s="36">
        <f>I33/$D17</f>
        <v>0</v>
      </c>
      <c r="J35" s="36">
        <f t="shared" ref="J35:AN35" ca="1" si="17">J34/$D17</f>
        <v>236.3400355247619</v>
      </c>
      <c r="K35" s="36">
        <f t="shared" ca="1" si="17"/>
        <v>449.9478973709235</v>
      </c>
      <c r="L35" s="36">
        <f t="shared" ca="1" si="17"/>
        <v>728.47655913305061</v>
      </c>
      <c r="M35" s="36">
        <f t="shared" ca="1" si="17"/>
        <v>837.88524755739707</v>
      </c>
      <c r="N35" s="36">
        <f t="shared" ca="1" si="17"/>
        <v>559.1390388817897</v>
      </c>
      <c r="O35" s="36">
        <f t="shared" ca="1" si="17"/>
        <v>1560.880302432063</v>
      </c>
      <c r="P35" s="36">
        <f t="shared" ca="1" si="17"/>
        <v>1079.4042893662797</v>
      </c>
      <c r="Q35" s="36">
        <f t="shared" ca="1" si="17"/>
        <v>1978.2653935242602</v>
      </c>
      <c r="R35" s="36">
        <f t="shared" ca="1" si="17"/>
        <v>3212.1050852055723</v>
      </c>
      <c r="S35" s="36">
        <f t="shared" ca="1" si="17"/>
        <v>3950.6987563643847</v>
      </c>
      <c r="T35" s="36">
        <f t="shared" ca="1" si="17"/>
        <v>3912.0951563266631</v>
      </c>
      <c r="U35" s="36">
        <f t="shared" ca="1" si="17"/>
        <v>6506.5796292451741</v>
      </c>
      <c r="V35" s="36">
        <f t="shared" ca="1" si="17"/>
        <v>6471.1832283215481</v>
      </c>
      <c r="W35" s="36">
        <f t="shared" ca="1" si="17"/>
        <v>5568.9284792634953</v>
      </c>
      <c r="X35" s="36">
        <f t="shared" ca="1" si="17"/>
        <v>7305.6831864026526</v>
      </c>
      <c r="Y35" s="36">
        <f t="shared" ca="1" si="17"/>
        <v>10151.039840786605</v>
      </c>
      <c r="Z35" s="36">
        <f t="shared" ca="1" si="17"/>
        <v>6809.2325127659442</v>
      </c>
      <c r="AA35" s="36">
        <f t="shared" ca="1" si="17"/>
        <v>7866.4050413854984</v>
      </c>
      <c r="AB35" s="36">
        <f t="shared" ca="1" si="17"/>
        <v>8648.5704364497706</v>
      </c>
      <c r="AC35" s="36">
        <f t="shared" ca="1" si="17"/>
        <v>11584.720663279539</v>
      </c>
      <c r="AD35" s="36">
        <f t="shared" ca="1" si="17"/>
        <v>14820.54836698152</v>
      </c>
      <c r="AE35" s="36">
        <f t="shared" ca="1" si="17"/>
        <v>15188.128001647445</v>
      </c>
      <c r="AF35" s="36">
        <f t="shared" ca="1" si="17"/>
        <v>7258.091634166678</v>
      </c>
      <c r="AG35" s="36">
        <f t="shared" ca="1" si="17"/>
        <v>15415.818400747619</v>
      </c>
      <c r="AH35" s="36">
        <f t="shared" ca="1" si="17"/>
        <v>12472.920547098765</v>
      </c>
      <c r="AI35" s="36">
        <f t="shared" ca="1" si="17"/>
        <v>19713.125505706223</v>
      </c>
      <c r="AJ35" s="36">
        <f t="shared" ca="1" si="17"/>
        <v>11048.495068259774</v>
      </c>
      <c r="AK35" s="36">
        <f t="shared" ca="1" si="17"/>
        <v>9090.3765797912874</v>
      </c>
      <c r="AL35" s="36">
        <f t="shared" ca="1" si="17"/>
        <v>11784.496239581187</v>
      </c>
      <c r="AM35" s="36">
        <f t="shared" ca="1" si="17"/>
        <v>19734.216079179274</v>
      </c>
      <c r="AN35" s="36">
        <f t="shared" ca="1" si="17"/>
        <v>15521.952323467513</v>
      </c>
    </row>
    <row r="36" spans="1:45" x14ac:dyDescent="0.25">
      <c r="A36" s="553"/>
      <c r="B36" s="551" t="s">
        <v>4106</v>
      </c>
      <c r="C36" s="551"/>
      <c r="D36" s="400">
        <f>106.59*D35</f>
        <v>85.272000000000006</v>
      </c>
      <c r="E36" s="404" t="s">
        <v>4115</v>
      </c>
      <c r="F36" s="405">
        <f>F35*$D36</f>
        <v>0</v>
      </c>
      <c r="G36" s="405">
        <f t="shared" ref="G36:AN36" si="18">G35*$D36</f>
        <v>0</v>
      </c>
      <c r="H36" s="405">
        <f t="shared" si="18"/>
        <v>0</v>
      </c>
      <c r="I36" s="405">
        <f t="shared" si="18"/>
        <v>0</v>
      </c>
      <c r="J36" s="405">
        <f t="shared" ca="1" si="18"/>
        <v>20153.1875092675</v>
      </c>
      <c r="K36" s="405">
        <f t="shared" ca="1" si="18"/>
        <v>38367.957104613393</v>
      </c>
      <c r="L36" s="405">
        <f t="shared" ca="1" si="18"/>
        <v>62118.653150393497</v>
      </c>
      <c r="M36" s="405">
        <f t="shared" ca="1" si="18"/>
        <v>71448.150829714374</v>
      </c>
      <c r="N36" s="405">
        <f t="shared" ca="1" si="18"/>
        <v>47678.904123527973</v>
      </c>
      <c r="O36" s="405">
        <f t="shared" ca="1" si="18"/>
        <v>133099.38514898688</v>
      </c>
      <c r="P36" s="405">
        <f t="shared" ca="1" si="18"/>
        <v>92042.962562841407</v>
      </c>
      <c r="Q36" s="405">
        <f t="shared" ca="1" si="18"/>
        <v>168690.64663660072</v>
      </c>
      <c r="R36" s="405">
        <f t="shared" ca="1" si="18"/>
        <v>273902.6248256496</v>
      </c>
      <c r="S36" s="405">
        <f t="shared" ca="1" si="18"/>
        <v>336883.98435270385</v>
      </c>
      <c r="T36" s="405">
        <f t="shared" ca="1" si="18"/>
        <v>333592.17817028722</v>
      </c>
      <c r="U36" s="405">
        <f t="shared" ca="1" si="18"/>
        <v>554829.05814499455</v>
      </c>
      <c r="V36" s="405">
        <f t="shared" ca="1" si="18"/>
        <v>551810.73624543508</v>
      </c>
      <c r="W36" s="405">
        <f t="shared" ca="1" si="18"/>
        <v>474873.66928375681</v>
      </c>
      <c r="X36" s="405">
        <f t="shared" ca="1" si="18"/>
        <v>622970.21667092701</v>
      </c>
      <c r="Y36" s="405">
        <f t="shared" ca="1" si="18"/>
        <v>865599.46930355544</v>
      </c>
      <c r="Z36" s="405">
        <f t="shared" ca="1" si="18"/>
        <v>580636.87482857762</v>
      </c>
      <c r="AA36" s="405">
        <f t="shared" ca="1" si="18"/>
        <v>670784.09068902431</v>
      </c>
      <c r="AB36" s="405">
        <f t="shared" ca="1" si="18"/>
        <v>737480.89825694484</v>
      </c>
      <c r="AC36" s="405">
        <f t="shared" ca="1" si="18"/>
        <v>987852.30039917293</v>
      </c>
      <c r="AD36" s="405">
        <f t="shared" ca="1" si="18"/>
        <v>1263777.8003492483</v>
      </c>
      <c r="AE36" s="405">
        <f t="shared" ca="1" si="18"/>
        <v>1295122.0509564809</v>
      </c>
      <c r="AF36" s="405">
        <f t="shared" ca="1" si="18"/>
        <v>618911.98982866097</v>
      </c>
      <c r="AG36" s="405">
        <f t="shared" ca="1" si="18"/>
        <v>1314537.666668551</v>
      </c>
      <c r="AH36" s="405">
        <f t="shared" ca="1" si="18"/>
        <v>1063590.880892206</v>
      </c>
      <c r="AI36" s="405">
        <f t="shared" ca="1" si="18"/>
        <v>1680977.6381225812</v>
      </c>
      <c r="AJ36" s="405">
        <f t="shared" ca="1" si="18"/>
        <v>942127.27146064746</v>
      </c>
      <c r="AK36" s="405">
        <f t="shared" ca="1" si="18"/>
        <v>775154.59171196271</v>
      </c>
      <c r="AL36" s="405">
        <f t="shared" ca="1" si="18"/>
        <v>1004887.5633415671</v>
      </c>
      <c r="AM36" s="405">
        <f t="shared" ca="1" si="18"/>
        <v>1682776.0735037751</v>
      </c>
      <c r="AN36" s="405">
        <f t="shared" ca="1" si="18"/>
        <v>1323587.9185267219</v>
      </c>
    </row>
    <row r="37" spans="1:45" x14ac:dyDescent="0.25">
      <c r="A37" s="553"/>
      <c r="B37" s="551" t="s">
        <v>4107</v>
      </c>
      <c r="C37" s="551"/>
      <c r="D37" s="400">
        <f>651.68*D35</f>
        <v>521.34399999999994</v>
      </c>
      <c r="E37" s="404" t="s">
        <v>4098</v>
      </c>
      <c r="F37" s="405">
        <f>F35*$D37</f>
        <v>0</v>
      </c>
      <c r="G37" s="405">
        <f t="shared" ref="G37:AN37" si="19">G35*$D37</f>
        <v>0</v>
      </c>
      <c r="H37" s="405">
        <f t="shared" si="19"/>
        <v>0</v>
      </c>
      <c r="I37" s="405">
        <f t="shared" si="19"/>
        <v>0</v>
      </c>
      <c r="J37" s="405">
        <f t="shared" ca="1" si="19"/>
        <v>123214.45948062146</v>
      </c>
      <c r="K37" s="405">
        <f t="shared" ca="1" si="19"/>
        <v>234577.6366069467</v>
      </c>
      <c r="L37" s="405">
        <f t="shared" ca="1" si="19"/>
        <v>379786.88324466109</v>
      </c>
      <c r="M37" s="405">
        <f t="shared" ca="1" si="19"/>
        <v>436826.44650256354</v>
      </c>
      <c r="N37" s="405">
        <f t="shared" ca="1" si="19"/>
        <v>291503.78308678773</v>
      </c>
      <c r="O37" s="405">
        <f t="shared" ca="1" si="19"/>
        <v>813755.58039114135</v>
      </c>
      <c r="P37" s="405">
        <f t="shared" ca="1" si="19"/>
        <v>562740.94983537367</v>
      </c>
      <c r="Q37" s="405">
        <f t="shared" ca="1" si="19"/>
        <v>1031356.7933215117</v>
      </c>
      <c r="R37" s="405">
        <f t="shared" ca="1" si="19"/>
        <v>1674611.7135414137</v>
      </c>
      <c r="S37" s="405">
        <f t="shared" ca="1" si="19"/>
        <v>2059673.0924380335</v>
      </c>
      <c r="T37" s="405">
        <f t="shared" ca="1" si="19"/>
        <v>2039547.3371799677</v>
      </c>
      <c r="U37" s="405">
        <f t="shared" ca="1" si="19"/>
        <v>3392166.2502291957</v>
      </c>
      <c r="V37" s="405">
        <f t="shared" ca="1" si="19"/>
        <v>3373712.5489860689</v>
      </c>
      <c r="W37" s="405">
        <f t="shared" ca="1" si="19"/>
        <v>2903327.4490931472</v>
      </c>
      <c r="X37" s="405">
        <f t="shared" ca="1" si="19"/>
        <v>3808774.0951319039</v>
      </c>
      <c r="Y37" s="405">
        <f t="shared" ca="1" si="19"/>
        <v>5292183.7147550508</v>
      </c>
      <c r="Z37" s="405">
        <f t="shared" ca="1" si="19"/>
        <v>3549952.515135448</v>
      </c>
      <c r="AA37" s="405">
        <f t="shared" ca="1" si="19"/>
        <v>4101103.069896081</v>
      </c>
      <c r="AB37" s="405">
        <f t="shared" ca="1" si="19"/>
        <v>4508880.3056204682</v>
      </c>
      <c r="AC37" s="405">
        <f t="shared" ca="1" si="19"/>
        <v>6039624.6094768075</v>
      </c>
      <c r="AD37" s="405">
        <f t="shared" ca="1" si="19"/>
        <v>7726603.9678356126</v>
      </c>
      <c r="AE37" s="405">
        <f t="shared" ca="1" si="19"/>
        <v>7918239.4048908846</v>
      </c>
      <c r="AF37" s="405">
        <f t="shared" ca="1" si="19"/>
        <v>3783962.5249229921</v>
      </c>
      <c r="AG37" s="405">
        <f t="shared" ca="1" si="19"/>
        <v>8036944.4283193657</v>
      </c>
      <c r="AH37" s="405">
        <f t="shared" ca="1" si="19"/>
        <v>6502682.2897066576</v>
      </c>
      <c r="AI37" s="405">
        <f t="shared" ca="1" si="19"/>
        <v>10277319.703646904</v>
      </c>
      <c r="AJ37" s="405">
        <f t="shared" ca="1" si="19"/>
        <v>5760066.6128668226</v>
      </c>
      <c r="AK37" s="405">
        <f t="shared" ca="1" si="19"/>
        <v>4739213.2876147088</v>
      </c>
      <c r="AL37" s="405">
        <f t="shared" ca="1" si="19"/>
        <v>6143776.4075282142</v>
      </c>
      <c r="AM37" s="405">
        <f t="shared" ca="1" si="19"/>
        <v>10288315.147583637</v>
      </c>
      <c r="AN37" s="405">
        <f t="shared" ca="1" si="19"/>
        <v>8092276.7121258462</v>
      </c>
    </row>
    <row r="38" spans="1:45" x14ac:dyDescent="0.25">
      <c r="A38" s="553"/>
      <c r="B38" s="551" t="s">
        <v>4108</v>
      </c>
      <c r="C38" s="551"/>
      <c r="D38" s="400">
        <f>390.96*D35</f>
        <v>312.76800000000003</v>
      </c>
      <c r="E38" s="404" t="s">
        <v>4116</v>
      </c>
      <c r="F38" s="405">
        <f>F35*$D38*$D40</f>
        <v>0</v>
      </c>
      <c r="G38" s="405">
        <f t="shared" ref="G38:AN38" si="20">G35*$D38*$D40</f>
        <v>0</v>
      </c>
      <c r="H38" s="405">
        <f t="shared" si="20"/>
        <v>0</v>
      </c>
      <c r="I38" s="405">
        <f t="shared" si="20"/>
        <v>0</v>
      </c>
      <c r="J38" s="405">
        <f t="shared" ca="1" si="20"/>
        <v>739196.00231008732</v>
      </c>
      <c r="K38" s="405">
        <f t="shared" ca="1" si="20"/>
        <v>1407293.0396490903</v>
      </c>
      <c r="L38" s="405">
        <f t="shared" ca="1" si="20"/>
        <v>2278441.5644692602</v>
      </c>
      <c r="M38" s="405">
        <f t="shared" ca="1" si="20"/>
        <v>2620636.9310803199</v>
      </c>
      <c r="N38" s="405">
        <f t="shared" ca="1" si="20"/>
        <v>1748807.9891297962</v>
      </c>
      <c r="O38" s="405">
        <f t="shared" ca="1" si="20"/>
        <v>4881934.1043107156</v>
      </c>
      <c r="P38" s="405">
        <f t="shared" ca="1" si="20"/>
        <v>3376031.2077651261</v>
      </c>
      <c r="Q38" s="405">
        <f t="shared" ca="1" si="20"/>
        <v>6187381.1060179584</v>
      </c>
      <c r="R38" s="405">
        <f t="shared" ca="1" si="20"/>
        <v>10046436.832895765</v>
      </c>
      <c r="S38" s="405">
        <f t="shared" ca="1" si="20"/>
        <v>12356521.48630576</v>
      </c>
      <c r="T38" s="405">
        <f t="shared" ca="1" si="20"/>
        <v>12235781.778539777</v>
      </c>
      <c r="U38" s="405">
        <f t="shared" ca="1" si="20"/>
        <v>20350498.974797547</v>
      </c>
      <c r="V38" s="405">
        <f t="shared" ca="1" si="20"/>
        <v>20239790.359556742</v>
      </c>
      <c r="W38" s="405">
        <f t="shared" ca="1" si="20"/>
        <v>17417826.226022851</v>
      </c>
      <c r="X38" s="405">
        <f t="shared" ca="1" si="20"/>
        <v>22849839.188447852</v>
      </c>
      <c r="Y38" s="405">
        <f t="shared" ca="1" si="20"/>
        <v>31749204.289231453</v>
      </c>
      <c r="Z38" s="405">
        <f t="shared" ca="1" si="20"/>
        <v>21297100.34552779</v>
      </c>
      <c r="AA38" s="405">
        <f t="shared" ca="1" si="20"/>
        <v>24603597.719840597</v>
      </c>
      <c r="AB38" s="405">
        <f t="shared" ca="1" si="20"/>
        <v>27049960.782675222</v>
      </c>
      <c r="AC38" s="405">
        <f t="shared" ca="1" si="20"/>
        <v>36233299.124126151</v>
      </c>
      <c r="AD38" s="405">
        <f t="shared" ca="1" si="20"/>
        <v>46353932.716440767</v>
      </c>
      <c r="AE38" s="405">
        <f t="shared" ca="1" si="20"/>
        <v>47503604.18819268</v>
      </c>
      <c r="AF38" s="405">
        <f t="shared" ca="1" si="20"/>
        <v>22700988.042350441</v>
      </c>
      <c r="AG38" s="405">
        <f t="shared" ca="1" si="20"/>
        <v>48215746.89565032</v>
      </c>
      <c r="AH38" s="405">
        <f t="shared" ca="1" si="20"/>
        <v>39011304.136749871</v>
      </c>
      <c r="AI38" s="405">
        <f t="shared" ca="1" si="20"/>
        <v>61656348.381687246</v>
      </c>
      <c r="AJ38" s="405">
        <f t="shared" ca="1" si="20"/>
        <v>34556157.055094734</v>
      </c>
      <c r="AK38" s="405">
        <f t="shared" ca="1" si="20"/>
        <v>28431789.021081619</v>
      </c>
      <c r="AL38" s="405">
        <f t="shared" ca="1" si="20"/>
        <v>36858133.198613293</v>
      </c>
      <c r="AM38" s="405">
        <f t="shared" ca="1" si="20"/>
        <v>61722312.946527436</v>
      </c>
      <c r="AN38" s="405">
        <f t="shared" ca="1" si="20"/>
        <v>48547699.84306287</v>
      </c>
    </row>
    <row r="39" spans="1:45" x14ac:dyDescent="0.25">
      <c r="A39" s="553"/>
      <c r="B39" s="398" t="s">
        <v>4099</v>
      </c>
      <c r="C39" s="398"/>
      <c r="D39" s="401"/>
      <c r="E39" s="115"/>
    </row>
    <row r="40" spans="1:45" x14ac:dyDescent="0.25">
      <c r="A40" s="553"/>
      <c r="B40" s="551" t="s">
        <v>4100</v>
      </c>
      <c r="C40" s="551"/>
      <c r="D40" s="402">
        <v>10</v>
      </c>
      <c r="E40" s="302" t="s">
        <v>4119</v>
      </c>
      <c r="F40" s="36"/>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c r="AI40" s="36"/>
      <c r="AJ40" s="36"/>
      <c r="AK40" s="36"/>
      <c r="AL40" s="36"/>
      <c r="AM40" s="36"/>
      <c r="AN40" s="36"/>
    </row>
    <row r="41" spans="1:45" x14ac:dyDescent="0.25">
      <c r="A41" s="553"/>
      <c r="B41" s="401" t="s">
        <v>4101</v>
      </c>
      <c r="C41" s="401">
        <v>3</v>
      </c>
      <c r="D41" s="400">
        <f>171.05*D35</f>
        <v>136.84</v>
      </c>
      <c r="E41" s="406" t="s">
        <v>4101</v>
      </c>
      <c r="F41" s="405">
        <f>$C41*$D41*F35</f>
        <v>0</v>
      </c>
      <c r="G41" s="405">
        <f t="shared" ref="G41:AN41" si="21">$C41*$D41*G35</f>
        <v>0</v>
      </c>
      <c r="H41" s="405">
        <f t="shared" si="21"/>
        <v>0</v>
      </c>
      <c r="I41" s="405">
        <f t="shared" si="21"/>
        <v>0</v>
      </c>
      <c r="J41" s="405">
        <f t="shared" ca="1" si="21"/>
        <v>97022.311383625245</v>
      </c>
      <c r="K41" s="405">
        <f t="shared" ca="1" si="21"/>
        <v>184712.61082871151</v>
      </c>
      <c r="L41" s="405">
        <f t="shared" ca="1" si="21"/>
        <v>299054.19705529994</v>
      </c>
      <c r="M41" s="405">
        <f t="shared" ca="1" si="21"/>
        <v>343968.65182726266</v>
      </c>
      <c r="N41" s="405">
        <f t="shared" ca="1" si="21"/>
        <v>229537.75824175231</v>
      </c>
      <c r="O41" s="405">
        <f t="shared" ca="1" si="21"/>
        <v>640772.58175441052</v>
      </c>
      <c r="P41" s="405">
        <f t="shared" ca="1" si="21"/>
        <v>443117.04887064511</v>
      </c>
      <c r="Q41" s="405">
        <f t="shared" ca="1" si="21"/>
        <v>812117.50934957922</v>
      </c>
      <c r="R41" s="405">
        <f t="shared" ca="1" si="21"/>
        <v>1318633.3795785916</v>
      </c>
      <c r="S41" s="405">
        <f t="shared" ca="1" si="21"/>
        <v>1621840.8534627073</v>
      </c>
      <c r="T41" s="405">
        <f t="shared" ca="1" si="21"/>
        <v>1605993.3035752217</v>
      </c>
      <c r="U41" s="405">
        <f t="shared" ca="1" si="21"/>
        <v>2671081.0693977289</v>
      </c>
      <c r="V41" s="405">
        <f t="shared" ca="1" si="21"/>
        <v>2656550.1388905616</v>
      </c>
      <c r="W41" s="405">
        <f t="shared" ca="1" si="21"/>
        <v>2286156.5193072502</v>
      </c>
      <c r="X41" s="405">
        <f t="shared" ca="1" si="21"/>
        <v>2999129.0616820166</v>
      </c>
      <c r="Y41" s="405">
        <f t="shared" ca="1" si="21"/>
        <v>4167204.875439717</v>
      </c>
      <c r="Z41" s="405">
        <f t="shared" ca="1" si="21"/>
        <v>2795326.1311406754</v>
      </c>
      <c r="AA41" s="405">
        <f t="shared" ca="1" si="21"/>
        <v>3229316.5975895748</v>
      </c>
      <c r="AB41" s="405">
        <f t="shared" ca="1" si="21"/>
        <v>3550411.1355713597</v>
      </c>
      <c r="AC41" s="405">
        <f t="shared" ca="1" si="21"/>
        <v>4755759.5266895164</v>
      </c>
      <c r="AD41" s="405">
        <f t="shared" ca="1" si="21"/>
        <v>6084131.5156132532</v>
      </c>
      <c r="AE41" s="405">
        <f t="shared" ca="1" si="21"/>
        <v>6235030.3072363092</v>
      </c>
      <c r="AF41" s="405">
        <f t="shared" ca="1" si="21"/>
        <v>2979591.7776581044</v>
      </c>
      <c r="AG41" s="405">
        <f t="shared" ca="1" si="21"/>
        <v>6328501.7698749127</v>
      </c>
      <c r="AH41" s="405">
        <f t="shared" ca="1" si="21"/>
        <v>5120383.3429949852</v>
      </c>
      <c r="AI41" s="405">
        <f t="shared" ca="1" si="21"/>
        <v>8092632.2826025179</v>
      </c>
      <c r="AJ41" s="405">
        <f t="shared" ca="1" si="21"/>
        <v>4535628.1954220021</v>
      </c>
      <c r="AK41" s="405">
        <f t="shared" ca="1" si="21"/>
        <v>3731781.393535919</v>
      </c>
      <c r="AL41" s="405">
        <f t="shared" ca="1" si="21"/>
        <v>4837771.3962728688</v>
      </c>
      <c r="AM41" s="405">
        <f t="shared" ca="1" si="21"/>
        <v>8101290.3848246755</v>
      </c>
      <c r="AN41" s="405">
        <f t="shared" ca="1" si="21"/>
        <v>6372071.8678298825</v>
      </c>
    </row>
    <row r="42" spans="1:45" x14ac:dyDescent="0.25">
      <c r="A42" s="553"/>
      <c r="B42" s="401" t="s">
        <v>4102</v>
      </c>
      <c r="C42" s="401">
        <v>7</v>
      </c>
      <c r="D42" s="400">
        <f>219.91*D35</f>
        <v>175.928</v>
      </c>
      <c r="E42" s="406" t="s">
        <v>4120</v>
      </c>
      <c r="F42" s="405">
        <f>$C42*$D42*F35</f>
        <v>0</v>
      </c>
      <c r="G42" s="405">
        <f t="shared" ref="G42:AN42" si="22">$C42*$D42*G35</f>
        <v>0</v>
      </c>
      <c r="H42" s="405">
        <f t="shared" si="22"/>
        <v>0</v>
      </c>
      <c r="I42" s="405">
        <f t="shared" si="22"/>
        <v>0</v>
      </c>
      <c r="J42" s="405">
        <f t="shared" ca="1" si="22"/>
        <v>291051.80838860222</v>
      </c>
      <c r="K42" s="405">
        <f t="shared" ca="1" si="22"/>
        <v>554109.03582070291</v>
      </c>
      <c r="L42" s="405">
        <f t="shared" ca="1" si="22"/>
        <v>897115.96866611531</v>
      </c>
      <c r="M42" s="405">
        <f t="shared" ca="1" si="22"/>
        <v>1031852.3308259443</v>
      </c>
      <c r="N42" s="405">
        <f t="shared" ca="1" si="22"/>
        <v>688577.48982676852</v>
      </c>
      <c r="O42" s="405">
        <f t="shared" ca="1" si="22"/>
        <v>1922217.848923876</v>
      </c>
      <c r="P42" s="405">
        <f t="shared" ca="1" si="22"/>
        <v>1329282.0647374161</v>
      </c>
      <c r="Q42" s="405">
        <f t="shared" ca="1" si="22"/>
        <v>2436225.9190635523</v>
      </c>
      <c r="R42" s="405">
        <f t="shared" ca="1" si="22"/>
        <v>3955694.5640103216</v>
      </c>
      <c r="S42" s="405">
        <f t="shared" ca="1" si="22"/>
        <v>4865269.7156677144</v>
      </c>
      <c r="T42" s="405">
        <f t="shared" ca="1" si="22"/>
        <v>4817729.5366356606</v>
      </c>
      <c r="U42" s="405">
        <f t="shared" ca="1" si="22"/>
        <v>8012826.7870969158</v>
      </c>
      <c r="V42" s="405">
        <f t="shared" ca="1" si="22"/>
        <v>7969236.2609450733</v>
      </c>
      <c r="W42" s="405">
        <f t="shared" ca="1" si="22"/>
        <v>6858113.1464990778</v>
      </c>
      <c r="X42" s="405">
        <f t="shared" ca="1" si="22"/>
        <v>8996919.6213221215</v>
      </c>
      <c r="Y42" s="405">
        <f t="shared" ca="1" si="22"/>
        <v>12500964.959769342</v>
      </c>
      <c r="Z42" s="405">
        <f t="shared" ca="1" si="22"/>
        <v>8385542.6025412101</v>
      </c>
      <c r="AA42" s="405">
        <f t="shared" ca="1" si="22"/>
        <v>9687446.3428460769</v>
      </c>
      <c r="AB42" s="405">
        <f t="shared" ca="1" si="22"/>
        <v>10650679.898206148</v>
      </c>
      <c r="AC42" s="405">
        <f t="shared" ca="1" si="22"/>
        <v>14266537.1579461</v>
      </c>
      <c r="AD42" s="405">
        <f t="shared" ca="1" si="22"/>
        <v>18251446.031744275</v>
      </c>
      <c r="AE42" s="405">
        <f t="shared" ca="1" si="22"/>
        <v>18704118.881516822</v>
      </c>
      <c r="AF42" s="405">
        <f t="shared" ca="1" si="22"/>
        <v>8938310.8151097279</v>
      </c>
      <c r="AG42" s="405">
        <f t="shared" ca="1" si="22"/>
        <v>18984518.697247092</v>
      </c>
      <c r="AH42" s="405">
        <f t="shared" ca="1" si="22"/>
        <v>15360351.762069942</v>
      </c>
      <c r="AI42" s="405">
        <f t="shared" ca="1" si="22"/>
        <v>24276635.20777519</v>
      </c>
      <c r="AJ42" s="405">
        <f t="shared" ca="1" si="22"/>
        <v>13606177.48258164</v>
      </c>
      <c r="AK42" s="405">
        <f t="shared" ca="1" si="22"/>
        <v>11194762.396506652</v>
      </c>
      <c r="AL42" s="405">
        <f t="shared" ca="1" si="22"/>
        <v>14512559.981059276</v>
      </c>
      <c r="AM42" s="405">
        <f t="shared" ca="1" si="22"/>
        <v>24302608.16464496</v>
      </c>
      <c r="AN42" s="405">
        <f t="shared" ca="1" si="22"/>
        <v>19115222.198540948</v>
      </c>
    </row>
    <row r="43" spans="1:45" x14ac:dyDescent="0.25">
      <c r="A43" s="553"/>
      <c r="B43" s="398" t="s">
        <v>4103</v>
      </c>
      <c r="C43" s="401"/>
      <c r="D43" s="401"/>
      <c r="E43" s="115"/>
    </row>
    <row r="44" spans="1:45" x14ac:dyDescent="0.25">
      <c r="B44" s="493" t="s">
        <v>3262</v>
      </c>
      <c r="C44" s="493"/>
      <c r="D44" s="493"/>
      <c r="E44" s="115"/>
      <c r="F44" s="88">
        <f>SUM(F36:F38,F41:F42)</f>
        <v>0</v>
      </c>
      <c r="G44" s="88">
        <f t="shared" ref="G44:AN44" si="23">SUM(G36:G38,G41:G42)</f>
        <v>0</v>
      </c>
      <c r="H44" s="88">
        <f t="shared" si="23"/>
        <v>0</v>
      </c>
      <c r="I44" s="88">
        <f t="shared" si="23"/>
        <v>0</v>
      </c>
      <c r="J44" s="88">
        <f t="shared" ca="1" si="23"/>
        <v>1270637.7690722039</v>
      </c>
      <c r="K44" s="88">
        <f t="shared" ca="1" si="23"/>
        <v>2419060.2800100646</v>
      </c>
      <c r="L44" s="88">
        <f t="shared" ca="1" si="23"/>
        <v>3916517.26658573</v>
      </c>
      <c r="M44" s="88">
        <f t="shared" ca="1" si="23"/>
        <v>4504732.5110658044</v>
      </c>
      <c r="N44" s="88">
        <f t="shared" ca="1" si="23"/>
        <v>3006105.9244086328</v>
      </c>
      <c r="O44" s="88">
        <f t="shared" ca="1" si="23"/>
        <v>8391779.5005291291</v>
      </c>
      <c r="P44" s="88">
        <f t="shared" ca="1" si="23"/>
        <v>5803214.2337714024</v>
      </c>
      <c r="Q44" s="88">
        <f t="shared" ca="1" si="23"/>
        <v>10635771.974389203</v>
      </c>
      <c r="R44" s="88">
        <f t="shared" ca="1" si="23"/>
        <v>17269279.114851743</v>
      </c>
      <c r="S44" s="88">
        <f t="shared" ca="1" si="23"/>
        <v>21240189.132226918</v>
      </c>
      <c r="T44" s="88">
        <f t="shared" ca="1" si="23"/>
        <v>21032644.134100914</v>
      </c>
      <c r="U44" s="88">
        <f t="shared" ca="1" si="23"/>
        <v>34981402.139666378</v>
      </c>
      <c r="V44" s="88">
        <f t="shared" ca="1" si="23"/>
        <v>34791100.044623882</v>
      </c>
      <c r="W44" s="88">
        <f t="shared" ca="1" si="23"/>
        <v>29940297.010206085</v>
      </c>
      <c r="X44" s="88">
        <f t="shared" ca="1" si="23"/>
        <v>39277632.183254823</v>
      </c>
      <c r="Y44" s="88">
        <f t="shared" ca="1" si="23"/>
        <v>54575157.308499113</v>
      </c>
      <c r="Z44" s="88">
        <f t="shared" ca="1" si="23"/>
        <v>36608558.4691737</v>
      </c>
      <c r="AA44" s="88">
        <f t="shared" ca="1" si="23"/>
        <v>42292247.820861354</v>
      </c>
      <c r="AB44" s="88">
        <f t="shared" ca="1" si="23"/>
        <v>46497413.020330146</v>
      </c>
      <c r="AC44" s="88">
        <f t="shared" ca="1" si="23"/>
        <v>62283072.71863775</v>
      </c>
      <c r="AD44" s="88">
        <f t="shared" ca="1" si="23"/>
        <v>79679892.031983152</v>
      </c>
      <c r="AE44" s="88">
        <f t="shared" ca="1" si="23"/>
        <v>81656114.832793176</v>
      </c>
      <c r="AF44" s="88">
        <f t="shared" ca="1" si="23"/>
        <v>39021765.149869926</v>
      </c>
      <c r="AG44" s="88">
        <f t="shared" ca="1" si="23"/>
        <v>82880249.457760245</v>
      </c>
      <c r="AH44" s="88">
        <f t="shared" ca="1" si="23"/>
        <v>67058312.412413664</v>
      </c>
      <c r="AI44" s="88">
        <f t="shared" ca="1" si="23"/>
        <v>105983913.21383443</v>
      </c>
      <c r="AJ44" s="88">
        <f t="shared" ca="1" si="23"/>
        <v>59400156.617425844</v>
      </c>
      <c r="AK44" s="88">
        <f t="shared" ca="1" si="23"/>
        <v>48872700.690450862</v>
      </c>
      <c r="AL44" s="88">
        <f t="shared" ca="1" si="23"/>
        <v>63357128.546815217</v>
      </c>
      <c r="AM44" s="88">
        <f t="shared" ca="1" si="23"/>
        <v>106097302.71708448</v>
      </c>
      <c r="AN44" s="88">
        <f t="shared" ca="1" si="23"/>
        <v>83450858.540086269</v>
      </c>
    </row>
    <row r="45" spans="1:45" x14ac:dyDescent="0.25">
      <c r="E45" s="115"/>
    </row>
    <row r="46" spans="1:45" x14ac:dyDescent="0.25">
      <c r="A46" s="553" t="s">
        <v>3845</v>
      </c>
      <c r="B46" s="554" t="s">
        <v>4136</v>
      </c>
      <c r="C46" s="554"/>
      <c r="D46" s="554"/>
      <c r="E46" s="115"/>
      <c r="F46" s="58" t="s">
        <v>3701</v>
      </c>
      <c r="G46" s="17" t="s">
        <v>3702</v>
      </c>
      <c r="H46" s="58" t="s">
        <v>3703</v>
      </c>
      <c r="I46" s="17" t="s">
        <v>3704</v>
      </c>
      <c r="J46" s="58" t="s">
        <v>3705</v>
      </c>
      <c r="K46" s="17" t="s">
        <v>3706</v>
      </c>
      <c r="L46" s="58" t="s">
        <v>3707</v>
      </c>
      <c r="M46" s="17" t="s">
        <v>3708</v>
      </c>
      <c r="N46" s="58" t="s">
        <v>3709</v>
      </c>
      <c r="O46" s="17" t="s">
        <v>3710</v>
      </c>
      <c r="P46" s="58" t="s">
        <v>3711</v>
      </c>
      <c r="Q46" s="17" t="s">
        <v>3712</v>
      </c>
      <c r="R46" s="58" t="s">
        <v>3713</v>
      </c>
      <c r="S46" s="17" t="s">
        <v>3714</v>
      </c>
      <c r="T46" s="58" t="s">
        <v>3715</v>
      </c>
      <c r="U46" s="17" t="s">
        <v>3716</v>
      </c>
      <c r="V46" s="58" t="s">
        <v>3717</v>
      </c>
      <c r="W46" s="17" t="s">
        <v>3718</v>
      </c>
      <c r="X46" s="58" t="s">
        <v>3719</v>
      </c>
      <c r="Y46" s="17" t="s">
        <v>3720</v>
      </c>
      <c r="Z46" s="58" t="s">
        <v>3721</v>
      </c>
      <c r="AA46" s="17" t="s">
        <v>3722</v>
      </c>
      <c r="AB46" s="58" t="s">
        <v>3723</v>
      </c>
      <c r="AC46" s="17" t="s">
        <v>3724</v>
      </c>
      <c r="AD46" s="58" t="s">
        <v>3725</v>
      </c>
      <c r="AE46" s="17" t="s">
        <v>3726</v>
      </c>
      <c r="AF46" s="58" t="s">
        <v>3727</v>
      </c>
      <c r="AG46" s="17" t="s">
        <v>3728</v>
      </c>
      <c r="AH46" s="58" t="s">
        <v>3729</v>
      </c>
      <c r="AI46" s="17" t="s">
        <v>3730</v>
      </c>
      <c r="AJ46" s="58" t="s">
        <v>3731</v>
      </c>
      <c r="AK46" s="17" t="s">
        <v>3732</v>
      </c>
      <c r="AL46" s="58" t="s">
        <v>3733</v>
      </c>
      <c r="AM46" s="17" t="s">
        <v>3734</v>
      </c>
      <c r="AN46" s="17" t="s">
        <v>3735</v>
      </c>
    </row>
    <row r="47" spans="1:45" x14ac:dyDescent="0.25">
      <c r="A47" s="553"/>
      <c r="B47" s="554"/>
      <c r="C47" s="554"/>
      <c r="D47" s="554"/>
      <c r="E47" s="311" t="s">
        <v>4113</v>
      </c>
      <c r="F47">
        <v>0</v>
      </c>
      <c r="G47">
        <v>0</v>
      </c>
      <c r="H47">
        <v>0</v>
      </c>
      <c r="I47">
        <v>0</v>
      </c>
      <c r="J47" s="36">
        <f ca="1">Import_CG!O15</f>
        <v>127942.84310189309</v>
      </c>
      <c r="K47" s="36">
        <f ca="1">Import_CG!P15</f>
        <v>143761.481089218</v>
      </c>
      <c r="L47" s="36">
        <f ca="1">Import_CG!Q15</f>
        <v>94605.346663953867</v>
      </c>
      <c r="M47" s="36">
        <f ca="1">Import_CG!R15</f>
        <v>101983.10382871653</v>
      </c>
      <c r="N47" s="36">
        <f ca="1">Import_CG!S15</f>
        <v>117236.60435995019</v>
      </c>
      <c r="O47" s="36">
        <f ca="1">Import_CG!T15</f>
        <v>137204.68010297403</v>
      </c>
      <c r="P47" s="36">
        <f ca="1">Import_CG!U15</f>
        <v>117573.17101936182</v>
      </c>
      <c r="Q47" s="36">
        <f ca="1">Import_CG!V15</f>
        <v>92422.089860137945</v>
      </c>
      <c r="R47" s="36">
        <f ca="1">Import_CG!W15</f>
        <v>129189.29080992124</v>
      </c>
      <c r="S47" s="36">
        <f ca="1">Import_CG!X15</f>
        <v>104240.01252948027</v>
      </c>
      <c r="T47" s="36">
        <f ca="1">Import_CG!Y15</f>
        <v>80521.440727262889</v>
      </c>
      <c r="U47" s="36">
        <f ca="1">Import_CG!Z15</f>
        <v>154503.15450176812</v>
      </c>
      <c r="V47" s="36">
        <f ca="1">Import_CG!AA15</f>
        <v>84852.545491801604</v>
      </c>
      <c r="W47" s="36">
        <f ca="1">Import_CG!AB15</f>
        <v>149623.18461902303</v>
      </c>
      <c r="X47" s="36">
        <f ca="1">Import_CG!AC15</f>
        <v>137845.98042437009</v>
      </c>
      <c r="Y47" s="36">
        <f ca="1">Import_CG!AD15</f>
        <v>154779.72178833667</v>
      </c>
      <c r="Z47" s="36">
        <f ca="1">Import_CG!AE15</f>
        <v>138112.98925085599</v>
      </c>
      <c r="AA47" s="36">
        <f ca="1">Import_CG!AF15</f>
        <v>129047.81106291467</v>
      </c>
      <c r="AB47" s="36">
        <f ca="1">Import_CG!AG15</f>
        <v>145529.50778305365</v>
      </c>
      <c r="AC47" s="36">
        <f ca="1">Import_CG!AH15</f>
        <v>151699.32047150048</v>
      </c>
      <c r="AD47" s="36">
        <f ca="1">Import_CG!AI15</f>
        <v>158529.08102340199</v>
      </c>
      <c r="AE47" s="36">
        <f ca="1">Import_CG!AJ15</f>
        <v>120438.20808826748</v>
      </c>
      <c r="AF47" s="36">
        <f ca="1">Import_CG!AK15</f>
        <v>165612.73887816689</v>
      </c>
      <c r="AG47" s="36">
        <f ca="1">Import_CG!AL15</f>
        <v>204879.08830242959</v>
      </c>
      <c r="AH47" s="36">
        <f ca="1">Import_CG!AM15</f>
        <v>164754.71543608952</v>
      </c>
      <c r="AI47" s="36">
        <f ca="1">Import_CG!AN15</f>
        <v>137146.78014013523</v>
      </c>
      <c r="AJ47" s="36">
        <f ca="1">Import_CG!AO15</f>
        <v>175434.09406631507</v>
      </c>
      <c r="AK47" s="36">
        <f ca="1">Import_CG!AP15</f>
        <v>179402.93537010241</v>
      </c>
      <c r="AL47" s="36">
        <f ca="1">Import_CG!AQ15</f>
        <v>187583.34379128509</v>
      </c>
      <c r="AM47" s="36">
        <f ca="1">Import_CG!AR15</f>
        <v>202308.22325941484</v>
      </c>
      <c r="AN47" s="36">
        <f ca="1">Import_CG!AS15</f>
        <v>155547.65523903421</v>
      </c>
      <c r="AO47" s="36"/>
      <c r="AP47" s="36"/>
      <c r="AQ47" s="36"/>
      <c r="AR47" s="36"/>
      <c r="AS47" s="36"/>
    </row>
    <row r="48" spans="1:45" x14ac:dyDescent="0.25">
      <c r="A48" s="553"/>
      <c r="B48" s="554"/>
      <c r="C48" s="554"/>
      <c r="D48" s="554"/>
      <c r="E48" s="298" t="s">
        <v>4114</v>
      </c>
      <c r="F48">
        <v>0</v>
      </c>
      <c r="G48">
        <v>0</v>
      </c>
      <c r="H48">
        <v>0</v>
      </c>
      <c r="I48">
        <v>0</v>
      </c>
      <c r="J48" s="36">
        <f ca="1">J1*J47</f>
        <v>6537.8792825067267</v>
      </c>
      <c r="K48" s="36">
        <f ca="1">K1*K47</f>
        <v>15067.81478435303</v>
      </c>
      <c r="L48" s="36">
        <f ca="1">L1*L47</f>
        <v>15256.726384604364</v>
      </c>
      <c r="M48" s="36">
        <f t="shared" ref="M48:AN48" ca="1" si="24">M1*M47</f>
        <v>22498.269166309834</v>
      </c>
      <c r="N48" s="36">
        <f t="shared" ca="1" si="24"/>
        <v>33175.716159222298</v>
      </c>
      <c r="O48" s="36">
        <f t="shared" ca="1" si="24"/>
        <v>47821.482643519601</v>
      </c>
      <c r="P48" s="36">
        <f t="shared" ca="1" si="24"/>
        <v>49081.113777734077</v>
      </c>
      <c r="Q48" s="36">
        <f t="shared" ca="1" si="24"/>
        <v>45276.049945042985</v>
      </c>
      <c r="R48" s="36">
        <f t="shared" ca="1" si="24"/>
        <v>73123.266117393418</v>
      </c>
      <c r="S48" s="36">
        <f t="shared" ca="1" si="24"/>
        <v>67343.208287587229</v>
      </c>
      <c r="T48" s="36">
        <f t="shared" ca="1" si="24"/>
        <v>58792.935207864197</v>
      </c>
      <c r="U48" s="36">
        <f t="shared" ca="1" si="24"/>
        <v>126470.61887034282</v>
      </c>
      <c r="V48" s="36">
        <f t="shared" ca="1" si="24"/>
        <v>77342.410566536957</v>
      </c>
      <c r="W48" s="36">
        <f t="shared" ca="1" si="24"/>
        <v>149623.18461902303</v>
      </c>
      <c r="X48" s="36">
        <f t="shared" ca="1" si="24"/>
        <v>137845.98042437009</v>
      </c>
      <c r="Y48" s="36">
        <f t="shared" ca="1" si="24"/>
        <v>154779.72178833667</v>
      </c>
      <c r="Z48" s="36">
        <f t="shared" ca="1" si="24"/>
        <v>138112.98925085599</v>
      </c>
      <c r="AA48" s="36">
        <f t="shared" ca="1" si="24"/>
        <v>129047.81106291467</v>
      </c>
      <c r="AB48" s="36">
        <f t="shared" ca="1" si="24"/>
        <v>145529.50778305365</v>
      </c>
      <c r="AC48" s="36">
        <f t="shared" ca="1" si="24"/>
        <v>151699.32047150048</v>
      </c>
      <c r="AD48" s="36">
        <f t="shared" ca="1" si="24"/>
        <v>158529.08102340199</v>
      </c>
      <c r="AE48" s="36">
        <f t="shared" ca="1" si="24"/>
        <v>120438.20808826748</v>
      </c>
      <c r="AF48" s="36">
        <f t="shared" ca="1" si="24"/>
        <v>165612.73887816689</v>
      </c>
      <c r="AG48" s="36">
        <f t="shared" ca="1" si="24"/>
        <v>204879.08830242959</v>
      </c>
      <c r="AH48" s="36">
        <f t="shared" ca="1" si="24"/>
        <v>164754.71543608952</v>
      </c>
      <c r="AI48" s="36">
        <f t="shared" ca="1" si="24"/>
        <v>137146.78014013523</v>
      </c>
      <c r="AJ48" s="36">
        <f t="shared" ca="1" si="24"/>
        <v>175434.09406631507</v>
      </c>
      <c r="AK48" s="36">
        <f t="shared" ca="1" si="24"/>
        <v>179402.93537010241</v>
      </c>
      <c r="AL48" s="36">
        <f t="shared" ca="1" si="24"/>
        <v>187583.34379128509</v>
      </c>
      <c r="AM48" s="36">
        <f t="shared" ca="1" si="24"/>
        <v>202308.22325941484</v>
      </c>
      <c r="AN48" s="36">
        <f t="shared" ca="1" si="24"/>
        <v>155547.65523903421</v>
      </c>
    </row>
    <row r="49" spans="1:40" x14ac:dyDescent="0.25">
      <c r="A49" s="553"/>
      <c r="B49" s="398" t="s">
        <v>4097</v>
      </c>
      <c r="C49" s="398"/>
      <c r="D49" s="399">
        <v>0.8</v>
      </c>
      <c r="E49" s="404" t="s">
        <v>4115</v>
      </c>
      <c r="F49" s="405">
        <f t="shared" ref="F49:AN49" si="25">F48*$D50</f>
        <v>0</v>
      </c>
      <c r="G49" s="405">
        <f t="shared" si="25"/>
        <v>0</v>
      </c>
      <c r="H49" s="405">
        <f t="shared" si="25"/>
        <v>0</v>
      </c>
      <c r="I49" s="405">
        <f t="shared" si="25"/>
        <v>0</v>
      </c>
      <c r="J49" s="405">
        <f t="shared" ca="1" si="25"/>
        <v>288974.26428679732</v>
      </c>
      <c r="K49" s="405">
        <f t="shared" ca="1" si="25"/>
        <v>665997.41346840397</v>
      </c>
      <c r="L49" s="405">
        <f t="shared" ca="1" si="25"/>
        <v>674347.30619951291</v>
      </c>
      <c r="M49" s="405">
        <f t="shared" ca="1" si="25"/>
        <v>994423.49715089472</v>
      </c>
      <c r="N49" s="405">
        <f t="shared" ca="1" si="25"/>
        <v>1466366.6542376257</v>
      </c>
      <c r="O49" s="405">
        <f t="shared" ca="1" si="25"/>
        <v>2113709.5328435665</v>
      </c>
      <c r="P49" s="405">
        <f t="shared" ca="1" si="25"/>
        <v>2169385.2289758464</v>
      </c>
      <c r="Q49" s="405">
        <f t="shared" ca="1" si="25"/>
        <v>2001201.4075709002</v>
      </c>
      <c r="R49" s="405">
        <f t="shared" ca="1" si="25"/>
        <v>3232048.3623887892</v>
      </c>
      <c r="S49" s="405">
        <f t="shared" ca="1" si="25"/>
        <v>2976569.8063113559</v>
      </c>
      <c r="T49" s="405">
        <f t="shared" ca="1" si="25"/>
        <v>2598647.7361875977</v>
      </c>
      <c r="U49" s="405">
        <f t="shared" ca="1" si="25"/>
        <v>5590001.3540691528</v>
      </c>
      <c r="V49" s="405">
        <f t="shared" ca="1" si="25"/>
        <v>3418534.5470409337</v>
      </c>
      <c r="W49" s="405">
        <f t="shared" ca="1" si="25"/>
        <v>6613344.7601608187</v>
      </c>
      <c r="X49" s="405">
        <f t="shared" ca="1" si="25"/>
        <v>6092792.3347571585</v>
      </c>
      <c r="Y49" s="405">
        <f t="shared" ca="1" si="25"/>
        <v>6841263.7030444816</v>
      </c>
      <c r="Z49" s="405">
        <f t="shared" ca="1" si="25"/>
        <v>6104594.1248878352</v>
      </c>
      <c r="AA49" s="405">
        <f t="shared" ca="1" si="25"/>
        <v>5703913.2489808286</v>
      </c>
      <c r="AB49" s="405">
        <f t="shared" ca="1" si="25"/>
        <v>6432404.2440109719</v>
      </c>
      <c r="AC49" s="405">
        <f t="shared" ca="1" si="25"/>
        <v>6705109.9648403218</v>
      </c>
      <c r="AD49" s="405">
        <f t="shared" ca="1" si="25"/>
        <v>7006985.3812343683</v>
      </c>
      <c r="AE49" s="405">
        <f t="shared" ca="1" si="25"/>
        <v>5323368.7975014225</v>
      </c>
      <c r="AF49" s="405">
        <f t="shared" ca="1" si="25"/>
        <v>7320083.058414977</v>
      </c>
      <c r="AG49" s="405">
        <f t="shared" ca="1" si="25"/>
        <v>9055655.7029673886</v>
      </c>
      <c r="AH49" s="405">
        <f t="shared" ca="1" si="25"/>
        <v>7282158.4222751576</v>
      </c>
      <c r="AI49" s="405">
        <f t="shared" ca="1" si="25"/>
        <v>6061887.6821939778</v>
      </c>
      <c r="AJ49" s="405">
        <f t="shared" ca="1" si="25"/>
        <v>7754186.9577311268</v>
      </c>
      <c r="AK49" s="405">
        <f t="shared" ca="1" si="25"/>
        <v>7929609.7433585273</v>
      </c>
      <c r="AL49" s="405">
        <f t="shared" ca="1" si="25"/>
        <v>8291183.795574802</v>
      </c>
      <c r="AM49" s="405">
        <f t="shared" ca="1" si="25"/>
        <v>8942023.4680661373</v>
      </c>
      <c r="AN49" s="405">
        <f t="shared" ca="1" si="25"/>
        <v>6875206.3615653124</v>
      </c>
    </row>
    <row r="50" spans="1:40" x14ac:dyDescent="0.25">
      <c r="A50" s="553"/>
      <c r="B50" s="551" t="s">
        <v>4109</v>
      </c>
      <c r="C50" s="551"/>
      <c r="D50" s="400">
        <f>55.25*D49</f>
        <v>44.2</v>
      </c>
      <c r="E50" s="308"/>
      <c r="F50" s="46"/>
    </row>
    <row r="51" spans="1:40" x14ac:dyDescent="0.25">
      <c r="A51" s="553"/>
      <c r="B51" s="398" t="s">
        <v>4099</v>
      </c>
      <c r="C51" s="398"/>
      <c r="D51" s="401"/>
      <c r="E51" s="309"/>
      <c r="F51" s="46"/>
    </row>
    <row r="52" spans="1:40" x14ac:dyDescent="0.25">
      <c r="A52" s="553"/>
      <c r="B52" s="551" t="s">
        <v>4100</v>
      </c>
      <c r="C52" s="551"/>
      <c r="D52" s="402">
        <v>10</v>
      </c>
      <c r="E52" s="404" t="s">
        <v>4117</v>
      </c>
      <c r="F52" s="405">
        <f t="shared" ref="F52:AN52" si="26">F48*$D53</f>
        <v>0</v>
      </c>
      <c r="G52" s="405">
        <f t="shared" si="26"/>
        <v>0</v>
      </c>
      <c r="H52" s="405">
        <f t="shared" si="26"/>
        <v>0</v>
      </c>
      <c r="I52" s="405">
        <f t="shared" si="26"/>
        <v>0</v>
      </c>
      <c r="J52" s="405">
        <f ca="1">J48*$D53</f>
        <v>1791483.5294753634</v>
      </c>
      <c r="K52" s="405">
        <f t="shared" ca="1" si="26"/>
        <v>4128822.3359492798</v>
      </c>
      <c r="L52" s="405">
        <f t="shared" ca="1" si="26"/>
        <v>4180587.1370037496</v>
      </c>
      <c r="M52" s="405">
        <f t="shared" ca="1" si="26"/>
        <v>6164885.7238755561</v>
      </c>
      <c r="N52" s="405">
        <f t="shared" ca="1" si="26"/>
        <v>9090677.0390854571</v>
      </c>
      <c r="O52" s="405">
        <f t="shared" ca="1" si="26"/>
        <v>13103851.388046669</v>
      </c>
      <c r="P52" s="405">
        <f t="shared" ca="1" si="26"/>
        <v>13449010.472919581</v>
      </c>
      <c r="Q52" s="405">
        <f t="shared" ca="1" si="26"/>
        <v>12406362.1017409</v>
      </c>
      <c r="R52" s="405">
        <f t="shared" ca="1" si="26"/>
        <v>20036944.888423678</v>
      </c>
      <c r="S52" s="405">
        <f t="shared" ca="1" si="26"/>
        <v>18453116.562131502</v>
      </c>
      <c r="T52" s="405">
        <f t="shared" ca="1" si="26"/>
        <v>16110204.933918117</v>
      </c>
      <c r="U52" s="405">
        <f t="shared" ca="1" si="26"/>
        <v>34654973.100375861</v>
      </c>
      <c r="V52" s="405">
        <f t="shared" ca="1" si="26"/>
        <v>21193057.973800194</v>
      </c>
      <c r="W52" s="405">
        <f t="shared" ca="1" si="26"/>
        <v>40999146.556566216</v>
      </c>
      <c r="X52" s="405">
        <f t="shared" ca="1" si="26"/>
        <v>37772004.171964198</v>
      </c>
      <c r="Y52" s="405">
        <f t="shared" ca="1" si="26"/>
        <v>42412120.24555286</v>
      </c>
      <c r="Z52" s="405">
        <f t="shared" ca="1" si="26"/>
        <v>37845168.86256256</v>
      </c>
      <c r="AA52" s="405">
        <f t="shared" ca="1" si="26"/>
        <v>35361164.996215627</v>
      </c>
      <c r="AB52" s="405">
        <f t="shared" ca="1" si="26"/>
        <v>39877413.604681231</v>
      </c>
      <c r="AC52" s="405">
        <f t="shared" ca="1" si="26"/>
        <v>41568040.99831868</v>
      </c>
      <c r="AD52" s="405">
        <f t="shared" ca="1" si="26"/>
        <v>43439504.66570852</v>
      </c>
      <c r="AE52" s="405">
        <f t="shared" ca="1" si="26"/>
        <v>33001996.027514704</v>
      </c>
      <c r="AF52" s="405">
        <f t="shared" ca="1" si="26"/>
        <v>45380540.256439783</v>
      </c>
      <c r="AG52" s="405">
        <f t="shared" ca="1" si="26"/>
        <v>56140148.260278553</v>
      </c>
      <c r="AH52" s="405">
        <f t="shared" ca="1" si="26"/>
        <v>45145428.104935512</v>
      </c>
      <c r="AI52" s="405">
        <f t="shared" ca="1" si="26"/>
        <v>37580412.106879301</v>
      </c>
      <c r="AJ52" s="405">
        <f t="shared" ca="1" si="26"/>
        <v>48071748.719675392</v>
      </c>
      <c r="AK52" s="405">
        <f t="shared" ca="1" si="26"/>
        <v>49159274.738373987</v>
      </c>
      <c r="AL52" s="405">
        <f t="shared" ca="1" si="26"/>
        <v>51400837.532312781</v>
      </c>
      <c r="AM52" s="405">
        <f t="shared" ca="1" si="26"/>
        <v>55435690.104651824</v>
      </c>
      <c r="AN52" s="405">
        <f t="shared" ca="1" si="26"/>
        <v>42622546.297979198</v>
      </c>
    </row>
    <row r="53" spans="1:40" x14ac:dyDescent="0.25">
      <c r="A53" s="553"/>
      <c r="B53" s="551" t="s">
        <v>4110</v>
      </c>
      <c r="C53" s="551"/>
      <c r="D53" s="400">
        <f>342.52*D49</f>
        <v>274.01600000000002</v>
      </c>
      <c r="E53" s="404" t="s">
        <v>4118</v>
      </c>
      <c r="F53" s="405">
        <f t="shared" ref="F53:AN53" si="27">F48*$D54*$D52</f>
        <v>0</v>
      </c>
      <c r="G53" s="405">
        <f t="shared" si="27"/>
        <v>0</v>
      </c>
      <c r="H53" s="405">
        <f t="shared" si="27"/>
        <v>0</v>
      </c>
      <c r="I53" s="405">
        <f t="shared" si="27"/>
        <v>0</v>
      </c>
      <c r="J53" s="405">
        <f ca="1">J48*$D54*$D52</f>
        <v>326893.96412533638</v>
      </c>
      <c r="K53" s="405">
        <f t="shared" ca="1" si="27"/>
        <v>753390.73921765143</v>
      </c>
      <c r="L53" s="405">
        <f t="shared" ca="1" si="27"/>
        <v>762836.31923021819</v>
      </c>
      <c r="M53" s="405">
        <f t="shared" ca="1" si="27"/>
        <v>1124913.4583154917</v>
      </c>
      <c r="N53" s="405">
        <f t="shared" ca="1" si="27"/>
        <v>1658785.8079611149</v>
      </c>
      <c r="O53" s="405">
        <f t="shared" ca="1" si="27"/>
        <v>2391074.1321759801</v>
      </c>
      <c r="P53" s="405">
        <f t="shared" ca="1" si="27"/>
        <v>2454055.6888867039</v>
      </c>
      <c r="Q53" s="405">
        <f t="shared" ca="1" si="27"/>
        <v>2263802.4972521495</v>
      </c>
      <c r="R53" s="405">
        <f t="shared" ca="1" si="27"/>
        <v>3656163.3058696706</v>
      </c>
      <c r="S53" s="405">
        <f t="shared" ca="1" si="27"/>
        <v>3367160.4143793611</v>
      </c>
      <c r="T53" s="405">
        <f t="shared" ca="1" si="27"/>
        <v>2939646.7603932098</v>
      </c>
      <c r="U53" s="405">
        <f t="shared" ca="1" si="27"/>
        <v>6323530.943517141</v>
      </c>
      <c r="V53" s="405">
        <f t="shared" ca="1" si="27"/>
        <v>3867120.5283268476</v>
      </c>
      <c r="W53" s="405">
        <f t="shared" ca="1" si="27"/>
        <v>7481159.2309511509</v>
      </c>
      <c r="X53" s="405">
        <f t="shared" ca="1" si="27"/>
        <v>6892299.0212185048</v>
      </c>
      <c r="Y53" s="405">
        <f t="shared" ca="1" si="27"/>
        <v>7738986.0894168336</v>
      </c>
      <c r="Z53" s="405">
        <f t="shared" ca="1" si="27"/>
        <v>6905649.4625427993</v>
      </c>
      <c r="AA53" s="405">
        <f t="shared" ca="1" si="27"/>
        <v>6452390.5531457337</v>
      </c>
      <c r="AB53" s="405">
        <f t="shared" ca="1" si="27"/>
        <v>7276475.3891526824</v>
      </c>
      <c r="AC53" s="405">
        <f t="shared" ca="1" si="27"/>
        <v>7584966.0235750247</v>
      </c>
      <c r="AD53" s="405">
        <f t="shared" ca="1" si="27"/>
        <v>7926454.0511700995</v>
      </c>
      <c r="AE53" s="405">
        <f t="shared" ca="1" si="27"/>
        <v>6021910.4044133741</v>
      </c>
      <c r="AF53" s="405">
        <f t="shared" ca="1" si="27"/>
        <v>8280636.943908344</v>
      </c>
      <c r="AG53" s="405">
        <f t="shared" ca="1" si="27"/>
        <v>10243954.415121479</v>
      </c>
      <c r="AH53" s="405">
        <f t="shared" ca="1" si="27"/>
        <v>8237735.7718044762</v>
      </c>
      <c r="AI53" s="405">
        <f t="shared" ca="1" si="27"/>
        <v>6857339.0070067616</v>
      </c>
      <c r="AJ53" s="405">
        <f t="shared" ca="1" si="27"/>
        <v>8771704.7033157535</v>
      </c>
      <c r="AK53" s="405">
        <f t="shared" ca="1" si="27"/>
        <v>8970146.7685051206</v>
      </c>
      <c r="AL53" s="405">
        <f t="shared" ca="1" si="27"/>
        <v>9379167.1895642541</v>
      </c>
      <c r="AM53" s="405">
        <f t="shared" ca="1" si="27"/>
        <v>10115411.16297074</v>
      </c>
      <c r="AN53" s="405">
        <f t="shared" ca="1" si="27"/>
        <v>7777382.761951711</v>
      </c>
    </row>
    <row r="54" spans="1:40" x14ac:dyDescent="0.25">
      <c r="A54" s="553"/>
      <c r="B54" s="551" t="s">
        <v>4111</v>
      </c>
      <c r="C54" s="551"/>
      <c r="D54" s="400">
        <f>6.25*D49</f>
        <v>5</v>
      </c>
    </row>
    <row r="55" spans="1:40" x14ac:dyDescent="0.25">
      <c r="A55" s="553"/>
      <c r="B55" s="552" t="s">
        <v>3262</v>
      </c>
      <c r="C55" s="552"/>
      <c r="D55" s="552"/>
    </row>
    <row r="56" spans="1:40" x14ac:dyDescent="0.25">
      <c r="B56" s="493" t="s">
        <v>3262</v>
      </c>
      <c r="C56" s="493"/>
      <c r="D56" s="493"/>
      <c r="E56" s="115"/>
      <c r="F56" s="88">
        <f t="shared" ref="F56:AN56" si="28">SUM(F49,F52:F53)</f>
        <v>0</v>
      </c>
      <c r="G56" s="88">
        <f t="shared" si="28"/>
        <v>0</v>
      </c>
      <c r="H56" s="88">
        <f t="shared" si="28"/>
        <v>0</v>
      </c>
      <c r="I56" s="88">
        <f t="shared" si="28"/>
        <v>0</v>
      </c>
      <c r="J56" s="88">
        <f t="shared" ca="1" si="28"/>
        <v>2407351.7578874971</v>
      </c>
      <c r="K56" s="88">
        <f t="shared" ca="1" si="28"/>
        <v>5548210.4886353351</v>
      </c>
      <c r="L56" s="88">
        <f t="shared" ca="1" si="28"/>
        <v>5617770.7624334814</v>
      </c>
      <c r="M56" s="88">
        <f t="shared" ca="1" si="28"/>
        <v>8284222.6793419421</v>
      </c>
      <c r="N56" s="88">
        <f t="shared" ca="1" si="28"/>
        <v>12215829.501284199</v>
      </c>
      <c r="O56" s="88">
        <f t="shared" ca="1" si="28"/>
        <v>17608635.053066216</v>
      </c>
      <c r="P56" s="88">
        <f t="shared" ca="1" si="28"/>
        <v>18072451.390782133</v>
      </c>
      <c r="Q56" s="88">
        <f t="shared" ca="1" si="28"/>
        <v>16671366.00656395</v>
      </c>
      <c r="R56" s="88">
        <f t="shared" ca="1" si="28"/>
        <v>26925156.55668214</v>
      </c>
      <c r="S56" s="88">
        <f t="shared" ca="1" si="28"/>
        <v>24796846.782822218</v>
      </c>
      <c r="T56" s="88">
        <f t="shared" ca="1" si="28"/>
        <v>21648499.430498924</v>
      </c>
      <c r="U56" s="88">
        <f t="shared" ca="1" si="28"/>
        <v>46568505.397962153</v>
      </c>
      <c r="V56" s="88">
        <f t="shared" ca="1" si="28"/>
        <v>28478713.049167976</v>
      </c>
      <c r="W56" s="88">
        <f t="shared" ca="1" si="28"/>
        <v>55093650.547678187</v>
      </c>
      <c r="X56" s="88">
        <f t="shared" ca="1" si="28"/>
        <v>50757095.527939856</v>
      </c>
      <c r="Y56" s="88">
        <f t="shared" ca="1" si="28"/>
        <v>56992370.038014174</v>
      </c>
      <c r="Z56" s="88">
        <f t="shared" ca="1" si="28"/>
        <v>50855412.449993193</v>
      </c>
      <c r="AA56" s="88">
        <f t="shared" ca="1" si="28"/>
        <v>47517468.798342191</v>
      </c>
      <c r="AB56" s="88">
        <f t="shared" ca="1" si="28"/>
        <v>53586293.237844884</v>
      </c>
      <c r="AC56" s="88">
        <f t="shared" ca="1" si="28"/>
        <v>55858116.986734025</v>
      </c>
      <c r="AD56" s="88">
        <f t="shared" ca="1" si="28"/>
        <v>58372944.098112985</v>
      </c>
      <c r="AE56" s="88">
        <f t="shared" ca="1" si="28"/>
        <v>44347275.229429498</v>
      </c>
      <c r="AF56" s="88">
        <f t="shared" ca="1" si="28"/>
        <v>60981260.258763097</v>
      </c>
      <c r="AG56" s="88">
        <f t="shared" ca="1" si="28"/>
        <v>75439758.378367424</v>
      </c>
      <c r="AH56" s="88">
        <f t="shared" ca="1" si="28"/>
        <v>60665322.299015142</v>
      </c>
      <c r="AI56" s="88">
        <f t="shared" ca="1" si="28"/>
        <v>50499638.796080045</v>
      </c>
      <c r="AJ56" s="88">
        <f t="shared" ca="1" si="28"/>
        <v>64597640.380722269</v>
      </c>
      <c r="AK56" s="88">
        <f t="shared" ca="1" si="28"/>
        <v>66059031.250237636</v>
      </c>
      <c r="AL56" s="88">
        <f t="shared" ca="1" si="28"/>
        <v>69071188.517451838</v>
      </c>
      <c r="AM56" s="88">
        <f t="shared" ca="1" si="28"/>
        <v>74493124.735688701</v>
      </c>
      <c r="AN56" s="88">
        <f t="shared" ca="1" si="28"/>
        <v>57275135.421496227</v>
      </c>
    </row>
    <row r="58" spans="1:40" ht="15.75" x14ac:dyDescent="0.25">
      <c r="B58" s="76"/>
      <c r="C58" s="76"/>
      <c r="D58" s="548" t="s">
        <v>4199</v>
      </c>
      <c r="E58" s="548"/>
      <c r="F58" s="315">
        <f>SUM(F56,F44,F30,F14)</f>
        <v>0</v>
      </c>
      <c r="G58" s="315">
        <f t="shared" ref="G58:AN58" si="29">SUM(G56,G44,G30,G14)</f>
        <v>0</v>
      </c>
      <c r="H58" s="315">
        <f t="shared" si="29"/>
        <v>0</v>
      </c>
      <c r="I58" s="315">
        <f t="shared" si="29"/>
        <v>0</v>
      </c>
      <c r="J58" s="315">
        <f ca="1">SUM(J56,J44,J30,J14)</f>
        <v>7071556.8009145968</v>
      </c>
      <c r="K58" s="315">
        <f t="shared" ca="1" si="29"/>
        <v>15850609.599863678</v>
      </c>
      <c r="L58" s="315">
        <f t="shared" ca="1" si="29"/>
        <v>21271619.44360758</v>
      </c>
      <c r="M58" s="315">
        <f t="shared" ca="1" si="29"/>
        <v>31601542.346211277</v>
      </c>
      <c r="N58" s="315">
        <f t="shared" ca="1" si="29"/>
        <v>41718655.72392711</v>
      </c>
      <c r="O58" s="315">
        <f t="shared" ca="1" si="29"/>
        <v>59100984.303723484</v>
      </c>
      <c r="P58" s="315">
        <f t="shared" ca="1" si="29"/>
        <v>57404778.296147868</v>
      </c>
      <c r="Q58" s="315">
        <f t="shared" ca="1" si="29"/>
        <v>75652868.757182986</v>
      </c>
      <c r="R58" s="315">
        <f t="shared" ca="1" si="29"/>
        <v>98646028.007979929</v>
      </c>
      <c r="S58" s="315">
        <f t="shared" ca="1" si="29"/>
        <v>109572103.83905834</v>
      </c>
      <c r="T58" s="315">
        <f t="shared" ca="1" si="29"/>
        <v>114796379.26044703</v>
      </c>
      <c r="U58" s="315">
        <f t="shared" ca="1" si="29"/>
        <v>166960092.81490719</v>
      </c>
      <c r="V58" s="315">
        <f t="shared" ca="1" si="29"/>
        <v>159281073.80111015</v>
      </c>
      <c r="W58" s="315">
        <f t="shared" ca="1" si="29"/>
        <v>207684369.39023006</v>
      </c>
      <c r="X58" s="315">
        <f t="shared" ca="1" si="29"/>
        <v>222687719.27609375</v>
      </c>
      <c r="Y58" s="315">
        <f t="shared" ca="1" si="29"/>
        <v>257245512.23456973</v>
      </c>
      <c r="Z58" s="315">
        <f t="shared" ca="1" si="29"/>
        <v>229902885.66515082</v>
      </c>
      <c r="AA58" s="315">
        <f t="shared" ca="1" si="29"/>
        <v>236558112.88321841</v>
      </c>
      <c r="AB58" s="315">
        <f t="shared" ca="1" si="29"/>
        <v>254734857.27935416</v>
      </c>
      <c r="AC58" s="315">
        <f t="shared" ca="1" si="29"/>
        <v>278659984.65067357</v>
      </c>
      <c r="AD58" s="315">
        <f t="shared" ca="1" si="29"/>
        <v>299711036.33246326</v>
      </c>
      <c r="AE58" s="315">
        <f t="shared" ca="1" si="29"/>
        <v>293461155.51347917</v>
      </c>
      <c r="AF58" s="315">
        <f t="shared" ca="1" si="29"/>
        <v>263993476.50635213</v>
      </c>
      <c r="AG58" s="315">
        <f t="shared" ca="1" si="29"/>
        <v>338612231.80676037</v>
      </c>
      <c r="AH58" s="315">
        <f t="shared" ca="1" si="29"/>
        <v>343532829.84011745</v>
      </c>
      <c r="AI58" s="315">
        <f t="shared" ca="1" si="29"/>
        <v>355528035.77727187</v>
      </c>
      <c r="AJ58" s="315">
        <f t="shared" ca="1" si="29"/>
        <v>329979009.45694095</v>
      </c>
      <c r="AK58" s="315">
        <f t="shared" ca="1" si="29"/>
        <v>369623015.33218765</v>
      </c>
      <c r="AL58" s="315">
        <f t="shared" ca="1" si="29"/>
        <v>348125906.89530855</v>
      </c>
      <c r="AM58" s="315">
        <f t="shared" ca="1" si="29"/>
        <v>430177848.47344732</v>
      </c>
      <c r="AN58" s="315">
        <f t="shared" ca="1" si="29"/>
        <v>381156707.92250776</v>
      </c>
    </row>
    <row r="59" spans="1:40" ht="15.75" x14ac:dyDescent="0.25">
      <c r="B59" s="313"/>
      <c r="C59" s="313"/>
      <c r="D59" s="313"/>
      <c r="E59" s="314"/>
      <c r="F59" s="315"/>
      <c r="G59" s="315"/>
      <c r="H59" s="315"/>
      <c r="I59" s="315"/>
      <c r="J59" s="315"/>
      <c r="K59" s="315"/>
      <c r="L59" s="315"/>
      <c r="M59" s="315"/>
      <c r="N59" s="315"/>
      <c r="O59" s="315"/>
      <c r="P59" s="315"/>
      <c r="Q59" s="315"/>
      <c r="R59" s="315"/>
      <c r="S59" s="315"/>
      <c r="T59" s="315"/>
      <c r="U59" s="315"/>
      <c r="V59" s="315"/>
      <c r="W59" s="315"/>
      <c r="X59" s="315"/>
      <c r="Y59" s="315"/>
      <c r="Z59" s="315"/>
      <c r="AA59" s="315"/>
      <c r="AB59" s="315"/>
      <c r="AC59" s="315"/>
      <c r="AD59" s="315"/>
      <c r="AE59" s="315"/>
      <c r="AF59" s="315"/>
      <c r="AG59" s="315"/>
      <c r="AH59" s="315"/>
      <c r="AI59" s="315"/>
      <c r="AJ59" s="315"/>
      <c r="AK59" s="315"/>
      <c r="AL59" s="315"/>
      <c r="AM59" s="315"/>
      <c r="AN59" s="315"/>
    </row>
    <row r="60" spans="1:40" x14ac:dyDescent="0.25">
      <c r="A60" s="553" t="s">
        <v>3754</v>
      </c>
      <c r="B60" s="554" t="s">
        <v>4129</v>
      </c>
      <c r="C60" s="554"/>
      <c r="D60" s="554"/>
      <c r="E60" s="293"/>
      <c r="F60" s="58" t="s">
        <v>3701</v>
      </c>
      <c r="G60" s="17" t="s">
        <v>3702</v>
      </c>
      <c r="H60" s="58" t="s">
        <v>3703</v>
      </c>
      <c r="I60" s="17" t="s">
        <v>3704</v>
      </c>
      <c r="J60" s="58" t="s">
        <v>3705</v>
      </c>
      <c r="K60" s="17" t="s">
        <v>3706</v>
      </c>
      <c r="L60" s="58" t="s">
        <v>3707</v>
      </c>
      <c r="M60" s="17" t="s">
        <v>3708</v>
      </c>
      <c r="N60" s="58" t="s">
        <v>3709</v>
      </c>
      <c r="O60" s="17" t="s">
        <v>3710</v>
      </c>
      <c r="P60" s="58" t="s">
        <v>3711</v>
      </c>
      <c r="Q60" s="17" t="s">
        <v>3712</v>
      </c>
      <c r="R60" s="58" t="s">
        <v>3713</v>
      </c>
      <c r="S60" s="17" t="s">
        <v>3714</v>
      </c>
      <c r="T60" s="58" t="s">
        <v>3715</v>
      </c>
      <c r="U60" s="17" t="s">
        <v>3716</v>
      </c>
      <c r="V60" s="58" t="s">
        <v>3717</v>
      </c>
      <c r="W60" s="17" t="s">
        <v>3718</v>
      </c>
      <c r="X60" s="58" t="s">
        <v>3719</v>
      </c>
      <c r="Y60" s="17" t="s">
        <v>3720</v>
      </c>
      <c r="Z60" s="58" t="s">
        <v>3721</v>
      </c>
      <c r="AA60" s="17" t="s">
        <v>3722</v>
      </c>
      <c r="AB60" s="58" t="s">
        <v>3723</v>
      </c>
      <c r="AC60" s="17" t="s">
        <v>3724</v>
      </c>
      <c r="AD60" s="58" t="s">
        <v>3725</v>
      </c>
      <c r="AE60" s="17" t="s">
        <v>3726</v>
      </c>
      <c r="AF60" s="58" t="s">
        <v>3727</v>
      </c>
      <c r="AG60" s="17" t="s">
        <v>3728</v>
      </c>
      <c r="AH60" s="58" t="s">
        <v>3729</v>
      </c>
      <c r="AI60" s="17" t="s">
        <v>3730</v>
      </c>
      <c r="AJ60" s="58" t="s">
        <v>3731</v>
      </c>
      <c r="AK60" s="17" t="s">
        <v>3732</v>
      </c>
      <c r="AL60" s="58" t="s">
        <v>3733</v>
      </c>
      <c r="AM60" s="17" t="s">
        <v>3734</v>
      </c>
      <c r="AN60" s="17" t="s">
        <v>3735</v>
      </c>
    </row>
    <row r="61" spans="1:40" x14ac:dyDescent="0.25">
      <c r="A61" s="553"/>
      <c r="B61" s="554"/>
      <c r="C61" s="554"/>
      <c r="D61" s="554"/>
      <c r="E61" s="311" t="s">
        <v>4130</v>
      </c>
      <c r="F61" s="37">
        <f ca="1">4000*(1+_xlfn.NORM.INV(RAND(),0,16.2%))</f>
        <v>3805.6732558557678</v>
      </c>
      <c r="G61" s="37">
        <f ca="1">4000*(1+_xlfn.NORM.INV(RAND(),0,16.2%))</f>
        <v>4516.4669090292336</v>
      </c>
      <c r="H61" s="37">
        <f t="shared" ref="H61:AN61" ca="1" si="30">4000*(1+_xlfn.NORM.INV(RAND(),0,16.2%))</f>
        <v>4002.8495386074114</v>
      </c>
      <c r="I61" s="37">
        <f t="shared" ca="1" si="30"/>
        <v>2207.5502754528093</v>
      </c>
      <c r="J61" s="37">
        <f t="shared" ca="1" si="30"/>
        <v>4954.4736006615713</v>
      </c>
      <c r="K61" s="37">
        <f t="shared" ca="1" si="30"/>
        <v>4589.4400383539805</v>
      </c>
      <c r="L61" s="37">
        <f t="shared" ca="1" si="30"/>
        <v>3975.2529558340261</v>
      </c>
      <c r="M61" s="37">
        <f t="shared" ca="1" si="30"/>
        <v>3358.9740141416041</v>
      </c>
      <c r="N61" s="37">
        <f t="shared" ca="1" si="30"/>
        <v>5080.7416724212653</v>
      </c>
      <c r="O61" s="37">
        <f t="shared" ca="1" si="30"/>
        <v>4081.8765764590676</v>
      </c>
      <c r="P61" s="37">
        <f t="shared" ca="1" si="30"/>
        <v>2849.9644605892154</v>
      </c>
      <c r="Q61" s="37">
        <f t="shared" ca="1" si="30"/>
        <v>3260.0570163213101</v>
      </c>
      <c r="R61" s="37">
        <f t="shared" ca="1" si="30"/>
        <v>3662.6199716899055</v>
      </c>
      <c r="S61" s="37">
        <f t="shared" ca="1" si="30"/>
        <v>5186.7258978064383</v>
      </c>
      <c r="T61" s="37">
        <f t="shared" ca="1" si="30"/>
        <v>4638.3148097908734</v>
      </c>
      <c r="U61" s="37">
        <f t="shared" ca="1" si="30"/>
        <v>4405.2828380960391</v>
      </c>
      <c r="V61" s="37">
        <f t="shared" ca="1" si="30"/>
        <v>3461.284918334386</v>
      </c>
      <c r="W61" s="37">
        <f t="shared" ca="1" si="30"/>
        <v>3798.3497475149807</v>
      </c>
      <c r="X61" s="37">
        <f t="shared" ca="1" si="30"/>
        <v>4649.103987833234</v>
      </c>
      <c r="Y61" s="37">
        <f t="shared" ca="1" si="30"/>
        <v>3445.320676791966</v>
      </c>
      <c r="Z61" s="37">
        <f t="shared" ca="1" si="30"/>
        <v>5493.1374035418376</v>
      </c>
      <c r="AA61" s="37">
        <f t="shared" ca="1" si="30"/>
        <v>2319.2207425044171</v>
      </c>
      <c r="AB61" s="37">
        <f t="shared" ca="1" si="30"/>
        <v>4607.0746034524154</v>
      </c>
      <c r="AC61" s="37">
        <f t="shared" ca="1" si="30"/>
        <v>4860.3672236763377</v>
      </c>
      <c r="AD61" s="37">
        <f t="shared" ca="1" si="30"/>
        <v>3722.3367283598768</v>
      </c>
      <c r="AE61" s="37">
        <f t="shared" ca="1" si="30"/>
        <v>4007.6635487002495</v>
      </c>
      <c r="AF61" s="37">
        <f t="shared" ca="1" si="30"/>
        <v>2970.2409212234384</v>
      </c>
      <c r="AG61" s="37">
        <f t="shared" ca="1" si="30"/>
        <v>3394.0922530385587</v>
      </c>
      <c r="AH61" s="37">
        <f t="shared" ca="1" si="30"/>
        <v>3639.0604136117149</v>
      </c>
      <c r="AI61" s="37">
        <f t="shared" ca="1" si="30"/>
        <v>5173.6087991849008</v>
      </c>
      <c r="AJ61" s="37">
        <f t="shared" ca="1" si="30"/>
        <v>3776.6734059972878</v>
      </c>
      <c r="AK61" s="37">
        <f t="shared" ca="1" si="30"/>
        <v>4635.0520588668141</v>
      </c>
      <c r="AL61" s="37">
        <f t="shared" ca="1" si="30"/>
        <v>4736.3892122255147</v>
      </c>
      <c r="AM61" s="37">
        <f t="shared" ca="1" si="30"/>
        <v>3723.0537612621674</v>
      </c>
      <c r="AN61" s="37">
        <f t="shared" ca="1" si="30"/>
        <v>3019.3117661480019</v>
      </c>
    </row>
    <row r="62" spans="1:40" ht="15.75" x14ac:dyDescent="0.25">
      <c r="A62" s="553"/>
      <c r="B62" s="551" t="s">
        <v>4106</v>
      </c>
      <c r="C62" s="551"/>
      <c r="D62" s="400">
        <f>D6</f>
        <v>85.272000000000006</v>
      </c>
      <c r="E62" s="404" t="s">
        <v>4115</v>
      </c>
      <c r="F62" s="407">
        <f ca="1">$D62*F61</f>
        <v>324517.36987333308</v>
      </c>
      <c r="G62" s="407">
        <f t="shared" ref="G62:AN62" ca="1" si="31">$D62*G61</f>
        <v>385128.16626674082</v>
      </c>
      <c r="H62" s="407">
        <f t="shared" ca="1" si="31"/>
        <v>341330.98585613118</v>
      </c>
      <c r="I62" s="407">
        <f t="shared" ca="1" si="31"/>
        <v>188242.22708841198</v>
      </c>
      <c r="J62" s="407">
        <f t="shared" ca="1" si="31"/>
        <v>422477.87287561351</v>
      </c>
      <c r="K62" s="407">
        <f t="shared" ca="1" si="31"/>
        <v>391350.73095052066</v>
      </c>
      <c r="L62" s="407">
        <f t="shared" ca="1" si="31"/>
        <v>338977.77004987909</v>
      </c>
      <c r="M62" s="407">
        <f t="shared" ca="1" si="31"/>
        <v>286426.43213388289</v>
      </c>
      <c r="N62" s="407">
        <f t="shared" ca="1" si="31"/>
        <v>433245.00389070617</v>
      </c>
      <c r="O62" s="407">
        <f t="shared" ca="1" si="31"/>
        <v>348069.77942781762</v>
      </c>
      <c r="P62" s="407">
        <f t="shared" ca="1" si="31"/>
        <v>243022.1694833636</v>
      </c>
      <c r="Q62" s="407">
        <f t="shared" ca="1" si="31"/>
        <v>277991.58189575077</v>
      </c>
      <c r="R62" s="407">
        <f t="shared" ca="1" si="31"/>
        <v>312318.93022594164</v>
      </c>
      <c r="S62" s="407">
        <f t="shared" ca="1" si="31"/>
        <v>442282.49075775064</v>
      </c>
      <c r="T62" s="407">
        <f t="shared" ca="1" si="31"/>
        <v>395518.38046048739</v>
      </c>
      <c r="U62" s="407">
        <f t="shared" ca="1" si="31"/>
        <v>375647.27817012544</v>
      </c>
      <c r="V62" s="407">
        <f t="shared" ca="1" si="31"/>
        <v>295150.6875562098</v>
      </c>
      <c r="W62" s="407">
        <f t="shared" ca="1" si="31"/>
        <v>323892.87967009743</v>
      </c>
      <c r="X62" s="407">
        <f t="shared" ca="1" si="31"/>
        <v>396438.39525051555</v>
      </c>
      <c r="Y62" s="407">
        <f t="shared" ca="1" si="31"/>
        <v>293789.38475140452</v>
      </c>
      <c r="Z62" s="407">
        <f t="shared" ca="1" si="31"/>
        <v>468410.81267481961</v>
      </c>
      <c r="AA62" s="407">
        <f t="shared" ca="1" si="31"/>
        <v>197764.59115483667</v>
      </c>
      <c r="AB62" s="407">
        <f t="shared" ca="1" si="31"/>
        <v>392854.46558559441</v>
      </c>
      <c r="AC62" s="407">
        <f t="shared" ca="1" si="31"/>
        <v>414453.23389732873</v>
      </c>
      <c r="AD62" s="407">
        <f t="shared" ca="1" si="31"/>
        <v>317411.09750070341</v>
      </c>
      <c r="AE62" s="407">
        <f t="shared" ca="1" si="31"/>
        <v>341741.48612476769</v>
      </c>
      <c r="AF62" s="407">
        <f t="shared" ca="1" si="31"/>
        <v>253278.38383456506</v>
      </c>
      <c r="AG62" s="407">
        <f t="shared" ca="1" si="31"/>
        <v>289421.03460110398</v>
      </c>
      <c r="AH62" s="407">
        <f t="shared" ca="1" si="31"/>
        <v>310309.95958949818</v>
      </c>
      <c r="AI62" s="407">
        <f t="shared" ca="1" si="31"/>
        <v>441163.96952409489</v>
      </c>
      <c r="AJ62" s="407">
        <f t="shared" ca="1" si="31"/>
        <v>322044.49467620073</v>
      </c>
      <c r="AK62" s="407">
        <f t="shared" ca="1" si="31"/>
        <v>395240.15916369099</v>
      </c>
      <c r="AL62" s="407">
        <f t="shared" ca="1" si="31"/>
        <v>403881.38090489409</v>
      </c>
      <c r="AM62" s="407">
        <f t="shared" ca="1" si="31"/>
        <v>317472.24033034756</v>
      </c>
      <c r="AN62" s="407">
        <f t="shared" ca="1" si="31"/>
        <v>257462.75292297243</v>
      </c>
    </row>
    <row r="63" spans="1:40" ht="15.75" x14ac:dyDescent="0.25">
      <c r="A63" s="553"/>
      <c r="B63" s="551" t="s">
        <v>4107</v>
      </c>
      <c r="C63" s="551"/>
      <c r="D63" s="400">
        <f>D7</f>
        <v>521.34399999999994</v>
      </c>
      <c r="E63" s="404" t="s">
        <v>4098</v>
      </c>
      <c r="F63" s="407">
        <f ca="1">F61*$D63</f>
        <v>1984064.9179008692</v>
      </c>
      <c r="G63" s="407">
        <f t="shared" ref="G63:AN63" ca="1" si="32">G61*$D63</f>
        <v>2354632.9242209364</v>
      </c>
      <c r="H63" s="407">
        <f t="shared" ca="1" si="32"/>
        <v>2086861.5898557419</v>
      </c>
      <c r="I63" s="407">
        <f t="shared" ca="1" si="32"/>
        <v>1150893.0908056693</v>
      </c>
      <c r="J63" s="407">
        <f t="shared" ca="1" si="32"/>
        <v>2582985.084863306</v>
      </c>
      <c r="K63" s="407">
        <f t="shared" ca="1" si="32"/>
        <v>2392677.0273556174</v>
      </c>
      <c r="L63" s="407">
        <f t="shared" ca="1" si="32"/>
        <v>2072474.2770063342</v>
      </c>
      <c r="M63" s="407">
        <f t="shared" ca="1" si="32"/>
        <v>1751180.9484286401</v>
      </c>
      <c r="N63" s="407">
        <f t="shared" ca="1" si="32"/>
        <v>2648814.1864667917</v>
      </c>
      <c r="O63" s="407">
        <f t="shared" ca="1" si="32"/>
        <v>2128061.8618774759</v>
      </c>
      <c r="P63" s="407">
        <f t="shared" ca="1" si="32"/>
        <v>1485811.8717414236</v>
      </c>
      <c r="Q63" s="407">
        <f t="shared" ca="1" si="32"/>
        <v>1699611.165117017</v>
      </c>
      <c r="R63" s="407">
        <f t="shared" ca="1" si="32"/>
        <v>1909484.9465207017</v>
      </c>
      <c r="S63" s="407">
        <f t="shared" ca="1" si="32"/>
        <v>2704068.4264659993</v>
      </c>
      <c r="T63" s="407">
        <f t="shared" ca="1" si="32"/>
        <v>2418157.5961956126</v>
      </c>
      <c r="U63" s="407">
        <f t="shared" ca="1" si="32"/>
        <v>2296667.775944341</v>
      </c>
      <c r="V63" s="407">
        <f t="shared" ca="1" si="32"/>
        <v>1804520.1244641219</v>
      </c>
      <c r="W63" s="407">
        <f t="shared" ca="1" si="32"/>
        <v>1980246.8507684499</v>
      </c>
      <c r="X63" s="407">
        <f t="shared" ca="1" si="32"/>
        <v>2423782.4694329291</v>
      </c>
      <c r="Y63" s="407">
        <f t="shared" ca="1" si="32"/>
        <v>1796197.2629214304</v>
      </c>
      <c r="Z63" s="407">
        <f t="shared" ca="1" si="32"/>
        <v>2863814.2265121154</v>
      </c>
      <c r="AA63" s="407">
        <f t="shared" ca="1" si="32"/>
        <v>1209111.8187802227</v>
      </c>
      <c r="AB63" s="407">
        <f t="shared" ca="1" si="32"/>
        <v>2401870.7020622957</v>
      </c>
      <c r="AC63" s="407">
        <f t="shared" ca="1" si="32"/>
        <v>2533923.2898603166</v>
      </c>
      <c r="AD63" s="407">
        <f t="shared" ca="1" si="32"/>
        <v>1940617.9193100515</v>
      </c>
      <c r="AE63" s="407">
        <f t="shared" ca="1" si="32"/>
        <v>2089371.3451335826</v>
      </c>
      <c r="AF63" s="407">
        <f t="shared" ca="1" si="32"/>
        <v>1548517.2828343119</v>
      </c>
      <c r="AG63" s="407">
        <f t="shared" ca="1" si="32"/>
        <v>1769489.6315681341</v>
      </c>
      <c r="AH63" s="407">
        <f t="shared" ca="1" si="32"/>
        <v>1897202.3122739857</v>
      </c>
      <c r="AI63" s="407">
        <f t="shared" ca="1" si="32"/>
        <v>2697229.9058022527</v>
      </c>
      <c r="AJ63" s="407">
        <f t="shared" ca="1" si="32"/>
        <v>1968946.0201762498</v>
      </c>
      <c r="AK63" s="407">
        <f t="shared" ca="1" si="32"/>
        <v>2416456.5805778601</v>
      </c>
      <c r="AL63" s="407">
        <f t="shared" ca="1" si="32"/>
        <v>2469288.0974584986</v>
      </c>
      <c r="AM63" s="407">
        <f t="shared" ca="1" si="32"/>
        <v>1940991.7401114632</v>
      </c>
      <c r="AN63" s="407">
        <f t="shared" ca="1" si="32"/>
        <v>1574100.0734106638</v>
      </c>
    </row>
    <row r="64" spans="1:40" ht="15.75" x14ac:dyDescent="0.25">
      <c r="A64" s="553"/>
      <c r="B64" s="398" t="s">
        <v>4099</v>
      </c>
      <c r="C64" s="398"/>
      <c r="D64" s="401"/>
      <c r="E64" s="115"/>
      <c r="F64" s="315"/>
      <c r="G64" s="315"/>
      <c r="H64" s="315"/>
      <c r="I64" s="315"/>
      <c r="J64" s="315"/>
      <c r="K64" s="315"/>
      <c r="L64" s="315"/>
      <c r="M64" s="315"/>
      <c r="N64" s="315"/>
      <c r="O64" s="315"/>
      <c r="P64" s="315"/>
      <c r="Q64" s="315"/>
      <c r="R64" s="315"/>
      <c r="S64" s="315"/>
      <c r="T64" s="315"/>
      <c r="U64" s="315"/>
      <c r="V64" s="315"/>
      <c r="W64" s="315"/>
      <c r="X64" s="315"/>
      <c r="Y64" s="315"/>
      <c r="Z64" s="315"/>
      <c r="AA64" s="315"/>
      <c r="AB64" s="315"/>
      <c r="AC64" s="315"/>
      <c r="AD64" s="315"/>
      <c r="AE64" s="315"/>
      <c r="AF64" s="315"/>
      <c r="AG64" s="315"/>
      <c r="AH64" s="315"/>
      <c r="AI64" s="315"/>
      <c r="AJ64" s="315"/>
      <c r="AK64" s="315"/>
      <c r="AL64" s="315"/>
      <c r="AM64" s="315"/>
      <c r="AN64" s="315"/>
    </row>
    <row r="65" spans="1:40" ht="15.75" x14ac:dyDescent="0.25">
      <c r="A65" s="553"/>
      <c r="B65" s="551" t="s">
        <v>4100</v>
      </c>
      <c r="C65" s="551"/>
      <c r="D65" s="402">
        <v>10</v>
      </c>
      <c r="E65" s="302" t="s">
        <v>4119</v>
      </c>
      <c r="F65" s="315"/>
      <c r="G65" s="315"/>
      <c r="H65" s="315"/>
      <c r="I65" s="315"/>
      <c r="J65" s="315"/>
      <c r="K65" s="315"/>
      <c r="L65" s="315"/>
      <c r="M65" s="315"/>
      <c r="N65" s="315"/>
      <c r="O65" s="315"/>
      <c r="P65" s="315"/>
      <c r="Q65" s="315"/>
      <c r="R65" s="315"/>
      <c r="S65" s="315"/>
      <c r="T65" s="315"/>
      <c r="U65" s="315"/>
      <c r="V65" s="315"/>
      <c r="W65" s="315"/>
      <c r="X65" s="315"/>
      <c r="Y65" s="315"/>
      <c r="Z65" s="315"/>
      <c r="AA65" s="315"/>
      <c r="AB65" s="315"/>
      <c r="AC65" s="315"/>
      <c r="AD65" s="315"/>
      <c r="AE65" s="315"/>
      <c r="AF65" s="315"/>
      <c r="AG65" s="315"/>
      <c r="AH65" s="315"/>
      <c r="AI65" s="315"/>
      <c r="AJ65" s="315"/>
      <c r="AK65" s="315"/>
      <c r="AL65" s="315"/>
      <c r="AM65" s="315"/>
      <c r="AN65" s="315"/>
    </row>
    <row r="66" spans="1:40" x14ac:dyDescent="0.25">
      <c r="A66" s="553"/>
      <c r="B66" s="401" t="s">
        <v>4101</v>
      </c>
      <c r="C66" s="401">
        <v>3</v>
      </c>
      <c r="D66" s="400">
        <f>D11</f>
        <v>136.84</v>
      </c>
      <c r="E66" s="406" t="s">
        <v>4101</v>
      </c>
      <c r="F66" s="405">
        <f ca="1">F61*$C66*$D66</f>
        <v>1562304.98499391</v>
      </c>
      <c r="G66" s="405">
        <f t="shared" ref="G66:AN66" ca="1" si="33">G61*$C66*$D66</f>
        <v>1854099.9954946809</v>
      </c>
      <c r="H66" s="405">
        <f t="shared" ca="1" si="33"/>
        <v>1643249.7925891145</v>
      </c>
      <c r="I66" s="405">
        <f t="shared" ca="1" si="33"/>
        <v>906243.5390788872</v>
      </c>
      <c r="J66" s="405">
        <f t="shared" ca="1" si="33"/>
        <v>2033910.5025435882</v>
      </c>
      <c r="K66" s="405">
        <f t="shared" ca="1" si="33"/>
        <v>1884056.9245450762</v>
      </c>
      <c r="L66" s="405">
        <f t="shared" ca="1" si="33"/>
        <v>1631920.8434289843</v>
      </c>
      <c r="M66" s="405">
        <f t="shared" ca="1" si="33"/>
        <v>1378926.0122854114</v>
      </c>
      <c r="N66" s="405">
        <f t="shared" ca="1" si="33"/>
        <v>2085746.0713623778</v>
      </c>
      <c r="O66" s="405">
        <f t="shared" ca="1" si="33"/>
        <v>1675691.9721679764</v>
      </c>
      <c r="P66" s="405">
        <f t="shared" ca="1" si="33"/>
        <v>1169967.4103610846</v>
      </c>
      <c r="Q66" s="405">
        <f t="shared" ca="1" si="33"/>
        <v>1338318.6063402242</v>
      </c>
      <c r="R66" s="405">
        <f t="shared" ca="1" si="33"/>
        <v>1503578.7507781398</v>
      </c>
      <c r="S66" s="405">
        <f t="shared" ca="1" si="33"/>
        <v>2129254.7155674989</v>
      </c>
      <c r="T66" s="405">
        <f t="shared" ca="1" si="33"/>
        <v>1904120.9957153492</v>
      </c>
      <c r="U66" s="405">
        <f t="shared" ca="1" si="33"/>
        <v>1808456.7106951862</v>
      </c>
      <c r="V66" s="405">
        <f t="shared" ca="1" si="33"/>
        <v>1420926.6846746323</v>
      </c>
      <c r="W66" s="405">
        <f t="shared" ca="1" si="33"/>
        <v>1559298.5383498499</v>
      </c>
      <c r="X66" s="405">
        <f t="shared" ca="1" si="33"/>
        <v>1908550.1690852994</v>
      </c>
      <c r="Y66" s="405">
        <f t="shared" ca="1" si="33"/>
        <v>1414373.0442366379</v>
      </c>
      <c r="Z66" s="405">
        <f t="shared" ca="1" si="33"/>
        <v>2255042.7669019951</v>
      </c>
      <c r="AA66" s="405">
        <f t="shared" ca="1" si="33"/>
        <v>952086.49921291333</v>
      </c>
      <c r="AB66" s="405">
        <f t="shared" ca="1" si="33"/>
        <v>1891296.2662092855</v>
      </c>
      <c r="AC66" s="405">
        <f t="shared" ca="1" si="33"/>
        <v>1995277.9526636102</v>
      </c>
      <c r="AD66" s="405">
        <f t="shared" ca="1" si="33"/>
        <v>1528093.6737262968</v>
      </c>
      <c r="AE66" s="405">
        <f t="shared" ca="1" si="33"/>
        <v>1645226.0400124264</v>
      </c>
      <c r="AF66" s="405">
        <f t="shared" ca="1" si="33"/>
        <v>1219343.302980646</v>
      </c>
      <c r="AG66" s="405">
        <f t="shared" ca="1" si="33"/>
        <v>1393342.7517173893</v>
      </c>
      <c r="AH66" s="405">
        <f t="shared" ca="1" si="33"/>
        <v>1493907.0809958812</v>
      </c>
      <c r="AI66" s="405">
        <f t="shared" ca="1" si="33"/>
        <v>2123869.8842413854</v>
      </c>
      <c r="AJ66" s="405">
        <f t="shared" ca="1" si="33"/>
        <v>1550399.9666300067</v>
      </c>
      <c r="AK66" s="405">
        <f t="shared" ca="1" si="33"/>
        <v>1902781.5712060044</v>
      </c>
      <c r="AL66" s="405">
        <f t="shared" ca="1" si="33"/>
        <v>1944382.4994028183</v>
      </c>
      <c r="AM66" s="405">
        <f t="shared" ca="1" si="33"/>
        <v>1528388.0300733452</v>
      </c>
      <c r="AN66" s="405">
        <f t="shared" ca="1" si="33"/>
        <v>1239487.8662390776</v>
      </c>
    </row>
    <row r="67" spans="1:40" x14ac:dyDescent="0.25">
      <c r="A67" s="553"/>
      <c r="B67" s="401" t="s">
        <v>4102</v>
      </c>
      <c r="C67" s="401">
        <v>7</v>
      </c>
      <c r="D67" s="400">
        <f>D12</f>
        <v>175.928</v>
      </c>
      <c r="E67" s="406" t="s">
        <v>4120</v>
      </c>
      <c r="F67" s="405">
        <f ca="1">F61*$C67*$D67</f>
        <v>4686671.3918933552</v>
      </c>
      <c r="G67" s="405">
        <f t="shared" ref="G67:AN67" ca="1" si="34">G61*$C67*$D67</f>
        <v>5562010.9326018654</v>
      </c>
      <c r="H67" s="405">
        <f t="shared" ca="1" si="34"/>
        <v>4929493.1953968732</v>
      </c>
      <c r="I67" s="405">
        <f t="shared" ca="1" si="34"/>
        <v>2718589.3340190328</v>
      </c>
      <c r="J67" s="405">
        <f t="shared" ca="1" si="34"/>
        <v>6101414.421320322</v>
      </c>
      <c r="K67" s="405">
        <f t="shared" ca="1" si="34"/>
        <v>5651877.0494727734</v>
      </c>
      <c r="L67" s="405">
        <f t="shared" ca="1" si="34"/>
        <v>4895508.1140977796</v>
      </c>
      <c r="M67" s="405">
        <f t="shared" ca="1" si="34"/>
        <v>4136563.0625193287</v>
      </c>
      <c r="N67" s="405">
        <f t="shared" ca="1" si="34"/>
        <v>6256913.0466200979</v>
      </c>
      <c r="O67" s="405">
        <f t="shared" ca="1" si="34"/>
        <v>5026814.6764030354</v>
      </c>
      <c r="P67" s="405">
        <f t="shared" ca="1" si="34"/>
        <v>3509719.833357776</v>
      </c>
      <c r="Q67" s="405">
        <f t="shared" ca="1" si="34"/>
        <v>4014747.1753716283</v>
      </c>
      <c r="R67" s="405">
        <f t="shared" ca="1" si="34"/>
        <v>4510501.8446562318</v>
      </c>
      <c r="S67" s="405">
        <f t="shared" ca="1" si="34"/>
        <v>6387432.196245038</v>
      </c>
      <c r="T67" s="405">
        <f t="shared" ca="1" si="34"/>
        <v>5712066.134998221</v>
      </c>
      <c r="U67" s="405">
        <f t="shared" ca="1" si="34"/>
        <v>5425088.1939839199</v>
      </c>
      <c r="V67" s="405">
        <f t="shared" ca="1" si="34"/>
        <v>4262558.5317891231</v>
      </c>
      <c r="W67" s="405">
        <f t="shared" ca="1" si="34"/>
        <v>4677652.520665708</v>
      </c>
      <c r="X67" s="405">
        <f t="shared" ca="1" si="34"/>
        <v>5725352.9646006767</v>
      </c>
      <c r="Y67" s="405">
        <f t="shared" ca="1" si="34"/>
        <v>4242898.6321865991</v>
      </c>
      <c r="Z67" s="405">
        <f t="shared" ca="1" si="34"/>
        <v>6764776.7399121579</v>
      </c>
      <c r="AA67" s="405">
        <f t="shared" ca="1" si="34"/>
        <v>2856111.0675112195</v>
      </c>
      <c r="AB67" s="405">
        <f t="shared" ca="1" si="34"/>
        <v>5673593.9458532352</v>
      </c>
      <c r="AC67" s="405">
        <f t="shared" ca="1" si="34"/>
        <v>5985522.7944885148</v>
      </c>
      <c r="AD67" s="405">
        <f t="shared" ca="1" si="34"/>
        <v>4584042.7916282741</v>
      </c>
      <c r="AE67" s="405">
        <f t="shared" ca="1" si="34"/>
        <v>4935421.6295701629</v>
      </c>
      <c r="AF67" s="405">
        <f t="shared" ca="1" si="34"/>
        <v>3657839.8135229796</v>
      </c>
      <c r="AG67" s="405">
        <f t="shared" ca="1" si="34"/>
        <v>4179811.0332479728</v>
      </c>
      <c r="AH67" s="405">
        <f t="shared" ca="1" si="34"/>
        <v>4481488.3431211729</v>
      </c>
      <c r="AI67" s="405">
        <f t="shared" ca="1" si="34"/>
        <v>6371278.541761009</v>
      </c>
      <c r="AJ67" s="405">
        <f t="shared" ca="1" si="34"/>
        <v>4650958.1927920356</v>
      </c>
      <c r="AK67" s="405">
        <f t="shared" ca="1" si="34"/>
        <v>5708048.070286246</v>
      </c>
      <c r="AL67" s="405">
        <f t="shared" ca="1" si="34"/>
        <v>5832844.3692988725</v>
      </c>
      <c r="AM67" s="405">
        <f t="shared" ca="1" si="34"/>
        <v>4584925.8147793142</v>
      </c>
      <c r="AN67" s="405">
        <f t="shared" ca="1" si="34"/>
        <v>3718270.3627641997</v>
      </c>
    </row>
    <row r="68" spans="1:40" ht="15.75" x14ac:dyDescent="0.25">
      <c r="A68" s="553"/>
      <c r="B68" s="398" t="s">
        <v>4103</v>
      </c>
      <c r="C68" s="401"/>
      <c r="D68" s="401"/>
      <c r="E68" s="115"/>
      <c r="F68" s="315"/>
      <c r="G68" s="315"/>
      <c r="H68" s="315"/>
      <c r="I68" s="315"/>
      <c r="J68" s="315"/>
      <c r="K68" s="315"/>
      <c r="L68" s="315"/>
      <c r="M68" s="315"/>
      <c r="N68" s="315"/>
      <c r="O68" s="315"/>
      <c r="P68" s="315"/>
      <c r="Q68" s="315"/>
      <c r="R68" s="315"/>
      <c r="S68" s="315"/>
      <c r="T68" s="315"/>
      <c r="U68" s="315"/>
      <c r="V68" s="315"/>
      <c r="W68" s="315"/>
      <c r="X68" s="315"/>
      <c r="Y68" s="315"/>
      <c r="Z68" s="315"/>
      <c r="AA68" s="315"/>
      <c r="AB68" s="315"/>
      <c r="AC68" s="315"/>
      <c r="AD68" s="315"/>
      <c r="AE68" s="315"/>
      <c r="AF68" s="315"/>
      <c r="AG68" s="315"/>
      <c r="AH68" s="315"/>
      <c r="AI68" s="315"/>
      <c r="AJ68" s="315"/>
      <c r="AK68" s="315"/>
      <c r="AL68" s="315"/>
      <c r="AM68" s="315"/>
      <c r="AN68" s="315"/>
    </row>
    <row r="69" spans="1:40" ht="15.75" x14ac:dyDescent="0.25">
      <c r="A69" s="553"/>
      <c r="B69" s="493" t="s">
        <v>3262</v>
      </c>
      <c r="C69" s="493"/>
      <c r="D69" s="493"/>
      <c r="E69" s="314"/>
      <c r="F69" s="88">
        <f ca="1">SUM(F62:F63,F66:F67)</f>
        <v>8557558.6646614671</v>
      </c>
      <c r="G69" s="88">
        <f t="shared" ref="G69:AN69" ca="1" si="35">SUM(G62:G63,G66:G67)</f>
        <v>10155872.018584223</v>
      </c>
      <c r="H69" s="88">
        <f t="shared" ca="1" si="35"/>
        <v>9000935.5636978615</v>
      </c>
      <c r="I69" s="88">
        <f t="shared" ca="1" si="35"/>
        <v>4963968.1909920014</v>
      </c>
      <c r="J69" s="88">
        <f t="shared" ca="1" si="35"/>
        <v>11140787.881602831</v>
      </c>
      <c r="K69" s="88">
        <f t="shared" ca="1" si="35"/>
        <v>10319961.732323987</v>
      </c>
      <c r="L69" s="88">
        <f t="shared" ca="1" si="35"/>
        <v>8938881.0045829769</v>
      </c>
      <c r="M69" s="88">
        <f t="shared" ca="1" si="35"/>
        <v>7553096.4553672634</v>
      </c>
      <c r="N69" s="88">
        <f t="shared" ca="1" si="35"/>
        <v>11424718.308339974</v>
      </c>
      <c r="O69" s="88">
        <f t="shared" ca="1" si="35"/>
        <v>9178638.2898763046</v>
      </c>
      <c r="P69" s="88">
        <f t="shared" ca="1" si="35"/>
        <v>6408521.2849436477</v>
      </c>
      <c r="Q69" s="88">
        <f t="shared" ca="1" si="35"/>
        <v>7330668.5287246201</v>
      </c>
      <c r="R69" s="88">
        <f t="shared" ca="1" si="35"/>
        <v>8235884.4721810147</v>
      </c>
      <c r="S69" s="88">
        <f t="shared" ca="1" si="35"/>
        <v>11663037.829036288</v>
      </c>
      <c r="T69" s="88">
        <f t="shared" ca="1" si="35"/>
        <v>10429863.107369669</v>
      </c>
      <c r="U69" s="88">
        <f t="shared" ca="1" si="35"/>
        <v>9905859.9587935731</v>
      </c>
      <c r="V69" s="88">
        <f t="shared" ca="1" si="35"/>
        <v>7783156.0284840874</v>
      </c>
      <c r="W69" s="88">
        <f t="shared" ca="1" si="35"/>
        <v>8541090.7894541062</v>
      </c>
      <c r="X69" s="88">
        <f t="shared" ca="1" si="35"/>
        <v>10454123.998369422</v>
      </c>
      <c r="Y69" s="88">
        <f t="shared" ca="1" si="35"/>
        <v>7747258.3240960715</v>
      </c>
      <c r="Z69" s="88">
        <f t="shared" ca="1" si="35"/>
        <v>12352044.546001088</v>
      </c>
      <c r="AA69" s="88">
        <f t="shared" ca="1" si="35"/>
        <v>5215073.9766591918</v>
      </c>
      <c r="AB69" s="88">
        <f t="shared" ca="1" si="35"/>
        <v>10359615.37971041</v>
      </c>
      <c r="AC69" s="88">
        <f t="shared" ca="1" si="35"/>
        <v>10929177.270909771</v>
      </c>
      <c r="AD69" s="88">
        <f t="shared" ca="1" si="35"/>
        <v>8370165.4821653254</v>
      </c>
      <c r="AE69" s="88">
        <f t="shared" ca="1" si="35"/>
        <v>9011760.5008409396</v>
      </c>
      <c r="AF69" s="88">
        <f t="shared" ca="1" si="35"/>
        <v>6678978.7831725031</v>
      </c>
      <c r="AG69" s="88">
        <f t="shared" ca="1" si="35"/>
        <v>7632064.4511345997</v>
      </c>
      <c r="AH69" s="88">
        <f t="shared" ca="1" si="35"/>
        <v>8182907.6959805377</v>
      </c>
      <c r="AI69" s="88">
        <f t="shared" ca="1" si="35"/>
        <v>11633542.301328741</v>
      </c>
      <c r="AJ69" s="88">
        <f t="shared" ca="1" si="35"/>
        <v>8492348.674274493</v>
      </c>
      <c r="AK69" s="88">
        <f t="shared" ca="1" si="35"/>
        <v>10422526.381233802</v>
      </c>
      <c r="AL69" s="88">
        <f t="shared" ca="1" si="35"/>
        <v>10650396.347065084</v>
      </c>
      <c r="AM69" s="88">
        <f t="shared" ca="1" si="35"/>
        <v>8371777.8252944704</v>
      </c>
      <c r="AN69" s="88">
        <f t="shared" ca="1" si="35"/>
        <v>6789321.0553369131</v>
      </c>
    </row>
    <row r="70" spans="1:40" ht="15.75" x14ac:dyDescent="0.25">
      <c r="A70" s="553"/>
      <c r="B70" s="53" t="s">
        <v>4131</v>
      </c>
    </row>
    <row r="71" spans="1:40" ht="15.75" x14ac:dyDescent="0.25">
      <c r="A71" s="553"/>
      <c r="B71" s="313" t="s">
        <v>4132</v>
      </c>
      <c r="C71" s="317">
        <f>Import_Frios!N12</f>
        <v>5.8533055520163302E-2</v>
      </c>
    </row>
    <row r="72" spans="1:40" x14ac:dyDescent="0.25">
      <c r="A72" s="553"/>
      <c r="B72" s="554" t="s">
        <v>4133</v>
      </c>
      <c r="C72" s="554"/>
      <c r="D72" s="554"/>
      <c r="F72" s="58" t="s">
        <v>3701</v>
      </c>
      <c r="G72" s="17" t="s">
        <v>3702</v>
      </c>
      <c r="H72" s="58" t="s">
        <v>3703</v>
      </c>
      <c r="I72" s="17" t="s">
        <v>3704</v>
      </c>
      <c r="J72" s="58" t="s">
        <v>3705</v>
      </c>
      <c r="K72" s="17" t="s">
        <v>3706</v>
      </c>
      <c r="L72" s="58" t="s">
        <v>3707</v>
      </c>
      <c r="M72" s="17" t="s">
        <v>3708</v>
      </c>
      <c r="N72" s="58" t="s">
        <v>3709</v>
      </c>
      <c r="O72" s="17" t="s">
        <v>3710</v>
      </c>
      <c r="P72" s="58" t="s">
        <v>3711</v>
      </c>
      <c r="Q72" s="17" t="s">
        <v>3712</v>
      </c>
      <c r="R72" s="58" t="s">
        <v>3713</v>
      </c>
      <c r="S72" s="17" t="s">
        <v>3714</v>
      </c>
      <c r="T72" s="58" t="s">
        <v>3715</v>
      </c>
      <c r="U72" s="17" t="s">
        <v>3716</v>
      </c>
      <c r="V72" s="58" t="s">
        <v>3717</v>
      </c>
      <c r="W72" s="17" t="s">
        <v>3718</v>
      </c>
      <c r="X72" s="58" t="s">
        <v>3719</v>
      </c>
      <c r="Y72" s="17" t="s">
        <v>3720</v>
      </c>
      <c r="Z72" s="58" t="s">
        <v>3721</v>
      </c>
      <c r="AA72" s="17" t="s">
        <v>3722</v>
      </c>
      <c r="AB72" s="58" t="s">
        <v>3723</v>
      </c>
      <c r="AC72" s="17" t="s">
        <v>3724</v>
      </c>
      <c r="AD72" s="58" t="s">
        <v>3725</v>
      </c>
      <c r="AE72" s="17" t="s">
        <v>3726</v>
      </c>
      <c r="AF72" s="58" t="s">
        <v>3727</v>
      </c>
      <c r="AG72" s="17" t="s">
        <v>3728</v>
      </c>
      <c r="AH72" s="58" t="s">
        <v>3729</v>
      </c>
      <c r="AI72" s="17" t="s">
        <v>3730</v>
      </c>
      <c r="AJ72" s="58" t="s">
        <v>3731</v>
      </c>
      <c r="AK72" s="17" t="s">
        <v>3732</v>
      </c>
      <c r="AL72" s="58" t="s">
        <v>3733</v>
      </c>
      <c r="AM72" s="17" t="s">
        <v>3734</v>
      </c>
      <c r="AN72" s="17" t="s">
        <v>3735</v>
      </c>
    </row>
    <row r="73" spans="1:40" x14ac:dyDescent="0.25">
      <c r="A73" s="553"/>
      <c r="B73" s="554"/>
      <c r="C73" s="554"/>
      <c r="D73" s="554"/>
      <c r="E73" s="298" t="s">
        <v>3755</v>
      </c>
      <c r="F73" s="63">
        <f ca="1">36113*(1+_xlfn.NORM.INV(RAND(),0,16.2%))</f>
        <v>37413.032630472335</v>
      </c>
      <c r="G73" s="63">
        <f t="shared" ref="G73:AN73" ca="1" si="36">36113*(1+_xlfn.NORM.INV(RAND(),0,16.2%))</f>
        <v>28963.291920389351</v>
      </c>
      <c r="H73" s="63">
        <f t="shared" ca="1" si="36"/>
        <v>39121.634891259957</v>
      </c>
      <c r="I73" s="63">
        <f t="shared" ca="1" si="36"/>
        <v>37244.98918609212</v>
      </c>
      <c r="J73" s="63">
        <f t="shared" ca="1" si="36"/>
        <v>34090.215216601398</v>
      </c>
      <c r="K73" s="63">
        <f t="shared" ca="1" si="36"/>
        <v>34108.250322937412</v>
      </c>
      <c r="L73" s="63">
        <f t="shared" ca="1" si="36"/>
        <v>46576.654537410257</v>
      </c>
      <c r="M73" s="63">
        <f t="shared" ca="1" si="36"/>
        <v>37241.099718837315</v>
      </c>
      <c r="N73" s="63">
        <f t="shared" ca="1" si="36"/>
        <v>31440.209623031267</v>
      </c>
      <c r="O73" s="63">
        <f t="shared" ca="1" si="36"/>
        <v>38416.084109464879</v>
      </c>
      <c r="P73" s="63">
        <f t="shared" ca="1" si="36"/>
        <v>38360.174607925015</v>
      </c>
      <c r="Q73" s="63">
        <f t="shared" ca="1" si="36"/>
        <v>39384.039108856821</v>
      </c>
      <c r="R73" s="63">
        <f t="shared" ca="1" si="36"/>
        <v>28480.660791971597</v>
      </c>
      <c r="S73" s="63">
        <f t="shared" ca="1" si="36"/>
        <v>36158.584458023288</v>
      </c>
      <c r="T73" s="63">
        <f t="shared" ca="1" si="36"/>
        <v>35176.952573237599</v>
      </c>
      <c r="U73" s="63">
        <f t="shared" ca="1" si="36"/>
        <v>43181.267757768917</v>
      </c>
      <c r="V73" s="63">
        <f t="shared" ca="1" si="36"/>
        <v>27245.429638169342</v>
      </c>
      <c r="W73" s="63">
        <f t="shared" ca="1" si="36"/>
        <v>36442.600681442622</v>
      </c>
      <c r="X73" s="63">
        <f t="shared" ca="1" si="36"/>
        <v>35232.923979170933</v>
      </c>
      <c r="Y73" s="63">
        <f t="shared" ca="1" si="36"/>
        <v>39529.684428520755</v>
      </c>
      <c r="Z73" s="63">
        <f t="shared" ca="1" si="36"/>
        <v>43603.455750819434</v>
      </c>
      <c r="AA73" s="63">
        <f t="shared" ca="1" si="36"/>
        <v>30804.589615970908</v>
      </c>
      <c r="AB73" s="63">
        <f t="shared" ca="1" si="36"/>
        <v>41191.46474021746</v>
      </c>
      <c r="AC73" s="63">
        <f t="shared" ca="1" si="36"/>
        <v>34656.773413335315</v>
      </c>
      <c r="AD73" s="63">
        <f t="shared" ca="1" si="36"/>
        <v>44147.438764234677</v>
      </c>
      <c r="AE73" s="63">
        <f t="shared" ca="1" si="36"/>
        <v>36742.358413703114</v>
      </c>
      <c r="AF73" s="63">
        <f t="shared" ca="1" si="36"/>
        <v>36824.00938055139</v>
      </c>
      <c r="AG73" s="63">
        <f t="shared" ca="1" si="36"/>
        <v>34547.752734182359</v>
      </c>
      <c r="AH73" s="63">
        <f t="shared" ca="1" si="36"/>
        <v>34711.4909006663</v>
      </c>
      <c r="AI73" s="63">
        <f t="shared" ca="1" si="36"/>
        <v>36595.084768690846</v>
      </c>
      <c r="AJ73" s="63">
        <f t="shared" ca="1" si="36"/>
        <v>37788.840778797625</v>
      </c>
      <c r="AK73" s="63">
        <f t="shared" ca="1" si="36"/>
        <v>30268.27460361856</v>
      </c>
      <c r="AL73" s="63">
        <f t="shared" ca="1" si="36"/>
        <v>34119.520816952652</v>
      </c>
      <c r="AM73" s="63">
        <f t="shared" ca="1" si="36"/>
        <v>41764.542561959934</v>
      </c>
      <c r="AN73" s="63">
        <f t="shared" ca="1" si="36"/>
        <v>34149.167698744022</v>
      </c>
    </row>
    <row r="74" spans="1:40" x14ac:dyDescent="0.25">
      <c r="A74" s="553"/>
      <c r="B74" s="398" t="s">
        <v>4097</v>
      </c>
      <c r="C74" s="398"/>
      <c r="D74" s="399"/>
    </row>
    <row r="75" spans="1:40" x14ac:dyDescent="0.25">
      <c r="A75" s="553"/>
      <c r="B75" s="551" t="s">
        <v>4109</v>
      </c>
      <c r="C75" s="551"/>
      <c r="D75" s="400">
        <f>D24</f>
        <v>44.2</v>
      </c>
      <c r="E75" s="404" t="s">
        <v>4115</v>
      </c>
      <c r="F75" s="405">
        <f ca="1">$D75*F73</f>
        <v>1653656.0422668774</v>
      </c>
      <c r="G75" s="405">
        <f t="shared" ref="G75:AN75" ca="1" si="37">$D75*G73</f>
        <v>1280177.5028812094</v>
      </c>
      <c r="H75" s="405">
        <f t="shared" ca="1" si="37"/>
        <v>1729176.2621936903</v>
      </c>
      <c r="I75" s="405">
        <f t="shared" ca="1" si="37"/>
        <v>1646228.5220252718</v>
      </c>
      <c r="J75" s="405">
        <f t="shared" ca="1" si="37"/>
        <v>1506787.5125737819</v>
      </c>
      <c r="K75" s="405">
        <f t="shared" ca="1" si="37"/>
        <v>1507584.6642738336</v>
      </c>
      <c r="L75" s="405">
        <f t="shared" ca="1" si="37"/>
        <v>2058688.1305535336</v>
      </c>
      <c r="M75" s="405">
        <f t="shared" ca="1" si="37"/>
        <v>1646056.6075726093</v>
      </c>
      <c r="N75" s="405">
        <f t="shared" ca="1" si="37"/>
        <v>1389657.2653379822</v>
      </c>
      <c r="O75" s="405">
        <f t="shared" ca="1" si="37"/>
        <v>1697990.9176383477</v>
      </c>
      <c r="P75" s="405">
        <f t="shared" ca="1" si="37"/>
        <v>1695519.7176702858</v>
      </c>
      <c r="Q75" s="405">
        <f t="shared" ca="1" si="37"/>
        <v>1740774.5286114716</v>
      </c>
      <c r="R75" s="405">
        <f t="shared" ca="1" si="37"/>
        <v>1258845.2070051446</v>
      </c>
      <c r="S75" s="405">
        <f t="shared" ca="1" si="37"/>
        <v>1598209.4330446294</v>
      </c>
      <c r="T75" s="405">
        <f t="shared" ca="1" si="37"/>
        <v>1554821.3037371021</v>
      </c>
      <c r="U75" s="405">
        <f t="shared" ca="1" si="37"/>
        <v>1908612.0348933863</v>
      </c>
      <c r="V75" s="405">
        <f t="shared" ca="1" si="37"/>
        <v>1204247.990007085</v>
      </c>
      <c r="W75" s="405">
        <f t="shared" ca="1" si="37"/>
        <v>1610762.9501197641</v>
      </c>
      <c r="X75" s="405">
        <f t="shared" ca="1" si="37"/>
        <v>1557295.2398793553</v>
      </c>
      <c r="Y75" s="405">
        <f t="shared" ca="1" si="37"/>
        <v>1747212.0517406175</v>
      </c>
      <c r="Z75" s="405">
        <f t="shared" ca="1" si="37"/>
        <v>1927272.7441862191</v>
      </c>
      <c r="AA75" s="405">
        <f t="shared" ca="1" si="37"/>
        <v>1361562.8610259143</v>
      </c>
      <c r="AB75" s="405">
        <f t="shared" ca="1" si="37"/>
        <v>1820662.7415176118</v>
      </c>
      <c r="AC75" s="405">
        <f t="shared" ca="1" si="37"/>
        <v>1531829.3848694211</v>
      </c>
      <c r="AD75" s="405">
        <f t="shared" ca="1" si="37"/>
        <v>1951316.7933791729</v>
      </c>
      <c r="AE75" s="405">
        <f t="shared" ca="1" si="37"/>
        <v>1624012.2418856777</v>
      </c>
      <c r="AF75" s="405">
        <f t="shared" ca="1" si="37"/>
        <v>1627621.2146203716</v>
      </c>
      <c r="AG75" s="405">
        <f t="shared" ca="1" si="37"/>
        <v>1527010.6708508604</v>
      </c>
      <c r="AH75" s="405">
        <f t="shared" ca="1" si="37"/>
        <v>1534247.8978094505</v>
      </c>
      <c r="AI75" s="405">
        <f t="shared" ca="1" si="37"/>
        <v>1617502.7467761354</v>
      </c>
      <c r="AJ75" s="405">
        <f t="shared" ca="1" si="37"/>
        <v>1670266.762422855</v>
      </c>
      <c r="AK75" s="405">
        <f t="shared" ca="1" si="37"/>
        <v>1337857.7374799405</v>
      </c>
      <c r="AL75" s="405">
        <f t="shared" ca="1" si="37"/>
        <v>1508082.8201093073</v>
      </c>
      <c r="AM75" s="405">
        <f t="shared" ca="1" si="37"/>
        <v>1845992.7812386292</v>
      </c>
      <c r="AN75" s="405">
        <f t="shared" ca="1" si="37"/>
        <v>1509393.2122844858</v>
      </c>
    </row>
    <row r="76" spans="1:40" x14ac:dyDescent="0.25">
      <c r="A76" s="553"/>
      <c r="B76" s="398" t="s">
        <v>4099</v>
      </c>
      <c r="C76" s="398"/>
      <c r="D76" s="401"/>
      <c r="E76" s="308"/>
    </row>
    <row r="77" spans="1:40" x14ac:dyDescent="0.25">
      <c r="A77" s="553"/>
      <c r="B77" s="551" t="s">
        <v>4100</v>
      </c>
      <c r="C77" s="551"/>
      <c r="D77" s="402">
        <v>10</v>
      </c>
      <c r="E77" s="309"/>
    </row>
    <row r="78" spans="1:40" x14ac:dyDescent="0.25">
      <c r="A78" s="553"/>
      <c r="B78" s="551" t="s">
        <v>4110</v>
      </c>
      <c r="C78" s="551"/>
      <c r="D78" s="400">
        <f>D27</f>
        <v>274.01600000000002</v>
      </c>
      <c r="E78" s="404" t="s">
        <v>4117</v>
      </c>
      <c r="F78" s="408">
        <f ca="1">F73*$D78</f>
        <v>10251769.549271507</v>
      </c>
      <c r="G78" s="408">
        <f t="shared" ref="G78:AN78" ca="1" si="38">G73*$D78</f>
        <v>7936405.3988574091</v>
      </c>
      <c r="H78" s="408">
        <f t="shared" ca="1" si="38"/>
        <v>10719953.906363489</v>
      </c>
      <c r="I78" s="408">
        <f t="shared" ca="1" si="38"/>
        <v>10205722.956816219</v>
      </c>
      <c r="J78" s="408">
        <f t="shared" ca="1" si="38"/>
        <v>9341264.4127922487</v>
      </c>
      <c r="K78" s="408">
        <f t="shared" ca="1" si="38"/>
        <v>9346206.3204900194</v>
      </c>
      <c r="L78" s="408">
        <f t="shared" ca="1" si="38"/>
        <v>12762748.56972301</v>
      </c>
      <c r="M78" s="408">
        <f t="shared" ca="1" si="38"/>
        <v>10204657.180556927</v>
      </c>
      <c r="N78" s="408">
        <f t="shared" ca="1" si="38"/>
        <v>8615120.4800645355</v>
      </c>
      <c r="O78" s="408">
        <f t="shared" ca="1" si="38"/>
        <v>10526621.70333913</v>
      </c>
      <c r="P78" s="408">
        <f t="shared" ca="1" si="38"/>
        <v>10511301.605365181</v>
      </c>
      <c r="Q78" s="408">
        <f t="shared" ca="1" si="38"/>
        <v>10791856.860452512</v>
      </c>
      <c r="R78" s="408">
        <f t="shared" ca="1" si="38"/>
        <v>7804156.7475728896</v>
      </c>
      <c r="S78" s="408">
        <f t="shared" ca="1" si="38"/>
        <v>9908030.6788497102</v>
      </c>
      <c r="T78" s="408">
        <f t="shared" ca="1" si="38"/>
        <v>9639047.8363082744</v>
      </c>
      <c r="U78" s="408">
        <f t="shared" ca="1" si="38"/>
        <v>11832358.265912808</v>
      </c>
      <c r="V78" s="408">
        <f t="shared" ca="1" si="38"/>
        <v>7465683.6477326108</v>
      </c>
      <c r="W78" s="408">
        <f t="shared" ca="1" si="38"/>
        <v>9985855.6683261823</v>
      </c>
      <c r="X78" s="408">
        <f t="shared" ca="1" si="38"/>
        <v>9654384.8970765024</v>
      </c>
      <c r="Y78" s="408">
        <f t="shared" ca="1" si="38"/>
        <v>10831766.008365544</v>
      </c>
      <c r="Z78" s="408">
        <f t="shared" ca="1" si="38"/>
        <v>11948044.531016538</v>
      </c>
      <c r="AA78" s="408">
        <f t="shared" ca="1" si="38"/>
        <v>8440950.4282098841</v>
      </c>
      <c r="AB78" s="408">
        <f t="shared" ca="1" si="38"/>
        <v>11287120.402255429</v>
      </c>
      <c r="AC78" s="408">
        <f t="shared" ca="1" si="38"/>
        <v>9496510.4236284904</v>
      </c>
      <c r="AD78" s="408">
        <f t="shared" ca="1" si="38"/>
        <v>12097104.580420529</v>
      </c>
      <c r="AE78" s="408">
        <f t="shared" ca="1" si="38"/>
        <v>10067994.083089273</v>
      </c>
      <c r="AF78" s="408">
        <f t="shared" ca="1" si="38"/>
        <v>10090367.754421171</v>
      </c>
      <c r="AG78" s="408">
        <f t="shared" ca="1" si="38"/>
        <v>9466637.0132097136</v>
      </c>
      <c r="AH78" s="408">
        <f t="shared" ca="1" si="38"/>
        <v>9511503.8906369768</v>
      </c>
      <c r="AI78" s="408">
        <f t="shared" ca="1" si="38"/>
        <v>10027638.747977592</v>
      </c>
      <c r="AJ78" s="408">
        <f t="shared" ca="1" si="38"/>
        <v>10354746.99484301</v>
      </c>
      <c r="AK78" s="408">
        <f t="shared" ca="1" si="38"/>
        <v>8293991.5337851439</v>
      </c>
      <c r="AL78" s="408">
        <f t="shared" ca="1" si="38"/>
        <v>9349294.6161780991</v>
      </c>
      <c r="AM78" s="408">
        <f t="shared" ca="1" si="38"/>
        <v>11444152.894658014</v>
      </c>
      <c r="AN78" s="408">
        <f t="shared" ca="1" si="38"/>
        <v>9357418.3361390419</v>
      </c>
    </row>
    <row r="79" spans="1:40" x14ac:dyDescent="0.25">
      <c r="A79" s="553"/>
      <c r="B79" s="551" t="s">
        <v>4111</v>
      </c>
      <c r="C79" s="551"/>
      <c r="D79" s="400">
        <f>D28</f>
        <v>5</v>
      </c>
      <c r="E79" s="404" t="s">
        <v>4118</v>
      </c>
      <c r="F79" s="408">
        <f ca="1">F73*$D77*$D79</f>
        <v>1870651.6315236166</v>
      </c>
      <c r="G79" s="408">
        <f t="shared" ref="G79:AN79" ca="1" si="39">G73*$D77*$D79</f>
        <v>1448164.5960194676</v>
      </c>
      <c r="H79" s="408">
        <f t="shared" ca="1" si="39"/>
        <v>1956081.7445629977</v>
      </c>
      <c r="I79" s="408">
        <f t="shared" ca="1" si="39"/>
        <v>1862249.4593046058</v>
      </c>
      <c r="J79" s="408">
        <f t="shared" ca="1" si="39"/>
        <v>1704510.7608300699</v>
      </c>
      <c r="K79" s="408">
        <f t="shared" ca="1" si="39"/>
        <v>1705412.5161468706</v>
      </c>
      <c r="L79" s="408">
        <f t="shared" ca="1" si="39"/>
        <v>2328832.7268705126</v>
      </c>
      <c r="M79" s="408">
        <f t="shared" ca="1" si="39"/>
        <v>1862054.9859418655</v>
      </c>
      <c r="N79" s="408">
        <f t="shared" ca="1" si="39"/>
        <v>1572010.4811515633</v>
      </c>
      <c r="O79" s="408">
        <f t="shared" ca="1" si="39"/>
        <v>1920804.2054732442</v>
      </c>
      <c r="P79" s="408">
        <f t="shared" ca="1" si="39"/>
        <v>1918008.7303962507</v>
      </c>
      <c r="Q79" s="408">
        <f t="shared" ca="1" si="39"/>
        <v>1969201.9554428409</v>
      </c>
      <c r="R79" s="408">
        <f t="shared" ca="1" si="39"/>
        <v>1424033.03959858</v>
      </c>
      <c r="S79" s="408">
        <f t="shared" ca="1" si="39"/>
        <v>1807929.2229011643</v>
      </c>
      <c r="T79" s="408">
        <f t="shared" ca="1" si="39"/>
        <v>1758847.6286618798</v>
      </c>
      <c r="U79" s="408">
        <f t="shared" ca="1" si="39"/>
        <v>2159063.387888446</v>
      </c>
      <c r="V79" s="408">
        <f t="shared" ca="1" si="39"/>
        <v>1362271.4819084671</v>
      </c>
      <c r="W79" s="408">
        <f t="shared" ca="1" si="39"/>
        <v>1822130.0340721312</v>
      </c>
      <c r="X79" s="408">
        <f t="shared" ca="1" si="39"/>
        <v>1761646.1989585469</v>
      </c>
      <c r="Y79" s="408">
        <f t="shared" ca="1" si="39"/>
        <v>1976484.2214260378</v>
      </c>
      <c r="Z79" s="408">
        <f t="shared" ca="1" si="39"/>
        <v>2180172.7875409718</v>
      </c>
      <c r="AA79" s="408">
        <f t="shared" ca="1" si="39"/>
        <v>1540229.4807985453</v>
      </c>
      <c r="AB79" s="408">
        <f t="shared" ca="1" si="39"/>
        <v>2059573.2370108729</v>
      </c>
      <c r="AC79" s="408">
        <f t="shared" ca="1" si="39"/>
        <v>1732838.6706667659</v>
      </c>
      <c r="AD79" s="408">
        <f t="shared" ca="1" si="39"/>
        <v>2207371.9382117339</v>
      </c>
      <c r="AE79" s="408">
        <f t="shared" ca="1" si="39"/>
        <v>1837117.9206851556</v>
      </c>
      <c r="AF79" s="408">
        <f t="shared" ca="1" si="39"/>
        <v>1841200.4690275695</v>
      </c>
      <c r="AG79" s="408">
        <f t="shared" ca="1" si="39"/>
        <v>1727387.6367091178</v>
      </c>
      <c r="AH79" s="408">
        <f t="shared" ca="1" si="39"/>
        <v>1735574.5450333152</v>
      </c>
      <c r="AI79" s="408">
        <f t="shared" ca="1" si="39"/>
        <v>1829754.2384345422</v>
      </c>
      <c r="AJ79" s="408">
        <f t="shared" ca="1" si="39"/>
        <v>1889442.0389398814</v>
      </c>
      <c r="AK79" s="408">
        <f t="shared" ca="1" si="39"/>
        <v>1513413.730180928</v>
      </c>
      <c r="AL79" s="408">
        <f t="shared" ca="1" si="39"/>
        <v>1705976.0408476326</v>
      </c>
      <c r="AM79" s="408">
        <f t="shared" ca="1" si="39"/>
        <v>2088227.1280979968</v>
      </c>
      <c r="AN79" s="408">
        <f t="shared" ca="1" si="39"/>
        <v>1707458.3849372012</v>
      </c>
    </row>
    <row r="80" spans="1:40" x14ac:dyDescent="0.25">
      <c r="A80" s="553"/>
      <c r="B80" s="552" t="s">
        <v>3262</v>
      </c>
      <c r="C80" s="552"/>
      <c r="D80" s="552"/>
    </row>
    <row r="81" spans="2:40" x14ac:dyDescent="0.25">
      <c r="B81" s="493" t="s">
        <v>3262</v>
      </c>
      <c r="C81" s="493"/>
      <c r="D81" s="493"/>
      <c r="F81" s="88">
        <f ca="1">SUM(F75,F78:F79)</f>
        <v>13776077.223062001</v>
      </c>
      <c r="G81" s="88">
        <f ca="1">SUM(G75,G78:G79)</f>
        <v>10664747.497758085</v>
      </c>
      <c r="H81" s="88">
        <f t="shared" ref="H81:AN81" ca="1" si="40">SUM(H75,H78:H79)</f>
        <v>14405211.913120179</v>
      </c>
      <c r="I81" s="88">
        <f t="shared" ca="1" si="40"/>
        <v>13714200.938146098</v>
      </c>
      <c r="J81" s="88">
        <f t="shared" ca="1" si="40"/>
        <v>12552562.6861961</v>
      </c>
      <c r="K81" s="88">
        <f t="shared" ca="1" si="40"/>
        <v>12559203.500910724</v>
      </c>
      <c r="L81" s="88">
        <f t="shared" ca="1" si="40"/>
        <v>17150269.427147057</v>
      </c>
      <c r="M81" s="88">
        <f t="shared" ca="1" si="40"/>
        <v>13712768.774071403</v>
      </c>
      <c r="N81" s="88">
        <f t="shared" ca="1" si="40"/>
        <v>11576788.226554083</v>
      </c>
      <c r="O81" s="88">
        <f t="shared" ca="1" si="40"/>
        <v>14145416.826450722</v>
      </c>
      <c r="P81" s="88">
        <f t="shared" ca="1" si="40"/>
        <v>14124830.053431718</v>
      </c>
      <c r="Q81" s="88">
        <f t="shared" ca="1" si="40"/>
        <v>14501833.344506824</v>
      </c>
      <c r="R81" s="88">
        <f t="shared" ca="1" si="40"/>
        <v>10487034.994176615</v>
      </c>
      <c r="S81" s="88">
        <f t="shared" ca="1" si="40"/>
        <v>13314169.334795503</v>
      </c>
      <c r="T81" s="88">
        <f t="shared" ca="1" si="40"/>
        <v>12952716.768707257</v>
      </c>
      <c r="U81" s="88">
        <f t="shared" ca="1" si="40"/>
        <v>15900033.688694641</v>
      </c>
      <c r="V81" s="88">
        <f t="shared" ca="1" si="40"/>
        <v>10032203.119648162</v>
      </c>
      <c r="W81" s="88">
        <f t="shared" ca="1" si="40"/>
        <v>13418748.652518077</v>
      </c>
      <c r="X81" s="88">
        <f t="shared" ca="1" si="40"/>
        <v>12973326.335914403</v>
      </c>
      <c r="Y81" s="88">
        <f t="shared" ca="1" si="40"/>
        <v>14555462.2815322</v>
      </c>
      <c r="Z81" s="88">
        <f t="shared" ca="1" si="40"/>
        <v>16055490.062743729</v>
      </c>
      <c r="AA81" s="88">
        <f t="shared" ca="1" si="40"/>
        <v>11342742.770034343</v>
      </c>
      <c r="AB81" s="88">
        <f t="shared" ca="1" si="40"/>
        <v>15167356.380783916</v>
      </c>
      <c r="AC81" s="88">
        <f t="shared" ca="1" si="40"/>
        <v>12761178.479164677</v>
      </c>
      <c r="AD81" s="88">
        <f t="shared" ca="1" si="40"/>
        <v>16255793.312011436</v>
      </c>
      <c r="AE81" s="88">
        <f t="shared" ca="1" si="40"/>
        <v>13529124.245660106</v>
      </c>
      <c r="AF81" s="88">
        <f t="shared" ca="1" si="40"/>
        <v>13559189.438069113</v>
      </c>
      <c r="AG81" s="88">
        <f t="shared" ca="1" si="40"/>
        <v>12721035.320769692</v>
      </c>
      <c r="AH81" s="88">
        <f t="shared" ca="1" si="40"/>
        <v>12781326.333479742</v>
      </c>
      <c r="AI81" s="88">
        <f t="shared" ca="1" si="40"/>
        <v>13474895.73318827</v>
      </c>
      <c r="AJ81" s="88">
        <f t="shared" ca="1" si="40"/>
        <v>13914455.796205748</v>
      </c>
      <c r="AK81" s="88">
        <f t="shared" ca="1" si="40"/>
        <v>11145263.001446012</v>
      </c>
      <c r="AL81" s="88">
        <f t="shared" ca="1" si="40"/>
        <v>12563353.47713504</v>
      </c>
      <c r="AM81" s="88">
        <f t="shared" ca="1" si="40"/>
        <v>15378372.803994639</v>
      </c>
      <c r="AN81" s="88">
        <f t="shared" ca="1" si="40"/>
        <v>12574269.933360729</v>
      </c>
    </row>
    <row r="83" spans="2:40" ht="15.75" x14ac:dyDescent="0.25">
      <c r="C83" s="1"/>
      <c r="D83" s="548" t="s">
        <v>4134</v>
      </c>
      <c r="E83" s="548"/>
      <c r="F83" s="315">
        <f ca="1">F69+F81</f>
        <v>22333635.887723468</v>
      </c>
      <c r="G83" s="315">
        <f t="shared" ref="G83:AN83" ca="1" si="41">G69+G81</f>
        <v>20820619.516342308</v>
      </c>
      <c r="H83" s="315">
        <f t="shared" ca="1" si="41"/>
        <v>23406147.47681804</v>
      </c>
      <c r="I83" s="315">
        <f t="shared" ca="1" si="41"/>
        <v>18678169.129138097</v>
      </c>
      <c r="J83" s="315">
        <f t="shared" ca="1" si="41"/>
        <v>23693350.567798931</v>
      </c>
      <c r="K83" s="315">
        <f t="shared" ca="1" si="41"/>
        <v>22879165.233234711</v>
      </c>
      <c r="L83" s="315">
        <f t="shared" ca="1" si="41"/>
        <v>26089150.431730032</v>
      </c>
      <c r="M83" s="315">
        <f t="shared" ca="1" si="41"/>
        <v>21265865.229438666</v>
      </c>
      <c r="N83" s="315">
        <f t="shared" ca="1" si="41"/>
        <v>23001506.534894057</v>
      </c>
      <c r="O83" s="315">
        <f t="shared" ca="1" si="41"/>
        <v>23324055.116327025</v>
      </c>
      <c r="P83" s="315">
        <f t="shared" ca="1" si="41"/>
        <v>20533351.338375367</v>
      </c>
      <c r="Q83" s="315">
        <f t="shared" ca="1" si="41"/>
        <v>21832501.873231445</v>
      </c>
      <c r="R83" s="315">
        <f t="shared" ca="1" si="41"/>
        <v>18722919.46635763</v>
      </c>
      <c r="S83" s="315">
        <f t="shared" ca="1" si="41"/>
        <v>24977207.163831793</v>
      </c>
      <c r="T83" s="315">
        <f t="shared" ca="1" si="41"/>
        <v>23382579.876076926</v>
      </c>
      <c r="U83" s="315">
        <f t="shared" ca="1" si="41"/>
        <v>25805893.647488214</v>
      </c>
      <c r="V83" s="315">
        <f t="shared" ca="1" si="41"/>
        <v>17815359.14813225</v>
      </c>
      <c r="W83" s="315">
        <f t="shared" ca="1" si="41"/>
        <v>21959839.441972181</v>
      </c>
      <c r="X83" s="315">
        <f t="shared" ca="1" si="41"/>
        <v>23427450.334283825</v>
      </c>
      <c r="Y83" s="315">
        <f t="shared" ca="1" si="41"/>
        <v>22302720.605628271</v>
      </c>
      <c r="Z83" s="315">
        <f t="shared" ca="1" si="41"/>
        <v>28407534.608744815</v>
      </c>
      <c r="AA83" s="315">
        <f t="shared" ca="1" si="41"/>
        <v>16557816.746693535</v>
      </c>
      <c r="AB83" s="315">
        <f t="shared" ca="1" si="41"/>
        <v>25526971.760494325</v>
      </c>
      <c r="AC83" s="315">
        <f t="shared" ca="1" si="41"/>
        <v>23690355.750074446</v>
      </c>
      <c r="AD83" s="315">
        <f t="shared" ca="1" si="41"/>
        <v>24625958.794176761</v>
      </c>
      <c r="AE83" s="315">
        <f t="shared" ca="1" si="41"/>
        <v>22540884.746501043</v>
      </c>
      <c r="AF83" s="315">
        <f t="shared" ca="1" si="41"/>
        <v>20238168.221241616</v>
      </c>
      <c r="AG83" s="315">
        <f t="shared" ca="1" si="41"/>
        <v>20353099.77190429</v>
      </c>
      <c r="AH83" s="315">
        <f t="shared" ca="1" si="41"/>
        <v>20964234.029460281</v>
      </c>
      <c r="AI83" s="315">
        <f t="shared" ca="1" si="41"/>
        <v>25108438.034517013</v>
      </c>
      <c r="AJ83" s="315">
        <f t="shared" ca="1" si="41"/>
        <v>22406804.470480241</v>
      </c>
      <c r="AK83" s="315">
        <f t="shared" ca="1" si="41"/>
        <v>21567789.382679813</v>
      </c>
      <c r="AL83" s="315">
        <f t="shared" ca="1" si="41"/>
        <v>23213749.824200124</v>
      </c>
      <c r="AM83" s="315">
        <f t="shared" ca="1" si="41"/>
        <v>23750150.629289109</v>
      </c>
      <c r="AN83" s="315">
        <f t="shared" ca="1" si="41"/>
        <v>19363590.988697641</v>
      </c>
    </row>
    <row r="84" spans="2:40" x14ac:dyDescent="0.25">
      <c r="D84" s="1"/>
      <c r="E84" s="1"/>
    </row>
    <row r="85" spans="2:40" ht="15.75" x14ac:dyDescent="0.25">
      <c r="D85" s="550" t="s">
        <v>4135</v>
      </c>
      <c r="E85" s="550"/>
      <c r="F85" s="409">
        <f ca="1">F58+F83</f>
        <v>22333635.887723468</v>
      </c>
      <c r="G85" s="409">
        <f t="shared" ref="G85:AN85" ca="1" si="42">G58+G83</f>
        <v>20820619.516342308</v>
      </c>
      <c r="H85" s="409">
        <f t="shared" ca="1" si="42"/>
        <v>23406147.47681804</v>
      </c>
      <c r="I85" s="409">
        <f t="shared" ca="1" si="42"/>
        <v>18678169.129138097</v>
      </c>
      <c r="J85" s="409">
        <f t="shared" ca="1" si="42"/>
        <v>30764907.368713528</v>
      </c>
      <c r="K85" s="409">
        <f t="shared" ca="1" si="42"/>
        <v>38729774.833098389</v>
      </c>
      <c r="L85" s="409">
        <f t="shared" ca="1" si="42"/>
        <v>47360769.875337616</v>
      </c>
      <c r="M85" s="409">
        <f t="shared" ca="1" si="42"/>
        <v>52867407.575649947</v>
      </c>
      <c r="N85" s="409">
        <f t="shared" ca="1" si="42"/>
        <v>64720162.258821167</v>
      </c>
      <c r="O85" s="409">
        <f t="shared" ca="1" si="42"/>
        <v>82425039.420050502</v>
      </c>
      <c r="P85" s="409">
        <f t="shared" ca="1" si="42"/>
        <v>77938129.634523243</v>
      </c>
      <c r="Q85" s="409">
        <f t="shared" ca="1" si="42"/>
        <v>97485370.630414426</v>
      </c>
      <c r="R85" s="409">
        <f t="shared" ca="1" si="42"/>
        <v>117368947.47433756</v>
      </c>
      <c r="S85" s="409">
        <f t="shared" ca="1" si="42"/>
        <v>134549311.00289014</v>
      </c>
      <c r="T85" s="409">
        <f t="shared" ca="1" si="42"/>
        <v>138178959.13652396</v>
      </c>
      <c r="U85" s="409">
        <f t="shared" ca="1" si="42"/>
        <v>192765986.4623954</v>
      </c>
      <c r="V85" s="409">
        <f t="shared" ca="1" si="42"/>
        <v>177096432.94924241</v>
      </c>
      <c r="W85" s="409">
        <f t="shared" ca="1" si="42"/>
        <v>229644208.83220226</v>
      </c>
      <c r="X85" s="409">
        <f t="shared" ca="1" si="42"/>
        <v>246115169.61037758</v>
      </c>
      <c r="Y85" s="409">
        <f t="shared" ca="1" si="42"/>
        <v>279548232.84019798</v>
      </c>
      <c r="Z85" s="409">
        <f t="shared" ca="1" si="42"/>
        <v>258310420.27389562</v>
      </c>
      <c r="AA85" s="409">
        <f t="shared" ca="1" si="42"/>
        <v>253115929.62991193</v>
      </c>
      <c r="AB85" s="409">
        <f t="shared" ca="1" si="42"/>
        <v>280261829.03984851</v>
      </c>
      <c r="AC85" s="409">
        <f t="shared" ca="1" si="42"/>
        <v>302350340.40074801</v>
      </c>
      <c r="AD85" s="409">
        <f t="shared" ca="1" si="42"/>
        <v>324336995.12664002</v>
      </c>
      <c r="AE85" s="409">
        <f t="shared" ca="1" si="42"/>
        <v>316002040.2599802</v>
      </c>
      <c r="AF85" s="409">
        <f t="shared" ca="1" si="42"/>
        <v>284231644.72759372</v>
      </c>
      <c r="AG85" s="409">
        <f t="shared" ca="1" si="42"/>
        <v>358965331.57866466</v>
      </c>
      <c r="AH85" s="409">
        <f t="shared" ca="1" si="42"/>
        <v>364497063.86957777</v>
      </c>
      <c r="AI85" s="409">
        <f t="shared" ca="1" si="42"/>
        <v>380636473.81178886</v>
      </c>
      <c r="AJ85" s="409">
        <f t="shared" ca="1" si="42"/>
        <v>352385813.92742121</v>
      </c>
      <c r="AK85" s="409">
        <f t="shared" ca="1" si="42"/>
        <v>391190804.71486747</v>
      </c>
      <c r="AL85" s="409">
        <f t="shared" ca="1" si="42"/>
        <v>371339656.71950865</v>
      </c>
      <c r="AM85" s="409">
        <f t="shared" ca="1" si="42"/>
        <v>453927999.10273641</v>
      </c>
      <c r="AN85" s="409">
        <f t="shared" ca="1" si="42"/>
        <v>400520298.91120541</v>
      </c>
    </row>
    <row r="88" spans="2:40" x14ac:dyDescent="0.25">
      <c r="F88" s="213"/>
    </row>
    <row r="89" spans="2:40" ht="15.75" x14ac:dyDescent="0.25">
      <c r="B89" s="313"/>
    </row>
    <row r="90" spans="2:40" ht="15.75" x14ac:dyDescent="0.25">
      <c r="B90" s="313"/>
    </row>
    <row r="91" spans="2:40" ht="15.75" x14ac:dyDescent="0.25">
      <c r="B91" s="313"/>
    </row>
    <row r="93" spans="2:40" ht="15.75" x14ac:dyDescent="0.25">
      <c r="B93" s="320"/>
      <c r="C93" s="17"/>
      <c r="D93" s="17"/>
      <c r="E93" s="1"/>
    </row>
    <row r="94" spans="2:40" ht="15.75" x14ac:dyDescent="0.25">
      <c r="B94" s="312"/>
      <c r="C94" s="319"/>
      <c r="D94" s="321"/>
      <c r="E94" s="323"/>
      <c r="F94" s="213"/>
    </row>
    <row r="95" spans="2:40" ht="15.75" x14ac:dyDescent="0.25">
      <c r="B95" s="312"/>
      <c r="C95" s="319"/>
      <c r="D95" s="321"/>
      <c r="E95" s="323"/>
      <c r="F95" s="58"/>
      <c r="G95" s="17"/>
      <c r="H95" s="58"/>
      <c r="I95" s="17"/>
      <c r="J95" s="58"/>
      <c r="K95" s="17"/>
      <c r="L95" s="58"/>
      <c r="M95" s="17"/>
      <c r="N95" s="58"/>
      <c r="O95" s="17"/>
      <c r="P95" s="58"/>
      <c r="Q95" s="17"/>
      <c r="R95" s="58"/>
      <c r="S95" s="17"/>
      <c r="T95" s="58"/>
      <c r="U95" s="17"/>
      <c r="V95" s="58"/>
      <c r="W95" s="17"/>
      <c r="X95" s="58"/>
      <c r="Y95" s="17"/>
      <c r="Z95" s="58"/>
      <c r="AA95" s="17"/>
      <c r="AB95" s="58"/>
      <c r="AC95" s="17"/>
      <c r="AD95" s="58"/>
      <c r="AE95" s="17"/>
      <c r="AF95" s="58"/>
      <c r="AG95" s="17"/>
      <c r="AH95" s="58"/>
      <c r="AI95" s="17"/>
      <c r="AJ95" s="58"/>
      <c r="AK95" s="17"/>
      <c r="AL95" s="58"/>
      <c r="AM95" s="17"/>
      <c r="AN95" s="17"/>
    </row>
    <row r="96" spans="2:40" ht="15.75" x14ac:dyDescent="0.25">
      <c r="B96" s="312"/>
      <c r="C96" s="319"/>
      <c r="D96" s="321"/>
      <c r="E96" s="323"/>
    </row>
    <row r="97" spans="2:5" x14ac:dyDescent="0.25">
      <c r="B97" s="1"/>
      <c r="C97" s="1"/>
      <c r="D97" s="1"/>
      <c r="E97" s="322"/>
    </row>
    <row r="98" spans="2:5" ht="15.75" x14ac:dyDescent="0.25">
      <c r="B98" s="313"/>
    </row>
    <row r="99" spans="2:5" ht="15.75" x14ac:dyDescent="0.25">
      <c r="B99" s="313"/>
      <c r="D99" s="37"/>
    </row>
    <row r="100" spans="2:5" x14ac:dyDescent="0.25">
      <c r="B100" s="17"/>
      <c r="C100" s="17"/>
    </row>
    <row r="101" spans="2:5" x14ac:dyDescent="0.25">
      <c r="B101" s="6"/>
      <c r="C101" s="6"/>
    </row>
    <row r="102" spans="2:5" x14ac:dyDescent="0.25">
      <c r="B102" s="6"/>
      <c r="C102" s="6"/>
    </row>
    <row r="103" spans="2:5" x14ac:dyDescent="0.25">
      <c r="B103" s="6"/>
      <c r="C103" s="6"/>
    </row>
  </sheetData>
  <mergeCells count="47">
    <mergeCell ref="B29:D29"/>
    <mergeCell ref="A2:A29"/>
    <mergeCell ref="B2:D4"/>
    <mergeCell ref="B6:C6"/>
    <mergeCell ref="B7:C7"/>
    <mergeCell ref="B8:C8"/>
    <mergeCell ref="B10:C10"/>
    <mergeCell ref="B14:D14"/>
    <mergeCell ref="B17:C17"/>
    <mergeCell ref="B20:D22"/>
    <mergeCell ref="E21:E22"/>
    <mergeCell ref="B24:C24"/>
    <mergeCell ref="B26:C26"/>
    <mergeCell ref="B27:C27"/>
    <mergeCell ref="B28:C28"/>
    <mergeCell ref="B30:D30"/>
    <mergeCell ref="A32:A43"/>
    <mergeCell ref="B32:D34"/>
    <mergeCell ref="B36:C36"/>
    <mergeCell ref="B37:C37"/>
    <mergeCell ref="B38:C38"/>
    <mergeCell ref="B40:C40"/>
    <mergeCell ref="B44:D44"/>
    <mergeCell ref="A46:A55"/>
    <mergeCell ref="B46:D48"/>
    <mergeCell ref="B50:C50"/>
    <mergeCell ref="B52:C52"/>
    <mergeCell ref="B53:C53"/>
    <mergeCell ref="B54:C54"/>
    <mergeCell ref="B55:D55"/>
    <mergeCell ref="B56:D56"/>
    <mergeCell ref="D58:E58"/>
    <mergeCell ref="A60:A80"/>
    <mergeCell ref="B60:D61"/>
    <mergeCell ref="B62:C62"/>
    <mergeCell ref="B63:C63"/>
    <mergeCell ref="B65:C65"/>
    <mergeCell ref="B69:D69"/>
    <mergeCell ref="B72:D73"/>
    <mergeCell ref="B75:C75"/>
    <mergeCell ref="D85:E85"/>
    <mergeCell ref="B77:C77"/>
    <mergeCell ref="B78:C78"/>
    <mergeCell ref="B79:C79"/>
    <mergeCell ref="B80:D80"/>
    <mergeCell ref="B81:D81"/>
    <mergeCell ref="D83:E83"/>
  </mergeCells>
  <pageMargins left="0.511811024" right="0.511811024" top="0.78740157499999996" bottom="0.78740157499999996" header="0.31496062000000002" footer="0.3149606200000000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96ED8-8ECB-47D8-BF50-278987A54286}">
  <sheetPr codeName="Planilha1"/>
  <dimension ref="A1:AL22"/>
  <sheetViews>
    <sheetView workbookViewId="0">
      <selection activeCell="J2" sqref="J2"/>
    </sheetView>
  </sheetViews>
  <sheetFormatPr defaultRowHeight="15" x14ac:dyDescent="0.25"/>
  <cols>
    <col min="3" max="3" width="16.140625" bestFit="1" customWidth="1"/>
    <col min="4" max="8" width="14.42578125" bestFit="1" customWidth="1"/>
    <col min="9" max="9" width="15.42578125" bestFit="1" customWidth="1"/>
    <col min="10" max="18" width="14.42578125" bestFit="1" customWidth="1"/>
  </cols>
  <sheetData>
    <row r="1" spans="1:11" ht="15.75" thickBot="1" x14ac:dyDescent="0.3">
      <c r="A1" s="457"/>
      <c r="B1" s="456"/>
      <c r="C1" s="456"/>
      <c r="D1" s="456"/>
      <c r="E1" s="456"/>
      <c r="F1" s="456"/>
      <c r="G1" s="456"/>
      <c r="H1" s="456"/>
    </row>
    <row r="2" spans="1:11" ht="15.75" thickBot="1" x14ac:dyDescent="0.3">
      <c r="A2" s="457"/>
      <c r="B2" s="453" t="s">
        <v>3256</v>
      </c>
      <c r="C2" s="454" t="s">
        <v>4233</v>
      </c>
      <c r="D2" s="454" t="s">
        <v>4234</v>
      </c>
      <c r="E2" s="454" t="s">
        <v>4235</v>
      </c>
      <c r="F2" s="454" t="s">
        <v>4236</v>
      </c>
      <c r="G2" s="455" t="s">
        <v>4243</v>
      </c>
      <c r="H2" s="456"/>
    </row>
    <row r="3" spans="1:11" x14ac:dyDescent="0.25">
      <c r="A3" s="457"/>
      <c r="B3" s="451">
        <v>0</v>
      </c>
      <c r="C3" s="452">
        <f>G3*Invest!J64</f>
        <v>35406000</v>
      </c>
      <c r="D3" s="452">
        <v>0</v>
      </c>
      <c r="E3" s="452">
        <v>0</v>
      </c>
      <c r="F3" s="452">
        <f>SUM(D3:E3)</f>
        <v>0</v>
      </c>
      <c r="G3" s="555">
        <v>0.7</v>
      </c>
      <c r="H3" s="456"/>
    </row>
    <row r="4" spans="1:11" x14ac:dyDescent="0.25">
      <c r="A4" s="457"/>
      <c r="B4" s="448">
        <v>1</v>
      </c>
      <c r="C4" s="447">
        <f>C3-D4</f>
        <v>33045600</v>
      </c>
      <c r="D4" s="447">
        <f>C$3/15</f>
        <v>2360400</v>
      </c>
      <c r="E4" s="447">
        <f t="shared" ref="E4:E18" si="0">J$7*C3</f>
        <v>3894660</v>
      </c>
      <c r="F4" s="447">
        <f>SUM(E4:E4)</f>
        <v>3894660</v>
      </c>
      <c r="G4" s="556"/>
      <c r="H4" s="456"/>
    </row>
    <row r="5" spans="1:11" x14ac:dyDescent="0.25">
      <c r="A5" s="457"/>
      <c r="B5" s="448">
        <v>2</v>
      </c>
      <c r="C5" s="447">
        <f t="shared" ref="C5:C18" si="1">C4-D5</f>
        <v>30685200</v>
      </c>
      <c r="D5" s="447">
        <f t="shared" ref="D5:D18" si="2">C$3/15</f>
        <v>2360400</v>
      </c>
      <c r="E5" s="447">
        <f t="shared" si="0"/>
        <v>3635016</v>
      </c>
      <c r="F5" s="447">
        <f t="shared" ref="F5:F18" si="3">SUM(D5:E5)</f>
        <v>5995416</v>
      </c>
      <c r="G5" s="556"/>
      <c r="H5" s="456"/>
    </row>
    <row r="6" spans="1:11" x14ac:dyDescent="0.25">
      <c r="A6" s="457"/>
      <c r="B6" s="448">
        <v>3</v>
      </c>
      <c r="C6" s="447">
        <f t="shared" si="1"/>
        <v>28324800</v>
      </c>
      <c r="D6" s="447">
        <f t="shared" si="2"/>
        <v>2360400</v>
      </c>
      <c r="E6" s="447">
        <f t="shared" si="0"/>
        <v>3375372</v>
      </c>
      <c r="F6" s="447">
        <f t="shared" si="3"/>
        <v>5735772</v>
      </c>
      <c r="G6" s="556"/>
      <c r="H6" s="456"/>
    </row>
    <row r="7" spans="1:11" x14ac:dyDescent="0.25">
      <c r="A7" s="457"/>
      <c r="B7" s="448">
        <v>4</v>
      </c>
      <c r="C7" s="447">
        <f t="shared" si="1"/>
        <v>25964400</v>
      </c>
      <c r="D7" s="447">
        <f t="shared" si="2"/>
        <v>2360400</v>
      </c>
      <c r="E7" s="447">
        <f t="shared" si="0"/>
        <v>3115728</v>
      </c>
      <c r="F7" s="447">
        <f t="shared" si="3"/>
        <v>5476128</v>
      </c>
      <c r="G7" s="556"/>
      <c r="H7" s="456"/>
      <c r="I7" t="s">
        <v>4237</v>
      </c>
      <c r="J7" s="438">
        <v>0.11</v>
      </c>
      <c r="K7" t="s">
        <v>3319</v>
      </c>
    </row>
    <row r="8" spans="1:11" x14ac:dyDescent="0.25">
      <c r="A8" s="457"/>
      <c r="B8" s="448">
        <v>5</v>
      </c>
      <c r="C8" s="447">
        <f t="shared" si="1"/>
        <v>23604000</v>
      </c>
      <c r="D8" s="447">
        <f t="shared" si="2"/>
        <v>2360400</v>
      </c>
      <c r="E8" s="447">
        <f t="shared" si="0"/>
        <v>2856084</v>
      </c>
      <c r="F8" s="447">
        <f t="shared" si="3"/>
        <v>5216484</v>
      </c>
      <c r="G8" s="556"/>
      <c r="H8" s="456"/>
      <c r="I8" t="s">
        <v>4238</v>
      </c>
    </row>
    <row r="9" spans="1:11" x14ac:dyDescent="0.25">
      <c r="A9" s="457"/>
      <c r="B9" s="448">
        <v>6</v>
      </c>
      <c r="C9" s="447">
        <f t="shared" si="1"/>
        <v>21243600</v>
      </c>
      <c r="D9" s="447">
        <f t="shared" si="2"/>
        <v>2360400</v>
      </c>
      <c r="E9" s="447">
        <f t="shared" si="0"/>
        <v>2596440</v>
      </c>
      <c r="F9" s="447">
        <f t="shared" si="3"/>
        <v>4956840</v>
      </c>
      <c r="G9" s="556"/>
      <c r="H9" s="456"/>
      <c r="I9" t="s">
        <v>4242</v>
      </c>
      <c r="J9" s="213">
        <f>NPV(J7,E4:E18)</f>
        <v>18432671.453031018</v>
      </c>
    </row>
    <row r="10" spans="1:11" x14ac:dyDescent="0.25">
      <c r="A10" s="457"/>
      <c r="B10" s="448">
        <v>7</v>
      </c>
      <c r="C10" s="447">
        <f t="shared" si="1"/>
        <v>18883200</v>
      </c>
      <c r="D10" s="447">
        <f t="shared" si="2"/>
        <v>2360400</v>
      </c>
      <c r="E10" s="447">
        <f t="shared" si="0"/>
        <v>2336796</v>
      </c>
      <c r="F10" s="447">
        <f t="shared" si="3"/>
        <v>4697196</v>
      </c>
      <c r="G10" s="556"/>
      <c r="H10" s="456"/>
    </row>
    <row r="11" spans="1:11" x14ac:dyDescent="0.25">
      <c r="A11" s="457"/>
      <c r="B11" s="448">
        <v>8</v>
      </c>
      <c r="C11" s="447">
        <f t="shared" si="1"/>
        <v>16522800</v>
      </c>
      <c r="D11" s="447">
        <f t="shared" si="2"/>
        <v>2360400</v>
      </c>
      <c r="E11" s="447">
        <f t="shared" si="0"/>
        <v>2077152</v>
      </c>
      <c r="F11" s="447">
        <f t="shared" si="3"/>
        <v>4437552</v>
      </c>
      <c r="G11" s="556"/>
      <c r="H11" s="456"/>
    </row>
    <row r="12" spans="1:11" x14ac:dyDescent="0.25">
      <c r="A12" s="457"/>
      <c r="B12" s="448">
        <v>9</v>
      </c>
      <c r="C12" s="447">
        <f t="shared" si="1"/>
        <v>14162400</v>
      </c>
      <c r="D12" s="447">
        <f t="shared" si="2"/>
        <v>2360400</v>
      </c>
      <c r="E12" s="447">
        <f t="shared" si="0"/>
        <v>1817508</v>
      </c>
      <c r="F12" s="447">
        <f t="shared" si="3"/>
        <v>4177908</v>
      </c>
      <c r="G12" s="556"/>
      <c r="H12" s="456"/>
    </row>
    <row r="13" spans="1:11" x14ac:dyDescent="0.25">
      <c r="A13" s="457"/>
      <c r="B13" s="448">
        <v>10</v>
      </c>
      <c r="C13" s="447">
        <f t="shared" si="1"/>
        <v>11802000</v>
      </c>
      <c r="D13" s="447">
        <f t="shared" si="2"/>
        <v>2360400</v>
      </c>
      <c r="E13" s="447">
        <f t="shared" si="0"/>
        <v>1557864</v>
      </c>
      <c r="F13" s="447">
        <f t="shared" si="3"/>
        <v>3918264</v>
      </c>
      <c r="G13" s="556"/>
      <c r="H13" s="456"/>
    </row>
    <row r="14" spans="1:11" x14ac:dyDescent="0.25">
      <c r="A14" s="457"/>
      <c r="B14" s="448">
        <v>11</v>
      </c>
      <c r="C14" s="447">
        <f t="shared" si="1"/>
        <v>9441600</v>
      </c>
      <c r="D14" s="447">
        <f t="shared" si="2"/>
        <v>2360400</v>
      </c>
      <c r="E14" s="447">
        <f t="shared" si="0"/>
        <v>1298220</v>
      </c>
      <c r="F14" s="447">
        <f t="shared" si="3"/>
        <v>3658620</v>
      </c>
      <c r="G14" s="556"/>
      <c r="H14" s="456"/>
    </row>
    <row r="15" spans="1:11" x14ac:dyDescent="0.25">
      <c r="A15" s="457"/>
      <c r="B15" s="448">
        <v>12</v>
      </c>
      <c r="C15" s="447">
        <f t="shared" si="1"/>
        <v>7081200</v>
      </c>
      <c r="D15" s="447">
        <f t="shared" si="2"/>
        <v>2360400</v>
      </c>
      <c r="E15" s="447">
        <f t="shared" si="0"/>
        <v>1038576</v>
      </c>
      <c r="F15" s="447">
        <f t="shared" si="3"/>
        <v>3398976</v>
      </c>
      <c r="G15" s="556"/>
      <c r="H15" s="456"/>
    </row>
    <row r="16" spans="1:11" x14ac:dyDescent="0.25">
      <c r="A16" s="457"/>
      <c r="B16" s="448">
        <v>13</v>
      </c>
      <c r="C16" s="447">
        <f t="shared" si="1"/>
        <v>4720800</v>
      </c>
      <c r="D16" s="447">
        <f t="shared" si="2"/>
        <v>2360400</v>
      </c>
      <c r="E16" s="447">
        <f t="shared" si="0"/>
        <v>778932</v>
      </c>
      <c r="F16" s="447">
        <f t="shared" si="3"/>
        <v>3139332</v>
      </c>
      <c r="G16" s="556"/>
      <c r="H16" s="456"/>
    </row>
    <row r="17" spans="1:38" x14ac:dyDescent="0.25">
      <c r="A17" s="457"/>
      <c r="B17" s="448">
        <v>14</v>
      </c>
      <c r="C17" s="447">
        <f t="shared" si="1"/>
        <v>2360400</v>
      </c>
      <c r="D17" s="447">
        <f t="shared" si="2"/>
        <v>2360400</v>
      </c>
      <c r="E17" s="447">
        <f t="shared" si="0"/>
        <v>519288</v>
      </c>
      <c r="F17" s="447">
        <f t="shared" si="3"/>
        <v>2879688</v>
      </c>
      <c r="G17" s="556"/>
      <c r="H17" s="456"/>
    </row>
    <row r="18" spans="1:38" ht="15.75" thickBot="1" x14ac:dyDescent="0.3">
      <c r="A18" s="457"/>
      <c r="B18" s="449">
        <v>15</v>
      </c>
      <c r="C18" s="450">
        <f t="shared" si="1"/>
        <v>0</v>
      </c>
      <c r="D18" s="450">
        <f t="shared" si="2"/>
        <v>2360400</v>
      </c>
      <c r="E18" s="450">
        <f t="shared" si="0"/>
        <v>259644</v>
      </c>
      <c r="F18" s="450">
        <f t="shared" si="3"/>
        <v>2620044</v>
      </c>
      <c r="G18" s="557"/>
      <c r="H18" s="456"/>
    </row>
    <row r="19" spans="1:38" x14ac:dyDescent="0.25">
      <c r="A19" s="457"/>
      <c r="B19" s="456"/>
      <c r="C19" s="456"/>
      <c r="D19" s="456"/>
      <c r="E19" s="456"/>
      <c r="F19" s="456"/>
      <c r="G19" s="456"/>
      <c r="H19" s="456"/>
    </row>
    <row r="20" spans="1:38" x14ac:dyDescent="0.25">
      <c r="C20" t="s">
        <v>3700</v>
      </c>
      <c r="D20" t="s">
        <v>3701</v>
      </c>
      <c r="E20" t="s">
        <v>3702</v>
      </c>
      <c r="F20" t="s">
        <v>3703</v>
      </c>
      <c r="G20" t="s">
        <v>3704</v>
      </c>
      <c r="H20" t="s">
        <v>3705</v>
      </c>
      <c r="I20" t="s">
        <v>3706</v>
      </c>
      <c r="J20" t="s">
        <v>3707</v>
      </c>
      <c r="K20" t="s">
        <v>3708</v>
      </c>
      <c r="L20" t="s">
        <v>3709</v>
      </c>
      <c r="M20" t="s">
        <v>3710</v>
      </c>
      <c r="N20" t="s">
        <v>3711</v>
      </c>
      <c r="O20" t="s">
        <v>3712</v>
      </c>
      <c r="P20" t="s">
        <v>3713</v>
      </c>
      <c r="Q20" t="s">
        <v>3714</v>
      </c>
      <c r="R20" t="s">
        <v>3715</v>
      </c>
      <c r="S20" t="s">
        <v>3716</v>
      </c>
      <c r="T20" t="s">
        <v>3717</v>
      </c>
      <c r="U20" t="s">
        <v>3718</v>
      </c>
      <c r="V20" t="s">
        <v>3719</v>
      </c>
      <c r="W20" t="s">
        <v>3720</v>
      </c>
      <c r="X20" t="s">
        <v>3721</v>
      </c>
      <c r="Y20" t="s">
        <v>3722</v>
      </c>
      <c r="Z20" t="s">
        <v>3723</v>
      </c>
      <c r="AA20" t="s">
        <v>3724</v>
      </c>
      <c r="AB20" t="s">
        <v>3725</v>
      </c>
      <c r="AC20" t="s">
        <v>3726</v>
      </c>
      <c r="AD20" t="s">
        <v>3727</v>
      </c>
      <c r="AE20" t="s">
        <v>3728</v>
      </c>
      <c r="AF20" t="s">
        <v>3729</v>
      </c>
      <c r="AG20" t="s">
        <v>3730</v>
      </c>
      <c r="AH20" t="s">
        <v>3731</v>
      </c>
      <c r="AI20" t="s">
        <v>3732</v>
      </c>
      <c r="AJ20" t="s">
        <v>3733</v>
      </c>
      <c r="AK20" t="s">
        <v>3734</v>
      </c>
      <c r="AL20" t="s">
        <v>3735</v>
      </c>
    </row>
    <row r="21" spans="1:38" x14ac:dyDescent="0.25">
      <c r="B21" t="s">
        <v>4240</v>
      </c>
      <c r="C21" s="213">
        <f>E3</f>
        <v>0</v>
      </c>
      <c r="D21" s="213">
        <f>E4</f>
        <v>3894660</v>
      </c>
      <c r="E21" s="213">
        <f>E5</f>
        <v>3635016</v>
      </c>
      <c r="F21" s="213">
        <f>E6</f>
        <v>3375372</v>
      </c>
      <c r="G21" s="213">
        <f>E7</f>
        <v>3115728</v>
      </c>
      <c r="H21" s="213">
        <f>E8</f>
        <v>2856084</v>
      </c>
      <c r="I21" s="213">
        <f>E9</f>
        <v>2596440</v>
      </c>
      <c r="J21" s="213">
        <f>E10</f>
        <v>2336796</v>
      </c>
      <c r="K21" s="213">
        <f>E11</f>
        <v>2077152</v>
      </c>
      <c r="L21" s="213">
        <f>E12</f>
        <v>1817508</v>
      </c>
      <c r="M21" s="213">
        <f>E13</f>
        <v>1557864</v>
      </c>
      <c r="N21" s="213">
        <f>E14</f>
        <v>1298220</v>
      </c>
      <c r="O21" s="213">
        <f>E15</f>
        <v>1038576</v>
      </c>
      <c r="P21" s="213">
        <f>E16</f>
        <v>778932</v>
      </c>
      <c r="Q21" s="213">
        <f>E17</f>
        <v>519288</v>
      </c>
      <c r="R21" s="213">
        <f>E18</f>
        <v>259644</v>
      </c>
      <c r="S21">
        <v>0</v>
      </c>
      <c r="T21">
        <v>0</v>
      </c>
      <c r="U21">
        <v>0</v>
      </c>
      <c r="V21">
        <v>0</v>
      </c>
      <c r="W21">
        <v>0</v>
      </c>
      <c r="X21">
        <v>0</v>
      </c>
      <c r="Y21">
        <v>0</v>
      </c>
      <c r="Z21">
        <v>0</v>
      </c>
      <c r="AA21">
        <v>0</v>
      </c>
      <c r="AB21">
        <v>0</v>
      </c>
      <c r="AC21">
        <v>0</v>
      </c>
      <c r="AD21">
        <v>0</v>
      </c>
      <c r="AE21">
        <v>0</v>
      </c>
      <c r="AF21">
        <v>0</v>
      </c>
      <c r="AG21">
        <v>0</v>
      </c>
      <c r="AH21">
        <v>0</v>
      </c>
      <c r="AI21">
        <v>0</v>
      </c>
      <c r="AJ21">
        <v>0</v>
      </c>
      <c r="AK21">
        <v>0</v>
      </c>
      <c r="AL21">
        <v>0</v>
      </c>
    </row>
    <row r="22" spans="1:38" x14ac:dyDescent="0.25">
      <c r="B22" t="s">
        <v>4234</v>
      </c>
      <c r="D22" s="213">
        <f>D4</f>
        <v>2360400</v>
      </c>
      <c r="E22" s="213">
        <f>D5</f>
        <v>2360400</v>
      </c>
      <c r="F22" s="213">
        <f>D6</f>
        <v>2360400</v>
      </c>
      <c r="G22" s="213">
        <f>D7</f>
        <v>2360400</v>
      </c>
      <c r="H22" s="213">
        <f>D8</f>
        <v>2360400</v>
      </c>
      <c r="I22" s="213">
        <f>D9</f>
        <v>2360400</v>
      </c>
      <c r="J22" s="213">
        <f>D10</f>
        <v>2360400</v>
      </c>
      <c r="K22" s="213">
        <f>D11</f>
        <v>2360400</v>
      </c>
      <c r="L22" s="213">
        <f>D12</f>
        <v>2360400</v>
      </c>
      <c r="M22" s="213">
        <f>D13</f>
        <v>2360400</v>
      </c>
      <c r="N22" s="213">
        <f>D14</f>
        <v>2360400</v>
      </c>
      <c r="O22" s="213">
        <f>D15</f>
        <v>2360400</v>
      </c>
      <c r="P22" s="213">
        <f>D16</f>
        <v>2360400</v>
      </c>
      <c r="Q22" s="213">
        <f>D17</f>
        <v>2360400</v>
      </c>
      <c r="R22" s="213">
        <f>D18</f>
        <v>2360400</v>
      </c>
    </row>
  </sheetData>
  <mergeCells count="1">
    <mergeCell ref="G3:G18"/>
  </mergeCells>
  <phoneticPr fontId="76" type="noConversion"/>
  <pageMargins left="0.511811024" right="0.511811024" top="0.78740157499999996" bottom="0.78740157499999996" header="0.31496062000000002" footer="0.3149606200000000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8DD06-F11C-4F4C-B3F0-F1DCC3DDDC62}">
  <sheetPr codeName="Planilha25"/>
  <dimension ref="A1:BW80"/>
  <sheetViews>
    <sheetView workbookViewId="0">
      <selection activeCell="D42" sqref="D42"/>
    </sheetView>
  </sheetViews>
  <sheetFormatPr defaultRowHeight="16.5" x14ac:dyDescent="0.3"/>
  <cols>
    <col min="1" max="1" width="4" style="180" customWidth="1"/>
    <col min="2" max="2" width="30.28515625" style="180" customWidth="1"/>
    <col min="3" max="3" width="9.140625" style="180"/>
    <col min="4" max="4" width="16.7109375" style="180" bestFit="1" customWidth="1"/>
    <col min="5" max="5" width="14.7109375" style="180" customWidth="1"/>
    <col min="6" max="6" width="15.85546875" style="180" customWidth="1"/>
    <col min="7" max="7" width="15.7109375" style="180" customWidth="1"/>
    <col min="8" max="8" width="16.28515625" style="180" customWidth="1"/>
    <col min="9" max="10" width="14.7109375" style="180" bestFit="1" customWidth="1"/>
    <col min="11" max="12" width="14.140625" style="180" bestFit="1" customWidth="1"/>
    <col min="13" max="13" width="16.28515625" style="180" customWidth="1"/>
    <col min="14" max="14" width="18" style="180" customWidth="1"/>
    <col min="15" max="31" width="14.140625" style="180" bestFit="1" customWidth="1"/>
    <col min="32" max="32" width="14.5703125" style="180" bestFit="1" customWidth="1"/>
    <col min="33" max="33" width="14.140625" style="180" bestFit="1" customWidth="1"/>
    <col min="34" max="38" width="14.5703125" style="180" bestFit="1" customWidth="1"/>
    <col min="39" max="39" width="13.5703125" style="180" bestFit="1" customWidth="1"/>
    <col min="40" max="40" width="9.140625" style="180"/>
    <col min="41" max="41" width="13.5703125" style="180" bestFit="1" customWidth="1"/>
    <col min="42" max="16384" width="9.140625" style="180"/>
  </cols>
  <sheetData>
    <row r="1" spans="1:39" x14ac:dyDescent="0.3">
      <c r="E1" s="416">
        <f>E4/D4-1</f>
        <v>0</v>
      </c>
      <c r="F1" s="416">
        <f t="shared" ref="F1:AL1" si="0">F4/E4-1</f>
        <v>0</v>
      </c>
      <c r="G1" s="416">
        <f t="shared" si="0"/>
        <v>0</v>
      </c>
      <c r="H1" s="416">
        <f t="shared" si="0"/>
        <v>0.28443671703749063</v>
      </c>
      <c r="I1" s="416">
        <f t="shared" si="0"/>
        <v>0.24985873146797055</v>
      </c>
      <c r="J1" s="416">
        <f t="shared" si="0"/>
        <v>0.22522105016372707</v>
      </c>
      <c r="K1" s="416">
        <f t="shared" si="0"/>
        <v>0.20662589357736794</v>
      </c>
      <c r="L1" s="416">
        <f t="shared" si="0"/>
        <v>0.19213901979941928</v>
      </c>
      <c r="M1" s="416">
        <f t="shared" si="0"/>
        <v>0.18054453030277395</v>
      </c>
      <c r="N1" s="416">
        <f t="shared" si="0"/>
        <v>0.1710640940864192</v>
      </c>
      <c r="O1" s="416">
        <f t="shared" si="0"/>
        <v>0.16317627443730109</v>
      </c>
      <c r="P1" s="416">
        <f t="shared" si="0"/>
        <v>0.15651855439250806</v>
      </c>
      <c r="Q1" s="416">
        <f t="shared" si="0"/>
        <v>0.15083102830989081</v>
      </c>
      <c r="R1" s="416">
        <f t="shared" si="0"/>
        <v>0.14592245453747688</v>
      </c>
      <c r="S1" s="416">
        <f t="shared" si="0"/>
        <v>0.14169005457454964</v>
      </c>
      <c r="T1" s="416">
        <f t="shared" si="0"/>
        <v>0.1378999833057899</v>
      </c>
      <c r="U1" s="416">
        <f t="shared" si="0"/>
        <v>0.13458972685385828</v>
      </c>
      <c r="V1" s="416">
        <f t="shared" si="0"/>
        <v>5.6017073084280833E-2</v>
      </c>
      <c r="W1" s="416">
        <f t="shared" si="0"/>
        <v>3.7150288603048365E-2</v>
      </c>
      <c r="X1" s="416">
        <f t="shared" si="0"/>
        <v>3.7545669389685399E-2</v>
      </c>
      <c r="Y1" s="416">
        <f t="shared" si="0"/>
        <v>3.7718996682928108E-2</v>
      </c>
      <c r="Z1" s="416">
        <f t="shared" si="0"/>
        <v>3.7998287425586419E-2</v>
      </c>
      <c r="AA1" s="416">
        <f t="shared" si="0"/>
        <v>3.827348931054475E-2</v>
      </c>
      <c r="AB1" s="416">
        <f t="shared" si="0"/>
        <v>3.8544592720375137E-2</v>
      </c>
      <c r="AC1" s="416">
        <f t="shared" si="0"/>
        <v>3.798864516385736E-2</v>
      </c>
      <c r="AD1" s="416">
        <f t="shared" si="0"/>
        <v>3.9091240186072351E-2</v>
      </c>
      <c r="AE1" s="416">
        <f t="shared" si="0"/>
        <v>3.9349900835101703E-2</v>
      </c>
      <c r="AF1" s="416">
        <f t="shared" si="0"/>
        <v>3.9604465260525856E-2</v>
      </c>
      <c r="AG1" s="416">
        <f t="shared" si="0"/>
        <v>3.9854947920590522E-2</v>
      </c>
      <c r="AH1" s="416">
        <f t="shared" si="0"/>
        <v>3.8400919427007407E-2</v>
      </c>
      <c r="AI1" s="416">
        <f t="shared" si="0"/>
        <v>4.0380419432221037E-2</v>
      </c>
      <c r="AJ1" s="416">
        <f t="shared" si="0"/>
        <v>4.0618374689765924E-2</v>
      </c>
      <c r="AK1" s="416">
        <f t="shared" si="0"/>
        <v>4.0852331029865629E-2</v>
      </c>
      <c r="AL1" s="416">
        <f t="shared" si="0"/>
        <v>4.1082322341401412E-2</v>
      </c>
    </row>
    <row r="2" spans="1:39" x14ac:dyDescent="0.3">
      <c r="A2" s="558" t="s">
        <v>4013</v>
      </c>
      <c r="B2" s="199" t="s">
        <v>4014</v>
      </c>
      <c r="C2" s="184" t="s">
        <v>4045</v>
      </c>
      <c r="D2" s="178">
        <v>2025</v>
      </c>
      <c r="E2" s="178">
        <v>2026</v>
      </c>
      <c r="F2" s="178">
        <v>2027</v>
      </c>
      <c r="G2" s="178">
        <v>2028</v>
      </c>
      <c r="H2" s="178">
        <v>2029</v>
      </c>
      <c r="I2" s="178">
        <v>2030</v>
      </c>
      <c r="J2" s="178">
        <v>2031</v>
      </c>
      <c r="K2" s="178">
        <v>2032</v>
      </c>
      <c r="L2" s="178">
        <v>2033</v>
      </c>
      <c r="M2" s="178">
        <v>2034</v>
      </c>
      <c r="N2" s="178">
        <v>2035</v>
      </c>
      <c r="O2" s="178">
        <v>2036</v>
      </c>
      <c r="P2" s="178">
        <v>2037</v>
      </c>
      <c r="Q2" s="178">
        <v>2038</v>
      </c>
      <c r="R2" s="178">
        <v>2039</v>
      </c>
      <c r="S2" s="178">
        <v>2040</v>
      </c>
      <c r="T2" s="178">
        <v>2041</v>
      </c>
      <c r="U2" s="178">
        <v>2042</v>
      </c>
      <c r="V2" s="178">
        <v>2043</v>
      </c>
      <c r="W2" s="178">
        <v>2044</v>
      </c>
      <c r="X2" s="178">
        <v>2045</v>
      </c>
      <c r="Y2" s="178">
        <v>2046</v>
      </c>
      <c r="Z2" s="178">
        <v>2047</v>
      </c>
      <c r="AA2" s="178">
        <v>2048</v>
      </c>
      <c r="AB2" s="178">
        <v>2049</v>
      </c>
      <c r="AC2" s="178">
        <v>2050</v>
      </c>
      <c r="AD2" s="178">
        <v>2051</v>
      </c>
      <c r="AE2" s="178">
        <v>2052</v>
      </c>
      <c r="AF2" s="178">
        <v>2053</v>
      </c>
      <c r="AG2" s="178">
        <v>2054</v>
      </c>
      <c r="AH2" s="178">
        <v>2055</v>
      </c>
      <c r="AI2" s="178">
        <v>2056</v>
      </c>
      <c r="AJ2" s="178">
        <v>2057</v>
      </c>
      <c r="AK2" s="178">
        <v>2058</v>
      </c>
      <c r="AL2" s="178">
        <v>2059</v>
      </c>
      <c r="AM2" s="178"/>
    </row>
    <row r="3" spans="1:39" s="177" customFormat="1" x14ac:dyDescent="0.3">
      <c r="A3" s="558"/>
      <c r="B3" s="559" t="s">
        <v>4015</v>
      </c>
      <c r="C3" s="200"/>
      <c r="D3" s="201" t="s">
        <v>3701</v>
      </c>
      <c r="E3" s="201" t="s">
        <v>3702</v>
      </c>
      <c r="F3" s="201" t="s">
        <v>3703</v>
      </c>
      <c r="G3" s="201" t="s">
        <v>3704</v>
      </c>
      <c r="H3" s="201" t="s">
        <v>3705</v>
      </c>
      <c r="I3" s="201" t="s">
        <v>3706</v>
      </c>
      <c r="J3" s="201" t="s">
        <v>3707</v>
      </c>
      <c r="K3" s="201" t="s">
        <v>3708</v>
      </c>
      <c r="L3" s="201" t="s">
        <v>3709</v>
      </c>
      <c r="M3" s="201" t="s">
        <v>3710</v>
      </c>
      <c r="N3" s="201" t="s">
        <v>3711</v>
      </c>
      <c r="O3" s="201" t="s">
        <v>3712</v>
      </c>
      <c r="P3" s="201" t="s">
        <v>3713</v>
      </c>
      <c r="Q3" s="201" t="s">
        <v>3714</v>
      </c>
      <c r="R3" s="201" t="s">
        <v>3715</v>
      </c>
      <c r="S3" s="201" t="s">
        <v>3716</v>
      </c>
      <c r="T3" s="201" t="s">
        <v>3717</v>
      </c>
      <c r="U3" s="201" t="s">
        <v>3718</v>
      </c>
      <c r="V3" s="201" t="s">
        <v>3719</v>
      </c>
      <c r="W3" s="201" t="s">
        <v>3720</v>
      </c>
      <c r="X3" s="201" t="s">
        <v>3721</v>
      </c>
      <c r="Y3" s="201" t="s">
        <v>3722</v>
      </c>
      <c r="Z3" s="201" t="s">
        <v>3723</v>
      </c>
      <c r="AA3" s="201" t="s">
        <v>3724</v>
      </c>
      <c r="AB3" s="201" t="s">
        <v>3725</v>
      </c>
      <c r="AC3" s="201" t="s">
        <v>3726</v>
      </c>
      <c r="AD3" s="201" t="s">
        <v>3727</v>
      </c>
      <c r="AE3" s="201" t="s">
        <v>3728</v>
      </c>
      <c r="AF3" s="201" t="s">
        <v>3729</v>
      </c>
      <c r="AG3" s="201" t="s">
        <v>3730</v>
      </c>
      <c r="AH3" s="201" t="s">
        <v>3731</v>
      </c>
      <c r="AI3" s="201" t="s">
        <v>3732</v>
      </c>
      <c r="AJ3" s="201" t="s">
        <v>3733</v>
      </c>
      <c r="AK3" s="201" t="s">
        <v>3734</v>
      </c>
      <c r="AL3" s="201" t="s">
        <v>3735</v>
      </c>
      <c r="AM3" s="262"/>
    </row>
    <row r="4" spans="1:39" x14ac:dyDescent="0.3">
      <c r="A4" s="558"/>
      <c r="B4" s="559"/>
      <c r="C4" s="200"/>
      <c r="D4" s="202">
        <f>Receitas!F85</f>
        <v>22291912.408</v>
      </c>
      <c r="E4" s="202">
        <f>Receitas!G85</f>
        <v>22291912.408</v>
      </c>
      <c r="F4" s="202">
        <f>Receitas!H85</f>
        <v>22291912.408</v>
      </c>
      <c r="G4" s="202">
        <f>Receitas!I85</f>
        <v>22291912.408</v>
      </c>
      <c r="H4" s="202">
        <f>Receitas!J85</f>
        <v>28632550.789818823</v>
      </c>
      <c r="I4" s="202">
        <f>Receitas!K85</f>
        <v>35786643.608855195</v>
      </c>
      <c r="J4" s="202">
        <f>Receitas!L85</f>
        <v>43846549.064276591</v>
      </c>
      <c r="K4" s="202">
        <f>Receitas!M85</f>
        <v>52906381.444966651</v>
      </c>
      <c r="L4" s="202">
        <f>Receitas!N85</f>
        <v>63071761.71693673</v>
      </c>
      <c r="M4" s="202">
        <f>Receitas!O85</f>
        <v>74459023.311489552</v>
      </c>
      <c r="N4" s="202">
        <f>Receitas!P85</f>
        <v>87196288.680829078</v>
      </c>
      <c r="O4" s="202">
        <f>Receitas!Q85</f>
        <v>101424654.21252617</v>
      </c>
      <c r="P4" s="202">
        <f>Receitas!R85</f>
        <v>117299494.46963078</v>
      </c>
      <c r="Q4" s="202">
        <f>Receitas!S85</f>
        <v>134991897.84071553</v>
      </c>
      <c r="R4" s="202">
        <f>Receitas!T85</f>
        <v>154690246.91630507</v>
      </c>
      <c r="S4" s="202">
        <f>Receitas!U85</f>
        <v>176608316.44402689</v>
      </c>
      <c r="T4" s="202">
        <f>Receitas!V85</f>
        <v>200962600.33332187</v>
      </c>
      <c r="U4" s="202">
        <f>Receitas!W85</f>
        <v>228010101.82002473</v>
      </c>
      <c r="V4" s="202">
        <f>Receitas!X85</f>
        <v>240782560.35763139</v>
      </c>
      <c r="W4" s="202">
        <f>Receitas!Y85</f>
        <v>249727701.96549833</v>
      </c>
      <c r="X4" s="202">
        <f>Receitas!Z85</f>
        <v>259103895.70094082</v>
      </c>
      <c r="Y4" s="202">
        <f>Receitas!AA85</f>
        <v>268877034.68341833</v>
      </c>
      <c r="Z4" s="202">
        <f>Receitas!AB85</f>
        <v>279093901.52945822</v>
      </c>
      <c r="AA4" s="202">
        <f>Receitas!AC85</f>
        <v>289775798.9862842</v>
      </c>
      <c r="AB4" s="202">
        <f>Receitas!AD85</f>
        <v>300945089.13843185</v>
      </c>
      <c r="AC4" s="202">
        <f>Receitas!AE85</f>
        <v>312377585.34351718</v>
      </c>
      <c r="AD4" s="202">
        <f>Receitas!AF85</f>
        <v>324588812.56092596</v>
      </c>
      <c r="AE4" s="202">
        <f>Receitas!AG85</f>
        <v>337361350.14738178</v>
      </c>
      <c r="AF4" s="202">
        <f>Receitas!AH85</f>
        <v>350722366.01953787</v>
      </c>
      <c r="AG4" s="202">
        <f>Receitas!AI85</f>
        <v>364700387.65183282</v>
      </c>
      <c r="AH4" s="202">
        <f>Receitas!AJ85</f>
        <v>378705217.85304922</v>
      </c>
      <c r="AI4" s="202">
        <f>Receitas!AK85</f>
        <v>393997493.39112598</v>
      </c>
      <c r="AJ4" s="202">
        <f>Receitas!AL85</f>
        <v>410001031.20451534</v>
      </c>
      <c r="AK4" s="202">
        <f>Receitas!AM85</f>
        <v>426750529.05386847</v>
      </c>
      <c r="AL4" s="202">
        <f>Receitas!AN85</f>
        <v>444282431.84782308</v>
      </c>
      <c r="AM4" s="263"/>
    </row>
    <row r="5" spans="1:39" s="179" customFormat="1" x14ac:dyDescent="0.3">
      <c r="B5" s="181" t="s">
        <v>4016</v>
      </c>
      <c r="C5" s="181"/>
      <c r="D5" s="182">
        <f>SUM(D6:D8)</f>
        <v>-2230223.0804551179</v>
      </c>
      <c r="E5" s="182">
        <f>SUM(E6:E8)</f>
        <v>-2230223.0804551179</v>
      </c>
      <c r="F5" s="182">
        <f>SUM(F6:F8)</f>
        <v>-2224184.7775801178</v>
      </c>
      <c r="G5" s="182">
        <f t="shared" ref="G5:AL5" si="1">SUM(G6:G8)</f>
        <v>-2227400.4235301181</v>
      </c>
      <c r="H5" s="182">
        <f>SUM(H6:H8)</f>
        <v>-2138601.0727350456</v>
      </c>
      <c r="I5" s="182">
        <f t="shared" si="1"/>
        <v>-2423137.7606192711</v>
      </c>
      <c r="J5" s="182">
        <f t="shared" si="1"/>
        <v>-2737062.9328910783</v>
      </c>
      <c r="K5" s="182">
        <f t="shared" si="1"/>
        <v>-3365035.6284692734</v>
      </c>
      <c r="L5" s="182">
        <f>SUM(L6:L8)</f>
        <v>-3833517.1484346557</v>
      </c>
      <c r="M5" s="182">
        <f t="shared" si="1"/>
        <v>-4341720.7815442923</v>
      </c>
      <c r="N5" s="182">
        <f t="shared" si="1"/>
        <v>-5524205.7316915374</v>
      </c>
      <c r="O5" s="182">
        <f t="shared" si="1"/>
        <v>-6268436.8688596347</v>
      </c>
      <c r="P5" s="182">
        <f t="shared" si="1"/>
        <v>-7085901.3684703903</v>
      </c>
      <c r="Q5" s="182">
        <f t="shared" si="1"/>
        <v>-8524052.5779310577</v>
      </c>
      <c r="R5" s="182">
        <f t="shared" si="1"/>
        <v>-9595185.8692797013</v>
      </c>
      <c r="S5" s="182">
        <f t="shared" si="1"/>
        <v>-10761002.807222389</v>
      </c>
      <c r="T5" s="182">
        <f t="shared" si="1"/>
        <v>-12914579.880376454</v>
      </c>
      <c r="U5" s="182">
        <f t="shared" si="1"/>
        <v>-14432157.220527496</v>
      </c>
      <c r="V5" s="182">
        <f t="shared" si="1"/>
        <v>-15148909.454890657</v>
      </c>
      <c r="W5" s="182">
        <f t="shared" si="1"/>
        <v>-16783732.947050795</v>
      </c>
      <c r="X5" s="182">
        <f t="shared" si="1"/>
        <v>-17366583.171723776</v>
      </c>
      <c r="Y5" s="182">
        <f t="shared" si="1"/>
        <v>-17968743.025995649</v>
      </c>
      <c r="Z5" s="182">
        <f t="shared" si="1"/>
        <v>-19890918.156423006</v>
      </c>
      <c r="AA5" s="182">
        <f t="shared" si="1"/>
        <v>-20606890.257492423</v>
      </c>
      <c r="AB5" s="182">
        <f t="shared" si="1"/>
        <v>-21359553.610001497</v>
      </c>
      <c r="AC5" s="182">
        <f t="shared" si="1"/>
        <v>-23576590.45012486</v>
      </c>
      <c r="AD5" s="182">
        <f t="shared" si="1"/>
        <v>-24464842.161528181</v>
      </c>
      <c r="AE5" s="182">
        <f t="shared" si="1"/>
        <v>-25390966.810557634</v>
      </c>
      <c r="AF5" s="182">
        <f t="shared" si="1"/>
        <v>-28033431.500787519</v>
      </c>
      <c r="AG5" s="182">
        <f t="shared" si="1"/>
        <v>-29122233.596155129</v>
      </c>
      <c r="AH5" s="182">
        <f t="shared" si="1"/>
        <v>-30181031.938990138</v>
      </c>
      <c r="AI5" s="182">
        <f t="shared" si="1"/>
        <v>-31373391.218096301</v>
      </c>
      <c r="AJ5" s="182">
        <f t="shared" si="1"/>
        <v>-32625791.491495728</v>
      </c>
      <c r="AK5" s="182">
        <f t="shared" si="1"/>
        <v>-33934117.925232515</v>
      </c>
      <c r="AL5" s="182">
        <f t="shared" si="1"/>
        <v>-35308393.992970034</v>
      </c>
      <c r="AM5" s="182"/>
    </row>
    <row r="6" spans="1:39" s="179" customFormat="1" x14ac:dyDescent="0.3">
      <c r="B6" s="179" t="s">
        <v>4017</v>
      </c>
      <c r="C6" s="181"/>
      <c r="D6" s="183">
        <f>1.65%*(-D4)+1.65%*(-D11)</f>
        <v>-199003.817199021</v>
      </c>
      <c r="E6" s="183">
        <f t="shared" ref="E6:I6" si="2">1.65%*(-E4)+1.65%*(-E11)</f>
        <v>-199003.817199021</v>
      </c>
      <c r="F6" s="183">
        <f t="shared" si="2"/>
        <v>-197926.71452402102</v>
      </c>
      <c r="G6" s="183">
        <f t="shared" si="2"/>
        <v>-198500.31623402101</v>
      </c>
      <c r="H6" s="183">
        <f t="shared" si="2"/>
        <v>-126108.79241651588</v>
      </c>
      <c r="I6" s="183">
        <f t="shared" si="2"/>
        <v>-113057.21159905335</v>
      </c>
      <c r="J6" s="183">
        <f t="shared" ref="J6:AL6" si="3">1.65%*(-J4)+1.65%*(-J11)</f>
        <v>-97169.031509995693</v>
      </c>
      <c r="K6" s="183">
        <f t="shared" si="3"/>
        <v>-128381.87219076254</v>
      </c>
      <c r="L6" s="183">
        <f t="shared" si="3"/>
        <v>-121284.64359674626</v>
      </c>
      <c r="M6" s="183">
        <f t="shared" si="3"/>
        <v>-110375.12068650732</v>
      </c>
      <c r="N6" s="183">
        <f t="shared" si="3"/>
        <v>-207702.2314727176</v>
      </c>
      <c r="O6" s="183">
        <f t="shared" si="3"/>
        <v>-213555.3363335121</v>
      </c>
      <c r="P6" s="183">
        <f t="shared" si="3"/>
        <v>-217786.91505206539</v>
      </c>
      <c r="Q6" s="183">
        <f t="shared" si="3"/>
        <v>-316524.88451105007</v>
      </c>
      <c r="R6" s="183">
        <f t="shared" si="3"/>
        <v>-331903.92580717197</v>
      </c>
      <c r="S6" s="183">
        <f t="shared" si="3"/>
        <v>-344374.97570645623</v>
      </c>
      <c r="T6" s="183">
        <f t="shared" si="3"/>
        <v>-511312.67839157768</v>
      </c>
      <c r="U6" s="183">
        <f t="shared" si="3"/>
        <v>-540781.19067225186</v>
      </c>
      <c r="V6" s="183">
        <f t="shared" si="3"/>
        <v>-554717.7698448645</v>
      </c>
      <c r="W6" s="183">
        <f t="shared" si="3"/>
        <v>-766553.94059245335</v>
      </c>
      <c r="X6" s="183">
        <f t="shared" si="3"/>
        <v>-786896.30681260675</v>
      </c>
      <c r="Y6" s="183">
        <f t="shared" si="3"/>
        <v>-807142.77097414108</v>
      </c>
      <c r="Z6" s="183">
        <f t="shared" si="3"/>
        <v>-1058893.8466938003</v>
      </c>
      <c r="AA6" s="183">
        <f t="shared" si="3"/>
        <v>-1091336.8117290866</v>
      </c>
      <c r="AB6" s="183">
        <f t="shared" si="3"/>
        <v>-1125977.6867656056</v>
      </c>
      <c r="AC6" s="183">
        <f t="shared" si="3"/>
        <v>-1419483.61641793</v>
      </c>
      <c r="AD6" s="183">
        <f t="shared" si="3"/>
        <v>-1469017.5708373091</v>
      </c>
      <c r="AE6" s="183">
        <f t="shared" si="3"/>
        <v>-1520300.9567849841</v>
      </c>
      <c r="AF6" s="183">
        <f t="shared" si="3"/>
        <v>-1872493.7059121653</v>
      </c>
      <c r="AG6" s="183">
        <f t="shared" si="3"/>
        <v>-1942043.6164734862</v>
      </c>
      <c r="AH6" s="183">
        <f>1.65%*(-AH4)+1.65%*(-AH11)</f>
        <v>-2006002.4028602336</v>
      </c>
      <c r="AI6" s="183">
        <f t="shared" si="3"/>
        <v>-2082302.9519017292</v>
      </c>
      <c r="AJ6" s="183">
        <f t="shared" si="3"/>
        <v>-2162969.825577884</v>
      </c>
      <c r="AK6" s="183">
        <f t="shared" si="3"/>
        <v>-2246959.5599664329</v>
      </c>
      <c r="AL6" s="183">
        <f t="shared" si="3"/>
        <v>-2335735.0768600171</v>
      </c>
      <c r="AM6" s="183"/>
    </row>
    <row r="7" spans="1:39" s="179" customFormat="1" x14ac:dyDescent="0.3">
      <c r="B7" s="179" t="s">
        <v>4018</v>
      </c>
      <c r="C7" s="181"/>
      <c r="D7" s="183">
        <f>-7.6%*D4+7.6%*(-D11)</f>
        <v>-916623.64285609673</v>
      </c>
      <c r="E7" s="183">
        <f t="shared" ref="E7:AL7" si="4">-7.6%*E4+7.6%*(-E11)</f>
        <v>-916623.64285609673</v>
      </c>
      <c r="F7" s="183">
        <f t="shared" si="4"/>
        <v>-911662.44265609677</v>
      </c>
      <c r="G7" s="183">
        <f t="shared" si="4"/>
        <v>-914304.48689609685</v>
      </c>
      <c r="H7" s="183">
        <f t="shared" si="4"/>
        <v>-580864.74082758836</v>
      </c>
      <c r="I7" s="183">
        <f t="shared" si="4"/>
        <v>-520748.36857745796</v>
      </c>
      <c r="J7" s="183">
        <f t="shared" si="4"/>
        <v>-447566.44816725282</v>
      </c>
      <c r="K7" s="183">
        <f t="shared" si="4"/>
        <v>-591334.68403017847</v>
      </c>
      <c r="L7" s="183">
        <f t="shared" si="4"/>
        <v>-558644.41899107303</v>
      </c>
      <c r="M7" s="183">
        <f t="shared" si="4"/>
        <v>-508394.49528330751</v>
      </c>
      <c r="N7" s="183">
        <f t="shared" si="4"/>
        <v>-956689.06617736537</v>
      </c>
      <c r="O7" s="183">
        <f t="shared" si="4"/>
        <v>-983648.8218998136</v>
      </c>
      <c r="P7" s="183">
        <f t="shared" si="4"/>
        <v>-1003139.7299367851</v>
      </c>
      <c r="Q7" s="183">
        <f t="shared" si="4"/>
        <v>-1457932.8013842311</v>
      </c>
      <c r="R7" s="183">
        <f t="shared" si="4"/>
        <v>-1528769.5976572763</v>
      </c>
      <c r="S7" s="183">
        <f t="shared" si="4"/>
        <v>-1586212.0093145873</v>
      </c>
      <c r="T7" s="183">
        <f t="shared" si="4"/>
        <v>-2355137.1853187829</v>
      </c>
      <c r="U7" s="183">
        <f t="shared" si="4"/>
        <v>-2490870.9388540071</v>
      </c>
      <c r="V7" s="183">
        <f t="shared" si="4"/>
        <v>-2555063.6671642233</v>
      </c>
      <c r="W7" s="183">
        <f t="shared" si="4"/>
        <v>-3530793.9081834238</v>
      </c>
      <c r="X7" s="183">
        <f t="shared" si="4"/>
        <v>-3624492.0798641294</v>
      </c>
      <c r="Y7" s="183">
        <f t="shared" si="4"/>
        <v>-3717748.5208505895</v>
      </c>
      <c r="Z7" s="183">
        <f t="shared" si="4"/>
        <v>-4877329.2332562935</v>
      </c>
      <c r="AA7" s="183">
        <f t="shared" si="4"/>
        <v>-5026763.4964491241</v>
      </c>
      <c r="AB7" s="183">
        <f t="shared" si="4"/>
        <v>-5186321.4663143009</v>
      </c>
      <c r="AC7" s="183">
        <f t="shared" si="4"/>
        <v>-6538227.5665310696</v>
      </c>
      <c r="AD7" s="183">
        <f t="shared" si="4"/>
        <v>-6766383.9626445733</v>
      </c>
      <c r="AE7" s="183">
        <f t="shared" si="4"/>
        <v>-7002598.3464035578</v>
      </c>
      <c r="AF7" s="183">
        <f t="shared" si="4"/>
        <v>-8624819.4938984588</v>
      </c>
      <c r="AG7" s="183">
        <f t="shared" si="4"/>
        <v>-8945170.5970899984</v>
      </c>
      <c r="AH7" s="183">
        <f t="shared" si="4"/>
        <v>-9239768.6434774436</v>
      </c>
      <c r="AI7" s="183">
        <f t="shared" si="4"/>
        <v>-9591213.5966382697</v>
      </c>
      <c r="AJ7" s="183">
        <f t="shared" si="4"/>
        <v>-9962770.1056920737</v>
      </c>
      <c r="AK7" s="183">
        <f t="shared" si="4"/>
        <v>-10349631.91257266</v>
      </c>
      <c r="AL7" s="183">
        <f t="shared" si="4"/>
        <v>-10758537.323718864</v>
      </c>
      <c r="AM7" s="183"/>
    </row>
    <row r="8" spans="1:39" s="179" customFormat="1" x14ac:dyDescent="0.3">
      <c r="B8" s="179" t="s">
        <v>4019</v>
      </c>
      <c r="C8" s="181"/>
      <c r="D8" s="183">
        <f>IF(D4&gt;0,(-5%*D4),0)</f>
        <v>-1114595.6204000001</v>
      </c>
      <c r="E8" s="183">
        <f>-5%*E4</f>
        <v>-1114595.6204000001</v>
      </c>
      <c r="F8" s="183">
        <f t="shared" ref="F8:AL8" si="5">-5%*F4</f>
        <v>-1114595.6204000001</v>
      </c>
      <c r="G8" s="183">
        <f t="shared" si="5"/>
        <v>-1114595.6204000001</v>
      </c>
      <c r="H8" s="183">
        <f>-5%*H4</f>
        <v>-1431627.5394909412</v>
      </c>
      <c r="I8" s="183">
        <f t="shared" si="5"/>
        <v>-1789332.1804427598</v>
      </c>
      <c r="J8" s="183">
        <f t="shared" si="5"/>
        <v>-2192327.4532138295</v>
      </c>
      <c r="K8" s="183">
        <f t="shared" si="5"/>
        <v>-2645319.0722483327</v>
      </c>
      <c r="L8" s="183">
        <f t="shared" si="5"/>
        <v>-3153588.0858468367</v>
      </c>
      <c r="M8" s="183">
        <f t="shared" si="5"/>
        <v>-3722951.165574478</v>
      </c>
      <c r="N8" s="183">
        <f t="shared" si="5"/>
        <v>-4359814.4340414545</v>
      </c>
      <c r="O8" s="183">
        <f t="shared" si="5"/>
        <v>-5071232.7106263088</v>
      </c>
      <c r="P8" s="183">
        <f t="shared" si="5"/>
        <v>-5864974.7234815396</v>
      </c>
      <c r="Q8" s="183">
        <f t="shared" si="5"/>
        <v>-6749594.8920357767</v>
      </c>
      <c r="R8" s="183">
        <f t="shared" si="5"/>
        <v>-7734512.3458152534</v>
      </c>
      <c r="S8" s="183">
        <f t="shared" si="5"/>
        <v>-8830415.8222013451</v>
      </c>
      <c r="T8" s="183">
        <f t="shared" si="5"/>
        <v>-10048130.016666094</v>
      </c>
      <c r="U8" s="183">
        <f t="shared" si="5"/>
        <v>-11400505.091001237</v>
      </c>
      <c r="V8" s="183">
        <f t="shared" si="5"/>
        <v>-12039128.01788157</v>
      </c>
      <c r="W8" s="183">
        <f t="shared" si="5"/>
        <v>-12486385.098274916</v>
      </c>
      <c r="X8" s="183">
        <f t="shared" si="5"/>
        <v>-12955194.785047041</v>
      </c>
      <c r="Y8" s="183">
        <f t="shared" si="5"/>
        <v>-13443851.734170917</v>
      </c>
      <c r="Z8" s="183">
        <f t="shared" si="5"/>
        <v>-13954695.076472912</v>
      </c>
      <c r="AA8" s="183">
        <f t="shared" si="5"/>
        <v>-14488789.949314211</v>
      </c>
      <c r="AB8" s="183">
        <f t="shared" si="5"/>
        <v>-15047254.456921592</v>
      </c>
      <c r="AC8" s="183">
        <f t="shared" si="5"/>
        <v>-15618879.267175861</v>
      </c>
      <c r="AD8" s="183">
        <f t="shared" si="5"/>
        <v>-16229440.628046298</v>
      </c>
      <c r="AE8" s="183">
        <f t="shared" si="5"/>
        <v>-16868067.50736909</v>
      </c>
      <c r="AF8" s="183">
        <f t="shared" si="5"/>
        <v>-17536118.300976895</v>
      </c>
      <c r="AG8" s="183">
        <f t="shared" si="5"/>
        <v>-18235019.382591642</v>
      </c>
      <c r="AH8" s="183">
        <f t="shared" si="5"/>
        <v>-18935260.892652463</v>
      </c>
      <c r="AI8" s="183">
        <f t="shared" si="5"/>
        <v>-19699874.669556301</v>
      </c>
      <c r="AJ8" s="183">
        <f t="shared" si="5"/>
        <v>-20500051.56022577</v>
      </c>
      <c r="AK8" s="183">
        <f t="shared" si="5"/>
        <v>-21337526.452693425</v>
      </c>
      <c r="AL8" s="183">
        <f t="shared" si="5"/>
        <v>-22214121.592391156</v>
      </c>
    </row>
    <row r="9" spans="1:39" s="179" customFormat="1" x14ac:dyDescent="0.3">
      <c r="B9" s="184"/>
      <c r="C9" s="181"/>
      <c r="D9" s="183"/>
      <c r="E9" s="416">
        <f>E10/D10-1</f>
        <v>0</v>
      </c>
      <c r="F9" s="416">
        <f>F10/E10-1</f>
        <v>3.0098676020795523E-4</v>
      </c>
      <c r="G9" s="416">
        <f t="shared" ref="G9" si="6">G10/F10-1</f>
        <v>-1.602396648597848E-4</v>
      </c>
      <c r="H9" s="416">
        <f t="shared" ref="H9" si="7">H10/G10-1</f>
        <v>0.32043828115980788</v>
      </c>
      <c r="I9" s="416">
        <f t="shared" ref="I9" si="8">I10/H10-1</f>
        <v>0.25928773189761634</v>
      </c>
      <c r="J9" s="416">
        <f>J10/I10-1</f>
        <v>0.23216925458567039</v>
      </c>
      <c r="K9" s="416">
        <f t="shared" ref="K9" si="9">K10/J10-1</f>
        <v>0.20510739682232293</v>
      </c>
      <c r="L9" s="416">
        <f>L10/K10-1</f>
        <v>0.19573345439428103</v>
      </c>
      <c r="M9" s="416">
        <f t="shared" ref="M9" si="10">M10/L10-1</f>
        <v>0.18364922932283756</v>
      </c>
      <c r="N9" s="416">
        <f t="shared" ref="N9" si="11">N10/M10-1</f>
        <v>0.16479214120163199</v>
      </c>
      <c r="O9" s="416">
        <f t="shared" ref="O9" si="12">O10/N10-1</f>
        <v>0.16510089993573973</v>
      </c>
      <c r="P9" s="416">
        <f t="shared" ref="P9" si="13">P10/O10-1</f>
        <v>0.15823848591114742</v>
      </c>
      <c r="Q9" s="416">
        <f>Q10/P10-1</f>
        <v>0.14747955950138558</v>
      </c>
      <c r="R9" s="416">
        <f>R10/Q10-1</f>
        <v>0.14728815649176163</v>
      </c>
      <c r="S9" s="416">
        <f t="shared" ref="S9" si="14">S10/R10-1</f>
        <v>0.14302521698552728</v>
      </c>
      <c r="T9" s="416">
        <f t="shared" ref="T9" si="15">T10/S10-1</f>
        <v>0.13386232390088093</v>
      </c>
      <c r="U9" s="416">
        <f>U10/T10-1</f>
        <v>0.13576279125437574</v>
      </c>
      <c r="V9" s="416">
        <f>V10/U10-1</f>
        <v>5.6446400988877432E-2</v>
      </c>
      <c r="W9" s="416">
        <f t="shared" ref="W9" si="16">W10/V10-1</f>
        <v>3.239905965470502E-2</v>
      </c>
      <c r="X9" s="416">
        <f t="shared" ref="X9" si="17">X10/W10-1</f>
        <v>3.7748749400217996E-2</v>
      </c>
      <c r="Y9" s="416">
        <f t="shared" ref="Y9" si="18">Y10/X10-1</f>
        <v>3.7937788884358614E-2</v>
      </c>
      <c r="Z9" s="416">
        <f t="shared" ref="Z9" si="19">Z10/Y10-1</f>
        <v>3.3058659244859401E-2</v>
      </c>
      <c r="AA9" s="416">
        <f>AA10/Z10-1</f>
        <v>3.8448343557118569E-2</v>
      </c>
      <c r="AB9" s="416">
        <f t="shared" ref="AB9" si="20">AB10/AA10-1</f>
        <v>3.8699219939009044E-2</v>
      </c>
      <c r="AC9" s="416">
        <f>AC10/AB10-1</f>
        <v>3.2961144958891797E-2</v>
      </c>
      <c r="AD9" s="416">
        <f t="shared" ref="AD9" si="21">AD10/AC10-1</f>
        <v>3.9206843834403093E-2</v>
      </c>
      <c r="AE9" s="416">
        <f t="shared" ref="AE9" si="22">AE10/AD10-1</f>
        <v>3.9471732036802987E-2</v>
      </c>
      <c r="AF9" s="416">
        <f t="shared" ref="AF9" si="23">AF10/AE10-1</f>
        <v>3.4357592112690183E-2</v>
      </c>
      <c r="AG9" s="416">
        <f t="shared" ref="AG9" si="24">AG10/AF10-1</f>
        <v>3.9943171761219531E-2</v>
      </c>
      <c r="AH9" s="416">
        <f>AH10/AG10-1</f>
        <v>3.8578291530364073E-2</v>
      </c>
      <c r="AI9" s="416">
        <f t="shared" ref="AI9" si="25">AI10/AH10-1</f>
        <v>4.0456062531188053E-2</v>
      </c>
      <c r="AJ9" s="416">
        <f>AJ10/AI10-1</f>
        <v>4.0678866770282429E-2</v>
      </c>
      <c r="AK9" s="416">
        <f t="shared" ref="AK9" si="26">AK10/AJ10-1</f>
        <v>4.0917288127749973E-2</v>
      </c>
      <c r="AL9" s="416">
        <f t="shared" ref="AL9" si="27">AL10/AK10-1</f>
        <v>4.1132769070908237E-2</v>
      </c>
    </row>
    <row r="10" spans="1:39" x14ac:dyDescent="0.3">
      <c r="B10" s="200" t="s">
        <v>4020</v>
      </c>
      <c r="C10" s="200"/>
      <c r="D10" s="203">
        <f>D4+D5</f>
        <v>20061689.327544883</v>
      </c>
      <c r="E10" s="203">
        <f>E4+E5</f>
        <v>20061689.327544883</v>
      </c>
      <c r="F10" s="203">
        <f>F4+F5</f>
        <v>20067727.63041988</v>
      </c>
      <c r="G10" s="203">
        <f t="shared" ref="G10:AB10" si="28">G4+G5</f>
        <v>20064511.984469883</v>
      </c>
      <c r="H10" s="203">
        <f>H4+H5</f>
        <v>26493949.717083778</v>
      </c>
      <c r="I10" s="203">
        <f t="shared" si="28"/>
        <v>33363505.848235924</v>
      </c>
      <c r="J10" s="203">
        <f t="shared" si="28"/>
        <v>41109486.131385513</v>
      </c>
      <c r="K10" s="203">
        <f t="shared" si="28"/>
        <v>49541345.816497378</v>
      </c>
      <c r="L10" s="203">
        <f>L4+L5</f>
        <v>59238244.568502076</v>
      </c>
      <c r="M10" s="203">
        <f t="shared" si="28"/>
        <v>70117302.529945254</v>
      </c>
      <c r="N10" s="203">
        <f t="shared" si="28"/>
        <v>81672082.949137539</v>
      </c>
      <c r="O10" s="203">
        <f t="shared" si="28"/>
        <v>95156217.343666539</v>
      </c>
      <c r="P10" s="203">
        <f t="shared" si="28"/>
        <v>110213593.10116039</v>
      </c>
      <c r="Q10" s="203">
        <f t="shared" si="28"/>
        <v>126467845.26278447</v>
      </c>
      <c r="R10" s="203">
        <f t="shared" si="28"/>
        <v>145095061.04702535</v>
      </c>
      <c r="S10" s="203">
        <f t="shared" si="28"/>
        <v>165847313.63680449</v>
      </c>
      <c r="T10" s="203">
        <f t="shared" si="28"/>
        <v>188048020.45294541</v>
      </c>
      <c r="U10" s="203">
        <f t="shared" si="28"/>
        <v>213577944.59949723</v>
      </c>
      <c r="V10" s="203">
        <f t="shared" si="28"/>
        <v>225633650.90274072</v>
      </c>
      <c r="W10" s="203">
        <f t="shared" si="28"/>
        <v>232943969.01844752</v>
      </c>
      <c r="X10" s="203">
        <f>X4+X5</f>
        <v>241737312.52921703</v>
      </c>
      <c r="Y10" s="203">
        <f t="shared" si="28"/>
        <v>250908291.65742269</v>
      </c>
      <c r="Z10" s="203">
        <f t="shared" si="28"/>
        <v>259202983.37303522</v>
      </c>
      <c r="AA10" s="203">
        <f t="shared" si="28"/>
        <v>269168908.72879177</v>
      </c>
      <c r="AB10" s="203">
        <f t="shared" si="28"/>
        <v>279585535.52843034</v>
      </c>
      <c r="AC10" s="203">
        <f>AC4+AC5</f>
        <v>288800994.89339232</v>
      </c>
      <c r="AD10" s="203">
        <f t="shared" ref="AD10:AL10" si="29">AD4+AD5</f>
        <v>300123970.39939779</v>
      </c>
      <c r="AE10" s="203">
        <f t="shared" si="29"/>
        <v>311970383.33682418</v>
      </c>
      <c r="AF10" s="203">
        <f t="shared" si="29"/>
        <v>322688934.51875037</v>
      </c>
      <c r="AG10" s="203">
        <f t="shared" si="29"/>
        <v>335578154.05567771</v>
      </c>
      <c r="AH10" s="203">
        <f t="shared" si="29"/>
        <v>348524185.9140591</v>
      </c>
      <c r="AI10" s="203">
        <f t="shared" si="29"/>
        <v>362624102.17302966</v>
      </c>
      <c r="AJ10" s="203">
        <f t="shared" si="29"/>
        <v>377375239.71301961</v>
      </c>
      <c r="AK10" s="203">
        <f t="shared" si="29"/>
        <v>392816411.12863594</v>
      </c>
      <c r="AL10" s="203">
        <f t="shared" si="29"/>
        <v>408974037.85485303</v>
      </c>
      <c r="AM10" s="264"/>
    </row>
    <row r="11" spans="1:39" x14ac:dyDescent="0.3">
      <c r="B11" s="185" t="s">
        <v>4038</v>
      </c>
      <c r="C11" s="186"/>
      <c r="D11" s="187">
        <f>SUM(D12:D15)</f>
        <v>-10231075.001998726</v>
      </c>
      <c r="E11" s="187">
        <f>SUM(E12:E15)</f>
        <v>-10231075.001998726</v>
      </c>
      <c r="F11" s="187">
        <f>SUM(F12:F15)</f>
        <v>-10296353.951998726</v>
      </c>
      <c r="G11" s="187">
        <f t="shared" ref="G11:AL11" si="30">SUM(G12:G15)</f>
        <v>-10261590.211998725</v>
      </c>
      <c r="H11" s="187">
        <f t="shared" si="30"/>
        <v>-20989593.673666347</v>
      </c>
      <c r="I11" s="187">
        <f t="shared" si="30"/>
        <v>-28934691.39073075</v>
      </c>
      <c r="J11" s="187">
        <f>SUM(J12:J15)</f>
        <v>-37957516.851549581</v>
      </c>
      <c r="K11" s="187">
        <f t="shared" si="30"/>
        <v>-45125661.918253772</v>
      </c>
      <c r="L11" s="187">
        <f t="shared" si="30"/>
        <v>-55721177.256527871</v>
      </c>
      <c r="M11" s="187">
        <f t="shared" si="30"/>
        <v>-67769622.057761833</v>
      </c>
      <c r="N11" s="187">
        <f t="shared" si="30"/>
        <v>-74608274.652179524</v>
      </c>
      <c r="O11" s="187">
        <f t="shared" si="30"/>
        <v>-88481906.555949673</v>
      </c>
      <c r="P11" s="187">
        <f t="shared" si="30"/>
        <v>-104100287.49677834</v>
      </c>
      <c r="Q11" s="187">
        <f t="shared" si="30"/>
        <v>-115808571.50671248</v>
      </c>
      <c r="R11" s="187">
        <f t="shared" si="30"/>
        <v>-134574857.47344616</v>
      </c>
      <c r="S11" s="187">
        <f t="shared" si="30"/>
        <v>-155737105.79515076</v>
      </c>
      <c r="T11" s="187">
        <f t="shared" si="30"/>
        <v>-169973953.15807474</v>
      </c>
      <c r="U11" s="187">
        <f t="shared" si="30"/>
        <v>-195235484.20352462</v>
      </c>
      <c r="V11" s="187">
        <f t="shared" si="30"/>
        <v>-207163301.57915476</v>
      </c>
      <c r="W11" s="187">
        <f t="shared" si="30"/>
        <v>-203269887.38413751</v>
      </c>
      <c r="X11" s="187">
        <f t="shared" si="30"/>
        <v>-211413210.4395707</v>
      </c>
      <c r="Y11" s="187">
        <f t="shared" si="30"/>
        <v>-219959290.98801583</v>
      </c>
      <c r="Z11" s="187">
        <f t="shared" si="30"/>
        <v>-214918516.88134909</v>
      </c>
      <c r="AA11" s="187">
        <f t="shared" si="30"/>
        <v>-223634174.03300625</v>
      </c>
      <c r="AB11" s="187">
        <f t="shared" si="30"/>
        <v>-232704017.21324363</v>
      </c>
      <c r="AC11" s="187">
        <f t="shared" si="30"/>
        <v>-226348275.25758204</v>
      </c>
      <c r="AD11" s="187">
        <f t="shared" si="30"/>
        <v>-235557444.63139209</v>
      </c>
      <c r="AE11" s="187">
        <f t="shared" si="30"/>
        <v>-245221898.22101915</v>
      </c>
      <c r="AF11" s="187">
        <f t="shared" si="30"/>
        <v>-237237898.99455816</v>
      </c>
      <c r="AG11" s="187">
        <f t="shared" si="30"/>
        <v>-247000774.53222761</v>
      </c>
      <c r="AH11" s="187">
        <f t="shared" si="30"/>
        <v>-257129314.64939865</v>
      </c>
      <c r="AI11" s="187">
        <f t="shared" si="30"/>
        <v>-267797314.48799086</v>
      </c>
      <c r="AJ11" s="187">
        <f t="shared" si="30"/>
        <v>-278911950.86646175</v>
      </c>
      <c r="AK11" s="187">
        <f t="shared" si="30"/>
        <v>-290571161.78317559</v>
      </c>
      <c r="AL11" s="187">
        <f t="shared" si="30"/>
        <v>-302722730.21994328</v>
      </c>
      <c r="AM11" s="260"/>
    </row>
    <row r="12" spans="1:39" x14ac:dyDescent="0.3">
      <c r="B12" s="188" t="s">
        <v>4046</v>
      </c>
      <c r="C12" s="186"/>
      <c r="D12" s="189">
        <f>-Custos_Desp!S22</f>
        <v>-6348609.5622605653</v>
      </c>
      <c r="E12" s="189">
        <f>-Custos_Desp!T22</f>
        <v>-6348609.5622605653</v>
      </c>
      <c r="F12" s="189">
        <f>-Custos_Desp!U22</f>
        <v>-6348609.5622605653</v>
      </c>
      <c r="G12" s="189">
        <f>-Custos_Desp!V22</f>
        <v>-6348609.5622605653</v>
      </c>
      <c r="H12" s="189">
        <f>-Custos_Desp!W22</f>
        <v>-13276314.603419637</v>
      </c>
      <c r="I12" s="189">
        <f>-Custos_Desp!X22</f>
        <v>-21202512.320484042</v>
      </c>
      <c r="J12" s="189">
        <f>-Custos_Desp!Y22</f>
        <v>-30244237.781302873</v>
      </c>
      <c r="K12" s="189">
        <f>-Custos_Desp!Z22</f>
        <v>-37393482.848007061</v>
      </c>
      <c r="L12" s="189">
        <f>-Custos_Desp!AA22</f>
        <v>-48007898.18628116</v>
      </c>
      <c r="M12" s="189">
        <f>-Custos_Desp!AB22</f>
        <v>-60037442.987515129</v>
      </c>
      <c r="N12" s="189">
        <f>-Custos_Desp!AC22</f>
        <v>-66894995.581932828</v>
      </c>
      <c r="O12" s="189">
        <f>-Custos_Desp!AD22</f>
        <v>-80749727.485702977</v>
      </c>
      <c r="P12" s="189">
        <f>-Custos_Desp!AE22</f>
        <v>-96387008.426531643</v>
      </c>
      <c r="Q12" s="189">
        <f>-Custos_Desp!AF22</f>
        <v>-108076392.43646578</v>
      </c>
      <c r="R12" s="189">
        <f>-Custos_Desp!AG22</f>
        <v>-126861578.40319945</v>
      </c>
      <c r="S12" s="189">
        <f>-Custos_Desp!AH22</f>
        <v>-148004926.72490406</v>
      </c>
      <c r="T12" s="189">
        <f>-Custos_Desp!AI22</f>
        <v>-162260674.08782804</v>
      </c>
      <c r="U12" s="189">
        <f>-Custos_Desp!AJ22</f>
        <v>-187503305.13327792</v>
      </c>
      <c r="V12" s="189">
        <f>-Custos_Desp!AK22</f>
        <v>-199450022.50890806</v>
      </c>
      <c r="W12" s="189">
        <f>-Custos_Desp!AL22</f>
        <v>-195537708.31389081</v>
      </c>
      <c r="X12" s="189">
        <f>-Custos_Desp!AM22</f>
        <v>-203699931.369324</v>
      </c>
      <c r="Y12" s="189">
        <f>-Custos_Desp!AN22</f>
        <v>-212227111.91776913</v>
      </c>
      <c r="Z12" s="189">
        <f>-Custos_Desp!AO22</f>
        <v>-207205237.81110239</v>
      </c>
      <c r="AA12" s="189">
        <f>-Custos_Desp!AP22</f>
        <v>-215901994.96275955</v>
      </c>
      <c r="AB12" s="189">
        <f>-Custos_Desp!AQ22</f>
        <v>-224990738.14299694</v>
      </c>
      <c r="AC12" s="189">
        <f>-Custos_Desp!AR22</f>
        <v>-218616096.18733534</v>
      </c>
      <c r="AD12" s="189">
        <f>-Custos_Desp!AS22</f>
        <v>-227844165.5611454</v>
      </c>
      <c r="AE12" s="189">
        <f>-Custos_Desp!AT22</f>
        <v>-237489719.15077245</v>
      </c>
      <c r="AF12" s="189">
        <f>-Custos_Desp!AU22</f>
        <v>-229524619.92431146</v>
      </c>
      <c r="AG12" s="189">
        <f>-Custos_Desp!AV22</f>
        <v>-239268595.46198091</v>
      </c>
      <c r="AH12" s="189">
        <f>-Custos_Desp!AW22</f>
        <v>-249416035.57915196</v>
      </c>
      <c r="AI12" s="189">
        <f>-Custos_Desp!AX22</f>
        <v>-260065135.41774416</v>
      </c>
      <c r="AJ12" s="189">
        <f>-Custos_Desp!AY22</f>
        <v>-271198671.79621506</v>
      </c>
      <c r="AK12" s="189">
        <f>-Custos_Desp!AZ22</f>
        <v>-282838982.71292889</v>
      </c>
      <c r="AL12" s="189">
        <f>-Custos_Desp!BA22</f>
        <v>-295009451.14969659</v>
      </c>
      <c r="AM12" s="261"/>
    </row>
    <row r="13" spans="1:39" x14ac:dyDescent="0.3">
      <c r="B13" s="188" t="s">
        <v>4047</v>
      </c>
      <c r="C13" s="190"/>
      <c r="D13" s="189">
        <f t="shared" ref="D13:F13" si="31">E13</f>
        <v>-1909599.2102542734</v>
      </c>
      <c r="E13" s="189">
        <f t="shared" si="31"/>
        <v>-1909599.2102542734</v>
      </c>
      <c r="F13" s="189">
        <f t="shared" si="31"/>
        <v>-1909599.2102542734</v>
      </c>
      <c r="G13" s="189">
        <f>H13*(1/3)</f>
        <v>-1909599.2102542734</v>
      </c>
      <c r="H13" s="189">
        <f>-Custos_Desp!E30</f>
        <v>-5728797.6307628201</v>
      </c>
      <c r="I13" s="189">
        <f t="shared" ref="I13:AL13" si="32">H13</f>
        <v>-5728797.6307628201</v>
      </c>
      <c r="J13" s="189">
        <f t="shared" si="32"/>
        <v>-5728797.6307628201</v>
      </c>
      <c r="K13" s="189">
        <f t="shared" si="32"/>
        <v>-5728797.6307628201</v>
      </c>
      <c r="L13" s="189">
        <f t="shared" si="32"/>
        <v>-5728797.6307628201</v>
      </c>
      <c r="M13" s="189">
        <f t="shared" si="32"/>
        <v>-5728797.6307628201</v>
      </c>
      <c r="N13" s="189">
        <f t="shared" si="32"/>
        <v>-5728797.6307628201</v>
      </c>
      <c r="O13" s="189">
        <f t="shared" si="32"/>
        <v>-5728797.6307628201</v>
      </c>
      <c r="P13" s="189">
        <f t="shared" si="32"/>
        <v>-5728797.6307628201</v>
      </c>
      <c r="Q13" s="189">
        <f t="shared" si="32"/>
        <v>-5728797.6307628201</v>
      </c>
      <c r="R13" s="189">
        <f t="shared" si="32"/>
        <v>-5728797.6307628201</v>
      </c>
      <c r="S13" s="189">
        <f t="shared" si="32"/>
        <v>-5728797.6307628201</v>
      </c>
      <c r="T13" s="189">
        <f t="shared" si="32"/>
        <v>-5728797.6307628201</v>
      </c>
      <c r="U13" s="189">
        <f t="shared" si="32"/>
        <v>-5728797.6307628201</v>
      </c>
      <c r="V13" s="189">
        <f t="shared" si="32"/>
        <v>-5728797.6307628201</v>
      </c>
      <c r="W13" s="189">
        <f t="shared" si="32"/>
        <v>-5728797.6307628201</v>
      </c>
      <c r="X13" s="189">
        <f t="shared" si="32"/>
        <v>-5728797.6307628201</v>
      </c>
      <c r="Y13" s="189">
        <f t="shared" si="32"/>
        <v>-5728797.6307628201</v>
      </c>
      <c r="Z13" s="189">
        <f t="shared" si="32"/>
        <v>-5728797.6307628201</v>
      </c>
      <c r="AA13" s="189">
        <f t="shared" si="32"/>
        <v>-5728797.6307628201</v>
      </c>
      <c r="AB13" s="189">
        <f t="shared" si="32"/>
        <v>-5728797.6307628201</v>
      </c>
      <c r="AC13" s="189">
        <f t="shared" si="32"/>
        <v>-5728797.6307628201</v>
      </c>
      <c r="AD13" s="189">
        <f t="shared" si="32"/>
        <v>-5728797.6307628201</v>
      </c>
      <c r="AE13" s="189">
        <f t="shared" si="32"/>
        <v>-5728797.6307628201</v>
      </c>
      <c r="AF13" s="189">
        <f t="shared" si="32"/>
        <v>-5728797.6307628201</v>
      </c>
      <c r="AG13" s="189">
        <f t="shared" si="32"/>
        <v>-5728797.6307628201</v>
      </c>
      <c r="AH13" s="189">
        <f t="shared" si="32"/>
        <v>-5728797.6307628201</v>
      </c>
      <c r="AI13" s="189">
        <f t="shared" si="32"/>
        <v>-5728797.6307628201</v>
      </c>
      <c r="AJ13" s="189">
        <f t="shared" si="32"/>
        <v>-5728797.6307628201</v>
      </c>
      <c r="AK13" s="189">
        <f t="shared" si="32"/>
        <v>-5728797.6307628201</v>
      </c>
      <c r="AL13" s="189">
        <f t="shared" si="32"/>
        <v>-5728797.6307628201</v>
      </c>
      <c r="AM13" s="261"/>
    </row>
    <row r="14" spans="1:39" x14ac:dyDescent="0.3">
      <c r="B14" s="188" t="s">
        <v>4077</v>
      </c>
      <c r="C14" s="190"/>
      <c r="D14" s="189">
        <f>-'Custos Ambientais'!V7</f>
        <v>-689319.4800000001</v>
      </c>
      <c r="E14" s="189">
        <f>-'Custos Ambientais'!W7</f>
        <v>-689319.4800000001</v>
      </c>
      <c r="F14" s="189">
        <f>-'Custos Ambientais'!X7</f>
        <v>-754598.43</v>
      </c>
      <c r="G14" s="189">
        <f>-'Custos Ambientais'!Y7</f>
        <v>-719834.69000000006</v>
      </c>
      <c r="H14" s="189">
        <f>-'Custos Ambientais'!Z7</f>
        <v>-700934.69000000006</v>
      </c>
      <c r="I14" s="189">
        <f>-'Custos Ambientais'!AA7</f>
        <v>-719834.69000000006</v>
      </c>
      <c r="J14" s="189">
        <f>-'Custos Ambientais'!AB7</f>
        <v>-700934.69000000006</v>
      </c>
      <c r="K14" s="189">
        <f>-'Custos Ambientais'!AC7</f>
        <v>-719834.69000000006</v>
      </c>
      <c r="L14" s="189">
        <f>-'Custos Ambientais'!AD7</f>
        <v>-700934.69000000006</v>
      </c>
      <c r="M14" s="189">
        <f>-'Custos Ambientais'!AE7</f>
        <v>-719834.69000000006</v>
      </c>
      <c r="N14" s="189">
        <f>-'Custos Ambientais'!AF7</f>
        <v>-700934.69000000006</v>
      </c>
      <c r="O14" s="189">
        <f>-'Custos Ambientais'!AG7</f>
        <v>-719834.69000000006</v>
      </c>
      <c r="P14" s="189">
        <f>-'Custos Ambientais'!AH7</f>
        <v>-700934.69000000006</v>
      </c>
      <c r="Q14" s="189">
        <f>-'Custos Ambientais'!AI7</f>
        <v>-719834.69000000006</v>
      </c>
      <c r="R14" s="189">
        <f>-'Custos Ambientais'!AJ7</f>
        <v>-700934.69000000006</v>
      </c>
      <c r="S14" s="189">
        <f>-'Custos Ambientais'!AK7</f>
        <v>-719834.69000000006</v>
      </c>
      <c r="T14" s="189">
        <f>-'Custos Ambientais'!AL7</f>
        <v>-700934.69000000006</v>
      </c>
      <c r="U14" s="189">
        <f>-'Custos Ambientais'!AM7</f>
        <v>-719834.69000000006</v>
      </c>
      <c r="V14" s="189">
        <f>-'Custos Ambientais'!AN7</f>
        <v>-700934.69000000006</v>
      </c>
      <c r="W14" s="189">
        <f>-'Custos Ambientais'!AO7</f>
        <v>-719834.69000000006</v>
      </c>
      <c r="X14" s="189">
        <f>-'Custos Ambientais'!AP7</f>
        <v>-700934.69000000006</v>
      </c>
      <c r="Y14" s="189">
        <f>-'Custos Ambientais'!AQ7</f>
        <v>-719834.69000000006</v>
      </c>
      <c r="Z14" s="189">
        <f>-'Custos Ambientais'!AR7</f>
        <v>-700934.69000000006</v>
      </c>
      <c r="AA14" s="189">
        <f>-'Custos Ambientais'!AS7</f>
        <v>-719834.69000000006</v>
      </c>
      <c r="AB14" s="189">
        <f>-'Custos Ambientais'!AT7</f>
        <v>-700934.69000000006</v>
      </c>
      <c r="AC14" s="189">
        <f>-'Custos Ambientais'!AU7</f>
        <v>-719834.69000000006</v>
      </c>
      <c r="AD14" s="189">
        <f>-'Custos Ambientais'!AV7</f>
        <v>-700934.69000000006</v>
      </c>
      <c r="AE14" s="189">
        <f>-'Custos Ambientais'!AW7</f>
        <v>-719834.69000000006</v>
      </c>
      <c r="AF14" s="189">
        <f>-'Custos Ambientais'!AX7</f>
        <v>-700934.69000000006</v>
      </c>
      <c r="AG14" s="189">
        <f>-'Custos Ambientais'!AY7</f>
        <v>-719834.69000000006</v>
      </c>
      <c r="AH14" s="189">
        <f>-'Custos Ambientais'!AZ7</f>
        <v>-700934.69000000006</v>
      </c>
      <c r="AI14" s="189">
        <f>-'Custos Ambientais'!BA7</f>
        <v>-719834.69000000006</v>
      </c>
      <c r="AJ14" s="189">
        <f>-'Custos Ambientais'!BB7</f>
        <v>-700934.69000000006</v>
      </c>
      <c r="AK14" s="189">
        <f>-'Custos Ambientais'!BC7</f>
        <v>-719834.69000000006</v>
      </c>
      <c r="AL14" s="189">
        <f>-'Custos Ambientais'!BD7</f>
        <v>-700934.69000000006</v>
      </c>
      <c r="AM14" s="261"/>
    </row>
    <row r="15" spans="1:39" x14ac:dyDescent="0.3">
      <c r="B15" s="188" t="s">
        <v>4021</v>
      </c>
      <c r="C15" s="190"/>
      <c r="D15" s="189">
        <f>J47</f>
        <v>-1283546.7494838876</v>
      </c>
      <c r="E15" s="189">
        <f>D15</f>
        <v>-1283546.7494838876</v>
      </c>
      <c r="F15" s="189">
        <f>E15</f>
        <v>-1283546.7494838876</v>
      </c>
      <c r="G15" s="189">
        <f>F15</f>
        <v>-1283546.7494838876</v>
      </c>
      <c r="H15" s="189">
        <f>G15</f>
        <v>-1283546.7494838876</v>
      </c>
      <c r="I15" s="189">
        <f t="shared" ref="I15:AL15" si="33">H15</f>
        <v>-1283546.7494838876</v>
      </c>
      <c r="J15" s="189">
        <f t="shared" si="33"/>
        <v>-1283546.7494838876</v>
      </c>
      <c r="K15" s="189">
        <f t="shared" si="33"/>
        <v>-1283546.7494838876</v>
      </c>
      <c r="L15" s="189">
        <f t="shared" si="33"/>
        <v>-1283546.7494838876</v>
      </c>
      <c r="M15" s="189">
        <f t="shared" si="33"/>
        <v>-1283546.7494838876</v>
      </c>
      <c r="N15" s="189">
        <f t="shared" si="33"/>
        <v>-1283546.7494838876</v>
      </c>
      <c r="O15" s="189">
        <f t="shared" si="33"/>
        <v>-1283546.7494838876</v>
      </c>
      <c r="P15" s="189">
        <f t="shared" si="33"/>
        <v>-1283546.7494838876</v>
      </c>
      <c r="Q15" s="189">
        <f t="shared" si="33"/>
        <v>-1283546.7494838876</v>
      </c>
      <c r="R15" s="189">
        <f t="shared" si="33"/>
        <v>-1283546.7494838876</v>
      </c>
      <c r="S15" s="189">
        <f t="shared" si="33"/>
        <v>-1283546.7494838876</v>
      </c>
      <c r="T15" s="189">
        <f t="shared" si="33"/>
        <v>-1283546.7494838876</v>
      </c>
      <c r="U15" s="189">
        <f t="shared" si="33"/>
        <v>-1283546.7494838876</v>
      </c>
      <c r="V15" s="189">
        <f t="shared" si="33"/>
        <v>-1283546.7494838876</v>
      </c>
      <c r="W15" s="189">
        <f t="shared" si="33"/>
        <v>-1283546.7494838876</v>
      </c>
      <c r="X15" s="189">
        <f t="shared" si="33"/>
        <v>-1283546.7494838876</v>
      </c>
      <c r="Y15" s="189">
        <f t="shared" si="33"/>
        <v>-1283546.7494838876</v>
      </c>
      <c r="Z15" s="189">
        <f t="shared" si="33"/>
        <v>-1283546.7494838876</v>
      </c>
      <c r="AA15" s="189">
        <f t="shared" si="33"/>
        <v>-1283546.7494838876</v>
      </c>
      <c r="AB15" s="189">
        <f t="shared" si="33"/>
        <v>-1283546.7494838876</v>
      </c>
      <c r="AC15" s="189">
        <f t="shared" si="33"/>
        <v>-1283546.7494838876</v>
      </c>
      <c r="AD15" s="189">
        <f t="shared" si="33"/>
        <v>-1283546.7494838876</v>
      </c>
      <c r="AE15" s="189">
        <f t="shared" si="33"/>
        <v>-1283546.7494838876</v>
      </c>
      <c r="AF15" s="189">
        <f t="shared" si="33"/>
        <v>-1283546.7494838876</v>
      </c>
      <c r="AG15" s="189">
        <f t="shared" si="33"/>
        <v>-1283546.7494838876</v>
      </c>
      <c r="AH15" s="189">
        <f t="shared" si="33"/>
        <v>-1283546.7494838876</v>
      </c>
      <c r="AI15" s="189">
        <f t="shared" si="33"/>
        <v>-1283546.7494838876</v>
      </c>
      <c r="AJ15" s="189">
        <f t="shared" si="33"/>
        <v>-1283546.7494838876</v>
      </c>
      <c r="AK15" s="189">
        <f t="shared" si="33"/>
        <v>-1283546.7494838876</v>
      </c>
      <c r="AL15" s="189">
        <f t="shared" si="33"/>
        <v>-1283546.7494838876</v>
      </c>
      <c r="AM15" s="261"/>
    </row>
    <row r="16" spans="1:39" x14ac:dyDescent="0.3">
      <c r="B16" s="188"/>
      <c r="C16" s="186"/>
      <c r="D16" s="187"/>
      <c r="E16" s="416">
        <f>E17/D17-1</f>
        <v>0</v>
      </c>
      <c r="F16" s="416">
        <f t="shared" ref="F16:I16" si="34">F17/E17-1</f>
        <v>-6.0261388722225862E-3</v>
      </c>
      <c r="G16" s="416">
        <f t="shared" si="34"/>
        <v>3.2286242536885279E-3</v>
      </c>
      <c r="H16" s="416">
        <f t="shared" si="34"/>
        <v>-0.43849842208524814</v>
      </c>
      <c r="I16" s="416">
        <f t="shared" si="34"/>
        <v>-0.19539825865706484</v>
      </c>
      <c r="J16" s="416">
        <f>J17/I17-1</f>
        <v>-0.28830405742229048</v>
      </c>
      <c r="K16" s="416">
        <f t="shared" ref="K16" si="35">K17/J17-1</f>
        <v>0.40092859612941845</v>
      </c>
      <c r="L16" s="416">
        <f>L17/K17-1</f>
        <v>-0.20350564192940468</v>
      </c>
      <c r="M16" s="416">
        <f t="shared" ref="M16" si="36">M17/L17-1</f>
        <v>-0.33248918376099601</v>
      </c>
      <c r="N16" s="416">
        <f t="shared" ref="N16" si="37">N17/M17-1</f>
        <v>2.0088457013864569</v>
      </c>
      <c r="O16" s="416">
        <f t="shared" ref="O16" si="38">O17/N17-1</f>
        <v>-5.5139875385474935E-2</v>
      </c>
      <c r="P16" s="416">
        <f t="shared" ref="P16" si="39">P17/O17-1</f>
        <v>-8.4054399199879004E-2</v>
      </c>
      <c r="Q16" s="416">
        <f>Q17/P17-1</f>
        <v>0.74361866490550632</v>
      </c>
      <c r="R16" s="416">
        <f>R17/Q17-1</f>
        <v>-1.3046872204925952E-2</v>
      </c>
      <c r="S16" s="416">
        <f t="shared" ref="S16" si="40">S17/R17-1</f>
        <v>-3.8972224164476765E-2</v>
      </c>
      <c r="T16" s="416">
        <f t="shared" ref="T16" si="41">T17/S17-1</f>
        <v>0.78770482050884194</v>
      </c>
      <c r="U16" s="416">
        <f t="shared" ref="U16" si="42">U17/T17-1</f>
        <v>1.4849623868452788E-2</v>
      </c>
      <c r="V16" s="416">
        <f>V17/U17-1</f>
        <v>6.9722886053731337E-3</v>
      </c>
      <c r="W16" s="416">
        <f t="shared" ref="W16" si="43">W17/V17-1</f>
        <v>0.60657934045769757</v>
      </c>
      <c r="X16" s="416">
        <f t="shared" ref="X16" si="44">X17/W17-1</f>
        <v>2.1905326788100421E-2</v>
      </c>
      <c r="Y16" s="416">
        <f t="shared" ref="Y16" si="45">Y17/X17-1</f>
        <v>2.0607323439063352E-2</v>
      </c>
      <c r="Z16" s="416">
        <f t="shared" ref="Z16" si="46">Z17/Y17-1</f>
        <v>0.43088518316720337</v>
      </c>
      <c r="AA16" s="416">
        <f>AA17/Z17-1</f>
        <v>2.8232658156424062E-2</v>
      </c>
      <c r="AB16" s="416">
        <f t="shared" ref="AB16" si="47">AB17/AA17-1</f>
        <v>2.9577060861317284E-2</v>
      </c>
      <c r="AC16" s="416">
        <f>AC17/AB17-1</f>
        <v>0.33213944172920429</v>
      </c>
      <c r="AD16" s="416">
        <f t="shared" ref="AD16" si="48">AD17/AC17-1</f>
        <v>3.3846502514573551E-2</v>
      </c>
      <c r="AE16" s="416">
        <f t="shared" ref="AE16" si="49">AE17/AD17-1</f>
        <v>3.3793971749995322E-2</v>
      </c>
      <c r="AF16" s="416">
        <f t="shared" ref="AF16" si="50">AF17/AE17-1</f>
        <v>0.28019438008127473</v>
      </c>
      <c r="AG16" s="416">
        <f t="shared" ref="AG16" si="51">AG17/AF17-1</f>
        <v>3.6586379323311879E-2</v>
      </c>
      <c r="AH16" s="416">
        <f>AH17/AG17-1</f>
        <v>3.1808253488289751E-2</v>
      </c>
      <c r="AI16" s="416">
        <f t="shared" ref="AI16" si="52">AI17/AH17-1</f>
        <v>3.7550426767824163E-2</v>
      </c>
      <c r="AJ16" s="416">
        <f>AJ17/AI17-1</f>
        <v>3.8348880630623805E-2</v>
      </c>
      <c r="AK16" s="416">
        <f t="shared" ref="AK16" si="53">AK17/AJ17-1</f>
        <v>3.8409853491651935E-2</v>
      </c>
      <c r="AL16" s="416">
        <f t="shared" ref="AL16" si="54">AL17/AK17-1</f>
        <v>3.9180874564782586E-2</v>
      </c>
    </row>
    <row r="17" spans="2:75" x14ac:dyDescent="0.3">
      <c r="B17" s="200" t="s">
        <v>4022</v>
      </c>
      <c r="C17" s="200"/>
      <c r="D17" s="203">
        <f t="shared" ref="D17:AL17" si="55">D10+D11</f>
        <v>9830614.3255461566</v>
      </c>
      <c r="E17" s="203">
        <f t="shared" si="55"/>
        <v>9830614.3255461566</v>
      </c>
      <c r="F17" s="203">
        <f t="shared" si="55"/>
        <v>9771373.6784211546</v>
      </c>
      <c r="G17" s="203">
        <f t="shared" si="55"/>
        <v>9802921.7724711578</v>
      </c>
      <c r="H17" s="203">
        <f t="shared" si="55"/>
        <v>5504356.0434174314</v>
      </c>
      <c r="I17" s="203">
        <f t="shared" si="55"/>
        <v>4428814.457505174</v>
      </c>
      <c r="J17" s="203">
        <f t="shared" si="55"/>
        <v>3151969.279835932</v>
      </c>
      <c r="K17" s="203">
        <f t="shared" si="55"/>
        <v>4415683.8982436061</v>
      </c>
      <c r="L17" s="203">
        <f t="shared" si="55"/>
        <v>3517067.3119742051</v>
      </c>
      <c r="M17" s="203">
        <f t="shared" si="55"/>
        <v>2347680.4721834213</v>
      </c>
      <c r="N17" s="203">
        <f t="shared" si="55"/>
        <v>7063808.2969580144</v>
      </c>
      <c r="O17" s="203">
        <f t="shared" si="55"/>
        <v>6674310.7877168655</v>
      </c>
      <c r="P17" s="203">
        <f t="shared" si="55"/>
        <v>6113305.604382053</v>
      </c>
      <c r="Q17" s="203">
        <f t="shared" si="55"/>
        <v>10659273.756071985</v>
      </c>
      <c r="R17" s="203">
        <f t="shared" si="55"/>
        <v>10520203.573579192</v>
      </c>
      <c r="S17" s="203">
        <f t="shared" si="55"/>
        <v>10110207.841653734</v>
      </c>
      <c r="T17" s="203">
        <f t="shared" si="55"/>
        <v>18074067.294870675</v>
      </c>
      <c r="U17" s="203">
        <f>U10+U11</f>
        <v>18342460.39597261</v>
      </c>
      <c r="V17" s="203">
        <f>V10+V11</f>
        <v>18470349.323585957</v>
      </c>
      <c r="W17" s="203">
        <f t="shared" si="55"/>
        <v>29674081.634310007</v>
      </c>
      <c r="X17" s="203">
        <f t="shared" si="55"/>
        <v>30324102.089646339</v>
      </c>
      <c r="Y17" s="203">
        <f t="shared" si="55"/>
        <v>30949000.669406861</v>
      </c>
      <c r="Z17" s="203">
        <f t="shared" si="55"/>
        <v>44284466.491686136</v>
      </c>
      <c r="AA17" s="203">
        <f t="shared" si="55"/>
        <v>45534734.695785522</v>
      </c>
      <c r="AB17" s="203">
        <f t="shared" si="55"/>
        <v>46881518.315186709</v>
      </c>
      <c r="AC17" s="203">
        <f t="shared" si="55"/>
        <v>62452719.635810286</v>
      </c>
      <c r="AD17" s="203">
        <f t="shared" si="55"/>
        <v>64566525.768005699</v>
      </c>
      <c r="AE17" s="203">
        <f t="shared" si="55"/>
        <v>66748485.11580503</v>
      </c>
      <c r="AF17" s="203">
        <f t="shared" si="55"/>
        <v>85451035.524192214</v>
      </c>
      <c r="AG17" s="203">
        <f t="shared" si="55"/>
        <v>88577379.523450106</v>
      </c>
      <c r="AH17" s="203">
        <f t="shared" si="55"/>
        <v>91394871.264660448</v>
      </c>
      <c r="AI17" s="203">
        <f t="shared" si="55"/>
        <v>94826787.685038805</v>
      </c>
      <c r="AJ17" s="203">
        <f t="shared" si="55"/>
        <v>98463288.846557856</v>
      </c>
      <c r="AK17" s="203">
        <f t="shared" si="55"/>
        <v>102245249.34546036</v>
      </c>
      <c r="AL17" s="203">
        <f t="shared" si="55"/>
        <v>106251307.63490975</v>
      </c>
      <c r="AM17" s="264"/>
      <c r="AN17" s="458">
        <f>D17/D4</f>
        <v>0.44099465966043361</v>
      </c>
      <c r="AO17" s="458">
        <f t="shared" ref="AO17:AT17" si="56">E17/E4</f>
        <v>0.44099465966043361</v>
      </c>
      <c r="AP17" s="458">
        <f t="shared" si="56"/>
        <v>0.4383371645994113</v>
      </c>
      <c r="AQ17" s="458">
        <f t="shared" si="56"/>
        <v>0.43975239060032995</v>
      </c>
      <c r="AR17" s="458">
        <f t="shared" si="56"/>
        <v>0.1922412042092552</v>
      </c>
      <c r="AS17" s="458">
        <f t="shared" si="56"/>
        <v>0.12375607240264605</v>
      </c>
      <c r="AT17" s="458">
        <f t="shared" si="56"/>
        <v>7.1886370697391053E-2</v>
      </c>
      <c r="AU17" s="458">
        <f t="shared" ref="AU17" si="57">K17/K4</f>
        <v>8.3462217177653911E-2</v>
      </c>
      <c r="AV17" s="458">
        <f t="shared" ref="AV17" si="58">L17/L4</f>
        <v>5.5762947097603634E-2</v>
      </c>
      <c r="AW17" s="458">
        <f t="shared" ref="AW17" si="59">M17/M4</f>
        <v>3.1529831681543927E-2</v>
      </c>
      <c r="AX17" s="458">
        <f t="shared" ref="AX17" si="60">N17/N4</f>
        <v>8.1010423767164982E-2</v>
      </c>
      <c r="AY17" s="458">
        <f t="shared" ref="AY17:AZ17" si="61">O17/O4</f>
        <v>6.580560554568371E-2</v>
      </c>
      <c r="AZ17" s="458">
        <f t="shared" si="61"/>
        <v>5.2117066932158077E-2</v>
      </c>
      <c r="BA17" s="458">
        <f t="shared" ref="BA17" si="62">Q17/Q4</f>
        <v>7.8962322380632471E-2</v>
      </c>
      <c r="BB17" s="458">
        <f t="shared" ref="BB17" si="63">R17/R4</f>
        <v>6.8008189160568944E-2</v>
      </c>
      <c r="BC17" s="458">
        <f t="shared" ref="BC17" si="64">S17/S4</f>
        <v>5.7246499175241272E-2</v>
      </c>
      <c r="BD17" s="458">
        <f t="shared" ref="BD17" si="65">T17/T4</f>
        <v>8.993746729437492E-2</v>
      </c>
      <c r="BE17" s="458">
        <f t="shared" ref="BE17" si="66">U17/U4</f>
        <v>8.0445823450624426E-2</v>
      </c>
      <c r="BF17" s="458">
        <f>V17/V4</f>
        <v>7.6709664089260346E-2</v>
      </c>
      <c r="BG17" s="458">
        <f t="shared" ref="BG17" si="67">W17/W4</f>
        <v>0.11882575061059783</v>
      </c>
      <c r="BH17" s="458">
        <f t="shared" ref="BH17" si="68">X17/X4</f>
        <v>0.11703452781986184</v>
      </c>
      <c r="BI17" s="458">
        <f t="shared" ref="BI17" si="69">Y17/Y4</f>
        <v>0.11510466375771693</v>
      </c>
      <c r="BJ17" s="458">
        <f t="shared" ref="BJ17" si="70">Z17/Z4</f>
        <v>0.15867228287326776</v>
      </c>
      <c r="BK17" s="458">
        <f t="shared" ref="BK17" si="71">AA17/AA4</f>
        <v>0.15713781086991599</v>
      </c>
      <c r="BL17" s="458">
        <f t="shared" ref="BL17" si="72">AB17/AB4</f>
        <v>0.15578097137056673</v>
      </c>
      <c r="BM17" s="458">
        <f t="shared" ref="BM17" si="73">AC17/AC4</f>
        <v>0.19992701962636633</v>
      </c>
      <c r="BN17" s="458">
        <f t="shared" ref="BN17" si="74">AD17/AD4</f>
        <v>0.1989179024951343</v>
      </c>
      <c r="BO17" s="458">
        <f t="shared" ref="BO17" si="75">AE17/AE4</f>
        <v>0.19785457073445098</v>
      </c>
      <c r="BP17" s="458">
        <f t="shared" ref="BP17" si="76">AF17/AF4</f>
        <v>0.24364296036777977</v>
      </c>
      <c r="BQ17" s="458">
        <f t="shared" ref="BQ17" si="77">AG17/AG4</f>
        <v>0.24287711919849109</v>
      </c>
      <c r="BR17" s="458">
        <f>AH17/AH4</f>
        <v>0.24133512546458979</v>
      </c>
      <c r="BS17" s="458">
        <f t="shared" ref="BS17" si="78">AI17/AI4</f>
        <v>0.2406786572900938</v>
      </c>
      <c r="BT17" s="458">
        <f t="shared" ref="BT17" si="79">AJ17/AJ4</f>
        <v>0.24015375902174921</v>
      </c>
      <c r="BU17" s="458">
        <f t="shared" ref="BU17" si="80">AK17/AK4</f>
        <v>0.23959021110564105</v>
      </c>
      <c r="BV17" s="458">
        <f t="shared" ref="BV17" si="81">AL17/AL4</f>
        <v>0.2391526200867273</v>
      </c>
      <c r="BW17" s="458"/>
    </row>
    <row r="18" spans="2:75" s="191" customFormat="1" x14ac:dyDescent="0.3">
      <c r="B18" s="181" t="s">
        <v>4023</v>
      </c>
      <c r="C18" s="184"/>
      <c r="D18" s="183">
        <f>-'Cron.FF &amp; Deprec'!D156</f>
        <v>0</v>
      </c>
      <c r="E18" s="183">
        <f>-'Cron.FF &amp; Deprec'!E156</f>
        <v>-133000</v>
      </c>
      <c r="F18" s="183">
        <f>-'Cron.FF &amp; Deprec'!F156</f>
        <v>-591000</v>
      </c>
      <c r="G18" s="183">
        <f>-'Cron.FF &amp; Deprec'!G156</f>
        <v>-913000</v>
      </c>
      <c r="H18" s="183">
        <f>-'Cron.FF &amp; Deprec'!H156</f>
        <v>-2711500</v>
      </c>
      <c r="I18" s="183">
        <f>-'Cron.FF &amp; Deprec'!I156</f>
        <v>-3978000</v>
      </c>
      <c r="J18" s="183">
        <f>-'Cron.FF &amp; Deprec'!J156</f>
        <v>-3978000</v>
      </c>
      <c r="K18" s="183">
        <f>-'Cron.FF &amp; Deprec'!K156</f>
        <v>-3798000</v>
      </c>
      <c r="L18" s="183">
        <f>-'Cron.FF &amp; Deprec'!L156</f>
        <v>-3734000</v>
      </c>
      <c r="M18" s="183">
        <f>-'Cron.FF &amp; Deprec'!M156</f>
        <v>-2906000</v>
      </c>
      <c r="N18" s="183">
        <f>-'Cron.FF &amp; Deprec'!N156</f>
        <v>-2106000</v>
      </c>
      <c r="O18" s="183">
        <f>-'Cron.FF &amp; Deprec'!O156</f>
        <v>-2053000</v>
      </c>
      <c r="P18" s="183">
        <f>-'Cron.FF &amp; Deprec'!P156</f>
        <v>-1834000</v>
      </c>
      <c r="Q18" s="183">
        <f>-'Cron.FF &amp; Deprec'!Q156</f>
        <v>-1779000</v>
      </c>
      <c r="R18" s="183">
        <f>-'Cron.FF &amp; Deprec'!R156</f>
        <v>-1159000</v>
      </c>
      <c r="S18" s="183">
        <f>-'Cron.FF &amp; Deprec'!S156</f>
        <v>-1039000</v>
      </c>
      <c r="T18" s="183">
        <f>-'Cron.FF &amp; Deprec'!T156</f>
        <v>-1039000</v>
      </c>
      <c r="U18" s="183">
        <f>-'Cron.FF &amp; Deprec'!U156</f>
        <v>-1039000</v>
      </c>
      <c r="V18" s="183">
        <f>-'Cron.FF &amp; Deprec'!V156</f>
        <v>-1039000</v>
      </c>
      <c r="W18" s="183">
        <f>-'Cron.FF &amp; Deprec'!W156</f>
        <v>-1039000</v>
      </c>
      <c r="X18" s="183">
        <f>-'Cron.FF &amp; Deprec'!X156</f>
        <v>-1039000</v>
      </c>
      <c r="Y18" s="183">
        <f>-'Cron.FF &amp; Deprec'!Y156</f>
        <v>-1039000</v>
      </c>
      <c r="Z18" s="183">
        <f>-'Cron.FF &amp; Deprec'!Z156</f>
        <v>-1039000</v>
      </c>
      <c r="AA18" s="183">
        <f>-'Cron.FF &amp; Deprec'!AA156</f>
        <v>-1004000</v>
      </c>
      <c r="AB18" s="183">
        <f>-'Cron.FF &amp; Deprec'!AB156</f>
        <v>-1004000</v>
      </c>
      <c r="AC18" s="183">
        <f>-'Cron.FF &amp; Deprec'!AC156</f>
        <v>-1004000</v>
      </c>
      <c r="AD18" s="183">
        <f>-'Cron.FF &amp; Deprec'!AD156</f>
        <v>-924000</v>
      </c>
      <c r="AE18" s="183">
        <f>-'Cron.FF &amp; Deprec'!AE156</f>
        <v>-865000</v>
      </c>
      <c r="AF18" s="183">
        <f>-'Cron.FF &amp; Deprec'!AF156</f>
        <v>-697000</v>
      </c>
      <c r="AG18" s="183">
        <f>-'Cron.FF &amp; Deprec'!AG156</f>
        <v>-346500</v>
      </c>
      <c r="AH18" s="183">
        <f>-'Cron.FF &amp; Deprec'!AH156</f>
        <v>0</v>
      </c>
      <c r="AI18" s="183">
        <f>-'Cron.FF &amp; Deprec'!AI156</f>
        <v>0</v>
      </c>
      <c r="AJ18" s="183">
        <f>-'Cron.FF &amp; Deprec'!AJ156</f>
        <v>0</v>
      </c>
      <c r="AK18" s="183">
        <f>-'Cron.FF &amp; Deprec'!AK156</f>
        <v>0</v>
      </c>
      <c r="AL18" s="183">
        <f>-'Cron.FF &amp; Deprec'!AL156</f>
        <v>0</v>
      </c>
      <c r="AM18" s="183"/>
      <c r="BV18" s="459">
        <f>AVERAGE(AN17:BV17)</f>
        <v>0.17358990092215321</v>
      </c>
    </row>
    <row r="19" spans="2:75" x14ac:dyDescent="0.3">
      <c r="B19" s="200" t="s">
        <v>4024</v>
      </c>
      <c r="C19" s="200"/>
      <c r="D19" s="203">
        <f>SUM(D17:D18)</f>
        <v>9830614.3255461566</v>
      </c>
      <c r="E19" s="203">
        <f>SUM(E17:E18)</f>
        <v>9697614.3255461566</v>
      </c>
      <c r="F19" s="203">
        <f t="shared" ref="F19:AL19" si="82">SUM(F17:F18)</f>
        <v>9180373.6784211546</v>
      </c>
      <c r="G19" s="203">
        <f t="shared" si="82"/>
        <v>8889921.7724711578</v>
      </c>
      <c r="H19" s="203">
        <f t="shared" si="82"/>
        <v>2792856.0434174314</v>
      </c>
      <c r="I19" s="203">
        <f t="shared" si="82"/>
        <v>450814.45750517398</v>
      </c>
      <c r="J19" s="203">
        <f t="shared" si="82"/>
        <v>-826030.72016406804</v>
      </c>
      <c r="K19" s="203">
        <f t="shared" si="82"/>
        <v>617683.89824360609</v>
      </c>
      <c r="L19" s="203">
        <f t="shared" si="82"/>
        <v>-216932.68802579492</v>
      </c>
      <c r="M19" s="203">
        <f t="shared" si="82"/>
        <v>-558319.52781657875</v>
      </c>
      <c r="N19" s="203">
        <f t="shared" si="82"/>
        <v>4957808.2969580144</v>
      </c>
      <c r="O19" s="203">
        <f t="shared" si="82"/>
        <v>4621310.7877168655</v>
      </c>
      <c r="P19" s="203">
        <f t="shared" si="82"/>
        <v>4279305.604382053</v>
      </c>
      <c r="Q19" s="203">
        <f t="shared" si="82"/>
        <v>8880273.7560719848</v>
      </c>
      <c r="R19" s="203">
        <f t="shared" si="82"/>
        <v>9361203.5735791922</v>
      </c>
      <c r="S19" s="203">
        <f t="shared" si="82"/>
        <v>9071207.8416537344</v>
      </c>
      <c r="T19" s="203">
        <f t="shared" si="82"/>
        <v>17035067.294870675</v>
      </c>
      <c r="U19" s="203">
        <f t="shared" si="82"/>
        <v>17303460.39597261</v>
      </c>
      <c r="V19" s="203">
        <f t="shared" si="82"/>
        <v>17431349.323585957</v>
      </c>
      <c r="W19" s="203">
        <f t="shared" si="82"/>
        <v>28635081.634310007</v>
      </c>
      <c r="X19" s="203">
        <f t="shared" si="82"/>
        <v>29285102.089646339</v>
      </c>
      <c r="Y19" s="203">
        <f t="shared" si="82"/>
        <v>29910000.669406861</v>
      </c>
      <c r="Z19" s="203">
        <f t="shared" si="82"/>
        <v>43245466.491686136</v>
      </c>
      <c r="AA19" s="203">
        <f t="shared" si="82"/>
        <v>44530734.695785522</v>
      </c>
      <c r="AB19" s="203">
        <f t="shared" si="82"/>
        <v>45877518.315186709</v>
      </c>
      <c r="AC19" s="203">
        <f t="shared" si="82"/>
        <v>61448719.635810286</v>
      </c>
      <c r="AD19" s="203">
        <f t="shared" si="82"/>
        <v>63642525.768005699</v>
      </c>
      <c r="AE19" s="203">
        <f t="shared" si="82"/>
        <v>65883485.11580503</v>
      </c>
      <c r="AF19" s="203">
        <f t="shared" si="82"/>
        <v>84754035.524192214</v>
      </c>
      <c r="AG19" s="203">
        <f t="shared" si="82"/>
        <v>88230879.523450106</v>
      </c>
      <c r="AH19" s="203">
        <f t="shared" si="82"/>
        <v>91394871.264660448</v>
      </c>
      <c r="AI19" s="203">
        <f t="shared" si="82"/>
        <v>94826787.685038805</v>
      </c>
      <c r="AJ19" s="203">
        <f t="shared" si="82"/>
        <v>98463288.846557856</v>
      </c>
      <c r="AK19" s="203">
        <f t="shared" si="82"/>
        <v>102245249.34546036</v>
      </c>
      <c r="AL19" s="203">
        <f t="shared" si="82"/>
        <v>106251307.63490975</v>
      </c>
      <c r="AM19" s="264"/>
      <c r="AN19" s="458">
        <f>D19/D4</f>
        <v>0.44099465966043361</v>
      </c>
      <c r="AO19" s="458">
        <f t="shared" ref="AO19:AS19" si="83">E19/E4</f>
        <v>0.43502837029208535</v>
      </c>
      <c r="AP19" s="458">
        <f t="shared" si="83"/>
        <v>0.41182530733103689</v>
      </c>
      <c r="AQ19" s="458">
        <f t="shared" si="83"/>
        <v>0.39879583275595465</v>
      </c>
      <c r="AR19" s="458">
        <f t="shared" si="83"/>
        <v>9.754129361085484E-2</v>
      </c>
      <c r="AS19" s="458">
        <f t="shared" si="83"/>
        <v>1.2597282450752732E-2</v>
      </c>
      <c r="AT19" s="458">
        <f t="shared" ref="AT19" si="84">J19/J4</f>
        <v>-1.8839127315428021E-2</v>
      </c>
      <c r="AU19" s="458">
        <f t="shared" ref="AU19" si="85">K19/K4</f>
        <v>1.1675035815596695E-2</v>
      </c>
      <c r="AV19" s="458">
        <f t="shared" ref="AV19" si="86">L19/L4</f>
        <v>-3.4394582000004887E-3</v>
      </c>
      <c r="AW19" s="458">
        <f t="shared" ref="AW19:AX19" si="87">M19/M4</f>
        <v>-7.4983461101943583E-3</v>
      </c>
      <c r="AX19" s="458">
        <f t="shared" si="87"/>
        <v>5.685801966991326E-2</v>
      </c>
      <c r="AY19" s="458">
        <f t="shared" ref="AY19" si="88">O19/O4</f>
        <v>4.5563978734729796E-2</v>
      </c>
      <c r="AZ19" s="458">
        <f t="shared" ref="AZ19" si="89">P19/P4</f>
        <v>3.648187593417105E-2</v>
      </c>
      <c r="BA19" s="458">
        <f t="shared" ref="BA19" si="90">Q19/Q4</f>
        <v>6.5783753677945284E-2</v>
      </c>
      <c r="BB19" s="458">
        <f t="shared" ref="BB19:BC19" si="91">R19/R4</f>
        <v>6.0515796956766496E-2</v>
      </c>
      <c r="BC19" s="458">
        <f t="shared" si="91"/>
        <v>5.1363424012530606E-2</v>
      </c>
      <c r="BD19" s="458">
        <f t="shared" ref="BD19" si="92">T19/T4</f>
        <v>8.4767351072368005E-2</v>
      </c>
      <c r="BE19" s="458">
        <f t="shared" ref="BE19" si="93">U19/U4</f>
        <v>7.5889007802078676E-2</v>
      </c>
      <c r="BF19" s="458">
        <f t="shared" ref="BF19" si="94">V19/V4</f>
        <v>7.239456752056872E-2</v>
      </c>
      <c r="BG19" s="458">
        <f t="shared" ref="BG19:BH19" si="95">W19/W4</f>
        <v>0.11466521899226922</v>
      </c>
      <c r="BH19" s="458">
        <f t="shared" si="95"/>
        <v>0.11302455337625401</v>
      </c>
      <c r="BI19" s="458">
        <f t="shared" ref="BI19" si="96">Y19/Y4</f>
        <v>0.11124044381337196</v>
      </c>
      <c r="BJ19" s="458">
        <f>Z19/Z4</f>
        <v>0.1549495214861282</v>
      </c>
      <c r="BK19" s="458">
        <f t="shared" ref="BK19" si="97">AA19/AA4</f>
        <v>0.15367306328398139</v>
      </c>
      <c r="BL19" s="458">
        <f t="shared" ref="BL19" si="98">AB19/AB4</f>
        <v>0.15244481458902787</v>
      </c>
      <c r="BM19" s="458">
        <f t="shared" ref="BM19" si="99">AC19/AC4</f>
        <v>0.19671296059298238</v>
      </c>
      <c r="BN19" s="458">
        <f t="shared" ref="BN19" si="100">AD19/AD4</f>
        <v>0.19607122397682722</v>
      </c>
      <c r="BO19" s="458">
        <f t="shared" ref="BO19" si="101">AE19/AE4</f>
        <v>0.19529055443672716</v>
      </c>
      <c r="BP19" s="458">
        <f t="shared" ref="BP19" si="102">AF19/AF4</f>
        <v>0.24165563344617372</v>
      </c>
      <c r="BQ19" s="458">
        <f t="shared" ref="BQ19" si="103">AG19/AG4</f>
        <v>0.24192702423908899</v>
      </c>
      <c r="BR19" s="458">
        <f t="shared" ref="BR19" si="104">AH19/AH4</f>
        <v>0.24133512546458979</v>
      </c>
      <c r="BS19" s="458">
        <f t="shared" ref="BS19" si="105">AI19/AI4</f>
        <v>0.2406786572900938</v>
      </c>
      <c r="BT19" s="458">
        <f t="shared" ref="BT19" si="106">AJ19/AJ4</f>
        <v>0.24015375902174921</v>
      </c>
      <c r="BU19" s="458">
        <f t="shared" ref="BU19" si="107">AK19/AK4</f>
        <v>0.23959021110564105</v>
      </c>
      <c r="BV19" s="458">
        <f t="shared" ref="BV19" si="108">AL19/AL4</f>
        <v>0.2391526200867273</v>
      </c>
    </row>
    <row r="20" spans="2:75" s="179" customFormat="1" x14ac:dyDescent="0.3">
      <c r="B20" s="188" t="s">
        <v>4239</v>
      </c>
      <c r="C20" s="185"/>
      <c r="D20" s="192">
        <f>-SAC!D21</f>
        <v>-3894660</v>
      </c>
      <c r="E20" s="192">
        <f>-SAC!E21</f>
        <v>-3635016</v>
      </c>
      <c r="F20" s="192">
        <f>-SAC!F21</f>
        <v>-3375372</v>
      </c>
      <c r="G20" s="192">
        <f>-SAC!G21</f>
        <v>-3115728</v>
      </c>
      <c r="H20" s="192">
        <f>-SAC!H21</f>
        <v>-2856084</v>
      </c>
      <c r="I20" s="192">
        <f>-SAC!I21</f>
        <v>-2596440</v>
      </c>
      <c r="J20" s="192">
        <f>-SAC!J21</f>
        <v>-2336796</v>
      </c>
      <c r="K20" s="192">
        <f>-SAC!K21</f>
        <v>-2077152</v>
      </c>
      <c r="L20" s="192">
        <f>-SAC!L21</f>
        <v>-1817508</v>
      </c>
      <c r="M20" s="192">
        <f>-SAC!M21</f>
        <v>-1557864</v>
      </c>
      <c r="N20" s="192">
        <f>-SAC!N21</f>
        <v>-1298220</v>
      </c>
      <c r="O20" s="192">
        <f>-SAC!O21</f>
        <v>-1038576</v>
      </c>
      <c r="P20" s="192">
        <f>-SAC!P21</f>
        <v>-778932</v>
      </c>
      <c r="Q20" s="192">
        <f>-SAC!Q21</f>
        <v>-519288</v>
      </c>
      <c r="R20" s="192">
        <f>-SAC!R21</f>
        <v>-259644</v>
      </c>
      <c r="S20" s="192">
        <f>-SAC!S21</f>
        <v>0</v>
      </c>
      <c r="T20" s="192">
        <f>-SAC!T21</f>
        <v>0</v>
      </c>
      <c r="U20" s="192">
        <f>-SAC!U21</f>
        <v>0</v>
      </c>
      <c r="V20" s="192">
        <f>-SAC!V21</f>
        <v>0</v>
      </c>
      <c r="W20" s="192">
        <f>-SAC!W21</f>
        <v>0</v>
      </c>
      <c r="X20" s="192">
        <f>-SAC!X21</f>
        <v>0</v>
      </c>
      <c r="Y20" s="192">
        <f>-SAC!Y21</f>
        <v>0</v>
      </c>
      <c r="Z20" s="192">
        <f>-SAC!Z21</f>
        <v>0</v>
      </c>
      <c r="AA20" s="192">
        <f>-SAC!AA21</f>
        <v>0</v>
      </c>
      <c r="AB20" s="192">
        <f>-SAC!AB21</f>
        <v>0</v>
      </c>
      <c r="AC20" s="192">
        <f>-SAC!AC21</f>
        <v>0</v>
      </c>
      <c r="AD20" s="192">
        <f>-SAC!AD21</f>
        <v>0</v>
      </c>
      <c r="AE20" s="192">
        <f>-SAC!AE21</f>
        <v>0</v>
      </c>
      <c r="AF20" s="192">
        <f>-SAC!AF21</f>
        <v>0</v>
      </c>
      <c r="AG20" s="192">
        <f>-SAC!AG21</f>
        <v>0</v>
      </c>
      <c r="AH20" s="192">
        <f>-SAC!AH21</f>
        <v>0</v>
      </c>
      <c r="AI20" s="192">
        <f>-SAC!AI21</f>
        <v>0</v>
      </c>
      <c r="AJ20" s="192">
        <f>-SAC!AJ21</f>
        <v>0</v>
      </c>
      <c r="AK20" s="192">
        <f>-SAC!AK21</f>
        <v>0</v>
      </c>
      <c r="AL20" s="192">
        <f>-SAC!AL21</f>
        <v>0</v>
      </c>
      <c r="AM20" s="261"/>
    </row>
    <row r="21" spans="2:75" s="179" customFormat="1" x14ac:dyDescent="0.3">
      <c r="B21" s="200" t="s">
        <v>4032</v>
      </c>
      <c r="C21" s="440"/>
      <c r="D21" s="203">
        <f>D19+D20</f>
        <v>5935954.3255461566</v>
      </c>
      <c r="E21" s="203">
        <f t="shared" ref="E21:AL21" si="109">E19+E20</f>
        <v>6062598.3255461566</v>
      </c>
      <c r="F21" s="203">
        <f t="shared" si="109"/>
        <v>5805001.6784211546</v>
      </c>
      <c r="G21" s="203">
        <f t="shared" si="109"/>
        <v>5774193.7724711578</v>
      </c>
      <c r="H21" s="203">
        <f t="shared" si="109"/>
        <v>-63227.956582568586</v>
      </c>
      <c r="I21" s="203">
        <f t="shared" si="109"/>
        <v>-2145625.542494826</v>
      </c>
      <c r="J21" s="203">
        <f t="shared" si="109"/>
        <v>-3162826.720164068</v>
      </c>
      <c r="K21" s="203">
        <f t="shared" si="109"/>
        <v>-1459468.1017563939</v>
      </c>
      <c r="L21" s="203">
        <f t="shared" si="109"/>
        <v>-2034440.6880257949</v>
      </c>
      <c r="M21" s="203">
        <f t="shared" si="109"/>
        <v>-2116183.5278165787</v>
      </c>
      <c r="N21" s="203">
        <f t="shared" si="109"/>
        <v>3659588.2969580144</v>
      </c>
      <c r="O21" s="203">
        <f t="shared" si="109"/>
        <v>3582734.7877168655</v>
      </c>
      <c r="P21" s="203">
        <f t="shared" si="109"/>
        <v>3500373.604382053</v>
      </c>
      <c r="Q21" s="203">
        <f t="shared" si="109"/>
        <v>8360985.7560719848</v>
      </c>
      <c r="R21" s="203">
        <f t="shared" si="109"/>
        <v>9101559.5735791922</v>
      </c>
      <c r="S21" s="203">
        <f t="shared" si="109"/>
        <v>9071207.8416537344</v>
      </c>
      <c r="T21" s="203">
        <f t="shared" si="109"/>
        <v>17035067.294870675</v>
      </c>
      <c r="U21" s="203">
        <f t="shared" si="109"/>
        <v>17303460.39597261</v>
      </c>
      <c r="V21" s="203">
        <f t="shared" si="109"/>
        <v>17431349.323585957</v>
      </c>
      <c r="W21" s="203">
        <f t="shared" si="109"/>
        <v>28635081.634310007</v>
      </c>
      <c r="X21" s="203">
        <f t="shared" si="109"/>
        <v>29285102.089646339</v>
      </c>
      <c r="Y21" s="203">
        <f t="shared" si="109"/>
        <v>29910000.669406861</v>
      </c>
      <c r="Z21" s="203">
        <f t="shared" si="109"/>
        <v>43245466.491686136</v>
      </c>
      <c r="AA21" s="203">
        <f t="shared" si="109"/>
        <v>44530734.695785522</v>
      </c>
      <c r="AB21" s="203">
        <f t="shared" si="109"/>
        <v>45877518.315186709</v>
      </c>
      <c r="AC21" s="203">
        <f t="shared" si="109"/>
        <v>61448719.635810286</v>
      </c>
      <c r="AD21" s="203">
        <f t="shared" si="109"/>
        <v>63642525.768005699</v>
      </c>
      <c r="AE21" s="203">
        <f t="shared" si="109"/>
        <v>65883485.11580503</v>
      </c>
      <c r="AF21" s="203">
        <f t="shared" si="109"/>
        <v>84754035.524192214</v>
      </c>
      <c r="AG21" s="203">
        <f t="shared" si="109"/>
        <v>88230879.523450106</v>
      </c>
      <c r="AH21" s="203">
        <f t="shared" si="109"/>
        <v>91394871.264660448</v>
      </c>
      <c r="AI21" s="203">
        <f t="shared" si="109"/>
        <v>94826787.685038805</v>
      </c>
      <c r="AJ21" s="203">
        <f t="shared" si="109"/>
        <v>98463288.846557856</v>
      </c>
      <c r="AK21" s="203">
        <f t="shared" si="109"/>
        <v>102245249.34546036</v>
      </c>
      <c r="AL21" s="203">
        <f t="shared" si="109"/>
        <v>106251307.63490975</v>
      </c>
      <c r="AM21" s="261"/>
    </row>
    <row r="22" spans="2:75" s="179" customFormat="1" x14ac:dyDescent="0.3">
      <c r="B22" s="186"/>
      <c r="C22" s="185"/>
      <c r="D22" s="439"/>
      <c r="E22" s="439"/>
      <c r="F22" s="439"/>
      <c r="G22" s="439"/>
      <c r="H22" s="439"/>
      <c r="I22" s="439"/>
      <c r="J22" s="439"/>
      <c r="K22" s="439"/>
      <c r="L22" s="439"/>
      <c r="M22" s="439"/>
      <c r="N22" s="439"/>
      <c r="O22" s="439"/>
      <c r="P22" s="439"/>
      <c r="Q22" s="439"/>
      <c r="R22" s="439"/>
      <c r="S22" s="439"/>
      <c r="T22" s="439"/>
      <c r="U22" s="439"/>
      <c r="V22" s="439"/>
      <c r="W22" s="439"/>
      <c r="X22" s="439"/>
      <c r="Y22" s="439"/>
      <c r="Z22" s="439"/>
      <c r="AA22" s="439"/>
      <c r="AB22" s="439"/>
      <c r="AC22" s="439"/>
      <c r="AD22" s="439"/>
      <c r="AE22" s="439"/>
      <c r="AF22" s="439"/>
      <c r="AG22" s="439"/>
      <c r="AH22" s="439"/>
      <c r="AI22" s="439"/>
      <c r="AJ22" s="439"/>
      <c r="AK22" s="439"/>
      <c r="AL22" s="439"/>
      <c r="AM22" s="261"/>
    </row>
    <row r="23" spans="2:75" x14ac:dyDescent="0.3">
      <c r="B23" s="180" t="s">
        <v>4025</v>
      </c>
      <c r="D23" s="192">
        <f>C25</f>
        <v>0</v>
      </c>
      <c r="E23" s="192">
        <f>D25</f>
        <v>0</v>
      </c>
      <c r="F23" s="192">
        <f>E25</f>
        <v>0</v>
      </c>
      <c r="G23" s="192">
        <f>F25</f>
        <v>0</v>
      </c>
      <c r="H23" s="192">
        <f>G25</f>
        <v>0</v>
      </c>
      <c r="I23" s="192">
        <f t="shared" ref="I23:AC23" si="110">H25</f>
        <v>63227.956582568586</v>
      </c>
      <c r="J23" s="192">
        <f t="shared" si="110"/>
        <v>2208853.4990773946</v>
      </c>
      <c r="K23" s="192">
        <f t="shared" si="110"/>
        <v>5371680.2192414626</v>
      </c>
      <c r="L23" s="193">
        <f t="shared" si="110"/>
        <v>6831148.3209978566</v>
      </c>
      <c r="M23" s="193">
        <f t="shared" si="110"/>
        <v>8865589.0090236515</v>
      </c>
      <c r="N23" s="192">
        <f t="shared" si="110"/>
        <v>10981772.53684023</v>
      </c>
      <c r="O23" s="193">
        <f t="shared" si="110"/>
        <v>9883896.0477528255</v>
      </c>
      <c r="P23" s="193">
        <f t="shared" si="110"/>
        <v>8809075.6114377659</v>
      </c>
      <c r="Q23" s="193">
        <f t="shared" si="110"/>
        <v>7758963.53012315</v>
      </c>
      <c r="R23" s="193">
        <f t="shared" si="110"/>
        <v>5250667.8033015542</v>
      </c>
      <c r="S23" s="193">
        <f t="shared" si="110"/>
        <v>2520199.9312277967</v>
      </c>
      <c r="T23" s="193">
        <f t="shared" si="110"/>
        <v>0</v>
      </c>
      <c r="U23" s="193">
        <f t="shared" si="110"/>
        <v>0</v>
      </c>
      <c r="V23" s="193">
        <f t="shared" si="110"/>
        <v>0</v>
      </c>
      <c r="W23" s="193">
        <f t="shared" si="110"/>
        <v>0</v>
      </c>
      <c r="X23" s="193">
        <f t="shared" si="110"/>
        <v>0</v>
      </c>
      <c r="Y23" s="193">
        <f t="shared" si="110"/>
        <v>0</v>
      </c>
      <c r="Z23" s="193">
        <f t="shared" si="110"/>
        <v>0</v>
      </c>
      <c r="AA23" s="193">
        <f t="shared" si="110"/>
        <v>0</v>
      </c>
      <c r="AB23" s="193">
        <f t="shared" si="110"/>
        <v>0</v>
      </c>
      <c r="AC23" s="193">
        <f t="shared" si="110"/>
        <v>0</v>
      </c>
      <c r="AD23" s="193">
        <f t="shared" ref="AD23:AL23" si="111">AC25</f>
        <v>0</v>
      </c>
      <c r="AE23" s="193">
        <f t="shared" si="111"/>
        <v>0</v>
      </c>
      <c r="AF23" s="193">
        <f t="shared" si="111"/>
        <v>0</v>
      </c>
      <c r="AG23" s="193">
        <f t="shared" si="111"/>
        <v>0</v>
      </c>
      <c r="AH23" s="193">
        <f t="shared" si="111"/>
        <v>0</v>
      </c>
      <c r="AI23" s="193">
        <f t="shared" si="111"/>
        <v>0</v>
      </c>
      <c r="AJ23" s="193">
        <f t="shared" si="111"/>
        <v>0</v>
      </c>
      <c r="AK23" s="193">
        <f t="shared" si="111"/>
        <v>0</v>
      </c>
      <c r="AL23" s="193">
        <f t="shared" si="111"/>
        <v>0</v>
      </c>
    </row>
    <row r="24" spans="2:75" x14ac:dyDescent="0.3">
      <c r="B24" s="180" t="s">
        <v>4026</v>
      </c>
      <c r="D24" s="192">
        <f>IF(D21&lt;=0,0,MIN(D23,D21*30%))</f>
        <v>0</v>
      </c>
      <c r="E24" s="192">
        <f>IF(E21&lt;=0,0,MIN(E23,E21*30%))</f>
        <v>0</v>
      </c>
      <c r="F24" s="192">
        <f>IF(F21&lt;=0,0,MIN(F23,F21*30%))</f>
        <v>0</v>
      </c>
      <c r="G24" s="192">
        <f t="shared" ref="G24:AL24" si="112">IF(G21&lt;=0,0,MIN(G23,G21*30%))</f>
        <v>0</v>
      </c>
      <c r="H24" s="192">
        <f t="shared" si="112"/>
        <v>0</v>
      </c>
      <c r="I24" s="192">
        <f>IF(I21&lt;=0,0,MIN(I23,I21*30%))</f>
        <v>0</v>
      </c>
      <c r="J24" s="192">
        <f t="shared" si="112"/>
        <v>0</v>
      </c>
      <c r="K24" s="192">
        <f>IF(K21&lt;=0,0,MIN(K23,K21*30%))</f>
        <v>0</v>
      </c>
      <c r="L24" s="192">
        <f t="shared" si="112"/>
        <v>0</v>
      </c>
      <c r="M24" s="192">
        <f t="shared" si="112"/>
        <v>0</v>
      </c>
      <c r="N24" s="192">
        <f t="shared" si="112"/>
        <v>1097876.4890874042</v>
      </c>
      <c r="O24" s="192">
        <f t="shared" si="112"/>
        <v>1074820.4363150597</v>
      </c>
      <c r="P24" s="192">
        <f t="shared" si="112"/>
        <v>1050112.0813146159</v>
      </c>
      <c r="Q24" s="192">
        <f t="shared" si="112"/>
        <v>2508295.7268215953</v>
      </c>
      <c r="R24" s="192">
        <f t="shared" si="112"/>
        <v>2730467.8720737575</v>
      </c>
      <c r="S24" s="192">
        <f t="shared" si="112"/>
        <v>2520199.9312277967</v>
      </c>
      <c r="T24" s="192">
        <f t="shared" si="112"/>
        <v>0</v>
      </c>
      <c r="U24" s="192">
        <f t="shared" si="112"/>
        <v>0</v>
      </c>
      <c r="V24" s="192">
        <f t="shared" si="112"/>
        <v>0</v>
      </c>
      <c r="W24" s="192">
        <f t="shared" si="112"/>
        <v>0</v>
      </c>
      <c r="X24" s="192">
        <f t="shared" si="112"/>
        <v>0</v>
      </c>
      <c r="Y24" s="192">
        <f t="shared" si="112"/>
        <v>0</v>
      </c>
      <c r="Z24" s="192">
        <f t="shared" si="112"/>
        <v>0</v>
      </c>
      <c r="AA24" s="192">
        <f t="shared" si="112"/>
        <v>0</v>
      </c>
      <c r="AB24" s="192">
        <f t="shared" si="112"/>
        <v>0</v>
      </c>
      <c r="AC24" s="192">
        <f t="shared" si="112"/>
        <v>0</v>
      </c>
      <c r="AD24" s="192">
        <f t="shared" si="112"/>
        <v>0</v>
      </c>
      <c r="AE24" s="192">
        <f t="shared" si="112"/>
        <v>0</v>
      </c>
      <c r="AF24" s="192">
        <f t="shared" si="112"/>
        <v>0</v>
      </c>
      <c r="AG24" s="192">
        <f t="shared" si="112"/>
        <v>0</v>
      </c>
      <c r="AH24" s="192">
        <f t="shared" si="112"/>
        <v>0</v>
      </c>
      <c r="AI24" s="192">
        <f t="shared" si="112"/>
        <v>0</v>
      </c>
      <c r="AJ24" s="192">
        <f t="shared" si="112"/>
        <v>0</v>
      </c>
      <c r="AK24" s="192">
        <f t="shared" si="112"/>
        <v>0</v>
      </c>
      <c r="AL24" s="192">
        <f t="shared" si="112"/>
        <v>0</v>
      </c>
    </row>
    <row r="25" spans="2:75" x14ac:dyDescent="0.3">
      <c r="B25" s="180" t="s">
        <v>4027</v>
      </c>
      <c r="D25" s="192">
        <f>D23-D24+MAX(-D21,0)</f>
        <v>0</v>
      </c>
      <c r="E25" s="192">
        <f>E23-E24+MAX(-E21,0)</f>
        <v>0</v>
      </c>
      <c r="F25" s="192">
        <f t="shared" ref="F25:H25" si="113">F23-F24+MAX(-F21,0)</f>
        <v>0</v>
      </c>
      <c r="G25" s="192">
        <f>G23-G24+MAX(-G21,0)</f>
        <v>0</v>
      </c>
      <c r="H25" s="192">
        <f t="shared" si="113"/>
        <v>63227.956582568586</v>
      </c>
      <c r="I25" s="192">
        <f>I23-I24+MAX(-I21,0)</f>
        <v>2208853.4990773946</v>
      </c>
      <c r="J25" s="192">
        <f>J23-J24+MAX(-J21,0)</f>
        <v>5371680.2192414626</v>
      </c>
      <c r="K25" s="192">
        <f t="shared" ref="K25:AL25" si="114">K23-K24+MAX(-K21,0)</f>
        <v>6831148.3209978566</v>
      </c>
      <c r="L25" s="192">
        <f t="shared" si="114"/>
        <v>8865589.0090236515</v>
      </c>
      <c r="M25" s="192">
        <f t="shared" si="114"/>
        <v>10981772.53684023</v>
      </c>
      <c r="N25" s="192">
        <f t="shared" si="114"/>
        <v>9883896.0477528255</v>
      </c>
      <c r="O25" s="192">
        <f t="shared" si="114"/>
        <v>8809075.6114377659</v>
      </c>
      <c r="P25" s="192">
        <f t="shared" si="114"/>
        <v>7758963.53012315</v>
      </c>
      <c r="Q25" s="192">
        <f t="shared" si="114"/>
        <v>5250667.8033015542</v>
      </c>
      <c r="R25" s="192">
        <f t="shared" si="114"/>
        <v>2520199.9312277967</v>
      </c>
      <c r="S25" s="192">
        <f t="shared" si="114"/>
        <v>0</v>
      </c>
      <c r="T25" s="192">
        <f t="shared" si="114"/>
        <v>0</v>
      </c>
      <c r="U25" s="192">
        <f t="shared" si="114"/>
        <v>0</v>
      </c>
      <c r="V25" s="192">
        <f t="shared" si="114"/>
        <v>0</v>
      </c>
      <c r="W25" s="192">
        <f t="shared" si="114"/>
        <v>0</v>
      </c>
      <c r="X25" s="192">
        <f t="shared" si="114"/>
        <v>0</v>
      </c>
      <c r="Y25" s="192">
        <f t="shared" si="114"/>
        <v>0</v>
      </c>
      <c r="Z25" s="192">
        <f t="shared" si="114"/>
        <v>0</v>
      </c>
      <c r="AA25" s="192">
        <f t="shared" si="114"/>
        <v>0</v>
      </c>
      <c r="AB25" s="192">
        <f t="shared" si="114"/>
        <v>0</v>
      </c>
      <c r="AC25" s="192">
        <f t="shared" si="114"/>
        <v>0</v>
      </c>
      <c r="AD25" s="192">
        <f t="shared" si="114"/>
        <v>0</v>
      </c>
      <c r="AE25" s="192">
        <f t="shared" si="114"/>
        <v>0</v>
      </c>
      <c r="AF25" s="192">
        <f>AF23-AF24+MAX(-AF21,0)</f>
        <v>0</v>
      </c>
      <c r="AG25" s="192">
        <f t="shared" si="114"/>
        <v>0</v>
      </c>
      <c r="AH25" s="192">
        <f t="shared" si="114"/>
        <v>0</v>
      </c>
      <c r="AI25" s="192">
        <f t="shared" si="114"/>
        <v>0</v>
      </c>
      <c r="AJ25" s="192">
        <f t="shared" si="114"/>
        <v>0</v>
      </c>
      <c r="AK25" s="192">
        <f t="shared" si="114"/>
        <v>0</v>
      </c>
      <c r="AL25" s="192">
        <f t="shared" si="114"/>
        <v>0</v>
      </c>
    </row>
    <row r="26" spans="2:75" x14ac:dyDescent="0.3">
      <c r="B26" s="191"/>
      <c r="C26" s="191"/>
      <c r="L26" s="179"/>
      <c r="M26" s="179"/>
      <c r="O26" s="179"/>
      <c r="P26" s="179"/>
      <c r="Q26" s="179"/>
      <c r="R26" s="179"/>
      <c r="S26" s="179"/>
      <c r="T26" s="179"/>
      <c r="U26" s="179"/>
      <c r="V26" s="179"/>
      <c r="W26" s="179"/>
      <c r="X26" s="179"/>
      <c r="Y26" s="179"/>
      <c r="Z26" s="183"/>
      <c r="AA26" s="179"/>
      <c r="AB26" s="183"/>
      <c r="AC26" s="179"/>
      <c r="AD26" s="179"/>
      <c r="AE26" s="179"/>
      <c r="AF26" s="179"/>
      <c r="AG26" s="179"/>
      <c r="AH26" s="179"/>
    </row>
    <row r="27" spans="2:75" x14ac:dyDescent="0.3">
      <c r="B27" s="177" t="s">
        <v>4028</v>
      </c>
      <c r="C27" s="177"/>
      <c r="D27" s="192">
        <f t="shared" ref="D27:AL27" si="115">IF((D19-D24)&lt;=0,0,(D19-D24)*15%)</f>
        <v>1474592.1488319235</v>
      </c>
      <c r="E27" s="192">
        <f>IF((E19-E24)&lt;=0,0,(E19-E24)*15%)</f>
        <v>1454642.1488319235</v>
      </c>
      <c r="F27" s="192">
        <f t="shared" si="115"/>
        <v>1377056.0517631732</v>
      </c>
      <c r="G27" s="192">
        <f>IF((G19-G24)&lt;=0,0,(G19-G24)*15%)</f>
        <v>1333488.2658706736</v>
      </c>
      <c r="H27" s="192">
        <f t="shared" si="115"/>
        <v>418928.40651261469</v>
      </c>
      <c r="I27" s="192">
        <f t="shared" si="115"/>
        <v>67622.168625776088</v>
      </c>
      <c r="J27" s="192">
        <f t="shared" si="115"/>
        <v>0</v>
      </c>
      <c r="K27" s="192">
        <f t="shared" si="115"/>
        <v>92652.584736540914</v>
      </c>
      <c r="L27" s="193">
        <f t="shared" si="115"/>
        <v>0</v>
      </c>
      <c r="M27" s="193">
        <f t="shared" si="115"/>
        <v>0</v>
      </c>
      <c r="N27" s="192">
        <f t="shared" si="115"/>
        <v>578989.77118059155</v>
      </c>
      <c r="O27" s="192">
        <f t="shared" si="115"/>
        <v>531973.55271027086</v>
      </c>
      <c r="P27" s="192">
        <f t="shared" si="115"/>
        <v>484379.02846011554</v>
      </c>
      <c r="Q27" s="192">
        <f t="shared" si="115"/>
        <v>955796.70438755827</v>
      </c>
      <c r="R27" s="192">
        <f t="shared" si="115"/>
        <v>994610.3552258152</v>
      </c>
      <c r="S27" s="192">
        <f t="shared" si="115"/>
        <v>982651.18656389066</v>
      </c>
      <c r="T27" s="192">
        <f t="shared" si="115"/>
        <v>2555260.0942306011</v>
      </c>
      <c r="U27" s="192">
        <f t="shared" si="115"/>
        <v>2595519.0593958911</v>
      </c>
      <c r="V27" s="192">
        <f t="shared" si="115"/>
        <v>2614702.3985378933</v>
      </c>
      <c r="W27" s="192">
        <f t="shared" si="115"/>
        <v>4295262.2451465009</v>
      </c>
      <c r="X27" s="192">
        <f t="shared" si="115"/>
        <v>4392765.3134469511</v>
      </c>
      <c r="Y27" s="192">
        <f t="shared" si="115"/>
        <v>4486500.1004110286</v>
      </c>
      <c r="Z27" s="192">
        <f t="shared" si="115"/>
        <v>6486819.9737529205</v>
      </c>
      <c r="AA27" s="192">
        <f t="shared" si="115"/>
        <v>6679610.2043678286</v>
      </c>
      <c r="AB27" s="192">
        <f t="shared" si="115"/>
        <v>6881627.7472780058</v>
      </c>
      <c r="AC27" s="192">
        <f t="shared" si="115"/>
        <v>9217307.9453715421</v>
      </c>
      <c r="AD27" s="192">
        <f t="shared" si="115"/>
        <v>9546378.8652008548</v>
      </c>
      <c r="AE27" s="192">
        <f t="shared" si="115"/>
        <v>9882522.7673707549</v>
      </c>
      <c r="AF27" s="192">
        <f t="shared" si="115"/>
        <v>12713105.328628832</v>
      </c>
      <c r="AG27" s="192">
        <f t="shared" si="115"/>
        <v>13234631.928517515</v>
      </c>
      <c r="AH27" s="192">
        <f t="shared" si="115"/>
        <v>13709230.689699067</v>
      </c>
      <c r="AI27" s="192">
        <f t="shared" si="115"/>
        <v>14224018.152755821</v>
      </c>
      <c r="AJ27" s="192">
        <f t="shared" si="115"/>
        <v>14769493.326983677</v>
      </c>
      <c r="AK27" s="192">
        <f t="shared" si="115"/>
        <v>15336787.401819052</v>
      </c>
      <c r="AL27" s="192">
        <f t="shared" si="115"/>
        <v>15937696.145236462</v>
      </c>
    </row>
    <row r="28" spans="2:75" x14ac:dyDescent="0.3">
      <c r="B28" s="177" t="s">
        <v>4029</v>
      </c>
      <c r="D28" s="192">
        <f>IF(D19&lt;240000,0,(D19-240000)*10%)</f>
        <v>959061.43255461566</v>
      </c>
      <c r="E28" s="192">
        <f t="shared" ref="E28:AL28" si="116">IF(E19&lt;240000,0,(E19-240000)*10%)</f>
        <v>945761.43255461566</v>
      </c>
      <c r="F28" s="192">
        <f t="shared" si="116"/>
        <v>894037.36784211546</v>
      </c>
      <c r="G28" s="192">
        <f t="shared" si="116"/>
        <v>864992.17724711588</v>
      </c>
      <c r="H28" s="192">
        <f t="shared" si="116"/>
        <v>255285.60434174316</v>
      </c>
      <c r="I28" s="192">
        <f t="shared" si="116"/>
        <v>21081.4457505174</v>
      </c>
      <c r="J28" s="192">
        <f t="shared" si="116"/>
        <v>0</v>
      </c>
      <c r="K28" s="192">
        <f t="shared" si="116"/>
        <v>37768.389824360609</v>
      </c>
      <c r="L28" s="192">
        <f>IF(L19&lt;240000,0,(L19-240000)*10%)</f>
        <v>0</v>
      </c>
      <c r="M28" s="192">
        <f t="shared" si="116"/>
        <v>0</v>
      </c>
      <c r="N28" s="192">
        <f t="shared" si="116"/>
        <v>471780.82969580148</v>
      </c>
      <c r="O28" s="192">
        <f t="shared" si="116"/>
        <v>438131.07877168659</v>
      </c>
      <c r="P28" s="192">
        <f t="shared" si="116"/>
        <v>403930.56043820531</v>
      </c>
      <c r="Q28" s="192">
        <f t="shared" si="116"/>
        <v>864027.37560719857</v>
      </c>
      <c r="R28" s="192">
        <f t="shared" si="116"/>
        <v>912120.35735791922</v>
      </c>
      <c r="S28" s="192">
        <f t="shared" si="116"/>
        <v>883120.78416537354</v>
      </c>
      <c r="T28" s="192">
        <f t="shared" si="116"/>
        <v>1679506.7294870676</v>
      </c>
      <c r="U28" s="192">
        <f t="shared" si="116"/>
        <v>1706346.039597261</v>
      </c>
      <c r="V28" s="192">
        <f t="shared" si="116"/>
        <v>1719134.9323585958</v>
      </c>
      <c r="W28" s="192">
        <f t="shared" si="116"/>
        <v>2839508.1634310009</v>
      </c>
      <c r="X28" s="192">
        <f t="shared" si="116"/>
        <v>2904510.2089646342</v>
      </c>
      <c r="Y28" s="192">
        <f t="shared" si="116"/>
        <v>2967000.0669406862</v>
      </c>
      <c r="Z28" s="192">
        <f t="shared" si="116"/>
        <v>4300546.6491686134</v>
      </c>
      <c r="AA28" s="192">
        <f t="shared" si="116"/>
        <v>4429073.4695785521</v>
      </c>
      <c r="AB28" s="192">
        <f t="shared" si="116"/>
        <v>4563751.8315186715</v>
      </c>
      <c r="AC28" s="192">
        <f t="shared" si="116"/>
        <v>6120871.9635810293</v>
      </c>
      <c r="AD28" s="192">
        <f t="shared" si="116"/>
        <v>6340252.5768005699</v>
      </c>
      <c r="AE28" s="192">
        <f t="shared" si="116"/>
        <v>6564348.5115805035</v>
      </c>
      <c r="AF28" s="192">
        <f t="shared" si="116"/>
        <v>8451403.552419221</v>
      </c>
      <c r="AG28" s="192">
        <f t="shared" si="116"/>
        <v>8799087.9523450118</v>
      </c>
      <c r="AH28" s="192">
        <f t="shared" si="116"/>
        <v>9115487.1264660452</v>
      </c>
      <c r="AI28" s="192">
        <f t="shared" si="116"/>
        <v>9458678.7685038801</v>
      </c>
      <c r="AJ28" s="192">
        <f t="shared" si="116"/>
        <v>9822328.8846557867</v>
      </c>
      <c r="AK28" s="192">
        <f t="shared" si="116"/>
        <v>10200524.934546037</v>
      </c>
      <c r="AL28" s="192">
        <f t="shared" si="116"/>
        <v>10601130.763490975</v>
      </c>
    </row>
    <row r="29" spans="2:75" x14ac:dyDescent="0.3">
      <c r="B29" s="177" t="s">
        <v>4030</v>
      </c>
      <c r="D29" s="192">
        <f t="shared" ref="D29:AL29" si="117">IF((D19-D24)&lt;=0,0,(D19-D24)*9%)</f>
        <v>884755.28929915407</v>
      </c>
      <c r="E29" s="192">
        <f t="shared" si="117"/>
        <v>872785.28929915407</v>
      </c>
      <c r="F29" s="192">
        <f t="shared" si="117"/>
        <v>826233.63105790387</v>
      </c>
      <c r="G29" s="192">
        <f>IF((G19-G24)&lt;=0,0,(G19-G24)*9%)</f>
        <v>800092.95952240413</v>
      </c>
      <c r="H29" s="192">
        <f t="shared" si="117"/>
        <v>251357.04390756882</v>
      </c>
      <c r="I29" s="192">
        <f t="shared" si="117"/>
        <v>40573.301175465655</v>
      </c>
      <c r="J29" s="192">
        <f t="shared" si="117"/>
        <v>0</v>
      </c>
      <c r="K29" s="192">
        <f t="shared" si="117"/>
        <v>55591.550841924545</v>
      </c>
      <c r="L29" s="193">
        <f t="shared" si="117"/>
        <v>0</v>
      </c>
      <c r="M29" s="193">
        <f t="shared" si="117"/>
        <v>0</v>
      </c>
      <c r="N29" s="192">
        <f t="shared" si="117"/>
        <v>347393.86270835489</v>
      </c>
      <c r="O29" s="192">
        <f t="shared" si="117"/>
        <v>319184.1316261625</v>
      </c>
      <c r="P29" s="192">
        <f t="shared" si="117"/>
        <v>290627.41707606934</v>
      </c>
      <c r="Q29" s="192">
        <f t="shared" si="117"/>
        <v>573478.02263253496</v>
      </c>
      <c r="R29" s="192">
        <f t="shared" si="117"/>
        <v>596766.21313548915</v>
      </c>
      <c r="S29" s="192">
        <f t="shared" si="117"/>
        <v>589590.7119383344</v>
      </c>
      <c r="T29" s="192">
        <f t="shared" si="117"/>
        <v>1533156.0565383607</v>
      </c>
      <c r="U29" s="192">
        <f t="shared" si="117"/>
        <v>1557311.4356375348</v>
      </c>
      <c r="V29" s="192">
        <f t="shared" si="117"/>
        <v>1568821.439122736</v>
      </c>
      <c r="W29" s="192">
        <f t="shared" si="117"/>
        <v>2577157.3470879006</v>
      </c>
      <c r="X29" s="192">
        <f t="shared" si="117"/>
        <v>2635659.1880681706</v>
      </c>
      <c r="Y29" s="192">
        <f t="shared" si="117"/>
        <v>2691900.0602466175</v>
      </c>
      <c r="Z29" s="192">
        <f t="shared" si="117"/>
        <v>3892091.984251752</v>
      </c>
      <c r="AA29" s="192">
        <f t="shared" si="117"/>
        <v>4007766.1226206967</v>
      </c>
      <c r="AB29" s="192">
        <f t="shared" si="117"/>
        <v>4128976.6483668038</v>
      </c>
      <c r="AC29" s="192">
        <f t="shared" si="117"/>
        <v>5530384.7672229251</v>
      </c>
      <c r="AD29" s="192">
        <f t="shared" si="117"/>
        <v>5727827.3191205123</v>
      </c>
      <c r="AE29" s="192">
        <f t="shared" si="117"/>
        <v>5929513.6604224527</v>
      </c>
      <c r="AF29" s="192">
        <f t="shared" si="117"/>
        <v>7627863.1971772993</v>
      </c>
      <c r="AG29" s="192">
        <f t="shared" si="117"/>
        <v>7940779.1571105095</v>
      </c>
      <c r="AH29" s="192">
        <f t="shared" si="117"/>
        <v>8225538.4138194397</v>
      </c>
      <c r="AI29" s="192">
        <f t="shared" si="117"/>
        <v>8534410.891653493</v>
      </c>
      <c r="AJ29" s="192">
        <f t="shared" si="117"/>
        <v>8861695.9961902071</v>
      </c>
      <c r="AK29" s="192">
        <f t="shared" si="117"/>
        <v>9202072.4410914313</v>
      </c>
      <c r="AL29" s="192">
        <f t="shared" si="117"/>
        <v>9562617.6871418767</v>
      </c>
    </row>
    <row r="30" spans="2:75" x14ac:dyDescent="0.3">
      <c r="D30" s="192"/>
      <c r="L30" s="179"/>
      <c r="M30" s="179"/>
      <c r="O30" s="179"/>
      <c r="P30" s="179"/>
      <c r="Q30" s="179"/>
      <c r="R30" s="179"/>
      <c r="S30" s="179"/>
      <c r="T30" s="179"/>
      <c r="U30" s="179"/>
      <c r="V30" s="179"/>
      <c r="W30" s="179"/>
      <c r="X30" s="179"/>
      <c r="Y30" s="179"/>
      <c r="Z30" s="183"/>
      <c r="AA30" s="179"/>
      <c r="AB30" s="183"/>
      <c r="AC30" s="179"/>
      <c r="AD30" s="179"/>
      <c r="AE30" s="179"/>
      <c r="AF30" s="179"/>
      <c r="AG30" s="179"/>
      <c r="AH30" s="179"/>
    </row>
    <row r="31" spans="2:75" x14ac:dyDescent="0.3">
      <c r="B31" s="177" t="s">
        <v>4031</v>
      </c>
      <c r="D31" s="194">
        <f>-SUM(D27:D29)</f>
        <v>-3318408.8706856933</v>
      </c>
      <c r="E31" s="195">
        <f>-SUM(E27:E29)</f>
        <v>-3273188.8706856933</v>
      </c>
      <c r="F31" s="195">
        <f t="shared" ref="F31:AB31" si="118">-SUM(F27:F29)</f>
        <v>-3097327.0506631928</v>
      </c>
      <c r="G31" s="195">
        <f>-SUM(G27:G29)</f>
        <v>-2998573.4026401937</v>
      </c>
      <c r="H31" s="195">
        <f t="shared" si="118"/>
        <v>-925571.05476192664</v>
      </c>
      <c r="I31" s="195">
        <f t="shared" si="118"/>
        <v>-129276.91555175916</v>
      </c>
      <c r="J31" s="195">
        <f t="shared" si="118"/>
        <v>0</v>
      </c>
      <c r="K31" s="195">
        <f t="shared" si="118"/>
        <v>-186012.52540282608</v>
      </c>
      <c r="L31" s="182">
        <f t="shared" si="118"/>
        <v>0</v>
      </c>
      <c r="M31" s="182">
        <f t="shared" si="118"/>
        <v>0</v>
      </c>
      <c r="N31" s="195">
        <f t="shared" si="118"/>
        <v>-1398164.4635847479</v>
      </c>
      <c r="O31" s="195">
        <f t="shared" si="118"/>
        <v>-1289288.7631081198</v>
      </c>
      <c r="P31" s="195">
        <f t="shared" si="118"/>
        <v>-1178937.0059743903</v>
      </c>
      <c r="Q31" s="195">
        <f t="shared" si="118"/>
        <v>-2393302.1026272918</v>
      </c>
      <c r="R31" s="195">
        <f t="shared" si="118"/>
        <v>-2503496.9257192235</v>
      </c>
      <c r="S31" s="195">
        <f t="shared" si="118"/>
        <v>-2455362.6826675986</v>
      </c>
      <c r="T31" s="195">
        <f t="shared" si="118"/>
        <v>-5767922.8802560288</v>
      </c>
      <c r="U31" s="195">
        <f t="shared" si="118"/>
        <v>-5859176.534630687</v>
      </c>
      <c r="V31" s="195">
        <f t="shared" si="118"/>
        <v>-5902658.7700192258</v>
      </c>
      <c r="W31" s="195">
        <f t="shared" si="118"/>
        <v>-9711927.7556654029</v>
      </c>
      <c r="X31" s="195">
        <f t="shared" si="118"/>
        <v>-9932934.710479755</v>
      </c>
      <c r="Y31" s="195">
        <f t="shared" si="118"/>
        <v>-10145400.227598332</v>
      </c>
      <c r="Z31" s="195">
        <f t="shared" si="118"/>
        <v>-14679458.607173286</v>
      </c>
      <c r="AA31" s="195">
        <f t="shared" si="118"/>
        <v>-15116449.796567077</v>
      </c>
      <c r="AB31" s="195">
        <f t="shared" si="118"/>
        <v>-15574356.227163481</v>
      </c>
      <c r="AC31" s="195">
        <f>-SUM(AC27:AC29)</f>
        <v>-20868564.676175497</v>
      </c>
      <c r="AD31" s="195">
        <f t="shared" ref="AD31:AL31" si="119">-SUM(AD27:AD29)</f>
        <v>-21614458.761121936</v>
      </c>
      <c r="AE31" s="195">
        <f t="shared" si="119"/>
        <v>-22376384.939373709</v>
      </c>
      <c r="AF31" s="195">
        <f t="shared" si="119"/>
        <v>-28792372.078225352</v>
      </c>
      <c r="AG31" s="195">
        <f t="shared" si="119"/>
        <v>-29974499.037973035</v>
      </c>
      <c r="AH31" s="195">
        <f t="shared" si="119"/>
        <v>-31050256.229984552</v>
      </c>
      <c r="AI31" s="195">
        <f t="shared" si="119"/>
        <v>-32217107.812913194</v>
      </c>
      <c r="AJ31" s="195">
        <f t="shared" si="119"/>
        <v>-33453518.207829669</v>
      </c>
      <c r="AK31" s="195">
        <f t="shared" si="119"/>
        <v>-34739384.777456522</v>
      </c>
      <c r="AL31" s="195">
        <f t="shared" si="119"/>
        <v>-36101444.595869318</v>
      </c>
    </row>
    <row r="32" spans="2:75" x14ac:dyDescent="0.3">
      <c r="L32" s="179"/>
      <c r="M32" s="179"/>
      <c r="O32" s="179"/>
      <c r="P32" s="179"/>
      <c r="Q32" s="179"/>
      <c r="R32" s="179"/>
      <c r="S32" s="179"/>
      <c r="T32" s="179"/>
      <c r="U32" s="179"/>
      <c r="V32" s="179"/>
      <c r="W32" s="179"/>
      <c r="X32" s="179"/>
      <c r="Y32" s="179"/>
      <c r="Z32" s="183"/>
      <c r="AA32" s="179"/>
      <c r="AB32" s="183"/>
      <c r="AC32" s="179"/>
      <c r="AD32" s="179"/>
      <c r="AE32" s="179"/>
      <c r="AF32" s="179"/>
      <c r="AG32" s="179"/>
      <c r="AH32" s="179"/>
    </row>
    <row r="33" spans="2:41" x14ac:dyDescent="0.3">
      <c r="B33" s="200" t="s">
        <v>4032</v>
      </c>
      <c r="C33" s="200"/>
      <c r="D33" s="203">
        <f t="shared" ref="D33:AL33" si="120">D19+D31</f>
        <v>6512205.4548604637</v>
      </c>
      <c r="E33" s="203">
        <f>E19+E31</f>
        <v>6424425.4548604637</v>
      </c>
      <c r="F33" s="203">
        <f t="shared" si="120"/>
        <v>6083046.6277579619</v>
      </c>
      <c r="G33" s="203">
        <f>G19+G31</f>
        <v>5891348.3698309641</v>
      </c>
      <c r="H33" s="203">
        <f t="shared" si="120"/>
        <v>1867284.9886555048</v>
      </c>
      <c r="I33" s="203">
        <f t="shared" si="120"/>
        <v>321537.54195341479</v>
      </c>
      <c r="J33" s="203">
        <f t="shared" si="120"/>
        <v>-826030.72016406804</v>
      </c>
      <c r="K33" s="203">
        <f t="shared" si="120"/>
        <v>431671.37284078001</v>
      </c>
      <c r="L33" s="203">
        <f t="shared" si="120"/>
        <v>-216932.68802579492</v>
      </c>
      <c r="M33" s="203">
        <f t="shared" si="120"/>
        <v>-558319.52781657875</v>
      </c>
      <c r="N33" s="203">
        <f>N19+N31</f>
        <v>3559643.8333732663</v>
      </c>
      <c r="O33" s="203">
        <f>O19+O31</f>
        <v>3332022.0246087457</v>
      </c>
      <c r="P33" s="203">
        <f t="shared" si="120"/>
        <v>3100368.5984076625</v>
      </c>
      <c r="Q33" s="203">
        <f t="shared" si="120"/>
        <v>6486971.6534446925</v>
      </c>
      <c r="R33" s="203">
        <f t="shared" si="120"/>
        <v>6857706.6478599682</v>
      </c>
      <c r="S33" s="203">
        <f t="shared" si="120"/>
        <v>6615845.1589861363</v>
      </c>
      <c r="T33" s="203">
        <f t="shared" si="120"/>
        <v>11267144.414614646</v>
      </c>
      <c r="U33" s="203">
        <f t="shared" si="120"/>
        <v>11444283.861341923</v>
      </c>
      <c r="V33" s="203">
        <f t="shared" si="120"/>
        <v>11528690.553566732</v>
      </c>
      <c r="W33" s="203">
        <f t="shared" si="120"/>
        <v>18923153.878644604</v>
      </c>
      <c r="X33" s="203">
        <f t="shared" si="120"/>
        <v>19352167.379166584</v>
      </c>
      <c r="Y33" s="203">
        <f t="shared" si="120"/>
        <v>19764600.441808529</v>
      </c>
      <c r="Z33" s="203">
        <f t="shared" si="120"/>
        <v>28566007.884512849</v>
      </c>
      <c r="AA33" s="203">
        <f t="shared" si="120"/>
        <v>29414284.899218448</v>
      </c>
      <c r="AB33" s="203">
        <f t="shared" si="120"/>
        <v>30303162.08802323</v>
      </c>
      <c r="AC33" s="203">
        <f t="shared" si="120"/>
        <v>40580154.959634788</v>
      </c>
      <c r="AD33" s="203">
        <f t="shared" si="120"/>
        <v>42028067.006883763</v>
      </c>
      <c r="AE33" s="203">
        <f t="shared" si="120"/>
        <v>43507100.176431321</v>
      </c>
      <c r="AF33" s="203">
        <f t="shared" si="120"/>
        <v>55961663.445966862</v>
      </c>
      <c r="AG33" s="203">
        <f t="shared" si="120"/>
        <v>58256380.485477075</v>
      </c>
      <c r="AH33" s="203">
        <f t="shared" si="120"/>
        <v>60344615.034675896</v>
      </c>
      <c r="AI33" s="203">
        <f t="shared" si="120"/>
        <v>62609679.872125611</v>
      </c>
      <c r="AJ33" s="203">
        <f t="shared" si="120"/>
        <v>65009770.638728186</v>
      </c>
      <c r="AK33" s="203">
        <f t="shared" si="120"/>
        <v>67505864.568003833</v>
      </c>
      <c r="AL33" s="203">
        <f t="shared" si="120"/>
        <v>70149863.039040431</v>
      </c>
      <c r="AM33" s="264"/>
    </row>
    <row r="34" spans="2:41" s="191" customFormat="1" x14ac:dyDescent="0.3">
      <c r="L34" s="179"/>
      <c r="O34" s="179"/>
      <c r="P34" s="179"/>
      <c r="Q34" s="179"/>
      <c r="R34" s="179"/>
      <c r="S34" s="179"/>
      <c r="T34" s="179"/>
      <c r="U34" s="179"/>
      <c r="V34" s="179"/>
      <c r="W34" s="179"/>
      <c r="X34" s="179"/>
      <c r="Y34" s="179"/>
      <c r="Z34" s="183"/>
      <c r="AA34" s="179"/>
      <c r="AB34" s="183"/>
      <c r="AC34" s="179"/>
    </row>
    <row r="35" spans="2:41" x14ac:dyDescent="0.3">
      <c r="B35" s="560" t="s">
        <v>4033</v>
      </c>
      <c r="C35" s="200"/>
      <c r="D35" s="204" t="s">
        <v>3701</v>
      </c>
      <c r="E35" s="204" t="s">
        <v>3702</v>
      </c>
      <c r="F35" s="204" t="s">
        <v>3703</v>
      </c>
      <c r="G35" s="204" t="s">
        <v>3704</v>
      </c>
      <c r="H35" s="204" t="s">
        <v>3705</v>
      </c>
      <c r="I35" s="204" t="s">
        <v>3706</v>
      </c>
      <c r="J35" s="204" t="s">
        <v>3707</v>
      </c>
      <c r="K35" s="204" t="s">
        <v>3708</v>
      </c>
      <c r="L35" s="204" t="s">
        <v>3709</v>
      </c>
      <c r="M35" s="204" t="s">
        <v>3710</v>
      </c>
      <c r="N35" s="204" t="s">
        <v>3711</v>
      </c>
      <c r="O35" s="204" t="s">
        <v>3712</v>
      </c>
      <c r="P35" s="204" t="s">
        <v>3713</v>
      </c>
      <c r="Q35" s="204" t="s">
        <v>3714</v>
      </c>
      <c r="R35" s="204" t="s">
        <v>3715</v>
      </c>
      <c r="S35" s="204" t="s">
        <v>3716</v>
      </c>
      <c r="T35" s="204" t="s">
        <v>3717</v>
      </c>
      <c r="U35" s="204" t="s">
        <v>3718</v>
      </c>
      <c r="V35" s="204" t="s">
        <v>3719</v>
      </c>
      <c r="W35" s="204" t="s">
        <v>3720</v>
      </c>
      <c r="X35" s="204" t="s">
        <v>3721</v>
      </c>
      <c r="Y35" s="204" t="s">
        <v>3722</v>
      </c>
      <c r="Z35" s="204" t="s">
        <v>3723</v>
      </c>
      <c r="AA35" s="204" t="s">
        <v>3724</v>
      </c>
      <c r="AB35" s="204" t="s">
        <v>3725</v>
      </c>
      <c r="AC35" s="204" t="s">
        <v>3726</v>
      </c>
      <c r="AD35" s="204" t="s">
        <v>3727</v>
      </c>
      <c r="AE35" s="204" t="s">
        <v>3728</v>
      </c>
      <c r="AF35" s="204" t="s">
        <v>3729</v>
      </c>
      <c r="AG35" s="204" t="s">
        <v>3730</v>
      </c>
      <c r="AH35" s="204" t="s">
        <v>3731</v>
      </c>
      <c r="AI35" s="204" t="s">
        <v>3732</v>
      </c>
      <c r="AJ35" s="204" t="s">
        <v>3733</v>
      </c>
      <c r="AK35" s="204" t="s">
        <v>3734</v>
      </c>
      <c r="AL35" s="204" t="s">
        <v>3735</v>
      </c>
      <c r="AM35" s="265"/>
    </row>
    <row r="36" spans="2:41" x14ac:dyDescent="0.3">
      <c r="B36" s="560"/>
      <c r="C36" s="200"/>
      <c r="D36" s="205">
        <f>SUM(D37:D41)</f>
        <v>5549875.7665474154</v>
      </c>
      <c r="E36" s="205">
        <f>SUM(E37:E41)</f>
        <v>2531242.1671892311</v>
      </c>
      <c r="F36" s="205">
        <f>SUM(F37:F41)</f>
        <v>2812962.7159413174</v>
      </c>
      <c r="G36" s="205">
        <f>SUM(G37:G41)</f>
        <v>-2743643.2325189915</v>
      </c>
      <c r="H36" s="205">
        <f t="shared" ref="H36:M36" si="121">SUM(H37:H41)</f>
        <v>-3623288.0289753554</v>
      </c>
      <c r="I36" s="205">
        <f t="shared" si="121"/>
        <v>1916185.6970189959</v>
      </c>
      <c r="J36" s="205">
        <f t="shared" si="121"/>
        <v>697248.60075778328</v>
      </c>
      <c r="K36" s="205">
        <f>SUM(K37:K41)</f>
        <v>1957849.6270603556</v>
      </c>
      <c r="L36" s="205">
        <f t="shared" si="121"/>
        <v>1098097.1151906499</v>
      </c>
      <c r="M36" s="205">
        <f t="shared" si="121"/>
        <v>-108833.51464869641</v>
      </c>
      <c r="N36" s="205">
        <f>SUM(N37:N41)</f>
        <v>3577953.1507313354</v>
      </c>
      <c r="O36" s="205">
        <f>SUM(O37:O41)</f>
        <v>3001557.2184089227</v>
      </c>
      <c r="P36" s="205">
        <f t="shared" ref="P36:AL36" si="122">SUM(P37:P41)</f>
        <v>2536928.5907746954</v>
      </c>
      <c r="Q36" s="205">
        <f t="shared" si="122"/>
        <v>6179402.0415299293</v>
      </c>
      <c r="R36" s="205">
        <f t="shared" si="122"/>
        <v>5635819.1131543741</v>
      </c>
      <c r="S36" s="205">
        <f t="shared" si="122"/>
        <v>7625103.1188047249</v>
      </c>
      <c r="T36" s="205">
        <f t="shared" si="122"/>
        <v>12688442.983570416</v>
      </c>
      <c r="U36" s="205">
        <f t="shared" si="122"/>
        <v>12497843.267922245</v>
      </c>
      <c r="V36" s="205">
        <f t="shared" si="122"/>
        <v>12574628.089913979</v>
      </c>
      <c r="W36" s="205">
        <f t="shared" si="122"/>
        <v>20569917.987555113</v>
      </c>
      <c r="X36" s="205">
        <f t="shared" si="122"/>
        <v>20426428.76277113</v>
      </c>
      <c r="Y36" s="205">
        <f t="shared" si="122"/>
        <v>20837499.049696907</v>
      </c>
      <c r="Z36" s="205">
        <f t="shared" si="122"/>
        <v>30328411.235968001</v>
      </c>
      <c r="AA36" s="205">
        <f t="shared" si="122"/>
        <v>30485129.585358631</v>
      </c>
      <c r="AB36" s="205">
        <f t="shared" si="122"/>
        <v>31380220.487103079</v>
      </c>
      <c r="AC36" s="205">
        <f t="shared" si="122"/>
        <v>42428839.305246696</v>
      </c>
      <c r="AD36" s="205">
        <f t="shared" si="122"/>
        <v>43064498.134054914</v>
      </c>
      <c r="AE36" s="205">
        <f t="shared" si="122"/>
        <v>44488815.23146262</v>
      </c>
      <c r="AF36" s="205">
        <f t="shared" si="122"/>
        <v>57668517.961271159</v>
      </c>
      <c r="AG36" s="205">
        <f t="shared" si="122"/>
        <v>58762679.146258734</v>
      </c>
      <c r="AH36" s="205">
        <f t="shared" si="122"/>
        <v>60487771.298993602</v>
      </c>
      <c r="AI36" s="205">
        <f t="shared" si="122"/>
        <v>62795849.584792711</v>
      </c>
      <c r="AJ36" s="205">
        <f t="shared" si="122"/>
        <v>65207038.372969493</v>
      </c>
      <c r="AK36" s="205">
        <f t="shared" si="122"/>
        <v>67711022.973149776</v>
      </c>
      <c r="AL36" s="205">
        <f t="shared" si="122"/>
        <v>70367177.981865346</v>
      </c>
      <c r="AM36" s="266"/>
      <c r="AO36" s="196">
        <f>NPV(9.44%,E36:AM36)+D36</f>
        <v>87233685.493186489</v>
      </c>
    </row>
    <row r="37" spans="2:41" x14ac:dyDescent="0.3">
      <c r="B37" s="177" t="s">
        <v>4034</v>
      </c>
      <c r="D37" s="196">
        <f>D33</f>
        <v>6512205.4548604637</v>
      </c>
      <c r="E37" s="196">
        <f>E33</f>
        <v>6424425.4548604637</v>
      </c>
      <c r="F37" s="196">
        <f>F33</f>
        <v>6083046.6277579619</v>
      </c>
      <c r="G37" s="196">
        <f>G33</f>
        <v>5891348.3698309641</v>
      </c>
      <c r="H37" s="196">
        <f>H33</f>
        <v>1867284.9886555048</v>
      </c>
      <c r="I37" s="196">
        <f t="shared" ref="I37:AL37" si="123">I33</f>
        <v>321537.54195341479</v>
      </c>
      <c r="J37" s="196">
        <f t="shared" si="123"/>
        <v>-826030.72016406804</v>
      </c>
      <c r="K37" s="196">
        <f t="shared" si="123"/>
        <v>431671.37284078001</v>
      </c>
      <c r="L37" s="196">
        <f t="shared" si="123"/>
        <v>-216932.68802579492</v>
      </c>
      <c r="M37" s="196">
        <f t="shared" si="123"/>
        <v>-558319.52781657875</v>
      </c>
      <c r="N37" s="196">
        <f t="shared" si="123"/>
        <v>3559643.8333732663</v>
      </c>
      <c r="O37" s="196">
        <f t="shared" si="123"/>
        <v>3332022.0246087457</v>
      </c>
      <c r="P37" s="196">
        <f t="shared" si="123"/>
        <v>3100368.5984076625</v>
      </c>
      <c r="Q37" s="196">
        <f t="shared" si="123"/>
        <v>6486971.6534446925</v>
      </c>
      <c r="R37" s="196">
        <f t="shared" si="123"/>
        <v>6857706.6478599682</v>
      </c>
      <c r="S37" s="196">
        <f t="shared" si="123"/>
        <v>6615845.1589861363</v>
      </c>
      <c r="T37" s="196">
        <f t="shared" si="123"/>
        <v>11267144.414614646</v>
      </c>
      <c r="U37" s="196">
        <f t="shared" si="123"/>
        <v>11444283.861341923</v>
      </c>
      <c r="V37" s="196">
        <f t="shared" si="123"/>
        <v>11528690.553566732</v>
      </c>
      <c r="W37" s="196">
        <f t="shared" si="123"/>
        <v>18923153.878644604</v>
      </c>
      <c r="X37" s="196">
        <f t="shared" si="123"/>
        <v>19352167.379166584</v>
      </c>
      <c r="Y37" s="196">
        <f t="shared" si="123"/>
        <v>19764600.441808529</v>
      </c>
      <c r="Z37" s="196">
        <f t="shared" si="123"/>
        <v>28566007.884512849</v>
      </c>
      <c r="AA37" s="196">
        <f t="shared" si="123"/>
        <v>29414284.899218448</v>
      </c>
      <c r="AB37" s="196">
        <f>AB33</f>
        <v>30303162.08802323</v>
      </c>
      <c r="AC37" s="196">
        <f t="shared" si="123"/>
        <v>40580154.959634788</v>
      </c>
      <c r="AD37" s="196">
        <f t="shared" si="123"/>
        <v>42028067.006883763</v>
      </c>
      <c r="AE37" s="196">
        <f t="shared" si="123"/>
        <v>43507100.176431321</v>
      </c>
      <c r="AF37" s="196">
        <f t="shared" si="123"/>
        <v>55961663.445966862</v>
      </c>
      <c r="AG37" s="196">
        <f t="shared" si="123"/>
        <v>58256380.485477075</v>
      </c>
      <c r="AH37" s="196">
        <f t="shared" si="123"/>
        <v>60344615.034675896</v>
      </c>
      <c r="AI37" s="196">
        <f t="shared" si="123"/>
        <v>62609679.872125611</v>
      </c>
      <c r="AJ37" s="196">
        <f t="shared" si="123"/>
        <v>65009770.638728186</v>
      </c>
      <c r="AK37" s="196">
        <f t="shared" si="123"/>
        <v>67505864.568003833</v>
      </c>
      <c r="AL37" s="196">
        <f t="shared" si="123"/>
        <v>70149863.039040431</v>
      </c>
      <c r="AM37" s="196"/>
    </row>
    <row r="38" spans="2:41" s="179" customFormat="1" x14ac:dyDescent="0.3">
      <c r="B38" s="181" t="s">
        <v>4035</v>
      </c>
      <c r="D38" s="183">
        <f>-D18</f>
        <v>0</v>
      </c>
      <c r="E38" s="183">
        <f t="shared" ref="E38:AL38" si="124">-E18</f>
        <v>133000</v>
      </c>
      <c r="F38" s="183">
        <f t="shared" si="124"/>
        <v>591000</v>
      </c>
      <c r="G38" s="183">
        <f t="shared" si="124"/>
        <v>913000</v>
      </c>
      <c r="H38" s="183">
        <f t="shared" si="124"/>
        <v>2711500</v>
      </c>
      <c r="I38" s="183">
        <f t="shared" si="124"/>
        <v>3978000</v>
      </c>
      <c r="J38" s="183">
        <f t="shared" si="124"/>
        <v>3978000</v>
      </c>
      <c r="K38" s="183">
        <f t="shared" si="124"/>
        <v>3798000</v>
      </c>
      <c r="L38" s="183">
        <f t="shared" si="124"/>
        <v>3734000</v>
      </c>
      <c r="M38" s="183">
        <f t="shared" si="124"/>
        <v>2906000</v>
      </c>
      <c r="N38" s="183">
        <f t="shared" si="124"/>
        <v>2106000</v>
      </c>
      <c r="O38" s="183">
        <f t="shared" si="124"/>
        <v>2053000</v>
      </c>
      <c r="P38" s="183">
        <f t="shared" si="124"/>
        <v>1834000</v>
      </c>
      <c r="Q38" s="183">
        <f t="shared" si="124"/>
        <v>1779000</v>
      </c>
      <c r="R38" s="183">
        <f t="shared" si="124"/>
        <v>1159000</v>
      </c>
      <c r="S38" s="183">
        <f t="shared" si="124"/>
        <v>1039000</v>
      </c>
      <c r="T38" s="183">
        <f t="shared" si="124"/>
        <v>1039000</v>
      </c>
      <c r="U38" s="183">
        <f t="shared" si="124"/>
        <v>1039000</v>
      </c>
      <c r="V38" s="183">
        <f t="shared" si="124"/>
        <v>1039000</v>
      </c>
      <c r="W38" s="183">
        <f t="shared" si="124"/>
        <v>1039000</v>
      </c>
      <c r="X38" s="183">
        <f t="shared" si="124"/>
        <v>1039000</v>
      </c>
      <c r="Y38" s="183">
        <f t="shared" si="124"/>
        <v>1039000</v>
      </c>
      <c r="Z38" s="183">
        <f t="shared" si="124"/>
        <v>1039000</v>
      </c>
      <c r="AA38" s="183">
        <f t="shared" si="124"/>
        <v>1004000</v>
      </c>
      <c r="AB38" s="183">
        <f t="shared" si="124"/>
        <v>1004000</v>
      </c>
      <c r="AC38" s="183">
        <f t="shared" si="124"/>
        <v>1004000</v>
      </c>
      <c r="AD38" s="183">
        <f t="shared" si="124"/>
        <v>924000</v>
      </c>
      <c r="AE38" s="183">
        <f t="shared" si="124"/>
        <v>865000</v>
      </c>
      <c r="AF38" s="183">
        <f t="shared" si="124"/>
        <v>697000</v>
      </c>
      <c r="AG38" s="183">
        <f t="shared" si="124"/>
        <v>346500</v>
      </c>
      <c r="AH38" s="183">
        <f t="shared" si="124"/>
        <v>0</v>
      </c>
      <c r="AI38" s="183">
        <f t="shared" si="124"/>
        <v>0</v>
      </c>
      <c r="AJ38" s="183">
        <f t="shared" si="124"/>
        <v>0</v>
      </c>
      <c r="AK38" s="183">
        <f t="shared" si="124"/>
        <v>0</v>
      </c>
      <c r="AL38" s="183">
        <f t="shared" si="124"/>
        <v>0</v>
      </c>
      <c r="AM38" s="183"/>
    </row>
    <row r="39" spans="2:41" s="179" customFormat="1" x14ac:dyDescent="0.3">
      <c r="B39" s="181" t="s">
        <v>4036</v>
      </c>
      <c r="D39" s="183">
        <f>VarCG!E15</f>
        <v>2217070.3116869517</v>
      </c>
      <c r="E39" s="183">
        <f>VarCG!F15</f>
        <v>3716.712328767404</v>
      </c>
      <c r="F39" s="183">
        <f>VarCG!G15</f>
        <v>20316.088183355983</v>
      </c>
      <c r="G39" s="183">
        <f>VarCG!H15</f>
        <v>-1681841.6023499549</v>
      </c>
      <c r="H39" s="183">
        <f>VarCG!I15</f>
        <v>-182923.01763085951</v>
      </c>
      <c r="I39" s="183">
        <f>VarCG!J15</f>
        <v>-22951.844934418797</v>
      </c>
      <c r="J39" s="183">
        <f>VarCG!K15</f>
        <v>-94320.679078148678</v>
      </c>
      <c r="K39" s="183">
        <f>VarCG!L15</f>
        <v>88578.254219576251</v>
      </c>
      <c r="L39" s="183">
        <f>VarCG!M15</f>
        <v>-58570.196783555206</v>
      </c>
      <c r="M39" s="183">
        <f>VarCG!N15</f>
        <v>-96113.986832117662</v>
      </c>
      <c r="N39" s="183">
        <f>VarCG!O15</f>
        <v>272709.31735806912</v>
      </c>
      <c r="O39" s="183">
        <f>VarCG!P15</f>
        <v>-23064.806199823506</v>
      </c>
      <c r="P39" s="183">
        <f>VarCG!Q15</f>
        <v>-37040.007632967085</v>
      </c>
      <c r="Q39" s="183">
        <f>VarCG!R15</f>
        <v>273830.38808523677</v>
      </c>
      <c r="R39" s="183">
        <f>VarCG!S15</f>
        <v>-20487.534705594182</v>
      </c>
      <c r="S39" s="183">
        <f>VarCG!T15</f>
        <v>-29742.04018141143</v>
      </c>
      <c r="T39" s="183">
        <f>VarCG!U15</f>
        <v>382298.56895576976</v>
      </c>
      <c r="U39" s="183">
        <f>VarCG!V15</f>
        <v>14559.406580321491</v>
      </c>
      <c r="V39" s="183">
        <f>VarCG!W15</f>
        <v>6937.5363472476602</v>
      </c>
      <c r="W39" s="183">
        <f>VarCG!X15</f>
        <v>607764.10891050845</v>
      </c>
      <c r="X39" s="183">
        <f>VarCG!Y15</f>
        <v>35261.383604545146</v>
      </c>
      <c r="Y39" s="183">
        <f>VarCG!Z15</f>
        <v>33898.607888378203</v>
      </c>
      <c r="Z39" s="183">
        <f>VarCG!AA15</f>
        <v>723403.35145515203</v>
      </c>
      <c r="AA39" s="183">
        <f>VarCG!AB15</f>
        <v>66844.686140183359</v>
      </c>
      <c r="AB39" s="183">
        <f>VarCG!AC15</f>
        <v>73058.399079848081</v>
      </c>
      <c r="AC39" s="183">
        <f>VarCG!AD15</f>
        <v>844684.34561191127</v>
      </c>
      <c r="AD39" s="183">
        <f>VarCG!AE15</f>
        <v>112431.12717114761</v>
      </c>
      <c r="AE39" s="183">
        <f>VarCG!AF15</f>
        <v>116715.05503129959</v>
      </c>
      <c r="AF39" s="183">
        <f>VarCG!AG15</f>
        <v>1009854.5153042972</v>
      </c>
      <c r="AG39" s="183">
        <f>VarCG!AH15</f>
        <v>159798.66078165919</v>
      </c>
      <c r="AH39" s="183">
        <f>VarCG!AI15</f>
        <v>143156.26431770995</v>
      </c>
      <c r="AI39" s="183">
        <f>VarCG!AJ15</f>
        <v>186169.71266710013</v>
      </c>
      <c r="AJ39" s="183">
        <f>VarCG!AK15</f>
        <v>197267.73424131051</v>
      </c>
      <c r="AK39" s="183">
        <f>VarCG!AL15</f>
        <v>205158.40514594689</v>
      </c>
      <c r="AL39" s="183">
        <f>VarCG!AM15</f>
        <v>217314.9428249225</v>
      </c>
      <c r="AM39" s="183"/>
    </row>
    <row r="40" spans="2:41" s="179" customFormat="1" x14ac:dyDescent="0.3">
      <c r="B40" s="181" t="s">
        <v>4245</v>
      </c>
      <c r="D40" s="183">
        <f>-SAC!D22</f>
        <v>-2360400</v>
      </c>
      <c r="E40" s="183">
        <f>-SAC!E22</f>
        <v>-2360400</v>
      </c>
      <c r="F40" s="183">
        <f>-SAC!F22</f>
        <v>-2360400</v>
      </c>
      <c r="G40" s="183">
        <f>-SAC!G22</f>
        <v>-2360400</v>
      </c>
      <c r="H40" s="183">
        <f>-SAC!H22</f>
        <v>-2360400</v>
      </c>
      <c r="I40" s="183">
        <f>-SAC!I22</f>
        <v>-2360400</v>
      </c>
      <c r="J40" s="183">
        <f>-SAC!J22</f>
        <v>-2360400</v>
      </c>
      <c r="K40" s="183">
        <f>-SAC!K22</f>
        <v>-2360400</v>
      </c>
      <c r="L40" s="183">
        <f>-SAC!L22</f>
        <v>-2360400</v>
      </c>
      <c r="M40" s="183">
        <f>-SAC!M22</f>
        <v>-2360400</v>
      </c>
      <c r="N40" s="183">
        <f>-SAC!N22</f>
        <v>-2360400</v>
      </c>
      <c r="O40" s="183">
        <f>-SAC!O22</f>
        <v>-2360400</v>
      </c>
      <c r="P40" s="183">
        <f>-SAC!P22</f>
        <v>-2360400</v>
      </c>
      <c r="Q40" s="183">
        <f>-SAC!Q22</f>
        <v>-2360400</v>
      </c>
      <c r="R40" s="183">
        <f>-SAC!R22</f>
        <v>-2360400</v>
      </c>
      <c r="S40" s="183">
        <f>-SAC!S22</f>
        <v>0</v>
      </c>
      <c r="T40" s="183">
        <f>-SAC!T22</f>
        <v>0</v>
      </c>
      <c r="U40" s="183">
        <f>-SAC!U22</f>
        <v>0</v>
      </c>
      <c r="V40" s="183">
        <f>-SAC!V22</f>
        <v>0</v>
      </c>
      <c r="W40" s="183">
        <f>-SAC!W22</f>
        <v>0</v>
      </c>
      <c r="X40" s="183">
        <f>-SAC!X22</f>
        <v>0</v>
      </c>
      <c r="Y40" s="183">
        <f>-SAC!Y22</f>
        <v>0</v>
      </c>
      <c r="Z40" s="183">
        <f>-SAC!Z22</f>
        <v>0</v>
      </c>
      <c r="AA40" s="183">
        <f>-SAC!AA22</f>
        <v>0</v>
      </c>
      <c r="AB40" s="183">
        <f>-SAC!AB22</f>
        <v>0</v>
      </c>
      <c r="AC40" s="183">
        <f>-SAC!AC22</f>
        <v>0</v>
      </c>
      <c r="AD40" s="183">
        <f>-SAC!AD22</f>
        <v>0</v>
      </c>
      <c r="AE40" s="183">
        <f>-SAC!AE22</f>
        <v>0</v>
      </c>
      <c r="AF40" s="183">
        <f>-SAC!AF22</f>
        <v>0</v>
      </c>
      <c r="AG40" s="183">
        <f>-SAC!AG22</f>
        <v>0</v>
      </c>
      <c r="AH40" s="183">
        <f>-SAC!AH22</f>
        <v>0</v>
      </c>
      <c r="AI40" s="183">
        <f>-SAC!AI22</f>
        <v>0</v>
      </c>
      <c r="AJ40" s="183">
        <f>-SAC!AJ22</f>
        <v>0</v>
      </c>
      <c r="AK40" s="183">
        <f>-SAC!AK22</f>
        <v>0</v>
      </c>
      <c r="AL40" s="183">
        <f>-SAC!AL22</f>
        <v>0</v>
      </c>
      <c r="AM40" s="183"/>
    </row>
    <row r="41" spans="2:41" s="179" customFormat="1" x14ac:dyDescent="0.3">
      <c r="B41" s="181" t="s">
        <v>4244</v>
      </c>
      <c r="C41" s="443">
        <f>(100%-SAC!G3)</f>
        <v>0.30000000000000004</v>
      </c>
      <c r="D41" s="182">
        <f>-'Cron.FF &amp; Deprec'!D26*$C$41</f>
        <v>-819000.00000000012</v>
      </c>
      <c r="E41" s="182">
        <f>-'Cron.FF &amp; Deprec'!E26*$C$41</f>
        <v>-1669500.0000000002</v>
      </c>
      <c r="F41" s="182">
        <f>-'Cron.FF &amp; Deprec'!F26*$C$41</f>
        <v>-1521000.0000000002</v>
      </c>
      <c r="G41" s="182">
        <f>-'Cron.FF &amp; Deprec'!G26*$C$41</f>
        <v>-5505750.0000000009</v>
      </c>
      <c r="H41" s="182">
        <f>-'Cron.FF &amp; Deprec'!H26*$C$41</f>
        <v>-5658750.0000000009</v>
      </c>
      <c r="I41" s="183">
        <v>0</v>
      </c>
      <c r="J41" s="183">
        <v>0</v>
      </c>
      <c r="K41" s="183">
        <v>0</v>
      </c>
      <c r="L41" s="183">
        <v>0</v>
      </c>
      <c r="M41" s="183">
        <v>0</v>
      </c>
      <c r="N41" s="183">
        <v>0</v>
      </c>
      <c r="O41" s="183">
        <v>0</v>
      </c>
      <c r="P41" s="183">
        <v>0</v>
      </c>
      <c r="Q41" s="183">
        <v>0</v>
      </c>
      <c r="R41" s="183">
        <v>0</v>
      </c>
      <c r="S41" s="183">
        <v>0</v>
      </c>
      <c r="T41" s="183">
        <v>0</v>
      </c>
      <c r="U41" s="183">
        <v>0</v>
      </c>
      <c r="V41" s="183">
        <v>0</v>
      </c>
      <c r="W41" s="183">
        <v>0</v>
      </c>
      <c r="X41" s="183">
        <v>0</v>
      </c>
      <c r="Y41" s="183"/>
      <c r="Z41" s="183"/>
      <c r="AA41" s="183"/>
      <c r="AB41" s="183"/>
      <c r="AC41" s="183"/>
    </row>
    <row r="42" spans="2:41" x14ac:dyDescent="0.3">
      <c r="C42" s="444" t="s">
        <v>4041</v>
      </c>
      <c r="D42" s="445">
        <f>NPV(D44,D36:AL36)</f>
        <v>78064506.340419516</v>
      </c>
      <c r="F42" s="196"/>
      <c r="H42" s="427"/>
      <c r="L42" s="179"/>
      <c r="M42" s="179"/>
      <c r="O42" s="179"/>
      <c r="P42" s="179"/>
      <c r="Q42" s="179"/>
      <c r="R42" s="179"/>
      <c r="S42" s="179"/>
      <c r="T42" s="179"/>
      <c r="U42" s="179"/>
      <c r="V42" s="179"/>
      <c r="W42" s="179"/>
      <c r="X42" s="179"/>
      <c r="Y42" s="179"/>
      <c r="Z42" s="179"/>
      <c r="AA42" s="183"/>
      <c r="AB42" s="179"/>
      <c r="AC42" s="179"/>
      <c r="AD42" s="179"/>
      <c r="AE42" s="179"/>
      <c r="AF42" s="179"/>
      <c r="AG42" s="179"/>
      <c r="AH42" s="179"/>
    </row>
    <row r="43" spans="2:41" x14ac:dyDescent="0.3">
      <c r="C43" s="441"/>
      <c r="D43" s="442"/>
      <c r="H43" s="427"/>
      <c r="L43" s="179"/>
      <c r="M43" s="179"/>
      <c r="O43" s="179"/>
      <c r="P43" s="179"/>
      <c r="Q43" s="179"/>
      <c r="R43" s="179"/>
      <c r="S43" s="179"/>
      <c r="T43" s="179"/>
      <c r="U43" s="179"/>
      <c r="V43" s="179"/>
      <c r="W43" s="179"/>
      <c r="X43" s="179"/>
      <c r="Y43" s="179"/>
      <c r="Z43" s="179"/>
      <c r="AA43" s="183"/>
      <c r="AB43" s="179"/>
      <c r="AC43" s="179"/>
      <c r="AD43" s="179"/>
      <c r="AE43" s="179"/>
      <c r="AF43" s="179"/>
      <c r="AG43" s="179"/>
      <c r="AH43" s="179"/>
    </row>
    <row r="44" spans="2:41" x14ac:dyDescent="0.3">
      <c r="C44" s="177" t="s">
        <v>4039</v>
      </c>
      <c r="D44" s="197">
        <f>TMA!D4</f>
        <v>9.5408232773706261E-2</v>
      </c>
      <c r="E44" s="180" t="s">
        <v>3319</v>
      </c>
      <c r="F44" s="178" t="s">
        <v>3740</v>
      </c>
      <c r="G44" s="178" t="s">
        <v>4040</v>
      </c>
      <c r="H44" s="178" t="s">
        <v>4041</v>
      </c>
      <c r="I44" s="178" t="s">
        <v>4042</v>
      </c>
      <c r="J44" s="198"/>
      <c r="K44" s="178"/>
      <c r="L44" s="178" t="s">
        <v>4229</v>
      </c>
      <c r="M44" s="177" t="s">
        <v>4230</v>
      </c>
      <c r="N44" s="178" t="s">
        <v>4231</v>
      </c>
      <c r="O44" s="178" t="s">
        <v>4232</v>
      </c>
      <c r="P44" s="178"/>
      <c r="AC44" s="196" t="e">
        <f>NPV(12%,#REF!)+#REF!</f>
        <v>#REF!</v>
      </c>
    </row>
    <row r="45" spans="2:41" x14ac:dyDescent="0.3">
      <c r="C45" s="177" t="s">
        <v>4043</v>
      </c>
      <c r="D45" s="197" t="e">
        <f>IRR(D36:AL36)</f>
        <v>#NUM!</v>
      </c>
      <c r="E45" s="180" t="s">
        <v>3319</v>
      </c>
      <c r="F45" s="198">
        <v>1</v>
      </c>
      <c r="G45" s="196">
        <f>D36</f>
        <v>5549875.7665474154</v>
      </c>
      <c r="H45" s="196">
        <f>G45</f>
        <v>5549875.7665474154</v>
      </c>
      <c r="I45" s="198" t="b">
        <f>IF(H79&lt;0,#REF!,IF(H78&lt;0,F79,IF(H77&lt;0,F78,IF(H76&lt;0,F77,IF(H75&lt;0,F76,IF(H74&lt;0,F75,IF(H73&lt;0,F74,IF(H72&lt;0,F73,IF(H71&lt;0,F72,IF(H70&lt;0,F71,IF(H69&lt;0,F70,IF(H68&lt;0,F69,IF(H67&lt;0,F68,IF(H66&lt;0,F67,IF(H65&lt;0,F66,IF(H64&lt;0,F65,IF(H63&lt;0,F64,IF(H62&lt;0,F63,IF(H61&lt;0,F62,IF(H60&lt;0,F61,IF(H59&lt;0,F60,IF(H58&lt;0,F59,IF(H57&lt;0,F58,IF(H56&lt;0,F57,IF(H55&lt;0,F56,IF(H54&lt;0,F55,IF(H53&lt;0,F54,IF(H52&lt;0,F53,IF(H51&lt;0,F52,IF(H50&lt;0,F51,IF(H49&lt;0,F50,IF(H48&lt;0,F49,IF(H47&lt;0,F48,IF(H46&lt;0,F47,IF(H45&lt;0,F46)))))))))))))))))))))))))))))))))))</f>
        <v>0</v>
      </c>
      <c r="J45" s="216" t="s">
        <v>4044</v>
      </c>
      <c r="L45" s="196">
        <f>G45</f>
        <v>5549875.7665474154</v>
      </c>
      <c r="M45" s="196">
        <f>IF(L45&gt;0,L45*(1+D$50)^F45,L45*(1+D$51)^(-F45))</f>
        <v>6215860.8585331058</v>
      </c>
      <c r="N45" s="196">
        <f>SUMIF(M45:M79,"&gt;=0")</f>
        <v>22673203840.731033</v>
      </c>
      <c r="O45" s="196">
        <f>-SUMIF(M45:M79,"&lt;0")</f>
        <v>3397003.4165680856</v>
      </c>
      <c r="AC45" s="196" t="e">
        <f>NPV(12%,#REF!)+#REF!</f>
        <v>#REF!</v>
      </c>
    </row>
    <row r="46" spans="2:41" x14ac:dyDescent="0.3">
      <c r="C46" s="177" t="s">
        <v>4041</v>
      </c>
      <c r="D46" s="233">
        <f>NPV(D44,E36:AL36)+D36</f>
        <v>85512502.932710737</v>
      </c>
      <c r="F46" s="198">
        <v>2</v>
      </c>
      <c r="G46" s="196">
        <f>E36</f>
        <v>2531242.1671892311</v>
      </c>
      <c r="H46" s="196">
        <f>NPV(D44,G46)+G45</f>
        <v>7860650.9565236848</v>
      </c>
      <c r="L46" s="196">
        <f t="shared" ref="L46:L79" si="125">G46</f>
        <v>2531242.1671892311</v>
      </c>
      <c r="M46" s="196">
        <f>IF(L46&gt;0,L46*(1+D$50)^F46,L46*(1+D$51)^(-F46))</f>
        <v>3175190.1745221722</v>
      </c>
      <c r="N46" s="178" t="s">
        <v>4226</v>
      </c>
      <c r="O46" s="196"/>
    </row>
    <row r="47" spans="2:41" ht="17.25" thickBot="1" x14ac:dyDescent="0.35">
      <c r="C47" s="177" t="s">
        <v>4042</v>
      </c>
      <c r="D47" s="198" t="b">
        <f>I45</f>
        <v>0</v>
      </c>
      <c r="E47" s="180" t="s">
        <v>4044</v>
      </c>
      <c r="F47" s="198">
        <v>3</v>
      </c>
      <c r="G47" s="196">
        <f>F36</f>
        <v>2812962.7159413174</v>
      </c>
      <c r="H47" s="196">
        <f>NPV($D$44,$G$46:G47)+$G$45</f>
        <v>10204944.409211302</v>
      </c>
      <c r="I47" s="177" t="s">
        <v>4081</v>
      </c>
      <c r="J47" s="271">
        <v>-1283546.7494838876</v>
      </c>
      <c r="L47" s="196">
        <f t="shared" si="125"/>
        <v>2812962.7159413174</v>
      </c>
      <c r="M47" s="196">
        <f>IF(L47&gt;0,L47*(1+D$50)^F47,L47*(1+D$51)^(-F47))</f>
        <v>3952010.0825820044</v>
      </c>
      <c r="N47" s="437">
        <f>(N45/O45)^(1/35)-1</f>
        <v>0.28608316868289174</v>
      </c>
      <c r="O47" s="196" t="s">
        <v>3319</v>
      </c>
      <c r="AC47" s="196" t="e">
        <f>NPV(12%,#REF!)+#REF!</f>
        <v>#REF!</v>
      </c>
    </row>
    <row r="48" spans="2:41" ht="18" thickTop="1" thickBot="1" x14ac:dyDescent="0.35">
      <c r="F48" s="198">
        <v>4</v>
      </c>
      <c r="G48" s="196">
        <f>G36</f>
        <v>-2743643.2325189915</v>
      </c>
      <c r="H48" s="196">
        <f>NPV($D$44,$G$46:G48)+$G$45</f>
        <v>8117573.4564793836</v>
      </c>
      <c r="I48" s="177" t="s">
        <v>4082</v>
      </c>
      <c r="J48" s="271">
        <f>J47/12</f>
        <v>-106962.22912365729</v>
      </c>
      <c r="L48" s="196">
        <f t="shared" si="125"/>
        <v>-2743643.2325189915</v>
      </c>
      <c r="M48" s="196">
        <f t="shared" ref="M48:M79" si="126">IF(L48&gt;0,L48*(1+D$50)^F48,L48*(1+D$51)^(-F48))</f>
        <v>-1568686.922942095</v>
      </c>
      <c r="O48" s="196"/>
    </row>
    <row r="49" spans="3:15" ht="18" thickTop="1" thickBot="1" x14ac:dyDescent="0.35">
      <c r="C49" s="177" t="s">
        <v>4226</v>
      </c>
      <c r="D49" s="446">
        <f>N47</f>
        <v>0.28608316868289174</v>
      </c>
      <c r="F49" s="198">
        <v>5</v>
      </c>
      <c r="G49" s="196">
        <f>H36</f>
        <v>-3623288.0289753554</v>
      </c>
      <c r="H49" s="196">
        <f>NPV($D$44,$G$46:G49)+$G$45</f>
        <v>5601062.3203994809</v>
      </c>
      <c r="I49" s="177" t="s">
        <v>4079</v>
      </c>
      <c r="J49" s="271">
        <v>50984.23</v>
      </c>
      <c r="L49" s="196">
        <f t="shared" si="125"/>
        <v>-3623288.0289753554</v>
      </c>
      <c r="M49" s="196">
        <f t="shared" si="126"/>
        <v>-1801414.5132913426</v>
      </c>
      <c r="O49" s="196"/>
    </row>
    <row r="50" spans="3:15" ht="18" thickTop="1" thickBot="1" x14ac:dyDescent="0.35">
      <c r="C50" s="180" t="s">
        <v>4227</v>
      </c>
      <c r="D50" s="436">
        <v>0.12</v>
      </c>
      <c r="E50" s="180" t="s">
        <v>3319</v>
      </c>
      <c r="F50" s="198">
        <v>6</v>
      </c>
      <c r="G50" s="196">
        <f>I36</f>
        <v>1916185.6970189959</v>
      </c>
      <c r="H50" s="196">
        <f>NPV($D$44,$G$46:G50)+$G$45</f>
        <v>6816010.0420537442</v>
      </c>
      <c r="I50" s="177" t="s">
        <v>4080</v>
      </c>
      <c r="J50" s="271">
        <f>J48/J49</f>
        <v>-2.0979473284907368</v>
      </c>
      <c r="L50" s="196">
        <f t="shared" si="125"/>
        <v>1916185.6970189959</v>
      </c>
      <c r="M50" s="196">
        <f t="shared" si="126"/>
        <v>3782210.7978012105</v>
      </c>
      <c r="O50" s="196"/>
    </row>
    <row r="51" spans="3:15" ht="17.25" thickTop="1" x14ac:dyDescent="0.3">
      <c r="C51" s="180" t="s">
        <v>4228</v>
      </c>
      <c r="D51" s="436">
        <v>0.15</v>
      </c>
      <c r="E51" s="180" t="s">
        <v>3319</v>
      </c>
      <c r="F51" s="198">
        <v>7</v>
      </c>
      <c r="G51" s="196">
        <f>J36</f>
        <v>697248.60075778328</v>
      </c>
      <c r="H51" s="196">
        <f>NPV($D$44,$G$46:G51)+$G$45</f>
        <v>7219591.9113660539</v>
      </c>
      <c r="L51" s="196">
        <f t="shared" si="125"/>
        <v>697248.60075778328</v>
      </c>
      <c r="M51" s="196">
        <f t="shared" si="126"/>
        <v>1541394.5180351371</v>
      </c>
      <c r="O51" s="196"/>
    </row>
    <row r="52" spans="3:15" x14ac:dyDescent="0.3">
      <c r="F52" s="198">
        <v>8</v>
      </c>
      <c r="G52" s="196">
        <f>K36</f>
        <v>1957849.6270603556</v>
      </c>
      <c r="H52" s="196">
        <f>NPV($D$44,$G$46:G52)+$G$45</f>
        <v>8254132.0093027353</v>
      </c>
      <c r="L52" s="196">
        <f t="shared" si="125"/>
        <v>1957849.6270603556</v>
      </c>
      <c r="M52" s="196">
        <f t="shared" si="126"/>
        <v>4847563.5813239692</v>
      </c>
      <c r="O52" s="196"/>
    </row>
    <row r="53" spans="3:15" x14ac:dyDescent="0.3">
      <c r="F53" s="198">
        <v>9</v>
      </c>
      <c r="G53" s="196">
        <f>L36</f>
        <v>1098097.1151906499</v>
      </c>
      <c r="H53" s="196">
        <f>NPV($D$44,$G$46:G53)+$G$45</f>
        <v>8783835.3909658119</v>
      </c>
      <c r="L53" s="196">
        <f t="shared" si="125"/>
        <v>1098097.1151906499</v>
      </c>
      <c r="M53" s="196">
        <f t="shared" si="126"/>
        <v>3045109.7837525238</v>
      </c>
      <c r="O53" s="196"/>
    </row>
    <row r="54" spans="3:15" x14ac:dyDescent="0.3">
      <c r="F54" s="198">
        <v>10</v>
      </c>
      <c r="G54" s="196">
        <f>M36</f>
        <v>-108833.51464869641</v>
      </c>
      <c r="H54" s="196">
        <f>NPV($D$44,$G$46:G54)+$G$45</f>
        <v>8735908.5671390351</v>
      </c>
      <c r="L54" s="196">
        <f t="shared" si="125"/>
        <v>-108833.51464869641</v>
      </c>
      <c r="M54" s="196">
        <f t="shared" si="126"/>
        <v>-26901.980334647804</v>
      </c>
      <c r="O54" s="196"/>
    </row>
    <row r="55" spans="3:15" x14ac:dyDescent="0.3">
      <c r="F55" s="198">
        <v>11</v>
      </c>
      <c r="G55" s="196">
        <f>N36</f>
        <v>3577953.1507313354</v>
      </c>
      <c r="H55" s="196">
        <f>NPV($D$44,$G$46:G55)+$G$45</f>
        <v>10174291.904057998</v>
      </c>
      <c r="L55" s="196">
        <f t="shared" si="125"/>
        <v>3577953.1507313354</v>
      </c>
      <c r="M55" s="196">
        <f t="shared" si="126"/>
        <v>12446088.908667058</v>
      </c>
      <c r="O55" s="196"/>
    </row>
    <row r="56" spans="3:15" x14ac:dyDescent="0.3">
      <c r="F56" s="198">
        <v>12</v>
      </c>
      <c r="G56" s="196">
        <f>O36</f>
        <v>3001557.2184089227</v>
      </c>
      <c r="H56" s="196">
        <f>NPV($D$44,$G$46:G56)+$G$45</f>
        <v>11275858.149538519</v>
      </c>
      <c r="L56" s="196">
        <f t="shared" si="125"/>
        <v>3001557.2184089227</v>
      </c>
      <c r="M56" s="196">
        <f t="shared" si="126"/>
        <v>11693994.863177251</v>
      </c>
      <c r="O56" s="196"/>
    </row>
    <row r="57" spans="3:15" x14ac:dyDescent="0.3">
      <c r="F57" s="198">
        <v>13</v>
      </c>
      <c r="G57" s="196">
        <f>P36</f>
        <v>2536928.5907746954</v>
      </c>
      <c r="H57" s="196">
        <f>NPV($D$44,$G$46:G57)+$G$45</f>
        <v>12125813.741006415</v>
      </c>
      <c r="L57" s="196">
        <f t="shared" si="125"/>
        <v>2536928.5907746954</v>
      </c>
      <c r="M57" s="196">
        <f t="shared" si="126"/>
        <v>11069870.430599963</v>
      </c>
      <c r="O57" s="196"/>
    </row>
    <row r="58" spans="3:15" x14ac:dyDescent="0.3">
      <c r="F58" s="198">
        <v>14</v>
      </c>
      <c r="G58" s="196">
        <f>Q36</f>
        <v>6179402.0415299293</v>
      </c>
      <c r="H58" s="196">
        <f>NPV($D$44,$G$46:G58)+$G$45</f>
        <v>14015799.116756292</v>
      </c>
      <c r="L58" s="196">
        <f t="shared" si="125"/>
        <v>6179402.0415299293</v>
      </c>
      <c r="M58" s="196">
        <f t="shared" si="126"/>
        <v>30199431.631429724</v>
      </c>
      <c r="O58" s="196"/>
    </row>
    <row r="59" spans="3:15" x14ac:dyDescent="0.3">
      <c r="F59" s="198">
        <v>15</v>
      </c>
      <c r="G59" s="196">
        <f>R36</f>
        <v>5635819.1131543741</v>
      </c>
      <c r="H59" s="196">
        <f>NPV($D$44,$G$46:G59)+$G$45</f>
        <v>15589394.369229279</v>
      </c>
      <c r="L59" s="196">
        <f t="shared" si="125"/>
        <v>5635819.1131543741</v>
      </c>
      <c r="M59" s="196">
        <f t="shared" si="126"/>
        <v>30848026.523128174</v>
      </c>
      <c r="O59" s="196"/>
    </row>
    <row r="60" spans="3:15" x14ac:dyDescent="0.3">
      <c r="F60" s="198">
        <v>16</v>
      </c>
      <c r="G60" s="196">
        <f>S36</f>
        <v>7625103.1188047249</v>
      </c>
      <c r="H60" s="196">
        <f>NPV($D$44,$G$46:G60)+$G$45</f>
        <v>17532989.094309483</v>
      </c>
      <c r="L60" s="196">
        <f t="shared" si="125"/>
        <v>7625103.1188047249</v>
      </c>
      <c r="M60" s="196">
        <f t="shared" si="126"/>
        <v>46744883.742920876</v>
      </c>
      <c r="O60" s="196"/>
    </row>
    <row r="61" spans="3:15" x14ac:dyDescent="0.3">
      <c r="F61" s="198">
        <v>17</v>
      </c>
      <c r="G61" s="196">
        <f>T36</f>
        <v>12688442.983570416</v>
      </c>
      <c r="H61" s="196">
        <f>NPV($D$44,$G$46:G61)+$G$45</f>
        <v>20485505.51923693</v>
      </c>
      <c r="L61" s="196">
        <f t="shared" si="125"/>
        <v>12688442.983570416</v>
      </c>
      <c r="M61" s="196">
        <f t="shared" si="126"/>
        <v>87119368.335479289</v>
      </c>
      <c r="O61" s="196"/>
    </row>
    <row r="62" spans="3:15" x14ac:dyDescent="0.3">
      <c r="F62" s="198">
        <v>18</v>
      </c>
      <c r="G62" s="196">
        <f>U36</f>
        <v>12497843.267922245</v>
      </c>
      <c r="H62" s="196">
        <f>NPV($D$44,$G$46:G62)+$G$45</f>
        <v>23140374.315873466</v>
      </c>
      <c r="L62" s="196">
        <f t="shared" si="125"/>
        <v>12497843.267922245</v>
      </c>
      <c r="M62" s="196">
        <f t="shared" si="126"/>
        <v>96107987.241861552</v>
      </c>
      <c r="O62" s="196"/>
    </row>
    <row r="63" spans="3:15" x14ac:dyDescent="0.3">
      <c r="F63" s="198">
        <v>19</v>
      </c>
      <c r="G63" s="196">
        <f>V36</f>
        <v>12574628.089913979</v>
      </c>
      <c r="H63" s="196">
        <f>NPV($D$44,$G$46:G63)+$G$45</f>
        <v>25578898.896252293</v>
      </c>
      <c r="L63" s="196">
        <f t="shared" si="125"/>
        <v>12574628.089913979</v>
      </c>
      <c r="M63" s="196">
        <f t="shared" si="126"/>
        <v>108302275.08414139</v>
      </c>
      <c r="O63" s="196"/>
    </row>
    <row r="64" spans="3:15" x14ac:dyDescent="0.3">
      <c r="F64" s="198">
        <v>20</v>
      </c>
      <c r="G64" s="196">
        <f>W36</f>
        <v>20569917.987555113</v>
      </c>
      <c r="H64" s="196">
        <f>NPV($D$44,$G$46:G64)+$G$45</f>
        <v>29220467.935834344</v>
      </c>
      <c r="L64" s="196">
        <f t="shared" si="125"/>
        <v>20569917.987555113</v>
      </c>
      <c r="M64" s="196">
        <f t="shared" si="126"/>
        <v>198423457.81258497</v>
      </c>
      <c r="O64" s="196"/>
    </row>
    <row r="65" spans="6:15" x14ac:dyDescent="0.3">
      <c r="F65" s="198">
        <v>21</v>
      </c>
      <c r="G65" s="183">
        <f>X36</f>
        <v>20426428.76277113</v>
      </c>
      <c r="H65" s="183">
        <f>NPV($D$44,$G$46:G65)+$G$45</f>
        <v>32521672.455370866</v>
      </c>
      <c r="L65" s="196">
        <f t="shared" si="125"/>
        <v>20426428.76277113</v>
      </c>
      <c r="M65" s="196">
        <f t="shared" si="126"/>
        <v>220684036.93794289</v>
      </c>
      <c r="O65" s="196"/>
    </row>
    <row r="66" spans="6:15" x14ac:dyDescent="0.3">
      <c r="F66" s="198">
        <v>22</v>
      </c>
      <c r="G66" s="196">
        <f>Y36</f>
        <v>20837499.049696907</v>
      </c>
      <c r="H66" s="196">
        <f>NPV($D$44,$G$46:G66)+$G$45</f>
        <v>35595996.060318783</v>
      </c>
      <c r="L66" s="196">
        <f t="shared" si="125"/>
        <v>20837499.049696907</v>
      </c>
      <c r="M66" s="196">
        <f t="shared" si="126"/>
        <v>252140199.29719079</v>
      </c>
      <c r="O66" s="196"/>
    </row>
    <row r="67" spans="6:15" x14ac:dyDescent="0.3">
      <c r="F67" s="198">
        <v>23</v>
      </c>
      <c r="G67" s="196">
        <f>Z36</f>
        <v>30328411.235968001</v>
      </c>
      <c r="H67" s="196">
        <f>NPV($D$44,$G$46:G67)+$G$45</f>
        <v>39680860.47747995</v>
      </c>
      <c r="L67" s="196">
        <f t="shared" si="125"/>
        <v>30328411.235968001</v>
      </c>
      <c r="M67" s="196">
        <f t="shared" si="126"/>
        <v>411021161.00335008</v>
      </c>
      <c r="O67" s="196"/>
    </row>
    <row r="68" spans="6:15" x14ac:dyDescent="0.3">
      <c r="F68" s="198">
        <v>24</v>
      </c>
      <c r="G68" s="196">
        <f>AA36</f>
        <v>30485129.585358631</v>
      </c>
      <c r="H68" s="196">
        <f>NPV($D$44,$G$46:G68)+$G$45</f>
        <v>43429209.568471134</v>
      </c>
      <c r="L68" s="196">
        <f t="shared" si="125"/>
        <v>30485129.585358631</v>
      </c>
      <c r="M68" s="196">
        <f t="shared" si="126"/>
        <v>462722469.99638021</v>
      </c>
      <c r="O68" s="196"/>
    </row>
    <row r="69" spans="6:15" x14ac:dyDescent="0.3">
      <c r="F69" s="198">
        <v>25</v>
      </c>
      <c r="G69" s="196">
        <f>AB36</f>
        <v>31380220.487103079</v>
      </c>
      <c r="H69" s="196">
        <f>NPV($D$44,$G$46:G69)+$G$45</f>
        <v>46951555.251978353</v>
      </c>
      <c r="L69" s="196">
        <f t="shared" si="125"/>
        <v>31380220.487103079</v>
      </c>
      <c r="M69" s="196">
        <f t="shared" si="126"/>
        <v>533465769.37540144</v>
      </c>
      <c r="O69" s="196"/>
    </row>
    <row r="70" spans="6:15" x14ac:dyDescent="0.3">
      <c r="F70" s="198">
        <v>26</v>
      </c>
      <c r="G70" s="196">
        <f>AC36</f>
        <v>42428839.305246696</v>
      </c>
      <c r="H70" s="196">
        <f>NPV($D$44,$G$46:G70)+$G$45</f>
        <v>51299270.929668635</v>
      </c>
      <c r="L70" s="196">
        <f t="shared" si="125"/>
        <v>42428839.305246696</v>
      </c>
      <c r="M70" s="196">
        <f t="shared" si="126"/>
        <v>807848160.99488211</v>
      </c>
      <c r="O70" s="196"/>
    </row>
    <row r="71" spans="6:15" x14ac:dyDescent="0.3">
      <c r="F71" s="198">
        <v>27</v>
      </c>
      <c r="G71" s="196">
        <f>AD36</f>
        <v>43064498.134054914</v>
      </c>
      <c r="H71" s="196">
        <f>NPV($D$44,$G$46:G71)+$G$45</f>
        <v>55327770.983774185</v>
      </c>
      <c r="L71" s="196">
        <f t="shared" si="125"/>
        <v>43064498.134054914</v>
      </c>
      <c r="M71" s="196">
        <f t="shared" si="126"/>
        <v>918345289.06279039</v>
      </c>
      <c r="O71" s="196"/>
    </row>
    <row r="72" spans="6:15" x14ac:dyDescent="0.3">
      <c r="F72" s="198">
        <v>28</v>
      </c>
      <c r="G72" s="196">
        <f>AE36</f>
        <v>44488815.23146262</v>
      </c>
      <c r="H72" s="196">
        <f>NPV($D$44,$G$46:G72)+$G$45</f>
        <v>59127029.303018019</v>
      </c>
      <c r="L72" s="196">
        <f t="shared" si="125"/>
        <v>44488815.23146262</v>
      </c>
      <c r="M72" s="196">
        <f t="shared" si="126"/>
        <v>1062564923.1395288</v>
      </c>
      <c r="O72" s="196"/>
    </row>
    <row r="73" spans="6:15" x14ac:dyDescent="0.3">
      <c r="F73" s="198">
        <v>29</v>
      </c>
      <c r="G73" s="196">
        <f>AF36</f>
        <v>57668517.961271159</v>
      </c>
      <c r="H73" s="196">
        <f>NPV($D$44,$G$46:G73)+$G$45</f>
        <v>63622868.533689722</v>
      </c>
      <c r="L73" s="196">
        <f t="shared" si="125"/>
        <v>57668517.961271159</v>
      </c>
      <c r="M73" s="196">
        <f t="shared" si="126"/>
        <v>1542628845.4893293</v>
      </c>
      <c r="O73" s="196"/>
    </row>
    <row r="74" spans="6:15" x14ac:dyDescent="0.3">
      <c r="F74" s="198">
        <v>30</v>
      </c>
      <c r="G74" s="196">
        <f>AG36</f>
        <v>58762679.146258734</v>
      </c>
      <c r="H74" s="196">
        <f>NPV($D$44,$G$46:G74)+$G$45</f>
        <v>67804998.929815367</v>
      </c>
      <c r="L74" s="196">
        <f t="shared" si="125"/>
        <v>58762679.146258734</v>
      </c>
      <c r="M74" s="196">
        <f t="shared" si="126"/>
        <v>1760525290.8380005</v>
      </c>
      <c r="O74" s="196"/>
    </row>
    <row r="75" spans="6:15" x14ac:dyDescent="0.3">
      <c r="F75" s="198">
        <v>31</v>
      </c>
      <c r="G75" s="196">
        <f>AH36</f>
        <v>60487771.298993602</v>
      </c>
      <c r="H75" s="196">
        <f>NPV($D$44,$G$46:G75)+$G$45</f>
        <v>71734953.80651851</v>
      </c>
      <c r="L75" s="196">
        <f t="shared" si="125"/>
        <v>60487771.298993602</v>
      </c>
      <c r="M75" s="196">
        <f t="shared" si="126"/>
        <v>2029673987.4715717</v>
      </c>
      <c r="O75" s="196"/>
    </row>
    <row r="76" spans="6:15" x14ac:dyDescent="0.3">
      <c r="F76" s="198">
        <v>32</v>
      </c>
      <c r="G76" s="196">
        <f>AI36</f>
        <v>62795849.584792711</v>
      </c>
      <c r="H76" s="196">
        <f>NPV($D$44,$G$46:G76)+$G$45</f>
        <v>75459513.342667401</v>
      </c>
      <c r="L76" s="196">
        <f t="shared" si="125"/>
        <v>62795849.584792711</v>
      </c>
      <c r="M76" s="196">
        <f t="shared" si="126"/>
        <v>2359976432.4035878</v>
      </c>
      <c r="O76" s="196"/>
    </row>
    <row r="77" spans="6:15" x14ac:dyDescent="0.3">
      <c r="F77" s="198">
        <v>33</v>
      </c>
      <c r="G77" s="196">
        <f>AJ36</f>
        <v>65207038.372969493</v>
      </c>
      <c r="H77" s="196">
        <f>NPV($D$44,$G$46:G77)+$G$45</f>
        <v>78990226.655439436</v>
      </c>
      <c r="L77" s="196">
        <f t="shared" si="125"/>
        <v>65207038.372969493</v>
      </c>
      <c r="M77" s="196">
        <f t="shared" si="126"/>
        <v>2744664237.8611698</v>
      </c>
      <c r="O77" s="196"/>
    </row>
    <row r="78" spans="6:15" x14ac:dyDescent="0.3">
      <c r="F78" s="198">
        <v>34</v>
      </c>
      <c r="G78" s="196">
        <f>AK36</f>
        <v>67711022.973149776</v>
      </c>
      <c r="H78" s="196">
        <f>NPV($D$44,$G$46:G78)+$G$45</f>
        <v>82337193.067547813</v>
      </c>
      <c r="L78" s="196">
        <f t="shared" si="125"/>
        <v>67711022.973149776</v>
      </c>
      <c r="M78" s="196">
        <f t="shared" si="126"/>
        <v>3192068084.1915302</v>
      </c>
      <c r="O78" s="196"/>
    </row>
    <row r="79" spans="6:15" x14ac:dyDescent="0.3">
      <c r="F79" s="198">
        <v>35</v>
      </c>
      <c r="G79" s="196">
        <f>AL36</f>
        <v>70367177.981865346</v>
      </c>
      <c r="H79" s="196">
        <f>NPV($D$44,$G$46:G79)+$G$45</f>
        <v>85512502.932710737</v>
      </c>
      <c r="L79" s="196">
        <f t="shared" si="125"/>
        <v>70367177.981865346</v>
      </c>
      <c r="M79" s="196">
        <f t="shared" si="126"/>
        <v>3715360228.2978373</v>
      </c>
      <c r="O79" s="196"/>
    </row>
    <row r="80" spans="6:15" x14ac:dyDescent="0.3">
      <c r="F80" s="198" t="s">
        <v>4066</v>
      </c>
      <c r="L80" s="196"/>
      <c r="M80" s="196"/>
      <c r="O80" s="196"/>
    </row>
  </sheetData>
  <mergeCells count="3">
    <mergeCell ref="A2:A4"/>
    <mergeCell ref="B3:B4"/>
    <mergeCell ref="B35:B36"/>
  </mergeCells>
  <pageMargins left="0.511811024" right="0.511811024" top="0.78740157499999996" bottom="0.78740157499999996" header="0.31496062000000002" footer="0.31496062000000002"/>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1911D-1782-46C5-8BAD-7FF0F571BCD5}">
  <sheetPr codeName="Planilha26"/>
  <dimension ref="A1:BW5043"/>
  <sheetViews>
    <sheetView topLeftCell="BG1" workbookViewId="0">
      <selection activeCell="AT5003" sqref="A5003:XFD5003"/>
    </sheetView>
  </sheetViews>
  <sheetFormatPr defaultRowHeight="16.5" x14ac:dyDescent="0.3"/>
  <cols>
    <col min="1" max="1" width="4" style="180" customWidth="1"/>
    <col min="2" max="2" width="30.28515625" style="180" customWidth="1"/>
    <col min="3" max="3" width="9.140625" style="180"/>
    <col min="4" max="4" width="16.7109375" style="180" bestFit="1" customWidth="1"/>
    <col min="5" max="5" width="14.7109375" style="180" customWidth="1"/>
    <col min="6" max="6" width="15.85546875" style="180" customWidth="1"/>
    <col min="7" max="7" width="15.7109375" style="180" customWidth="1"/>
    <col min="8" max="8" width="15.85546875" style="180" customWidth="1"/>
    <col min="9" max="9" width="14.7109375" style="180" bestFit="1" customWidth="1"/>
    <col min="10" max="11" width="14.140625" style="180" bestFit="1" customWidth="1"/>
    <col min="12" max="12" width="17" style="180" customWidth="1"/>
    <col min="13" max="13" width="15.140625" style="180" bestFit="1" customWidth="1"/>
    <col min="14" max="14" width="17" style="180" bestFit="1" customWidth="1"/>
    <col min="15" max="17" width="14.140625" style="180" bestFit="1" customWidth="1"/>
    <col min="18" max="18" width="15.140625" style="180" bestFit="1" customWidth="1"/>
    <col min="19" max="33" width="14.140625" style="180" bestFit="1" customWidth="1"/>
    <col min="34" max="38" width="14.5703125" style="180" bestFit="1" customWidth="1"/>
    <col min="39" max="39" width="13.5703125" style="180" bestFit="1" customWidth="1"/>
    <col min="40" max="40" width="9.140625" style="180"/>
    <col min="41" max="41" width="15.140625" style="180" bestFit="1" customWidth="1"/>
    <col min="42" max="43" width="9.140625" style="180"/>
    <col min="44" max="45" width="13.5703125" style="180" bestFit="1" customWidth="1"/>
    <col min="46" max="46" width="11" style="180" bestFit="1" customWidth="1"/>
    <col min="47" max="48" width="9.140625" style="180"/>
    <col min="49" max="49" width="13.5703125" style="180" bestFit="1" customWidth="1"/>
    <col min="50" max="50" width="16" style="180" bestFit="1" customWidth="1"/>
    <col min="51" max="51" width="17" style="180" bestFit="1" customWidth="1"/>
    <col min="52" max="52" width="12.42578125" style="180" bestFit="1" customWidth="1"/>
    <col min="53" max="54" width="9.140625" style="180"/>
    <col min="55" max="55" width="12.85546875" style="180" customWidth="1"/>
    <col min="56" max="56" width="9.140625" style="180" customWidth="1"/>
    <col min="57" max="57" width="12.42578125" style="180" bestFit="1" customWidth="1"/>
    <col min="58" max="58" width="9.140625" style="180"/>
    <col min="59" max="59" width="14" style="180" customWidth="1"/>
    <col min="60" max="60" width="9.140625" style="180"/>
    <col min="61" max="61" width="15.140625" style="180" bestFit="1" customWidth="1"/>
    <col min="62" max="62" width="9.140625" style="180"/>
    <col min="63" max="63" width="15.140625" style="180" bestFit="1" customWidth="1"/>
    <col min="64" max="65" width="9.140625" style="180"/>
    <col min="66" max="66" width="10.7109375" style="180" customWidth="1"/>
    <col min="67" max="67" width="11.28515625" style="180" bestFit="1" customWidth="1"/>
    <col min="68" max="68" width="9.140625" style="180"/>
    <col min="69" max="69" width="11.28515625" style="180" bestFit="1" customWidth="1"/>
    <col min="70" max="70" width="9.140625" style="180"/>
    <col min="71" max="71" width="12.28515625" style="180" bestFit="1" customWidth="1"/>
    <col min="72" max="72" width="9.140625" style="180"/>
    <col min="73" max="73" width="12.28515625" style="180" bestFit="1" customWidth="1"/>
    <col min="74" max="16384" width="9.140625" style="180"/>
  </cols>
  <sheetData>
    <row r="1" spans="1:75" x14ac:dyDescent="0.3">
      <c r="E1" s="416">
        <f ca="1">E4/D4-1</f>
        <v>-6.7746083933106771E-2</v>
      </c>
      <c r="F1" s="416">
        <f t="shared" ref="F1:AL1" ca="1" si="0">F4/E4-1</f>
        <v>0.12418112527565883</v>
      </c>
      <c r="G1" s="416">
        <f t="shared" ca="1" si="0"/>
        <v>-0.20199728948826956</v>
      </c>
      <c r="H1" s="416">
        <f t="shared" ca="1" si="0"/>
        <v>0.64710508594335514</v>
      </c>
      <c r="I1" s="416">
        <f t="shared" ca="1" si="0"/>
        <v>0.2588945700023384</v>
      </c>
      <c r="J1" s="416">
        <f t="shared" ca="1" si="0"/>
        <v>0.22285167108338566</v>
      </c>
      <c r="K1" s="416">
        <f t="shared" ca="1" si="0"/>
        <v>0.11627002083806559</v>
      </c>
      <c r="L1" s="416">
        <f t="shared" ca="1" si="0"/>
        <v>0.22419776619859166</v>
      </c>
      <c r="M1" s="416">
        <f t="shared" ca="1" si="0"/>
        <v>0.27356045694734354</v>
      </c>
      <c r="N1" s="416">
        <f t="shared" ca="1" si="0"/>
        <v>-5.4436246765516061E-2</v>
      </c>
      <c r="O1" s="416">
        <f t="shared" ca="1" si="0"/>
        <v>0.25080459445914904</v>
      </c>
      <c r="P1" s="416">
        <f t="shared" ca="1" si="0"/>
        <v>0.20396472532587029</v>
      </c>
      <c r="Q1" s="416">
        <f t="shared" ca="1" si="0"/>
        <v>0.14637912240210738</v>
      </c>
      <c r="R1" s="416">
        <f t="shared" ca="1" si="0"/>
        <v>2.6976341287662686E-2</v>
      </c>
      <c r="S1" s="416">
        <f t="shared" ca="1" si="0"/>
        <v>0.39504587143356762</v>
      </c>
      <c r="T1" s="416">
        <f t="shared" ca="1" si="0"/>
        <v>-8.1287958527941795E-2</v>
      </c>
      <c r="U1" s="416">
        <f t="shared" ca="1" si="0"/>
        <v>0.29671843191794012</v>
      </c>
      <c r="V1" s="416">
        <f t="shared" ca="1" si="0"/>
        <v>7.1723823831370437E-2</v>
      </c>
      <c r="W1" s="416">
        <f t="shared" ca="1" si="0"/>
        <v>0.13584316351872161</v>
      </c>
      <c r="X1" s="416">
        <f t="shared" ca="1" si="0"/>
        <v>-7.5971907783236925E-2</v>
      </c>
      <c r="Y1" s="416">
        <f t="shared" ca="1" si="0"/>
        <v>-2.0109489344161124E-2</v>
      </c>
      <c r="Z1" s="416">
        <f t="shared" ca="1" si="0"/>
        <v>0.10724690243568391</v>
      </c>
      <c r="AA1" s="416">
        <f t="shared" ca="1" si="0"/>
        <v>7.8813841458798439E-2</v>
      </c>
      <c r="AB1" s="416">
        <f t="shared" ca="1" si="0"/>
        <v>7.2719133362806776E-2</v>
      </c>
      <c r="AC1" s="416">
        <f t="shared" ca="1" si="0"/>
        <v>-2.5698440177647219E-2</v>
      </c>
      <c r="AD1" s="416">
        <f t="shared" ca="1" si="0"/>
        <v>-0.10053857723908499</v>
      </c>
      <c r="AE1" s="416">
        <f t="shared" ca="1" si="0"/>
        <v>0.26293232381881815</v>
      </c>
      <c r="AF1" s="416">
        <f t="shared" ca="1" si="0"/>
        <v>1.5410213199657852E-2</v>
      </c>
      <c r="AG1" s="416">
        <f t="shared" ca="1" si="0"/>
        <v>4.4278573250691622E-2</v>
      </c>
      <c r="AH1" s="416">
        <f t="shared" ca="1" si="0"/>
        <v>-7.421952920448871E-2</v>
      </c>
      <c r="AI1" s="416">
        <f t="shared" ca="1" si="0"/>
        <v>0.1101207518967795</v>
      </c>
      <c r="AJ1" s="416">
        <f t="shared" ca="1" si="0"/>
        <v>-5.074543613014626E-2</v>
      </c>
      <c r="AK1" s="416">
        <f t="shared" ca="1" si="0"/>
        <v>0.22240647043418482</v>
      </c>
      <c r="AL1" s="416">
        <f t="shared" ca="1" si="0"/>
        <v>-0.11765676560401683</v>
      </c>
      <c r="BO1" s="482" t="s">
        <v>4274</v>
      </c>
    </row>
    <row r="2" spans="1:75" x14ac:dyDescent="0.3">
      <c r="A2" s="558" t="s">
        <v>4013</v>
      </c>
      <c r="B2" s="199" t="s">
        <v>4014</v>
      </c>
      <c r="C2" s="184" t="s">
        <v>4045</v>
      </c>
      <c r="D2" s="178">
        <v>2025</v>
      </c>
      <c r="E2" s="178">
        <v>2026</v>
      </c>
      <c r="F2" s="178">
        <v>2027</v>
      </c>
      <c r="G2" s="178">
        <v>2028</v>
      </c>
      <c r="H2" s="178">
        <v>2029</v>
      </c>
      <c r="I2" s="178">
        <v>2030</v>
      </c>
      <c r="J2" s="178">
        <v>2031</v>
      </c>
      <c r="K2" s="178">
        <v>2032</v>
      </c>
      <c r="L2" s="178">
        <v>2033</v>
      </c>
      <c r="M2" s="178">
        <v>2034</v>
      </c>
      <c r="N2" s="178">
        <v>2035</v>
      </c>
      <c r="O2" s="178">
        <v>2036</v>
      </c>
      <c r="P2" s="178">
        <v>2037</v>
      </c>
      <c r="Q2" s="178">
        <v>2038</v>
      </c>
      <c r="R2" s="178">
        <v>2039</v>
      </c>
      <c r="S2" s="178">
        <v>2040</v>
      </c>
      <c r="T2" s="178">
        <v>2041</v>
      </c>
      <c r="U2" s="178">
        <v>2042</v>
      </c>
      <c r="V2" s="178">
        <v>2043</v>
      </c>
      <c r="W2" s="178">
        <v>2044</v>
      </c>
      <c r="X2" s="178">
        <v>2045</v>
      </c>
      <c r="Y2" s="178">
        <v>2046</v>
      </c>
      <c r="Z2" s="178">
        <v>2047</v>
      </c>
      <c r="AA2" s="178">
        <v>2048</v>
      </c>
      <c r="AB2" s="178">
        <v>2049</v>
      </c>
      <c r="AC2" s="178">
        <v>2050</v>
      </c>
      <c r="AD2" s="178">
        <v>2051</v>
      </c>
      <c r="AE2" s="178">
        <v>2052</v>
      </c>
      <c r="AF2" s="178">
        <v>2053</v>
      </c>
      <c r="AG2" s="178">
        <v>2054</v>
      </c>
      <c r="AH2" s="178">
        <v>2055</v>
      </c>
      <c r="AI2" s="178">
        <v>2056</v>
      </c>
      <c r="AJ2" s="178">
        <v>2057</v>
      </c>
      <c r="AK2" s="178">
        <v>2058</v>
      </c>
      <c r="AL2" s="178">
        <v>2059</v>
      </c>
      <c r="AM2" s="178"/>
      <c r="AN2" s="177" t="s">
        <v>4039</v>
      </c>
      <c r="AO2" s="197">
        <f>[2]TMA!D4</f>
        <v>9.5408232773706261E-2</v>
      </c>
      <c r="AP2" s="180" t="s">
        <v>3319</v>
      </c>
      <c r="AQ2" s="178" t="s">
        <v>3740</v>
      </c>
      <c r="AR2" s="178" t="s">
        <v>4040</v>
      </c>
      <c r="AS2" s="178" t="s">
        <v>4041</v>
      </c>
      <c r="AT2" s="178" t="s">
        <v>4042</v>
      </c>
      <c r="AV2" s="178" t="s">
        <v>3740</v>
      </c>
      <c r="AW2" s="178" t="s">
        <v>4229</v>
      </c>
      <c r="AX2" s="177" t="s">
        <v>4230</v>
      </c>
      <c r="AY2" s="178" t="s">
        <v>4231</v>
      </c>
      <c r="AZ2" s="178" t="s">
        <v>4232</v>
      </c>
      <c r="BA2" s="413" t="s">
        <v>4203</v>
      </c>
      <c r="BD2" s="476" t="s">
        <v>4260</v>
      </c>
      <c r="BE2" s="472" t="s">
        <v>4253</v>
      </c>
      <c r="BF2" s="472" t="s">
        <v>4254</v>
      </c>
      <c r="BG2" s="472" t="s">
        <v>4255</v>
      </c>
      <c r="BH2" s="472" t="s">
        <v>4258</v>
      </c>
      <c r="BI2" s="472" t="s">
        <v>4256</v>
      </c>
      <c r="BJ2" s="472" t="s">
        <v>4259</v>
      </c>
      <c r="BK2" s="472" t="s">
        <v>4041</v>
      </c>
      <c r="BL2" s="472" t="s">
        <v>4226</v>
      </c>
      <c r="BM2" s="472" t="s">
        <v>4257</v>
      </c>
      <c r="BO2" s="472" t="s">
        <v>4253</v>
      </c>
      <c r="BP2" s="472" t="s">
        <v>4254</v>
      </c>
      <c r="BQ2" s="472" t="s">
        <v>4255</v>
      </c>
      <c r="BR2" s="472" t="s">
        <v>4258</v>
      </c>
      <c r="BS2" s="472" t="s">
        <v>4256</v>
      </c>
      <c r="BT2" s="472" t="s">
        <v>4259</v>
      </c>
      <c r="BU2" s="472" t="s">
        <v>4041</v>
      </c>
      <c r="BV2" s="472" t="s">
        <v>4226</v>
      </c>
      <c r="BW2" s="472" t="s">
        <v>4257</v>
      </c>
    </row>
    <row r="3" spans="1:75" s="177" customFormat="1" x14ac:dyDescent="0.3">
      <c r="A3" s="558"/>
      <c r="B3" s="559" t="s">
        <v>4015</v>
      </c>
      <c r="C3" s="200"/>
      <c r="D3" s="201" t="s">
        <v>3701</v>
      </c>
      <c r="E3" s="201" t="s">
        <v>3702</v>
      </c>
      <c r="F3" s="201" t="s">
        <v>3703</v>
      </c>
      <c r="G3" s="201" t="s">
        <v>3704</v>
      </c>
      <c r="H3" s="201" t="s">
        <v>3705</v>
      </c>
      <c r="I3" s="201" t="s">
        <v>3706</v>
      </c>
      <c r="J3" s="201" t="s">
        <v>3707</v>
      </c>
      <c r="K3" s="201" t="s">
        <v>3708</v>
      </c>
      <c r="L3" s="201" t="s">
        <v>3709</v>
      </c>
      <c r="M3" s="201" t="s">
        <v>3710</v>
      </c>
      <c r="N3" s="201" t="s">
        <v>3711</v>
      </c>
      <c r="O3" s="201" t="s">
        <v>3712</v>
      </c>
      <c r="P3" s="201" t="s">
        <v>3713</v>
      </c>
      <c r="Q3" s="201" t="s">
        <v>3714</v>
      </c>
      <c r="R3" s="201" t="s">
        <v>3715</v>
      </c>
      <c r="S3" s="201" t="s">
        <v>3716</v>
      </c>
      <c r="T3" s="201" t="s">
        <v>3717</v>
      </c>
      <c r="U3" s="201" t="s">
        <v>3718</v>
      </c>
      <c r="V3" s="201" t="s">
        <v>3719</v>
      </c>
      <c r="W3" s="201" t="s">
        <v>3720</v>
      </c>
      <c r="X3" s="201" t="s">
        <v>3721</v>
      </c>
      <c r="Y3" s="201" t="s">
        <v>3722</v>
      </c>
      <c r="Z3" s="201" t="s">
        <v>3723</v>
      </c>
      <c r="AA3" s="201" t="s">
        <v>3724</v>
      </c>
      <c r="AB3" s="201" t="s">
        <v>3725</v>
      </c>
      <c r="AC3" s="201" t="s">
        <v>3726</v>
      </c>
      <c r="AD3" s="201" t="s">
        <v>3727</v>
      </c>
      <c r="AE3" s="201" t="s">
        <v>3728</v>
      </c>
      <c r="AF3" s="201" t="s">
        <v>3729</v>
      </c>
      <c r="AG3" s="201" t="s">
        <v>3730</v>
      </c>
      <c r="AH3" s="201" t="s">
        <v>3731</v>
      </c>
      <c r="AI3" s="201" t="s">
        <v>3732</v>
      </c>
      <c r="AJ3" s="201" t="s">
        <v>3733</v>
      </c>
      <c r="AK3" s="201" t="s">
        <v>3734</v>
      </c>
      <c r="AL3" s="201" t="s">
        <v>3735</v>
      </c>
      <c r="AM3" s="262"/>
      <c r="AN3" s="177" t="s">
        <v>4043</v>
      </c>
      <c r="AO3" s="197" t="e">
        <f ca="1">IRR(D36:AL36)</f>
        <v>#NUM!</v>
      </c>
      <c r="AP3" s="180" t="s">
        <v>3319</v>
      </c>
      <c r="AQ3" s="198">
        <v>1</v>
      </c>
      <c r="AR3" s="196">
        <f ca="1">D36</f>
        <v>5573489.1698969118</v>
      </c>
      <c r="AS3" s="196">
        <f ca="1">AR3</f>
        <v>5573489.1698969118</v>
      </c>
      <c r="AT3" s="198" t="b">
        <f ca="1">IF(AS37&lt;0,#REF!,IF(AS36&lt;0,AQ37,IF(AS35&lt;0,AQ36,IF(AS34&lt;0,AQ35,IF(AS33&lt;0,AQ34,IF(AS32&lt;0,AQ33,IF(AS31&lt;0,AQ32,IF(AS30&lt;0,AQ31,IF(AS29&lt;0,AQ30,IF(AS28&lt;0,AQ29,IF(AS27&lt;0,AQ28,IF(AS26&lt;0,AQ27,IF(AS25&lt;0,AQ26,IF(AS24&lt;0,AQ25,IF(AS23&lt;0,AQ24,IF(AS22&lt;0,AQ23,IF(AS21&lt;0,AQ22,IF(AS20&lt;0,AQ21,IF(AS19&lt;0,AQ20,IF(AS18&lt;0,AQ19,IF(AS17&lt;0,AQ18,IF(AS16&lt;0,AQ17,IF(AS15&lt;0,AQ16,IF(AS14&lt;0,AQ15,IF(AS13&lt;0,AQ14,IF(AS12&lt;0,AQ13,IF(AS11&lt;0,AQ12,IF(AS10&lt;0,AQ11,IF(AS9&lt;0,AQ10,IF(AS8&lt;0,AQ9,IF(AS7&lt;0,AQ8,IF(AS6&lt;0,AQ7,IF(AS5&lt;0,AQ6,IF(AS4&lt;0,AQ5,IF(AS3&lt;0,AQ4)))))))))))))))))))))))))))))))))))</f>
        <v>0</v>
      </c>
      <c r="AU3" s="460"/>
      <c r="AV3" s="461">
        <v>1</v>
      </c>
      <c r="AW3" s="464">
        <f ca="1">AR3</f>
        <v>5573489.1698969118</v>
      </c>
      <c r="AX3" s="464">
        <f t="shared" ref="AX3:AX36" ca="1" si="1">IF(AW3&gt;0,AW3*(1+AO$8)^AQ3,AW3*(1+AO$9)^(-AQ3))</f>
        <v>6242307.8702845415</v>
      </c>
      <c r="AY3" s="196">
        <f ca="1">SUMIF(AX3:AX37,"&gt;=0")</f>
        <v>18899515853.822372</v>
      </c>
      <c r="AZ3" s="196">
        <f ca="1">-SUMIF(AX3:AX37,"&lt;0")</f>
        <v>5502669.5079115806</v>
      </c>
      <c r="BA3" s="415" t="s">
        <v>4204</v>
      </c>
      <c r="BD3" s="180">
        <v>5000</v>
      </c>
      <c r="BE3" s="473">
        <f ca="1">AY21</f>
        <v>4265295.9837395139</v>
      </c>
      <c r="BF3" s="474">
        <f ca="1">AY10</f>
        <v>3.5176076511905796E-2</v>
      </c>
      <c r="BG3" s="473">
        <f ca="1">AY23</f>
        <v>11644859.283729475</v>
      </c>
      <c r="BH3" s="474">
        <f ca="1">AY14</f>
        <v>7.6456594768290032E-2</v>
      </c>
      <c r="BI3" s="473">
        <f ca="1">AY25</f>
        <v>11606856.084415695</v>
      </c>
      <c r="BJ3" s="474">
        <f ca="1">AY18</f>
        <v>8.5317121639457039E-2</v>
      </c>
      <c r="BK3" s="473">
        <f ca="1">AO4</f>
        <v>84456697.809186444</v>
      </c>
      <c r="BL3" s="474">
        <f ca="1">AO7</f>
        <v>0.26190036004797523</v>
      </c>
      <c r="BM3" s="475">
        <f ca="1">AO12</f>
        <v>11.815195018568524</v>
      </c>
      <c r="BN3" s="485" t="s">
        <v>4092</v>
      </c>
      <c r="BO3" s="482">
        <f>AVERAGE(BE4:BE5003)</f>
        <v>5158039.1856402531</v>
      </c>
      <c r="BP3" s="483">
        <f>AVERAGE(BF4:BF5003)</f>
        <v>4.1329210458030119E-2</v>
      </c>
      <c r="BQ3" s="482">
        <f t="shared" ref="BQ3:BW3" si="2">AVERAGE(BG4:BG5003)</f>
        <v>8671771.1206245441</v>
      </c>
      <c r="BR3" s="483">
        <f t="shared" si="2"/>
        <v>6.5337825292313856E-2</v>
      </c>
      <c r="BS3" s="482">
        <f t="shared" si="2"/>
        <v>16558519.361475253</v>
      </c>
      <c r="BT3" s="483">
        <f t="shared" si="2"/>
        <v>0.10970232152840877</v>
      </c>
      <c r="BU3" s="482">
        <f t="shared" si="2"/>
        <v>89715513.094915077</v>
      </c>
      <c r="BV3" s="483">
        <f t="shared" si="2"/>
        <v>0.27025006527056505</v>
      </c>
      <c r="BW3" s="484">
        <f t="shared" si="2"/>
        <v>8.0984492643400401</v>
      </c>
    </row>
    <row r="4" spans="1:75" x14ac:dyDescent="0.3">
      <c r="A4" s="558"/>
      <c r="B4" s="559"/>
      <c r="C4" s="200"/>
      <c r="D4" s="202">
        <f ca="1">Receitas_Cen!F85</f>
        <v>22333635.887723468</v>
      </c>
      <c r="E4" s="202">
        <f ca="1">Receitas_Cen!G85</f>
        <v>20820619.516342308</v>
      </c>
      <c r="F4" s="202">
        <f ca="1">Receitas_Cen!H85</f>
        <v>23406147.47681804</v>
      </c>
      <c r="G4" s="202">
        <f ca="1">Receitas_Cen!I85</f>
        <v>18678169.129138097</v>
      </c>
      <c r="H4" s="202">
        <f ca="1">Receitas_Cen!J85</f>
        <v>30764907.368713528</v>
      </c>
      <c r="I4" s="202">
        <f ca="1">Receitas_Cen!K85</f>
        <v>38729774.833098389</v>
      </c>
      <c r="J4" s="202">
        <f ca="1">Receitas_Cen!L85</f>
        <v>47360769.875337616</v>
      </c>
      <c r="K4" s="202">
        <f ca="1">Receitas_Cen!M85</f>
        <v>52867407.575649947</v>
      </c>
      <c r="L4" s="202">
        <f ca="1">Receitas_Cen!N85</f>
        <v>64720162.258821167</v>
      </c>
      <c r="M4" s="202">
        <f ca="1">Receitas_Cen!O85</f>
        <v>82425039.420050502</v>
      </c>
      <c r="N4" s="202">
        <f ca="1">Receitas_Cen!P85</f>
        <v>77938129.634523243</v>
      </c>
      <c r="O4" s="202">
        <f ca="1">Receitas_Cen!Q85</f>
        <v>97485370.630414426</v>
      </c>
      <c r="P4" s="202">
        <f ca="1">Receitas_Cen!R85</f>
        <v>117368947.47433756</v>
      </c>
      <c r="Q4" s="202">
        <f ca="1">Receitas_Cen!S85</f>
        <v>134549311.00289014</v>
      </c>
      <c r="R4" s="202">
        <f ca="1">Receitas_Cen!T85</f>
        <v>138178959.13652396</v>
      </c>
      <c r="S4" s="202">
        <f ca="1">Receitas_Cen!U85</f>
        <v>192765986.4623954</v>
      </c>
      <c r="T4" s="202">
        <f ca="1">Receitas_Cen!V85</f>
        <v>177096432.94924241</v>
      </c>
      <c r="U4" s="202">
        <f ca="1">Receitas_Cen!W85</f>
        <v>229644208.83220226</v>
      </c>
      <c r="V4" s="202">
        <f ca="1">Receitas_Cen!X85</f>
        <v>246115169.61037758</v>
      </c>
      <c r="W4" s="202">
        <f ca="1">Receitas_Cen!Y85</f>
        <v>279548232.84019798</v>
      </c>
      <c r="X4" s="202">
        <f ca="1">Receitas_Cen!Z85</f>
        <v>258310420.27389562</v>
      </c>
      <c r="Y4" s="202">
        <f ca="1">Receitas_Cen!AA85</f>
        <v>253115929.62991193</v>
      </c>
      <c r="Z4" s="202">
        <f ca="1">Receitas_Cen!AB85</f>
        <v>280261829.03984851</v>
      </c>
      <c r="AA4" s="202">
        <f ca="1">Receitas_Cen!AC85</f>
        <v>302350340.40074801</v>
      </c>
      <c r="AB4" s="202">
        <f ca="1">Receitas_Cen!AD85</f>
        <v>324336995.12664002</v>
      </c>
      <c r="AC4" s="202">
        <f ca="1">Receitas_Cen!AE85</f>
        <v>316002040.2599802</v>
      </c>
      <c r="AD4" s="202">
        <f ca="1">Receitas_Cen!AF85</f>
        <v>284231644.72759372</v>
      </c>
      <c r="AE4" s="202">
        <f ca="1">Receitas_Cen!AG85</f>
        <v>358965331.57866466</v>
      </c>
      <c r="AF4" s="202">
        <f ca="1">Receitas_Cen!AH85</f>
        <v>364497063.86957777</v>
      </c>
      <c r="AG4" s="202">
        <f ca="1">Receitas_Cen!AI85</f>
        <v>380636473.81178886</v>
      </c>
      <c r="AH4" s="202">
        <f ca="1">Receitas_Cen!AJ85</f>
        <v>352385813.92742121</v>
      </c>
      <c r="AI4" s="202">
        <f ca="1">Receitas_Cen!AK85</f>
        <v>391190804.71486747</v>
      </c>
      <c r="AJ4" s="202">
        <f ca="1">Receitas_Cen!AL85</f>
        <v>371339656.71950865</v>
      </c>
      <c r="AK4" s="202">
        <f ca="1">Receitas_Cen!AM85</f>
        <v>453927999.10273641</v>
      </c>
      <c r="AL4" s="202">
        <f ca="1">Receitas_Cen!AN85</f>
        <v>400520298.91120541</v>
      </c>
      <c r="AM4" s="263"/>
      <c r="AN4" s="177" t="s">
        <v>4041</v>
      </c>
      <c r="AO4" s="233">
        <f ca="1">NPV(AO2,E36:AL36)+D36</f>
        <v>84456697.809186444</v>
      </c>
      <c r="AQ4" s="198">
        <v>2</v>
      </c>
      <c r="AR4" s="196">
        <f ca="1">E36</f>
        <v>1698563.9551555605</v>
      </c>
      <c r="AS4" s="196">
        <f ca="1">NPV(AO2,AR4)+AR3</f>
        <v>7124111.0333592584</v>
      </c>
      <c r="AU4" s="460"/>
      <c r="AV4" s="461">
        <v>2</v>
      </c>
      <c r="AW4" s="464">
        <f t="shared" ref="AW4:AW37" ca="1" si="3">AR4</f>
        <v>1698563.9551555605</v>
      </c>
      <c r="AX4" s="464">
        <f t="shared" ca="1" si="1"/>
        <v>2130678.6253471356</v>
      </c>
      <c r="AY4" s="178" t="s">
        <v>4226</v>
      </c>
      <c r="AZ4" s="196"/>
      <c r="BA4" s="415" t="s">
        <v>4273</v>
      </c>
      <c r="BD4" s="476" t="s">
        <v>4261</v>
      </c>
      <c r="BE4" s="477">
        <v>4935665.9326943634</v>
      </c>
      <c r="BF4" s="458">
        <v>3.9718886676776366E-2</v>
      </c>
      <c r="BG4" s="477">
        <v>11667164.424253056</v>
      </c>
      <c r="BH4" s="458">
        <v>0.10552487407631839</v>
      </c>
      <c r="BI4" s="477">
        <v>19624035.435300689</v>
      </c>
      <c r="BJ4" s="458">
        <v>0.10648827388327908</v>
      </c>
      <c r="BK4" s="477">
        <v>91327023.28697896</v>
      </c>
      <c r="BL4" s="458">
        <v>0.28615252168282801</v>
      </c>
      <c r="BM4" s="468">
        <v>7.9914975603490284</v>
      </c>
      <c r="BN4" s="485" t="s">
        <v>4093</v>
      </c>
      <c r="BO4" s="482">
        <f>_xlfn.STDEV.S(BE4:BE5003)</f>
        <v>2603715.1790264584</v>
      </c>
      <c r="BP4" s="483">
        <f t="shared" ref="BP4:BW4" si="4">_xlfn.STDEV.S(BF4:BF5003)</f>
        <v>1.4492759289694316E-2</v>
      </c>
      <c r="BQ4" s="482">
        <f t="shared" si="4"/>
        <v>3667578.2668364891</v>
      </c>
      <c r="BR4" s="483">
        <f t="shared" si="4"/>
        <v>1.6394935453808754E-2</v>
      </c>
      <c r="BS4" s="482">
        <f t="shared" si="4"/>
        <v>4697933.1585389562</v>
      </c>
      <c r="BT4" s="483">
        <f t="shared" si="4"/>
        <v>1.5808655036575133E-2</v>
      </c>
      <c r="BU4" s="482">
        <f t="shared" si="4"/>
        <v>8123448.3260077992</v>
      </c>
      <c r="BV4" s="483">
        <f t="shared" si="4"/>
        <v>1.318034731933204E-2</v>
      </c>
      <c r="BW4" s="484">
        <f t="shared" si="4"/>
        <v>3.6576526206456483</v>
      </c>
    </row>
    <row r="5" spans="1:75" s="179" customFormat="1" x14ac:dyDescent="0.3">
      <c r="B5" s="181" t="s">
        <v>4016</v>
      </c>
      <c r="C5" s="181"/>
      <c r="D5" s="182">
        <f ca="1">SUM(D6:D8)</f>
        <v>-2236168.6763157118</v>
      </c>
      <c r="E5" s="182">
        <f ca="1">SUM(E6:E8)</f>
        <v>-2020563.8433938969</v>
      </c>
      <c r="F5" s="182">
        <f t="shared" ref="F5:AL5" ca="1" si="5">SUM(F6:F8)</f>
        <v>-2382963.2748866882</v>
      </c>
      <c r="G5" s="182">
        <f ca="1">SUM(G6:G8)</f>
        <v>-1712442.0062922966</v>
      </c>
      <c r="H5" s="182">
        <f ca="1">SUM(H6:H8)</f>
        <v>-2442461.8852275405</v>
      </c>
      <c r="I5" s="182">
        <f t="shared" ca="1" si="5"/>
        <v>-2842533.9600739265</v>
      </c>
      <c r="J5" s="182">
        <f t="shared" ca="1" si="5"/>
        <v>-3237839.3984672744</v>
      </c>
      <c r="K5" s="182">
        <f t="shared" ca="1" si="5"/>
        <v>-3359481.852091644</v>
      </c>
      <c r="L5" s="182">
        <f ca="1">SUM(L6:L8)</f>
        <v>-4068414.2256531878</v>
      </c>
      <c r="M5" s="182">
        <f t="shared" ca="1" si="5"/>
        <v>-5476878.0770142274</v>
      </c>
      <c r="N5" s="182">
        <f t="shared" ca="1" si="5"/>
        <v>-4204918.0675929552</v>
      </c>
      <c r="O5" s="182">
        <f t="shared" ca="1" si="5"/>
        <v>-5707088.9584087105</v>
      </c>
      <c r="P5" s="182">
        <f t="shared" ca="1" si="5"/>
        <v>-7095798.4216411058</v>
      </c>
      <c r="Q5" s="182">
        <f t="shared" ca="1" si="5"/>
        <v>-8460983.9535409398</v>
      </c>
      <c r="R5" s="182">
        <f t="shared" ca="1" si="5"/>
        <v>-7242327.3606608957</v>
      </c>
      <c r="S5" s="182">
        <f t="shared" ca="1" si="5"/>
        <v>-13063470.7848399</v>
      </c>
      <c r="T5" s="182">
        <f t="shared" ca="1" si="5"/>
        <v>-9513651.0281451307</v>
      </c>
      <c r="U5" s="182">
        <f t="shared" ca="1" si="5"/>
        <v>-14665017.469762793</v>
      </c>
      <c r="V5" s="182">
        <f t="shared" ca="1" si="5"/>
        <v>-15908806.273406992</v>
      </c>
      <c r="W5" s="182">
        <f t="shared" ca="1" si="5"/>
        <v>-21033158.596695494</v>
      </c>
      <c r="X5" s="182">
        <f t="shared" ca="1" si="5"/>
        <v>-17253512.92336984</v>
      </c>
      <c r="Y5" s="182">
        <f t="shared" ca="1" si="5"/>
        <v>-15722785.555870986</v>
      </c>
      <c r="Z5" s="182">
        <f t="shared" ca="1" si="5"/>
        <v>-20057347.826653622</v>
      </c>
      <c r="AA5" s="182">
        <f t="shared" ca="1" si="5"/>
        <v>-22398762.409053512</v>
      </c>
      <c r="AB5" s="182">
        <f t="shared" ca="1" si="5"/>
        <v>-24692900.213321168</v>
      </c>
      <c r="AC5" s="182">
        <f t="shared" ca="1" si="5"/>
        <v>-24093075.275720842</v>
      </c>
      <c r="AD5" s="182">
        <f t="shared" ca="1" si="5"/>
        <v>-18713945.745278336</v>
      </c>
      <c r="AE5" s="182">
        <f t="shared" ca="1" si="5"/>
        <v>-28469534.164515443</v>
      </c>
      <c r="AF5" s="182">
        <f t="shared" ca="1" si="5"/>
        <v>-29996325.944418203</v>
      </c>
      <c r="AG5" s="182">
        <f t="shared" ca="1" si="5"/>
        <v>-31393125.873948857</v>
      </c>
      <c r="AH5" s="182">
        <f t="shared" ca="1" si="5"/>
        <v>-26430516.879588146</v>
      </c>
      <c r="AI5" s="182">
        <f t="shared" ca="1" si="5"/>
        <v>-30973438.081729461</v>
      </c>
      <c r="AJ5" s="182">
        <f t="shared" ca="1" si="5"/>
        <v>-27116545.627382271</v>
      </c>
      <c r="AK5" s="182">
        <f t="shared" ca="1" si="5"/>
        <v>-37806907.407196194</v>
      </c>
      <c r="AL5" s="182">
        <f t="shared" ca="1" si="5"/>
        <v>-29072290.049502015</v>
      </c>
      <c r="AM5" s="182"/>
      <c r="AN5" s="177" t="s">
        <v>4042</v>
      </c>
      <c r="AO5" s="198" t="b">
        <f ca="1">AT3</f>
        <v>0</v>
      </c>
      <c r="AP5" s="180" t="s">
        <v>4044</v>
      </c>
      <c r="AQ5" s="198">
        <v>3</v>
      </c>
      <c r="AR5" s="196">
        <f ca="1">F36</f>
        <v>3443564.0531388875</v>
      </c>
      <c r="AS5" s="196">
        <f ca="1">NPV($AO$2,$AR$4:AR5)+$AR$3</f>
        <v>9993940.9880668186</v>
      </c>
      <c r="AT5" s="177" t="s">
        <v>4081</v>
      </c>
      <c r="AU5" s="460"/>
      <c r="AV5" s="461">
        <v>3</v>
      </c>
      <c r="AW5" s="464">
        <f t="shared" ca="1" si="3"/>
        <v>3443564.0531388875</v>
      </c>
      <c r="AX5" s="464">
        <f t="shared" ca="1" si="1"/>
        <v>4837959.5580483126</v>
      </c>
      <c r="AY5" s="437">
        <f ca="1">(AY3/AZ3)^(1/35)-1</f>
        <v>0.26190036004797523</v>
      </c>
      <c r="AZ5" s="196" t="s">
        <v>3319</v>
      </c>
      <c r="BA5" s="415" t="s">
        <v>4262</v>
      </c>
      <c r="BD5" s="179">
        <v>528.99999981746078</v>
      </c>
      <c r="BE5" s="478">
        <v>1092125.1523053662</v>
      </c>
      <c r="BF5" s="479">
        <v>2.7777507537178669E-2</v>
      </c>
      <c r="BG5" s="478">
        <v>6791560.5763403364</v>
      </c>
      <c r="BH5" s="479">
        <v>9.6923531172669497E-2</v>
      </c>
      <c r="BI5" s="478">
        <v>14649784.352047984</v>
      </c>
      <c r="BJ5" s="479">
        <v>0.10025574311946017</v>
      </c>
      <c r="BK5" s="478">
        <v>88141479.485814422</v>
      </c>
      <c r="BL5" s="479">
        <v>0.25495623197472383</v>
      </c>
      <c r="BM5" s="481">
        <v>8.0822714215268139</v>
      </c>
      <c r="BN5" s="486" t="s">
        <v>4276</v>
      </c>
      <c r="BO5" s="482">
        <f>BO3-1.6645*BO4</f>
        <v>824155.27015071269</v>
      </c>
      <c r="BP5" s="483">
        <f t="shared" ref="BP5:BW5" si="6">BP3-1.6645*BP4</f>
        <v>1.720601262033393E-2</v>
      </c>
      <c r="BQ5" s="482">
        <f t="shared" si="6"/>
        <v>2567087.095475208</v>
      </c>
      <c r="BR5" s="483">
        <f t="shared" si="6"/>
        <v>3.8048455229449184E-2</v>
      </c>
      <c r="BS5" s="482">
        <f t="shared" si="6"/>
        <v>8738809.6190871596</v>
      </c>
      <c r="BT5" s="483">
        <f t="shared" si="6"/>
        <v>8.3388815220029458E-2</v>
      </c>
      <c r="BU5" s="482">
        <f t="shared" si="6"/>
        <v>76194033.356275097</v>
      </c>
      <c r="BV5" s="483">
        <f t="shared" si="6"/>
        <v>0.24831137715753687</v>
      </c>
      <c r="BW5" s="484">
        <f t="shared" si="6"/>
        <v>2.0102864772753577</v>
      </c>
    </row>
    <row r="6" spans="1:75" s="179" customFormat="1" x14ac:dyDescent="0.3">
      <c r="B6" s="179" t="s">
        <v>4017</v>
      </c>
      <c r="C6" s="181"/>
      <c r="D6" s="183">
        <f ca="1">1.65%*(-D4)+1.65%*(-D11)</f>
        <v>-199692.25461445824</v>
      </c>
      <c r="E6" s="183">
        <f ca="1">1.65%*(-E4)+1.65%*(-E11)</f>
        <v>-174727.48448666913</v>
      </c>
      <c r="F6" s="183">
        <f t="shared" ref="F6:AL6" ca="1" si="7">1.65%*(-F4)+1.65%*(-F11)</f>
        <v>-216311.59315951873</v>
      </c>
      <c r="G6" s="183">
        <f t="shared" ca="1" si="7"/>
        <v>-138873.55213279961</v>
      </c>
      <c r="H6" s="183">
        <f t="shared" ca="1" si="7"/>
        <v>-161292.67596827849</v>
      </c>
      <c r="I6" s="183">
        <f t="shared" ca="1" si="7"/>
        <v>-161618.87679906609</v>
      </c>
      <c r="J6" s="183">
        <f t="shared" ca="1" si="7"/>
        <v>-155153.6748925026</v>
      </c>
      <c r="K6" s="183">
        <f t="shared" ca="1" si="7"/>
        <v>-127738.80334703694</v>
      </c>
      <c r="L6" s="183">
        <f t="shared" ca="1" si="7"/>
        <v>-148483.25253783946</v>
      </c>
      <c r="M6" s="183">
        <f t="shared" ca="1" si="7"/>
        <v>-241814.38647776307</v>
      </c>
      <c r="N6" s="183">
        <f t="shared" ca="1" si="7"/>
        <v>-54942.607208671281</v>
      </c>
      <c r="O6" s="183">
        <f t="shared" ca="1" si="7"/>
        <v>-148557.15722866845</v>
      </c>
      <c r="P6" s="183">
        <f t="shared" ca="1" si="7"/>
        <v>-218932.88962972723</v>
      </c>
      <c r="Q6" s="183">
        <f t="shared" ca="1" si="7"/>
        <v>-309222.20168693154</v>
      </c>
      <c r="R6" s="183">
        <f t="shared" ca="1" si="7"/>
        <v>-59467.677440783475</v>
      </c>
      <c r="S6" s="183">
        <f t="shared" ca="1" si="7"/>
        <v>-610976.5310095367</v>
      </c>
      <c r="T6" s="183">
        <f t="shared" ca="1" si="7"/>
        <v>-117520.91655426659</v>
      </c>
      <c r="U6" s="183">
        <f t="shared" ca="1" si="7"/>
        <v>-567743.95637318073</v>
      </c>
      <c r="V6" s="183">
        <f t="shared" ca="1" si="7"/>
        <v>-642705.82251517661</v>
      </c>
      <c r="W6" s="183">
        <f t="shared" ca="1" si="7"/>
        <v>-1258592.7000249978</v>
      </c>
      <c r="X6" s="183">
        <f t="shared" ca="1" si="7"/>
        <v>-773803.96226636134</v>
      </c>
      <c r="Y6" s="183">
        <f t="shared" ca="1" si="7"/>
        <v>-547084.537591286</v>
      </c>
      <c r="Z6" s="183">
        <f t="shared" ca="1" si="7"/>
        <v>-1078164.65061524</v>
      </c>
      <c r="AA6" s="183">
        <f t="shared" ca="1" si="7"/>
        <v>-1298816.7450677389</v>
      </c>
      <c r="AB6" s="183">
        <f t="shared" ca="1" si="7"/>
        <v>-1511944.1355710402</v>
      </c>
      <c r="AC6" s="183">
        <f t="shared" ca="1" si="7"/>
        <v>-1479287.1225395701</v>
      </c>
      <c r="AD6" s="183">
        <f t="shared" ca="1" si="7"/>
        <v>-803124.30158732692</v>
      </c>
      <c r="AE6" s="183">
        <f t="shared" ca="1" si="7"/>
        <v>-1876766.6504011508</v>
      </c>
      <c r="AF6" s="183">
        <f t="shared" ca="1" si="7"/>
        <v>-2099776.2204378238</v>
      </c>
      <c r="AG6" s="183">
        <f t="shared" ca="1" si="7"/>
        <v>-2204989.038112761</v>
      </c>
      <c r="AH6" s="183">
        <f t="shared" ca="1" si="7"/>
        <v>-1571732.2380873719</v>
      </c>
      <c r="AI6" s="183">
        <f t="shared" ca="1" si="7"/>
        <v>-2035992.5887434641</v>
      </c>
      <c r="AJ6" s="183">
        <f t="shared" ca="1" si="7"/>
        <v>-1525057.1465752739</v>
      </c>
      <c r="AK6" s="183">
        <f t="shared" ca="1" si="7"/>
        <v>-2695387.8157727541</v>
      </c>
      <c r="AL6" s="183">
        <f t="shared" ca="1" si="7"/>
        <v>-1613659.8834058251</v>
      </c>
      <c r="AM6" s="183"/>
      <c r="AN6" s="180"/>
      <c r="AO6" s="180"/>
      <c r="AP6" s="180"/>
      <c r="AQ6" s="198">
        <v>4</v>
      </c>
      <c r="AR6" s="196">
        <f ca="1">G36</f>
        <v>-4788841.2411908871</v>
      </c>
      <c r="AS6" s="196">
        <f ca="1">NPV($AO$2,$AR$4:AR6)+$AR$3</f>
        <v>6350578.0370723046</v>
      </c>
      <c r="AT6" s="177" t="s">
        <v>4082</v>
      </c>
      <c r="AU6" s="460"/>
      <c r="AV6" s="461">
        <v>4</v>
      </c>
      <c r="AW6" s="464">
        <f t="shared" ca="1" si="3"/>
        <v>-4788841.2411908871</v>
      </c>
      <c r="AX6" s="464">
        <f t="shared" ca="1" si="1"/>
        <v>-2738035.5222806605</v>
      </c>
      <c r="AY6" s="180"/>
      <c r="AZ6" s="196"/>
      <c r="BA6" s="415" t="s">
        <v>4264</v>
      </c>
      <c r="BD6" s="480">
        <f>BD5/60</f>
        <v>8.8166666636243463</v>
      </c>
      <c r="BE6" s="478">
        <v>6148149.5337290382</v>
      </c>
      <c r="BF6" s="479">
        <v>2.8710227638799379E-2</v>
      </c>
      <c r="BG6" s="478">
        <v>18015353.19770582</v>
      </c>
      <c r="BH6" s="479">
        <v>4.7271021589316176E-2</v>
      </c>
      <c r="BI6" s="478">
        <v>15898254.189903043</v>
      </c>
      <c r="BJ6" s="479">
        <v>9.3151943756548894E-2</v>
      </c>
      <c r="BK6" s="478">
        <v>94179200.538731113</v>
      </c>
      <c r="BL6" s="479">
        <v>0.23696832593669503</v>
      </c>
      <c r="BM6" s="481">
        <v>12.301280402147427</v>
      </c>
      <c r="BN6" s="486" t="s">
        <v>4275</v>
      </c>
      <c r="BO6" s="487">
        <f>BO3-BO5</f>
        <v>4333883.9154895404</v>
      </c>
      <c r="BP6" s="483">
        <f t="shared" ref="BP6:BW6" si="8">BP3-BP5</f>
        <v>2.4123197837696189E-2</v>
      </c>
      <c r="BQ6" s="487">
        <f t="shared" si="8"/>
        <v>6104684.0251493361</v>
      </c>
      <c r="BR6" s="483">
        <f t="shared" si="8"/>
        <v>2.7289370062864672E-2</v>
      </c>
      <c r="BS6" s="487">
        <f t="shared" si="8"/>
        <v>7819709.7423880938</v>
      </c>
      <c r="BT6" s="483">
        <f t="shared" si="8"/>
        <v>2.6313506308379309E-2</v>
      </c>
      <c r="BU6" s="487">
        <f t="shared" si="8"/>
        <v>13521479.738639981</v>
      </c>
      <c r="BV6" s="483">
        <f t="shared" si="8"/>
        <v>2.1938688113028182E-2</v>
      </c>
      <c r="BW6" s="484">
        <f t="shared" si="8"/>
        <v>6.0881627870646824</v>
      </c>
    </row>
    <row r="7" spans="1:75" s="179" customFormat="1" x14ac:dyDescent="0.3">
      <c r="B7" s="179" t="s">
        <v>4018</v>
      </c>
      <c r="C7" s="181"/>
      <c r="D7" s="183">
        <f ca="1">-7.6%*D4+7.6%*(-D11)</f>
        <v>-919794.62731508038</v>
      </c>
      <c r="E7" s="183">
        <f ca="1">-7.6%*E4+7.6%*(-E11)</f>
        <v>-804805.38309011224</v>
      </c>
      <c r="F7" s="183">
        <f t="shared" ref="F7:AL7" ca="1" si="9">-7.6%*F4+7.6%*(-F11)</f>
        <v>-996344.30788626778</v>
      </c>
      <c r="G7" s="183">
        <f ca="1">-7.6%*G4+7.6%*(-G11)</f>
        <v>-639659.99770259217</v>
      </c>
      <c r="H7" s="183">
        <f t="shared" ca="1" si="9"/>
        <v>-742923.84082358563</v>
      </c>
      <c r="I7" s="183">
        <f t="shared" ca="1" si="9"/>
        <v>-744426.34161994094</v>
      </c>
      <c r="J7" s="183">
        <f t="shared" ca="1" si="9"/>
        <v>-714647.22980789049</v>
      </c>
      <c r="K7" s="183">
        <f t="shared" ca="1" si="9"/>
        <v>-588372.66996210907</v>
      </c>
      <c r="L7" s="183">
        <f t="shared" ca="1" si="9"/>
        <v>-683922.8601742899</v>
      </c>
      <c r="M7" s="183">
        <f t="shared" ca="1" si="9"/>
        <v>-1113811.7195339389</v>
      </c>
      <c r="N7" s="183">
        <f t="shared" ca="1" si="9"/>
        <v>-253068.97865812201</v>
      </c>
      <c r="O7" s="183">
        <f t="shared" ca="1" si="9"/>
        <v>-684263.26965932082</v>
      </c>
      <c r="P7" s="183">
        <f t="shared" ca="1" si="9"/>
        <v>-1008418.1582944999</v>
      </c>
      <c r="Q7" s="183">
        <f t="shared" ca="1" si="9"/>
        <v>-1424296.2017095014</v>
      </c>
      <c r="R7" s="183">
        <f t="shared" ca="1" si="9"/>
        <v>-273911.72639391385</v>
      </c>
      <c r="S7" s="183">
        <f t="shared" ca="1" si="9"/>
        <v>-2814194.9307105932</v>
      </c>
      <c r="T7" s="183">
        <f t="shared" ca="1" si="9"/>
        <v>-541308.46412874386</v>
      </c>
      <c r="U7" s="183">
        <f t="shared" ca="1" si="9"/>
        <v>-2615063.0717794988</v>
      </c>
      <c r="V7" s="183">
        <f t="shared" ca="1" si="9"/>
        <v>-2960341.9703729358</v>
      </c>
      <c r="W7" s="183">
        <f t="shared" ca="1" si="9"/>
        <v>-5797154.2546605971</v>
      </c>
      <c r="X7" s="183">
        <f t="shared" ca="1" si="9"/>
        <v>-3564187.9474086948</v>
      </c>
      <c r="Y7" s="183">
        <f t="shared" ca="1" si="9"/>
        <v>-2519904.5367841031</v>
      </c>
      <c r="Z7" s="183">
        <f t="shared" ca="1" si="9"/>
        <v>-4966091.7240459565</v>
      </c>
      <c r="AA7" s="183">
        <f t="shared" ca="1" si="9"/>
        <v>-5982428.6439483725</v>
      </c>
      <c r="AB7" s="183">
        <f t="shared" ca="1" si="9"/>
        <v>-6964106.3214181252</v>
      </c>
      <c r="AC7" s="183">
        <f t="shared" ca="1" si="9"/>
        <v>-6813686.1401822604</v>
      </c>
      <c r="AD7" s="183">
        <f t="shared" ca="1" si="9"/>
        <v>-3699239.2073113248</v>
      </c>
      <c r="AE7" s="183">
        <f t="shared" ca="1" si="9"/>
        <v>-8644500.9351810552</v>
      </c>
      <c r="AF7" s="183">
        <f t="shared" ca="1" si="9"/>
        <v>-9671696.5305014886</v>
      </c>
      <c r="AG7" s="183">
        <f t="shared" ca="1" si="9"/>
        <v>-10156313.145246655</v>
      </c>
      <c r="AH7" s="183">
        <f t="shared" ca="1" si="9"/>
        <v>-7239493.9451297149</v>
      </c>
      <c r="AI7" s="183">
        <f t="shared" ca="1" si="9"/>
        <v>-9377905.2572426237</v>
      </c>
      <c r="AJ7" s="183">
        <f t="shared" ca="1" si="9"/>
        <v>-7024505.6448315643</v>
      </c>
      <c r="AK7" s="183">
        <f t="shared" ca="1" si="9"/>
        <v>-12415119.63628662</v>
      </c>
      <c r="AL7" s="183">
        <f t="shared" ca="1" si="9"/>
        <v>-7432615.2205359191</v>
      </c>
      <c r="AM7" s="183"/>
      <c r="AN7" s="177" t="s">
        <v>4226</v>
      </c>
      <c r="AO7" s="446">
        <f ca="1">AY5</f>
        <v>0.26190036004797523</v>
      </c>
      <c r="AP7" s="180"/>
      <c r="AQ7" s="198">
        <v>5</v>
      </c>
      <c r="AR7" s="196">
        <f ca="1">H36</f>
        <v>-2416480.8231498962</v>
      </c>
      <c r="AS7" s="196">
        <f ca="1">NPV($AO$2,$AR$4:AR7)+$AR$3</f>
        <v>4672240.335804888</v>
      </c>
      <c r="AT7" s="177" t="s">
        <v>4079</v>
      </c>
      <c r="AU7" s="180"/>
      <c r="AV7" s="461">
        <v>5</v>
      </c>
      <c r="AW7" s="464">
        <f t="shared" ca="1" si="3"/>
        <v>-2416480.8231498962</v>
      </c>
      <c r="AX7" s="464">
        <f t="shared" ca="1" si="1"/>
        <v>-1201418.0465645895</v>
      </c>
      <c r="AY7" s="561" t="s">
        <v>4246</v>
      </c>
      <c r="AZ7" s="561"/>
      <c r="BA7" s="415" t="s">
        <v>4265</v>
      </c>
      <c r="BE7" s="478">
        <v>3546877.8196968669</v>
      </c>
      <c r="BF7" s="479">
        <v>5.891752079852508E-2</v>
      </c>
      <c r="BG7" s="478">
        <v>12712354.065759463</v>
      </c>
      <c r="BH7" s="479">
        <v>8.1060353986114109E-2</v>
      </c>
      <c r="BI7" s="478">
        <v>13878286.046477377</v>
      </c>
      <c r="BJ7" s="479">
        <v>0.10805185359722147</v>
      </c>
      <c r="BK7" s="478">
        <v>89475204.214327902</v>
      </c>
      <c r="BL7" s="479">
        <v>0.26663018006978789</v>
      </c>
      <c r="BM7" s="481">
        <v>6.9710858030844562</v>
      </c>
    </row>
    <row r="8" spans="1:75" s="179" customFormat="1" x14ac:dyDescent="0.3">
      <c r="B8" s="179" t="s">
        <v>4019</v>
      </c>
      <c r="C8" s="181"/>
      <c r="D8" s="183">
        <f ca="1">IF(D4&gt;0,(-5%*D4),0)</f>
        <v>-1116681.7943861734</v>
      </c>
      <c r="E8" s="183">
        <f ca="1">-5%*E4</f>
        <v>-1041030.9758171155</v>
      </c>
      <c r="F8" s="183">
        <f t="shared" ref="F8:AL8" ca="1" si="10">-5%*F4</f>
        <v>-1170307.373840902</v>
      </c>
      <c r="G8" s="183">
        <f t="shared" ca="1" si="10"/>
        <v>-933908.45645690488</v>
      </c>
      <c r="H8" s="183">
        <f ca="1">-5%*H4</f>
        <v>-1538245.3684356764</v>
      </c>
      <c r="I8" s="183">
        <f t="shared" ca="1" si="10"/>
        <v>-1936488.7416549195</v>
      </c>
      <c r="J8" s="183">
        <f t="shared" ca="1" si="10"/>
        <v>-2368038.4937668811</v>
      </c>
      <c r="K8" s="183">
        <f t="shared" ca="1" si="10"/>
        <v>-2643370.3787824977</v>
      </c>
      <c r="L8" s="183">
        <f t="shared" ca="1" si="10"/>
        <v>-3236008.1129410584</v>
      </c>
      <c r="M8" s="183">
        <f t="shared" ca="1" si="10"/>
        <v>-4121251.9710025252</v>
      </c>
      <c r="N8" s="183">
        <f t="shared" ca="1" si="10"/>
        <v>-3896906.4817261621</v>
      </c>
      <c r="O8" s="183">
        <f t="shared" ca="1" si="10"/>
        <v>-4874268.5315207215</v>
      </c>
      <c r="P8" s="183">
        <f t="shared" ca="1" si="10"/>
        <v>-5868447.3737168787</v>
      </c>
      <c r="Q8" s="183">
        <f t="shared" ca="1" si="10"/>
        <v>-6727465.5501445075</v>
      </c>
      <c r="R8" s="183">
        <f t="shared" ca="1" si="10"/>
        <v>-6908947.9568261988</v>
      </c>
      <c r="S8" s="183">
        <f t="shared" ca="1" si="10"/>
        <v>-9638299.3231197707</v>
      </c>
      <c r="T8" s="183">
        <f t="shared" ca="1" si="10"/>
        <v>-8854821.6474621203</v>
      </c>
      <c r="U8" s="183">
        <f t="shared" ca="1" si="10"/>
        <v>-11482210.441610113</v>
      </c>
      <c r="V8" s="183">
        <f t="shared" ca="1" si="10"/>
        <v>-12305758.480518879</v>
      </c>
      <c r="W8" s="183">
        <f t="shared" ca="1" si="10"/>
        <v>-13977411.642009899</v>
      </c>
      <c r="X8" s="183">
        <f t="shared" ca="1" si="10"/>
        <v>-12915521.013694782</v>
      </c>
      <c r="Y8" s="183">
        <f t="shared" ca="1" si="10"/>
        <v>-12655796.481495596</v>
      </c>
      <c r="Z8" s="183">
        <f t="shared" ca="1" si="10"/>
        <v>-14013091.451992426</v>
      </c>
      <c r="AA8" s="183">
        <f t="shared" ca="1" si="10"/>
        <v>-15117517.020037401</v>
      </c>
      <c r="AB8" s="183">
        <f t="shared" ca="1" si="10"/>
        <v>-16216849.756332003</v>
      </c>
      <c r="AC8" s="183">
        <f t="shared" ca="1" si="10"/>
        <v>-15800102.012999011</v>
      </c>
      <c r="AD8" s="183">
        <f t="shared" ca="1" si="10"/>
        <v>-14211582.236379687</v>
      </c>
      <c r="AE8" s="183">
        <f t="shared" ca="1" si="10"/>
        <v>-17948266.578933235</v>
      </c>
      <c r="AF8" s="183">
        <f t="shared" ca="1" si="10"/>
        <v>-18224853.19347889</v>
      </c>
      <c r="AG8" s="183">
        <f t="shared" ca="1" si="10"/>
        <v>-19031823.690589443</v>
      </c>
      <c r="AH8" s="183">
        <f t="shared" ca="1" si="10"/>
        <v>-17619290.69637106</v>
      </c>
      <c r="AI8" s="183">
        <f t="shared" ca="1" si="10"/>
        <v>-19559540.235743374</v>
      </c>
      <c r="AJ8" s="183">
        <f t="shared" ca="1" si="10"/>
        <v>-18566982.835975435</v>
      </c>
      <c r="AK8" s="183">
        <f t="shared" ca="1" si="10"/>
        <v>-22696399.955136821</v>
      </c>
      <c r="AL8" s="183">
        <f t="shared" ca="1" si="10"/>
        <v>-20026014.945560273</v>
      </c>
      <c r="AN8" s="180" t="s">
        <v>4227</v>
      </c>
      <c r="AO8" s="436">
        <v>0.12</v>
      </c>
      <c r="AP8" s="180" t="s">
        <v>3319</v>
      </c>
      <c r="AQ8" s="198">
        <v>6</v>
      </c>
      <c r="AR8" s="196">
        <f ca="1">I36</f>
        <v>3581850.8133794321</v>
      </c>
      <c r="AS8" s="196">
        <f ca="1">NPV($AO$2,$AR$4:AR8)+$AR$3</f>
        <v>6943294.4887457192</v>
      </c>
      <c r="AT8" s="177" t="s">
        <v>4080</v>
      </c>
      <c r="AU8" s="180"/>
      <c r="AV8" s="462">
        <v>6</v>
      </c>
      <c r="AW8" s="465">
        <f t="shared" ca="1" si="3"/>
        <v>3581850.8133794321</v>
      </c>
      <c r="AX8" s="465">
        <f t="shared" ca="1" si="1"/>
        <v>7069938.3903930876</v>
      </c>
      <c r="AY8" s="178" t="s">
        <v>4231</v>
      </c>
      <c r="AZ8" s="178" t="s">
        <v>4232</v>
      </c>
      <c r="BA8" s="415" t="s">
        <v>4269</v>
      </c>
      <c r="BE8" s="478">
        <v>1750828.818478107</v>
      </c>
      <c r="BF8" s="479">
        <v>3.075306642509279E-2</v>
      </c>
      <c r="BG8" s="478">
        <v>14079648.597442001</v>
      </c>
      <c r="BH8" s="479">
        <v>5.4232103088907024E-2</v>
      </c>
      <c r="BI8" s="478">
        <v>19620629.172101218</v>
      </c>
      <c r="BJ8" s="479">
        <v>0.10956883051669264</v>
      </c>
      <c r="BK8" s="478">
        <v>79491701.570738152</v>
      </c>
      <c r="BL8" s="479">
        <v>0.25581707978510226</v>
      </c>
      <c r="BM8" s="481">
        <v>13.305646600771642</v>
      </c>
    </row>
    <row r="9" spans="1:75" s="179" customFormat="1" x14ac:dyDescent="0.3">
      <c r="B9" s="184"/>
      <c r="C9" s="181"/>
      <c r="D9" s="183"/>
      <c r="E9" s="416">
        <f ca="1">E10/D10-1</f>
        <v>-6.4555972392526528E-2</v>
      </c>
      <c r="F9" s="416">
        <f t="shared" ref="F9:I9" ca="1" si="11">F10/E10-1</f>
        <v>0.11825116731871277</v>
      </c>
      <c r="G9" s="416">
        <f t="shared" ca="1" si="11"/>
        <v>-0.1929991689228886</v>
      </c>
      <c r="H9" s="416">
        <f t="shared" ca="1" si="11"/>
        <v>0.66939178488538809</v>
      </c>
      <c r="I9" s="416">
        <f t="shared" ca="1" si="11"/>
        <v>0.26709541709416618</v>
      </c>
      <c r="J9" s="416">
        <f ca="1">J10/I10-1</f>
        <v>0.22948795737697525</v>
      </c>
      <c r="K9" s="416">
        <f t="shared" ref="K9" ca="1" si="12">K10/J10-1</f>
        <v>0.1220452764240314</v>
      </c>
      <c r="L9" s="416">
        <f ca="1">L10/K10-1</f>
        <v>0.22509168273044611</v>
      </c>
      <c r="M9" s="416">
        <f t="shared" ref="M9:P9" ca="1" si="13">M10/L10-1</f>
        <v>0.2686882709622227</v>
      </c>
      <c r="N9" s="416">
        <f t="shared" ca="1" si="13"/>
        <v>-4.1780722501915002E-2</v>
      </c>
      <c r="O9" s="416">
        <f t="shared" ca="1" si="13"/>
        <v>0.24473462801352763</v>
      </c>
      <c r="P9" s="416">
        <f t="shared" ca="1" si="13"/>
        <v>0.20151681905297703</v>
      </c>
      <c r="Q9" s="416">
        <f ca="1">Q10/P10-1</f>
        <v>0.14341821315989733</v>
      </c>
      <c r="R9" s="416">
        <f ca="1">R10/Q10-1</f>
        <v>3.8451654010892788E-2</v>
      </c>
      <c r="S9" s="416">
        <f t="shared" ref="S9:T9" ca="1" si="14">S10/R10-1</f>
        <v>0.37243881441191906</v>
      </c>
      <c r="T9" s="416">
        <f t="shared" ca="1" si="14"/>
        <v>-6.7443317144234904E-2</v>
      </c>
      <c r="U9" s="416">
        <f ca="1">U10/T10-1</f>
        <v>0.28282386112708013</v>
      </c>
      <c r="V9" s="416">
        <f ca="1">V10/U10-1</f>
        <v>7.0830911019937881E-2</v>
      </c>
      <c r="W9" s="416">
        <f t="shared" ref="W9:Z9" ca="1" si="15">W10/V10-1</f>
        <v>0.1229710182471988</v>
      </c>
      <c r="X9" s="416">
        <f t="shared" ca="1" si="15"/>
        <v>-6.7532490877233564E-2</v>
      </c>
      <c r="Y9" s="416">
        <f t="shared" ca="1" si="15"/>
        <v>-1.5198748365079173E-2</v>
      </c>
      <c r="Z9" s="416">
        <f t="shared" ca="1" si="15"/>
        <v>9.609096854136312E-2</v>
      </c>
      <c r="AA9" s="416">
        <f ca="1">AA10/Z10-1</f>
        <v>7.5890686764614745E-2</v>
      </c>
      <c r="AB9" s="416">
        <f t="shared" ref="AB9" ca="1" si="16">AB10/AA10-1</f>
        <v>7.0342582324035341E-2</v>
      </c>
      <c r="AC9" s="416">
        <f ca="1">AC10/AB10-1</f>
        <v>-2.5814391340824305E-2</v>
      </c>
      <c r="AD9" s="416">
        <f t="shared" ref="AD9:AG9" ca="1" si="17">AD10/AC10-1</f>
        <v>-9.0409234274004158E-2</v>
      </c>
      <c r="AE9" s="416">
        <f t="shared" ca="1" si="17"/>
        <v>0.24472228661548345</v>
      </c>
      <c r="AF9" s="416">
        <f t="shared" ca="1" si="17"/>
        <v>1.2117977119060708E-2</v>
      </c>
      <c r="AG9" s="416">
        <f t="shared" ca="1" si="17"/>
        <v>4.4073475305692389E-2</v>
      </c>
      <c r="AH9" s="416">
        <f ca="1">AH10/AG10-1</f>
        <v>-6.6681444406929136E-2</v>
      </c>
      <c r="AI9" s="416">
        <f t="shared" ref="AI9" ca="1" si="18">AI10/AH10-1</f>
        <v>0.10511278661710799</v>
      </c>
      <c r="AJ9" s="416">
        <f ca="1">AJ10/AI10-1</f>
        <v>-4.4401678049301063E-2</v>
      </c>
      <c r="AK9" s="416">
        <f t="shared" ref="AK9:AL9" ca="1" si="19">AK10/AJ10-1</f>
        <v>0.20887028873599189</v>
      </c>
      <c r="AL9" s="416">
        <f t="shared" ca="1" si="19"/>
        <v>-0.10735596855187135</v>
      </c>
      <c r="AN9" s="180" t="s">
        <v>4228</v>
      </c>
      <c r="AO9" s="436">
        <v>0.15</v>
      </c>
      <c r="AP9" s="180" t="s">
        <v>3319</v>
      </c>
      <c r="AQ9" s="198">
        <v>7</v>
      </c>
      <c r="AR9" s="196">
        <f ca="1">J36</f>
        <v>2990972.3136335546</v>
      </c>
      <c r="AS9" s="196">
        <f ca="1">NPV($AO$2,$AR$4:AR9)+$AR$3</f>
        <v>8674530.945994528</v>
      </c>
      <c r="AT9" s="180"/>
      <c r="AU9" s="180"/>
      <c r="AV9" s="462">
        <v>7</v>
      </c>
      <c r="AW9" s="465">
        <f t="shared" ca="1" si="3"/>
        <v>2990972.3136335546</v>
      </c>
      <c r="AX9" s="465">
        <f t="shared" ca="1" si="1"/>
        <v>6612086.8838160485</v>
      </c>
      <c r="AY9" s="196">
        <f ca="1">SUMIF(AX3:AX7,"&gt;=0")</f>
        <v>13210946.05367999</v>
      </c>
      <c r="AZ9" s="196">
        <f ca="1">-SUMIF(AX3:AX7,"&lt;0")</f>
        <v>3939453.5688452497</v>
      </c>
      <c r="BA9" s="415" t="s">
        <v>4266</v>
      </c>
      <c r="BE9" s="478">
        <v>7833208.9015733199</v>
      </c>
      <c r="BF9" s="479">
        <v>6.6852062360068576E-2</v>
      </c>
      <c r="BG9" s="478">
        <v>1003520.3999420503</v>
      </c>
      <c r="BH9" s="479">
        <v>6.325257130625217E-2</v>
      </c>
      <c r="BI9" s="478">
        <v>20556325.214281693</v>
      </c>
      <c r="BJ9" s="479">
        <v>0.12730276856534228</v>
      </c>
      <c r="BK9" s="478">
        <v>85962297.067132905</v>
      </c>
      <c r="BL9" s="479">
        <v>0.26909642379180565</v>
      </c>
      <c r="BM9" s="481">
        <v>4.4906362859491553</v>
      </c>
    </row>
    <row r="10" spans="1:75" x14ac:dyDescent="0.3">
      <c r="B10" s="200" t="s">
        <v>4020</v>
      </c>
      <c r="C10" s="200"/>
      <c r="D10" s="203">
        <f ca="1">D4+D5</f>
        <v>20097467.211407758</v>
      </c>
      <c r="E10" s="203">
        <f ca="1">E4+E5</f>
        <v>18800055.672948413</v>
      </c>
      <c r="F10" s="203">
        <f ca="1">F4+F5</f>
        <v>21023184.20193135</v>
      </c>
      <c r="G10" s="203">
        <f t="shared" ref="G10:AB10" ca="1" si="20">G4+G5</f>
        <v>16965727.122845799</v>
      </c>
      <c r="H10" s="203">
        <f ca="1">H4+H5</f>
        <v>28322445.483485989</v>
      </c>
      <c r="I10" s="203">
        <f t="shared" ca="1" si="20"/>
        <v>35887240.873024464</v>
      </c>
      <c r="J10" s="203">
        <f t="shared" ca="1" si="20"/>
        <v>44122930.476870343</v>
      </c>
      <c r="K10" s="203">
        <f t="shared" ca="1" si="20"/>
        <v>49507925.723558307</v>
      </c>
      <c r="L10" s="203">
        <f ca="1">L4+L5</f>
        <v>60651748.033167981</v>
      </c>
      <c r="M10" s="203">
        <f t="shared" ca="1" si="20"/>
        <v>76948161.343036279</v>
      </c>
      <c r="N10" s="203">
        <f t="shared" ca="1" si="20"/>
        <v>73733211.566930294</v>
      </c>
      <c r="O10" s="203">
        <f t="shared" ca="1" si="20"/>
        <v>91778281.672005713</v>
      </c>
      <c r="P10" s="203">
        <f t="shared" ca="1" si="20"/>
        <v>110273149.05269645</v>
      </c>
      <c r="Q10" s="203">
        <f t="shared" ca="1" si="20"/>
        <v>126088327.0493492</v>
      </c>
      <c r="R10" s="203">
        <f t="shared" ca="1" si="20"/>
        <v>130936631.77586307</v>
      </c>
      <c r="S10" s="203">
        <f t="shared" ca="1" si="20"/>
        <v>179702515.6775555</v>
      </c>
      <c r="T10" s="203">
        <f t="shared" ca="1" si="20"/>
        <v>167582781.92109728</v>
      </c>
      <c r="U10" s="203">
        <f t="shared" ca="1" si="20"/>
        <v>214979191.36243945</v>
      </c>
      <c r="V10" s="203">
        <f t="shared" ca="1" si="20"/>
        <v>230206363.3369706</v>
      </c>
      <c r="W10" s="203">
        <f t="shared" ca="1" si="20"/>
        <v>258515074.2435025</v>
      </c>
      <c r="X10" s="203">
        <f ca="1">X4+X5</f>
        <v>241056907.3505258</v>
      </c>
      <c r="Y10" s="203">
        <f t="shared" ca="1" si="20"/>
        <v>237393144.07404095</v>
      </c>
      <c r="Z10" s="203">
        <f t="shared" ca="1" si="20"/>
        <v>260204481.21319488</v>
      </c>
      <c r="AA10" s="203">
        <f t="shared" ca="1" si="20"/>
        <v>279951577.99169451</v>
      </c>
      <c r="AB10" s="203">
        <f t="shared" ca="1" si="20"/>
        <v>299644094.91331887</v>
      </c>
      <c r="AC10" s="203">
        <f ca="1">AC4+AC5</f>
        <v>291908964.98425937</v>
      </c>
      <c r="AD10" s="203">
        <f t="shared" ref="AD10:AL10" ca="1" si="21">AD4+AD5</f>
        <v>265517698.98231539</v>
      </c>
      <c r="AE10" s="203">
        <f t="shared" ca="1" si="21"/>
        <v>330495797.41414922</v>
      </c>
      <c r="AF10" s="203">
        <f t="shared" ca="1" si="21"/>
        <v>334500737.92515957</v>
      </c>
      <c r="AG10" s="203">
        <f t="shared" ca="1" si="21"/>
        <v>349243347.93783998</v>
      </c>
      <c r="AH10" s="203">
        <f t="shared" ca="1" si="21"/>
        <v>325955297.04783309</v>
      </c>
      <c r="AI10" s="203">
        <f t="shared" ca="1" si="21"/>
        <v>360217366.633138</v>
      </c>
      <c r="AJ10" s="203">
        <f t="shared" ca="1" si="21"/>
        <v>344223111.09212637</v>
      </c>
      <c r="AK10" s="203">
        <f t="shared" ca="1" si="21"/>
        <v>416121091.69554019</v>
      </c>
      <c r="AL10" s="203">
        <f t="shared" ca="1" si="21"/>
        <v>371448008.8617034</v>
      </c>
      <c r="AM10" s="264"/>
      <c r="AQ10" s="198">
        <v>8</v>
      </c>
      <c r="AR10" s="196">
        <f ca="1">K36</f>
        <v>1935792.3657205701</v>
      </c>
      <c r="AS10" s="196">
        <f ca="1">NPV($AO$2,$AR$4:AR10)+$AR$3</f>
        <v>9697415.8478470556</v>
      </c>
      <c r="AV10" s="462">
        <v>8</v>
      </c>
      <c r="AW10" s="465">
        <f t="shared" ca="1" si="3"/>
        <v>1935792.3657205701</v>
      </c>
      <c r="AX10" s="465">
        <f t="shared" ca="1" si="1"/>
        <v>4792950.6144767487</v>
      </c>
      <c r="AY10" s="467">
        <f ca="1">(AY9/AZ9)^(1/35)-1</f>
        <v>3.5176076511905796E-2</v>
      </c>
      <c r="AZ10" s="196" t="s">
        <v>3319</v>
      </c>
      <c r="BA10" s="415" t="s">
        <v>4267</v>
      </c>
      <c r="BE10" s="477">
        <v>7404078.944678626</v>
      </c>
      <c r="BF10" s="458">
        <v>1.9667943134388688E-2</v>
      </c>
      <c r="BG10" s="477">
        <v>10423130.552558007</v>
      </c>
      <c r="BH10" s="458">
        <v>5.2213332542443647E-2</v>
      </c>
      <c r="BI10" s="477">
        <v>11434638.89946509</v>
      </c>
      <c r="BJ10" s="458">
        <v>9.7628272682039885E-2</v>
      </c>
      <c r="BK10" s="477">
        <v>94728401.58958064</v>
      </c>
      <c r="BL10" s="458">
        <v>0.25443326877093808</v>
      </c>
      <c r="BM10" s="468">
        <v>7.6779864967459446</v>
      </c>
    </row>
    <row r="11" spans="1:75" x14ac:dyDescent="0.3">
      <c r="B11" s="185" t="s">
        <v>4038</v>
      </c>
      <c r="C11" s="186"/>
      <c r="D11" s="187">
        <f>SUM(D12:D15)</f>
        <v>-10231075.001998726</v>
      </c>
      <c r="E11" s="187">
        <f>SUM(E12:E15)</f>
        <v>-10231075.001998726</v>
      </c>
      <c r="F11" s="187">
        <f t="shared" ref="F11:AL11" si="22">SUM(F12:F15)</f>
        <v>-10296353.951998726</v>
      </c>
      <c r="G11" s="187">
        <f>SUM(G12:G15)</f>
        <v>-10261590.211998725</v>
      </c>
      <c r="H11" s="187">
        <f t="shared" si="22"/>
        <v>-20989593.673666347</v>
      </c>
      <c r="I11" s="187">
        <f>SUM(I12:I15)</f>
        <v>-28934691.39073075</v>
      </c>
      <c r="J11" s="187">
        <f t="shared" si="22"/>
        <v>-37957516.851549581</v>
      </c>
      <c r="K11" s="187">
        <f>SUM(K12:K15)</f>
        <v>-45125661.918253772</v>
      </c>
      <c r="L11" s="187">
        <f>SUM(L12:L15)</f>
        <v>-55721177.256527871</v>
      </c>
      <c r="M11" s="187">
        <f t="shared" si="22"/>
        <v>-67769622.057761833</v>
      </c>
      <c r="N11" s="187">
        <f t="shared" si="22"/>
        <v>-74608274.652179524</v>
      </c>
      <c r="O11" s="187">
        <f t="shared" si="22"/>
        <v>-88481906.555949673</v>
      </c>
      <c r="P11" s="187">
        <f t="shared" si="22"/>
        <v>-104100287.49677834</v>
      </c>
      <c r="Q11" s="187">
        <f t="shared" si="22"/>
        <v>-115808571.50671248</v>
      </c>
      <c r="R11" s="187">
        <f t="shared" si="22"/>
        <v>-134574857.47344616</v>
      </c>
      <c r="S11" s="187">
        <f t="shared" si="22"/>
        <v>-155737105.79515076</v>
      </c>
      <c r="T11" s="187">
        <f t="shared" si="22"/>
        <v>-169973953.15807474</v>
      </c>
      <c r="U11" s="187">
        <f t="shared" si="22"/>
        <v>-195235484.20352462</v>
      </c>
      <c r="V11" s="187">
        <f t="shared" si="22"/>
        <v>-207163301.57915476</v>
      </c>
      <c r="W11" s="187">
        <f t="shared" si="22"/>
        <v>-203269887.38413751</v>
      </c>
      <c r="X11" s="187">
        <f t="shared" si="22"/>
        <v>-211413210.4395707</v>
      </c>
      <c r="Y11" s="187">
        <f t="shared" si="22"/>
        <v>-219959290.98801583</v>
      </c>
      <c r="Z11" s="187">
        <f t="shared" si="22"/>
        <v>-214918516.88134909</v>
      </c>
      <c r="AA11" s="187">
        <f t="shared" si="22"/>
        <v>-223634174.03300625</v>
      </c>
      <c r="AB11" s="187">
        <f t="shared" si="22"/>
        <v>-232704017.21324363</v>
      </c>
      <c r="AC11" s="187">
        <f t="shared" si="22"/>
        <v>-226348275.25758204</v>
      </c>
      <c r="AD11" s="187">
        <f t="shared" si="22"/>
        <v>-235557444.63139209</v>
      </c>
      <c r="AE11" s="187">
        <f t="shared" si="22"/>
        <v>-245221898.22101915</v>
      </c>
      <c r="AF11" s="187">
        <f t="shared" si="22"/>
        <v>-237237898.99455816</v>
      </c>
      <c r="AG11" s="187">
        <f t="shared" si="22"/>
        <v>-247000774.53222761</v>
      </c>
      <c r="AH11" s="187">
        <f t="shared" si="22"/>
        <v>-257129314.64939865</v>
      </c>
      <c r="AI11" s="187">
        <f t="shared" si="22"/>
        <v>-267797314.48799086</v>
      </c>
      <c r="AJ11" s="187">
        <f t="shared" si="22"/>
        <v>-278911950.86646175</v>
      </c>
      <c r="AK11" s="187">
        <f t="shared" si="22"/>
        <v>-290571161.78317559</v>
      </c>
      <c r="AL11" s="187">
        <f t="shared" si="22"/>
        <v>-302722730.21994328</v>
      </c>
      <c r="AM11" s="260"/>
      <c r="AQ11" s="198">
        <v>9</v>
      </c>
      <c r="AR11" s="196">
        <f ca="1">L36</f>
        <v>2128766.515798917</v>
      </c>
      <c r="AS11" s="196">
        <f ca="1">NPV($AO$2,$AR$4:AR11)+$AR$3</f>
        <v>10724296.627871726</v>
      </c>
      <c r="AV11" s="462">
        <v>9</v>
      </c>
      <c r="AW11" s="465">
        <f t="shared" ca="1" si="3"/>
        <v>2128766.515798917</v>
      </c>
      <c r="AX11" s="465">
        <f t="shared" ca="1" si="1"/>
        <v>5903237.2045332277</v>
      </c>
      <c r="AY11" s="561" t="s">
        <v>4247</v>
      </c>
      <c r="AZ11" s="561"/>
      <c r="BA11" s="415" t="s">
        <v>4268</v>
      </c>
      <c r="BE11" s="477">
        <v>1928857.2826322063</v>
      </c>
      <c r="BF11" s="458">
        <v>5.0096492071532994E-2</v>
      </c>
      <c r="BG11" s="477">
        <v>6211734.9929566626</v>
      </c>
      <c r="BH11" s="458">
        <v>0.10052503048975381</v>
      </c>
      <c r="BI11" s="477">
        <v>20936658.320056986</v>
      </c>
      <c r="BJ11" s="458">
        <v>0.10915231743344989</v>
      </c>
      <c r="BK11" s="477">
        <v>85464111.103766903</v>
      </c>
      <c r="BL11" s="458">
        <v>0.27312530827177683</v>
      </c>
      <c r="BM11" s="468">
        <v>4.4923307012653595</v>
      </c>
    </row>
    <row r="12" spans="1:75" x14ac:dyDescent="0.3">
      <c r="B12" s="188" t="s">
        <v>4046</v>
      </c>
      <c r="C12" s="186"/>
      <c r="D12" s="189">
        <f>-Custos_Desp!S22</f>
        <v>-6348609.5622605653</v>
      </c>
      <c r="E12" s="189">
        <f>-Custos_Desp!T22</f>
        <v>-6348609.5622605653</v>
      </c>
      <c r="F12" s="189">
        <f>-Custos_Desp!U22</f>
        <v>-6348609.5622605653</v>
      </c>
      <c r="G12" s="189">
        <f>-Custos_Desp!V22</f>
        <v>-6348609.5622605653</v>
      </c>
      <c r="H12" s="189">
        <f>-Custos_Desp!W22</f>
        <v>-13276314.603419637</v>
      </c>
      <c r="I12" s="189">
        <f>-Custos_Desp!X22</f>
        <v>-21202512.320484042</v>
      </c>
      <c r="J12" s="189">
        <f>-Custos_Desp!Y22</f>
        <v>-30244237.781302873</v>
      </c>
      <c r="K12" s="189">
        <f>-Custos_Desp!Z22</f>
        <v>-37393482.848007061</v>
      </c>
      <c r="L12" s="189">
        <f>-Custos_Desp!AA22</f>
        <v>-48007898.18628116</v>
      </c>
      <c r="M12" s="189">
        <f>-Custos_Desp!AB22</f>
        <v>-60037442.987515129</v>
      </c>
      <c r="N12" s="189">
        <f>-Custos_Desp!AC22</f>
        <v>-66894995.581932828</v>
      </c>
      <c r="O12" s="189">
        <f>-Custos_Desp!AD22</f>
        <v>-80749727.485702977</v>
      </c>
      <c r="P12" s="189">
        <f>-Custos_Desp!AE22</f>
        <v>-96387008.426531643</v>
      </c>
      <c r="Q12" s="189">
        <f>-Custos_Desp!AF22</f>
        <v>-108076392.43646578</v>
      </c>
      <c r="R12" s="189">
        <f>-Custos_Desp!AG22</f>
        <v>-126861578.40319945</v>
      </c>
      <c r="S12" s="189">
        <f>-Custos_Desp!AH22</f>
        <v>-148004926.72490406</v>
      </c>
      <c r="T12" s="189">
        <f>-Custos_Desp!AI22</f>
        <v>-162260674.08782804</v>
      </c>
      <c r="U12" s="189">
        <f>-Custos_Desp!AJ22</f>
        <v>-187503305.13327792</v>
      </c>
      <c r="V12" s="189">
        <f>-Custos_Desp!AK22</f>
        <v>-199450022.50890806</v>
      </c>
      <c r="W12" s="189">
        <f>-Custos_Desp!AL22</f>
        <v>-195537708.31389081</v>
      </c>
      <c r="X12" s="189">
        <f>-Custos_Desp!AM22</f>
        <v>-203699931.369324</v>
      </c>
      <c r="Y12" s="189">
        <f>-Custos_Desp!AN22</f>
        <v>-212227111.91776913</v>
      </c>
      <c r="Z12" s="189">
        <f>-Custos_Desp!AO22</f>
        <v>-207205237.81110239</v>
      </c>
      <c r="AA12" s="189">
        <f>-Custos_Desp!AP22</f>
        <v>-215901994.96275955</v>
      </c>
      <c r="AB12" s="189">
        <f>-Custos_Desp!AQ22</f>
        <v>-224990738.14299694</v>
      </c>
      <c r="AC12" s="189">
        <f>-Custos_Desp!AR22</f>
        <v>-218616096.18733534</v>
      </c>
      <c r="AD12" s="189">
        <f>-Custos_Desp!AS22</f>
        <v>-227844165.5611454</v>
      </c>
      <c r="AE12" s="189">
        <f>-Custos_Desp!AT22</f>
        <v>-237489719.15077245</v>
      </c>
      <c r="AF12" s="189">
        <f>-Custos_Desp!AU22</f>
        <v>-229524619.92431146</v>
      </c>
      <c r="AG12" s="189">
        <f>-Custos_Desp!AV22</f>
        <v>-239268595.46198091</v>
      </c>
      <c r="AH12" s="189">
        <f>-Custos_Desp!AW22</f>
        <v>-249416035.57915196</v>
      </c>
      <c r="AI12" s="189">
        <f>-Custos_Desp!AX22</f>
        <v>-260065135.41774416</v>
      </c>
      <c r="AJ12" s="189">
        <f>-Custos_Desp!AY22</f>
        <v>-271198671.79621506</v>
      </c>
      <c r="AK12" s="189">
        <f>-Custos_Desp!AZ22</f>
        <v>-282838982.71292889</v>
      </c>
      <c r="AL12" s="189">
        <f>-Custos_Desp!BA22</f>
        <v>-295009451.14969659</v>
      </c>
      <c r="AM12" s="261"/>
      <c r="AN12" s="180" t="s">
        <v>4248</v>
      </c>
      <c r="AO12" s="468">
        <f ca="1">_xlfn.NORM.INV(RAND(),AN31,AN32)</f>
        <v>11.815195018568524</v>
      </c>
      <c r="AP12" s="180" t="s">
        <v>4044</v>
      </c>
      <c r="AQ12" s="198">
        <v>10</v>
      </c>
      <c r="AR12" s="196">
        <f ca="1">M36</f>
        <v>4613361.9414490163</v>
      </c>
      <c r="AS12" s="196">
        <f ca="1">NPV($AO$2,$AR$4:AR12)+$AR$3</f>
        <v>12755874.728888592</v>
      </c>
      <c r="AV12" s="462">
        <v>10</v>
      </c>
      <c r="AW12" s="465">
        <f t="shared" ca="1" si="3"/>
        <v>4613361.9414490163</v>
      </c>
      <c r="AX12" s="465">
        <f t="shared" ca="1" si="1"/>
        <v>14328401.920292798</v>
      </c>
      <c r="AY12" s="178" t="s">
        <v>4231</v>
      </c>
      <c r="AZ12" s="178" t="s">
        <v>4232</v>
      </c>
      <c r="BA12" s="415" t="s">
        <v>4270</v>
      </c>
      <c r="BE12" s="477">
        <v>4805995.8875549259</v>
      </c>
      <c r="BF12" s="458">
        <v>3.2732417189174967E-2</v>
      </c>
      <c r="BG12" s="477">
        <v>3559401.6219957578</v>
      </c>
      <c r="BH12" s="458">
        <v>9.281352347472005E-2</v>
      </c>
      <c r="BI12" s="477">
        <v>11137270.841593936</v>
      </c>
      <c r="BJ12" s="458">
        <v>0.11026167829701006</v>
      </c>
      <c r="BK12" s="477">
        <v>90364794.887940869</v>
      </c>
      <c r="BL12" s="458">
        <v>0.27166803091591607</v>
      </c>
      <c r="BM12" s="468">
        <v>11.475268867023781</v>
      </c>
    </row>
    <row r="13" spans="1:75" x14ac:dyDescent="0.3">
      <c r="B13" s="188" t="s">
        <v>4047</v>
      </c>
      <c r="C13" s="190"/>
      <c r="D13" s="189">
        <f t="shared" ref="D13:F13" si="23">E13</f>
        <v>-1909599.2102542734</v>
      </c>
      <c r="E13" s="189">
        <f t="shared" si="23"/>
        <v>-1909599.2102542734</v>
      </c>
      <c r="F13" s="189">
        <f t="shared" si="23"/>
        <v>-1909599.2102542734</v>
      </c>
      <c r="G13" s="189">
        <f>H13*(1/3)</f>
        <v>-1909599.2102542734</v>
      </c>
      <c r="H13" s="189">
        <f>-Custos_Desp!E30</f>
        <v>-5728797.6307628201</v>
      </c>
      <c r="I13" s="189">
        <f t="shared" ref="I13:AL13" si="24">H13</f>
        <v>-5728797.6307628201</v>
      </c>
      <c r="J13" s="189">
        <f t="shared" si="24"/>
        <v>-5728797.6307628201</v>
      </c>
      <c r="K13" s="189">
        <f t="shared" si="24"/>
        <v>-5728797.6307628201</v>
      </c>
      <c r="L13" s="189">
        <f t="shared" si="24"/>
        <v>-5728797.6307628201</v>
      </c>
      <c r="M13" s="189">
        <f t="shared" si="24"/>
        <v>-5728797.6307628201</v>
      </c>
      <c r="N13" s="189">
        <f t="shared" si="24"/>
        <v>-5728797.6307628201</v>
      </c>
      <c r="O13" s="189">
        <f t="shared" si="24"/>
        <v>-5728797.6307628201</v>
      </c>
      <c r="P13" s="189">
        <f t="shared" si="24"/>
        <v>-5728797.6307628201</v>
      </c>
      <c r="Q13" s="189">
        <f t="shared" si="24"/>
        <v>-5728797.6307628201</v>
      </c>
      <c r="R13" s="189">
        <f t="shared" si="24"/>
        <v>-5728797.6307628201</v>
      </c>
      <c r="S13" s="189">
        <f t="shared" si="24"/>
        <v>-5728797.6307628201</v>
      </c>
      <c r="T13" s="189">
        <f t="shared" si="24"/>
        <v>-5728797.6307628201</v>
      </c>
      <c r="U13" s="189">
        <f t="shared" si="24"/>
        <v>-5728797.6307628201</v>
      </c>
      <c r="V13" s="189">
        <f t="shared" si="24"/>
        <v>-5728797.6307628201</v>
      </c>
      <c r="W13" s="189">
        <f t="shared" si="24"/>
        <v>-5728797.6307628201</v>
      </c>
      <c r="X13" s="189">
        <f t="shared" si="24"/>
        <v>-5728797.6307628201</v>
      </c>
      <c r="Y13" s="189">
        <f t="shared" si="24"/>
        <v>-5728797.6307628201</v>
      </c>
      <c r="Z13" s="189">
        <f t="shared" si="24"/>
        <v>-5728797.6307628201</v>
      </c>
      <c r="AA13" s="189">
        <f t="shared" si="24"/>
        <v>-5728797.6307628201</v>
      </c>
      <c r="AB13" s="189">
        <f t="shared" si="24"/>
        <v>-5728797.6307628201</v>
      </c>
      <c r="AC13" s="189">
        <f t="shared" si="24"/>
        <v>-5728797.6307628201</v>
      </c>
      <c r="AD13" s="189">
        <f t="shared" si="24"/>
        <v>-5728797.6307628201</v>
      </c>
      <c r="AE13" s="189">
        <f t="shared" si="24"/>
        <v>-5728797.6307628201</v>
      </c>
      <c r="AF13" s="189">
        <f t="shared" si="24"/>
        <v>-5728797.6307628201</v>
      </c>
      <c r="AG13" s="189">
        <f t="shared" si="24"/>
        <v>-5728797.6307628201</v>
      </c>
      <c r="AH13" s="189">
        <f t="shared" si="24"/>
        <v>-5728797.6307628201</v>
      </c>
      <c r="AI13" s="189">
        <f t="shared" si="24"/>
        <v>-5728797.6307628201</v>
      </c>
      <c r="AJ13" s="189">
        <f t="shared" si="24"/>
        <v>-5728797.6307628201</v>
      </c>
      <c r="AK13" s="189">
        <f t="shared" si="24"/>
        <v>-5728797.6307628201</v>
      </c>
      <c r="AL13" s="189">
        <f t="shared" si="24"/>
        <v>-5728797.6307628201</v>
      </c>
      <c r="AM13" s="261"/>
      <c r="AN13" s="180">
        <v>8</v>
      </c>
      <c r="AQ13" s="198">
        <v>11</v>
      </c>
      <c r="AR13" s="196">
        <f ca="1">N36</f>
        <v>-2962753.7678911611</v>
      </c>
      <c r="AS13" s="196">
        <f ca="1">NPV($AO$2,$AR$4:AR13)+$AR$3</f>
        <v>11564809.482476002</v>
      </c>
      <c r="AV13" s="463">
        <v>11</v>
      </c>
      <c r="AW13" s="466">
        <f t="shared" ca="1" si="3"/>
        <v>-2962753.7678911611</v>
      </c>
      <c r="AX13" s="466">
        <f t="shared" ca="1" si="1"/>
        <v>-636823.8429805456</v>
      </c>
      <c r="AY13" s="196">
        <f ca="1">SUMIF(AX3:AX12,"&gt;=0")</f>
        <v>51917561.067191899</v>
      </c>
      <c r="AZ13" s="196">
        <f ca="1">-SUMIF(AX3:AX12,"&lt;0")</f>
        <v>3939453.5688452497</v>
      </c>
      <c r="BA13" s="415" t="s">
        <v>4271</v>
      </c>
      <c r="BE13" s="477">
        <v>5187975.2625833219</v>
      </c>
      <c r="BF13" s="458">
        <v>9.6769747358673275E-2</v>
      </c>
      <c r="BG13" s="477">
        <v>3493846.6283117826</v>
      </c>
      <c r="BH13" s="458">
        <v>6.828266345752354E-2</v>
      </c>
      <c r="BI13" s="477">
        <v>18576735.352341115</v>
      </c>
      <c r="BJ13" s="458">
        <v>0.11119026743176796</v>
      </c>
      <c r="BK13" s="477">
        <v>96987470.301072523</v>
      </c>
      <c r="BL13" s="458">
        <v>0.28639458244472049</v>
      </c>
      <c r="BM13" s="468">
        <v>10.882096754445579</v>
      </c>
    </row>
    <row r="14" spans="1:75" x14ac:dyDescent="0.3">
      <c r="B14" s="188" t="s">
        <v>4077</v>
      </c>
      <c r="C14" s="190"/>
      <c r="D14" s="189">
        <f>-'Custos Ambientais'!V7</f>
        <v>-689319.4800000001</v>
      </c>
      <c r="E14" s="189">
        <f>-'Custos Ambientais'!W7</f>
        <v>-689319.4800000001</v>
      </c>
      <c r="F14" s="189">
        <f>-'Custos Ambientais'!X7</f>
        <v>-754598.43</v>
      </c>
      <c r="G14" s="189">
        <f>-'Custos Ambientais'!Y7</f>
        <v>-719834.69000000006</v>
      </c>
      <c r="H14" s="189">
        <f>-'Custos Ambientais'!Z7</f>
        <v>-700934.69000000006</v>
      </c>
      <c r="I14" s="189">
        <f>-'Custos Ambientais'!AA7</f>
        <v>-719834.69000000006</v>
      </c>
      <c r="J14" s="189">
        <f>-'Custos Ambientais'!AB7</f>
        <v>-700934.69000000006</v>
      </c>
      <c r="K14" s="189">
        <f>-'Custos Ambientais'!AC7</f>
        <v>-719834.69000000006</v>
      </c>
      <c r="L14" s="189">
        <f>-'Custos Ambientais'!AD7</f>
        <v>-700934.69000000006</v>
      </c>
      <c r="M14" s="189">
        <f>-'Custos Ambientais'!AE7</f>
        <v>-719834.69000000006</v>
      </c>
      <c r="N14" s="189">
        <f>-'Custos Ambientais'!AF7</f>
        <v>-700934.69000000006</v>
      </c>
      <c r="O14" s="189">
        <f>-'Custos Ambientais'!AG7</f>
        <v>-719834.69000000006</v>
      </c>
      <c r="P14" s="189">
        <f>-'Custos Ambientais'!AH7</f>
        <v>-700934.69000000006</v>
      </c>
      <c r="Q14" s="189">
        <f>-'Custos Ambientais'!AI7</f>
        <v>-719834.69000000006</v>
      </c>
      <c r="R14" s="189">
        <f>-'Custos Ambientais'!AJ7</f>
        <v>-700934.69000000006</v>
      </c>
      <c r="S14" s="189">
        <f>-'Custos Ambientais'!AK7</f>
        <v>-719834.69000000006</v>
      </c>
      <c r="T14" s="189">
        <f>-'Custos Ambientais'!AL7</f>
        <v>-700934.69000000006</v>
      </c>
      <c r="U14" s="189">
        <f>-'Custos Ambientais'!AM7</f>
        <v>-719834.69000000006</v>
      </c>
      <c r="V14" s="189">
        <f>-'Custos Ambientais'!AN7</f>
        <v>-700934.69000000006</v>
      </c>
      <c r="W14" s="189">
        <f>-'Custos Ambientais'!AO7</f>
        <v>-719834.69000000006</v>
      </c>
      <c r="X14" s="189">
        <f>-'Custos Ambientais'!AP7</f>
        <v>-700934.69000000006</v>
      </c>
      <c r="Y14" s="189">
        <f>-'Custos Ambientais'!AQ7</f>
        <v>-719834.69000000006</v>
      </c>
      <c r="Z14" s="189">
        <f>-'Custos Ambientais'!AR7</f>
        <v>-700934.69000000006</v>
      </c>
      <c r="AA14" s="189">
        <f>-'Custos Ambientais'!AS7</f>
        <v>-719834.69000000006</v>
      </c>
      <c r="AB14" s="189">
        <f>-'Custos Ambientais'!AT7</f>
        <v>-700934.69000000006</v>
      </c>
      <c r="AC14" s="189">
        <f>-'Custos Ambientais'!AU7</f>
        <v>-719834.69000000006</v>
      </c>
      <c r="AD14" s="189">
        <f>-'Custos Ambientais'!AV7</f>
        <v>-700934.69000000006</v>
      </c>
      <c r="AE14" s="189">
        <f>-'Custos Ambientais'!AW7</f>
        <v>-719834.69000000006</v>
      </c>
      <c r="AF14" s="189">
        <f>-'Custos Ambientais'!AX7</f>
        <v>-700934.69000000006</v>
      </c>
      <c r="AG14" s="189">
        <f>-'Custos Ambientais'!AY7</f>
        <v>-719834.69000000006</v>
      </c>
      <c r="AH14" s="189">
        <f>-'Custos Ambientais'!AZ7</f>
        <v>-700934.69000000006</v>
      </c>
      <c r="AI14" s="189">
        <f>-'Custos Ambientais'!BA7</f>
        <v>-719834.69000000006</v>
      </c>
      <c r="AJ14" s="189">
        <f>-'Custos Ambientais'!BB7</f>
        <v>-700934.69000000006</v>
      </c>
      <c r="AK14" s="189">
        <f>-'Custos Ambientais'!BC7</f>
        <v>-719834.69000000006</v>
      </c>
      <c r="AL14" s="189">
        <f>-'Custos Ambientais'!BD7</f>
        <v>-700934.69000000006</v>
      </c>
      <c r="AM14" s="261"/>
      <c r="AN14" s="180">
        <v>9</v>
      </c>
      <c r="AQ14" s="198">
        <v>12</v>
      </c>
      <c r="AR14" s="196">
        <f ca="1">O36</f>
        <v>603685.77875319775</v>
      </c>
      <c r="AS14" s="196">
        <f ca="1">NPV($AO$2,$AR$4:AR14)+$AR$3</f>
        <v>11786361.106637161</v>
      </c>
      <c r="AV14" s="463">
        <v>12</v>
      </c>
      <c r="AW14" s="466">
        <f t="shared" ca="1" si="3"/>
        <v>603685.77875319775</v>
      </c>
      <c r="AX14" s="466">
        <f t="shared" ca="1" si="1"/>
        <v>2351945.3010644857</v>
      </c>
      <c r="AY14" s="467">
        <f ca="1">(AY13/AZ13)^(1/35)-1</f>
        <v>7.6456594768290032E-2</v>
      </c>
      <c r="AZ14" s="196" t="s">
        <v>3319</v>
      </c>
      <c r="BA14" s="415" t="s">
        <v>4272</v>
      </c>
      <c r="BE14" s="477">
        <v>8116346.9313738644</v>
      </c>
      <c r="BF14" s="458">
        <v>2.5133220833106318E-2</v>
      </c>
      <c r="BG14" s="477">
        <v>8348869.530060784</v>
      </c>
      <c r="BH14" s="458">
        <v>7.2968105313805154E-2</v>
      </c>
      <c r="BI14" s="477">
        <v>7194467.6264340859</v>
      </c>
      <c r="BJ14" s="458">
        <v>0.12074444323228573</v>
      </c>
      <c r="BK14" s="477">
        <v>84048957.716649517</v>
      </c>
      <c r="BL14" s="458">
        <v>0.27322024766129704</v>
      </c>
      <c r="BM14" s="468">
        <v>6.8829125831882001</v>
      </c>
    </row>
    <row r="15" spans="1:75" x14ac:dyDescent="0.3">
      <c r="B15" s="188" t="s">
        <v>4021</v>
      </c>
      <c r="C15" s="190"/>
      <c r="D15" s="189">
        <v>-1283546.7494838876</v>
      </c>
      <c r="E15" s="189">
        <v>-1283546.7494838876</v>
      </c>
      <c r="F15" s="189">
        <v>-1283546.7494838876</v>
      </c>
      <c r="G15" s="189">
        <v>-1283546.7494838876</v>
      </c>
      <c r="H15" s="189">
        <v>-1283546.7494838876</v>
      </c>
      <c r="I15" s="189">
        <v>-1283546.7494838876</v>
      </c>
      <c r="J15" s="189">
        <v>-1283546.7494838876</v>
      </c>
      <c r="K15" s="189">
        <v>-1283546.7494838876</v>
      </c>
      <c r="L15" s="189">
        <v>-1283546.7494838876</v>
      </c>
      <c r="M15" s="189">
        <v>-1283546.7494838876</v>
      </c>
      <c r="N15" s="189">
        <v>-1283546.7494838876</v>
      </c>
      <c r="O15" s="189">
        <v>-1283546.7494838876</v>
      </c>
      <c r="P15" s="189">
        <v>-1283546.7494838876</v>
      </c>
      <c r="Q15" s="189">
        <v>-1283546.7494838876</v>
      </c>
      <c r="R15" s="189">
        <v>-1283546.7494838876</v>
      </c>
      <c r="S15" s="189">
        <v>-1283546.7494838876</v>
      </c>
      <c r="T15" s="189">
        <v>-1283546.7494838876</v>
      </c>
      <c r="U15" s="189">
        <v>-1283546.7494838876</v>
      </c>
      <c r="V15" s="189">
        <v>-1283546.7494838876</v>
      </c>
      <c r="W15" s="189">
        <v>-1283546.7494838876</v>
      </c>
      <c r="X15" s="189">
        <v>-1283546.7494838876</v>
      </c>
      <c r="Y15" s="189">
        <v>-1283546.7494838876</v>
      </c>
      <c r="Z15" s="189">
        <v>-1283546.7494838876</v>
      </c>
      <c r="AA15" s="189">
        <v>-1283546.7494838876</v>
      </c>
      <c r="AB15" s="189">
        <v>-1283546.7494838876</v>
      </c>
      <c r="AC15" s="189">
        <v>-1283546.7494838876</v>
      </c>
      <c r="AD15" s="189">
        <v>-1283546.7494838876</v>
      </c>
      <c r="AE15" s="189">
        <v>-1283546.7494838876</v>
      </c>
      <c r="AF15" s="189">
        <v>-1283546.7494838876</v>
      </c>
      <c r="AG15" s="189">
        <v>-1283546.7494838876</v>
      </c>
      <c r="AH15" s="189">
        <v>-1283546.7494838876</v>
      </c>
      <c r="AI15" s="189">
        <v>-1283546.7494838876</v>
      </c>
      <c r="AJ15" s="189">
        <v>-1283546.7494838876</v>
      </c>
      <c r="AK15" s="189">
        <v>-1283546.7494838876</v>
      </c>
      <c r="AL15" s="189">
        <v>-1283546.7494838876</v>
      </c>
      <c r="AM15" s="261"/>
      <c r="AN15" s="180">
        <v>6</v>
      </c>
      <c r="AQ15" s="198">
        <v>13</v>
      </c>
      <c r="AR15" s="196">
        <f ca="1">P36</f>
        <v>2636606.6512990911</v>
      </c>
      <c r="AS15" s="196">
        <f ca="1">NPV($AO$2,$AR$4:AR15)+$AR$3</f>
        <v>12669712.168989602</v>
      </c>
      <c r="AV15" s="463">
        <v>13</v>
      </c>
      <c r="AW15" s="466">
        <f t="shared" ca="1" si="3"/>
        <v>2636606.6512990911</v>
      </c>
      <c r="AX15" s="466">
        <f t="shared" ca="1" si="1"/>
        <v>11504814.961081058</v>
      </c>
      <c r="AY15" s="561" t="s">
        <v>4249</v>
      </c>
      <c r="AZ15" s="561"/>
      <c r="BA15" s="415" t="s">
        <v>4206</v>
      </c>
      <c r="BE15" s="477">
        <v>8716434.0392371919</v>
      </c>
      <c r="BF15" s="458">
        <v>4.463986719341384E-2</v>
      </c>
      <c r="BG15" s="477">
        <v>4367774.2873194702</v>
      </c>
      <c r="BH15" s="458">
        <v>4.7278164986104931E-2</v>
      </c>
      <c r="BI15" s="477">
        <v>16806714.422759712</v>
      </c>
      <c r="BJ15" s="458">
        <v>0.13523955285755695</v>
      </c>
      <c r="BK15" s="477">
        <v>82908455.011644095</v>
      </c>
      <c r="BL15" s="458">
        <v>0.29609954000678651</v>
      </c>
      <c r="BM15" s="468">
        <v>7.8987223003892124</v>
      </c>
    </row>
    <row r="16" spans="1:75" x14ac:dyDescent="0.3">
      <c r="B16" s="188"/>
      <c r="C16" s="186"/>
      <c r="D16" s="187"/>
      <c r="E16" s="416">
        <f ca="1">E17/D17-1</f>
        <v>-0.13149807051275297</v>
      </c>
      <c r="F16" s="416">
        <f t="shared" ref="F16:I16" ca="1" si="25">F17/E17-1</f>
        <v>0.25182103471168027</v>
      </c>
      <c r="G16" s="416">
        <f t="shared" ca="1" si="25"/>
        <v>-0.37501230515984141</v>
      </c>
      <c r="H16" s="416">
        <f t="shared" ca="1" si="25"/>
        <v>9.3780140133374879E-2</v>
      </c>
      <c r="I16" s="416">
        <f t="shared" ca="1" si="25"/>
        <v>-5.1862813730485402E-2</v>
      </c>
      <c r="J16" s="416">
        <f ca="1">J17/I17-1</f>
        <v>-0.11321542679812291</v>
      </c>
      <c r="K16" s="416">
        <f t="shared" ref="K16" ca="1" si="26">K17/J17-1</f>
        <v>-0.28921819822323069</v>
      </c>
      <c r="L16" s="416">
        <f ca="1">L17/K17-1</f>
        <v>0.12511957191437761</v>
      </c>
      <c r="M16" s="416">
        <f t="shared" ref="M16:P16" ca="1" si="27">M17/L17-1</f>
        <v>0.86155715049466819</v>
      </c>
      <c r="N16" s="416">
        <f t="shared" ca="1" si="27"/>
        <v>-1.0953379462735573</v>
      </c>
      <c r="O16" s="416">
        <f t="shared" ca="1" si="27"/>
        <v>-4.7670142548833336</v>
      </c>
      <c r="P16" s="416">
        <f t="shared" ca="1" si="27"/>
        <v>0.8726210878887033</v>
      </c>
      <c r="Q16" s="416">
        <f ca="1">Q17/P17-1</f>
        <v>0.66531444930612516</v>
      </c>
      <c r="R16" s="416">
        <f ca="1">R17/Q17-1</f>
        <v>-1.3539214218171867</v>
      </c>
      <c r="S16" s="416">
        <f t="shared" ref="S16:U16" ca="1" si="28">S17/R17-1</f>
        <v>-7.5871146746957399</v>
      </c>
      <c r="T16" s="416">
        <f t="shared" ca="1" si="28"/>
        <v>-1.099775937432768</v>
      </c>
      <c r="U16" s="416">
        <f t="shared" ca="1" si="28"/>
        <v>-9.25691897493369</v>
      </c>
      <c r="V16" s="416">
        <f ca="1">V17/U17-1</f>
        <v>0.16710917419635929</v>
      </c>
      <c r="W16" s="416">
        <f t="shared" ref="W16:Z16" ca="1" si="29">W17/V17-1</f>
        <v>1.3974759708582001</v>
      </c>
      <c r="X16" s="416">
        <f t="shared" ca="1" si="29"/>
        <v>-0.46341575445445349</v>
      </c>
      <c r="Y16" s="416">
        <f t="shared" ca="1" si="29"/>
        <v>-0.4118866773468367</v>
      </c>
      <c r="Z16" s="416">
        <f t="shared" ca="1" si="29"/>
        <v>1.597587814259303</v>
      </c>
      <c r="AA16" s="416">
        <f ca="1">AA17/Z17-1</f>
        <v>0.2435951136207779</v>
      </c>
      <c r="AB16" s="416">
        <f t="shared" ref="AB16" ca="1" si="30">AB17/AA17-1</f>
        <v>0.18862150942147937</v>
      </c>
      <c r="AC16" s="416">
        <f ca="1">AC17/AB17-1</f>
        <v>-2.060630971446209E-2</v>
      </c>
      <c r="AD16" s="416">
        <f t="shared" ref="AD16:AG16" ca="1" si="31">AD17/AC17-1</f>
        <v>-0.54301496101051305</v>
      </c>
      <c r="AE16" s="416">
        <f t="shared" ca="1" si="31"/>
        <v>1.8462341539000366</v>
      </c>
      <c r="AF16" s="416">
        <f t="shared" ca="1" si="31"/>
        <v>0.14059330992146313</v>
      </c>
      <c r="AG16" s="416">
        <f t="shared" ca="1" si="31"/>
        <v>5.1198736637371622E-2</v>
      </c>
      <c r="AH16" s="416">
        <f ca="1">AH17/AG17-1</f>
        <v>-0.32683636467764821</v>
      </c>
      <c r="AI16" s="416">
        <f t="shared" ref="AI16" ca="1" si="32">AI17/AH17-1</f>
        <v>0.34280759859156618</v>
      </c>
      <c r="AJ16" s="416">
        <f ca="1">AJ17/AI17-1</f>
        <v>-0.29332262090598682</v>
      </c>
      <c r="AK16" s="416">
        <f t="shared" ref="AK16:AL16" ca="1" si="33">AK17/AJ17-1</f>
        <v>0.92233501102356175</v>
      </c>
      <c r="AL16" s="416">
        <f t="shared" ca="1" si="33"/>
        <v>-0.45260599755227904</v>
      </c>
      <c r="AN16" s="180">
        <v>6</v>
      </c>
      <c r="AQ16" s="198">
        <v>14</v>
      </c>
      <c r="AR16" s="196">
        <f ca="1">Q36</f>
        <v>5640463.1463031499</v>
      </c>
      <c r="AS16" s="196">
        <f ca="1">NPV($AO$2,$AR$4:AR16)+$AR$3</f>
        <v>14394861.752610112</v>
      </c>
      <c r="AV16" s="463">
        <v>14</v>
      </c>
      <c r="AW16" s="466">
        <f t="shared" ca="1" si="3"/>
        <v>5640463.1463031499</v>
      </c>
      <c r="AX16" s="466">
        <f t="shared" ca="1" si="1"/>
        <v>27565576.735675152</v>
      </c>
      <c r="AY16" s="178" t="s">
        <v>4231</v>
      </c>
      <c r="AZ16" s="178" t="s">
        <v>4232</v>
      </c>
      <c r="BA16" s="415" t="s">
        <v>4207</v>
      </c>
      <c r="BE16" s="477">
        <v>4773080.9799869601</v>
      </c>
      <c r="BF16" s="458">
        <v>3.6963430645603257E-2</v>
      </c>
      <c r="BG16" s="477">
        <v>7576512.4191618124</v>
      </c>
      <c r="BH16" s="458">
        <v>9.1226645859904032E-2</v>
      </c>
      <c r="BI16" s="477">
        <v>10389992.404774744</v>
      </c>
      <c r="BJ16" s="458">
        <v>8.8942404262437602E-2</v>
      </c>
      <c r="BK16" s="477">
        <v>86670389.582617357</v>
      </c>
      <c r="BL16" s="458">
        <v>0.25563323200042976</v>
      </c>
      <c r="BM16" s="468">
        <v>0.71792114525590733</v>
      </c>
    </row>
    <row r="17" spans="2:65" x14ac:dyDescent="0.3">
      <c r="B17" s="200" t="s">
        <v>4022</v>
      </c>
      <c r="C17" s="200"/>
      <c r="D17" s="203">
        <f t="shared" ref="D17:AL17" ca="1" si="34">D10+D11</f>
        <v>9866392.209409032</v>
      </c>
      <c r="E17" s="203">
        <f t="shared" ca="1" si="34"/>
        <v>8568980.6709496863</v>
      </c>
      <c r="F17" s="203">
        <f t="shared" ca="1" si="34"/>
        <v>10726830.249932624</v>
      </c>
      <c r="G17" s="203">
        <f t="shared" ca="1" si="34"/>
        <v>6704136.9108470734</v>
      </c>
      <c r="H17" s="203">
        <f t="shared" ca="1" si="34"/>
        <v>7332851.8098196425</v>
      </c>
      <c r="I17" s="203">
        <f t="shared" ca="1" si="34"/>
        <v>6952549.4822937138</v>
      </c>
      <c r="J17" s="203">
        <f t="shared" ca="1" si="34"/>
        <v>6165413.6253207624</v>
      </c>
      <c r="K17" s="203">
        <f t="shared" ca="1" si="34"/>
        <v>4382263.8053045347</v>
      </c>
      <c r="L17" s="203">
        <f t="shared" ca="1" si="34"/>
        <v>4930570.7766401097</v>
      </c>
      <c r="M17" s="203">
        <f t="shared" ca="1" si="34"/>
        <v>9178539.285274446</v>
      </c>
      <c r="N17" s="203">
        <f t="shared" ca="1" si="34"/>
        <v>-875063.08524923027</v>
      </c>
      <c r="O17" s="203">
        <f t="shared" ca="1" si="34"/>
        <v>3296375.1160560399</v>
      </c>
      <c r="P17" s="203">
        <f t="shared" ca="1" si="34"/>
        <v>6172861.5559181124</v>
      </c>
      <c r="Q17" s="203">
        <f t="shared" ca="1" si="34"/>
        <v>10279755.542636722</v>
      </c>
      <c r="R17" s="203">
        <f t="shared" ca="1" si="34"/>
        <v>-3638225.6975830942</v>
      </c>
      <c r="S17" s="203">
        <f t="shared" ca="1" si="34"/>
        <v>23965409.882404745</v>
      </c>
      <c r="T17" s="203">
        <f t="shared" ca="1" si="34"/>
        <v>-2391171.236977458</v>
      </c>
      <c r="U17" s="203">
        <f ca="1">U10+U11</f>
        <v>19743707.158914834</v>
      </c>
      <c r="V17" s="203">
        <f ca="1">V10+V11</f>
        <v>23043061.757815838</v>
      </c>
      <c r="W17" s="203">
        <f t="shared" ca="1" si="34"/>
        <v>55245186.859364986</v>
      </c>
      <c r="X17" s="203">
        <f t="shared" ca="1" si="34"/>
        <v>29643696.910955101</v>
      </c>
      <c r="Y17" s="203">
        <f t="shared" ca="1" si="34"/>
        <v>17433853.086025119</v>
      </c>
      <c r="Z17" s="203">
        <f t="shared" ca="1" si="34"/>
        <v>45285964.33184579</v>
      </c>
      <c r="AA17" s="203">
        <f t="shared" ca="1" si="34"/>
        <v>56317403.958688259</v>
      </c>
      <c r="AB17" s="203">
        <f t="shared" ca="1" si="34"/>
        <v>66940077.700075239</v>
      </c>
      <c r="AC17" s="203">
        <f t="shared" ca="1" si="34"/>
        <v>65560689.726677328</v>
      </c>
      <c r="AD17" s="203">
        <f t="shared" ca="1" si="34"/>
        <v>29960254.3509233</v>
      </c>
      <c r="AE17" s="203">
        <f t="shared" ca="1" si="34"/>
        <v>85273899.193130076</v>
      </c>
      <c r="AF17" s="203">
        <f t="shared" ca="1" si="34"/>
        <v>97262838.930601418</v>
      </c>
      <c r="AG17" s="203">
        <f t="shared" ca="1" si="34"/>
        <v>102242573.40561238</v>
      </c>
      <c r="AH17" s="203">
        <f t="shared" ca="1" si="34"/>
        <v>68825982.39843443</v>
      </c>
      <c r="AI17" s="203">
        <f t="shared" ca="1" si="34"/>
        <v>92420052.145147145</v>
      </c>
      <c r="AJ17" s="203">
        <f t="shared" ca="1" si="34"/>
        <v>65311160.225664616</v>
      </c>
      <c r="AK17" s="203">
        <f t="shared" ca="1" si="34"/>
        <v>125549929.9123646</v>
      </c>
      <c r="AL17" s="203">
        <f t="shared" ca="1" si="34"/>
        <v>68725278.641760111</v>
      </c>
      <c r="AM17" s="264"/>
      <c r="AN17" s="180">
        <v>14</v>
      </c>
      <c r="AQ17" s="198">
        <v>15</v>
      </c>
      <c r="AR17" s="196">
        <f ca="1">R36</f>
        <v>-6019113.2322886884</v>
      </c>
      <c r="AS17" s="196">
        <f ca="1">NPV($AO$2,$AR$4:AR17)+$AR$3</f>
        <v>12714245.711488536</v>
      </c>
      <c r="AV17" s="463">
        <v>15</v>
      </c>
      <c r="AW17" s="466">
        <f t="shared" ca="1" si="3"/>
        <v>-6019113.2322886884</v>
      </c>
      <c r="AX17" s="466">
        <f t="shared" ca="1" si="1"/>
        <v>-739715.8220747473</v>
      </c>
      <c r="AY17" s="196">
        <f ca="1">SUMIF(AX3:AX17,"&gt;=0")</f>
        <v>93339898.065012589</v>
      </c>
      <c r="AZ17" s="196">
        <f ca="1">-SUMIF(AX3:AX17,"&lt;0")</f>
        <v>5315993.2339005433</v>
      </c>
      <c r="BA17" s="415" t="s">
        <v>4208</v>
      </c>
      <c r="BE17" s="477">
        <v>9120775.8502953127</v>
      </c>
      <c r="BF17" s="458">
        <v>4.752919263579658E-2</v>
      </c>
      <c r="BG17" s="477">
        <v>10164232.360463554</v>
      </c>
      <c r="BH17" s="458">
        <v>6.4694574948769956E-2</v>
      </c>
      <c r="BI17" s="477">
        <v>22802311.027561076</v>
      </c>
      <c r="BJ17" s="458">
        <v>0.11961815411967613</v>
      </c>
      <c r="BK17" s="477">
        <v>108201952.97928967</v>
      </c>
      <c r="BL17" s="458">
        <v>0.2564791572109506</v>
      </c>
      <c r="BM17" s="468">
        <v>11.260595990638391</v>
      </c>
    </row>
    <row r="18" spans="2:65" s="191" customFormat="1" x14ac:dyDescent="0.3">
      <c r="B18" s="181" t="s">
        <v>4023</v>
      </c>
      <c r="C18" s="184"/>
      <c r="D18" s="183">
        <f>-'Cron.FF &amp; Deprec'!D156</f>
        <v>0</v>
      </c>
      <c r="E18" s="183">
        <f>-'Cron.FF &amp; Deprec'!E156</f>
        <v>-133000</v>
      </c>
      <c r="F18" s="183">
        <f>-'Cron.FF &amp; Deprec'!F156</f>
        <v>-591000</v>
      </c>
      <c r="G18" s="183">
        <f>-'Cron.FF &amp; Deprec'!G156</f>
        <v>-913000</v>
      </c>
      <c r="H18" s="183">
        <f>-'Cron.FF &amp; Deprec'!H156</f>
        <v>-2711500</v>
      </c>
      <c r="I18" s="183">
        <f>-'Cron.FF &amp; Deprec'!I156</f>
        <v>-3978000</v>
      </c>
      <c r="J18" s="183">
        <f>-'Cron.FF &amp; Deprec'!J156</f>
        <v>-3978000</v>
      </c>
      <c r="K18" s="183">
        <f>-'Cron.FF &amp; Deprec'!K156</f>
        <v>-3798000</v>
      </c>
      <c r="L18" s="183">
        <f>-'Cron.FF &amp; Deprec'!L156</f>
        <v>-3734000</v>
      </c>
      <c r="M18" s="183">
        <f>-'Cron.FF &amp; Deprec'!M156</f>
        <v>-2906000</v>
      </c>
      <c r="N18" s="183">
        <f>-'Cron.FF &amp; Deprec'!N156</f>
        <v>-2106000</v>
      </c>
      <c r="O18" s="183">
        <f>-'Cron.FF &amp; Deprec'!O156</f>
        <v>-2053000</v>
      </c>
      <c r="P18" s="183">
        <f>-'Cron.FF &amp; Deprec'!P156</f>
        <v>-1834000</v>
      </c>
      <c r="Q18" s="183">
        <f>-'Cron.FF &amp; Deprec'!Q156</f>
        <v>-1779000</v>
      </c>
      <c r="R18" s="183">
        <f>-'Cron.FF &amp; Deprec'!R156</f>
        <v>-1159000</v>
      </c>
      <c r="S18" s="183">
        <f>-'Cron.FF &amp; Deprec'!S156</f>
        <v>-1039000</v>
      </c>
      <c r="T18" s="183">
        <f>-'Cron.FF &amp; Deprec'!T156</f>
        <v>-1039000</v>
      </c>
      <c r="U18" s="183">
        <f>-'Cron.FF &amp; Deprec'!U156</f>
        <v>-1039000</v>
      </c>
      <c r="V18" s="183">
        <f>-'Cron.FF &amp; Deprec'!V156</f>
        <v>-1039000</v>
      </c>
      <c r="W18" s="183">
        <f>-'Cron.FF &amp; Deprec'!W156</f>
        <v>-1039000</v>
      </c>
      <c r="X18" s="183">
        <f>-'Cron.FF &amp; Deprec'!X156</f>
        <v>-1039000</v>
      </c>
      <c r="Y18" s="183">
        <f>-'Cron.FF &amp; Deprec'!Y156</f>
        <v>-1039000</v>
      </c>
      <c r="Z18" s="183">
        <f>-'Cron.FF &amp; Deprec'!Z156</f>
        <v>-1039000</v>
      </c>
      <c r="AA18" s="183">
        <f>-'Cron.FF &amp; Deprec'!AA156</f>
        <v>-1004000</v>
      </c>
      <c r="AB18" s="183">
        <f>-'Cron.FF &amp; Deprec'!AB156</f>
        <v>-1004000</v>
      </c>
      <c r="AC18" s="183">
        <f>-'Cron.FF &amp; Deprec'!AC156</f>
        <v>-1004000</v>
      </c>
      <c r="AD18" s="183">
        <f>-'Cron.FF &amp; Deprec'!AD156</f>
        <v>-924000</v>
      </c>
      <c r="AE18" s="183">
        <f>-'Cron.FF &amp; Deprec'!AE156</f>
        <v>-865000</v>
      </c>
      <c r="AF18" s="183">
        <f>-'Cron.FF &amp; Deprec'!AF156</f>
        <v>-697000</v>
      </c>
      <c r="AG18" s="183">
        <f>-'Cron.FF &amp; Deprec'!AG156</f>
        <v>-346500</v>
      </c>
      <c r="AH18" s="183">
        <f>-'Cron.FF &amp; Deprec'!AH156</f>
        <v>0</v>
      </c>
      <c r="AI18" s="183">
        <f>-'Cron.FF &amp; Deprec'!AI156</f>
        <v>0</v>
      </c>
      <c r="AJ18" s="183">
        <f>-'Cron.FF &amp; Deprec'!AJ156</f>
        <v>0</v>
      </c>
      <c r="AK18" s="183">
        <f>-'Cron.FF &amp; Deprec'!AK156</f>
        <v>0</v>
      </c>
      <c r="AL18" s="183">
        <f>-'Cron.FF &amp; Deprec'!AL156</f>
        <v>0</v>
      </c>
      <c r="AM18" s="183"/>
      <c r="AN18" s="180">
        <v>9</v>
      </c>
      <c r="AO18" s="180"/>
      <c r="AP18" s="180"/>
      <c r="AQ18" s="198">
        <v>16</v>
      </c>
      <c r="AR18" s="196">
        <f ca="1">S36</f>
        <v>17316022.649625659</v>
      </c>
      <c r="AS18" s="196">
        <f ca="1">NPV($AO$2,$AR$4:AR18)+$AR$3</f>
        <v>17127999.828227274</v>
      </c>
      <c r="AT18" s="180"/>
      <c r="AU18" s="180"/>
      <c r="AV18" s="198">
        <v>16</v>
      </c>
      <c r="AW18" s="196">
        <f t="shared" ca="1" si="3"/>
        <v>17316022.649625659</v>
      </c>
      <c r="AX18" s="196">
        <f t="shared" ca="1" si="1"/>
        <v>106154035.3008917</v>
      </c>
      <c r="AY18" s="467">
        <f ca="1">(AY17/AZ17)^(1/35)-1</f>
        <v>8.5317121639457039E-2</v>
      </c>
      <c r="AZ18" s="196" t="s">
        <v>3319</v>
      </c>
      <c r="BA18" s="415" t="s">
        <v>4263</v>
      </c>
      <c r="BE18" s="478">
        <v>5600865.353380397</v>
      </c>
      <c r="BF18" s="479">
        <v>1.9478418992659341E-2</v>
      </c>
      <c r="BG18" s="478">
        <v>9108742.2774187177</v>
      </c>
      <c r="BH18" s="479">
        <v>9.0406932953988051E-2</v>
      </c>
      <c r="BI18" s="478">
        <v>2998085.6484202794</v>
      </c>
      <c r="BJ18" s="479">
        <v>9.6794124066674314E-2</v>
      </c>
      <c r="BK18" s="478">
        <v>87570515.244794637</v>
      </c>
      <c r="BL18" s="479">
        <v>0.27033822310380584</v>
      </c>
      <c r="BM18" s="481">
        <v>10.865691284148879</v>
      </c>
    </row>
    <row r="19" spans="2:65" x14ac:dyDescent="0.3">
      <c r="B19" s="200" t="s">
        <v>4024</v>
      </c>
      <c r="C19" s="200"/>
      <c r="D19" s="203">
        <f ca="1">SUM(D17:D18)</f>
        <v>9866392.209409032</v>
      </c>
      <c r="E19" s="203">
        <f ca="1">SUM(E17:E18)</f>
        <v>8435980.6709496863</v>
      </c>
      <c r="F19" s="203">
        <f t="shared" ref="F19:AL19" ca="1" si="35">SUM(F17:F18)</f>
        <v>10135830.249932624</v>
      </c>
      <c r="G19" s="203">
        <f t="shared" ca="1" si="35"/>
        <v>5791136.9108470734</v>
      </c>
      <c r="H19" s="203">
        <f t="shared" ca="1" si="35"/>
        <v>4621351.8098196425</v>
      </c>
      <c r="I19" s="203">
        <f t="shared" ca="1" si="35"/>
        <v>2974549.4822937138</v>
      </c>
      <c r="J19" s="203">
        <f t="shared" ca="1" si="35"/>
        <v>2187413.6253207624</v>
      </c>
      <c r="K19" s="203">
        <f t="shared" ca="1" si="35"/>
        <v>584263.80530453473</v>
      </c>
      <c r="L19" s="203">
        <f t="shared" ca="1" si="35"/>
        <v>1196570.7766401097</v>
      </c>
      <c r="M19" s="203">
        <f t="shared" ca="1" si="35"/>
        <v>6272539.285274446</v>
      </c>
      <c r="N19" s="203">
        <f t="shared" ca="1" si="35"/>
        <v>-2981063.0852492303</v>
      </c>
      <c r="O19" s="203">
        <f t="shared" ca="1" si="35"/>
        <v>1243375.1160560399</v>
      </c>
      <c r="P19" s="203">
        <f t="shared" ca="1" si="35"/>
        <v>4338861.5559181124</v>
      </c>
      <c r="Q19" s="203">
        <f t="shared" ca="1" si="35"/>
        <v>8500755.5426367223</v>
      </c>
      <c r="R19" s="203">
        <f t="shared" ca="1" si="35"/>
        <v>-4797225.6975830942</v>
      </c>
      <c r="S19" s="203">
        <f t="shared" ca="1" si="35"/>
        <v>22926409.882404745</v>
      </c>
      <c r="T19" s="203">
        <f t="shared" ca="1" si="35"/>
        <v>-3430171.236977458</v>
      </c>
      <c r="U19" s="203">
        <f t="shared" ca="1" si="35"/>
        <v>18704707.158914834</v>
      </c>
      <c r="V19" s="203">
        <f t="shared" ca="1" si="35"/>
        <v>22004061.757815838</v>
      </c>
      <c r="W19" s="203">
        <f t="shared" ca="1" si="35"/>
        <v>54206186.859364986</v>
      </c>
      <c r="X19" s="203">
        <f t="shared" ca="1" si="35"/>
        <v>28604696.910955101</v>
      </c>
      <c r="Y19" s="203">
        <f t="shared" ca="1" si="35"/>
        <v>16394853.086025119</v>
      </c>
      <c r="Z19" s="203">
        <f t="shared" ca="1" si="35"/>
        <v>44246964.33184579</v>
      </c>
      <c r="AA19" s="203">
        <f t="shared" ca="1" si="35"/>
        <v>55313403.958688259</v>
      </c>
      <c r="AB19" s="203">
        <f t="shared" ca="1" si="35"/>
        <v>65936077.700075239</v>
      </c>
      <c r="AC19" s="203">
        <f t="shared" ca="1" si="35"/>
        <v>64556689.726677328</v>
      </c>
      <c r="AD19" s="203">
        <f t="shared" ca="1" si="35"/>
        <v>29036254.3509233</v>
      </c>
      <c r="AE19" s="203">
        <f t="shared" ca="1" si="35"/>
        <v>84408899.193130076</v>
      </c>
      <c r="AF19" s="203">
        <f t="shared" ca="1" si="35"/>
        <v>96565838.930601418</v>
      </c>
      <c r="AG19" s="203">
        <f t="shared" ca="1" si="35"/>
        <v>101896073.40561238</v>
      </c>
      <c r="AH19" s="203">
        <f t="shared" ca="1" si="35"/>
        <v>68825982.39843443</v>
      </c>
      <c r="AI19" s="203">
        <f t="shared" ca="1" si="35"/>
        <v>92420052.145147145</v>
      </c>
      <c r="AJ19" s="203">
        <f t="shared" ca="1" si="35"/>
        <v>65311160.225664616</v>
      </c>
      <c r="AK19" s="203">
        <f t="shared" ca="1" si="35"/>
        <v>125549929.9123646</v>
      </c>
      <c r="AL19" s="203">
        <f t="shared" ca="1" si="35"/>
        <v>68725278.641760111</v>
      </c>
      <c r="AM19" s="264"/>
      <c r="AN19" s="180">
        <v>13</v>
      </c>
      <c r="AQ19" s="198">
        <v>17</v>
      </c>
      <c r="AR19" s="196">
        <f ca="1">T36</f>
        <v>-2008872.6680216882</v>
      </c>
      <c r="AS19" s="196">
        <f ca="1">NPV($AO$2,$AR$4:AR19)+$AR$3</f>
        <v>16660548.498257009</v>
      </c>
      <c r="AV19" s="198">
        <v>17</v>
      </c>
      <c r="AW19" s="196">
        <f t="shared" ca="1" si="3"/>
        <v>-2008872.6680216882</v>
      </c>
      <c r="AX19" s="196">
        <f t="shared" ca="1" si="1"/>
        <v>-186676.2740110369</v>
      </c>
      <c r="AZ19" s="196"/>
      <c r="BA19" s="413" t="s">
        <v>4209</v>
      </c>
      <c r="BE19" s="477">
        <v>-1176378.7829565646</v>
      </c>
      <c r="BF19" s="458">
        <v>3.220001392279892E-2</v>
      </c>
      <c r="BG19" s="477">
        <v>1869922.2893367491</v>
      </c>
      <c r="BH19" s="458">
        <v>8.05168259269331E-2</v>
      </c>
      <c r="BI19" s="477">
        <v>23782938.006513406</v>
      </c>
      <c r="BJ19" s="458">
        <v>0.11900627379908646</v>
      </c>
      <c r="BK19" s="477">
        <v>98458653.350120693</v>
      </c>
      <c r="BL19" s="458">
        <v>0.25347062996640601</v>
      </c>
      <c r="BM19" s="468">
        <v>14.494591040239143</v>
      </c>
    </row>
    <row r="20" spans="2:65" x14ac:dyDescent="0.3">
      <c r="B20" s="188" t="s">
        <v>4239</v>
      </c>
      <c r="C20" s="185"/>
      <c r="D20" s="192">
        <f>-SAC!D21</f>
        <v>-3894660</v>
      </c>
      <c r="E20" s="192">
        <f>-SAC!E21</f>
        <v>-3635016</v>
      </c>
      <c r="F20" s="192">
        <f>-SAC!F21</f>
        <v>-3375372</v>
      </c>
      <c r="G20" s="192">
        <f>-SAC!G21</f>
        <v>-3115728</v>
      </c>
      <c r="H20" s="192">
        <f>-SAC!H21</f>
        <v>-2856084</v>
      </c>
      <c r="I20" s="192">
        <f>-SAC!I21</f>
        <v>-2596440</v>
      </c>
      <c r="J20" s="192">
        <f>-SAC!J21</f>
        <v>-2336796</v>
      </c>
      <c r="K20" s="192">
        <f>-SAC!K21</f>
        <v>-2077152</v>
      </c>
      <c r="L20" s="192">
        <f>-SAC!L21</f>
        <v>-1817508</v>
      </c>
      <c r="M20" s="192">
        <f>-SAC!M21</f>
        <v>-1557864</v>
      </c>
      <c r="N20" s="192">
        <f>-SAC!N21</f>
        <v>-1298220</v>
      </c>
      <c r="O20" s="192">
        <f>-SAC!O21</f>
        <v>-1038576</v>
      </c>
      <c r="P20" s="192">
        <f>-SAC!P21</f>
        <v>-778932</v>
      </c>
      <c r="Q20" s="192">
        <f>-SAC!Q21</f>
        <v>-519288</v>
      </c>
      <c r="R20" s="192">
        <f>-SAC!R21</f>
        <v>-259644</v>
      </c>
      <c r="S20" s="192">
        <f>-SAC!S21</f>
        <v>0</v>
      </c>
      <c r="T20" s="192">
        <f>-SAC!T21</f>
        <v>0</v>
      </c>
      <c r="U20" s="192">
        <f>-SAC!U21</f>
        <v>0</v>
      </c>
      <c r="V20" s="192">
        <f>-SAC!V21</f>
        <v>0</v>
      </c>
      <c r="W20" s="192">
        <f>-SAC!W21</f>
        <v>0</v>
      </c>
      <c r="X20" s="192">
        <f>-SAC!X21</f>
        <v>0</v>
      </c>
      <c r="Y20" s="192">
        <f>-SAC!Y21</f>
        <v>0</v>
      </c>
      <c r="Z20" s="192">
        <f>-SAC!Z21</f>
        <v>0</v>
      </c>
      <c r="AA20" s="192">
        <f>-SAC!AA21</f>
        <v>0</v>
      </c>
      <c r="AB20" s="192">
        <f>-SAC!AB21</f>
        <v>0</v>
      </c>
      <c r="AC20" s="192">
        <f>-SAC!AC21</f>
        <v>0</v>
      </c>
      <c r="AD20" s="192">
        <f>-SAC!AD21</f>
        <v>0</v>
      </c>
      <c r="AE20" s="192">
        <f>-SAC!AE21</f>
        <v>0</v>
      </c>
      <c r="AF20" s="192">
        <f>-SAC!AF21</f>
        <v>0</v>
      </c>
      <c r="AG20" s="192">
        <f>-SAC!AG21</f>
        <v>0</v>
      </c>
      <c r="AH20" s="192">
        <f>-SAC!AH21</f>
        <v>0</v>
      </c>
      <c r="AI20" s="192">
        <f>-SAC!AI21</f>
        <v>0</v>
      </c>
      <c r="AJ20" s="192">
        <f>-SAC!AJ21</f>
        <v>0</v>
      </c>
      <c r="AK20" s="192">
        <f>-SAC!AK21</f>
        <v>0</v>
      </c>
      <c r="AL20" s="192">
        <f>-SAC!AL21</f>
        <v>0</v>
      </c>
      <c r="AM20" s="264"/>
      <c r="AN20" s="180">
        <v>11</v>
      </c>
      <c r="AQ20" s="198">
        <v>18</v>
      </c>
      <c r="AR20" s="196">
        <f ca="1">U36</f>
        <v>14245907.228338704</v>
      </c>
      <c r="AS20" s="196">
        <f ca="1">NPV($AO$2,$AR$4:AR20)+$AR$3</f>
        <v>19686751.801459655</v>
      </c>
      <c r="AV20" s="198">
        <v>18</v>
      </c>
      <c r="AW20" s="196">
        <f t="shared" ca="1" si="3"/>
        <v>14245907.228338704</v>
      </c>
      <c r="AX20" s="196">
        <f t="shared" ca="1" si="1"/>
        <v>109550539.30497392</v>
      </c>
      <c r="AY20" s="177" t="s">
        <v>4250</v>
      </c>
      <c r="BE20" s="477">
        <v>2827227.9971065251</v>
      </c>
      <c r="BF20" s="458">
        <v>2.0502640474723943E-2</v>
      </c>
      <c r="BG20" s="477">
        <v>10012183.059401</v>
      </c>
      <c r="BH20" s="458">
        <v>8.2244957460089418E-2</v>
      </c>
      <c r="BI20" s="477">
        <v>6483542.4126465349</v>
      </c>
      <c r="BJ20" s="458">
        <v>0.11311781067461757</v>
      </c>
      <c r="BK20" s="477">
        <v>85443523.990121424</v>
      </c>
      <c r="BL20" s="458">
        <v>0.25634975253404924</v>
      </c>
      <c r="BM20" s="468">
        <v>11.697024750740365</v>
      </c>
    </row>
    <row r="21" spans="2:65" x14ac:dyDescent="0.3">
      <c r="B21" s="200" t="s">
        <v>4032</v>
      </c>
      <c r="C21" s="440"/>
      <c r="D21" s="203">
        <f ca="1">D19+D20</f>
        <v>5971732.209409032</v>
      </c>
      <c r="E21" s="203">
        <f t="shared" ref="E21:AL21" ca="1" si="36">E19+E20</f>
        <v>4800964.6709496863</v>
      </c>
      <c r="F21" s="203">
        <f t="shared" ca="1" si="36"/>
        <v>6760458.2499326244</v>
      </c>
      <c r="G21" s="203">
        <f t="shared" ca="1" si="36"/>
        <v>2675408.9108470734</v>
      </c>
      <c r="H21" s="203">
        <f t="shared" ca="1" si="36"/>
        <v>1765267.8098196425</v>
      </c>
      <c r="I21" s="203">
        <f t="shared" ca="1" si="36"/>
        <v>378109.48229371384</v>
      </c>
      <c r="J21" s="203">
        <f t="shared" ca="1" si="36"/>
        <v>-149382.3746792376</v>
      </c>
      <c r="K21" s="203">
        <f t="shared" ca="1" si="36"/>
        <v>-1492888.1946954653</v>
      </c>
      <c r="L21" s="203">
        <f t="shared" ca="1" si="36"/>
        <v>-620937.22335989028</v>
      </c>
      <c r="M21" s="203">
        <f t="shared" ca="1" si="36"/>
        <v>4714675.285274446</v>
      </c>
      <c r="N21" s="203">
        <f t="shared" ca="1" si="36"/>
        <v>-4279283.0852492303</v>
      </c>
      <c r="O21" s="203">
        <f t="shared" ca="1" si="36"/>
        <v>204799.11605603993</v>
      </c>
      <c r="P21" s="203">
        <f t="shared" ca="1" si="36"/>
        <v>3559929.5559181124</v>
      </c>
      <c r="Q21" s="203">
        <f t="shared" ca="1" si="36"/>
        <v>7981467.5426367223</v>
      </c>
      <c r="R21" s="203">
        <f t="shared" ca="1" si="36"/>
        <v>-5056869.6975830942</v>
      </c>
      <c r="S21" s="203">
        <f t="shared" ca="1" si="36"/>
        <v>22926409.882404745</v>
      </c>
      <c r="T21" s="203">
        <f t="shared" ca="1" si="36"/>
        <v>-3430171.236977458</v>
      </c>
      <c r="U21" s="203">
        <f t="shared" ca="1" si="36"/>
        <v>18704707.158914834</v>
      </c>
      <c r="V21" s="203">
        <f t="shared" ca="1" si="36"/>
        <v>22004061.757815838</v>
      </c>
      <c r="W21" s="203">
        <f t="shared" ca="1" si="36"/>
        <v>54206186.859364986</v>
      </c>
      <c r="X21" s="203">
        <f t="shared" ca="1" si="36"/>
        <v>28604696.910955101</v>
      </c>
      <c r="Y21" s="203">
        <f t="shared" ca="1" si="36"/>
        <v>16394853.086025119</v>
      </c>
      <c r="Z21" s="203">
        <f t="shared" ca="1" si="36"/>
        <v>44246964.33184579</v>
      </c>
      <c r="AA21" s="203">
        <f t="shared" ca="1" si="36"/>
        <v>55313403.958688259</v>
      </c>
      <c r="AB21" s="203">
        <f t="shared" ca="1" si="36"/>
        <v>65936077.700075239</v>
      </c>
      <c r="AC21" s="203">
        <f t="shared" ca="1" si="36"/>
        <v>64556689.726677328</v>
      </c>
      <c r="AD21" s="203">
        <f t="shared" ca="1" si="36"/>
        <v>29036254.3509233</v>
      </c>
      <c r="AE21" s="203">
        <f t="shared" ca="1" si="36"/>
        <v>84408899.193130076</v>
      </c>
      <c r="AF21" s="203">
        <f t="shared" ca="1" si="36"/>
        <v>96565838.930601418</v>
      </c>
      <c r="AG21" s="203">
        <f t="shared" ca="1" si="36"/>
        <v>101896073.40561238</v>
      </c>
      <c r="AH21" s="203">
        <f t="shared" ca="1" si="36"/>
        <v>68825982.39843443</v>
      </c>
      <c r="AI21" s="203">
        <f t="shared" ca="1" si="36"/>
        <v>92420052.145147145</v>
      </c>
      <c r="AJ21" s="203">
        <f t="shared" ca="1" si="36"/>
        <v>65311160.225664616</v>
      </c>
      <c r="AK21" s="203">
        <f t="shared" ca="1" si="36"/>
        <v>125549929.9123646</v>
      </c>
      <c r="AL21" s="203">
        <f t="shared" ca="1" si="36"/>
        <v>68725278.641760111</v>
      </c>
      <c r="AM21" s="264"/>
      <c r="AN21" s="180">
        <v>6</v>
      </c>
      <c r="AQ21" s="198">
        <v>19</v>
      </c>
      <c r="AR21" s="196">
        <f ca="1">V36</f>
        <v>15592618.296505701</v>
      </c>
      <c r="AS21" s="196">
        <f ca="1">NPV($AO$2,$AR$4:AR21)+$AR$3</f>
        <v>22710537.691317644</v>
      </c>
      <c r="AV21" s="198">
        <v>19</v>
      </c>
      <c r="AW21" s="196">
        <f t="shared" ca="1" si="3"/>
        <v>15592618.296505701</v>
      </c>
      <c r="AX21" s="196">
        <f t="shared" ca="1" si="1"/>
        <v>134295505.51754957</v>
      </c>
      <c r="AY21" s="469">
        <f ca="1">H42</f>
        <v>4265295.9837395139</v>
      </c>
      <c r="BE21" s="477">
        <v>9177648.5729979146</v>
      </c>
      <c r="BF21" s="458">
        <v>3.9911083286691129E-2</v>
      </c>
      <c r="BG21" s="477">
        <v>9743736.0999345537</v>
      </c>
      <c r="BH21" s="458">
        <v>7.2352720724540465E-2</v>
      </c>
      <c r="BI21" s="477">
        <v>5867835.8863310628</v>
      </c>
      <c r="BJ21" s="458">
        <v>9.0082161128060445E-2</v>
      </c>
      <c r="BK21" s="477">
        <v>81039517.134280205</v>
      </c>
      <c r="BL21" s="458">
        <v>0.25637771672798948</v>
      </c>
      <c r="BM21" s="468">
        <v>4.8489433086764215</v>
      </c>
    </row>
    <row r="22" spans="2:65" x14ac:dyDescent="0.3">
      <c r="B22" s="186"/>
      <c r="C22" s="186"/>
      <c r="D22" s="439"/>
      <c r="E22" s="439"/>
      <c r="F22" s="439"/>
      <c r="G22" s="439"/>
      <c r="H22" s="439"/>
      <c r="I22" s="439"/>
      <c r="J22" s="439"/>
      <c r="K22" s="439"/>
      <c r="L22" s="439"/>
      <c r="M22" s="439"/>
      <c r="N22" s="439"/>
      <c r="O22" s="439"/>
      <c r="P22" s="439"/>
      <c r="Q22" s="439"/>
      <c r="R22" s="439"/>
      <c r="S22" s="439"/>
      <c r="T22" s="439"/>
      <c r="U22" s="439"/>
      <c r="V22" s="439"/>
      <c r="W22" s="439"/>
      <c r="X22" s="439"/>
      <c r="Y22" s="439"/>
      <c r="Z22" s="439"/>
      <c r="AA22" s="439"/>
      <c r="AB22" s="439"/>
      <c r="AC22" s="439"/>
      <c r="AD22" s="439"/>
      <c r="AE22" s="439"/>
      <c r="AF22" s="439"/>
      <c r="AG22" s="439"/>
      <c r="AH22" s="439"/>
      <c r="AI22" s="439"/>
      <c r="AJ22" s="439"/>
      <c r="AK22" s="439"/>
      <c r="AL22" s="439"/>
      <c r="AM22" s="264"/>
      <c r="AN22" s="180">
        <v>11</v>
      </c>
      <c r="AQ22" s="198">
        <v>20</v>
      </c>
      <c r="AR22" s="196">
        <f ca="1">W36</f>
        <v>37446847.436091401</v>
      </c>
      <c r="AS22" s="196">
        <f ca="1">NPV($AO$2,$AR$4:AR22)+$AR$3</f>
        <v>29339892.282605983</v>
      </c>
      <c r="AV22" s="198">
        <v>20</v>
      </c>
      <c r="AW22" s="196">
        <f t="shared" ca="1" si="3"/>
        <v>37446847.436091401</v>
      </c>
      <c r="AX22" s="196">
        <f t="shared" ca="1" si="1"/>
        <v>361223265.78768915</v>
      </c>
      <c r="AY22" s="177" t="s">
        <v>4251</v>
      </c>
      <c r="BE22" s="477">
        <v>7138629.1630500136</v>
      </c>
      <c r="BF22" s="458">
        <v>2.2335174267912317E-2</v>
      </c>
      <c r="BG22" s="477">
        <v>7828626.5424303319</v>
      </c>
      <c r="BH22" s="458">
        <v>4.3463393710452047E-2</v>
      </c>
      <c r="BI22" s="477">
        <v>10529950.476621708</v>
      </c>
      <c r="BJ22" s="458">
        <v>0.10671985912945026</v>
      </c>
      <c r="BK22" s="477">
        <v>97695877.664464757</v>
      </c>
      <c r="BL22" s="458">
        <v>0.26940963872749091</v>
      </c>
      <c r="BM22" s="468">
        <v>10.137830387042211</v>
      </c>
    </row>
    <row r="23" spans="2:65" x14ac:dyDescent="0.3">
      <c r="B23" s="180" t="s">
        <v>4025</v>
      </c>
      <c r="D23" s="192">
        <f>C25</f>
        <v>0</v>
      </c>
      <c r="E23" s="192">
        <f>D25</f>
        <v>0</v>
      </c>
      <c r="F23" s="192">
        <f ca="1">E25</f>
        <v>0</v>
      </c>
      <c r="G23" s="192">
        <f t="shared" ref="G23:AL23" ca="1" si="37">F25</f>
        <v>0</v>
      </c>
      <c r="H23" s="192">
        <f ca="1">G25</f>
        <v>0</v>
      </c>
      <c r="I23" s="192">
        <f t="shared" ca="1" si="37"/>
        <v>0</v>
      </c>
      <c r="J23" s="192">
        <f t="shared" ca="1" si="37"/>
        <v>0</v>
      </c>
      <c r="K23" s="192">
        <f t="shared" ca="1" si="37"/>
        <v>0</v>
      </c>
      <c r="L23" s="193">
        <f t="shared" ca="1" si="37"/>
        <v>0</v>
      </c>
      <c r="M23" s="193">
        <f t="shared" ca="1" si="37"/>
        <v>0</v>
      </c>
      <c r="N23" s="192">
        <f t="shared" ca="1" si="37"/>
        <v>0</v>
      </c>
      <c r="O23" s="193">
        <f t="shared" ca="1" si="37"/>
        <v>2981063.0852492303</v>
      </c>
      <c r="P23" s="193">
        <f t="shared" ca="1" si="37"/>
        <v>2608050.5504324185</v>
      </c>
      <c r="Q23" s="193">
        <f t="shared" ca="1" si="37"/>
        <v>1306392.0836569848</v>
      </c>
      <c r="R23" s="193">
        <f t="shared" ca="1" si="37"/>
        <v>0</v>
      </c>
      <c r="S23" s="193">
        <f t="shared" ca="1" si="37"/>
        <v>4797225.6975830942</v>
      </c>
      <c r="T23" s="193">
        <f t="shared" ca="1" si="37"/>
        <v>0</v>
      </c>
      <c r="U23" s="193">
        <f t="shared" ca="1" si="37"/>
        <v>3430171.236977458</v>
      </c>
      <c r="V23" s="193">
        <f t="shared" ca="1" si="37"/>
        <v>0</v>
      </c>
      <c r="W23" s="193">
        <f t="shared" ca="1" si="37"/>
        <v>0</v>
      </c>
      <c r="X23" s="193">
        <f t="shared" ca="1" si="37"/>
        <v>0</v>
      </c>
      <c r="Y23" s="193">
        <f t="shared" ca="1" si="37"/>
        <v>0</v>
      </c>
      <c r="Z23" s="193">
        <f t="shared" ca="1" si="37"/>
        <v>0</v>
      </c>
      <c r="AA23" s="193">
        <f t="shared" ca="1" si="37"/>
        <v>0</v>
      </c>
      <c r="AB23" s="193">
        <f t="shared" ca="1" si="37"/>
        <v>0</v>
      </c>
      <c r="AC23" s="193">
        <f t="shared" ca="1" si="37"/>
        <v>0</v>
      </c>
      <c r="AD23" s="193">
        <f t="shared" ca="1" si="37"/>
        <v>0</v>
      </c>
      <c r="AE23" s="193">
        <f t="shared" ca="1" si="37"/>
        <v>0</v>
      </c>
      <c r="AF23" s="193">
        <f t="shared" ca="1" si="37"/>
        <v>0</v>
      </c>
      <c r="AG23" s="193">
        <f t="shared" ca="1" si="37"/>
        <v>0</v>
      </c>
      <c r="AH23" s="193">
        <f t="shared" ca="1" si="37"/>
        <v>0</v>
      </c>
      <c r="AI23" s="193">
        <f t="shared" ca="1" si="37"/>
        <v>0</v>
      </c>
      <c r="AJ23" s="193">
        <f t="shared" ca="1" si="37"/>
        <v>0</v>
      </c>
      <c r="AK23" s="193">
        <f t="shared" ca="1" si="37"/>
        <v>0</v>
      </c>
      <c r="AL23" s="193">
        <f t="shared" ca="1" si="37"/>
        <v>0</v>
      </c>
      <c r="AN23" s="180">
        <v>15</v>
      </c>
      <c r="AQ23" s="198">
        <v>21</v>
      </c>
      <c r="AR23" s="183">
        <f ca="1">X36</f>
        <v>19977361.344834913</v>
      </c>
      <c r="AS23" s="183">
        <f ca="1">NPV($AO$2,$AR$4:AR23)+$AR$3</f>
        <v>32568521.052025601</v>
      </c>
      <c r="AV23" s="198">
        <v>21</v>
      </c>
      <c r="AW23" s="196">
        <f t="shared" ca="1" si="3"/>
        <v>19977361.344834913</v>
      </c>
      <c r="AX23" s="196">
        <f t="shared" ca="1" si="1"/>
        <v>215832380.69404361</v>
      </c>
      <c r="AY23" s="469">
        <f ca="1">M42</f>
        <v>11644859.283729475</v>
      </c>
      <c r="AZ23" s="196"/>
      <c r="BE23" s="477">
        <v>11650351.505372414</v>
      </c>
      <c r="BF23" s="458">
        <v>8.1044028941355872E-2</v>
      </c>
      <c r="BG23" s="477">
        <v>9016753.2772280853</v>
      </c>
      <c r="BH23" s="458">
        <v>0.11587868882714414</v>
      </c>
      <c r="BI23" s="477">
        <v>15848516.328425832</v>
      </c>
      <c r="BJ23" s="458">
        <v>8.9353165078731589E-2</v>
      </c>
      <c r="BK23" s="477">
        <v>81003902.033058733</v>
      </c>
      <c r="BL23" s="458">
        <v>0.27016598743316456</v>
      </c>
      <c r="BM23" s="468">
        <v>3.9974771358678014</v>
      </c>
    </row>
    <row r="24" spans="2:65" x14ac:dyDescent="0.3">
      <c r="B24" s="180" t="s">
        <v>4026</v>
      </c>
      <c r="D24" s="192">
        <f t="shared" ref="D24:AL24" ca="1" si="38">IF(D19&lt;=0,0,MIN(D23,D19*30%))</f>
        <v>0</v>
      </c>
      <c r="E24" s="192">
        <f ca="1">IF(E19&lt;=0,0,MIN(E23,E19*30%))</f>
        <v>0</v>
      </c>
      <c r="F24" s="192">
        <f t="shared" ca="1" si="38"/>
        <v>0</v>
      </c>
      <c r="G24" s="192">
        <f t="shared" ca="1" si="38"/>
        <v>0</v>
      </c>
      <c r="H24" s="192">
        <f t="shared" ca="1" si="38"/>
        <v>0</v>
      </c>
      <c r="I24" s="192">
        <f t="shared" ca="1" si="38"/>
        <v>0</v>
      </c>
      <c r="J24" s="192">
        <f t="shared" ca="1" si="38"/>
        <v>0</v>
      </c>
      <c r="K24" s="192">
        <f t="shared" ca="1" si="38"/>
        <v>0</v>
      </c>
      <c r="L24" s="193">
        <f t="shared" ca="1" si="38"/>
        <v>0</v>
      </c>
      <c r="M24" s="193">
        <f t="shared" ca="1" si="38"/>
        <v>0</v>
      </c>
      <c r="N24" s="192">
        <f t="shared" ca="1" si="38"/>
        <v>0</v>
      </c>
      <c r="O24" s="192">
        <f t="shared" ca="1" si="38"/>
        <v>373012.53481681197</v>
      </c>
      <c r="P24" s="192">
        <f t="shared" ca="1" si="38"/>
        <v>1301658.4667754336</v>
      </c>
      <c r="Q24" s="192">
        <f t="shared" ca="1" si="38"/>
        <v>1306392.0836569848</v>
      </c>
      <c r="R24" s="192">
        <f t="shared" ca="1" si="38"/>
        <v>0</v>
      </c>
      <c r="S24" s="192">
        <f t="shared" ca="1" si="38"/>
        <v>4797225.6975830942</v>
      </c>
      <c r="T24" s="192">
        <f t="shared" ca="1" si="38"/>
        <v>0</v>
      </c>
      <c r="U24" s="192">
        <f t="shared" ca="1" si="38"/>
        <v>3430171.236977458</v>
      </c>
      <c r="V24" s="192">
        <f t="shared" ca="1" si="38"/>
        <v>0</v>
      </c>
      <c r="W24" s="192">
        <f t="shared" ca="1" si="38"/>
        <v>0</v>
      </c>
      <c r="X24" s="192">
        <f t="shared" ca="1" si="38"/>
        <v>0</v>
      </c>
      <c r="Y24" s="192">
        <f t="shared" ca="1" si="38"/>
        <v>0</v>
      </c>
      <c r="Z24" s="192">
        <f t="shared" ca="1" si="38"/>
        <v>0</v>
      </c>
      <c r="AA24" s="192">
        <f t="shared" ca="1" si="38"/>
        <v>0</v>
      </c>
      <c r="AB24" s="192">
        <f t="shared" ca="1" si="38"/>
        <v>0</v>
      </c>
      <c r="AC24" s="192">
        <f t="shared" ca="1" si="38"/>
        <v>0</v>
      </c>
      <c r="AD24" s="192">
        <f t="shared" ca="1" si="38"/>
        <v>0</v>
      </c>
      <c r="AE24" s="192">
        <f t="shared" ca="1" si="38"/>
        <v>0</v>
      </c>
      <c r="AF24" s="192">
        <f t="shared" ca="1" si="38"/>
        <v>0</v>
      </c>
      <c r="AG24" s="192">
        <f t="shared" ca="1" si="38"/>
        <v>0</v>
      </c>
      <c r="AH24" s="192">
        <f t="shared" ca="1" si="38"/>
        <v>0</v>
      </c>
      <c r="AI24" s="192">
        <f t="shared" ca="1" si="38"/>
        <v>0</v>
      </c>
      <c r="AJ24" s="192">
        <f t="shared" ca="1" si="38"/>
        <v>0</v>
      </c>
      <c r="AK24" s="192">
        <f t="shared" ca="1" si="38"/>
        <v>0</v>
      </c>
      <c r="AL24" s="192">
        <f t="shared" ca="1" si="38"/>
        <v>0</v>
      </c>
      <c r="AN24" s="180">
        <v>11</v>
      </c>
      <c r="AQ24" s="198">
        <v>22</v>
      </c>
      <c r="AR24" s="196">
        <f ca="1">Y36</f>
        <v>11917501.644664956</v>
      </c>
      <c r="AS24" s="196">
        <f ca="1">NPV($AO$2,$AR$4:AR24)+$AR$3</f>
        <v>34326805.792954333</v>
      </c>
      <c r="AV24" s="198">
        <v>22</v>
      </c>
      <c r="AW24" s="196">
        <f t="shared" ca="1" si="3"/>
        <v>11917501.644664956</v>
      </c>
      <c r="AX24" s="196">
        <f t="shared" ca="1" si="1"/>
        <v>144205464.99576822</v>
      </c>
      <c r="AY24" s="177" t="s">
        <v>4252</v>
      </c>
      <c r="AZ24" s="196"/>
      <c r="BE24" s="477">
        <v>8265977.4201708259</v>
      </c>
      <c r="BF24" s="458">
        <v>3.6094211851052105E-2</v>
      </c>
      <c r="BG24" s="477">
        <v>17541913.447109248</v>
      </c>
      <c r="BH24" s="458">
        <v>5.6351274084229352E-2</v>
      </c>
      <c r="BI24" s="477">
        <v>14538045.37482697</v>
      </c>
      <c r="BJ24" s="458">
        <v>0.11320970686779996</v>
      </c>
      <c r="BK24" s="477">
        <v>81287697.903401017</v>
      </c>
      <c r="BL24" s="458">
        <v>0.29138325808391663</v>
      </c>
      <c r="BM24" s="468">
        <v>13.277594884635816</v>
      </c>
    </row>
    <row r="25" spans="2:65" x14ac:dyDescent="0.3">
      <c r="B25" s="180" t="s">
        <v>4027</v>
      </c>
      <c r="D25" s="192"/>
      <c r="E25" s="192">
        <f ca="1">E23-E24+MAX(-E19,0)</f>
        <v>0</v>
      </c>
      <c r="F25" s="192">
        <f t="shared" ref="F25:AL25" ca="1" si="39">F23-F24+MAX(-F19,0)</f>
        <v>0</v>
      </c>
      <c r="G25" s="192">
        <f t="shared" ca="1" si="39"/>
        <v>0</v>
      </c>
      <c r="H25" s="192">
        <f t="shared" ca="1" si="39"/>
        <v>0</v>
      </c>
      <c r="I25" s="192">
        <f t="shared" ca="1" si="39"/>
        <v>0</v>
      </c>
      <c r="J25" s="192">
        <f t="shared" ca="1" si="39"/>
        <v>0</v>
      </c>
      <c r="K25" s="192">
        <f t="shared" ca="1" si="39"/>
        <v>0</v>
      </c>
      <c r="L25" s="193">
        <f t="shared" ca="1" si="39"/>
        <v>0</v>
      </c>
      <c r="M25" s="193">
        <f t="shared" ca="1" si="39"/>
        <v>0</v>
      </c>
      <c r="N25" s="192">
        <f t="shared" ca="1" si="39"/>
        <v>2981063.0852492303</v>
      </c>
      <c r="O25" s="192">
        <f t="shared" ca="1" si="39"/>
        <v>2608050.5504324185</v>
      </c>
      <c r="P25" s="192">
        <f t="shared" ca="1" si="39"/>
        <v>1306392.0836569848</v>
      </c>
      <c r="Q25" s="192">
        <f t="shared" ca="1" si="39"/>
        <v>0</v>
      </c>
      <c r="R25" s="192">
        <f t="shared" ca="1" si="39"/>
        <v>4797225.6975830942</v>
      </c>
      <c r="S25" s="192">
        <f t="shared" ca="1" si="39"/>
        <v>0</v>
      </c>
      <c r="T25" s="192">
        <f t="shared" ca="1" si="39"/>
        <v>3430171.236977458</v>
      </c>
      <c r="U25" s="192">
        <f t="shared" ca="1" si="39"/>
        <v>0</v>
      </c>
      <c r="V25" s="192">
        <f t="shared" ca="1" si="39"/>
        <v>0</v>
      </c>
      <c r="W25" s="192">
        <f t="shared" ca="1" si="39"/>
        <v>0</v>
      </c>
      <c r="X25" s="192">
        <f t="shared" ca="1" si="39"/>
        <v>0</v>
      </c>
      <c r="Y25" s="192">
        <f t="shared" ca="1" si="39"/>
        <v>0</v>
      </c>
      <c r="Z25" s="192">
        <f t="shared" ca="1" si="39"/>
        <v>0</v>
      </c>
      <c r="AA25" s="192">
        <f t="shared" ca="1" si="39"/>
        <v>0</v>
      </c>
      <c r="AB25" s="192">
        <f t="shared" ca="1" si="39"/>
        <v>0</v>
      </c>
      <c r="AC25" s="192">
        <f t="shared" ca="1" si="39"/>
        <v>0</v>
      </c>
      <c r="AD25" s="192">
        <f t="shared" ca="1" si="39"/>
        <v>0</v>
      </c>
      <c r="AE25" s="192">
        <f t="shared" ca="1" si="39"/>
        <v>0</v>
      </c>
      <c r="AF25" s="192">
        <f t="shared" ca="1" si="39"/>
        <v>0</v>
      </c>
      <c r="AG25" s="192">
        <f t="shared" ca="1" si="39"/>
        <v>0</v>
      </c>
      <c r="AH25" s="192">
        <f t="shared" ca="1" si="39"/>
        <v>0</v>
      </c>
      <c r="AI25" s="192">
        <f t="shared" ca="1" si="39"/>
        <v>0</v>
      </c>
      <c r="AJ25" s="192">
        <f t="shared" ca="1" si="39"/>
        <v>0</v>
      </c>
      <c r="AK25" s="192">
        <f t="shared" ca="1" si="39"/>
        <v>0</v>
      </c>
      <c r="AL25" s="192">
        <f t="shared" ca="1" si="39"/>
        <v>0</v>
      </c>
      <c r="AN25" s="180">
        <v>5</v>
      </c>
      <c r="AQ25" s="198">
        <v>23</v>
      </c>
      <c r="AR25" s="196">
        <f ca="1">Z36</f>
        <v>30989399.810473375</v>
      </c>
      <c r="AS25" s="196">
        <f ca="1">NPV($AO$2,$AR$4:AR25)+$AR$3</f>
        <v>38500697.251035631</v>
      </c>
      <c r="AV25" s="198">
        <v>23</v>
      </c>
      <c r="AW25" s="196">
        <f t="shared" ca="1" si="3"/>
        <v>30989399.810473375</v>
      </c>
      <c r="AX25" s="196">
        <f t="shared" ca="1" si="1"/>
        <v>419979107.70188826</v>
      </c>
      <c r="AY25" s="471">
        <f ca="1">R42</f>
        <v>11606856.084415695</v>
      </c>
      <c r="AZ25" s="196"/>
      <c r="BE25" s="477">
        <v>3381841.4245722783</v>
      </c>
      <c r="BF25" s="458">
        <v>3.0292576028227547E-2</v>
      </c>
      <c r="BG25" s="477">
        <v>11334876.41939717</v>
      </c>
      <c r="BH25" s="458">
        <v>4.6205729831195308E-2</v>
      </c>
      <c r="BI25" s="477">
        <v>23056363.305806417</v>
      </c>
      <c r="BJ25" s="458">
        <v>0.12600458062981579</v>
      </c>
      <c r="BK25" s="477">
        <v>80514445.934169129</v>
      </c>
      <c r="BL25" s="458">
        <v>0.25816637297010869</v>
      </c>
      <c r="BM25" s="468">
        <v>13.712294497268182</v>
      </c>
    </row>
    <row r="26" spans="2:65" x14ac:dyDescent="0.3">
      <c r="B26" s="191"/>
      <c r="C26" s="191"/>
      <c r="L26" s="179"/>
      <c r="M26" s="179"/>
      <c r="O26" s="179"/>
      <c r="P26" s="179"/>
      <c r="Q26" s="179"/>
      <c r="R26" s="179"/>
      <c r="S26" s="179"/>
      <c r="T26" s="179"/>
      <c r="U26" s="179"/>
      <c r="V26" s="179"/>
      <c r="W26" s="179"/>
      <c r="X26" s="179"/>
      <c r="Y26" s="179"/>
      <c r="Z26" s="183"/>
      <c r="AA26" s="179"/>
      <c r="AB26" s="183"/>
      <c r="AC26" s="179"/>
      <c r="AD26" s="179"/>
      <c r="AE26" s="179"/>
      <c r="AF26" s="179"/>
      <c r="AG26" s="179"/>
      <c r="AH26" s="179"/>
      <c r="AN26" s="180">
        <v>4</v>
      </c>
      <c r="AQ26" s="198">
        <v>24</v>
      </c>
      <c r="AR26" s="196">
        <f ca="1">AA36</f>
        <v>37601691.298874438</v>
      </c>
      <c r="AS26" s="196">
        <f ca="1">NPV($AO$2,$AR$4:AR26)+$AR$3</f>
        <v>43124074.855687812</v>
      </c>
      <c r="AV26" s="198">
        <v>24</v>
      </c>
      <c r="AW26" s="196">
        <f t="shared" ca="1" si="3"/>
        <v>37601691.298874438</v>
      </c>
      <c r="AX26" s="196">
        <f t="shared" ca="1" si="1"/>
        <v>570742119.53532338</v>
      </c>
      <c r="AZ26" s="196"/>
      <c r="BE26" s="477">
        <v>5273704.1542471396</v>
      </c>
      <c r="BF26" s="458">
        <v>2.8723021840939555E-2</v>
      </c>
      <c r="BG26" s="477">
        <v>9307551.1120845247</v>
      </c>
      <c r="BH26" s="458">
        <v>6.4423745352737427E-2</v>
      </c>
      <c r="BI26" s="477">
        <v>8879377.226110192</v>
      </c>
      <c r="BJ26" s="458">
        <v>0.10632635262968937</v>
      </c>
      <c r="BK26" s="477">
        <v>81828774.257183999</v>
      </c>
      <c r="BL26" s="458">
        <v>0.26091086412741338</v>
      </c>
      <c r="BM26" s="468">
        <v>5.3701060160140646</v>
      </c>
    </row>
    <row r="27" spans="2:65" x14ac:dyDescent="0.3">
      <c r="B27" s="177" t="s">
        <v>4028</v>
      </c>
      <c r="C27" s="177"/>
      <c r="D27" s="192">
        <f t="shared" ref="D27:AL27" ca="1" si="40">IF((D19-D24)&lt;=0,0,(D19-D24)*15%)</f>
        <v>1479958.8314113547</v>
      </c>
      <c r="E27" s="192">
        <f ca="1">IF((E19-E24)&lt;=0,0,(E19-E24)*15%)</f>
        <v>1265397.1006424529</v>
      </c>
      <c r="F27" s="192">
        <f t="shared" ca="1" si="40"/>
        <v>1520374.5374898936</v>
      </c>
      <c r="G27" s="192">
        <f ca="1">IF((G19-G24)&lt;=0,0,(G19-G24)*15%)</f>
        <v>868670.53662706097</v>
      </c>
      <c r="H27" s="192">
        <f t="shared" ca="1" si="40"/>
        <v>693202.77147294639</v>
      </c>
      <c r="I27" s="192">
        <f t="shared" ca="1" si="40"/>
        <v>446182.42234405706</v>
      </c>
      <c r="J27" s="192">
        <f t="shared" ca="1" si="40"/>
        <v>328112.04379811435</v>
      </c>
      <c r="K27" s="192">
        <f t="shared" ca="1" si="40"/>
        <v>87639.570795680207</v>
      </c>
      <c r="L27" s="193">
        <f t="shared" ca="1" si="40"/>
        <v>179485.61649601645</v>
      </c>
      <c r="M27" s="193">
        <f t="shared" ca="1" si="40"/>
        <v>940880.8927911669</v>
      </c>
      <c r="N27" s="192">
        <f t="shared" ca="1" si="40"/>
        <v>0</v>
      </c>
      <c r="O27" s="192">
        <f t="shared" ca="1" si="40"/>
        <v>130554.38718588417</v>
      </c>
      <c r="P27" s="192">
        <f t="shared" ca="1" si="40"/>
        <v>455580.46337140183</v>
      </c>
      <c r="Q27" s="192">
        <f t="shared" ca="1" si="40"/>
        <v>1079154.5188469605</v>
      </c>
      <c r="R27" s="192">
        <f t="shared" ca="1" si="40"/>
        <v>0</v>
      </c>
      <c r="S27" s="192">
        <f t="shared" ca="1" si="40"/>
        <v>2719377.6277232473</v>
      </c>
      <c r="T27" s="192">
        <f t="shared" ca="1" si="40"/>
        <v>0</v>
      </c>
      <c r="U27" s="192">
        <f t="shared" ca="1" si="40"/>
        <v>2291180.3882906064</v>
      </c>
      <c r="V27" s="192">
        <f t="shared" ca="1" si="40"/>
        <v>3300609.2636723756</v>
      </c>
      <c r="W27" s="192">
        <f t="shared" ca="1" si="40"/>
        <v>8130928.0289047472</v>
      </c>
      <c r="X27" s="192">
        <f t="shared" ca="1" si="40"/>
        <v>4290704.5366432648</v>
      </c>
      <c r="Y27" s="192">
        <f t="shared" ca="1" si="40"/>
        <v>2459227.9629037678</v>
      </c>
      <c r="Z27" s="192">
        <f t="shared" ca="1" si="40"/>
        <v>6637044.6497768685</v>
      </c>
      <c r="AA27" s="192">
        <f t="shared" ca="1" si="40"/>
        <v>8297010.5938032381</v>
      </c>
      <c r="AB27" s="192">
        <f t="shared" ca="1" si="40"/>
        <v>9890411.6550112851</v>
      </c>
      <c r="AC27" s="192">
        <f t="shared" ca="1" si="40"/>
        <v>9683503.4590015989</v>
      </c>
      <c r="AD27" s="192">
        <f t="shared" ca="1" si="40"/>
        <v>4355438.152638495</v>
      </c>
      <c r="AE27" s="192">
        <f t="shared" ca="1" si="40"/>
        <v>12661334.878969511</v>
      </c>
      <c r="AF27" s="192">
        <f t="shared" ca="1" si="40"/>
        <v>14484875.839590212</v>
      </c>
      <c r="AG27" s="192">
        <f t="shared" ca="1" si="40"/>
        <v>15284411.010841856</v>
      </c>
      <c r="AH27" s="192">
        <f t="shared" ca="1" si="40"/>
        <v>10323897.359765165</v>
      </c>
      <c r="AI27" s="192">
        <f t="shared" ca="1" si="40"/>
        <v>13863007.821772071</v>
      </c>
      <c r="AJ27" s="192">
        <f t="shared" ca="1" si="40"/>
        <v>9796674.033849692</v>
      </c>
      <c r="AK27" s="192">
        <f t="shared" ca="1" si="40"/>
        <v>18832489.486854691</v>
      </c>
      <c r="AL27" s="192">
        <f t="shared" ca="1" si="40"/>
        <v>10308791.796264017</v>
      </c>
      <c r="AN27" s="180">
        <v>6</v>
      </c>
      <c r="AQ27" s="198">
        <v>25</v>
      </c>
      <c r="AR27" s="196">
        <f ca="1">AB36</f>
        <v>44618869.6811295</v>
      </c>
      <c r="AS27" s="196">
        <f ca="1">NPV($AO$2,$AR$4:AR27)+$AR$3</f>
        <v>48132423.445491076</v>
      </c>
      <c r="AV27" s="198">
        <v>25</v>
      </c>
      <c r="AW27" s="196">
        <f t="shared" ca="1" si="3"/>
        <v>44618869.6811295</v>
      </c>
      <c r="AX27" s="196">
        <f t="shared" ca="1" si="1"/>
        <v>758523658.33079922</v>
      </c>
      <c r="AZ27" s="196"/>
      <c r="BE27" s="477">
        <v>7629449.0307244482</v>
      </c>
      <c r="BF27" s="458">
        <v>2.9316620209538069E-2</v>
      </c>
      <c r="BG27" s="477">
        <v>4400753.8778299671</v>
      </c>
      <c r="BH27" s="458">
        <v>6.3602310864754097E-2</v>
      </c>
      <c r="BI27" s="477">
        <v>13825265.884660278</v>
      </c>
      <c r="BJ27" s="458">
        <v>0.10052671874019681</v>
      </c>
      <c r="BK27" s="477">
        <v>98122148.801549822</v>
      </c>
      <c r="BL27" s="458">
        <v>0.26592933480798808</v>
      </c>
      <c r="BM27" s="468">
        <v>6.3855086782934247</v>
      </c>
    </row>
    <row r="28" spans="2:65" x14ac:dyDescent="0.3">
      <c r="B28" s="177" t="s">
        <v>4029</v>
      </c>
      <c r="D28" s="192">
        <f ca="1">IF(D19&lt;240000,0,(D19-240000)*10%)</f>
        <v>962639.22094090329</v>
      </c>
      <c r="E28" s="192">
        <f t="shared" ref="E28:AL28" ca="1" si="41">IF(E19&lt;240000,0,(E19-240000)*10%)</f>
        <v>819598.06709496863</v>
      </c>
      <c r="F28" s="192">
        <f t="shared" ca="1" si="41"/>
        <v>989583.02499326249</v>
      </c>
      <c r="G28" s="192">
        <f t="shared" ca="1" si="41"/>
        <v>555113.69108470739</v>
      </c>
      <c r="H28" s="192">
        <f t="shared" ca="1" si="41"/>
        <v>438135.18098196428</v>
      </c>
      <c r="I28" s="192">
        <f t="shared" ca="1" si="41"/>
        <v>273454.9482293714</v>
      </c>
      <c r="J28" s="192">
        <f t="shared" ca="1" si="41"/>
        <v>194741.36253207625</v>
      </c>
      <c r="K28" s="192">
        <f t="shared" ca="1" si="41"/>
        <v>34426.380530453476</v>
      </c>
      <c r="L28" s="192">
        <f ca="1">IF(L19&lt;240000,0,(L19-240000)*10%)</f>
        <v>95657.077664010983</v>
      </c>
      <c r="M28" s="192">
        <f t="shared" ca="1" si="41"/>
        <v>603253.9285274446</v>
      </c>
      <c r="N28" s="192">
        <f t="shared" ca="1" si="41"/>
        <v>0</v>
      </c>
      <c r="O28" s="192">
        <f t="shared" ca="1" si="41"/>
        <v>100337.511605604</v>
      </c>
      <c r="P28" s="192">
        <f t="shared" ca="1" si="41"/>
        <v>409886.15559181129</v>
      </c>
      <c r="Q28" s="192">
        <f t="shared" ca="1" si="41"/>
        <v>826075.55426367233</v>
      </c>
      <c r="R28" s="192">
        <f t="shared" ca="1" si="41"/>
        <v>0</v>
      </c>
      <c r="S28" s="192">
        <f t="shared" ca="1" si="41"/>
        <v>2268640.9882404744</v>
      </c>
      <c r="T28" s="192">
        <f t="shared" ca="1" si="41"/>
        <v>0</v>
      </c>
      <c r="U28" s="192">
        <f t="shared" ca="1" si="41"/>
        <v>1846470.7158914835</v>
      </c>
      <c r="V28" s="192">
        <f t="shared" ca="1" si="41"/>
        <v>2176406.1757815839</v>
      </c>
      <c r="W28" s="192">
        <f t="shared" ca="1" si="41"/>
        <v>5396618.6859364994</v>
      </c>
      <c r="X28" s="192">
        <f t="shared" ca="1" si="41"/>
        <v>2836469.6910955105</v>
      </c>
      <c r="Y28" s="192">
        <f t="shared" ca="1" si="41"/>
        <v>1615485.3086025119</v>
      </c>
      <c r="Z28" s="192">
        <f t="shared" ca="1" si="41"/>
        <v>4400696.433184579</v>
      </c>
      <c r="AA28" s="192">
        <f t="shared" ca="1" si="41"/>
        <v>5507340.3958688267</v>
      </c>
      <c r="AB28" s="192">
        <f t="shared" ca="1" si="41"/>
        <v>6569607.7700075246</v>
      </c>
      <c r="AC28" s="192">
        <f t="shared" ca="1" si="41"/>
        <v>6431668.9726677332</v>
      </c>
      <c r="AD28" s="192">
        <f t="shared" ca="1" si="41"/>
        <v>2879625.43509233</v>
      </c>
      <c r="AE28" s="192">
        <f t="shared" ca="1" si="41"/>
        <v>8416889.919313008</v>
      </c>
      <c r="AF28" s="192">
        <f t="shared" ca="1" si="41"/>
        <v>9632583.8930601422</v>
      </c>
      <c r="AG28" s="192">
        <f t="shared" ca="1" si="41"/>
        <v>10165607.340561239</v>
      </c>
      <c r="AH28" s="192">
        <f t="shared" ca="1" si="41"/>
        <v>6858598.239843443</v>
      </c>
      <c r="AI28" s="192">
        <f t="shared" ca="1" si="41"/>
        <v>9218005.2145147156</v>
      </c>
      <c r="AJ28" s="192">
        <f t="shared" ca="1" si="41"/>
        <v>6507116.0225664619</v>
      </c>
      <c r="AK28" s="192">
        <f t="shared" ca="1" si="41"/>
        <v>12530992.991236461</v>
      </c>
      <c r="AL28" s="192">
        <f t="shared" ca="1" si="41"/>
        <v>6848527.8641760116</v>
      </c>
      <c r="AN28" s="180">
        <v>3</v>
      </c>
      <c r="AQ28" s="198">
        <v>26</v>
      </c>
      <c r="AR28" s="196">
        <f ca="1">AC36</f>
        <v>44480099.565218955</v>
      </c>
      <c r="AS28" s="196">
        <f ca="1">NPV($AO$2,$AR$4:AR28)+$AR$3</f>
        <v>52690333.333943129</v>
      </c>
      <c r="AV28" s="198">
        <v>26</v>
      </c>
      <c r="AW28" s="196">
        <f t="shared" ca="1" si="3"/>
        <v>44480099.565218955</v>
      </c>
      <c r="AX28" s="196">
        <f t="shared" ca="1" si="1"/>
        <v>846904304.31331503</v>
      </c>
      <c r="AZ28" s="196"/>
      <c r="BE28" s="477">
        <v>5587152.6362719899</v>
      </c>
      <c r="BF28" s="458">
        <v>4.3626186962945734E-2</v>
      </c>
      <c r="BG28" s="477">
        <v>6351041.1147175701</v>
      </c>
      <c r="BH28" s="458">
        <v>5.7747634066656728E-2</v>
      </c>
      <c r="BI28" s="477">
        <v>26714883.568886049</v>
      </c>
      <c r="BJ28" s="458">
        <v>0.10412207599166456</v>
      </c>
      <c r="BK28" s="477">
        <v>104297355.61721343</v>
      </c>
      <c r="BL28" s="458">
        <v>0.27326707119104188</v>
      </c>
      <c r="BM28" s="468">
        <v>7.1446716012950278</v>
      </c>
    </row>
    <row r="29" spans="2:65" x14ac:dyDescent="0.3">
      <c r="B29" s="177" t="s">
        <v>4030</v>
      </c>
      <c r="D29" s="192">
        <f t="shared" ref="D29:AL29" ca="1" si="42">IF((D19-D24)&lt;=0,0,(D19-D24)*9%)</f>
        <v>887975.2988468128</v>
      </c>
      <c r="E29" s="192">
        <f t="shared" ca="1" si="42"/>
        <v>759238.26038547175</v>
      </c>
      <c r="F29" s="192">
        <f t="shared" ca="1" si="42"/>
        <v>912224.72249393619</v>
      </c>
      <c r="G29" s="192">
        <f ca="1">IF((G19-G24)&lt;=0,0,(G19-G24)*9%)</f>
        <v>521202.32197623659</v>
      </c>
      <c r="H29" s="192">
        <f t="shared" ca="1" si="42"/>
        <v>415921.6628837678</v>
      </c>
      <c r="I29" s="192">
        <f t="shared" ca="1" si="42"/>
        <v>267709.45340643422</v>
      </c>
      <c r="J29" s="192">
        <f t="shared" ca="1" si="42"/>
        <v>196867.22627886862</v>
      </c>
      <c r="K29" s="192">
        <f t="shared" ca="1" si="42"/>
        <v>52583.742477408123</v>
      </c>
      <c r="L29" s="193">
        <f t="shared" ca="1" si="42"/>
        <v>107691.36989760987</v>
      </c>
      <c r="M29" s="193">
        <f t="shared" ca="1" si="42"/>
        <v>564528.53567470016</v>
      </c>
      <c r="N29" s="192">
        <f t="shared" ca="1" si="42"/>
        <v>0</v>
      </c>
      <c r="O29" s="192">
        <f t="shared" ca="1" si="42"/>
        <v>78332.632311530513</v>
      </c>
      <c r="P29" s="192">
        <f t="shared" ca="1" si="42"/>
        <v>273348.27802284108</v>
      </c>
      <c r="Q29" s="192">
        <f t="shared" ca="1" si="42"/>
        <v>647492.71130817628</v>
      </c>
      <c r="R29" s="192">
        <f t="shared" ca="1" si="42"/>
        <v>0</v>
      </c>
      <c r="S29" s="192">
        <f t="shared" ca="1" si="42"/>
        <v>1631626.5766339484</v>
      </c>
      <c r="T29" s="192">
        <f t="shared" ca="1" si="42"/>
        <v>0</v>
      </c>
      <c r="U29" s="192">
        <f t="shared" ca="1" si="42"/>
        <v>1374708.2329743637</v>
      </c>
      <c r="V29" s="192">
        <f t="shared" ca="1" si="42"/>
        <v>1980365.5582034253</v>
      </c>
      <c r="W29" s="192">
        <f t="shared" ca="1" si="42"/>
        <v>4878556.8173428485</v>
      </c>
      <c r="X29" s="192">
        <f t="shared" ca="1" si="42"/>
        <v>2574422.721985959</v>
      </c>
      <c r="Y29" s="192">
        <f t="shared" ca="1" si="42"/>
        <v>1475536.7777422606</v>
      </c>
      <c r="Z29" s="192">
        <f t="shared" ca="1" si="42"/>
        <v>3982226.789866121</v>
      </c>
      <c r="AA29" s="192">
        <f t="shared" ca="1" si="42"/>
        <v>4978206.3562819427</v>
      </c>
      <c r="AB29" s="192">
        <f t="shared" ca="1" si="42"/>
        <v>5934246.9930067714</v>
      </c>
      <c r="AC29" s="192">
        <f t="shared" ca="1" si="42"/>
        <v>5810102.0754009597</v>
      </c>
      <c r="AD29" s="192">
        <f t="shared" ca="1" si="42"/>
        <v>2613262.8915830967</v>
      </c>
      <c r="AE29" s="192">
        <f t="shared" ca="1" si="42"/>
        <v>7596800.9273817064</v>
      </c>
      <c r="AF29" s="192">
        <f t="shared" ca="1" si="42"/>
        <v>8690925.5037541278</v>
      </c>
      <c r="AG29" s="192">
        <f t="shared" ca="1" si="42"/>
        <v>9170646.6065051146</v>
      </c>
      <c r="AH29" s="192">
        <f t="shared" ca="1" si="42"/>
        <v>6194338.4158590985</v>
      </c>
      <c r="AI29" s="192">
        <f t="shared" ca="1" si="42"/>
        <v>8317804.6930632424</v>
      </c>
      <c r="AJ29" s="192">
        <f t="shared" ca="1" si="42"/>
        <v>5878004.4203098156</v>
      </c>
      <c r="AK29" s="192">
        <f t="shared" ca="1" si="42"/>
        <v>11299493.692112815</v>
      </c>
      <c r="AL29" s="192">
        <f t="shared" ca="1" si="42"/>
        <v>6185275.07775841</v>
      </c>
      <c r="AN29" s="180">
        <v>4</v>
      </c>
      <c r="AQ29" s="198">
        <v>27</v>
      </c>
      <c r="AR29" s="196">
        <f ca="1">AD36</f>
        <v>20224358.998780526</v>
      </c>
      <c r="AS29" s="196">
        <f ca="1">NPV($AO$2,$AR$4:AR29)+$AR$3</f>
        <v>54582235.825578302</v>
      </c>
      <c r="AV29" s="198">
        <v>27</v>
      </c>
      <c r="AW29" s="196">
        <f t="shared" ca="1" si="3"/>
        <v>20224358.998780526</v>
      </c>
      <c r="AX29" s="196">
        <f t="shared" ca="1" si="1"/>
        <v>431282044.73739064</v>
      </c>
      <c r="AZ29" s="196"/>
      <c r="BE29" s="477">
        <v>6908634.4643948935</v>
      </c>
      <c r="BF29" s="458">
        <v>5.147562950744633E-2</v>
      </c>
      <c r="BG29" s="477">
        <v>2357081.5347401751</v>
      </c>
      <c r="BH29" s="458">
        <v>5.585996354403866E-2</v>
      </c>
      <c r="BI29" s="477">
        <v>14630732.172729589</v>
      </c>
      <c r="BJ29" s="458">
        <v>0.11669907624274267</v>
      </c>
      <c r="BK29" s="477">
        <v>89996256.990318269</v>
      </c>
      <c r="BL29" s="458">
        <v>0.25657088947979223</v>
      </c>
      <c r="BM29" s="468">
        <v>9.2786606927483728</v>
      </c>
    </row>
    <row r="30" spans="2:65" x14ac:dyDescent="0.3">
      <c r="D30" s="192"/>
      <c r="L30" s="179"/>
      <c r="M30" s="179"/>
      <c r="O30" s="179"/>
      <c r="P30" s="179"/>
      <c r="Q30" s="179"/>
      <c r="R30" s="179"/>
      <c r="S30" s="179"/>
      <c r="T30" s="179"/>
      <c r="U30" s="179"/>
      <c r="V30" s="179"/>
      <c r="W30" s="179"/>
      <c r="X30" s="179"/>
      <c r="Y30" s="179"/>
      <c r="Z30" s="183"/>
      <c r="AA30" s="179"/>
      <c r="AB30" s="183"/>
      <c r="AC30" s="179"/>
      <c r="AD30" s="179"/>
      <c r="AE30" s="179"/>
      <c r="AF30" s="179"/>
      <c r="AG30" s="179"/>
      <c r="AH30" s="179"/>
      <c r="AN30" s="180">
        <v>5</v>
      </c>
      <c r="AQ30" s="198">
        <v>28</v>
      </c>
      <c r="AR30" s="196">
        <f ca="1">AE36</f>
        <v>56715588.522497147</v>
      </c>
      <c r="AS30" s="196">
        <f ca="1">NPV($AO$2,$AR$4:AR30)+$AR$3</f>
        <v>59425636.810833618</v>
      </c>
      <c r="AV30" s="198">
        <v>28</v>
      </c>
      <c r="AW30" s="196">
        <f t="shared" ca="1" si="3"/>
        <v>56715588.522497147</v>
      </c>
      <c r="AX30" s="196">
        <f t="shared" ca="1" si="1"/>
        <v>1354587543.9856949</v>
      </c>
      <c r="AZ30" s="196"/>
      <c r="BE30" s="477">
        <v>7063487.415056021</v>
      </c>
      <c r="BF30" s="458">
        <v>4.6543396000849224E-2</v>
      </c>
      <c r="BG30" s="477">
        <v>8149290.8148619328</v>
      </c>
      <c r="BH30" s="458">
        <v>8.4446137544799127E-2</v>
      </c>
      <c r="BI30" s="477">
        <v>14323221.054962009</v>
      </c>
      <c r="BJ30" s="458">
        <v>0.11293332607810824</v>
      </c>
      <c r="BK30" s="477">
        <v>107856168.50762495</v>
      </c>
      <c r="BL30" s="458">
        <v>0.24407885146054964</v>
      </c>
      <c r="BM30" s="468">
        <v>8.1090638896686542</v>
      </c>
    </row>
    <row r="31" spans="2:65" x14ac:dyDescent="0.3">
      <c r="B31" s="177" t="s">
        <v>4031</v>
      </c>
      <c r="D31" s="194">
        <f ca="1">-SUM(D27:D29)</f>
        <v>-3330573.3511990709</v>
      </c>
      <c r="E31" s="195">
        <f ca="1">-SUM(E27:E29)</f>
        <v>-2844233.4281228934</v>
      </c>
      <c r="F31" s="195">
        <f t="shared" ref="F31:AB31" ca="1" si="43">-SUM(F27:F29)</f>
        <v>-3422182.2849770924</v>
      </c>
      <c r="G31" s="195">
        <f ca="1">-SUM(G27:G29)</f>
        <v>-1944986.5496880049</v>
      </c>
      <c r="H31" s="195">
        <f t="shared" ca="1" si="43"/>
        <v>-1547259.6153386785</v>
      </c>
      <c r="I31" s="195">
        <f t="shared" ca="1" si="43"/>
        <v>-987346.82397986273</v>
      </c>
      <c r="J31" s="195">
        <f t="shared" ca="1" si="43"/>
        <v>-719720.63260905922</v>
      </c>
      <c r="K31" s="195">
        <f t="shared" ca="1" si="43"/>
        <v>-174649.6938035418</v>
      </c>
      <c r="L31" s="182">
        <f t="shared" ca="1" si="43"/>
        <v>-382834.0640576373</v>
      </c>
      <c r="M31" s="182">
        <f t="shared" ca="1" si="43"/>
        <v>-2108663.3569933116</v>
      </c>
      <c r="N31" s="195">
        <f t="shared" ca="1" si="43"/>
        <v>0</v>
      </c>
      <c r="O31" s="195">
        <f t="shared" ca="1" si="43"/>
        <v>-309224.53110301867</v>
      </c>
      <c r="P31" s="195">
        <f t="shared" ca="1" si="43"/>
        <v>-1138814.8969860543</v>
      </c>
      <c r="Q31" s="195">
        <f t="shared" ca="1" si="43"/>
        <v>-2552722.7844188092</v>
      </c>
      <c r="R31" s="195">
        <f t="shared" ca="1" si="43"/>
        <v>0</v>
      </c>
      <c r="S31" s="195">
        <f t="shared" ca="1" si="43"/>
        <v>-6619645.1925976705</v>
      </c>
      <c r="T31" s="195">
        <f t="shared" ca="1" si="43"/>
        <v>0</v>
      </c>
      <c r="U31" s="195">
        <f t="shared" ca="1" si="43"/>
        <v>-5512359.3371564532</v>
      </c>
      <c r="V31" s="195">
        <f t="shared" ca="1" si="43"/>
        <v>-7457380.9976573847</v>
      </c>
      <c r="W31" s="195">
        <f t="shared" ca="1" si="43"/>
        <v>-18406103.532184094</v>
      </c>
      <c r="X31" s="195">
        <f t="shared" ca="1" si="43"/>
        <v>-9701596.9497247338</v>
      </c>
      <c r="Y31" s="195">
        <f t="shared" ca="1" si="43"/>
        <v>-5550250.0492485408</v>
      </c>
      <c r="Z31" s="195">
        <f t="shared" ca="1" si="43"/>
        <v>-15019967.872827569</v>
      </c>
      <c r="AA31" s="195">
        <f t="shared" ca="1" si="43"/>
        <v>-18782557.345954008</v>
      </c>
      <c r="AB31" s="195">
        <f t="shared" ca="1" si="43"/>
        <v>-22394266.418025583</v>
      </c>
      <c r="AC31" s="195">
        <f ca="1">-SUM(AC27:AC29)</f>
        <v>-21925274.507070292</v>
      </c>
      <c r="AD31" s="195">
        <f t="shared" ref="AD31:AL31" ca="1" si="44">-SUM(AD27:AD29)</f>
        <v>-9848326.4793139212</v>
      </c>
      <c r="AE31" s="195">
        <f t="shared" ca="1" si="44"/>
        <v>-28675025.725664224</v>
      </c>
      <c r="AF31" s="195">
        <f t="shared" ca="1" si="44"/>
        <v>-32808385.236404482</v>
      </c>
      <c r="AG31" s="195">
        <f t="shared" ca="1" si="44"/>
        <v>-34620664.957908213</v>
      </c>
      <c r="AH31" s="195">
        <f t="shared" ca="1" si="44"/>
        <v>-23376834.015467707</v>
      </c>
      <c r="AI31" s="195">
        <f t="shared" ca="1" si="44"/>
        <v>-31398817.72935003</v>
      </c>
      <c r="AJ31" s="195">
        <f t="shared" ca="1" si="44"/>
        <v>-22181794.476725969</v>
      </c>
      <c r="AK31" s="195">
        <f t="shared" ca="1" si="44"/>
        <v>-42662976.170203969</v>
      </c>
      <c r="AL31" s="195">
        <f t="shared" ca="1" si="44"/>
        <v>-23342594.738198437</v>
      </c>
      <c r="AN31" s="180">
        <f>AVERAGE(AN13:AN30)</f>
        <v>8.1111111111111107</v>
      </c>
      <c r="AQ31" s="198">
        <v>29</v>
      </c>
      <c r="AR31" s="196">
        <f ca="1">AF36</f>
        <v>65464308.209501237</v>
      </c>
      <c r="AS31" s="196">
        <f ca="1">NPV($AO$2,$AR$4:AR31)+$AR$3</f>
        <v>64529236.061549857</v>
      </c>
      <c r="AV31" s="198">
        <v>29</v>
      </c>
      <c r="AW31" s="196">
        <f t="shared" ca="1" si="3"/>
        <v>65464308.209501237</v>
      </c>
      <c r="AX31" s="196">
        <f t="shared" ca="1" si="1"/>
        <v>1751165692.5499825</v>
      </c>
      <c r="AZ31" s="196"/>
      <c r="BE31" s="477">
        <v>2297698.5414766688</v>
      </c>
      <c r="BF31" s="458">
        <v>2.5658010267815223E-2</v>
      </c>
      <c r="BG31" s="477">
        <v>9656602.1307196468</v>
      </c>
      <c r="BH31" s="458">
        <v>7.7417263510797918E-2</v>
      </c>
      <c r="BI31" s="477">
        <v>13584019.277737485</v>
      </c>
      <c r="BJ31" s="458">
        <v>8.5651643185744808E-2</v>
      </c>
      <c r="BK31" s="477">
        <v>97684783.695477307</v>
      </c>
      <c r="BL31" s="458">
        <v>0.26825448799268536</v>
      </c>
      <c r="BM31" s="468">
        <v>10.912006139172492</v>
      </c>
    </row>
    <row r="32" spans="2:65" x14ac:dyDescent="0.3">
      <c r="L32" s="179"/>
      <c r="M32" s="179"/>
      <c r="O32" s="179"/>
      <c r="P32" s="179"/>
      <c r="Q32" s="179"/>
      <c r="R32" s="179"/>
      <c r="S32" s="179"/>
      <c r="T32" s="179"/>
      <c r="U32" s="179"/>
      <c r="V32" s="179"/>
      <c r="W32" s="179"/>
      <c r="X32" s="179"/>
      <c r="Y32" s="179"/>
      <c r="Z32" s="183"/>
      <c r="AA32" s="179"/>
      <c r="AB32" s="183"/>
      <c r="AC32" s="179"/>
      <c r="AD32" s="179"/>
      <c r="AE32" s="179"/>
      <c r="AF32" s="179"/>
      <c r="AG32" s="179"/>
      <c r="AH32" s="179"/>
      <c r="AN32" s="180">
        <f>_xlfn.STDEV.S(AN13:AN30)</f>
        <v>3.6764575163166309</v>
      </c>
      <c r="AQ32" s="198">
        <v>30</v>
      </c>
      <c r="AR32" s="196">
        <f ca="1">AG36</f>
        <v>67781707.108485818</v>
      </c>
      <c r="AS32" s="196">
        <f ca="1">NPV($AO$2,$AR$4:AR32)+$AR$3</f>
        <v>69353249.22293295</v>
      </c>
      <c r="AV32" s="198">
        <v>30</v>
      </c>
      <c r="AW32" s="196">
        <f t="shared" ca="1" si="3"/>
        <v>67781707.108485818</v>
      </c>
      <c r="AX32" s="196">
        <f t="shared" ca="1" si="1"/>
        <v>2030734666.1926436</v>
      </c>
      <c r="AZ32" s="196"/>
      <c r="BE32" s="477">
        <v>6942638.033421481</v>
      </c>
      <c r="BF32" s="458">
        <v>3.9211705668396046E-2</v>
      </c>
      <c r="BG32" s="477">
        <v>6738871.6995989652</v>
      </c>
      <c r="BH32" s="458">
        <v>5.9659442048681122E-2</v>
      </c>
      <c r="BI32" s="477">
        <v>20661232.275823995</v>
      </c>
      <c r="BJ32" s="458">
        <v>0.10916255571417754</v>
      </c>
      <c r="BK32" s="477">
        <v>97053363.294266894</v>
      </c>
      <c r="BL32" s="458">
        <v>0.26990671726193671</v>
      </c>
      <c r="BM32" s="468">
        <v>4.5505795878378636</v>
      </c>
    </row>
    <row r="33" spans="2:65" x14ac:dyDescent="0.3">
      <c r="B33" s="200" t="s">
        <v>4032</v>
      </c>
      <c r="C33" s="200"/>
      <c r="D33" s="203">
        <f ca="1">D19+D31</f>
        <v>6535818.8582099611</v>
      </c>
      <c r="E33" s="203">
        <f ca="1">E19+E31</f>
        <v>5591747.2428267933</v>
      </c>
      <c r="F33" s="203">
        <f t="shared" ref="F33:AL33" ca="1" si="45">F19+F31</f>
        <v>6713647.964955532</v>
      </c>
      <c r="G33" s="203">
        <f ca="1">G19+G31</f>
        <v>3846150.3611590685</v>
      </c>
      <c r="H33" s="203">
        <f t="shared" ca="1" si="45"/>
        <v>3074092.194480964</v>
      </c>
      <c r="I33" s="203">
        <f t="shared" ca="1" si="45"/>
        <v>1987202.6583138511</v>
      </c>
      <c r="J33" s="203">
        <f t="shared" ca="1" si="45"/>
        <v>1467692.9927117033</v>
      </c>
      <c r="K33" s="203">
        <f t="shared" ca="1" si="45"/>
        <v>409614.11150099291</v>
      </c>
      <c r="L33" s="203">
        <f t="shared" ca="1" si="45"/>
        <v>813736.71258247248</v>
      </c>
      <c r="M33" s="203">
        <f t="shared" ca="1" si="45"/>
        <v>4163875.9282811345</v>
      </c>
      <c r="N33" s="203">
        <f ca="1">N19+N31</f>
        <v>-2981063.0852492303</v>
      </c>
      <c r="O33" s="203">
        <f ca="1">O19+O31</f>
        <v>934150.58495302126</v>
      </c>
      <c r="P33" s="203">
        <f t="shared" ca="1" si="45"/>
        <v>3200046.6589320581</v>
      </c>
      <c r="Q33" s="203">
        <f t="shared" ca="1" si="45"/>
        <v>5948032.7582179131</v>
      </c>
      <c r="R33" s="203">
        <f t="shared" ca="1" si="45"/>
        <v>-4797225.6975830942</v>
      </c>
      <c r="S33" s="203">
        <f t="shared" ca="1" si="45"/>
        <v>16306764.689807074</v>
      </c>
      <c r="T33" s="203">
        <f t="shared" ca="1" si="45"/>
        <v>-3430171.236977458</v>
      </c>
      <c r="U33" s="203">
        <f t="shared" ca="1" si="45"/>
        <v>13192347.821758382</v>
      </c>
      <c r="V33" s="203">
        <f t="shared" ca="1" si="45"/>
        <v>14546680.760158453</v>
      </c>
      <c r="W33" s="203">
        <f t="shared" ca="1" si="45"/>
        <v>35800083.327180892</v>
      </c>
      <c r="X33" s="203">
        <f t="shared" ca="1" si="45"/>
        <v>18903099.961230367</v>
      </c>
      <c r="Y33" s="203">
        <f t="shared" ca="1" si="45"/>
        <v>10844603.036776578</v>
      </c>
      <c r="Z33" s="203">
        <f t="shared" ca="1" si="45"/>
        <v>29226996.459018223</v>
      </c>
      <c r="AA33" s="203">
        <f t="shared" ca="1" si="45"/>
        <v>36530846.612734251</v>
      </c>
      <c r="AB33" s="203">
        <f t="shared" ca="1" si="45"/>
        <v>43541811.282049656</v>
      </c>
      <c r="AC33" s="203">
        <f t="shared" ca="1" si="45"/>
        <v>42631415.21960704</v>
      </c>
      <c r="AD33" s="203">
        <f t="shared" ca="1" si="45"/>
        <v>19187927.871609379</v>
      </c>
      <c r="AE33" s="203">
        <f t="shared" ca="1" si="45"/>
        <v>55733873.467465848</v>
      </c>
      <c r="AF33" s="203">
        <f t="shared" ca="1" si="45"/>
        <v>63757453.694196939</v>
      </c>
      <c r="AG33" s="203">
        <f t="shared" ca="1" si="45"/>
        <v>67275408.447704166</v>
      </c>
      <c r="AH33" s="203">
        <f t="shared" ca="1" si="45"/>
        <v>45449148.382966727</v>
      </c>
      <c r="AI33" s="203">
        <f t="shared" ca="1" si="45"/>
        <v>61021234.415797114</v>
      </c>
      <c r="AJ33" s="203">
        <f t="shared" ca="1" si="45"/>
        <v>43129365.74893865</v>
      </c>
      <c r="AK33" s="203">
        <f t="shared" ca="1" si="45"/>
        <v>82886953.742160633</v>
      </c>
      <c r="AL33" s="203">
        <f t="shared" ca="1" si="45"/>
        <v>45382683.903561674</v>
      </c>
      <c r="AM33" s="264"/>
      <c r="AQ33" s="198">
        <v>31</v>
      </c>
      <c r="AR33" s="196">
        <f ca="1">AH36</f>
        <v>45592304.647284433</v>
      </c>
      <c r="AS33" s="196">
        <f ca="1">NPV($AO$2,$AR$4:AR33)+$AR$3</f>
        <v>72315429.77845481</v>
      </c>
      <c r="AV33" s="198">
        <v>31</v>
      </c>
      <c r="AW33" s="196">
        <f t="shared" ca="1" si="3"/>
        <v>45592304.647284433</v>
      </c>
      <c r="AX33" s="196">
        <f t="shared" ca="1" si="1"/>
        <v>1529854924.1309559</v>
      </c>
      <c r="AZ33" s="196"/>
      <c r="BA33" s="191"/>
      <c r="BE33" s="477">
        <v>5275666.5965115363</v>
      </c>
      <c r="BF33" s="458">
        <v>5.5980073620445658E-2</v>
      </c>
      <c r="BG33" s="477">
        <v>11270393.769711727</v>
      </c>
      <c r="BH33" s="458">
        <v>9.7461442020732925E-2</v>
      </c>
      <c r="BI33" s="477">
        <v>21355886.304321006</v>
      </c>
      <c r="BJ33" s="458">
        <v>0.11433570388971726</v>
      </c>
      <c r="BK33" s="477">
        <v>93179273.356507957</v>
      </c>
      <c r="BL33" s="458">
        <v>0.29003148911906451</v>
      </c>
      <c r="BM33" s="468">
        <v>11.216298937829507</v>
      </c>
    </row>
    <row r="34" spans="2:65" s="191" customFormat="1" x14ac:dyDescent="0.3">
      <c r="L34" s="179"/>
      <c r="O34" s="179"/>
      <c r="P34" s="179"/>
      <c r="Q34" s="179"/>
      <c r="R34" s="179"/>
      <c r="S34" s="179"/>
      <c r="T34" s="179"/>
      <c r="U34" s="179"/>
      <c r="V34" s="179"/>
      <c r="W34" s="179"/>
      <c r="X34" s="179"/>
      <c r="Y34" s="179"/>
      <c r="Z34" s="183"/>
      <c r="AA34" s="179"/>
      <c r="AB34" s="183"/>
      <c r="AC34" s="179"/>
      <c r="AN34" s="180"/>
      <c r="AO34" s="180"/>
      <c r="AP34" s="180"/>
      <c r="AQ34" s="198">
        <v>32</v>
      </c>
      <c r="AR34" s="196">
        <f ca="1">AI36</f>
        <v>61207404.128464215</v>
      </c>
      <c r="AS34" s="196">
        <f ca="1">NPV($AO$2,$AR$4:AR34)+$AR$3</f>
        <v>75945775.131482705</v>
      </c>
      <c r="AT34" s="180"/>
      <c r="AU34" s="180"/>
      <c r="AV34" s="198">
        <v>32</v>
      </c>
      <c r="AW34" s="196">
        <f t="shared" ca="1" si="3"/>
        <v>61207404.128464215</v>
      </c>
      <c r="AX34" s="196">
        <f t="shared" ca="1" si="1"/>
        <v>2300279910.007916</v>
      </c>
      <c r="AY34" s="180"/>
      <c r="AZ34" s="196"/>
      <c r="BA34" s="180"/>
      <c r="BE34" s="478">
        <v>4243667.7697437694</v>
      </c>
      <c r="BF34" s="479">
        <v>3.931987561697059E-2</v>
      </c>
      <c r="BG34" s="478">
        <v>4122668.7897364753</v>
      </c>
      <c r="BH34" s="479">
        <v>6.5691672541917434E-2</v>
      </c>
      <c r="BI34" s="478">
        <v>15414180.676396828</v>
      </c>
      <c r="BJ34" s="479">
        <v>0.12226121502872456</v>
      </c>
      <c r="BK34" s="478">
        <v>88166141.00175859</v>
      </c>
      <c r="BL34" s="479">
        <v>0.25857876710362016</v>
      </c>
      <c r="BM34" s="481">
        <v>5.5208450981439201</v>
      </c>
    </row>
    <row r="35" spans="2:65" x14ac:dyDescent="0.3">
      <c r="B35" s="560" t="s">
        <v>4033</v>
      </c>
      <c r="C35" s="200"/>
      <c r="D35" s="204" t="s">
        <v>3701</v>
      </c>
      <c r="E35" s="204" t="s">
        <v>3702</v>
      </c>
      <c r="F35" s="204" t="s">
        <v>3703</v>
      </c>
      <c r="G35" s="204" t="s">
        <v>3704</v>
      </c>
      <c r="H35" s="204" t="s">
        <v>3705</v>
      </c>
      <c r="I35" s="204" t="s">
        <v>3706</v>
      </c>
      <c r="J35" s="204" t="s">
        <v>3707</v>
      </c>
      <c r="K35" s="204" t="s">
        <v>3708</v>
      </c>
      <c r="L35" s="204" t="s">
        <v>3709</v>
      </c>
      <c r="M35" s="204" t="s">
        <v>3710</v>
      </c>
      <c r="N35" s="204" t="s">
        <v>3711</v>
      </c>
      <c r="O35" s="204" t="s">
        <v>3712</v>
      </c>
      <c r="P35" s="204" t="s">
        <v>3713</v>
      </c>
      <c r="Q35" s="204" t="s">
        <v>3714</v>
      </c>
      <c r="R35" s="204" t="s">
        <v>3715</v>
      </c>
      <c r="S35" s="204" t="s">
        <v>3716</v>
      </c>
      <c r="T35" s="204" t="s">
        <v>3717</v>
      </c>
      <c r="U35" s="204" t="s">
        <v>3718</v>
      </c>
      <c r="V35" s="204" t="s">
        <v>3719</v>
      </c>
      <c r="W35" s="204" t="s">
        <v>3720</v>
      </c>
      <c r="X35" s="204" t="s">
        <v>3721</v>
      </c>
      <c r="Y35" s="204" t="s">
        <v>3722</v>
      </c>
      <c r="Z35" s="204" t="s">
        <v>3723</v>
      </c>
      <c r="AA35" s="204" t="s">
        <v>3724</v>
      </c>
      <c r="AB35" s="204" t="s">
        <v>3725</v>
      </c>
      <c r="AC35" s="204" t="s">
        <v>3726</v>
      </c>
      <c r="AD35" s="204" t="s">
        <v>3727</v>
      </c>
      <c r="AE35" s="204" t="s">
        <v>3728</v>
      </c>
      <c r="AF35" s="204" t="s">
        <v>3729</v>
      </c>
      <c r="AG35" s="204" t="s">
        <v>3730</v>
      </c>
      <c r="AH35" s="204" t="s">
        <v>3731</v>
      </c>
      <c r="AI35" s="204" t="s">
        <v>3732</v>
      </c>
      <c r="AJ35" s="204" t="s">
        <v>3733</v>
      </c>
      <c r="AK35" s="204" t="s">
        <v>3734</v>
      </c>
      <c r="AL35" s="204" t="s">
        <v>3735</v>
      </c>
      <c r="AM35" s="265"/>
      <c r="AQ35" s="198">
        <v>33</v>
      </c>
      <c r="AR35" s="196">
        <f ca="1">AJ36</f>
        <v>43326633.483179957</v>
      </c>
      <c r="AS35" s="196">
        <f ca="1">NPV($AO$2,$AR$4:AR35)+$AR$3</f>
        <v>78291747.674533695</v>
      </c>
      <c r="AV35" s="198">
        <v>33</v>
      </c>
      <c r="AW35" s="196">
        <f t="shared" ca="1" si="3"/>
        <v>43326633.483179957</v>
      </c>
      <c r="AX35" s="196">
        <f t="shared" ca="1" si="1"/>
        <v>1823684443.2041783</v>
      </c>
      <c r="AZ35" s="196"/>
      <c r="BE35" s="477">
        <v>4703982.3343281364</v>
      </c>
      <c r="BF35" s="458">
        <v>4.870996697942509E-2</v>
      </c>
      <c r="BG35" s="477">
        <v>6134653.7529396638</v>
      </c>
      <c r="BH35" s="458">
        <v>7.8746516761872831E-2</v>
      </c>
      <c r="BI35" s="477">
        <v>17367283.141152374</v>
      </c>
      <c r="BJ35" s="458">
        <v>0.10916391926948843</v>
      </c>
      <c r="BK35" s="477">
        <v>73979756.873680532</v>
      </c>
      <c r="BL35" s="458">
        <v>0.27563207486279384</v>
      </c>
      <c r="BM35" s="468">
        <v>11.987758628136925</v>
      </c>
    </row>
    <row r="36" spans="2:65" x14ac:dyDescent="0.3">
      <c r="B36" s="560"/>
      <c r="C36" s="200"/>
      <c r="D36" s="205">
        <f ca="1">SUM(D37:D41)</f>
        <v>5573489.1698969118</v>
      </c>
      <c r="E36" s="205">
        <f ca="1">SUM(E37:E41)</f>
        <v>1698563.9551555605</v>
      </c>
      <c r="F36" s="205">
        <f ca="1">SUM(F37:F41)</f>
        <v>3443564.0531388875</v>
      </c>
      <c r="G36" s="205">
        <f ca="1">SUM(G37:G41)</f>
        <v>-4788841.2411908871</v>
      </c>
      <c r="H36" s="205">
        <f t="shared" ref="H36:M36" ca="1" si="46">SUM(H37:H41)</f>
        <v>-2416480.8231498962</v>
      </c>
      <c r="I36" s="205">
        <f ca="1">SUM(I37:I41)</f>
        <v>3581850.8133794321</v>
      </c>
      <c r="J36" s="205">
        <f ca="1">SUM(J37:J41)</f>
        <v>2990972.3136335546</v>
      </c>
      <c r="K36" s="205">
        <f t="shared" ca="1" si="46"/>
        <v>1935792.3657205701</v>
      </c>
      <c r="L36" s="205">
        <f t="shared" ca="1" si="46"/>
        <v>2128766.515798917</v>
      </c>
      <c r="M36" s="205">
        <f t="shared" ca="1" si="46"/>
        <v>4613361.9414490163</v>
      </c>
      <c r="N36" s="205">
        <f ca="1">SUM(N37:N41)</f>
        <v>-2962753.7678911611</v>
      </c>
      <c r="O36" s="205">
        <f ca="1">SUM(O37:O41)</f>
        <v>603685.77875319775</v>
      </c>
      <c r="P36" s="205">
        <f t="shared" ref="P36:AL36" ca="1" si="47">SUM(P37:P41)</f>
        <v>2636606.6512990911</v>
      </c>
      <c r="Q36" s="205">
        <f t="shared" ca="1" si="47"/>
        <v>5640463.1463031499</v>
      </c>
      <c r="R36" s="205">
        <f t="shared" ca="1" si="47"/>
        <v>-6019113.2322886884</v>
      </c>
      <c r="S36" s="205">
        <f t="shared" ca="1" si="47"/>
        <v>17316022.649625659</v>
      </c>
      <c r="T36" s="205">
        <f t="shared" ca="1" si="47"/>
        <v>-2008872.6680216882</v>
      </c>
      <c r="U36" s="205">
        <f t="shared" ca="1" si="47"/>
        <v>14245907.228338704</v>
      </c>
      <c r="V36" s="205">
        <f t="shared" ca="1" si="47"/>
        <v>15592618.296505701</v>
      </c>
      <c r="W36" s="205">
        <f t="shared" ca="1" si="47"/>
        <v>37446847.436091401</v>
      </c>
      <c r="X36" s="205">
        <f t="shared" ca="1" si="47"/>
        <v>19977361.344834913</v>
      </c>
      <c r="Y36" s="205">
        <f t="shared" ca="1" si="47"/>
        <v>11917501.644664956</v>
      </c>
      <c r="Z36" s="205">
        <f t="shared" ca="1" si="47"/>
        <v>30989399.810473375</v>
      </c>
      <c r="AA36" s="205">
        <f t="shared" ca="1" si="47"/>
        <v>37601691.298874438</v>
      </c>
      <c r="AB36" s="205">
        <f t="shared" ca="1" si="47"/>
        <v>44618869.6811295</v>
      </c>
      <c r="AC36" s="205">
        <f t="shared" ca="1" si="47"/>
        <v>44480099.565218955</v>
      </c>
      <c r="AD36" s="205">
        <f t="shared" ca="1" si="47"/>
        <v>20224358.998780526</v>
      </c>
      <c r="AE36" s="205">
        <f t="shared" ca="1" si="47"/>
        <v>56715588.522497147</v>
      </c>
      <c r="AF36" s="205">
        <f t="shared" ca="1" si="47"/>
        <v>65464308.209501237</v>
      </c>
      <c r="AG36" s="205">
        <f t="shared" ca="1" si="47"/>
        <v>67781707.108485818</v>
      </c>
      <c r="AH36" s="205">
        <f t="shared" ca="1" si="47"/>
        <v>45592304.647284433</v>
      </c>
      <c r="AI36" s="205">
        <f t="shared" ca="1" si="47"/>
        <v>61207404.128464215</v>
      </c>
      <c r="AJ36" s="205">
        <f t="shared" ca="1" si="47"/>
        <v>43326633.483179957</v>
      </c>
      <c r="AK36" s="205">
        <f t="shared" ca="1" si="47"/>
        <v>83092112.147306576</v>
      </c>
      <c r="AL36" s="205">
        <f t="shared" ca="1" si="47"/>
        <v>45599998.846386597</v>
      </c>
      <c r="AM36" s="266"/>
      <c r="AQ36" s="198">
        <v>34</v>
      </c>
      <c r="AR36" s="196">
        <f ca="1">AK36</f>
        <v>83092112.147306576</v>
      </c>
      <c r="AS36" s="196">
        <f ca="1">NPV($AO$2,$AR$4:AR36)+$AR$3</f>
        <v>82399003.720251039</v>
      </c>
      <c r="AV36" s="198">
        <v>34</v>
      </c>
      <c r="AW36" s="196">
        <f t="shared" ca="1" si="3"/>
        <v>83092112.147306576</v>
      </c>
      <c r="AX36" s="196">
        <f t="shared" ca="1" si="1"/>
        <v>3917171349.4663582</v>
      </c>
      <c r="AZ36" s="196"/>
      <c r="BE36" s="477">
        <v>5160794.9284870792</v>
      </c>
      <c r="BF36" s="458">
        <v>3.139072359148809E-2</v>
      </c>
      <c r="BG36" s="477">
        <v>11809338.94913334</v>
      </c>
      <c r="BH36" s="458">
        <v>5.6866015130841552E-2</v>
      </c>
      <c r="BI36" s="477">
        <v>20751656.761520259</v>
      </c>
      <c r="BJ36" s="458">
        <v>0.10925553396811583</v>
      </c>
      <c r="BK36" s="477">
        <v>74013772.027126908</v>
      </c>
      <c r="BL36" s="458">
        <v>0.25488351413306742</v>
      </c>
      <c r="BM36" s="468">
        <v>12.251684713695884</v>
      </c>
    </row>
    <row r="37" spans="2:65" x14ac:dyDescent="0.3">
      <c r="B37" s="177" t="s">
        <v>4034</v>
      </c>
      <c r="D37" s="196">
        <f ca="1">D33</f>
        <v>6535818.8582099611</v>
      </c>
      <c r="E37" s="196">
        <f ca="1">E33</f>
        <v>5591747.2428267933</v>
      </c>
      <c r="F37" s="196">
        <f ca="1">F33</f>
        <v>6713647.964955532</v>
      </c>
      <c r="G37" s="196">
        <f ca="1">G33</f>
        <v>3846150.3611590685</v>
      </c>
      <c r="H37" s="196">
        <f ca="1">H33</f>
        <v>3074092.194480964</v>
      </c>
      <c r="I37" s="196">
        <f t="shared" ref="I37:AL37" ca="1" si="48">I33</f>
        <v>1987202.6583138511</v>
      </c>
      <c r="J37" s="196">
        <f t="shared" ca="1" si="48"/>
        <v>1467692.9927117033</v>
      </c>
      <c r="K37" s="196">
        <f t="shared" ca="1" si="48"/>
        <v>409614.11150099291</v>
      </c>
      <c r="L37" s="196">
        <f t="shared" ca="1" si="48"/>
        <v>813736.71258247248</v>
      </c>
      <c r="M37" s="196">
        <f t="shared" ca="1" si="48"/>
        <v>4163875.9282811345</v>
      </c>
      <c r="N37" s="196">
        <f t="shared" ca="1" si="48"/>
        <v>-2981063.0852492303</v>
      </c>
      <c r="O37" s="196">
        <f t="shared" ca="1" si="48"/>
        <v>934150.58495302126</v>
      </c>
      <c r="P37" s="196">
        <f t="shared" ca="1" si="48"/>
        <v>3200046.6589320581</v>
      </c>
      <c r="Q37" s="196">
        <f t="shared" ca="1" si="48"/>
        <v>5948032.7582179131</v>
      </c>
      <c r="R37" s="196">
        <f t="shared" ca="1" si="48"/>
        <v>-4797225.6975830942</v>
      </c>
      <c r="S37" s="196">
        <f t="shared" ca="1" si="48"/>
        <v>16306764.689807074</v>
      </c>
      <c r="T37" s="196">
        <f t="shared" ca="1" si="48"/>
        <v>-3430171.236977458</v>
      </c>
      <c r="U37" s="196">
        <f t="shared" ca="1" si="48"/>
        <v>13192347.821758382</v>
      </c>
      <c r="V37" s="196">
        <f t="shared" ca="1" si="48"/>
        <v>14546680.760158453</v>
      </c>
      <c r="W37" s="196">
        <f t="shared" ca="1" si="48"/>
        <v>35800083.327180892</v>
      </c>
      <c r="X37" s="196">
        <f t="shared" ca="1" si="48"/>
        <v>18903099.961230367</v>
      </c>
      <c r="Y37" s="196">
        <f t="shared" ca="1" si="48"/>
        <v>10844603.036776578</v>
      </c>
      <c r="Z37" s="196">
        <f t="shared" ca="1" si="48"/>
        <v>29226996.459018223</v>
      </c>
      <c r="AA37" s="196">
        <f t="shared" ca="1" si="48"/>
        <v>36530846.612734251</v>
      </c>
      <c r="AB37" s="196">
        <f ca="1">AB33</f>
        <v>43541811.282049656</v>
      </c>
      <c r="AC37" s="196">
        <f t="shared" ca="1" si="48"/>
        <v>42631415.21960704</v>
      </c>
      <c r="AD37" s="196">
        <f t="shared" ca="1" si="48"/>
        <v>19187927.871609379</v>
      </c>
      <c r="AE37" s="196">
        <f t="shared" ca="1" si="48"/>
        <v>55733873.467465848</v>
      </c>
      <c r="AF37" s="196">
        <f t="shared" ca="1" si="48"/>
        <v>63757453.694196939</v>
      </c>
      <c r="AG37" s="196">
        <f t="shared" ca="1" si="48"/>
        <v>67275408.447704166</v>
      </c>
      <c r="AH37" s="196">
        <f t="shared" ca="1" si="48"/>
        <v>45449148.382966727</v>
      </c>
      <c r="AI37" s="196">
        <f t="shared" ca="1" si="48"/>
        <v>61021234.415797114</v>
      </c>
      <c r="AJ37" s="196">
        <f t="shared" ca="1" si="48"/>
        <v>43129365.74893865</v>
      </c>
      <c r="AK37" s="196">
        <f t="shared" ca="1" si="48"/>
        <v>82886953.742160633</v>
      </c>
      <c r="AL37" s="196">
        <f t="shared" ca="1" si="48"/>
        <v>45382683.903561674</v>
      </c>
      <c r="AM37" s="196"/>
      <c r="AQ37" s="198">
        <v>35</v>
      </c>
      <c r="AR37" s="196">
        <f ca="1">AL36</f>
        <v>45599998.846386597</v>
      </c>
      <c r="AS37" s="196">
        <f ca="1">NPV($AO$2,$AR$4:AR37)+$AR$3</f>
        <v>84456697.809186444</v>
      </c>
      <c r="AV37" s="198">
        <v>35</v>
      </c>
      <c r="AW37" s="196">
        <f t="shared" ca="1" si="3"/>
        <v>45599998.846386597</v>
      </c>
      <c r="AX37" s="196">
        <v>5000</v>
      </c>
      <c r="BA37" s="179"/>
      <c r="BE37" s="477">
        <v>6806897.2504994906</v>
      </c>
      <c r="BF37" s="458">
        <v>3.6558295867302082E-2</v>
      </c>
      <c r="BG37" s="477">
        <v>6359130.8324445924</v>
      </c>
      <c r="BH37" s="458">
        <v>5.9710872190080311E-2</v>
      </c>
      <c r="BI37" s="477">
        <v>20501856.396182563</v>
      </c>
      <c r="BJ37" s="458">
        <v>0.10264505671609725</v>
      </c>
      <c r="BK37" s="477">
        <v>76843938.091846421</v>
      </c>
      <c r="BL37" s="458">
        <v>0.29467889261956315</v>
      </c>
      <c r="BM37" s="468">
        <v>9.0825134341900835</v>
      </c>
    </row>
    <row r="38" spans="2:65" s="179" customFormat="1" x14ac:dyDescent="0.3">
      <c r="B38" s="181" t="s">
        <v>4035</v>
      </c>
      <c r="D38" s="183">
        <f>-D18</f>
        <v>0</v>
      </c>
      <c r="E38" s="183">
        <f t="shared" ref="E38:AL38" si="49">-E18</f>
        <v>133000</v>
      </c>
      <c r="F38" s="183">
        <f t="shared" si="49"/>
        <v>591000</v>
      </c>
      <c r="G38" s="183">
        <f t="shared" si="49"/>
        <v>913000</v>
      </c>
      <c r="H38" s="183">
        <f t="shared" si="49"/>
        <v>2711500</v>
      </c>
      <c r="I38" s="183">
        <f t="shared" si="49"/>
        <v>3978000</v>
      </c>
      <c r="J38" s="183">
        <f t="shared" si="49"/>
        <v>3978000</v>
      </c>
      <c r="K38" s="183">
        <f t="shared" si="49"/>
        <v>3798000</v>
      </c>
      <c r="L38" s="183">
        <f t="shared" si="49"/>
        <v>3734000</v>
      </c>
      <c r="M38" s="183">
        <f t="shared" si="49"/>
        <v>2906000</v>
      </c>
      <c r="N38" s="183">
        <f t="shared" si="49"/>
        <v>2106000</v>
      </c>
      <c r="O38" s="183">
        <f t="shared" si="49"/>
        <v>2053000</v>
      </c>
      <c r="P38" s="183">
        <f t="shared" si="49"/>
        <v>1834000</v>
      </c>
      <c r="Q38" s="183">
        <f t="shared" si="49"/>
        <v>1779000</v>
      </c>
      <c r="R38" s="183">
        <f t="shared" si="49"/>
        <v>1159000</v>
      </c>
      <c r="S38" s="183">
        <f t="shared" si="49"/>
        <v>1039000</v>
      </c>
      <c r="T38" s="183">
        <f t="shared" si="49"/>
        <v>1039000</v>
      </c>
      <c r="U38" s="183">
        <f t="shared" si="49"/>
        <v>1039000</v>
      </c>
      <c r="V38" s="183">
        <f t="shared" si="49"/>
        <v>1039000</v>
      </c>
      <c r="W38" s="183">
        <f t="shared" si="49"/>
        <v>1039000</v>
      </c>
      <c r="X38" s="183">
        <f t="shared" si="49"/>
        <v>1039000</v>
      </c>
      <c r="Y38" s="183">
        <f t="shared" si="49"/>
        <v>1039000</v>
      </c>
      <c r="Z38" s="183">
        <f t="shared" si="49"/>
        <v>1039000</v>
      </c>
      <c r="AA38" s="183">
        <f t="shared" si="49"/>
        <v>1004000</v>
      </c>
      <c r="AB38" s="183">
        <f t="shared" si="49"/>
        <v>1004000</v>
      </c>
      <c r="AC38" s="183">
        <f t="shared" si="49"/>
        <v>1004000</v>
      </c>
      <c r="AD38" s="183">
        <f t="shared" si="49"/>
        <v>924000</v>
      </c>
      <c r="AE38" s="183">
        <f t="shared" si="49"/>
        <v>865000</v>
      </c>
      <c r="AF38" s="183">
        <f t="shared" si="49"/>
        <v>697000</v>
      </c>
      <c r="AG38" s="183">
        <f t="shared" si="49"/>
        <v>346500</v>
      </c>
      <c r="AH38" s="183">
        <f t="shared" si="49"/>
        <v>0</v>
      </c>
      <c r="AI38" s="183">
        <f t="shared" si="49"/>
        <v>0</v>
      </c>
      <c r="AJ38" s="183">
        <f t="shared" si="49"/>
        <v>0</v>
      </c>
      <c r="AK38" s="183">
        <f t="shared" si="49"/>
        <v>0</v>
      </c>
      <c r="AL38" s="183">
        <f t="shared" si="49"/>
        <v>0</v>
      </c>
      <c r="AM38" s="183"/>
      <c r="AN38" s="180"/>
      <c r="AO38" s="180"/>
      <c r="AP38" s="180"/>
      <c r="AQ38" s="198" t="s">
        <v>4066</v>
      </c>
      <c r="AR38" s="180"/>
      <c r="AS38" s="180"/>
      <c r="AT38" s="180"/>
      <c r="AU38" s="180"/>
      <c r="AV38" s="198" t="s">
        <v>4066</v>
      </c>
      <c r="AW38" s="427"/>
      <c r="AX38" s="180"/>
      <c r="AY38" s="180"/>
      <c r="AZ38" s="180"/>
      <c r="BE38" s="478">
        <v>1188930.6006846623</v>
      </c>
      <c r="BF38" s="479">
        <v>4.6274231033486934E-2</v>
      </c>
      <c r="BG38" s="478">
        <v>5993783.1705767903</v>
      </c>
      <c r="BH38" s="479">
        <v>7.211251341744096E-2</v>
      </c>
      <c r="BI38" s="478">
        <v>22559953.214300182</v>
      </c>
      <c r="BJ38" s="479">
        <v>0.12960185025644755</v>
      </c>
      <c r="BK38" s="478">
        <v>91847340.431613415</v>
      </c>
      <c r="BL38" s="479">
        <v>0.27487295486446617</v>
      </c>
      <c r="BM38" s="481">
        <v>11.002052152818283</v>
      </c>
    </row>
    <row r="39" spans="2:65" s="179" customFormat="1" x14ac:dyDescent="0.3">
      <c r="B39" s="181" t="s">
        <v>4036</v>
      </c>
      <c r="D39" s="183">
        <f>DRE_FC!D39</f>
        <v>2217070.3116869517</v>
      </c>
      <c r="E39" s="183">
        <f>DRE_FC!E39</f>
        <v>3716.712328767404</v>
      </c>
      <c r="F39" s="183">
        <f>DRE_FC!F39</f>
        <v>20316.088183355983</v>
      </c>
      <c r="G39" s="183">
        <f>DRE_FC!G39</f>
        <v>-1681841.6023499549</v>
      </c>
      <c r="H39" s="183">
        <f>DRE_FC!H39</f>
        <v>-182923.01763085951</v>
      </c>
      <c r="I39" s="183">
        <f>DRE_FC!I39</f>
        <v>-22951.844934418797</v>
      </c>
      <c r="J39" s="183">
        <f>DRE_FC!J39</f>
        <v>-94320.679078148678</v>
      </c>
      <c r="K39" s="183">
        <f>DRE_FC!K39</f>
        <v>88578.254219576251</v>
      </c>
      <c r="L39" s="183">
        <f>DRE_FC!L39</f>
        <v>-58570.196783555206</v>
      </c>
      <c r="M39" s="183">
        <f>DRE_FC!M39</f>
        <v>-96113.986832117662</v>
      </c>
      <c r="N39" s="183">
        <f>DRE_FC!N39</f>
        <v>272709.31735806912</v>
      </c>
      <c r="O39" s="183">
        <f>DRE_FC!O39</f>
        <v>-23064.806199823506</v>
      </c>
      <c r="P39" s="183">
        <f>DRE_FC!P39</f>
        <v>-37040.007632967085</v>
      </c>
      <c r="Q39" s="183">
        <f>DRE_FC!Q39</f>
        <v>273830.38808523677</v>
      </c>
      <c r="R39" s="183">
        <f>DRE_FC!R39</f>
        <v>-20487.534705594182</v>
      </c>
      <c r="S39" s="183">
        <f>DRE_FC!S39</f>
        <v>-29742.04018141143</v>
      </c>
      <c r="T39" s="183">
        <f>DRE_FC!T39</f>
        <v>382298.56895576976</v>
      </c>
      <c r="U39" s="183">
        <f>DRE_FC!U39</f>
        <v>14559.406580321491</v>
      </c>
      <c r="V39" s="183">
        <f>DRE_FC!V39</f>
        <v>6937.5363472476602</v>
      </c>
      <c r="W39" s="183">
        <f>DRE_FC!W39</f>
        <v>607764.10891050845</v>
      </c>
      <c r="X39" s="183">
        <f>DRE_FC!X39</f>
        <v>35261.383604545146</v>
      </c>
      <c r="Y39" s="183">
        <f>DRE_FC!Y39</f>
        <v>33898.607888378203</v>
      </c>
      <c r="Z39" s="183">
        <f>DRE_FC!Z39</f>
        <v>723403.35145515203</v>
      </c>
      <c r="AA39" s="183">
        <f>DRE_FC!AA39</f>
        <v>66844.686140183359</v>
      </c>
      <c r="AB39" s="183">
        <f>DRE_FC!AB39</f>
        <v>73058.399079848081</v>
      </c>
      <c r="AC39" s="183">
        <f>DRE_FC!AC39</f>
        <v>844684.34561191127</v>
      </c>
      <c r="AD39" s="183">
        <f>DRE_FC!AD39</f>
        <v>112431.12717114761</v>
      </c>
      <c r="AE39" s="183">
        <f>DRE_FC!AE39</f>
        <v>116715.05503129959</v>
      </c>
      <c r="AF39" s="183">
        <f>DRE_FC!AF39</f>
        <v>1009854.5153042972</v>
      </c>
      <c r="AG39" s="183">
        <f>DRE_FC!AG39</f>
        <v>159798.66078165919</v>
      </c>
      <c r="AH39" s="183">
        <f>DRE_FC!AH39</f>
        <v>143156.26431770995</v>
      </c>
      <c r="AI39" s="183">
        <f>DRE_FC!AI39</f>
        <v>186169.71266710013</v>
      </c>
      <c r="AJ39" s="183">
        <f>DRE_FC!AJ39</f>
        <v>197267.73424131051</v>
      </c>
      <c r="AK39" s="183">
        <f>DRE_FC!AK39</f>
        <v>205158.40514594689</v>
      </c>
      <c r="AL39" s="183">
        <f>DRE_FC!AL39</f>
        <v>217314.9428249225</v>
      </c>
      <c r="AM39" s="183"/>
      <c r="BE39" s="478">
        <v>3164333.4344140142</v>
      </c>
      <c r="BF39" s="479">
        <v>2.2360145977130763E-2</v>
      </c>
      <c r="BG39" s="478">
        <v>5029652.5797883347</v>
      </c>
      <c r="BH39" s="479">
        <v>7.6619840410901752E-2</v>
      </c>
      <c r="BI39" s="478">
        <v>11402008.15811919</v>
      </c>
      <c r="BJ39" s="479">
        <v>0.12110192665884378</v>
      </c>
      <c r="BK39" s="478">
        <v>87588837.779590771</v>
      </c>
      <c r="BL39" s="479">
        <v>0.25772522679530119</v>
      </c>
      <c r="BM39" s="481">
        <v>8.5732043463915417</v>
      </c>
    </row>
    <row r="40" spans="2:65" s="179" customFormat="1" x14ac:dyDescent="0.3">
      <c r="B40" s="181" t="s">
        <v>4245</v>
      </c>
      <c r="D40" s="183">
        <f>DRE_FC!D40</f>
        <v>-2360400</v>
      </c>
      <c r="E40" s="183">
        <f>DRE_FC!E40</f>
        <v>-2360400</v>
      </c>
      <c r="F40" s="183">
        <f>DRE_FC!F40</f>
        <v>-2360400</v>
      </c>
      <c r="G40" s="183">
        <f>DRE_FC!G40</f>
        <v>-2360400</v>
      </c>
      <c r="H40" s="183">
        <f>DRE_FC!H40</f>
        <v>-2360400</v>
      </c>
      <c r="I40" s="183">
        <f>DRE_FC!I40</f>
        <v>-2360400</v>
      </c>
      <c r="J40" s="183">
        <f>DRE_FC!J40</f>
        <v>-2360400</v>
      </c>
      <c r="K40" s="183">
        <f>DRE_FC!K40</f>
        <v>-2360400</v>
      </c>
      <c r="L40" s="183">
        <f>DRE_FC!L40</f>
        <v>-2360400</v>
      </c>
      <c r="M40" s="183">
        <f>DRE_FC!M40</f>
        <v>-2360400</v>
      </c>
      <c r="N40" s="183">
        <f>DRE_FC!N40</f>
        <v>-2360400</v>
      </c>
      <c r="O40" s="183">
        <f>DRE_FC!O40</f>
        <v>-2360400</v>
      </c>
      <c r="P40" s="183">
        <f>DRE_FC!P40</f>
        <v>-2360400</v>
      </c>
      <c r="Q40" s="183">
        <f>DRE_FC!Q40</f>
        <v>-2360400</v>
      </c>
      <c r="R40" s="183">
        <f>DRE_FC!R40</f>
        <v>-2360400</v>
      </c>
      <c r="S40" s="183">
        <f>DRE_FC!S40</f>
        <v>0</v>
      </c>
      <c r="T40" s="183">
        <f>DRE_FC!T40</f>
        <v>0</v>
      </c>
      <c r="U40" s="183">
        <f>DRE_FC!U40</f>
        <v>0</v>
      </c>
      <c r="V40" s="183">
        <f>DRE_FC!V40</f>
        <v>0</v>
      </c>
      <c r="W40" s="183">
        <f>DRE_FC!W40</f>
        <v>0</v>
      </c>
      <c r="X40" s="183">
        <f>DRE_FC!X40</f>
        <v>0</v>
      </c>
      <c r="Y40" s="183">
        <f>DRE_FC!Y40</f>
        <v>0</v>
      </c>
      <c r="Z40" s="183">
        <f>DRE_FC!Z40</f>
        <v>0</v>
      </c>
      <c r="AA40" s="183">
        <f>DRE_FC!AA40</f>
        <v>0</v>
      </c>
      <c r="AB40" s="183">
        <f>DRE_FC!AB40</f>
        <v>0</v>
      </c>
      <c r="AC40" s="183">
        <f>DRE_FC!AC40</f>
        <v>0</v>
      </c>
      <c r="AD40" s="183">
        <f>DRE_FC!AD40</f>
        <v>0</v>
      </c>
      <c r="AE40" s="183">
        <f>DRE_FC!AE40</f>
        <v>0</v>
      </c>
      <c r="AF40" s="183">
        <f>DRE_FC!AF40</f>
        <v>0</v>
      </c>
      <c r="AG40" s="183">
        <f>DRE_FC!AG40</f>
        <v>0</v>
      </c>
      <c r="AH40" s="183">
        <f>DRE_FC!AH40</f>
        <v>0</v>
      </c>
      <c r="AI40" s="183">
        <f>DRE_FC!AI40</f>
        <v>0</v>
      </c>
      <c r="AJ40" s="183">
        <f>DRE_FC!AJ40</f>
        <v>0</v>
      </c>
      <c r="AK40" s="183">
        <f>DRE_FC!AK40</f>
        <v>0</v>
      </c>
      <c r="AL40" s="183">
        <f>DRE_FC!AL40</f>
        <v>0</v>
      </c>
      <c r="AM40" s="183"/>
      <c r="BE40" s="478">
        <v>8342321.1188858384</v>
      </c>
      <c r="BF40" s="479">
        <v>3.9351958493153205E-2</v>
      </c>
      <c r="BG40" s="478">
        <v>11860161.808877286</v>
      </c>
      <c r="BH40" s="479">
        <v>4.2922318175699026E-2</v>
      </c>
      <c r="BI40" s="478">
        <v>13664972.015921885</v>
      </c>
      <c r="BJ40" s="479">
        <v>9.7811096373889184E-2</v>
      </c>
      <c r="BK40" s="478">
        <v>107419655.03112622</v>
      </c>
      <c r="BL40" s="479">
        <v>0.25354251217624979</v>
      </c>
      <c r="BM40" s="481">
        <v>5.2269368104195877</v>
      </c>
    </row>
    <row r="41" spans="2:65" s="179" customFormat="1" x14ac:dyDescent="0.3">
      <c r="B41" s="181" t="s">
        <v>4037</v>
      </c>
      <c r="D41" s="182">
        <f>DRE_FC!D41</f>
        <v>-819000.00000000012</v>
      </c>
      <c r="E41" s="182">
        <f>DRE_FC!E41</f>
        <v>-1669500.0000000002</v>
      </c>
      <c r="F41" s="182">
        <f>DRE_FC!F41</f>
        <v>-1521000.0000000002</v>
      </c>
      <c r="G41" s="182">
        <f>DRE_FC!G41</f>
        <v>-5505750.0000000009</v>
      </c>
      <c r="H41" s="182">
        <f>DRE_FC!H41</f>
        <v>-5658750.0000000009</v>
      </c>
      <c r="I41" s="183">
        <v>0</v>
      </c>
      <c r="J41" s="183">
        <v>0</v>
      </c>
      <c r="K41" s="183">
        <v>0</v>
      </c>
      <c r="L41" s="183">
        <v>0</v>
      </c>
      <c r="M41" s="183">
        <v>0</v>
      </c>
      <c r="N41" s="183">
        <v>0</v>
      </c>
      <c r="O41" s="183">
        <v>0</v>
      </c>
      <c r="P41" s="183">
        <v>0</v>
      </c>
      <c r="Q41" s="183">
        <v>0</v>
      </c>
      <c r="R41" s="183">
        <v>0</v>
      </c>
      <c r="S41" s="183">
        <v>0</v>
      </c>
      <c r="T41" s="183">
        <v>0</v>
      </c>
      <c r="U41" s="183">
        <v>0</v>
      </c>
      <c r="V41" s="183">
        <v>0</v>
      </c>
      <c r="W41" s="183">
        <v>0</v>
      </c>
      <c r="X41" s="183">
        <v>0</v>
      </c>
      <c r="Y41" s="183"/>
      <c r="Z41" s="183"/>
      <c r="AA41" s="183"/>
      <c r="AB41" s="183"/>
      <c r="AC41" s="183"/>
      <c r="BA41" s="180"/>
      <c r="BE41" s="478">
        <v>6576572.4067977164</v>
      </c>
      <c r="BF41" s="479">
        <v>3.4345487050459145E-2</v>
      </c>
      <c r="BG41" s="478">
        <v>11128023.1981718</v>
      </c>
      <c r="BH41" s="479">
        <v>8.4713915669865969E-2</v>
      </c>
      <c r="BI41" s="478">
        <v>8755874.3570879549</v>
      </c>
      <c r="BJ41" s="479">
        <v>9.6675563531204212E-2</v>
      </c>
      <c r="BK41" s="478">
        <v>89522092.948865458</v>
      </c>
      <c r="BL41" s="479">
        <v>0.25785071692033545</v>
      </c>
      <c r="BM41" s="481">
        <v>6.4541329206599984</v>
      </c>
    </row>
    <row r="42" spans="2:65" x14ac:dyDescent="0.3">
      <c r="C42" s="177"/>
      <c r="F42" s="178"/>
      <c r="G42" s="178"/>
      <c r="H42" s="470">
        <f ca="1">NPV(D44,D36:H36)</f>
        <v>4265295.9837395139</v>
      </c>
      <c r="J42" s="198"/>
      <c r="K42" s="178"/>
      <c r="L42" s="178"/>
      <c r="M42" s="470">
        <f ca="1">NPV(D44,D36:M36)</f>
        <v>11644859.283729475</v>
      </c>
      <c r="N42" s="1"/>
      <c r="O42" s="1"/>
      <c r="P42" s="178"/>
      <c r="R42" s="470">
        <f ca="1">NPV(D44,D36:R36)</f>
        <v>11606856.084415695</v>
      </c>
      <c r="AC42" s="196"/>
      <c r="BE42" s="477">
        <v>7893837.6740500079</v>
      </c>
      <c r="BF42" s="458">
        <v>3.7006336853190325E-2</v>
      </c>
      <c r="BG42" s="477">
        <v>6254578.0710034519</v>
      </c>
      <c r="BH42" s="458">
        <v>6.4439336020958748E-2</v>
      </c>
      <c r="BI42" s="477">
        <v>14693911.924954772</v>
      </c>
      <c r="BJ42" s="458">
        <v>6.490905591178997E-2</v>
      </c>
      <c r="BK42" s="477">
        <v>84440865.370173424</v>
      </c>
      <c r="BL42" s="458">
        <v>0.25348573443741063</v>
      </c>
      <c r="BM42" s="468">
        <v>8.7360577594960791</v>
      </c>
    </row>
    <row r="43" spans="2:65" x14ac:dyDescent="0.3">
      <c r="C43" s="177"/>
      <c r="D43" s="197"/>
      <c r="F43" s="198"/>
      <c r="G43" s="196"/>
      <c r="H43" s="196"/>
      <c r="I43" s="198"/>
      <c r="J43" s="216"/>
      <c r="K43" s="427"/>
      <c r="L43" s="428"/>
      <c r="M43" s="214"/>
      <c r="N43" s="1"/>
      <c r="O43"/>
      <c r="AC43" s="196"/>
      <c r="BE43" s="477">
        <v>1256752.6675089672</v>
      </c>
      <c r="BF43" s="458">
        <v>2.3358772110395831E-2</v>
      </c>
      <c r="BG43" s="477">
        <v>13423748.434801405</v>
      </c>
      <c r="BH43" s="458">
        <v>7.6024303869658194E-2</v>
      </c>
      <c r="BI43" s="477">
        <v>14751716.566104259</v>
      </c>
      <c r="BJ43" s="458">
        <v>9.3770234192903201E-2</v>
      </c>
      <c r="BK43" s="477">
        <v>65114206.284102008</v>
      </c>
      <c r="BL43" s="458">
        <v>0.2595208922974237</v>
      </c>
      <c r="BM43" s="468">
        <v>8.5525252288498059</v>
      </c>
    </row>
    <row r="44" spans="2:65" x14ac:dyDescent="0.3">
      <c r="C44" s="177" t="s">
        <v>4039</v>
      </c>
      <c r="D44" s="197">
        <f>TMA!D4</f>
        <v>9.5408232773706261E-2</v>
      </c>
      <c r="E44" s="180" t="s">
        <v>3319</v>
      </c>
      <c r="F44" s="178" t="s">
        <v>3740</v>
      </c>
      <c r="G44" s="178" t="s">
        <v>4040</v>
      </c>
      <c r="H44" s="178" t="s">
        <v>4041</v>
      </c>
      <c r="I44" s="178" t="s">
        <v>4042</v>
      </c>
      <c r="K44" s="178" t="s">
        <v>3740</v>
      </c>
      <c r="L44" s="178" t="s">
        <v>4229</v>
      </c>
      <c r="M44" s="177" t="s">
        <v>4230</v>
      </c>
      <c r="N44" s="178" t="s">
        <v>4231</v>
      </c>
      <c r="O44" s="178" t="s">
        <v>4232</v>
      </c>
      <c r="Q44" s="427">
        <v>15131500.1877</v>
      </c>
      <c r="R44" s="412" t="s">
        <v>4202</v>
      </c>
      <c r="S44" s="413" t="s">
        <v>4203</v>
      </c>
      <c r="T44"/>
      <c r="BE44" s="477">
        <v>2964378.5837299218</v>
      </c>
      <c r="BF44" s="458">
        <v>3.6323180714534775E-2</v>
      </c>
      <c r="BG44" s="477">
        <v>9743198.6684586257</v>
      </c>
      <c r="BH44" s="458">
        <v>6.9619227238752135E-2</v>
      </c>
      <c r="BI44" s="477">
        <v>21594224.032126095</v>
      </c>
      <c r="BJ44" s="458">
        <v>0.10201769404974503</v>
      </c>
      <c r="BK44" s="477">
        <v>98369420.147617504</v>
      </c>
      <c r="BL44" s="458">
        <v>0.26069237291985248</v>
      </c>
      <c r="BM44" s="468">
        <v>15.893470485463901</v>
      </c>
    </row>
    <row r="45" spans="2:65" x14ac:dyDescent="0.3">
      <c r="C45" s="177" t="s">
        <v>4043</v>
      </c>
      <c r="D45" s="197" t="e">
        <f>IRR(#REF!)</f>
        <v>#REF!</v>
      </c>
      <c r="E45" s="180" t="s">
        <v>3319</v>
      </c>
      <c r="F45" s="198">
        <v>1</v>
      </c>
      <c r="G45" s="196">
        <f ca="1">D36</f>
        <v>5573489.1698969118</v>
      </c>
      <c r="H45" s="196">
        <f ca="1">G45</f>
        <v>5573489.1698969118</v>
      </c>
      <c r="I45" s="198" t="b">
        <f ca="1">IF(H79&lt;0,#REF!,IF(H78&lt;0,F79,IF(H77&lt;0,F78,IF(H76&lt;0,F77,IF(H75&lt;0,F76,IF(H74&lt;0,F75,IF(H73&lt;0,F74,IF(H72&lt;0,F73,IF(H71&lt;0,F72,IF(H70&lt;0,F71,IF(H69&lt;0,F70,IF(H68&lt;0,F69,IF(H67&lt;0,F68,IF(H66&lt;0,F67,IF(H65&lt;0,F66,IF(H64&lt;0,F65,IF(H63&lt;0,F64,IF(H62&lt;0,F63,IF(H61&lt;0,F62,IF(H60&lt;0,F61,IF(H59&lt;0,F60,IF(H58&lt;0,F59,IF(H57&lt;0,F58,IF(H56&lt;0,F57,IF(H55&lt;0,F56,IF(H54&lt;0,F55,IF(H53&lt;0,F54,IF(H52&lt;0,F53,IF(H51&lt;0,F52,IF(H50&lt;0,F51,IF(H49&lt;0,F50,IF(H48&lt;0,F49,IF(H47&lt;0,F48,IF(H46&lt;0,F47,IF(H45&lt;0,F46)))))))))))))))))))))))))))))))))))</f>
        <v>0</v>
      </c>
      <c r="J45" s="460"/>
      <c r="K45" s="461">
        <v>1</v>
      </c>
      <c r="L45" s="464">
        <f ca="1">G45</f>
        <v>5573489.1698969118</v>
      </c>
      <c r="M45" s="464">
        <f ca="1">IF(L45&gt;0,L45*(1+D$50)^F45,L45*(1+D$51)^(-F45))</f>
        <v>6242307.8702845415</v>
      </c>
      <c r="N45" s="196">
        <f ca="1">SUMIF(M45:M79,"&gt;=0")</f>
        <v>21307173445.719322</v>
      </c>
      <c r="O45" s="196">
        <f ca="1">-SUMIF(M45:M79,"&lt;0")</f>
        <v>5502669.5079115806</v>
      </c>
      <c r="Q45" s="427">
        <v>14302020.2445</v>
      </c>
      <c r="R45" s="414">
        <v>117.00000031851232</v>
      </c>
      <c r="S45" s="415" t="s">
        <v>4204</v>
      </c>
      <c r="T45"/>
      <c r="AC45" s="196" t="e">
        <f>NPV(12%,#REF!)+#REF!</f>
        <v>#REF!</v>
      </c>
      <c r="BE45" s="477">
        <v>9751852.8843400851</v>
      </c>
      <c r="BF45" s="458">
        <v>5.1218986669461897E-2</v>
      </c>
      <c r="BG45" s="477">
        <v>4879324.6468821187</v>
      </c>
      <c r="BH45" s="458">
        <v>7.7753685348659562E-2</v>
      </c>
      <c r="BI45" s="477">
        <v>17362747.722234398</v>
      </c>
      <c r="BJ45" s="458">
        <v>9.6612600334257781E-2</v>
      </c>
      <c r="BK45" s="477">
        <v>85272564.974894747</v>
      </c>
      <c r="BL45" s="458">
        <v>0.28778451306134989</v>
      </c>
      <c r="BM45" s="468">
        <v>11.108224902400465</v>
      </c>
    </row>
    <row r="46" spans="2:65" x14ac:dyDescent="0.3">
      <c r="C46" s="177" t="s">
        <v>4041</v>
      </c>
      <c r="D46" s="233">
        <f ca="1">NPV(D44,E36:AL36)+D36</f>
        <v>84456697.809186444</v>
      </c>
      <c r="F46" s="198">
        <v>2</v>
      </c>
      <c r="G46" s="196">
        <f ca="1">E36</f>
        <v>1698563.9551555605</v>
      </c>
      <c r="H46" s="196">
        <f ca="1">NPV(D44,G46)+G45</f>
        <v>7124111.0333592584</v>
      </c>
      <c r="J46" s="460"/>
      <c r="K46" s="461">
        <v>2</v>
      </c>
      <c r="L46" s="464">
        <f t="shared" ref="L46:L79" ca="1" si="50">G46</f>
        <v>1698563.9551555605</v>
      </c>
      <c r="M46" s="464">
        <f ca="1">IF(L46&gt;0,L46*(1+D$50)^F46,L46*(1+D$51)^(-F46))</f>
        <v>2130678.6253471356</v>
      </c>
      <c r="N46" s="178" t="s">
        <v>4226</v>
      </c>
      <c r="O46" s="196"/>
      <c r="Q46" s="427">
        <v>13830959.3467</v>
      </c>
      <c r="R46" s="414">
        <f>R45/60</f>
        <v>1.9500000053085387</v>
      </c>
      <c r="S46" s="415" t="s">
        <v>4205</v>
      </c>
      <c r="T46"/>
      <c r="BE46" s="477">
        <v>3234955.4413182153</v>
      </c>
      <c r="BF46" s="458">
        <v>3.5534043105310609E-2</v>
      </c>
      <c r="BG46" s="477">
        <v>11403352.924355561</v>
      </c>
      <c r="BH46" s="458">
        <v>7.7720450907756033E-2</v>
      </c>
      <c r="BI46" s="477">
        <v>19060805.798980363</v>
      </c>
      <c r="BJ46" s="458">
        <v>9.9174085753162444E-2</v>
      </c>
      <c r="BK46" s="477">
        <v>76767507.317715436</v>
      </c>
      <c r="BL46" s="458">
        <v>0.25640213502183617</v>
      </c>
      <c r="BM46" s="468">
        <v>6.805815511606454</v>
      </c>
    </row>
    <row r="47" spans="2:65" x14ac:dyDescent="0.3">
      <c r="C47" s="177" t="s">
        <v>4042</v>
      </c>
      <c r="D47" s="198" t="b">
        <f ca="1">I45</f>
        <v>0</v>
      </c>
      <c r="E47" s="180" t="s">
        <v>4044</v>
      </c>
      <c r="F47" s="198">
        <v>3</v>
      </c>
      <c r="G47" s="196">
        <f ca="1">F36</f>
        <v>3443564.0531388875</v>
      </c>
      <c r="H47" s="196">
        <f ca="1">NPV($D$44,$G$46:G47)+$G$45</f>
        <v>9993940.9880668186</v>
      </c>
      <c r="I47" s="177" t="s">
        <v>4081</v>
      </c>
      <c r="J47" s="460"/>
      <c r="K47" s="461">
        <v>3</v>
      </c>
      <c r="L47" s="464">
        <f t="shared" ca="1" si="50"/>
        <v>3443564.0531388875</v>
      </c>
      <c r="M47" s="464">
        <f ca="1">IF(L47&gt;0,L47*(1+D$50)^F47,L47*(1+D$51)^(-F47))</f>
        <v>4837959.5580483126</v>
      </c>
      <c r="N47" s="437">
        <f ca="1">(N45/O45)^(1/35)-1</f>
        <v>0.26623095417309894</v>
      </c>
      <c r="O47" s="196" t="s">
        <v>3319</v>
      </c>
      <c r="Q47" s="427">
        <v>2009651.2814</v>
      </c>
      <c r="S47" s="415" t="s">
        <v>4219</v>
      </c>
      <c r="T47"/>
      <c r="BE47" s="477">
        <v>5249445.7617162438</v>
      </c>
      <c r="BF47" s="458">
        <v>2.6966314676557301E-2</v>
      </c>
      <c r="BG47" s="477">
        <v>10434626.613150682</v>
      </c>
      <c r="BH47" s="458">
        <v>8.7516087081900507E-2</v>
      </c>
      <c r="BI47" s="477">
        <v>13285557.660391528</v>
      </c>
      <c r="BJ47" s="458">
        <v>0.1000321766375174</v>
      </c>
      <c r="BK47" s="477">
        <v>90962893.496221811</v>
      </c>
      <c r="BL47" s="458">
        <v>0.27038599626903581</v>
      </c>
      <c r="BM47" s="468">
        <v>13.903395955710319</v>
      </c>
    </row>
    <row r="48" spans="2:65" x14ac:dyDescent="0.3">
      <c r="F48" s="198">
        <v>4</v>
      </c>
      <c r="G48" s="196">
        <f ca="1">G36</f>
        <v>-4788841.2411908871</v>
      </c>
      <c r="H48" s="196">
        <f ca="1">NPV($D$44,$G$46:G48)+$G$45</f>
        <v>6350578.0370723046</v>
      </c>
      <c r="I48" s="177" t="s">
        <v>4082</v>
      </c>
      <c r="J48" s="460"/>
      <c r="K48" s="461">
        <v>4</v>
      </c>
      <c r="L48" s="464">
        <f t="shared" ca="1" si="50"/>
        <v>-4788841.2411908871</v>
      </c>
      <c r="M48" s="464">
        <f t="shared" ref="M48:M79" ca="1" si="51">IF(L48&gt;0,L48*(1+D$50)^F48,L48*(1+D$51)^(-F48))</f>
        <v>-2738035.5222806605</v>
      </c>
      <c r="O48" s="196"/>
      <c r="Q48" s="427">
        <v>23621057.794199999</v>
      </c>
      <c r="S48" s="415" t="s">
        <v>4220</v>
      </c>
      <c r="T48"/>
      <c r="BE48" s="477">
        <v>4853866.3663848322</v>
      </c>
      <c r="BF48" s="458">
        <v>4.5009761192219999E-2</v>
      </c>
      <c r="BG48" s="477">
        <v>5189967.2157475865</v>
      </c>
      <c r="BH48" s="458">
        <v>5.8357927115756603E-2</v>
      </c>
      <c r="BI48" s="477">
        <v>13604232.607690321</v>
      </c>
      <c r="BJ48" s="458">
        <v>0.14154413073977357</v>
      </c>
      <c r="BK48" s="477">
        <v>89983810.98073031</v>
      </c>
      <c r="BL48" s="458">
        <v>0.2685765491699359</v>
      </c>
      <c r="BM48" s="468">
        <v>2.7532661642933869</v>
      </c>
    </row>
    <row r="49" spans="3:65" x14ac:dyDescent="0.3">
      <c r="C49" s="177" t="s">
        <v>4226</v>
      </c>
      <c r="D49" s="446">
        <f ca="1">N47</f>
        <v>0.26623095417309894</v>
      </c>
      <c r="F49" s="198">
        <v>5</v>
      </c>
      <c r="G49" s="196">
        <f ca="1">H36</f>
        <v>-2416480.8231498962</v>
      </c>
      <c r="H49" s="196">
        <f ca="1">NPV($D$44,$G$46:G49)+$G$45</f>
        <v>4672240.335804888</v>
      </c>
      <c r="I49" s="177" t="s">
        <v>4079</v>
      </c>
      <c r="K49" s="461">
        <v>5</v>
      </c>
      <c r="L49" s="464">
        <f t="shared" ca="1" si="50"/>
        <v>-2416480.8231498962</v>
      </c>
      <c r="M49" s="464">
        <f t="shared" ca="1" si="51"/>
        <v>-1201418.0465645895</v>
      </c>
      <c r="O49" s="196"/>
      <c r="Q49" s="427">
        <v>23091417.069800001</v>
      </c>
      <c r="S49" s="415" t="s">
        <v>4206</v>
      </c>
      <c r="BE49" s="477">
        <v>7496384.6308832653</v>
      </c>
      <c r="BF49" s="458">
        <v>2.2290952668026387E-2</v>
      </c>
      <c r="BG49" s="477">
        <v>8378423.405746283</v>
      </c>
      <c r="BH49" s="458">
        <v>5.9810413038207111E-2</v>
      </c>
      <c r="BI49" s="477">
        <v>24526258.84930807</v>
      </c>
      <c r="BJ49" s="458">
        <v>0.11400884049959159</v>
      </c>
      <c r="BK49" s="477">
        <v>76112656.457690626</v>
      </c>
      <c r="BL49" s="458">
        <v>0.28092534101159261</v>
      </c>
      <c r="BM49" s="468">
        <v>8.4632505435012018</v>
      </c>
    </row>
    <row r="50" spans="3:65" x14ac:dyDescent="0.3">
      <c r="C50" s="180" t="s">
        <v>4227</v>
      </c>
      <c r="D50" s="436">
        <v>0.12</v>
      </c>
      <c r="E50" s="180" t="s">
        <v>3319</v>
      </c>
      <c r="F50" s="198">
        <v>6</v>
      </c>
      <c r="G50" s="196">
        <f ca="1">I36</f>
        <v>3581850.8133794321</v>
      </c>
      <c r="H50" s="196">
        <f ca="1">NPV($D$44,$G$46:G50)+$G$45</f>
        <v>6943294.4887457192</v>
      </c>
      <c r="I50" s="177" t="s">
        <v>4080</v>
      </c>
      <c r="K50" s="462">
        <v>6</v>
      </c>
      <c r="L50" s="465">
        <f t="shared" ca="1" si="50"/>
        <v>3581850.8133794321</v>
      </c>
      <c r="M50" s="465">
        <f t="shared" ca="1" si="51"/>
        <v>7069938.3903930876</v>
      </c>
      <c r="O50" s="196"/>
      <c r="Q50" s="427">
        <v>9239536.5350000001</v>
      </c>
      <c r="S50" s="415" t="s">
        <v>4207</v>
      </c>
      <c r="BE50" s="477">
        <v>3455081.0178544521</v>
      </c>
      <c r="BF50" s="458">
        <v>3.6943765711205279E-2</v>
      </c>
      <c r="BG50" s="477">
        <v>9669874.6279132981</v>
      </c>
      <c r="BH50" s="458">
        <v>6.5540562191568119E-2</v>
      </c>
      <c r="BI50" s="477">
        <v>13653856.988957906</v>
      </c>
      <c r="BJ50" s="458">
        <v>0.103304266120263</v>
      </c>
      <c r="BK50" s="477">
        <v>85149719.858182535</v>
      </c>
      <c r="BL50" s="458">
        <v>0.27047537513299735</v>
      </c>
      <c r="BM50" s="468">
        <v>1.4206642841023651</v>
      </c>
    </row>
    <row r="51" spans="3:65" x14ac:dyDescent="0.3">
      <c r="C51" s="180" t="s">
        <v>4228</v>
      </c>
      <c r="D51" s="436">
        <v>0.15</v>
      </c>
      <c r="E51" s="180" t="s">
        <v>3319</v>
      </c>
      <c r="F51" s="198">
        <v>7</v>
      </c>
      <c r="G51" s="196">
        <f ca="1">J36</f>
        <v>2990972.3136335546</v>
      </c>
      <c r="H51" s="196">
        <f ca="1">NPV($D$44,$G$46:G51)+$G$45</f>
        <v>8674530.945994528</v>
      </c>
      <c r="K51" s="462">
        <v>7</v>
      </c>
      <c r="L51" s="465">
        <f t="shared" ca="1" si="50"/>
        <v>2990972.3136335546</v>
      </c>
      <c r="M51" s="465">
        <f t="shared" ca="1" si="51"/>
        <v>6612086.8838160485</v>
      </c>
      <c r="O51" s="196"/>
      <c r="Q51" s="427">
        <v>11337767.860300001</v>
      </c>
      <c r="S51" s="415" t="s">
        <v>4208</v>
      </c>
      <c r="BE51" s="477">
        <v>2339903.8956000023</v>
      </c>
      <c r="BF51" s="458">
        <v>4.2975063760592347E-2</v>
      </c>
      <c r="BG51" s="477">
        <v>7595885.5295539834</v>
      </c>
      <c r="BH51" s="458">
        <v>6.1048989746861793E-2</v>
      </c>
      <c r="BI51" s="477">
        <v>19919277.350236569</v>
      </c>
      <c r="BJ51" s="458">
        <v>0.11679099261210335</v>
      </c>
      <c r="BK51" s="477">
        <v>88920509.489105165</v>
      </c>
      <c r="BL51" s="458">
        <v>0.27273708275235475</v>
      </c>
      <c r="BM51" s="468">
        <v>-1.5074127985876391</v>
      </c>
    </row>
    <row r="52" spans="3:65" x14ac:dyDescent="0.3">
      <c r="F52" s="198">
        <v>8</v>
      </c>
      <c r="G52" s="196">
        <f ca="1">K36</f>
        <v>1935792.3657205701</v>
      </c>
      <c r="H52" s="196">
        <f ca="1">NPV($D$44,$G$46:G52)+$G$45</f>
        <v>9697415.8478470556</v>
      </c>
      <c r="K52" s="462">
        <v>8</v>
      </c>
      <c r="L52" s="465">
        <f t="shared" ca="1" si="50"/>
        <v>1935792.3657205701</v>
      </c>
      <c r="M52" s="465">
        <f t="shared" ca="1" si="51"/>
        <v>4792950.6144767487</v>
      </c>
      <c r="O52" s="196"/>
      <c r="Q52" s="427">
        <v>-6739554.6346000005</v>
      </c>
      <c r="S52" s="415" t="s">
        <v>4221</v>
      </c>
      <c r="BE52" s="477">
        <v>2052982.8352281</v>
      </c>
      <c r="BF52" s="458">
        <v>3.7509940073569448E-2</v>
      </c>
      <c r="BG52" s="477">
        <v>4733613.4035503361</v>
      </c>
      <c r="BH52" s="458">
        <v>5.502962985333637E-2</v>
      </c>
      <c r="BI52" s="477">
        <v>15256682.099124657</v>
      </c>
      <c r="BJ52" s="458">
        <v>0.10901030281011015</v>
      </c>
      <c r="BK52" s="477">
        <v>79951399.709650502</v>
      </c>
      <c r="BL52" s="458">
        <v>0.27699013868272337</v>
      </c>
      <c r="BM52" s="468">
        <v>13.770478350848776</v>
      </c>
    </row>
    <row r="53" spans="3:65" x14ac:dyDescent="0.3">
      <c r="F53" s="198">
        <v>9</v>
      </c>
      <c r="G53" s="196">
        <f ca="1">L36</f>
        <v>2128766.515798917</v>
      </c>
      <c r="H53" s="196">
        <f ca="1">NPV($D$44,$G$46:G53)+$G$45</f>
        <v>10724296.627871726</v>
      </c>
      <c r="K53" s="462">
        <v>9</v>
      </c>
      <c r="L53" s="465">
        <f t="shared" ca="1" si="50"/>
        <v>2128766.515798917</v>
      </c>
      <c r="M53" s="465">
        <f t="shared" ca="1" si="51"/>
        <v>5903237.2045332277</v>
      </c>
      <c r="O53" s="196"/>
      <c r="Q53" s="427">
        <v>26309984.0867</v>
      </c>
      <c r="S53" s="413" t="s">
        <v>4209</v>
      </c>
      <c r="BE53" s="477">
        <v>3271377.0842819181</v>
      </c>
      <c r="BF53" s="458">
        <v>2.1399419288749222E-2</v>
      </c>
      <c r="BG53" s="477">
        <v>2134817.3879760941</v>
      </c>
      <c r="BH53" s="458">
        <v>5.5124710799333565E-2</v>
      </c>
      <c r="BI53" s="477">
        <v>19130489.221609242</v>
      </c>
      <c r="BJ53" s="458">
        <v>9.7670061421666787E-2</v>
      </c>
      <c r="BK53" s="477">
        <v>103031217.40302089</v>
      </c>
      <c r="BL53" s="458">
        <v>0.26594093704753741</v>
      </c>
      <c r="BM53" s="468">
        <v>5.4320365994310347</v>
      </c>
    </row>
    <row r="54" spans="3:65" x14ac:dyDescent="0.3">
      <c r="F54" s="198">
        <v>10</v>
      </c>
      <c r="G54" s="196">
        <f ca="1">M36</f>
        <v>4613361.9414490163</v>
      </c>
      <c r="H54" s="196">
        <f ca="1">NPV($D$44,$G$46:G54)+$G$45</f>
        <v>12755874.728888592</v>
      </c>
      <c r="K54" s="462">
        <v>10</v>
      </c>
      <c r="L54" s="465">
        <f t="shared" ca="1" si="50"/>
        <v>4613361.9414490163</v>
      </c>
      <c r="M54" s="465">
        <f t="shared" ca="1" si="51"/>
        <v>14328401.920292798</v>
      </c>
      <c r="O54" s="196"/>
      <c r="Q54" s="427">
        <v>-1589020.6706999999</v>
      </c>
      <c r="BE54" s="477">
        <v>5885223.331172822</v>
      </c>
      <c r="BF54" s="458">
        <v>1.9459559600796927E-2</v>
      </c>
      <c r="BG54" s="477">
        <v>7831297.4581707343</v>
      </c>
      <c r="BH54" s="458">
        <v>6.7235797003395881E-2</v>
      </c>
      <c r="BI54" s="477">
        <v>19939457.522411849</v>
      </c>
      <c r="BJ54" s="458">
        <v>0.12141002806841672</v>
      </c>
      <c r="BK54" s="477">
        <v>89525057.147889465</v>
      </c>
      <c r="BL54" s="458">
        <v>0.30718458218813827</v>
      </c>
      <c r="BM54" s="468">
        <v>2.8097200987043633</v>
      </c>
    </row>
    <row r="55" spans="3:65" x14ac:dyDescent="0.3">
      <c r="F55" s="198">
        <v>11</v>
      </c>
      <c r="G55" s="196">
        <f ca="1">N36</f>
        <v>-2962753.7678911611</v>
      </c>
      <c r="H55" s="196">
        <f ca="1">NPV($D$44,$G$46:G55)+$G$45</f>
        <v>11564809.482476002</v>
      </c>
      <c r="K55" s="463">
        <v>11</v>
      </c>
      <c r="L55" s="466">
        <f t="shared" ca="1" si="50"/>
        <v>-2962753.7678911611</v>
      </c>
      <c r="M55" s="466">
        <f t="shared" ca="1" si="51"/>
        <v>-636823.8429805456</v>
      </c>
      <c r="O55" s="196"/>
      <c r="Q55" s="427">
        <v>17694028.232700001</v>
      </c>
      <c r="BE55" s="477">
        <v>4340840.990341777</v>
      </c>
      <c r="BF55" s="458">
        <v>2.1186569127716881E-2</v>
      </c>
      <c r="BG55" s="477">
        <v>4480877.2564396951</v>
      </c>
      <c r="BH55" s="458">
        <v>6.8237605484740671E-2</v>
      </c>
      <c r="BI55" s="477">
        <v>18230499.197527822</v>
      </c>
      <c r="BJ55" s="458">
        <v>8.3897523578201127E-2</v>
      </c>
      <c r="BK55" s="477">
        <v>74013445.503161088</v>
      </c>
      <c r="BL55" s="458">
        <v>0.27516273847063455</v>
      </c>
      <c r="BM55" s="468">
        <v>5.4431181428572497</v>
      </c>
    </row>
    <row r="56" spans="3:65" x14ac:dyDescent="0.3">
      <c r="F56" s="198">
        <v>12</v>
      </c>
      <c r="G56" s="196">
        <f ca="1">O36</f>
        <v>603685.77875319775</v>
      </c>
      <c r="H56" s="196">
        <f ca="1">NPV($D$44,$G$46:G56)+$G$45</f>
        <v>11786361.106637161</v>
      </c>
      <c r="K56" s="463">
        <v>12</v>
      </c>
      <c r="L56" s="466">
        <f t="shared" ca="1" si="50"/>
        <v>603685.77875319775</v>
      </c>
      <c r="M56" s="466">
        <f t="shared" ca="1" si="51"/>
        <v>2351945.3010644857</v>
      </c>
      <c r="O56" s="196"/>
      <c r="Q56" s="427">
        <v>-5691830.8504999997</v>
      </c>
      <c r="BE56" s="477">
        <v>7715275.2016518218</v>
      </c>
      <c r="BF56" s="458">
        <v>4.4096365709282326E-2</v>
      </c>
      <c r="BG56" s="477">
        <v>7880124.8619179819</v>
      </c>
      <c r="BH56" s="458">
        <v>6.9409996651075945E-2</v>
      </c>
      <c r="BI56" s="477">
        <v>10282016.85621568</v>
      </c>
      <c r="BJ56" s="458">
        <v>0.11251096752456391</v>
      </c>
      <c r="BK56" s="477">
        <v>80502337.363475084</v>
      </c>
      <c r="BL56" s="458">
        <v>0.27962338179666668</v>
      </c>
      <c r="BM56" s="468">
        <v>6.2050189666414282</v>
      </c>
    </row>
    <row r="57" spans="3:65" x14ac:dyDescent="0.3">
      <c r="F57" s="198">
        <v>13</v>
      </c>
      <c r="G57" s="196">
        <f ca="1">P36</f>
        <v>2636606.6512990911</v>
      </c>
      <c r="H57" s="196">
        <f ca="1">NPV($D$44,$G$46:G57)+$G$45</f>
        <v>12669712.168989602</v>
      </c>
      <c r="K57" s="463">
        <v>13</v>
      </c>
      <c r="L57" s="466">
        <f t="shared" ca="1" si="50"/>
        <v>2636606.6512990911</v>
      </c>
      <c r="M57" s="466">
        <f t="shared" ca="1" si="51"/>
        <v>11504814.961081058</v>
      </c>
      <c r="O57" s="196"/>
      <c r="Q57" s="427">
        <v>14682102.175100001</v>
      </c>
      <c r="BE57" s="477">
        <v>7005047.9938582201</v>
      </c>
      <c r="BF57" s="458">
        <v>4.10401121817352E-2</v>
      </c>
      <c r="BG57" s="477">
        <v>1947596.8889804804</v>
      </c>
      <c r="BH57" s="458">
        <v>7.9538497930145224E-2</v>
      </c>
      <c r="BI57" s="477">
        <v>21703584.650550611</v>
      </c>
      <c r="BJ57" s="458">
        <v>9.5089085113212235E-2</v>
      </c>
      <c r="BK57" s="477">
        <v>73439834.457334116</v>
      </c>
      <c r="BL57" s="458">
        <v>0.25703063990785013</v>
      </c>
      <c r="BM57" s="468">
        <v>4.0886194099488824</v>
      </c>
    </row>
    <row r="58" spans="3:65" x14ac:dyDescent="0.3">
      <c r="F58" s="198">
        <v>14</v>
      </c>
      <c r="G58" s="196">
        <f ca="1">Q36</f>
        <v>5640463.1463031499</v>
      </c>
      <c r="H58" s="196">
        <f ca="1">NPV($D$44,$G$46:G58)+$G$45</f>
        <v>14394861.752610112</v>
      </c>
      <c r="K58" s="463">
        <v>14</v>
      </c>
      <c r="L58" s="466">
        <f t="shared" ca="1" si="50"/>
        <v>5640463.1463031499</v>
      </c>
      <c r="M58" s="466">
        <f t="shared" ca="1" si="51"/>
        <v>27565576.735675152</v>
      </c>
      <c r="O58" s="196"/>
      <c r="Q58" s="427">
        <v>13085396.298800001</v>
      </c>
      <c r="BE58" s="477">
        <v>4163026.6505691563</v>
      </c>
      <c r="BF58" s="458">
        <v>3.5255142798065631E-2</v>
      </c>
      <c r="BG58" s="477">
        <v>10702441.680084676</v>
      </c>
      <c r="BH58" s="458">
        <v>7.3294434664177288E-2</v>
      </c>
      <c r="BI58" s="477">
        <v>21607191.507914022</v>
      </c>
      <c r="BJ58" s="458">
        <v>0.1283030596970931</v>
      </c>
      <c r="BK58" s="477">
        <v>74435855.426653296</v>
      </c>
      <c r="BL58" s="458">
        <v>0.26970717150502055</v>
      </c>
      <c r="BM58" s="468">
        <v>11.425378421834143</v>
      </c>
    </row>
    <row r="59" spans="3:65" x14ac:dyDescent="0.3">
      <c r="F59" s="198">
        <v>15</v>
      </c>
      <c r="G59" s="196">
        <f ca="1">R36</f>
        <v>-6019113.2322886884</v>
      </c>
      <c r="H59" s="196">
        <f ca="1">NPV($D$44,$G$46:G59)+$G$45</f>
        <v>12714245.711488536</v>
      </c>
      <c r="K59" s="463">
        <v>15</v>
      </c>
      <c r="L59" s="466">
        <f t="shared" ca="1" si="50"/>
        <v>-6019113.2322886884</v>
      </c>
      <c r="M59" s="466">
        <f t="shared" ca="1" si="51"/>
        <v>-739715.8220747473</v>
      </c>
      <c r="O59" s="196"/>
      <c r="Q59" s="427">
        <v>4317969.5620999997</v>
      </c>
      <c r="BE59" s="477">
        <v>7526088.8572477708</v>
      </c>
      <c r="BF59" s="458">
        <v>1.6645867129772673E-2</v>
      </c>
      <c r="BG59" s="477">
        <v>9305310.4167006388</v>
      </c>
      <c r="BH59" s="458">
        <v>8.0497264503546662E-2</v>
      </c>
      <c r="BI59" s="477">
        <v>15543496.88374519</v>
      </c>
      <c r="BJ59" s="458">
        <v>0.11011603073754617</v>
      </c>
      <c r="BK59" s="477">
        <v>98651788.441836149</v>
      </c>
      <c r="BL59" s="458">
        <v>0.26841566518897109</v>
      </c>
      <c r="BM59" s="468">
        <v>8.2455358637474365</v>
      </c>
    </row>
    <row r="60" spans="3:65" x14ac:dyDescent="0.3">
      <c r="F60" s="198">
        <v>16</v>
      </c>
      <c r="G60" s="196">
        <f ca="1">S36</f>
        <v>17316022.649625659</v>
      </c>
      <c r="H60" s="196">
        <f ca="1">NPV($D$44,$G$46:G60)+$G$45</f>
        <v>17127999.828227274</v>
      </c>
      <c r="K60" s="198">
        <v>16</v>
      </c>
      <c r="L60" s="196">
        <f t="shared" ca="1" si="50"/>
        <v>17316022.649625659</v>
      </c>
      <c r="M60" s="196">
        <f t="shared" ca="1" si="51"/>
        <v>106154035.3008917</v>
      </c>
      <c r="O60" s="196"/>
      <c r="Q60" s="427">
        <v>7721021.6123000002</v>
      </c>
      <c r="BE60" s="477">
        <v>4811919.1291462602</v>
      </c>
      <c r="BF60" s="458">
        <v>3.5073020950338707E-2</v>
      </c>
      <c r="BG60" s="477">
        <v>2685907.9900466879</v>
      </c>
      <c r="BH60" s="458">
        <v>6.8440822804648693E-2</v>
      </c>
      <c r="BI60" s="477">
        <v>8621023.6286737528</v>
      </c>
      <c r="BJ60" s="458">
        <v>0.10352111175739798</v>
      </c>
      <c r="BK60" s="477">
        <v>86359603.478297427</v>
      </c>
      <c r="BL60" s="458">
        <v>0.2757045901584394</v>
      </c>
      <c r="BM60" s="468">
        <v>6.5524268588407057</v>
      </c>
    </row>
    <row r="61" spans="3:65" x14ac:dyDescent="0.3">
      <c r="F61" s="198">
        <v>17</v>
      </c>
      <c r="G61" s="196">
        <f ca="1">T36</f>
        <v>-2008872.6680216882</v>
      </c>
      <c r="H61" s="196">
        <f ca="1">NPV($D$44,$G$46:G61)+$G$45</f>
        <v>16660548.498257009</v>
      </c>
      <c r="K61" s="198">
        <v>17</v>
      </c>
      <c r="L61" s="196">
        <f t="shared" ca="1" si="50"/>
        <v>-2008872.6680216882</v>
      </c>
      <c r="M61" s="196">
        <f t="shared" ca="1" si="51"/>
        <v>-186676.2740110369</v>
      </c>
      <c r="O61" s="196"/>
      <c r="Q61" s="427">
        <v>-13714871.3005</v>
      </c>
      <c r="BE61" s="477">
        <v>5840504.3626291584</v>
      </c>
      <c r="BF61" s="458">
        <v>5.3944982726930046E-2</v>
      </c>
      <c r="BG61" s="477">
        <v>5933862.7591456454</v>
      </c>
      <c r="BH61" s="458">
        <v>4.6270989841703747E-2</v>
      </c>
      <c r="BI61" s="477">
        <v>16777062.492581975</v>
      </c>
      <c r="BJ61" s="458">
        <v>0.12503549680138848</v>
      </c>
      <c r="BK61" s="477">
        <v>95556239.439387619</v>
      </c>
      <c r="BL61" s="458">
        <v>0.24232362628629622</v>
      </c>
      <c r="BM61" s="468">
        <v>10.825175806824426</v>
      </c>
    </row>
    <row r="62" spans="3:65" x14ac:dyDescent="0.3">
      <c r="F62" s="198">
        <v>18</v>
      </c>
      <c r="G62" s="196">
        <f ca="1">U36</f>
        <v>14245907.228338704</v>
      </c>
      <c r="H62" s="196">
        <f ca="1">NPV($D$44,$G$46:G62)+$G$45</f>
        <v>19686751.801459655</v>
      </c>
      <c r="K62" s="198">
        <v>18</v>
      </c>
      <c r="L62" s="196">
        <f t="shared" ca="1" si="50"/>
        <v>14245907.228338704</v>
      </c>
      <c r="M62" s="196">
        <f t="shared" ca="1" si="51"/>
        <v>109550539.30497392</v>
      </c>
      <c r="O62" s="196"/>
      <c r="Q62" s="427">
        <v>14626216.823799999</v>
      </c>
      <c r="BE62" s="477">
        <v>8502125.3689807672</v>
      </c>
      <c r="BF62" s="458">
        <v>5.2483955043593156E-2</v>
      </c>
      <c r="BG62" s="477">
        <v>14843741.704383278</v>
      </c>
      <c r="BH62" s="458">
        <v>7.8331333333333752E-2</v>
      </c>
      <c r="BI62" s="477">
        <v>26517274.103531409</v>
      </c>
      <c r="BJ62" s="458">
        <v>0.13191653923999902</v>
      </c>
      <c r="BK62" s="477">
        <v>82171900.203588873</v>
      </c>
      <c r="BL62" s="458">
        <v>0.25404303332430822</v>
      </c>
      <c r="BM62" s="468">
        <v>1.2795041719252644</v>
      </c>
    </row>
    <row r="63" spans="3:65" x14ac:dyDescent="0.3">
      <c r="F63" s="198">
        <v>19</v>
      </c>
      <c r="G63" s="196">
        <f ca="1">V36</f>
        <v>15592618.296505701</v>
      </c>
      <c r="H63" s="196">
        <f ca="1">NPV($D$44,$G$46:G63)+$G$45</f>
        <v>22710537.691317644</v>
      </c>
      <c r="K63" s="198">
        <v>19</v>
      </c>
      <c r="L63" s="196">
        <f t="shared" ca="1" si="50"/>
        <v>15592618.296505701</v>
      </c>
      <c r="M63" s="196">
        <f t="shared" ca="1" si="51"/>
        <v>134295505.51754957</v>
      </c>
      <c r="O63" s="196"/>
      <c r="Q63" s="427">
        <v>2752744.2135000001</v>
      </c>
      <c r="BE63" s="477">
        <v>7404592.0255609779</v>
      </c>
      <c r="BF63" s="458">
        <v>4.5875430622443147E-2</v>
      </c>
      <c r="BG63" s="477">
        <v>8396924.3909734674</v>
      </c>
      <c r="BH63" s="458">
        <v>6.5073342269931E-2</v>
      </c>
      <c r="BI63" s="477">
        <v>21547913.13722042</v>
      </c>
      <c r="BJ63" s="458">
        <v>0.10583156766479651</v>
      </c>
      <c r="BK63" s="477">
        <v>103610269.5829207</v>
      </c>
      <c r="BL63" s="458">
        <v>0.28850821418460404</v>
      </c>
      <c r="BM63" s="468">
        <v>10.54954736588294</v>
      </c>
    </row>
    <row r="64" spans="3:65" x14ac:dyDescent="0.3">
      <c r="F64" s="198">
        <v>20</v>
      </c>
      <c r="G64" s="196">
        <f ca="1">W36</f>
        <v>37446847.436091401</v>
      </c>
      <c r="H64" s="196">
        <f ca="1">NPV($D$44,$G$46:G64)+$G$45</f>
        <v>29339892.282605983</v>
      </c>
      <c r="K64" s="198">
        <v>20</v>
      </c>
      <c r="L64" s="196">
        <f t="shared" ca="1" si="50"/>
        <v>37446847.436091401</v>
      </c>
      <c r="M64" s="196">
        <f t="shared" ca="1" si="51"/>
        <v>361223265.78768915</v>
      </c>
      <c r="O64" s="196"/>
      <c r="Q64" s="427">
        <v>16661789.8421</v>
      </c>
      <c r="BE64" s="477">
        <v>6077282.7411179757</v>
      </c>
      <c r="BF64" s="458">
        <v>1.4993075217727414E-2</v>
      </c>
      <c r="BG64" s="477">
        <v>7907683.1869721394</v>
      </c>
      <c r="BH64" s="458">
        <v>5.5859086073396291E-2</v>
      </c>
      <c r="BI64" s="477">
        <v>11732668.501881661</v>
      </c>
      <c r="BJ64" s="458">
        <v>9.4091324582206592E-2</v>
      </c>
      <c r="BK64" s="477">
        <v>86149115.367535636</v>
      </c>
      <c r="BL64" s="458">
        <v>0.27274566795179989</v>
      </c>
      <c r="BM64" s="468">
        <v>5.2042525642347108</v>
      </c>
    </row>
    <row r="65" spans="6:65" x14ac:dyDescent="0.3">
      <c r="F65" s="198">
        <v>21</v>
      </c>
      <c r="G65" s="183">
        <f ca="1">X36</f>
        <v>19977361.344834913</v>
      </c>
      <c r="H65" s="183">
        <f ca="1">NPV($D$44,$G$46:G65)+$G$45</f>
        <v>32568521.052025601</v>
      </c>
      <c r="K65" s="198">
        <v>21</v>
      </c>
      <c r="L65" s="196">
        <f t="shared" ca="1" si="50"/>
        <v>19977361.344834913</v>
      </c>
      <c r="M65" s="196">
        <f t="shared" ca="1" si="51"/>
        <v>215832380.69404361</v>
      </c>
      <c r="O65" s="196"/>
      <c r="Q65" s="427">
        <v>8619086.9857999999</v>
      </c>
      <c r="BE65" s="477">
        <v>5311675.8350872984</v>
      </c>
      <c r="BF65" s="458">
        <v>3.9745281888131201E-2</v>
      </c>
      <c r="BG65" s="477">
        <v>12842860.075935146</v>
      </c>
      <c r="BH65" s="458">
        <v>6.5711264605789133E-2</v>
      </c>
      <c r="BI65" s="477">
        <v>12794355.25537852</v>
      </c>
      <c r="BJ65" s="458">
        <v>0.10401003051816371</v>
      </c>
      <c r="BK65" s="477">
        <v>92678480.392091542</v>
      </c>
      <c r="BL65" s="458">
        <v>0.2789853381578431</v>
      </c>
      <c r="BM65" s="468">
        <v>10.962136921480099</v>
      </c>
    </row>
    <row r="66" spans="6:65" x14ac:dyDescent="0.3">
      <c r="F66" s="198">
        <v>22</v>
      </c>
      <c r="G66" s="196">
        <f ca="1">Y36</f>
        <v>11917501.644664956</v>
      </c>
      <c r="H66" s="196">
        <f ca="1">NPV($D$44,$G$46:G66)+$G$45</f>
        <v>34326805.792954333</v>
      </c>
      <c r="K66" s="198">
        <v>22</v>
      </c>
      <c r="L66" s="196">
        <f t="shared" ca="1" si="50"/>
        <v>11917501.644664956</v>
      </c>
      <c r="M66" s="196">
        <f t="shared" ca="1" si="51"/>
        <v>144205464.99576822</v>
      </c>
      <c r="O66" s="196"/>
      <c r="Q66" s="427">
        <v>5771431.2298999997</v>
      </c>
      <c r="BE66" s="477">
        <v>7017700.1455620993</v>
      </c>
      <c r="BF66" s="458">
        <v>3.2586944394950468E-2</v>
      </c>
      <c r="BG66" s="477">
        <v>6018487.3318421459</v>
      </c>
      <c r="BH66" s="458">
        <v>5.4406457024395838E-2</v>
      </c>
      <c r="BI66" s="477">
        <v>17197381.668115582</v>
      </c>
      <c r="BJ66" s="458">
        <v>0.13546406225339713</v>
      </c>
      <c r="BK66" s="477">
        <v>80850197.010337278</v>
      </c>
      <c r="BL66" s="458">
        <v>0.27338991549244773</v>
      </c>
      <c r="BM66" s="468">
        <v>4.9040177514347025</v>
      </c>
    </row>
    <row r="67" spans="6:65" x14ac:dyDescent="0.3">
      <c r="F67" s="198">
        <v>23</v>
      </c>
      <c r="G67" s="196">
        <f ca="1">Z36</f>
        <v>30989399.810473375</v>
      </c>
      <c r="H67" s="196">
        <f ca="1">NPV($D$44,$G$46:G67)+$G$45</f>
        <v>38500697.251035631</v>
      </c>
      <c r="K67" s="198">
        <v>23</v>
      </c>
      <c r="L67" s="196">
        <f t="shared" ca="1" si="50"/>
        <v>30989399.810473375</v>
      </c>
      <c r="M67" s="196">
        <f t="shared" ca="1" si="51"/>
        <v>419979107.70188826</v>
      </c>
      <c r="O67" s="196"/>
      <c r="Q67" s="427">
        <v>14672925.591700001</v>
      </c>
      <c r="BE67" s="477">
        <v>2527353.2112227958</v>
      </c>
      <c r="BF67" s="458">
        <v>3.7241247389607546E-2</v>
      </c>
      <c r="BG67" s="477">
        <v>708190.29745110089</v>
      </c>
      <c r="BH67" s="458">
        <v>7.4149457387045148E-2</v>
      </c>
      <c r="BI67" s="477">
        <v>22231416.810753744</v>
      </c>
      <c r="BJ67" s="458">
        <v>8.6683101790559158E-2</v>
      </c>
      <c r="BK67" s="477">
        <v>83833572.011972263</v>
      </c>
      <c r="BL67" s="458">
        <v>0.27238757127038093</v>
      </c>
      <c r="BM67" s="468">
        <v>13.178357937050809</v>
      </c>
    </row>
    <row r="68" spans="6:65" x14ac:dyDescent="0.3">
      <c r="F68" s="198">
        <v>24</v>
      </c>
      <c r="G68" s="196">
        <f ca="1">AA36</f>
        <v>37601691.298874438</v>
      </c>
      <c r="H68" s="196">
        <f ca="1">NPV($D$44,$G$46:G68)+$G$45</f>
        <v>43124074.855687812</v>
      </c>
      <c r="K68" s="198">
        <v>24</v>
      </c>
      <c r="L68" s="196">
        <f t="shared" ca="1" si="50"/>
        <v>37601691.298874438</v>
      </c>
      <c r="M68" s="196">
        <f t="shared" ca="1" si="51"/>
        <v>570742119.53532338</v>
      </c>
      <c r="O68" s="196"/>
      <c r="Q68" s="427">
        <v>27282864.098999999</v>
      </c>
      <c r="BE68" s="477">
        <v>4038094.5626550154</v>
      </c>
      <c r="BF68" s="458">
        <v>4.7127128181425615E-2</v>
      </c>
      <c r="BG68" s="477">
        <v>4854681.8927832153</v>
      </c>
      <c r="BH68" s="458">
        <v>8.4067562587662792E-2</v>
      </c>
      <c r="BI68" s="477">
        <v>8577362.4863853734</v>
      </c>
      <c r="BJ68" s="458">
        <v>0.14583708779105908</v>
      </c>
      <c r="BK68" s="477">
        <v>93256190.862317517</v>
      </c>
      <c r="BL68" s="458">
        <v>0.28007565821025127</v>
      </c>
      <c r="BM68" s="468">
        <v>4.4764379958756564</v>
      </c>
    </row>
    <row r="69" spans="6:65" x14ac:dyDescent="0.3">
      <c r="F69" s="198">
        <v>25</v>
      </c>
      <c r="G69" s="196">
        <f ca="1">AB36</f>
        <v>44618869.6811295</v>
      </c>
      <c r="H69" s="196">
        <f ca="1">NPV($D$44,$G$46:G69)+$G$45</f>
        <v>48132423.445491076</v>
      </c>
      <c r="K69" s="198">
        <v>25</v>
      </c>
      <c r="L69" s="196">
        <f t="shared" ca="1" si="50"/>
        <v>44618869.6811295</v>
      </c>
      <c r="M69" s="196">
        <f t="shared" ca="1" si="51"/>
        <v>758523658.33079922</v>
      </c>
      <c r="O69" s="196"/>
      <c r="BE69" s="477">
        <v>1793506.8837443681</v>
      </c>
      <c r="BF69" s="458">
        <v>4.5633311163288726E-2</v>
      </c>
      <c r="BG69" s="477">
        <v>13791003.519800356</v>
      </c>
      <c r="BH69" s="458">
        <v>8.0028475443187919E-2</v>
      </c>
      <c r="BI69" s="477">
        <v>16132651.638160378</v>
      </c>
      <c r="BJ69" s="458">
        <v>0.10976534545753158</v>
      </c>
      <c r="BK69" s="477">
        <v>84239089.903177559</v>
      </c>
      <c r="BL69" s="458">
        <v>0.28145803520822632</v>
      </c>
      <c r="BM69" s="468">
        <v>3.9170067397013462</v>
      </c>
    </row>
    <row r="70" spans="6:65" x14ac:dyDescent="0.3">
      <c r="F70" s="198">
        <v>26</v>
      </c>
      <c r="G70" s="196">
        <f ca="1">AC36</f>
        <v>44480099.565218955</v>
      </c>
      <c r="H70" s="196">
        <f ca="1">NPV($D$44,$G$46:G70)+$G$45</f>
        <v>52690333.333943129</v>
      </c>
      <c r="K70" s="198">
        <v>26</v>
      </c>
      <c r="L70" s="196">
        <f t="shared" ca="1" si="50"/>
        <v>44480099.565218955</v>
      </c>
      <c r="M70" s="196">
        <f t="shared" ca="1" si="51"/>
        <v>846904304.31331503</v>
      </c>
      <c r="O70" s="196"/>
      <c r="BE70" s="477">
        <v>5504359.8031973019</v>
      </c>
      <c r="BF70" s="458">
        <v>3.8783397565515632E-2</v>
      </c>
      <c r="BG70" s="477">
        <v>6033401.321147861</v>
      </c>
      <c r="BH70" s="458">
        <v>6.1838484824026096E-2</v>
      </c>
      <c r="BI70" s="477">
        <v>20528943.516238246</v>
      </c>
      <c r="BJ70" s="458">
        <v>9.0319992111492553E-2</v>
      </c>
      <c r="BK70" s="477">
        <v>87115045.550427809</v>
      </c>
      <c r="BL70" s="458">
        <v>0.27521888041218623</v>
      </c>
      <c r="BM70" s="468">
        <v>9.7669377570185425</v>
      </c>
    </row>
    <row r="71" spans="6:65" x14ac:dyDescent="0.3">
      <c r="F71" s="198">
        <v>27</v>
      </c>
      <c r="G71" s="196">
        <f ca="1">AD36</f>
        <v>20224358.998780526</v>
      </c>
      <c r="H71" s="196">
        <f ca="1">NPV($D$44,$G$46:G71)+$G$45</f>
        <v>54582235.825578302</v>
      </c>
      <c r="K71" s="198">
        <v>27</v>
      </c>
      <c r="L71" s="196">
        <f t="shared" ca="1" si="50"/>
        <v>20224358.998780526</v>
      </c>
      <c r="M71" s="196">
        <f t="shared" ca="1" si="51"/>
        <v>431282044.73739064</v>
      </c>
      <c r="O71" s="196"/>
      <c r="BE71" s="477">
        <v>3101476.3794396329</v>
      </c>
      <c r="BF71" s="458">
        <v>3.6090719369009427E-2</v>
      </c>
      <c r="BG71" s="477">
        <v>14893835.943183167</v>
      </c>
      <c r="BH71" s="458">
        <v>6.3260011639737712E-2</v>
      </c>
      <c r="BI71" s="477">
        <v>20502192.654876806</v>
      </c>
      <c r="BJ71" s="458">
        <v>0.12058498184056132</v>
      </c>
      <c r="BK71" s="477">
        <v>95509450.986502528</v>
      </c>
      <c r="BL71" s="458">
        <v>0.2545562206007137</v>
      </c>
      <c r="BM71" s="468">
        <v>6.0107748023186929</v>
      </c>
    </row>
    <row r="72" spans="6:65" x14ac:dyDescent="0.3">
      <c r="F72" s="198">
        <v>28</v>
      </c>
      <c r="G72" s="196">
        <f ca="1">AE36</f>
        <v>56715588.522497147</v>
      </c>
      <c r="H72" s="196">
        <f ca="1">NPV($D$44,$G$46:G72)+$G$45</f>
        <v>59425636.810833618</v>
      </c>
      <c r="K72" s="198">
        <v>28</v>
      </c>
      <c r="L72" s="196">
        <f t="shared" ca="1" si="50"/>
        <v>56715588.522497147</v>
      </c>
      <c r="M72" s="196">
        <f t="shared" ca="1" si="51"/>
        <v>1354587543.9856949</v>
      </c>
      <c r="O72" s="196"/>
      <c r="BE72" s="477">
        <v>1639004.1463175768</v>
      </c>
      <c r="BF72" s="458">
        <v>3.9476979850323168E-2</v>
      </c>
      <c r="BG72" s="477">
        <v>10482678.281441806</v>
      </c>
      <c r="BH72" s="458">
        <v>5.6076035480752129E-2</v>
      </c>
      <c r="BI72" s="477">
        <v>20133637.963751256</v>
      </c>
      <c r="BJ72" s="458">
        <v>0.12926584768339611</v>
      </c>
      <c r="BK72" s="477">
        <v>103380477.96769662</v>
      </c>
      <c r="BL72" s="458">
        <v>0.27949238449780456</v>
      </c>
      <c r="BM72" s="468">
        <v>2.169245260729431</v>
      </c>
    </row>
    <row r="73" spans="6:65" x14ac:dyDescent="0.3">
      <c r="F73" s="198">
        <v>29</v>
      </c>
      <c r="G73" s="196">
        <f ca="1">AF36</f>
        <v>65464308.209501237</v>
      </c>
      <c r="H73" s="196">
        <f ca="1">NPV($D$44,$G$46:G73)+$G$45</f>
        <v>64529236.061549857</v>
      </c>
      <c r="K73" s="198">
        <v>29</v>
      </c>
      <c r="L73" s="196">
        <f t="shared" ca="1" si="50"/>
        <v>65464308.209501237</v>
      </c>
      <c r="M73" s="196">
        <f t="shared" ca="1" si="51"/>
        <v>1751165692.5499825</v>
      </c>
      <c r="O73" s="196"/>
      <c r="BE73" s="477">
        <v>5289157.7174950568</v>
      </c>
      <c r="BF73" s="458">
        <v>2.8482608672586451E-3</v>
      </c>
      <c r="BG73" s="477">
        <v>5869225.6066179201</v>
      </c>
      <c r="BH73" s="458">
        <v>3.9060840292696408E-2</v>
      </c>
      <c r="BI73" s="477">
        <v>11679350.493866108</v>
      </c>
      <c r="BJ73" s="458">
        <v>0.10891403304337355</v>
      </c>
      <c r="BK73" s="477">
        <v>84298917.844581246</v>
      </c>
      <c r="BL73" s="458">
        <v>0.26343621533384698</v>
      </c>
      <c r="BM73" s="468">
        <v>6.7954355107277431</v>
      </c>
    </row>
    <row r="74" spans="6:65" x14ac:dyDescent="0.3">
      <c r="F74" s="198">
        <v>30</v>
      </c>
      <c r="G74" s="196">
        <f ca="1">AG36</f>
        <v>67781707.108485818</v>
      </c>
      <c r="H74" s="196">
        <f ca="1">NPV($D$44,$G$46:G74)+$G$45</f>
        <v>69353249.22293295</v>
      </c>
      <c r="K74" s="198">
        <v>30</v>
      </c>
      <c r="L74" s="196">
        <f t="shared" ca="1" si="50"/>
        <v>67781707.108485818</v>
      </c>
      <c r="M74" s="196">
        <f t="shared" ca="1" si="51"/>
        <v>2030734666.1926436</v>
      </c>
      <c r="O74" s="196"/>
      <c r="BE74" s="477">
        <v>10784030.902452329</v>
      </c>
      <c r="BF74" s="458">
        <v>2.593317407987028E-2</v>
      </c>
      <c r="BG74" s="477">
        <v>10841033.067387018</v>
      </c>
      <c r="BH74" s="458">
        <v>5.1584740027478704E-2</v>
      </c>
      <c r="BI74" s="477">
        <v>11251361.731478401</v>
      </c>
      <c r="BJ74" s="458">
        <v>0.10064963526169968</v>
      </c>
      <c r="BK74" s="477">
        <v>84311736.956051186</v>
      </c>
      <c r="BL74" s="458">
        <v>0.25138870035618366</v>
      </c>
      <c r="BM74" s="468">
        <v>8.1296614099052835</v>
      </c>
    </row>
    <row r="75" spans="6:65" x14ac:dyDescent="0.3">
      <c r="F75" s="198">
        <v>31</v>
      </c>
      <c r="G75" s="196">
        <f ca="1">AH36</f>
        <v>45592304.647284433</v>
      </c>
      <c r="H75" s="196">
        <f ca="1">NPV($D$44,$G$46:G75)+$G$45</f>
        <v>72315429.77845481</v>
      </c>
      <c r="K75" s="198">
        <v>31</v>
      </c>
      <c r="L75" s="196">
        <f t="shared" ca="1" si="50"/>
        <v>45592304.647284433</v>
      </c>
      <c r="M75" s="196">
        <f t="shared" ca="1" si="51"/>
        <v>1529854924.1309559</v>
      </c>
      <c r="O75" s="196"/>
      <c r="BE75" s="477">
        <v>3691418.1594926124</v>
      </c>
      <c r="BF75" s="458">
        <v>4.1434346854453574E-2</v>
      </c>
      <c r="BG75" s="477">
        <v>7859484.1397379749</v>
      </c>
      <c r="BH75" s="458">
        <v>6.2963653163459643E-2</v>
      </c>
      <c r="BI75" s="477">
        <v>14406825.407482456</v>
      </c>
      <c r="BJ75" s="458">
        <v>0.13056016833938711</v>
      </c>
      <c r="BK75" s="477">
        <v>88929580.133729413</v>
      </c>
      <c r="BL75" s="458">
        <v>0.26695814198092149</v>
      </c>
      <c r="BM75" s="468">
        <v>7.3755576243219618</v>
      </c>
    </row>
    <row r="76" spans="6:65" x14ac:dyDescent="0.3">
      <c r="F76" s="198">
        <v>32</v>
      </c>
      <c r="G76" s="196">
        <f ca="1">AI36</f>
        <v>61207404.128464215</v>
      </c>
      <c r="H76" s="196">
        <f ca="1">NPV($D$44,$G$46:G76)+$G$45</f>
        <v>75945775.131482705</v>
      </c>
      <c r="K76" s="198">
        <v>32</v>
      </c>
      <c r="L76" s="196">
        <f t="shared" ca="1" si="50"/>
        <v>61207404.128464215</v>
      </c>
      <c r="M76" s="196">
        <f t="shared" ca="1" si="51"/>
        <v>2300279910.007916</v>
      </c>
      <c r="O76" s="196"/>
      <c r="BE76" s="477">
        <v>5955109.1675816411</v>
      </c>
      <c r="BF76" s="458">
        <v>6.7788965342361118E-2</v>
      </c>
      <c r="BG76" s="477">
        <v>7337259.7007751353</v>
      </c>
      <c r="BH76" s="458">
        <v>7.1743072283278586E-2</v>
      </c>
      <c r="BI76" s="477">
        <v>16417894.356183281</v>
      </c>
      <c r="BJ76" s="458">
        <v>0.10846312435378858</v>
      </c>
      <c r="BK76" s="477">
        <v>91111754.271790117</v>
      </c>
      <c r="BL76" s="458">
        <v>0.29280428761858213</v>
      </c>
      <c r="BM76" s="468">
        <v>11.700741274580126</v>
      </c>
    </row>
    <row r="77" spans="6:65" x14ac:dyDescent="0.3">
      <c r="F77" s="198">
        <v>33</v>
      </c>
      <c r="G77" s="196">
        <f ca="1">AJ36</f>
        <v>43326633.483179957</v>
      </c>
      <c r="H77" s="196">
        <f ca="1">NPV($D$44,$G$46:G77)+$G$45</f>
        <v>78291747.674533695</v>
      </c>
      <c r="K77" s="198">
        <v>33</v>
      </c>
      <c r="L77" s="196">
        <f t="shared" ca="1" si="50"/>
        <v>43326633.483179957</v>
      </c>
      <c r="M77" s="196">
        <f t="shared" ca="1" si="51"/>
        <v>1823684443.2041783</v>
      </c>
      <c r="O77" s="196"/>
      <c r="BE77" s="477">
        <v>5543201.084243359</v>
      </c>
      <c r="BF77" s="458">
        <v>2.4142588371588669E-2</v>
      </c>
      <c r="BG77" s="477">
        <v>7071826.1904218858</v>
      </c>
      <c r="BH77" s="458">
        <v>3.6247204533401689E-2</v>
      </c>
      <c r="BI77" s="477">
        <v>26439450.26107746</v>
      </c>
      <c r="BJ77" s="458">
        <v>9.2947735345989546E-2</v>
      </c>
      <c r="BK77" s="477">
        <v>98039547.445699692</v>
      </c>
      <c r="BL77" s="458">
        <v>0.27657106988281543</v>
      </c>
      <c r="BM77" s="468">
        <v>3.7376036711882179</v>
      </c>
    </row>
    <row r="78" spans="6:65" x14ac:dyDescent="0.3">
      <c r="F78" s="198">
        <v>34</v>
      </c>
      <c r="G78" s="196">
        <f ca="1">AK36</f>
        <v>83092112.147306576</v>
      </c>
      <c r="H78" s="196">
        <f ca="1">NPV($D$44,$G$46:G78)+$G$45</f>
        <v>82399003.720251039</v>
      </c>
      <c r="K78" s="198">
        <v>34</v>
      </c>
      <c r="L78" s="196">
        <f t="shared" ca="1" si="50"/>
        <v>83092112.147306576</v>
      </c>
      <c r="M78" s="196">
        <f t="shared" ca="1" si="51"/>
        <v>3917171349.4663582</v>
      </c>
      <c r="O78" s="196"/>
      <c r="BE78" s="477">
        <v>5317265.2427756796</v>
      </c>
      <c r="BF78" s="458">
        <v>1.9605918078899665E-2</v>
      </c>
      <c r="BG78" s="477">
        <v>5621217.9632152673</v>
      </c>
      <c r="BH78" s="458">
        <v>3.1789110484375271E-2</v>
      </c>
      <c r="BI78" s="477">
        <v>18455387.331264812</v>
      </c>
      <c r="BJ78" s="458">
        <v>0.12309379375071483</v>
      </c>
      <c r="BK78" s="477">
        <v>82678107.43955116</v>
      </c>
      <c r="BL78" s="458">
        <v>0.27745303741504324</v>
      </c>
      <c r="BM78" s="468">
        <v>2.9738566596633946</v>
      </c>
    </row>
    <row r="79" spans="6:65" x14ac:dyDescent="0.3">
      <c r="F79" s="198">
        <v>35</v>
      </c>
      <c r="G79" s="196">
        <f ca="1">AL36</f>
        <v>45599998.846386597</v>
      </c>
      <c r="H79" s="196">
        <f ca="1">NPV($D$44,$G$46:G79)+$G$45</f>
        <v>84456697.809186444</v>
      </c>
      <c r="K79" s="198">
        <v>35</v>
      </c>
      <c r="L79" s="196">
        <f t="shared" ca="1" si="50"/>
        <v>45599998.846386597</v>
      </c>
      <c r="M79" s="196">
        <f t="shared" ca="1" si="51"/>
        <v>2407662591.8969517</v>
      </c>
      <c r="O79" s="196"/>
      <c r="BE79" s="477">
        <v>6105470.3261723975</v>
      </c>
      <c r="BF79" s="458">
        <v>4.1805816434605347E-2</v>
      </c>
      <c r="BG79" s="477">
        <v>9359035.0871188454</v>
      </c>
      <c r="BH79" s="458">
        <v>5.5151460802804975E-2</v>
      </c>
      <c r="BI79" s="477">
        <v>15493955.109476903</v>
      </c>
      <c r="BJ79" s="458">
        <v>0.12872026727500963</v>
      </c>
      <c r="BK79" s="477">
        <v>94056166.835861325</v>
      </c>
      <c r="BL79" s="458">
        <v>0.26523658789014815</v>
      </c>
      <c r="BM79" s="468">
        <v>2.8838465000923721</v>
      </c>
    </row>
    <row r="80" spans="6:65" x14ac:dyDescent="0.3">
      <c r="F80" s="198" t="s">
        <v>4066</v>
      </c>
      <c r="K80" s="198" t="s">
        <v>4066</v>
      </c>
      <c r="L80" s="427">
        <v>13439419.1106</v>
      </c>
      <c r="BE80" s="477">
        <v>9418792.425611034</v>
      </c>
      <c r="BF80" s="458">
        <v>3.4342438348967219E-2</v>
      </c>
      <c r="BG80" s="477">
        <v>10514178.263227882</v>
      </c>
      <c r="BH80" s="458">
        <v>8.4483906612835336E-2</v>
      </c>
      <c r="BI80" s="477">
        <v>18650625.027795266</v>
      </c>
      <c r="BJ80" s="458">
        <v>0.12028374597371672</v>
      </c>
      <c r="BK80" s="477">
        <v>92918372.126822382</v>
      </c>
      <c r="BL80" s="458">
        <v>0.26336449264011441</v>
      </c>
      <c r="BM80" s="468">
        <v>13.052210398566142</v>
      </c>
    </row>
    <row r="81" spans="12:65" x14ac:dyDescent="0.3">
      <c r="L81" s="427">
        <v>14750870.9287</v>
      </c>
      <c r="BE81" s="477">
        <v>10379539.851221632</v>
      </c>
      <c r="BF81" s="458">
        <v>1.6052817505383343E-2</v>
      </c>
      <c r="BG81" s="477">
        <v>7973298.2940047933</v>
      </c>
      <c r="BH81" s="458">
        <v>7.2345543708497884E-2</v>
      </c>
      <c r="BI81" s="477">
        <v>22572448.646435544</v>
      </c>
      <c r="BJ81" s="458">
        <v>0.13114657130863883</v>
      </c>
      <c r="BK81" s="477">
        <v>93319883.530815944</v>
      </c>
      <c r="BL81" s="458">
        <v>0.26075416340359636</v>
      </c>
      <c r="BM81" s="468">
        <v>9.5030371964545708</v>
      </c>
    </row>
    <row r="82" spans="12:65" x14ac:dyDescent="0.3">
      <c r="L82" s="427">
        <v>-332328.91950000002</v>
      </c>
      <c r="BE82" s="477">
        <v>7411764.5734368218</v>
      </c>
      <c r="BF82" s="458">
        <v>2.3226818806253435E-2</v>
      </c>
      <c r="BG82" s="477">
        <v>8643180.661224829</v>
      </c>
      <c r="BH82" s="458">
        <v>8.7317045992524767E-2</v>
      </c>
      <c r="BI82" s="477">
        <v>25131339.099021059</v>
      </c>
      <c r="BJ82" s="458">
        <v>0.10586868176046327</v>
      </c>
      <c r="BK82" s="477">
        <v>96996854.88711454</v>
      </c>
      <c r="BL82" s="458">
        <v>0.25321203854617802</v>
      </c>
      <c r="BM82" s="468">
        <v>6.8155760591316001</v>
      </c>
    </row>
    <row r="83" spans="12:65" x14ac:dyDescent="0.3">
      <c r="L83" s="427">
        <v>6632726.7489</v>
      </c>
      <c r="BE83" s="477">
        <v>6990839.6238794625</v>
      </c>
      <c r="BF83" s="458">
        <v>3.0289075361083828E-2</v>
      </c>
      <c r="BG83" s="477">
        <v>8478261.2329362165</v>
      </c>
      <c r="BH83" s="458">
        <v>3.1325303367694568E-2</v>
      </c>
      <c r="BI83" s="477">
        <v>18420477.444961119</v>
      </c>
      <c r="BJ83" s="458">
        <v>0.12457555489005023</v>
      </c>
      <c r="BK83" s="477">
        <v>84649561.74307622</v>
      </c>
      <c r="BL83" s="458">
        <v>0.26813755184965427</v>
      </c>
      <c r="BM83" s="468">
        <v>9.6008796957297591</v>
      </c>
    </row>
    <row r="84" spans="12:65" x14ac:dyDescent="0.3">
      <c r="L84" s="427">
        <v>3683163.6523000002</v>
      </c>
      <c r="BE84" s="477">
        <v>1821821.7579136342</v>
      </c>
      <c r="BF84" s="458">
        <v>4.0627586360911794E-2</v>
      </c>
      <c r="BG84" s="477">
        <v>10964289.075697945</v>
      </c>
      <c r="BH84" s="458">
        <v>3.9462350116068912E-2</v>
      </c>
      <c r="BI84" s="477">
        <v>18160723.275047369</v>
      </c>
      <c r="BJ84" s="458">
        <v>9.8960083202602966E-2</v>
      </c>
      <c r="BK84" s="477">
        <v>101215525.20751932</v>
      </c>
      <c r="BL84" s="458">
        <v>0.26627922092905765</v>
      </c>
      <c r="BM84" s="468">
        <v>11.105587512138143</v>
      </c>
    </row>
    <row r="85" spans="12:65" x14ac:dyDescent="0.3">
      <c r="L85" s="427">
        <v>4227577.2731999997</v>
      </c>
      <c r="BE85" s="477">
        <v>7498901.2949457513</v>
      </c>
      <c r="BF85" s="458">
        <v>2.7691204662599667E-2</v>
      </c>
      <c r="BG85" s="477">
        <v>3156202.3820987893</v>
      </c>
      <c r="BH85" s="458">
        <v>7.0233444875719808E-2</v>
      </c>
      <c r="BI85" s="477">
        <v>16214610.944071785</v>
      </c>
      <c r="BJ85" s="458">
        <v>0.12451341871678379</v>
      </c>
      <c r="BK85" s="477">
        <v>77720324.088375941</v>
      </c>
      <c r="BL85" s="458">
        <v>0.27207584179525046</v>
      </c>
      <c r="BM85" s="468">
        <v>4.4772922737636005</v>
      </c>
    </row>
    <row r="86" spans="12:65" x14ac:dyDescent="0.3">
      <c r="L86" s="427">
        <v>3152394.5570999999</v>
      </c>
      <c r="BE86" s="477">
        <v>5242264.4163941648</v>
      </c>
      <c r="BF86" s="458">
        <v>4.7765168423711257E-2</v>
      </c>
      <c r="BG86" s="477">
        <v>5961260.0931969276</v>
      </c>
      <c r="BH86" s="458">
        <v>6.4990849162376518E-2</v>
      </c>
      <c r="BI86" s="477">
        <v>18935154.747576281</v>
      </c>
      <c r="BJ86" s="458">
        <v>0.11337691778493153</v>
      </c>
      <c r="BK86" s="477">
        <v>93862704.188412428</v>
      </c>
      <c r="BL86" s="458">
        <v>0.26278320035910752</v>
      </c>
      <c r="BM86" s="468">
        <v>8.6451990496842104</v>
      </c>
    </row>
    <row r="87" spans="12:65" x14ac:dyDescent="0.3">
      <c r="L87" s="427">
        <v>2919347.7601000001</v>
      </c>
      <c r="BE87" s="477">
        <v>5802123.871197314</v>
      </c>
      <c r="BF87" s="458">
        <v>2.3150190417465799E-2</v>
      </c>
      <c r="BG87" s="477">
        <v>5295613.6995835118</v>
      </c>
      <c r="BH87" s="458">
        <v>6.0671432925450297E-2</v>
      </c>
      <c r="BI87" s="477">
        <v>13031506.456355141</v>
      </c>
      <c r="BJ87" s="458">
        <v>0.10576595643672482</v>
      </c>
      <c r="BK87" s="477">
        <v>91909861.382030904</v>
      </c>
      <c r="BL87" s="458">
        <v>0.26578821451704426</v>
      </c>
      <c r="BM87" s="468">
        <v>10.666104256904186</v>
      </c>
    </row>
    <row r="88" spans="12:65" x14ac:dyDescent="0.3">
      <c r="L88" s="427">
        <v>-9180486.9956999999</v>
      </c>
      <c r="BE88" s="477">
        <v>2183091.2428609687</v>
      </c>
      <c r="BF88" s="458">
        <v>3.6185877741896855E-2</v>
      </c>
      <c r="BG88" s="477">
        <v>12420075.035833495</v>
      </c>
      <c r="BH88" s="458">
        <v>5.184816148292537E-2</v>
      </c>
      <c r="BI88" s="477">
        <v>10202845.083006432</v>
      </c>
      <c r="BJ88" s="458">
        <v>0.10720924211407534</v>
      </c>
      <c r="BK88" s="477">
        <v>92690079.868316114</v>
      </c>
      <c r="BL88" s="458">
        <v>0.2727285251420406</v>
      </c>
      <c r="BM88" s="468">
        <v>9.7083853262059492</v>
      </c>
    </row>
    <row r="89" spans="12:65" x14ac:dyDescent="0.3">
      <c r="L89" s="427">
        <v>6090714.0593999997</v>
      </c>
      <c r="BE89" s="477">
        <v>8470343.2564383242</v>
      </c>
      <c r="BF89" s="458">
        <v>4.2248458440278247E-2</v>
      </c>
      <c r="BG89" s="477">
        <v>7958359.3758024788</v>
      </c>
      <c r="BH89" s="458">
        <v>6.3887904957202535E-2</v>
      </c>
      <c r="BI89" s="477">
        <v>21253901.28371197</v>
      </c>
      <c r="BJ89" s="458">
        <v>0.12658434254918349</v>
      </c>
      <c r="BK89" s="477">
        <v>84378596.651102602</v>
      </c>
      <c r="BL89" s="458">
        <v>0.26328329489101709</v>
      </c>
      <c r="BM89" s="468">
        <v>6.7571855415367192</v>
      </c>
    </row>
    <row r="90" spans="12:65" x14ac:dyDescent="0.3">
      <c r="L90" s="427">
        <v>28156857.627599999</v>
      </c>
      <c r="BE90" s="477">
        <v>-685907.83597101714</v>
      </c>
      <c r="BF90" s="458">
        <v>4.4211775350626148E-2</v>
      </c>
      <c r="BG90" s="477">
        <v>7705470.7782085687</v>
      </c>
      <c r="BH90" s="458">
        <v>4.4713483395237175E-2</v>
      </c>
      <c r="BI90" s="477">
        <v>10369868.239973726</v>
      </c>
      <c r="BJ90" s="458">
        <v>0.10159020016090348</v>
      </c>
      <c r="BK90" s="477">
        <v>81254044.816343442</v>
      </c>
      <c r="BL90" s="458">
        <v>0.29126057131292216</v>
      </c>
      <c r="BM90" s="468">
        <v>10.643521754548175</v>
      </c>
    </row>
    <row r="91" spans="12:65" x14ac:dyDescent="0.3">
      <c r="L91" s="427">
        <v>8588061.6384999994</v>
      </c>
      <c r="BE91" s="477">
        <v>9285777.8609292191</v>
      </c>
      <c r="BF91" s="458">
        <v>4.3736169802832237E-2</v>
      </c>
      <c r="BG91" s="477">
        <v>10366213.749527927</v>
      </c>
      <c r="BH91" s="458">
        <v>4.5083731258608317E-2</v>
      </c>
      <c r="BI91" s="477">
        <v>16708985.502322037</v>
      </c>
      <c r="BJ91" s="458">
        <v>0.10188165868399879</v>
      </c>
      <c r="BK91" s="477">
        <v>91520165.746064812</v>
      </c>
      <c r="BL91" s="458">
        <v>0.26484568240388229</v>
      </c>
      <c r="BM91" s="468">
        <v>8.401241869967242</v>
      </c>
    </row>
    <row r="92" spans="12:65" x14ac:dyDescent="0.3">
      <c r="L92" s="427">
        <v>21182587.2018</v>
      </c>
      <c r="BE92" s="477">
        <v>6183304.1891834708</v>
      </c>
      <c r="BF92" s="458">
        <v>1.3398162742674025E-2</v>
      </c>
      <c r="BG92" s="477">
        <v>5324786.7392424121</v>
      </c>
      <c r="BH92" s="458">
        <v>7.3843533192680999E-2</v>
      </c>
      <c r="BI92" s="477">
        <v>19541931.504244778</v>
      </c>
      <c r="BJ92" s="458">
        <v>0.11094707344692556</v>
      </c>
      <c r="BK92" s="477">
        <v>76227784.02469483</v>
      </c>
      <c r="BL92" s="458">
        <v>0.27481419102977234</v>
      </c>
      <c r="BM92" s="468">
        <v>8.2411503197098472</v>
      </c>
    </row>
    <row r="93" spans="12:65" x14ac:dyDescent="0.3">
      <c r="L93" s="427">
        <v>19599981.8409</v>
      </c>
      <c r="BE93" s="477">
        <v>-608444.38825314073</v>
      </c>
      <c r="BF93" s="458">
        <v>6.701502516490554E-2</v>
      </c>
      <c r="BG93" s="477">
        <v>11657841.932445498</v>
      </c>
      <c r="BH93" s="458">
        <v>6.3653477815282411E-2</v>
      </c>
      <c r="BI93" s="477">
        <v>19087549.158135906</v>
      </c>
      <c r="BJ93" s="458">
        <v>9.4484279025981888E-2</v>
      </c>
      <c r="BK93" s="477">
        <v>93033250.172849849</v>
      </c>
      <c r="BL93" s="458">
        <v>0.27383652443299278</v>
      </c>
      <c r="BM93" s="468">
        <v>2.3421050591058137</v>
      </c>
    </row>
    <row r="94" spans="12:65" x14ac:dyDescent="0.3">
      <c r="L94" s="427">
        <v>7840387.9822000004</v>
      </c>
      <c r="BE94" s="477">
        <v>4446519.0752610704</v>
      </c>
      <c r="BF94" s="458">
        <v>3.7157109020247381E-2</v>
      </c>
      <c r="BG94" s="477">
        <v>6780971.6262222901</v>
      </c>
      <c r="BH94" s="458">
        <v>7.2238068552578305E-2</v>
      </c>
      <c r="BI94" s="477">
        <v>22495373.618120678</v>
      </c>
      <c r="BJ94" s="458">
        <v>0.1088525627108432</v>
      </c>
      <c r="BK94" s="477">
        <v>90339174.172821522</v>
      </c>
      <c r="BL94" s="458">
        <v>0.26724600828393608</v>
      </c>
      <c r="BM94" s="468">
        <v>5.4802697632855963</v>
      </c>
    </row>
    <row r="95" spans="12:65" x14ac:dyDescent="0.3">
      <c r="L95" s="427">
        <v>-7110674.5372000001</v>
      </c>
      <c r="BE95" s="477">
        <v>8974295.3478250392</v>
      </c>
      <c r="BF95" s="458">
        <v>4.721822509282414E-2</v>
      </c>
      <c r="BG95" s="477">
        <v>9177469.7012408432</v>
      </c>
      <c r="BH95" s="458">
        <v>7.2580085001525685E-2</v>
      </c>
      <c r="BI95" s="477">
        <v>15714118.811644306</v>
      </c>
      <c r="BJ95" s="458">
        <v>0.11820039724714659</v>
      </c>
      <c r="BK95" s="477">
        <v>84122410.698180646</v>
      </c>
      <c r="BL95" s="458">
        <v>0.31459980659655562</v>
      </c>
      <c r="BM95" s="468">
        <v>9.8813401840198765</v>
      </c>
    </row>
    <row r="96" spans="12:65" x14ac:dyDescent="0.3">
      <c r="L96" s="427">
        <v>5439020.8964</v>
      </c>
      <c r="BE96" s="477">
        <v>3820434.8558231769</v>
      </c>
      <c r="BF96" s="458">
        <v>3.749076088190284E-2</v>
      </c>
      <c r="BG96" s="477">
        <v>8771771.9968499187</v>
      </c>
      <c r="BH96" s="458">
        <v>5.7160446364642903E-2</v>
      </c>
      <c r="BI96" s="477">
        <v>17580337.453789137</v>
      </c>
      <c r="BJ96" s="458">
        <v>0.11805759148970618</v>
      </c>
      <c r="BK96" s="477">
        <v>92055522.946746513</v>
      </c>
      <c r="BL96" s="458">
        <v>0.27718930406652031</v>
      </c>
      <c r="BM96" s="468">
        <v>9.1282711091393001</v>
      </c>
    </row>
    <row r="97" spans="12:65" x14ac:dyDescent="0.3">
      <c r="L97" s="427">
        <v>1589872.0301999999</v>
      </c>
      <c r="BE97" s="477">
        <v>6591617.8753223801</v>
      </c>
      <c r="BF97" s="458">
        <v>7.2483516459656006E-3</v>
      </c>
      <c r="BG97" s="477">
        <v>8278977.914710097</v>
      </c>
      <c r="BH97" s="458">
        <v>5.5795908032542085E-2</v>
      </c>
      <c r="BI97" s="477">
        <v>14954657.131640587</v>
      </c>
      <c r="BJ97" s="458">
        <v>0.10685614726035642</v>
      </c>
      <c r="BK97" s="477">
        <v>90893381.336400181</v>
      </c>
      <c r="BL97" s="458">
        <v>0.27049014256948634</v>
      </c>
      <c r="BM97" s="468">
        <v>10.359855748834061</v>
      </c>
    </row>
    <row r="98" spans="12:65" x14ac:dyDescent="0.3">
      <c r="L98" s="427">
        <v>5213230.8466999996</v>
      </c>
      <c r="BE98" s="477">
        <v>6369043.5055832304</v>
      </c>
      <c r="BF98" s="458">
        <v>3.8800746032491285E-2</v>
      </c>
      <c r="BG98" s="477">
        <v>6785244.8633397045</v>
      </c>
      <c r="BH98" s="458">
        <v>7.9149311180330528E-2</v>
      </c>
      <c r="BI98" s="477">
        <v>16701190.078867879</v>
      </c>
      <c r="BJ98" s="458">
        <v>0.10846473412359781</v>
      </c>
      <c r="BK98" s="477">
        <v>74893741.451076508</v>
      </c>
      <c r="BL98" s="458">
        <v>0.2604257538430752</v>
      </c>
      <c r="BM98" s="468">
        <v>6.1424702597079301</v>
      </c>
    </row>
    <row r="99" spans="12:65" x14ac:dyDescent="0.3">
      <c r="L99" s="427">
        <v>-5214964.5807999996</v>
      </c>
      <c r="BE99" s="477">
        <v>5407698.3263246641</v>
      </c>
      <c r="BF99" s="458">
        <v>7.8275966445354728E-2</v>
      </c>
      <c r="BG99" s="477">
        <v>2111823.2144284006</v>
      </c>
      <c r="BH99" s="458">
        <v>5.0815963400868913E-2</v>
      </c>
      <c r="BI99" s="477">
        <v>17540511.905506235</v>
      </c>
      <c r="BJ99" s="458">
        <v>0.10265978783433916</v>
      </c>
      <c r="BK99" s="477">
        <v>88414008.313485757</v>
      </c>
      <c r="BL99" s="458">
        <v>0.26546185159853719</v>
      </c>
      <c r="BM99" s="468">
        <v>-2.7710920075941434</v>
      </c>
    </row>
    <row r="100" spans="12:65" x14ac:dyDescent="0.3">
      <c r="L100" s="427">
        <v>4622409.4872000003</v>
      </c>
      <c r="BE100" s="477">
        <v>5150188.71585654</v>
      </c>
      <c r="BF100" s="458">
        <v>3.1140274243672161E-2</v>
      </c>
      <c r="BG100" s="477">
        <v>10101450.003411697</v>
      </c>
      <c r="BH100" s="458">
        <v>5.9931239184311424E-2</v>
      </c>
      <c r="BI100" s="477">
        <v>10145337.312664624</v>
      </c>
      <c r="BJ100" s="458">
        <v>7.2984196533899759E-2</v>
      </c>
      <c r="BK100" s="477">
        <v>88076164.706370175</v>
      </c>
      <c r="BL100" s="458">
        <v>0.2787941418531712</v>
      </c>
      <c r="BM100" s="468">
        <v>7.7079437944338913</v>
      </c>
    </row>
    <row r="101" spans="12:65" x14ac:dyDescent="0.3">
      <c r="L101" s="427">
        <v>18485794.923799999</v>
      </c>
      <c r="BE101" s="477">
        <v>6257980.1941285534</v>
      </c>
      <c r="BF101" s="458">
        <v>5.1812981382542089E-2</v>
      </c>
      <c r="BG101" s="477">
        <v>9137072.8903826773</v>
      </c>
      <c r="BH101" s="458">
        <v>5.3754672913738588E-2</v>
      </c>
      <c r="BI101" s="477">
        <v>16444387.194478178</v>
      </c>
      <c r="BJ101" s="458">
        <v>0.11562863809402457</v>
      </c>
      <c r="BK101" s="477">
        <v>86224058.466010824</v>
      </c>
      <c r="BL101" s="458">
        <v>0.26786958001494865</v>
      </c>
      <c r="BM101" s="468">
        <v>7.8274310398620681</v>
      </c>
    </row>
    <row r="102" spans="12:65" x14ac:dyDescent="0.3">
      <c r="L102" s="427">
        <v>-4130616.1041999999</v>
      </c>
      <c r="BE102" s="477">
        <v>5696605.6286863405</v>
      </c>
      <c r="BF102" s="458">
        <v>3.3977161023970082E-2</v>
      </c>
      <c r="BG102" s="477">
        <v>11303421.787837831</v>
      </c>
      <c r="BH102" s="458">
        <v>6.9756928801901763E-2</v>
      </c>
      <c r="BI102" s="477">
        <v>5942978.117867115</v>
      </c>
      <c r="BJ102" s="458">
        <v>0.1017200717381328</v>
      </c>
      <c r="BK102" s="477">
        <v>77465194.732167602</v>
      </c>
      <c r="BL102" s="458">
        <v>0.29318888364721096</v>
      </c>
      <c r="BM102" s="468">
        <v>10.144048732168878</v>
      </c>
    </row>
    <row r="103" spans="12:65" x14ac:dyDescent="0.3">
      <c r="L103" s="427">
        <v>-2760526.1998999999</v>
      </c>
      <c r="BE103" s="477">
        <v>8146437.0589818116</v>
      </c>
      <c r="BF103" s="458">
        <v>4.6727814328419104E-2</v>
      </c>
      <c r="BG103" s="477">
        <v>7047165.5217761379</v>
      </c>
      <c r="BH103" s="458">
        <v>3.709828572784768E-2</v>
      </c>
      <c r="BI103" s="477">
        <v>17265411.867809676</v>
      </c>
      <c r="BJ103" s="458">
        <v>9.6046643771575457E-2</v>
      </c>
      <c r="BK103" s="477">
        <v>87261366.792568862</v>
      </c>
      <c r="BL103" s="458">
        <v>0.2504113444118572</v>
      </c>
      <c r="BM103" s="468">
        <v>13.519853222937147</v>
      </c>
    </row>
    <row r="104" spans="12:65" x14ac:dyDescent="0.3">
      <c r="L104" s="427">
        <v>10961315.744100001</v>
      </c>
      <c r="BE104" s="477">
        <v>4288145.1200758256</v>
      </c>
      <c r="BF104" s="458">
        <v>2.6741522101073611E-2</v>
      </c>
      <c r="BG104" s="477">
        <v>12687567.036321456</v>
      </c>
      <c r="BH104" s="458">
        <v>5.5134204357603078E-2</v>
      </c>
      <c r="BI104" s="477">
        <v>-2605963.4530668384</v>
      </c>
      <c r="BJ104" s="458">
        <v>0.12116830539853285</v>
      </c>
      <c r="BK104" s="477">
        <v>92671384.301942751</v>
      </c>
      <c r="BL104" s="458">
        <v>0.28715727929262314</v>
      </c>
      <c r="BM104" s="468">
        <v>14.983219241018748</v>
      </c>
    </row>
    <row r="105" spans="12:65" x14ac:dyDescent="0.3">
      <c r="L105" s="427">
        <v>17465903.116599999</v>
      </c>
      <c r="BE105" s="477">
        <v>4354976.3672531154</v>
      </c>
      <c r="BF105" s="458">
        <v>3.0743356717393144E-2</v>
      </c>
      <c r="BG105" s="477">
        <v>4656547.8621815201</v>
      </c>
      <c r="BH105" s="458">
        <v>5.9079612079477872E-2</v>
      </c>
      <c r="BI105" s="477">
        <v>11387610.366339939</v>
      </c>
      <c r="BJ105" s="458">
        <v>0.11358682560222344</v>
      </c>
      <c r="BK105" s="477">
        <v>99036209.639163196</v>
      </c>
      <c r="BL105" s="458">
        <v>0.25786032814037108</v>
      </c>
      <c r="BM105" s="468">
        <v>3.651683311531893</v>
      </c>
    </row>
    <row r="106" spans="12:65" x14ac:dyDescent="0.3">
      <c r="L106" s="427">
        <v>12044449.7181</v>
      </c>
      <c r="BE106" s="477">
        <v>1734452.1004489658</v>
      </c>
      <c r="BF106" s="458">
        <v>3.896287940243659E-2</v>
      </c>
      <c r="BG106" s="477">
        <v>12293668.77783832</v>
      </c>
      <c r="BH106" s="458">
        <v>6.5191185211908476E-2</v>
      </c>
      <c r="BI106" s="477">
        <v>9871219.1895629596</v>
      </c>
      <c r="BJ106" s="458">
        <v>0.12035582648368837</v>
      </c>
      <c r="BK106" s="477">
        <v>89733027.541590929</v>
      </c>
      <c r="BL106" s="458">
        <v>0.2793058796872161</v>
      </c>
      <c r="BM106" s="468">
        <v>6.990423899812237</v>
      </c>
    </row>
    <row r="107" spans="12:65" x14ac:dyDescent="0.3">
      <c r="L107" s="427">
        <v>25683932.796799999</v>
      </c>
      <c r="BE107" s="477">
        <v>6543896.9213433741</v>
      </c>
      <c r="BF107" s="458">
        <v>6.9203553642342763E-2</v>
      </c>
      <c r="BG107" s="477">
        <v>10203466.853205016</v>
      </c>
      <c r="BH107" s="458">
        <v>3.5472652753135714E-2</v>
      </c>
      <c r="BI107" s="477">
        <v>21018839.866856016</v>
      </c>
      <c r="BJ107" s="458">
        <v>0.11806954656453472</v>
      </c>
      <c r="BK107" s="477">
        <v>84107629.236534253</v>
      </c>
      <c r="BL107" s="458">
        <v>0.25618367056002955</v>
      </c>
      <c r="BM107" s="468">
        <v>3.319034125020532</v>
      </c>
    </row>
    <row r="108" spans="12:65" x14ac:dyDescent="0.3">
      <c r="L108" s="427">
        <v>10279126.4857</v>
      </c>
      <c r="BE108" s="477">
        <v>5476530.3423964363</v>
      </c>
      <c r="BF108" s="458">
        <v>1.8018062410100955E-2</v>
      </c>
      <c r="BG108" s="477">
        <v>14655225.767683538</v>
      </c>
      <c r="BH108" s="458">
        <v>4.2953534538340055E-2</v>
      </c>
      <c r="BI108" s="477">
        <v>19267278.015424673</v>
      </c>
      <c r="BJ108" s="458">
        <v>8.7234586502407785E-2</v>
      </c>
      <c r="BK108" s="477">
        <v>102997849.82609746</v>
      </c>
      <c r="BL108" s="458">
        <v>0.25805322471729886</v>
      </c>
      <c r="BM108" s="468">
        <v>9.2545183765709478</v>
      </c>
    </row>
    <row r="109" spans="12:65" x14ac:dyDescent="0.3">
      <c r="L109" s="427">
        <v>12344262.5748</v>
      </c>
      <c r="BE109" s="477">
        <v>5256932.5346172778</v>
      </c>
      <c r="BF109" s="458">
        <v>-1.6387872280947402E-3</v>
      </c>
      <c r="BG109" s="477">
        <v>7723910.1340473248</v>
      </c>
      <c r="BH109" s="458">
        <v>8.6119271895037652E-2</v>
      </c>
      <c r="BI109" s="477">
        <v>18895825.06991775</v>
      </c>
      <c r="BJ109" s="458">
        <v>9.7264035331945609E-2</v>
      </c>
      <c r="BK109" s="477">
        <v>83279535.162671432</v>
      </c>
      <c r="BL109" s="458">
        <v>0.2483261385054687</v>
      </c>
      <c r="BM109" s="468">
        <v>7.1498351693164981</v>
      </c>
    </row>
    <row r="110" spans="12:65" x14ac:dyDescent="0.3">
      <c r="L110" s="427">
        <v>11641258.697000001</v>
      </c>
      <c r="BE110" s="477">
        <v>5388521.1493402319</v>
      </c>
      <c r="BF110" s="458">
        <v>4.6618259879084745E-2</v>
      </c>
      <c r="BG110" s="477">
        <v>4974766.9586650161</v>
      </c>
      <c r="BH110" s="458">
        <v>4.8037135233005346E-2</v>
      </c>
      <c r="BI110" s="477">
        <v>22186009.014007524</v>
      </c>
      <c r="BJ110" s="458">
        <v>9.0455283815940701E-2</v>
      </c>
      <c r="BK110" s="477">
        <v>95829847.145911634</v>
      </c>
      <c r="BL110" s="458">
        <v>0.27017080913413305</v>
      </c>
      <c r="BM110" s="468">
        <v>7.6111579796088913</v>
      </c>
    </row>
    <row r="111" spans="12:65" x14ac:dyDescent="0.3">
      <c r="L111" s="427">
        <v>4736995.3413000004</v>
      </c>
      <c r="BE111" s="477">
        <v>5041823.953620608</v>
      </c>
      <c r="BF111" s="458">
        <v>4.8659963072301915E-2</v>
      </c>
      <c r="BG111" s="477">
        <v>412335.40918460744</v>
      </c>
      <c r="BH111" s="458">
        <v>5.6661012662337473E-2</v>
      </c>
      <c r="BI111" s="477">
        <v>7504076.7237537969</v>
      </c>
      <c r="BJ111" s="458">
        <v>0.13232442647658504</v>
      </c>
      <c r="BK111" s="477">
        <v>80968397.300602987</v>
      </c>
      <c r="BL111" s="458">
        <v>0.27352349200068971</v>
      </c>
      <c r="BM111" s="468">
        <v>8.2216192367477348</v>
      </c>
    </row>
    <row r="112" spans="12:65" x14ac:dyDescent="0.3">
      <c r="L112" s="427">
        <v>12087657.8024</v>
      </c>
      <c r="BE112" s="477">
        <v>5719893.676797362</v>
      </c>
      <c r="BF112" s="458">
        <v>3.2483199920783745E-2</v>
      </c>
      <c r="BG112" s="477">
        <v>2626325.1378815691</v>
      </c>
      <c r="BH112" s="458">
        <v>6.2122584923059998E-2</v>
      </c>
      <c r="BI112" s="477">
        <v>19971717.514914654</v>
      </c>
      <c r="BJ112" s="458">
        <v>0.15463839751991726</v>
      </c>
      <c r="BK112" s="477">
        <v>85550474.043442905</v>
      </c>
      <c r="BL112" s="458">
        <v>0.28862529984325325</v>
      </c>
      <c r="BM112" s="468">
        <v>8.759123875287246</v>
      </c>
    </row>
    <row r="113" spans="12:65" x14ac:dyDescent="0.3">
      <c r="L113" s="427">
        <v>-8165628.5573000005</v>
      </c>
      <c r="BE113" s="477">
        <v>8375679.2064576466</v>
      </c>
      <c r="BF113" s="458">
        <v>3.711032430762562E-2</v>
      </c>
      <c r="BG113" s="477">
        <v>9975226.7749625538</v>
      </c>
      <c r="BH113" s="458">
        <v>7.6543627719414919E-2</v>
      </c>
      <c r="BI113" s="477">
        <v>9211120.6443712581</v>
      </c>
      <c r="BJ113" s="458">
        <v>0.10926390082139692</v>
      </c>
      <c r="BK113" s="477">
        <v>81598155.991708934</v>
      </c>
      <c r="BL113" s="458">
        <v>0.26858868338866859</v>
      </c>
      <c r="BM113" s="468">
        <v>9.2058641701540296</v>
      </c>
    </row>
    <row r="114" spans="12:65" x14ac:dyDescent="0.3">
      <c r="L114" s="427">
        <v>6214157.0302999998</v>
      </c>
      <c r="BE114" s="477">
        <v>1455696.5464980174</v>
      </c>
      <c r="BF114" s="458">
        <v>5.1854386493411564E-2</v>
      </c>
      <c r="BG114" s="477">
        <v>11485543.184868637</v>
      </c>
      <c r="BH114" s="458">
        <v>8.6339189031004349E-2</v>
      </c>
      <c r="BI114" s="477">
        <v>21337062.682501175</v>
      </c>
      <c r="BJ114" s="458">
        <v>0.11050543695629367</v>
      </c>
      <c r="BK114" s="477">
        <v>89325419.167925924</v>
      </c>
      <c r="BL114" s="458">
        <v>0.2967478521630933</v>
      </c>
      <c r="BM114" s="468">
        <v>8.1119487092637144</v>
      </c>
    </row>
    <row r="115" spans="12:65" x14ac:dyDescent="0.3">
      <c r="L115" s="427">
        <v>5386142.3276000004</v>
      </c>
      <c r="BE115" s="477">
        <v>8098743.0866313782</v>
      </c>
      <c r="BF115" s="458">
        <v>3.3421660865401881E-2</v>
      </c>
      <c r="BG115" s="477">
        <v>9914784.8544237744</v>
      </c>
      <c r="BH115" s="458">
        <v>9.3231886193747338E-2</v>
      </c>
      <c r="BI115" s="477">
        <v>18102023.406212557</v>
      </c>
      <c r="BJ115" s="458">
        <v>0.14122077526630639</v>
      </c>
      <c r="BK115" s="477">
        <v>66393331.865965411</v>
      </c>
      <c r="BL115" s="458">
        <v>0.27396044702965616</v>
      </c>
      <c r="BM115" s="468">
        <v>6.8780662855351515</v>
      </c>
    </row>
    <row r="116" spans="12:65" x14ac:dyDescent="0.3">
      <c r="L116" s="427">
        <v>9626183.9049999993</v>
      </c>
      <c r="BE116" s="477">
        <v>6413182.0655312557</v>
      </c>
      <c r="BF116" s="458">
        <v>3.6655607472893648E-2</v>
      </c>
      <c r="BG116" s="477">
        <v>9138836.8273917045</v>
      </c>
      <c r="BH116" s="458">
        <v>6.7374941553364209E-2</v>
      </c>
      <c r="BI116" s="477">
        <v>20763559.468969878</v>
      </c>
      <c r="BJ116" s="458">
        <v>9.9447445282784042E-2</v>
      </c>
      <c r="BK116" s="477">
        <v>84322347.816537589</v>
      </c>
      <c r="BL116" s="458">
        <v>0.25926829441908694</v>
      </c>
      <c r="BM116" s="468">
        <v>8.601191175281043</v>
      </c>
    </row>
    <row r="117" spans="12:65" x14ac:dyDescent="0.3">
      <c r="L117" s="427">
        <v>18501893.298900001</v>
      </c>
      <c r="BE117" s="477">
        <v>1826205.8655021882</v>
      </c>
      <c r="BF117" s="458">
        <v>4.0743251613111653E-2</v>
      </c>
      <c r="BG117" s="477">
        <v>4522553.3059808891</v>
      </c>
      <c r="BH117" s="458">
        <v>7.5256143668417597E-2</v>
      </c>
      <c r="BI117" s="477">
        <v>20858004.927171104</v>
      </c>
      <c r="BJ117" s="458">
        <v>7.6470982133644672E-2</v>
      </c>
      <c r="BK117" s="477">
        <v>92211713.515712142</v>
      </c>
      <c r="BL117" s="458">
        <v>0.24911050488188202</v>
      </c>
      <c r="BM117" s="468">
        <v>6.3471795039699295</v>
      </c>
    </row>
    <row r="118" spans="12:65" x14ac:dyDescent="0.3">
      <c r="L118" s="427">
        <v>-5623507.3668999998</v>
      </c>
      <c r="BE118" s="477">
        <v>7896065.9902656693</v>
      </c>
      <c r="BF118" s="458">
        <v>2.9044804253569145E-2</v>
      </c>
      <c r="BG118" s="477">
        <v>5360241.221249965</v>
      </c>
      <c r="BH118" s="458">
        <v>8.6406681366338445E-2</v>
      </c>
      <c r="BI118" s="477">
        <v>17656076.771291409</v>
      </c>
      <c r="BJ118" s="458">
        <v>0.12796706036636962</v>
      </c>
      <c r="BK118" s="477">
        <v>76267599.614994064</v>
      </c>
      <c r="BL118" s="458">
        <v>0.27117368800948682</v>
      </c>
      <c r="BM118" s="468">
        <v>9.53076838032481</v>
      </c>
    </row>
    <row r="119" spans="12:65" x14ac:dyDescent="0.3">
      <c r="L119" s="427">
        <v>2868512.6496000001</v>
      </c>
      <c r="BE119" s="477">
        <v>6504571.0689072134</v>
      </c>
      <c r="BF119" s="458">
        <v>3.8398948935346677E-2</v>
      </c>
      <c r="BG119" s="477">
        <v>15451501.890011856</v>
      </c>
      <c r="BH119" s="458">
        <v>6.050965170605882E-2</v>
      </c>
      <c r="BI119" s="477">
        <v>19797970.248104446</v>
      </c>
      <c r="BJ119" s="458">
        <v>0.10005102666092913</v>
      </c>
      <c r="BK119" s="477">
        <v>97398798.765032321</v>
      </c>
      <c r="BL119" s="458">
        <v>0.26955909740764739</v>
      </c>
      <c r="BM119" s="468">
        <v>13.535664713638091</v>
      </c>
    </row>
    <row r="120" spans="12:65" x14ac:dyDescent="0.3">
      <c r="L120" s="427">
        <v>9267153.7872000001</v>
      </c>
      <c r="BE120" s="477">
        <v>8019031.0192619748</v>
      </c>
      <c r="BF120" s="458">
        <v>2.7285943701619519E-2</v>
      </c>
      <c r="BG120" s="477">
        <v>14610092.112411426</v>
      </c>
      <c r="BH120" s="458">
        <v>8.5337916642400424E-2</v>
      </c>
      <c r="BI120" s="477">
        <v>25964551.835819397</v>
      </c>
      <c r="BJ120" s="458">
        <v>0.11975271361821194</v>
      </c>
      <c r="BK120" s="477">
        <v>88507876.586560965</v>
      </c>
      <c r="BL120" s="458">
        <v>0.25584387531714081</v>
      </c>
      <c r="BM120" s="468">
        <v>12.40124740060222</v>
      </c>
    </row>
    <row r="121" spans="12:65" x14ac:dyDescent="0.3">
      <c r="L121" s="427">
        <v>5775498.4526000004</v>
      </c>
      <c r="BE121" s="477">
        <v>6918578.7800051197</v>
      </c>
      <c r="BF121" s="458">
        <v>5.2945212961494237E-2</v>
      </c>
      <c r="BG121" s="477">
        <v>3392776.8511892045</v>
      </c>
      <c r="BH121" s="458">
        <v>3.7425783368187693E-2</v>
      </c>
      <c r="BI121" s="477">
        <v>12464141.91044987</v>
      </c>
      <c r="BJ121" s="458">
        <v>0.11828418479376412</v>
      </c>
      <c r="BK121" s="477">
        <v>94939242.530436486</v>
      </c>
      <c r="BL121" s="458">
        <v>0.24868107792742311</v>
      </c>
      <c r="BM121" s="468">
        <v>4.3413905872653231</v>
      </c>
    </row>
    <row r="122" spans="12:65" x14ac:dyDescent="0.3">
      <c r="L122" s="427">
        <v>6185294.2637</v>
      </c>
      <c r="BE122" s="477">
        <v>8483333.0872145481</v>
      </c>
      <c r="BF122" s="458">
        <v>2.9360316243143947E-2</v>
      </c>
      <c r="BG122" s="477">
        <v>10143266.619777989</v>
      </c>
      <c r="BH122" s="458">
        <v>7.7414027420461773E-2</v>
      </c>
      <c r="BI122" s="477">
        <v>24908704.751606394</v>
      </c>
      <c r="BJ122" s="458">
        <v>0.10069582234572683</v>
      </c>
      <c r="BK122" s="477">
        <v>98768620.726983413</v>
      </c>
      <c r="BL122" s="458">
        <v>0.26364085842555562</v>
      </c>
      <c r="BM122" s="468">
        <v>9.0910873932732059</v>
      </c>
    </row>
    <row r="123" spans="12:65" x14ac:dyDescent="0.3">
      <c r="L123" s="427">
        <v>33120761.270300001</v>
      </c>
      <c r="BE123" s="477">
        <v>2661292.3883732292</v>
      </c>
      <c r="BF123" s="458">
        <v>3.038920450520477E-2</v>
      </c>
      <c r="BG123" s="477">
        <v>2531059.9547751034</v>
      </c>
      <c r="BH123" s="458">
        <v>5.8743955376467261E-2</v>
      </c>
      <c r="BI123" s="477">
        <v>19837635.479170337</v>
      </c>
      <c r="BJ123" s="458">
        <v>9.6390321389528077E-2</v>
      </c>
      <c r="BK123" s="477">
        <v>96475979.417538494</v>
      </c>
      <c r="BL123" s="458">
        <v>0.25980190004622061</v>
      </c>
      <c r="BM123" s="468">
        <v>8.2188553272646043</v>
      </c>
    </row>
    <row r="124" spans="12:65" x14ac:dyDescent="0.3">
      <c r="L124" s="427">
        <v>-14320331.945</v>
      </c>
      <c r="BE124" s="477">
        <v>4591146.0226395978</v>
      </c>
      <c r="BF124" s="458">
        <v>3.8816282688359127E-2</v>
      </c>
      <c r="BG124" s="477">
        <v>559942.55673177494</v>
      </c>
      <c r="BH124" s="458">
        <v>8.866470460521847E-2</v>
      </c>
      <c r="BI124" s="477">
        <v>17387415.98714985</v>
      </c>
      <c r="BJ124" s="458">
        <v>0.11181775246140591</v>
      </c>
      <c r="BK124" s="477">
        <v>92745484.375720397</v>
      </c>
      <c r="BL124" s="458">
        <v>0.3117049463009316</v>
      </c>
      <c r="BM124" s="468">
        <v>10.114080797845393</v>
      </c>
    </row>
    <row r="125" spans="12:65" x14ac:dyDescent="0.3">
      <c r="L125" s="427">
        <v>16713584.366800001</v>
      </c>
      <c r="BE125" s="477">
        <v>6957619.9306132998</v>
      </c>
      <c r="BF125" s="458">
        <v>2.6318693177336927E-2</v>
      </c>
      <c r="BG125" s="477">
        <v>10278792.893582178</v>
      </c>
      <c r="BH125" s="458">
        <v>7.9265085580729311E-2</v>
      </c>
      <c r="BI125" s="477">
        <v>9245352.838878369</v>
      </c>
      <c r="BJ125" s="458">
        <v>0.11587499304478954</v>
      </c>
      <c r="BK125" s="477">
        <v>80213133.614447594</v>
      </c>
      <c r="BL125" s="458">
        <v>0.2785532131397539</v>
      </c>
      <c r="BM125" s="468">
        <v>6.4108803381412969</v>
      </c>
    </row>
    <row r="126" spans="12:65" x14ac:dyDescent="0.3">
      <c r="L126" s="427">
        <v>1055712.6858999999</v>
      </c>
      <c r="BE126" s="477">
        <v>3189983.0165947052</v>
      </c>
      <c r="BF126" s="458">
        <v>4.9983664473972178E-2</v>
      </c>
      <c r="BG126" s="477">
        <v>10810712.829482712</v>
      </c>
      <c r="BH126" s="458">
        <v>8.0587551955249026E-2</v>
      </c>
      <c r="BI126" s="477">
        <v>18496378.671076056</v>
      </c>
      <c r="BJ126" s="458">
        <v>9.918852732223149E-2</v>
      </c>
      <c r="BK126" s="477">
        <v>90218053.103199974</v>
      </c>
      <c r="BL126" s="458">
        <v>0.27763345655991545</v>
      </c>
      <c r="BM126" s="468">
        <v>3.5462701070376479</v>
      </c>
    </row>
    <row r="127" spans="12:65" x14ac:dyDescent="0.3">
      <c r="L127" s="427">
        <v>16781898.693</v>
      </c>
      <c r="BE127" s="477">
        <v>4307313.7499559624</v>
      </c>
      <c r="BF127" s="458">
        <v>4.1408970666165112E-2</v>
      </c>
      <c r="BG127" s="477">
        <v>10855107.433474023</v>
      </c>
      <c r="BH127" s="458">
        <v>5.3709475822242725E-2</v>
      </c>
      <c r="BI127" s="477">
        <v>7982683.0422290107</v>
      </c>
      <c r="BJ127" s="458">
        <v>0.10087592170927473</v>
      </c>
      <c r="BK127" s="477">
        <v>102823851.40245098</v>
      </c>
      <c r="BL127" s="458">
        <v>0.26080007724740861</v>
      </c>
      <c r="BM127" s="468">
        <v>4.0897159537989145</v>
      </c>
    </row>
    <row r="128" spans="12:65" x14ac:dyDescent="0.3">
      <c r="L128" s="427">
        <v>11196365.8982</v>
      </c>
      <c r="BE128" s="477">
        <v>2119849.2584558981</v>
      </c>
      <c r="BF128" s="458">
        <v>5.8647934252837208E-2</v>
      </c>
      <c r="BG128" s="477">
        <v>6074219.5541849649</v>
      </c>
      <c r="BH128" s="458">
        <v>4.7686798236295402E-2</v>
      </c>
      <c r="BI128" s="477">
        <v>17327503.917814691</v>
      </c>
      <c r="BJ128" s="458">
        <v>0.10754995920144972</v>
      </c>
      <c r="BK128" s="477">
        <v>85533130.89045535</v>
      </c>
      <c r="BL128" s="458">
        <v>0.26169296467761205</v>
      </c>
      <c r="BM128" s="468">
        <v>7.95448130368941</v>
      </c>
    </row>
    <row r="129" spans="12:65" x14ac:dyDescent="0.3">
      <c r="L129" s="427">
        <v>3547877.3991999999</v>
      </c>
      <c r="BE129" s="477">
        <v>4475635.1936071776</v>
      </c>
      <c r="BF129" s="458">
        <v>3.7195966970446914E-3</v>
      </c>
      <c r="BG129" s="477">
        <v>2952939.562308345</v>
      </c>
      <c r="BH129" s="458">
        <v>9.2716216074430147E-2</v>
      </c>
      <c r="BI129" s="477">
        <v>20714949.855326731</v>
      </c>
      <c r="BJ129" s="458">
        <v>9.1417063108800489E-2</v>
      </c>
      <c r="BK129" s="477">
        <v>94728637.007657751</v>
      </c>
      <c r="BL129" s="458">
        <v>0.28447399447661526</v>
      </c>
      <c r="BM129" s="468">
        <v>5.6818542600004944</v>
      </c>
    </row>
    <row r="130" spans="12:65" x14ac:dyDescent="0.3">
      <c r="L130" s="427">
        <v>2188916.0041</v>
      </c>
      <c r="BE130" s="477">
        <v>5405167.7466847841</v>
      </c>
      <c r="BF130" s="458">
        <v>2.0887966377781453E-2</v>
      </c>
      <c r="BG130" s="477">
        <v>9701442.0830500871</v>
      </c>
      <c r="BH130" s="458">
        <v>7.5973776981852037E-2</v>
      </c>
      <c r="BI130" s="477">
        <v>9413612.9871438649</v>
      </c>
      <c r="BJ130" s="458">
        <v>9.9704254636490797E-2</v>
      </c>
      <c r="BK130" s="477">
        <v>83005999.069133967</v>
      </c>
      <c r="BL130" s="458">
        <v>0.26667483111597456</v>
      </c>
      <c r="BM130" s="468">
        <v>5.5894022923679216</v>
      </c>
    </row>
    <row r="131" spans="12:65" x14ac:dyDescent="0.3">
      <c r="L131" s="427">
        <v>17690938.9848</v>
      </c>
      <c r="BE131" s="477">
        <v>4021024.1251393151</v>
      </c>
      <c r="BF131" s="458">
        <v>6.5265439381030799E-2</v>
      </c>
      <c r="BG131" s="477">
        <v>4094879.9011776173</v>
      </c>
      <c r="BH131" s="458">
        <v>6.2672163154242844E-2</v>
      </c>
      <c r="BI131" s="477">
        <v>15886601.631758431</v>
      </c>
      <c r="BJ131" s="458">
        <v>9.7863736114754074E-2</v>
      </c>
      <c r="BK131" s="477">
        <v>94305444.75359112</v>
      </c>
      <c r="BL131" s="458">
        <v>0.27208381056837649</v>
      </c>
      <c r="BM131" s="468">
        <v>10.246546579049641</v>
      </c>
    </row>
    <row r="132" spans="12:65" x14ac:dyDescent="0.3">
      <c r="L132" s="427">
        <v>3831736.0288999998</v>
      </c>
      <c r="BE132" s="477">
        <v>5537823.9630615218</v>
      </c>
      <c r="BF132" s="458">
        <v>4.2002307464571231E-2</v>
      </c>
      <c r="BG132" s="477">
        <v>6027499.1917211004</v>
      </c>
      <c r="BH132" s="458">
        <v>7.5215598817236939E-2</v>
      </c>
      <c r="BI132" s="477">
        <v>17424506.973932363</v>
      </c>
      <c r="BJ132" s="458">
        <v>0.12632345910398524</v>
      </c>
      <c r="BK132" s="477">
        <v>86730091.072443753</v>
      </c>
      <c r="BL132" s="458">
        <v>0.27446526096304802</v>
      </c>
      <c r="BM132" s="468">
        <v>11.164038524300588</v>
      </c>
    </row>
    <row r="133" spans="12:65" x14ac:dyDescent="0.3">
      <c r="L133" s="427">
        <v>2681189.0342000001</v>
      </c>
      <c r="BE133" s="477">
        <v>4912576.1632746356</v>
      </c>
      <c r="BF133" s="458">
        <v>6.6014121940461523E-2</v>
      </c>
      <c r="BG133" s="477">
        <v>4818527.843159901</v>
      </c>
      <c r="BH133" s="458">
        <v>7.1667672221173095E-2</v>
      </c>
      <c r="BI133" s="477">
        <v>17929515.621622909</v>
      </c>
      <c r="BJ133" s="458">
        <v>8.7842689791154838E-2</v>
      </c>
      <c r="BK133" s="477">
        <v>73381441.328768134</v>
      </c>
      <c r="BL133" s="458">
        <v>0.27105859281673217</v>
      </c>
      <c r="BM133" s="468">
        <v>9.9412918295783648</v>
      </c>
    </row>
    <row r="134" spans="12:65" x14ac:dyDescent="0.3">
      <c r="L134" s="427">
        <v>3190920.6688000001</v>
      </c>
      <c r="BE134" s="477">
        <v>6748895.5897667073</v>
      </c>
      <c r="BF134" s="458">
        <v>7.6010593128935433E-2</v>
      </c>
      <c r="BG134" s="477">
        <v>5464629.1159374071</v>
      </c>
      <c r="BH134" s="458">
        <v>2.784147262166714E-2</v>
      </c>
      <c r="BI134" s="477">
        <v>13889946.319032982</v>
      </c>
      <c r="BJ134" s="458">
        <v>0.10935978993996898</v>
      </c>
      <c r="BK134" s="477">
        <v>103639342.34865336</v>
      </c>
      <c r="BL134" s="458">
        <v>0.27128335898102374</v>
      </c>
      <c r="BM134" s="468">
        <v>6.1323168617093815</v>
      </c>
    </row>
    <row r="135" spans="12:65" x14ac:dyDescent="0.3">
      <c r="L135" s="427">
        <v>6649404.9935999997</v>
      </c>
      <c r="BE135" s="477">
        <v>5506942.5168578438</v>
      </c>
      <c r="BF135" s="458">
        <v>5.072710138730252E-2</v>
      </c>
      <c r="BG135" s="477">
        <v>9687878.0734830424</v>
      </c>
      <c r="BH135" s="458">
        <v>5.4839224706663803E-2</v>
      </c>
      <c r="BI135" s="477">
        <v>10597724.137209754</v>
      </c>
      <c r="BJ135" s="458">
        <v>0.12437248866398987</v>
      </c>
      <c r="BK135" s="477">
        <v>97079077.198941395</v>
      </c>
      <c r="BL135" s="458">
        <v>0.27714177007111074</v>
      </c>
      <c r="BM135" s="468">
        <v>12.503525521325795</v>
      </c>
    </row>
    <row r="136" spans="12:65" x14ac:dyDescent="0.3">
      <c r="L136" s="427">
        <v>-3079790.3215000001</v>
      </c>
      <c r="BE136" s="477">
        <v>12153450.285989022</v>
      </c>
      <c r="BF136" s="458">
        <v>1.5243886937893025E-2</v>
      </c>
      <c r="BG136" s="477">
        <v>12096020.097786512</v>
      </c>
      <c r="BH136" s="458">
        <v>9.0087692106391559E-2</v>
      </c>
      <c r="BI136" s="477">
        <v>24904488.704127323</v>
      </c>
      <c r="BJ136" s="458">
        <v>9.789245078351283E-2</v>
      </c>
      <c r="BK136" s="477">
        <v>97170811.434797287</v>
      </c>
      <c r="BL136" s="458">
        <v>0.28655716966220512</v>
      </c>
      <c r="BM136" s="468">
        <v>7.3251573923278466</v>
      </c>
    </row>
    <row r="137" spans="12:65" x14ac:dyDescent="0.3">
      <c r="L137" s="427">
        <v>9277333.8629000001</v>
      </c>
      <c r="BE137" s="477">
        <v>7381677.5528011601</v>
      </c>
      <c r="BF137" s="458">
        <v>2.8945310892628306E-2</v>
      </c>
      <c r="BG137" s="477">
        <v>9583310.1307725515</v>
      </c>
      <c r="BH137" s="458">
        <v>7.4721479235823729E-2</v>
      </c>
      <c r="BI137" s="477">
        <v>14724687.501441874</v>
      </c>
      <c r="BJ137" s="458">
        <v>0.14147202775911261</v>
      </c>
      <c r="BK137" s="477">
        <v>88150867.38798587</v>
      </c>
      <c r="BL137" s="458">
        <v>0.24696325906584371</v>
      </c>
      <c r="BM137" s="468">
        <v>6.994766720816747</v>
      </c>
    </row>
    <row r="138" spans="12:65" x14ac:dyDescent="0.3">
      <c r="L138" s="427">
        <v>15745695.3576</v>
      </c>
      <c r="BE138" s="477">
        <v>5468751.1019635042</v>
      </c>
      <c r="BF138" s="458">
        <v>2.6125720659768037E-2</v>
      </c>
      <c r="BG138" s="477">
        <v>6459466.3969130181</v>
      </c>
      <c r="BH138" s="458">
        <v>4.8502484391750977E-2</v>
      </c>
      <c r="BI138" s="477">
        <v>17367319.57114049</v>
      </c>
      <c r="BJ138" s="458">
        <v>0.12491443328982754</v>
      </c>
      <c r="BK138" s="477">
        <v>96133149.736513928</v>
      </c>
      <c r="BL138" s="458">
        <v>0.27187781563202695</v>
      </c>
      <c r="BM138" s="468">
        <v>4.117310463003907</v>
      </c>
    </row>
    <row r="139" spans="12:65" x14ac:dyDescent="0.3">
      <c r="L139" s="427">
        <v>-2319744.628</v>
      </c>
      <c r="BE139" s="477">
        <v>7763649.7105461759</v>
      </c>
      <c r="BF139" s="458">
        <v>8.4150109132123951E-2</v>
      </c>
      <c r="BG139" s="477">
        <v>9547079.1375311334</v>
      </c>
      <c r="BH139" s="458">
        <v>7.2757554517469014E-2</v>
      </c>
      <c r="BI139" s="477">
        <v>6859157.0489472616</v>
      </c>
      <c r="BJ139" s="458">
        <v>0.13144844733229366</v>
      </c>
      <c r="BK139" s="477">
        <v>89845278.086329192</v>
      </c>
      <c r="BL139" s="458">
        <v>0.26340373118626781</v>
      </c>
      <c r="BM139" s="468">
        <v>-2.874966843194283</v>
      </c>
    </row>
    <row r="140" spans="12:65" x14ac:dyDescent="0.3">
      <c r="L140" s="427">
        <v>9024345.6224000007</v>
      </c>
      <c r="BE140" s="477">
        <v>2731007.7339960565</v>
      </c>
      <c r="BF140" s="458">
        <v>4.0263490610840558E-2</v>
      </c>
      <c r="BG140" s="477">
        <v>11811527.996472573</v>
      </c>
      <c r="BH140" s="458">
        <v>3.0562671898592297E-2</v>
      </c>
      <c r="BI140" s="477">
        <v>21164928.259196345</v>
      </c>
      <c r="BJ140" s="458">
        <v>0.12000986599846919</v>
      </c>
      <c r="BK140" s="477">
        <v>86753764.118568435</v>
      </c>
      <c r="BL140" s="458">
        <v>0.27941922630873783</v>
      </c>
      <c r="BM140" s="468">
        <v>9.4102615184030345</v>
      </c>
    </row>
    <row r="141" spans="12:65" x14ac:dyDescent="0.3">
      <c r="L141" s="427">
        <v>17553297.226599999</v>
      </c>
      <c r="BE141" s="477">
        <v>7109721.479934263</v>
      </c>
      <c r="BF141" s="458">
        <v>4.5252571527391039E-2</v>
      </c>
      <c r="BG141" s="477">
        <v>5458563.2635481693</v>
      </c>
      <c r="BH141" s="458">
        <v>5.0622606309846496E-2</v>
      </c>
      <c r="BI141" s="477">
        <v>14493546.409040892</v>
      </c>
      <c r="BJ141" s="458">
        <v>0.13244757233168292</v>
      </c>
      <c r="BK141" s="477">
        <v>76143724.513408303</v>
      </c>
      <c r="BL141" s="458">
        <v>0.29944277692454202</v>
      </c>
      <c r="BM141" s="468">
        <v>3.2412039139723392</v>
      </c>
    </row>
    <row r="142" spans="12:65" x14ac:dyDescent="0.3">
      <c r="L142" s="427">
        <v>793306.47530000005</v>
      </c>
      <c r="BE142" s="477">
        <v>745983.82979609445</v>
      </c>
      <c r="BF142" s="458">
        <v>3.4130578685337198E-2</v>
      </c>
      <c r="BG142" s="477">
        <v>10894217.042304395</v>
      </c>
      <c r="BH142" s="458">
        <v>4.7726756190264563E-2</v>
      </c>
      <c r="BI142" s="477">
        <v>18164314.291620649</v>
      </c>
      <c r="BJ142" s="458">
        <v>0.10805044887636317</v>
      </c>
      <c r="BK142" s="477">
        <v>82130505.662018746</v>
      </c>
      <c r="BL142" s="458">
        <v>0.27255220574281092</v>
      </c>
      <c r="BM142" s="468">
        <v>3.6663602680057235</v>
      </c>
    </row>
    <row r="143" spans="12:65" x14ac:dyDescent="0.3">
      <c r="L143" s="427">
        <v>17456446</v>
      </c>
      <c r="BE143" s="477">
        <v>846958.19498717051</v>
      </c>
      <c r="BF143" s="458">
        <v>2.5650183837720553E-2</v>
      </c>
      <c r="BG143" s="477">
        <v>12126807.7795927</v>
      </c>
      <c r="BH143" s="458">
        <v>4.8908509147184809E-2</v>
      </c>
      <c r="BI143" s="477">
        <v>15787083.53226077</v>
      </c>
      <c r="BJ143" s="458">
        <v>0.11829615467906329</v>
      </c>
      <c r="BK143" s="477">
        <v>91515137.351653501</v>
      </c>
      <c r="BL143" s="458">
        <v>0.28309042813751084</v>
      </c>
      <c r="BM143" s="468">
        <v>13.622087607941987</v>
      </c>
    </row>
    <row r="144" spans="12:65" x14ac:dyDescent="0.3">
      <c r="L144" s="427">
        <v>2684962.7067999998</v>
      </c>
      <c r="BE144" s="477">
        <v>6353813.1298387842</v>
      </c>
      <c r="BF144" s="458">
        <v>3.4742195192510872E-2</v>
      </c>
      <c r="BG144" s="477">
        <v>12833900.297351858</v>
      </c>
      <c r="BH144" s="458">
        <v>7.0040918272165076E-2</v>
      </c>
      <c r="BI144" s="477">
        <v>17281033.227895375</v>
      </c>
      <c r="BJ144" s="458">
        <v>0.1050230315114975</v>
      </c>
      <c r="BK144" s="477">
        <v>85714974.698385373</v>
      </c>
      <c r="BL144" s="458">
        <v>0.26514389869211308</v>
      </c>
      <c r="BM144" s="468">
        <v>14.197443634658089</v>
      </c>
    </row>
    <row r="145" spans="12:65" x14ac:dyDescent="0.3">
      <c r="L145" s="427">
        <v>4302437.8234999999</v>
      </c>
      <c r="BE145" s="477">
        <v>-110178.98320923871</v>
      </c>
      <c r="BF145" s="458">
        <v>2.9191913649479817E-2</v>
      </c>
      <c r="BG145" s="477">
        <v>5281747.8993807817</v>
      </c>
      <c r="BH145" s="458">
        <v>6.0570521867191474E-2</v>
      </c>
      <c r="BI145" s="477">
        <v>17495231.939229317</v>
      </c>
      <c r="BJ145" s="458">
        <v>0.12497776875263367</v>
      </c>
      <c r="BK145" s="477">
        <v>92279655.85828653</v>
      </c>
      <c r="BL145" s="458">
        <v>0.26273686840445865</v>
      </c>
      <c r="BM145" s="468">
        <v>-3.3367697016604776</v>
      </c>
    </row>
    <row r="146" spans="12:65" x14ac:dyDescent="0.3">
      <c r="L146" s="427">
        <v>-509761.23139999999</v>
      </c>
      <c r="BE146" s="477">
        <v>2195971.9408061695</v>
      </c>
      <c r="BF146" s="458">
        <v>4.1979647498043171E-2</v>
      </c>
      <c r="BG146" s="477">
        <v>5355046.2374804588</v>
      </c>
      <c r="BH146" s="458">
        <v>2.5069256383538407E-2</v>
      </c>
      <c r="BI146" s="477">
        <v>18328832.420162264</v>
      </c>
      <c r="BJ146" s="458">
        <v>0.1459852297816111</v>
      </c>
      <c r="BK146" s="477">
        <v>87877517.789111853</v>
      </c>
      <c r="BL146" s="458">
        <v>0.32774194422861735</v>
      </c>
      <c r="BM146" s="468">
        <v>4.5037498057122729</v>
      </c>
    </row>
    <row r="147" spans="12:65" x14ac:dyDescent="0.3">
      <c r="L147" s="427">
        <v>316405.47399999999</v>
      </c>
      <c r="BE147" s="477">
        <v>6615885.5631500212</v>
      </c>
      <c r="BF147" s="458">
        <v>6.2543034908026929E-2</v>
      </c>
      <c r="BG147" s="477">
        <v>1882685.6942609639</v>
      </c>
      <c r="BH147" s="458">
        <v>8.3161436160379409E-2</v>
      </c>
      <c r="BI147" s="477">
        <v>14433552.263938436</v>
      </c>
      <c r="BJ147" s="458">
        <v>0.14381882532602219</v>
      </c>
      <c r="BK147" s="477">
        <v>94651026.264870808</v>
      </c>
      <c r="BL147" s="458">
        <v>0.2779643430783465</v>
      </c>
      <c r="BM147" s="468">
        <v>4.1592861201277351</v>
      </c>
    </row>
    <row r="148" spans="12:65" x14ac:dyDescent="0.3">
      <c r="L148" s="427">
        <v>1142547.3023999999</v>
      </c>
      <c r="BE148" s="477">
        <v>7838524.0194062795</v>
      </c>
      <c r="BF148" s="458">
        <v>2.6303624908311951E-2</v>
      </c>
      <c r="BG148" s="477">
        <v>1123871.8287416964</v>
      </c>
      <c r="BH148" s="458">
        <v>7.8298678263245103E-2</v>
      </c>
      <c r="BI148" s="477">
        <v>14475632.681339949</v>
      </c>
      <c r="BJ148" s="458">
        <v>8.8711509391128152E-2</v>
      </c>
      <c r="BK148" s="477">
        <v>84136151.522939399</v>
      </c>
      <c r="BL148" s="458">
        <v>0.250854291672582</v>
      </c>
      <c r="BM148" s="468">
        <v>10.985020896359956</v>
      </c>
    </row>
    <row r="149" spans="12:65" x14ac:dyDescent="0.3">
      <c r="L149" s="427">
        <v>19208172.934599999</v>
      </c>
      <c r="BE149" s="477">
        <v>8113338.2974212226</v>
      </c>
      <c r="BF149" s="458">
        <v>7.2076279315424152E-2</v>
      </c>
      <c r="BG149" s="477">
        <v>12248268.437562164</v>
      </c>
      <c r="BH149" s="458">
        <v>7.8199070131789394E-2</v>
      </c>
      <c r="BI149" s="477">
        <v>23513781.922567405</v>
      </c>
      <c r="BJ149" s="458">
        <v>0.11026251792469588</v>
      </c>
      <c r="BK149" s="477">
        <v>80637002.383528903</v>
      </c>
      <c r="BL149" s="458">
        <v>0.26394844974677745</v>
      </c>
      <c r="BM149" s="468">
        <v>8.5458156355141561</v>
      </c>
    </row>
    <row r="150" spans="12:65" x14ac:dyDescent="0.3">
      <c r="L150" s="427">
        <v>-7749638.9928000001</v>
      </c>
      <c r="BE150" s="477">
        <v>943283.81174619577</v>
      </c>
      <c r="BF150" s="458">
        <v>4.0420804994589554E-2</v>
      </c>
      <c r="BG150" s="477">
        <v>8120663.3195211934</v>
      </c>
      <c r="BH150" s="458">
        <v>6.7469128170947856E-2</v>
      </c>
      <c r="BI150" s="477">
        <v>20215223.598783139</v>
      </c>
      <c r="BJ150" s="458">
        <v>0.12072352527579167</v>
      </c>
      <c r="BK150" s="477">
        <v>97620492.967847943</v>
      </c>
      <c r="BL150" s="458">
        <v>0.29230099869174286</v>
      </c>
      <c r="BM150" s="468">
        <v>6.2630724809270166</v>
      </c>
    </row>
    <row r="151" spans="12:65" x14ac:dyDescent="0.3">
      <c r="L151" s="427">
        <v>14390196.028000001</v>
      </c>
      <c r="BE151" s="477">
        <v>2560362.7526994511</v>
      </c>
      <c r="BF151" s="458">
        <v>4.8518520848794378E-2</v>
      </c>
      <c r="BG151" s="477">
        <v>11782978.933284588</v>
      </c>
      <c r="BH151" s="458">
        <v>5.0377184097032401E-2</v>
      </c>
      <c r="BI151" s="477">
        <v>11852400.214525321</v>
      </c>
      <c r="BJ151" s="458">
        <v>0.12623061480409214</v>
      </c>
      <c r="BK151" s="477">
        <v>78550576.073053926</v>
      </c>
      <c r="BL151" s="458">
        <v>0.25686939741445647</v>
      </c>
      <c r="BM151" s="468">
        <v>5.9679396834016263</v>
      </c>
    </row>
    <row r="152" spans="12:65" x14ac:dyDescent="0.3">
      <c r="L152" s="427">
        <v>24788151.485100001</v>
      </c>
      <c r="BE152" s="477">
        <v>6645415.3990050349</v>
      </c>
      <c r="BF152" s="458">
        <v>4.8104978136817467E-2</v>
      </c>
      <c r="BG152" s="477">
        <v>7742424.2227237411</v>
      </c>
      <c r="BH152" s="458">
        <v>6.1479071500582627E-2</v>
      </c>
      <c r="BI152" s="477">
        <v>7449254.307237776</v>
      </c>
      <c r="BJ152" s="458">
        <v>0.12756398750891851</v>
      </c>
      <c r="BK152" s="477">
        <v>92850047.269009948</v>
      </c>
      <c r="BL152" s="458">
        <v>0.28796781791014969</v>
      </c>
      <c r="BM152" s="468">
        <v>7.0056924500714581</v>
      </c>
    </row>
    <row r="153" spans="12:65" x14ac:dyDescent="0.3">
      <c r="L153" s="427">
        <v>-3308197.2019000002</v>
      </c>
      <c r="BE153" s="477">
        <v>4663923.7739182999</v>
      </c>
      <c r="BF153" s="458">
        <v>4.2879300072176996E-2</v>
      </c>
      <c r="BG153" s="477">
        <v>5157732.4776826501</v>
      </c>
      <c r="BH153" s="458">
        <v>7.2486017169563821E-2</v>
      </c>
      <c r="BI153" s="477">
        <v>23456095.477745134</v>
      </c>
      <c r="BJ153" s="458">
        <v>0.11528673189186711</v>
      </c>
      <c r="BK153" s="477">
        <v>87968818.946003214</v>
      </c>
      <c r="BL153" s="458">
        <v>0.26374172791403505</v>
      </c>
      <c r="BM153" s="468">
        <v>7.7792743054144875</v>
      </c>
    </row>
    <row r="154" spans="12:65" x14ac:dyDescent="0.3">
      <c r="L154" s="427">
        <v>-10559653.747099999</v>
      </c>
      <c r="BE154" s="477">
        <v>6128283.3291873531</v>
      </c>
      <c r="BF154" s="458">
        <v>3.607105251203957E-2</v>
      </c>
      <c r="BG154" s="477">
        <v>3854106.2193342159</v>
      </c>
      <c r="BH154" s="458">
        <v>5.5879724167256617E-2</v>
      </c>
      <c r="BI154" s="477">
        <v>21967762.811976433</v>
      </c>
      <c r="BJ154" s="458">
        <v>0.11993919146034981</v>
      </c>
      <c r="BK154" s="477">
        <v>103798732.96082789</v>
      </c>
      <c r="BL154" s="458">
        <v>0.30698885716759405</v>
      </c>
      <c r="BM154" s="468">
        <v>13.260076391555273</v>
      </c>
    </row>
    <row r="155" spans="12:65" x14ac:dyDescent="0.3">
      <c r="L155" s="427">
        <v>6452537.2406000001</v>
      </c>
      <c r="BE155" s="477">
        <v>2263324.3282878343</v>
      </c>
      <c r="BF155" s="458">
        <v>3.1552667040458005E-2</v>
      </c>
      <c r="BG155" s="477">
        <v>5713671.4998297365</v>
      </c>
      <c r="BH155" s="458">
        <v>9.4246937170324729E-2</v>
      </c>
      <c r="BI155" s="477">
        <v>22893858.858668562</v>
      </c>
      <c r="BJ155" s="458">
        <v>8.7581782939661901E-2</v>
      </c>
      <c r="BK155" s="477">
        <v>93628050.329979554</v>
      </c>
      <c r="BL155" s="458">
        <v>0.26534789385465163</v>
      </c>
      <c r="BM155" s="468">
        <v>1.2648551466141607</v>
      </c>
    </row>
    <row r="156" spans="12:65" x14ac:dyDescent="0.3">
      <c r="L156" s="427">
        <v>5290653.4506000001</v>
      </c>
      <c r="BE156" s="477">
        <v>2019488.8514389901</v>
      </c>
      <c r="BF156" s="458">
        <v>5.3602789837088771E-2</v>
      </c>
      <c r="BG156" s="477">
        <v>12444165.771584133</v>
      </c>
      <c r="BH156" s="458">
        <v>6.5766353755914331E-2</v>
      </c>
      <c r="BI156" s="477">
        <v>20997443.060367122</v>
      </c>
      <c r="BJ156" s="458">
        <v>0.11281391230976734</v>
      </c>
      <c r="BK156" s="477">
        <v>94988654.940061375</v>
      </c>
      <c r="BL156" s="458">
        <v>0.26325740627373095</v>
      </c>
      <c r="BM156" s="468">
        <v>9.0559868538264023</v>
      </c>
    </row>
    <row r="157" spans="12:65" x14ac:dyDescent="0.3">
      <c r="L157" s="427">
        <v>12737618.568700001</v>
      </c>
      <c r="BE157" s="477">
        <v>4908498.4867716786</v>
      </c>
      <c r="BF157" s="458">
        <v>2.9719345277784637E-2</v>
      </c>
      <c r="BG157" s="477">
        <v>7193715.8810337102</v>
      </c>
      <c r="BH157" s="458">
        <v>6.8992452419081474E-2</v>
      </c>
      <c r="BI157" s="477">
        <v>10839393.836043129</v>
      </c>
      <c r="BJ157" s="458">
        <v>0.1216734965939279</v>
      </c>
      <c r="BK157" s="477">
        <v>77714056.191771105</v>
      </c>
      <c r="BL157" s="458">
        <v>0.27267711447845389</v>
      </c>
      <c r="BM157" s="468">
        <v>10.851549554008303</v>
      </c>
    </row>
    <row r="158" spans="12:65" x14ac:dyDescent="0.3">
      <c r="L158" s="427">
        <v>4598683.8071999997</v>
      </c>
      <c r="BE158" s="477">
        <v>4709531.7572617643</v>
      </c>
      <c r="BF158" s="458">
        <v>4.8081115663437091E-2</v>
      </c>
      <c r="BG158" s="477">
        <v>10040630.437380387</v>
      </c>
      <c r="BH158" s="458">
        <v>6.5035113725288474E-2</v>
      </c>
      <c r="BI158" s="477">
        <v>20612362.703720406</v>
      </c>
      <c r="BJ158" s="458">
        <v>0.11277579534602022</v>
      </c>
      <c r="BK158" s="477">
        <v>78233462.598224983</v>
      </c>
      <c r="BL158" s="458">
        <v>0.25763826561175662</v>
      </c>
      <c r="BM158" s="468">
        <v>6.8223981426287938</v>
      </c>
    </row>
    <row r="159" spans="12:65" x14ac:dyDescent="0.3">
      <c r="L159" s="427">
        <v>15703157.462200001</v>
      </c>
      <c r="BE159" s="477">
        <v>2172628.747996442</v>
      </c>
      <c r="BF159" s="458">
        <v>4.1070844656753591E-2</v>
      </c>
      <c r="BG159" s="477">
        <v>6109696.3993812092</v>
      </c>
      <c r="BH159" s="458">
        <v>5.4843158601492359E-2</v>
      </c>
      <c r="BI159" s="477">
        <v>10451386.42121771</v>
      </c>
      <c r="BJ159" s="458">
        <v>0.13555863057578188</v>
      </c>
      <c r="BK159" s="477">
        <v>91881511.413022399</v>
      </c>
      <c r="BL159" s="458">
        <v>0.26959245780307817</v>
      </c>
      <c r="BM159" s="468">
        <v>4.4895721304606688</v>
      </c>
    </row>
    <row r="160" spans="12:65" x14ac:dyDescent="0.3">
      <c r="L160" s="427">
        <v>-3068615.5142000001</v>
      </c>
      <c r="BE160" s="477">
        <v>8747342.6023680735</v>
      </c>
      <c r="BF160" s="458">
        <v>5.8222712894350881E-2</v>
      </c>
      <c r="BG160" s="477">
        <v>10012514.302310346</v>
      </c>
      <c r="BH160" s="458">
        <v>7.4241287462385896E-2</v>
      </c>
      <c r="BI160" s="477">
        <v>17082577.052248918</v>
      </c>
      <c r="BJ160" s="458">
        <v>0.10872329157287797</v>
      </c>
      <c r="BK160" s="477">
        <v>86820351.74133791</v>
      </c>
      <c r="BL160" s="458">
        <v>0.27397763797921071</v>
      </c>
      <c r="BM160" s="468">
        <v>8.9788767996293579</v>
      </c>
    </row>
    <row r="161" spans="12:65" x14ac:dyDescent="0.3">
      <c r="L161" s="427">
        <v>-12767654.2269</v>
      </c>
      <c r="BE161" s="477">
        <v>5412498.216350588</v>
      </c>
      <c r="BF161" s="458">
        <v>3.3442334173511501E-2</v>
      </c>
      <c r="BG161" s="477">
        <v>6508107.6045096582</v>
      </c>
      <c r="BH161" s="458">
        <v>5.8563635589661933E-2</v>
      </c>
      <c r="BI161" s="477">
        <v>25256733.558728509</v>
      </c>
      <c r="BJ161" s="458">
        <v>0.11686751878741375</v>
      </c>
      <c r="BK161" s="477">
        <v>95211482.085415184</v>
      </c>
      <c r="BL161" s="458">
        <v>0.26598812066286448</v>
      </c>
      <c r="BM161" s="468">
        <v>18.663658145751914</v>
      </c>
    </row>
    <row r="162" spans="12:65" x14ac:dyDescent="0.3">
      <c r="L162" s="427">
        <v>2763576.5517000002</v>
      </c>
      <c r="BE162" s="477">
        <v>3985460.9063910162</v>
      </c>
      <c r="BF162" s="458">
        <v>5.4950493244502852E-2</v>
      </c>
      <c r="BG162" s="477">
        <v>7962039.3942433214</v>
      </c>
      <c r="BH162" s="458">
        <v>8.1514944736744255E-2</v>
      </c>
      <c r="BI162" s="477">
        <v>16521605.95528565</v>
      </c>
      <c r="BJ162" s="458">
        <v>0.12490526820929171</v>
      </c>
      <c r="BK162" s="477">
        <v>85608806.805120036</v>
      </c>
      <c r="BL162" s="458">
        <v>0.27013066801771402</v>
      </c>
      <c r="BM162" s="468">
        <v>13.591858524791011</v>
      </c>
    </row>
    <row r="163" spans="12:65" x14ac:dyDescent="0.3">
      <c r="L163" s="427">
        <v>-9333156.8868000004</v>
      </c>
      <c r="BE163" s="477">
        <v>7925604.7780479882</v>
      </c>
      <c r="BF163" s="458">
        <v>5.3415269818425593E-2</v>
      </c>
      <c r="BG163" s="477">
        <v>14031558.911699036</v>
      </c>
      <c r="BH163" s="458">
        <v>6.974794971496423E-2</v>
      </c>
      <c r="BI163" s="477">
        <v>21410427.127406873</v>
      </c>
      <c r="BJ163" s="458">
        <v>0.11375463223813975</v>
      </c>
      <c r="BK163" s="477">
        <v>82555839.811922714</v>
      </c>
      <c r="BL163" s="458">
        <v>0.28877649269931704</v>
      </c>
      <c r="BM163" s="468">
        <v>6.3588588640427606</v>
      </c>
    </row>
    <row r="164" spans="12:65" x14ac:dyDescent="0.3">
      <c r="L164" s="427">
        <v>9729239.5164000001</v>
      </c>
      <c r="BE164" s="477">
        <v>4992219.3658665521</v>
      </c>
      <c r="BF164" s="458">
        <v>2.0994672346478671E-2</v>
      </c>
      <c r="BG164" s="477">
        <v>8584038.9591193236</v>
      </c>
      <c r="BH164" s="458">
        <v>5.8413846213762444E-2</v>
      </c>
      <c r="BI164" s="477">
        <v>13491568.69932574</v>
      </c>
      <c r="BJ164" s="458">
        <v>0.10364083422636394</v>
      </c>
      <c r="BK164" s="477">
        <v>105566525.92874014</v>
      </c>
      <c r="BL164" s="458">
        <v>0.24976465018496374</v>
      </c>
      <c r="BM164" s="468">
        <v>15.296822620254918</v>
      </c>
    </row>
    <row r="165" spans="12:65" x14ac:dyDescent="0.3">
      <c r="L165" s="427">
        <v>13683276.0197</v>
      </c>
      <c r="BE165" s="477">
        <v>4832080.7241755901</v>
      </c>
      <c r="BF165" s="458">
        <v>5.4394391772547124E-2</v>
      </c>
      <c r="BG165" s="477">
        <v>14709371.540099736</v>
      </c>
      <c r="BH165" s="458">
        <v>7.9103299285468776E-2</v>
      </c>
      <c r="BI165" s="477">
        <v>24101553.823625673</v>
      </c>
      <c r="BJ165" s="458">
        <v>0.11431218332882964</v>
      </c>
      <c r="BK165" s="477">
        <v>88796306.962260559</v>
      </c>
      <c r="BL165" s="458">
        <v>0.2667878745942871</v>
      </c>
      <c r="BM165" s="468">
        <v>13.168545499183644</v>
      </c>
    </row>
    <row r="166" spans="12:65" x14ac:dyDescent="0.3">
      <c r="L166" s="427">
        <v>21053259.5792</v>
      </c>
      <c r="BE166" s="477">
        <v>4297046.9223212861</v>
      </c>
      <c r="BF166" s="458">
        <v>5.8615215865170711E-2</v>
      </c>
      <c r="BG166" s="477">
        <v>12674424.57277352</v>
      </c>
      <c r="BH166" s="458">
        <v>9.4143731919001272E-2</v>
      </c>
      <c r="BI166" s="477">
        <v>12690460.691247331</v>
      </c>
      <c r="BJ166" s="458">
        <v>0.12438460449196254</v>
      </c>
      <c r="BK166" s="477">
        <v>81858489.953893349</v>
      </c>
      <c r="BL166" s="458">
        <v>0.28837569180735367</v>
      </c>
      <c r="BM166" s="468">
        <v>4.2294143901145791</v>
      </c>
    </row>
    <row r="167" spans="12:65" x14ac:dyDescent="0.3">
      <c r="L167" s="427">
        <v>3182403.4279999998</v>
      </c>
      <c r="BE167" s="477">
        <v>4384108.8190600686</v>
      </c>
      <c r="BF167" s="458">
        <v>4.3171801509152674E-2</v>
      </c>
      <c r="BG167" s="477">
        <v>10205731.194498364</v>
      </c>
      <c r="BH167" s="458">
        <v>5.9964779270291757E-2</v>
      </c>
      <c r="BI167" s="477">
        <v>23616432.625353031</v>
      </c>
      <c r="BJ167" s="458">
        <v>9.6267459414676626E-2</v>
      </c>
      <c r="BK167" s="477">
        <v>90215671.124593899</v>
      </c>
      <c r="BL167" s="458">
        <v>0.28572044188447321</v>
      </c>
      <c r="BM167" s="468">
        <v>9.2829900172050124</v>
      </c>
    </row>
    <row r="168" spans="12:65" x14ac:dyDescent="0.3">
      <c r="L168" s="427">
        <v>3256473.79</v>
      </c>
      <c r="BE168" s="477">
        <v>8569957.9228485283</v>
      </c>
      <c r="BF168" s="458">
        <v>5.1852568119507891E-2</v>
      </c>
      <c r="BG168" s="477">
        <v>7389549.1496134289</v>
      </c>
      <c r="BH168" s="458">
        <v>2.6145064077794489E-2</v>
      </c>
      <c r="BI168" s="477">
        <v>13697289.569815837</v>
      </c>
      <c r="BJ168" s="458">
        <v>0.11141429410086778</v>
      </c>
      <c r="BK168" s="477">
        <v>98885688.970357686</v>
      </c>
      <c r="BL168" s="458">
        <v>0.25986963018916209</v>
      </c>
      <c r="BM168" s="468">
        <v>9.3767894148515385</v>
      </c>
    </row>
    <row r="169" spans="12:65" x14ac:dyDescent="0.3">
      <c r="L169" s="427">
        <v>27318430.959399998</v>
      </c>
      <c r="BE169" s="477">
        <v>4225325.4452771069</v>
      </c>
      <c r="BF169" s="458">
        <v>4.620399222209115E-2</v>
      </c>
      <c r="BG169" s="477">
        <v>12979347.834219506</v>
      </c>
      <c r="BH169" s="458">
        <v>6.573686117274935E-2</v>
      </c>
      <c r="BI169" s="477">
        <v>23787063.525346629</v>
      </c>
      <c r="BJ169" s="458">
        <v>9.3001947601367929E-2</v>
      </c>
      <c r="BK169" s="477">
        <v>90889932.972476497</v>
      </c>
      <c r="BL169" s="458">
        <v>0.25684457613738765</v>
      </c>
      <c r="BM169" s="468">
        <v>7.7075702148903895</v>
      </c>
    </row>
    <row r="170" spans="12:65" x14ac:dyDescent="0.3">
      <c r="L170" s="427">
        <v>11057947.146299999</v>
      </c>
      <c r="BE170" s="477">
        <v>7762245.9574449919</v>
      </c>
      <c r="BF170" s="458">
        <v>0.101189843934961</v>
      </c>
      <c r="BG170" s="477">
        <v>13637750.119559094</v>
      </c>
      <c r="BH170" s="458">
        <v>5.6850863239435334E-2</v>
      </c>
      <c r="BI170" s="477">
        <v>16188391.244912658</v>
      </c>
      <c r="BJ170" s="458">
        <v>0.1117244302927991</v>
      </c>
      <c r="BK170" s="477">
        <v>102047802.85583097</v>
      </c>
      <c r="BL170" s="458">
        <v>0.26888054562037222</v>
      </c>
      <c r="BM170" s="468">
        <v>7.8705329926353151</v>
      </c>
    </row>
    <row r="171" spans="12:65" x14ac:dyDescent="0.3">
      <c r="L171" s="427">
        <v>8581482.8640999999</v>
      </c>
      <c r="BE171" s="477">
        <v>6026512.9453316061</v>
      </c>
      <c r="BF171" s="458">
        <v>5.9699226782976567E-2</v>
      </c>
      <c r="BG171" s="477">
        <v>8090825.9502241937</v>
      </c>
      <c r="BH171" s="458">
        <v>7.8212214306909944E-2</v>
      </c>
      <c r="BI171" s="477">
        <v>17725089.61627413</v>
      </c>
      <c r="BJ171" s="458">
        <v>9.2826996913182747E-2</v>
      </c>
      <c r="BK171" s="477">
        <v>79422114.721617326</v>
      </c>
      <c r="BL171" s="458">
        <v>0.26904183394919712</v>
      </c>
      <c r="BM171" s="468">
        <v>10.133736594037337</v>
      </c>
    </row>
    <row r="172" spans="12:65" x14ac:dyDescent="0.3">
      <c r="L172" s="427">
        <v>2721033.2368000001</v>
      </c>
      <c r="BE172" s="477">
        <v>6696014.6685069036</v>
      </c>
      <c r="BF172" s="458">
        <v>2.2473852480983769E-2</v>
      </c>
      <c r="BG172" s="477">
        <v>9265512.6827482674</v>
      </c>
      <c r="BH172" s="458">
        <v>6.2969948668970099E-2</v>
      </c>
      <c r="BI172" s="477">
        <v>17485797.540828921</v>
      </c>
      <c r="BJ172" s="458">
        <v>0.10192593586487719</v>
      </c>
      <c r="BK172" s="477">
        <v>97072309.390100792</v>
      </c>
      <c r="BL172" s="458">
        <v>0.28030375938266516</v>
      </c>
      <c r="BM172" s="468">
        <v>3.4469448292537583</v>
      </c>
    </row>
    <row r="173" spans="12:65" x14ac:dyDescent="0.3">
      <c r="L173" s="427">
        <v>16746362.1237</v>
      </c>
      <c r="BE173" s="477">
        <v>3270631.3059985321</v>
      </c>
      <c r="BF173" s="458">
        <v>5.7479663119458957E-2</v>
      </c>
      <c r="BG173" s="477">
        <v>3014092.2250950914</v>
      </c>
      <c r="BH173" s="458">
        <v>5.4263700996742603E-2</v>
      </c>
      <c r="BI173" s="477">
        <v>13566109.828341991</v>
      </c>
      <c r="BJ173" s="458">
        <v>0.12251281148329185</v>
      </c>
      <c r="BK173" s="477">
        <v>86446539.707868367</v>
      </c>
      <c r="BL173" s="458">
        <v>0.27290577118416115</v>
      </c>
      <c r="BM173" s="468">
        <v>6.4325781455568185</v>
      </c>
    </row>
    <row r="174" spans="12:65" x14ac:dyDescent="0.3">
      <c r="L174" s="427">
        <v>11350965.771500001</v>
      </c>
      <c r="BE174" s="477">
        <v>6470396.9157402301</v>
      </c>
      <c r="BF174" s="458">
        <v>9.3156864660242533E-2</v>
      </c>
      <c r="BG174" s="477">
        <v>12771766.675214611</v>
      </c>
      <c r="BH174" s="458">
        <v>7.423469647067571E-2</v>
      </c>
      <c r="BI174" s="477">
        <v>23244453.964793764</v>
      </c>
      <c r="BJ174" s="458">
        <v>0.16389679749941988</v>
      </c>
      <c r="BK174" s="477">
        <v>90556961.869921505</v>
      </c>
      <c r="BL174" s="458">
        <v>0.27028146411017451</v>
      </c>
      <c r="BM174" s="468">
        <v>12.572386935716708</v>
      </c>
    </row>
    <row r="175" spans="12:65" x14ac:dyDescent="0.3">
      <c r="L175" s="427">
        <v>13678222.4101</v>
      </c>
      <c r="BE175" s="477">
        <v>1382913.9979619205</v>
      </c>
      <c r="BF175" s="458">
        <v>6.1861015103563011E-2</v>
      </c>
      <c r="BG175" s="477">
        <v>7728038.3192982227</v>
      </c>
      <c r="BH175" s="458">
        <v>9.5370548825020496E-2</v>
      </c>
      <c r="BI175" s="477">
        <v>10265433.640588403</v>
      </c>
      <c r="BJ175" s="458">
        <v>9.7761380670924991E-2</v>
      </c>
      <c r="BK175" s="477">
        <v>74264040.89765273</v>
      </c>
      <c r="BL175" s="458">
        <v>0.25600556135029939</v>
      </c>
      <c r="BM175" s="468">
        <v>7.6040124548019881</v>
      </c>
    </row>
    <row r="176" spans="12:65" x14ac:dyDescent="0.3">
      <c r="L176" s="427">
        <v>9688950.3551000003</v>
      </c>
      <c r="BE176" s="477">
        <v>4413198.9146657316</v>
      </c>
      <c r="BF176" s="458">
        <v>3.7468806545657873E-2</v>
      </c>
      <c r="BG176" s="477">
        <v>10269459.389576482</v>
      </c>
      <c r="BH176" s="458">
        <v>1.4913964010780489E-2</v>
      </c>
      <c r="BI176" s="477">
        <v>19543765.469354842</v>
      </c>
      <c r="BJ176" s="458">
        <v>7.8664502044048179E-2</v>
      </c>
      <c r="BK176" s="477">
        <v>87286716.498521909</v>
      </c>
      <c r="BL176" s="458">
        <v>0.2797161284887153</v>
      </c>
      <c r="BM176" s="468">
        <v>2.1655892917057455</v>
      </c>
    </row>
    <row r="177" spans="12:65" x14ac:dyDescent="0.3">
      <c r="L177" s="427">
        <v>27004578.881000001</v>
      </c>
      <c r="BE177" s="477">
        <v>5450366.5240834849</v>
      </c>
      <c r="BF177" s="458">
        <v>1.4764909739285903E-2</v>
      </c>
      <c r="BG177" s="477">
        <v>7884594.8075322071</v>
      </c>
      <c r="BH177" s="458">
        <v>4.706750487981104E-2</v>
      </c>
      <c r="BI177" s="477">
        <v>17840177.75277276</v>
      </c>
      <c r="BJ177" s="458">
        <v>0.12414262150369559</v>
      </c>
      <c r="BK177" s="477">
        <v>88864013.460425779</v>
      </c>
      <c r="BL177" s="458">
        <v>0.26485418202128908</v>
      </c>
      <c r="BM177" s="468">
        <v>4.3437895573032606</v>
      </c>
    </row>
    <row r="178" spans="12:65" x14ac:dyDescent="0.3">
      <c r="L178" s="427">
        <v>-1169088.0499</v>
      </c>
      <c r="BE178" s="477">
        <v>4852694.1214623842</v>
      </c>
      <c r="BF178" s="458">
        <v>3.4382904252446611E-2</v>
      </c>
      <c r="BG178" s="477">
        <v>3272299.0060389289</v>
      </c>
      <c r="BH178" s="458">
        <v>8.0859287844657013E-2</v>
      </c>
      <c r="BI178" s="477">
        <v>13433314.934149988</v>
      </c>
      <c r="BJ178" s="458">
        <v>9.8843083080094596E-2</v>
      </c>
      <c r="BK178" s="477">
        <v>85241754.855319992</v>
      </c>
      <c r="BL178" s="458">
        <v>0.24697044730982087</v>
      </c>
      <c r="BM178" s="468">
        <v>8.2847766088565749</v>
      </c>
    </row>
    <row r="179" spans="12:65" x14ac:dyDescent="0.3">
      <c r="L179" s="427">
        <v>2364793.5765</v>
      </c>
      <c r="BE179" s="477">
        <v>3904782.9839486131</v>
      </c>
      <c r="BF179" s="458">
        <v>-2.3328365460909217E-2</v>
      </c>
      <c r="BG179" s="477">
        <v>8068249.895965456</v>
      </c>
      <c r="BH179" s="458">
        <v>4.6875501699868316E-2</v>
      </c>
      <c r="BI179" s="477">
        <v>14522813.287402239</v>
      </c>
      <c r="BJ179" s="458">
        <v>0.11106197780911997</v>
      </c>
      <c r="BK179" s="477">
        <v>99851036.000877932</v>
      </c>
      <c r="BL179" s="458">
        <v>0.26291087803731861</v>
      </c>
      <c r="BM179" s="468">
        <v>11.342636539169028</v>
      </c>
    </row>
    <row r="180" spans="12:65" x14ac:dyDescent="0.3">
      <c r="L180" s="427">
        <v>16634826.862199999</v>
      </c>
      <c r="BE180" s="477">
        <v>1756986.4805907623</v>
      </c>
      <c r="BF180" s="458">
        <v>7.4264441555240257E-2</v>
      </c>
      <c r="BG180" s="477">
        <v>9361322.3742335476</v>
      </c>
      <c r="BH180" s="458">
        <v>5.8195962985993832E-2</v>
      </c>
      <c r="BI180" s="477">
        <v>16910379.519097794</v>
      </c>
      <c r="BJ180" s="458">
        <v>8.2248754855525963E-2</v>
      </c>
      <c r="BK180" s="477">
        <v>95033144.159972653</v>
      </c>
      <c r="BL180" s="458">
        <v>0.26801760789612228</v>
      </c>
      <c r="BM180" s="468">
        <v>1.5339021027266204</v>
      </c>
    </row>
    <row r="181" spans="12:65" x14ac:dyDescent="0.3">
      <c r="L181" s="427">
        <v>-5124343.1897</v>
      </c>
      <c r="BE181" s="477">
        <v>3928257.0023364187</v>
      </c>
      <c r="BF181" s="458">
        <v>4.3872192601208893E-2</v>
      </c>
      <c r="BG181" s="477">
        <v>7886647.9078347636</v>
      </c>
      <c r="BH181" s="458">
        <v>5.5425097517721289E-2</v>
      </c>
      <c r="BI181" s="477">
        <v>18040482.627220504</v>
      </c>
      <c r="BJ181" s="458">
        <v>9.0041761016629973E-2</v>
      </c>
      <c r="BK181" s="477">
        <v>83976527.899792403</v>
      </c>
      <c r="BL181" s="458">
        <v>0.27610912758615758</v>
      </c>
      <c r="BM181" s="468">
        <v>4.2908334445107066</v>
      </c>
    </row>
    <row r="182" spans="12:65" x14ac:dyDescent="0.3">
      <c r="L182" s="427">
        <v>19468078.044</v>
      </c>
      <c r="BE182" s="477">
        <v>4859597.8685442703</v>
      </c>
      <c r="BF182" s="458">
        <v>3.0088351257386181E-2</v>
      </c>
      <c r="BG182" s="477">
        <v>7772134.034447426</v>
      </c>
      <c r="BH182" s="458">
        <v>5.3625870448304136E-2</v>
      </c>
      <c r="BI182" s="477">
        <v>22400518.037987784</v>
      </c>
      <c r="BJ182" s="458">
        <v>9.8185501019455224E-2</v>
      </c>
      <c r="BK182" s="477">
        <v>76297897.371852085</v>
      </c>
      <c r="BL182" s="458">
        <v>0.26208309632226579</v>
      </c>
      <c r="BM182" s="468">
        <v>11.155066166137562</v>
      </c>
    </row>
    <row r="183" spans="12:65" x14ac:dyDescent="0.3">
      <c r="L183" s="427">
        <v>2500594.6702999999</v>
      </c>
      <c r="BE183" s="477">
        <v>2886840.1192109957</v>
      </c>
      <c r="BF183" s="458">
        <v>4.579493931132661E-2</v>
      </c>
      <c r="BG183" s="477">
        <v>7600577.7313181264</v>
      </c>
      <c r="BH183" s="458">
        <v>5.5616640592238031E-2</v>
      </c>
      <c r="BI183" s="477">
        <v>14162281.675870419</v>
      </c>
      <c r="BJ183" s="458">
        <v>7.8216817135825734E-2</v>
      </c>
      <c r="BK183" s="477">
        <v>83272783.366003871</v>
      </c>
      <c r="BL183" s="458">
        <v>0.26861729719715566</v>
      </c>
      <c r="BM183" s="468">
        <v>9.3510579028259109</v>
      </c>
    </row>
    <row r="184" spans="12:65" x14ac:dyDescent="0.3">
      <c r="L184" s="427">
        <v>12968581.7937</v>
      </c>
      <c r="BE184" s="477">
        <v>4686114.2674980825</v>
      </c>
      <c r="BF184" s="458">
        <v>3.4601906751825284E-2</v>
      </c>
      <c r="BG184" s="477">
        <v>4516439.3929778421</v>
      </c>
      <c r="BH184" s="458">
        <v>2.2475312062953501E-2</v>
      </c>
      <c r="BI184" s="477">
        <v>11815670.58460178</v>
      </c>
      <c r="BJ184" s="458">
        <v>0.10763365785737444</v>
      </c>
      <c r="BK184" s="477">
        <v>83345741.785800576</v>
      </c>
      <c r="BL184" s="458">
        <v>0.25961395823583699</v>
      </c>
      <c r="BM184" s="468">
        <v>6.537004522067825</v>
      </c>
    </row>
    <row r="185" spans="12:65" x14ac:dyDescent="0.3">
      <c r="L185" s="427">
        <v>14043835.430500001</v>
      </c>
      <c r="BE185" s="477">
        <v>4814708.4223504923</v>
      </c>
      <c r="BF185" s="458">
        <v>5.8837498165072111E-2</v>
      </c>
      <c r="BG185" s="477">
        <v>6780222.3049330432</v>
      </c>
      <c r="BH185" s="458">
        <v>6.5895843716325064E-2</v>
      </c>
      <c r="BI185" s="477">
        <v>10774621.11411516</v>
      </c>
      <c r="BJ185" s="458">
        <v>0.10967687771631707</v>
      </c>
      <c r="BK185" s="477">
        <v>111738994.59756446</v>
      </c>
      <c r="BL185" s="458">
        <v>0.26959063524534344</v>
      </c>
      <c r="BM185" s="468">
        <v>14.50896415356274</v>
      </c>
    </row>
    <row r="186" spans="12:65" x14ac:dyDescent="0.3">
      <c r="L186" s="427">
        <v>-1286479.3430000001</v>
      </c>
      <c r="BE186" s="477">
        <v>6030701.8170772977</v>
      </c>
      <c r="BF186" s="458">
        <v>8.1653991602566256E-2</v>
      </c>
      <c r="BG186" s="477">
        <v>4790378.4276966471</v>
      </c>
      <c r="BH186" s="458">
        <v>8.6826653805110565E-2</v>
      </c>
      <c r="BI186" s="477">
        <v>18182553.8765762</v>
      </c>
      <c r="BJ186" s="458">
        <v>9.6210222048576988E-2</v>
      </c>
      <c r="BK186" s="477">
        <v>96557541.57368131</v>
      </c>
      <c r="BL186" s="458">
        <v>0.27575226652544882</v>
      </c>
      <c r="BM186" s="468">
        <v>13.51144179152573</v>
      </c>
    </row>
    <row r="187" spans="12:65" x14ac:dyDescent="0.3">
      <c r="L187" s="427">
        <v>8813080.9155000001</v>
      </c>
      <c r="BE187" s="477">
        <v>7310604.6808137354</v>
      </c>
      <c r="BF187" s="458">
        <v>4.6529832095978607E-2</v>
      </c>
      <c r="BG187" s="477">
        <v>13601864.960281931</v>
      </c>
      <c r="BH187" s="458">
        <v>6.4572762036746223E-2</v>
      </c>
      <c r="BI187" s="477">
        <v>13535856.760742921</v>
      </c>
      <c r="BJ187" s="458">
        <v>9.8438138613429427E-2</v>
      </c>
      <c r="BK187" s="477">
        <v>85100555.041233182</v>
      </c>
      <c r="BL187" s="458">
        <v>0.26157016849251025</v>
      </c>
      <c r="BM187" s="468">
        <v>9.0697463165737915</v>
      </c>
    </row>
    <row r="188" spans="12:65" x14ac:dyDescent="0.3">
      <c r="L188" s="427">
        <v>14373647.301000001</v>
      </c>
      <c r="BE188" s="477">
        <v>3265554.6956888204</v>
      </c>
      <c r="BF188" s="458">
        <v>2.565737175293159E-2</v>
      </c>
      <c r="BG188" s="477">
        <v>4212797.5299087232</v>
      </c>
      <c r="BH188" s="458">
        <v>8.957615146389708E-2</v>
      </c>
      <c r="BI188" s="477">
        <v>14059138.504043976</v>
      </c>
      <c r="BJ188" s="458">
        <v>9.6729456813825054E-2</v>
      </c>
      <c r="BK188" s="477">
        <v>98995977.655743003</v>
      </c>
      <c r="BL188" s="458">
        <v>0.2626240505824593</v>
      </c>
      <c r="BM188" s="468">
        <v>5.6824016109851936</v>
      </c>
    </row>
    <row r="189" spans="12:65" x14ac:dyDescent="0.3">
      <c r="L189" s="427">
        <v>9856145.4378999993</v>
      </c>
      <c r="BE189" s="477">
        <v>5809986.2420824766</v>
      </c>
      <c r="BF189" s="458">
        <v>3.8025922145848989E-2</v>
      </c>
      <c r="BG189" s="477">
        <v>8799777.5179557931</v>
      </c>
      <c r="BH189" s="458">
        <v>7.3010907524192481E-2</v>
      </c>
      <c r="BI189" s="477">
        <v>23943106.747487165</v>
      </c>
      <c r="BJ189" s="458">
        <v>0.11262739404038191</v>
      </c>
      <c r="BK189" s="477">
        <v>104388315.3663246</v>
      </c>
      <c r="BL189" s="458">
        <v>0.27359202407920113</v>
      </c>
      <c r="BM189" s="468">
        <v>9.2689995434442238</v>
      </c>
    </row>
    <row r="190" spans="12:65" x14ac:dyDescent="0.3">
      <c r="L190" s="427">
        <v>-10238124.76</v>
      </c>
      <c r="BE190" s="477">
        <v>9737104.050795339</v>
      </c>
      <c r="BF190" s="458">
        <v>3.5130730001892152E-2</v>
      </c>
      <c r="BG190" s="477">
        <v>8462110.5181506872</v>
      </c>
      <c r="BH190" s="458">
        <v>5.250805256671498E-2</v>
      </c>
      <c r="BI190" s="477">
        <v>17149829.674716141</v>
      </c>
      <c r="BJ190" s="458">
        <v>0.11919660446386016</v>
      </c>
      <c r="BK190" s="477">
        <v>83216417.029725328</v>
      </c>
      <c r="BL190" s="458">
        <v>0.28826537533920216</v>
      </c>
      <c r="BM190" s="468">
        <v>3.3020011909667435</v>
      </c>
    </row>
    <row r="191" spans="12:65" x14ac:dyDescent="0.3">
      <c r="L191" s="427">
        <v>946709.18480000005</v>
      </c>
      <c r="BE191" s="477">
        <v>10126062.21518009</v>
      </c>
      <c r="BF191" s="458">
        <v>4.4927888356623091E-2</v>
      </c>
      <c r="BG191" s="477">
        <v>15166631.662939588</v>
      </c>
      <c r="BH191" s="458">
        <v>7.6261122495372646E-2</v>
      </c>
      <c r="BI191" s="477">
        <v>19524724.930875868</v>
      </c>
      <c r="BJ191" s="458">
        <v>0.10423743635652727</v>
      </c>
      <c r="BK191" s="477">
        <v>98217448.003750399</v>
      </c>
      <c r="BL191" s="458">
        <v>0.24506879093290657</v>
      </c>
      <c r="BM191" s="468">
        <v>11.258228625864541</v>
      </c>
    </row>
    <row r="192" spans="12:65" x14ac:dyDescent="0.3">
      <c r="L192" s="427">
        <v>8164714.1649000002</v>
      </c>
      <c r="BE192" s="477">
        <v>4501437.6408766108</v>
      </c>
      <c r="BF192" s="458">
        <v>4.4328639541672876E-2</v>
      </c>
      <c r="BG192" s="477">
        <v>5938760.206167534</v>
      </c>
      <c r="BH192" s="458">
        <v>7.6302534621099039E-2</v>
      </c>
      <c r="BI192" s="477">
        <v>7840708.8001808468</v>
      </c>
      <c r="BJ192" s="458">
        <v>8.9247879539093189E-2</v>
      </c>
      <c r="BK192" s="477">
        <v>92069952.815301433</v>
      </c>
      <c r="BL192" s="458">
        <v>0.28358539474952882</v>
      </c>
      <c r="BM192" s="468">
        <v>6.8204535620607292</v>
      </c>
    </row>
    <row r="193" spans="12:65" x14ac:dyDescent="0.3">
      <c r="L193" s="427">
        <v>10170409.5099</v>
      </c>
      <c r="BE193" s="477">
        <v>5871716.9604398934</v>
      </c>
      <c r="BF193" s="458">
        <v>4.8684094478831152E-2</v>
      </c>
      <c r="BG193" s="477">
        <v>8475918.3519619014</v>
      </c>
      <c r="BH193" s="458">
        <v>6.7919022747195079E-2</v>
      </c>
      <c r="BI193" s="477">
        <v>10911582.296566438</v>
      </c>
      <c r="BJ193" s="458">
        <v>0.16568797288080894</v>
      </c>
      <c r="BK193" s="477">
        <v>80989572.40142113</v>
      </c>
      <c r="BL193" s="458">
        <v>0.27033724370702372</v>
      </c>
      <c r="BM193" s="468">
        <v>8.3439386401447191</v>
      </c>
    </row>
    <row r="194" spans="12:65" x14ac:dyDescent="0.3">
      <c r="L194" s="427">
        <v>13000385.519200001</v>
      </c>
      <c r="BE194" s="477">
        <v>12150250.521916043</v>
      </c>
      <c r="BF194" s="458">
        <v>4.0322256388379829E-2</v>
      </c>
      <c r="BG194" s="477">
        <v>12562731.818927107</v>
      </c>
      <c r="BH194" s="458">
        <v>5.217158318924553E-2</v>
      </c>
      <c r="BI194" s="477">
        <v>18492625.573730558</v>
      </c>
      <c r="BJ194" s="458">
        <v>0.12754546666087085</v>
      </c>
      <c r="BK194" s="477">
        <v>82727216.363832146</v>
      </c>
      <c r="BL194" s="458">
        <v>0.26325070210071067</v>
      </c>
      <c r="BM194" s="468">
        <v>10.496881837278675</v>
      </c>
    </row>
    <row r="195" spans="12:65" x14ac:dyDescent="0.3">
      <c r="L195" s="427">
        <v>19764118.516800001</v>
      </c>
      <c r="BE195" s="477">
        <v>8675019.8919467982</v>
      </c>
      <c r="BF195" s="458">
        <v>4.0822359612914028E-2</v>
      </c>
      <c r="BG195" s="477">
        <v>15339866.043902243</v>
      </c>
      <c r="BH195" s="458">
        <v>7.7704274580916222E-2</v>
      </c>
      <c r="BI195" s="477">
        <v>15782296.07105094</v>
      </c>
      <c r="BJ195" s="458">
        <v>0.12949688490087286</v>
      </c>
      <c r="BK195" s="477">
        <v>88993946.682470754</v>
      </c>
      <c r="BL195" s="458">
        <v>0.27278239097935453</v>
      </c>
      <c r="BM195" s="468">
        <v>10.859916682779055</v>
      </c>
    </row>
    <row r="196" spans="12:65" x14ac:dyDescent="0.3">
      <c r="L196" s="427">
        <v>13472037.547900001</v>
      </c>
      <c r="BE196" s="477">
        <v>6668964.9773801463</v>
      </c>
      <c r="BF196" s="458">
        <v>3.8094164342232117E-2</v>
      </c>
      <c r="BG196" s="477">
        <v>10983316.971941121</v>
      </c>
      <c r="BH196" s="458">
        <v>7.368522669279276E-2</v>
      </c>
      <c r="BI196" s="477">
        <v>23341179.166091315</v>
      </c>
      <c r="BJ196" s="458">
        <v>0.12143096034661638</v>
      </c>
      <c r="BK196" s="477">
        <v>102057769.87298901</v>
      </c>
      <c r="BL196" s="458">
        <v>0.270484882308339</v>
      </c>
      <c r="BM196" s="468">
        <v>9.6030011043158439</v>
      </c>
    </row>
    <row r="197" spans="12:65" x14ac:dyDescent="0.3">
      <c r="L197" s="427">
        <v>2778498.9339000001</v>
      </c>
      <c r="BE197" s="477">
        <v>5262837.3342539975</v>
      </c>
      <c r="BF197" s="458">
        <v>4.6629814993145224E-2</v>
      </c>
      <c r="BG197" s="477">
        <v>8777373.2406275235</v>
      </c>
      <c r="BH197" s="458">
        <v>9.1225990508761567E-2</v>
      </c>
      <c r="BI197" s="477">
        <v>12928990.860239437</v>
      </c>
      <c r="BJ197" s="458">
        <v>9.3063722518942571E-2</v>
      </c>
      <c r="BK197" s="477">
        <v>94852860.624099448</v>
      </c>
      <c r="BL197" s="458">
        <v>0.27698468482855421</v>
      </c>
      <c r="BM197" s="468">
        <v>7.5569749530884378</v>
      </c>
    </row>
    <row r="198" spans="12:65" x14ac:dyDescent="0.3">
      <c r="L198" s="427">
        <v>6634200.523</v>
      </c>
      <c r="BE198" s="477">
        <v>4604017.2502097934</v>
      </c>
      <c r="BF198" s="458">
        <v>3.2106400690294912E-2</v>
      </c>
      <c r="BG198" s="477">
        <v>13449654.224143855</v>
      </c>
      <c r="BH198" s="458">
        <v>6.7187135536570519E-2</v>
      </c>
      <c r="BI198" s="477">
        <v>13612296.630591342</v>
      </c>
      <c r="BJ198" s="458">
        <v>0.11102143352854732</v>
      </c>
      <c r="BK198" s="477">
        <v>83378237.011277944</v>
      </c>
      <c r="BL198" s="458">
        <v>0.26693263557030344</v>
      </c>
      <c r="BM198" s="468">
        <v>11.46805651005741</v>
      </c>
    </row>
    <row r="199" spans="12:65" x14ac:dyDescent="0.3">
      <c r="L199" s="427">
        <v>21122986.529100001</v>
      </c>
      <c r="BE199" s="477">
        <v>3273522.9971113992</v>
      </c>
      <c r="BF199" s="458">
        <v>6.24672690679835E-2</v>
      </c>
      <c r="BG199" s="477">
        <v>9236514.005107915</v>
      </c>
      <c r="BH199" s="458">
        <v>5.3969774891339695E-2</v>
      </c>
      <c r="BI199" s="477">
        <v>18149793.790640231</v>
      </c>
      <c r="BJ199" s="458">
        <v>0.10662973175361312</v>
      </c>
      <c r="BK199" s="477">
        <v>93840107.459093094</v>
      </c>
      <c r="BL199" s="458">
        <v>0.27636843583589932</v>
      </c>
      <c r="BM199" s="468">
        <v>8.8491144094847289</v>
      </c>
    </row>
    <row r="200" spans="12:65" x14ac:dyDescent="0.3">
      <c r="L200" s="427">
        <v>6362470.8395999996</v>
      </c>
      <c r="BE200" s="477">
        <v>4654220.3607047694</v>
      </c>
      <c r="BF200" s="458">
        <v>3.9573924008746264E-2</v>
      </c>
      <c r="BG200" s="477">
        <v>8814837.717024317</v>
      </c>
      <c r="BH200" s="458">
        <v>8.3346657530705359E-2</v>
      </c>
      <c r="BI200" s="477">
        <v>10602138.969967119</v>
      </c>
      <c r="BJ200" s="458">
        <v>0.15463022557641959</v>
      </c>
      <c r="BK200" s="477">
        <v>86127485.221155271</v>
      </c>
      <c r="BL200" s="458">
        <v>0.26469621454949444</v>
      </c>
      <c r="BM200" s="468">
        <v>7.9285350136114641</v>
      </c>
    </row>
    <row r="201" spans="12:65" x14ac:dyDescent="0.3">
      <c r="L201" s="427">
        <v>13794436.15</v>
      </c>
      <c r="BE201" s="477">
        <v>-1742895.988363344</v>
      </c>
      <c r="BF201" s="458">
        <v>2.6347670263644263E-2</v>
      </c>
      <c r="BG201" s="477">
        <v>8906523.9560297132</v>
      </c>
      <c r="BH201" s="458">
        <v>6.6504785806411393E-2</v>
      </c>
      <c r="BI201" s="477">
        <v>13020223.251014713</v>
      </c>
      <c r="BJ201" s="458">
        <v>7.0360655451576548E-2</v>
      </c>
      <c r="BK201" s="477">
        <v>85259467.466300294</v>
      </c>
      <c r="BL201" s="458">
        <v>0.25420535147385825</v>
      </c>
      <c r="BM201" s="468">
        <v>6.6168391993323876</v>
      </c>
    </row>
    <row r="202" spans="12:65" x14ac:dyDescent="0.3">
      <c r="L202" s="427">
        <v>12466590.7019</v>
      </c>
      <c r="BE202" s="477">
        <v>5127552.0311955679</v>
      </c>
      <c r="BF202" s="458">
        <v>3.4508053759708224E-2</v>
      </c>
      <c r="BG202" s="477">
        <v>547314.33436446532</v>
      </c>
      <c r="BH202" s="458">
        <v>5.4312646592813651E-2</v>
      </c>
      <c r="BI202" s="477">
        <v>20749761.491195418</v>
      </c>
      <c r="BJ202" s="458">
        <v>0.11547759560285753</v>
      </c>
      <c r="BK202" s="477">
        <v>90051872.805466384</v>
      </c>
      <c r="BL202" s="458">
        <v>0.30763871457678094</v>
      </c>
      <c r="BM202" s="468">
        <v>7.5052904440190327</v>
      </c>
    </row>
    <row r="203" spans="12:65" x14ac:dyDescent="0.3">
      <c r="L203" s="427">
        <v>1932197.2897000001</v>
      </c>
      <c r="BE203" s="477">
        <v>8337250.161216232</v>
      </c>
      <c r="BF203" s="458">
        <v>4.6854676591792099E-2</v>
      </c>
      <c r="BG203" s="477">
        <v>8536799.4437101893</v>
      </c>
      <c r="BH203" s="458">
        <v>8.3140138545582332E-2</v>
      </c>
      <c r="BI203" s="477">
        <v>15550734.663020454</v>
      </c>
      <c r="BJ203" s="458">
        <v>8.6827331544605535E-2</v>
      </c>
      <c r="BK203" s="477">
        <v>80960172.896951765</v>
      </c>
      <c r="BL203" s="458">
        <v>0.27510109291767781</v>
      </c>
      <c r="BM203" s="468">
        <v>12.585174724775836</v>
      </c>
    </row>
    <row r="204" spans="12:65" x14ac:dyDescent="0.3">
      <c r="L204" s="427">
        <v>7103146.4184999997</v>
      </c>
      <c r="BE204" s="477">
        <v>8922918.6037929934</v>
      </c>
      <c r="BF204" s="458">
        <v>4.3710370856868908E-2</v>
      </c>
      <c r="BG204" s="477">
        <v>5065225.2479914268</v>
      </c>
      <c r="BH204" s="458">
        <v>5.0379539966394216E-2</v>
      </c>
      <c r="BI204" s="477">
        <v>16763545.838087825</v>
      </c>
      <c r="BJ204" s="458">
        <v>9.4410704747232677E-2</v>
      </c>
      <c r="BK204" s="477">
        <v>97218280.896836326</v>
      </c>
      <c r="BL204" s="458">
        <v>0.27512539606630804</v>
      </c>
      <c r="BM204" s="468">
        <v>12.882459425111488</v>
      </c>
    </row>
    <row r="205" spans="12:65" x14ac:dyDescent="0.3">
      <c r="L205" s="427">
        <v>12751962.9658</v>
      </c>
      <c r="BE205" s="477">
        <v>7312203.5007178048</v>
      </c>
      <c r="BF205" s="458">
        <v>3.7548796673873008E-2</v>
      </c>
      <c r="BG205" s="477">
        <v>5530735.7903124793</v>
      </c>
      <c r="BH205" s="458">
        <v>7.5484356587919521E-2</v>
      </c>
      <c r="BI205" s="477">
        <v>22588703.442416213</v>
      </c>
      <c r="BJ205" s="458">
        <v>0.1382079639896765</v>
      </c>
      <c r="BK205" s="477">
        <v>76646594.646935791</v>
      </c>
      <c r="BL205" s="458">
        <v>0.25542505856532616</v>
      </c>
      <c r="BM205" s="468">
        <v>8.5066157664912758</v>
      </c>
    </row>
    <row r="206" spans="12:65" x14ac:dyDescent="0.3">
      <c r="L206" s="427">
        <v>1305511.1065</v>
      </c>
      <c r="BE206" s="477">
        <v>2265274.3251986946</v>
      </c>
      <c r="BF206" s="458">
        <v>3.8021338730911181E-2</v>
      </c>
      <c r="BG206" s="477">
        <v>9528714.736093577</v>
      </c>
      <c r="BH206" s="458">
        <v>7.0627824736777534E-2</v>
      </c>
      <c r="BI206" s="477">
        <v>17217362.997939631</v>
      </c>
      <c r="BJ206" s="458">
        <v>9.2382072499100687E-2</v>
      </c>
      <c r="BK206" s="477">
        <v>104855780.46478416</v>
      </c>
      <c r="BL206" s="458">
        <v>0.29165220278002812</v>
      </c>
      <c r="BM206" s="468">
        <v>7.0553779087858803</v>
      </c>
    </row>
    <row r="207" spans="12:65" x14ac:dyDescent="0.3">
      <c r="L207" s="427">
        <v>-862372.45389999996</v>
      </c>
      <c r="BE207" s="477">
        <v>4835838.3492005728</v>
      </c>
      <c r="BF207" s="458">
        <v>3.4162720948361702E-2</v>
      </c>
      <c r="BG207" s="477">
        <v>10116865.496509638</v>
      </c>
      <c r="BH207" s="458">
        <v>9.5745099472270834E-2</v>
      </c>
      <c r="BI207" s="477">
        <v>14591652.915636485</v>
      </c>
      <c r="BJ207" s="458">
        <v>0.12424684807842556</v>
      </c>
      <c r="BK207" s="477">
        <v>103004103.86070831</v>
      </c>
      <c r="BL207" s="458">
        <v>0.27864004535395348</v>
      </c>
      <c r="BM207" s="468">
        <v>12.858370799472432</v>
      </c>
    </row>
    <row r="208" spans="12:65" x14ac:dyDescent="0.3">
      <c r="L208" s="427">
        <v>-6059701.0006999997</v>
      </c>
      <c r="BE208" s="477">
        <v>1776711.2385091519</v>
      </c>
      <c r="BF208" s="458">
        <v>4.2922013315133123E-2</v>
      </c>
      <c r="BG208" s="477">
        <v>8475959.4043220095</v>
      </c>
      <c r="BH208" s="458">
        <v>8.1294033271110067E-2</v>
      </c>
      <c r="BI208" s="477">
        <v>15543943.680832593</v>
      </c>
      <c r="BJ208" s="458">
        <v>6.3961331544312827E-2</v>
      </c>
      <c r="BK208" s="477">
        <v>80959272.123782963</v>
      </c>
      <c r="BL208" s="458">
        <v>0.2999253312550163</v>
      </c>
      <c r="BM208" s="468">
        <v>4.942086223698066</v>
      </c>
    </row>
    <row r="209" spans="12:65" x14ac:dyDescent="0.3">
      <c r="L209" s="427">
        <v>-2392374.2433000002</v>
      </c>
      <c r="BE209" s="477">
        <v>6053376.389942701</v>
      </c>
      <c r="BF209" s="458">
        <v>4.0192648300451994E-2</v>
      </c>
      <c r="BG209" s="477">
        <v>10109733.243947115</v>
      </c>
      <c r="BH209" s="458">
        <v>3.7784254006961948E-2</v>
      </c>
      <c r="BI209" s="477">
        <v>16912494.394406397</v>
      </c>
      <c r="BJ209" s="458">
        <v>0.10763896212980306</v>
      </c>
      <c r="BK209" s="477">
        <v>98846370.267897055</v>
      </c>
      <c r="BL209" s="458">
        <v>0.29476835731016826</v>
      </c>
      <c r="BM209" s="468">
        <v>3.4152357614020117</v>
      </c>
    </row>
    <row r="210" spans="12:65" x14ac:dyDescent="0.3">
      <c r="L210" s="427">
        <v>9328764.3429000005</v>
      </c>
      <c r="BE210" s="477">
        <v>6742164.5832770793</v>
      </c>
      <c r="BF210" s="458">
        <v>3.1606620099535965E-2</v>
      </c>
      <c r="BG210" s="477">
        <v>7130817.1910087122</v>
      </c>
      <c r="BH210" s="458">
        <v>8.7503213029680893E-2</v>
      </c>
      <c r="BI210" s="477">
        <v>28842477.119360596</v>
      </c>
      <c r="BJ210" s="458">
        <v>9.9761053272831912E-2</v>
      </c>
      <c r="BK210" s="477">
        <v>105381407.97458503</v>
      </c>
      <c r="BL210" s="458">
        <v>0.30856067365391326</v>
      </c>
      <c r="BM210" s="468">
        <v>9.4914433923063886</v>
      </c>
    </row>
    <row r="211" spans="12:65" x14ac:dyDescent="0.3">
      <c r="L211" s="427">
        <v>9844997.0960000008</v>
      </c>
      <c r="BE211" s="477">
        <v>11946853.355999719</v>
      </c>
      <c r="BF211" s="458">
        <v>4.6419466198752257E-2</v>
      </c>
      <c r="BG211" s="477">
        <v>7364886.144164308</v>
      </c>
      <c r="BH211" s="458">
        <v>7.3500547303789077E-2</v>
      </c>
      <c r="BI211" s="477">
        <v>15542948.628912548</v>
      </c>
      <c r="BJ211" s="458">
        <v>9.3617296205507072E-2</v>
      </c>
      <c r="BK211" s="477">
        <v>87419086.181634292</v>
      </c>
      <c r="BL211" s="458">
        <v>0.26226193301597323</v>
      </c>
      <c r="BM211" s="468">
        <v>0.5163105397464518</v>
      </c>
    </row>
    <row r="212" spans="12:65" x14ac:dyDescent="0.3">
      <c r="L212" s="427">
        <v>18945663.045600001</v>
      </c>
      <c r="BE212" s="477">
        <v>6275552.8661020501</v>
      </c>
      <c r="BF212" s="458">
        <v>7.1963186180882044E-2</v>
      </c>
      <c r="BG212" s="477">
        <v>7181233.9055934381</v>
      </c>
      <c r="BH212" s="458">
        <v>6.7943667758211701E-2</v>
      </c>
      <c r="BI212" s="477">
        <v>17505555.257544421</v>
      </c>
      <c r="BJ212" s="458">
        <v>0.10402967006570529</v>
      </c>
      <c r="BK212" s="477">
        <v>95585920.886312872</v>
      </c>
      <c r="BL212" s="458">
        <v>0.26964034866757602</v>
      </c>
      <c r="BM212" s="468">
        <v>14.709359248019094</v>
      </c>
    </row>
    <row r="213" spans="12:65" x14ac:dyDescent="0.3">
      <c r="L213" s="427">
        <v>-5972280.9393999996</v>
      </c>
      <c r="BE213" s="477">
        <v>3456617.4388415203</v>
      </c>
      <c r="BF213" s="458">
        <v>3.0011912481447967E-2</v>
      </c>
      <c r="BG213" s="477">
        <v>10605699.187168371</v>
      </c>
      <c r="BH213" s="458">
        <v>8.3088785819764421E-2</v>
      </c>
      <c r="BI213" s="477">
        <v>13714513.829153979</v>
      </c>
      <c r="BJ213" s="458">
        <v>9.9052890955773965E-2</v>
      </c>
      <c r="BK213" s="477">
        <v>89216245.189917967</v>
      </c>
      <c r="BL213" s="458">
        <v>0.25965259585250755</v>
      </c>
      <c r="BM213" s="468">
        <v>10.294268962042542</v>
      </c>
    </row>
    <row r="214" spans="12:65" x14ac:dyDescent="0.3">
      <c r="L214" s="427">
        <v>5149082.5124000004</v>
      </c>
      <c r="BE214" s="477">
        <v>6424435.2382628284</v>
      </c>
      <c r="BF214" s="458">
        <v>5.1284830922282643E-2</v>
      </c>
      <c r="BG214" s="477">
        <v>6072479.5869400259</v>
      </c>
      <c r="BH214" s="458">
        <v>5.0700890010275446E-2</v>
      </c>
      <c r="BI214" s="477">
        <v>14820929.912300734</v>
      </c>
      <c r="BJ214" s="458">
        <v>0.10121383704529241</v>
      </c>
      <c r="BK214" s="477">
        <v>89205967.297288939</v>
      </c>
      <c r="BL214" s="458">
        <v>0.25587537639394031</v>
      </c>
      <c r="BM214" s="468">
        <v>7.7810570051372778</v>
      </c>
    </row>
    <row r="215" spans="12:65" x14ac:dyDescent="0.3">
      <c r="L215" s="427">
        <v>8951028.8960999995</v>
      </c>
      <c r="BE215" s="477">
        <v>3735309.8384995768</v>
      </c>
      <c r="BF215" s="458">
        <v>5.6075344155930962E-2</v>
      </c>
      <c r="BG215" s="477">
        <v>15554957.932532843</v>
      </c>
      <c r="BH215" s="458">
        <v>3.4505843972714612E-2</v>
      </c>
      <c r="BI215" s="477">
        <v>13368186.743860792</v>
      </c>
      <c r="BJ215" s="458">
        <v>0.11963203516103427</v>
      </c>
      <c r="BK215" s="477">
        <v>87879762.628621012</v>
      </c>
      <c r="BL215" s="458">
        <v>0.24986951635141397</v>
      </c>
      <c r="BM215" s="468">
        <v>8.6535346340838739</v>
      </c>
    </row>
    <row r="216" spans="12:65" x14ac:dyDescent="0.3">
      <c r="L216" s="427">
        <v>11206126.1724</v>
      </c>
      <c r="BE216" s="477">
        <v>8524402.3907720726</v>
      </c>
      <c r="BF216" s="458">
        <v>2.8179866007183474E-2</v>
      </c>
      <c r="BG216" s="477">
        <v>14026178.886732014</v>
      </c>
      <c r="BH216" s="458">
        <v>6.7190076705903046E-2</v>
      </c>
      <c r="BI216" s="477">
        <v>18361749.723957408</v>
      </c>
      <c r="BJ216" s="458">
        <v>0.14884655560537752</v>
      </c>
      <c r="BK216" s="477">
        <v>88559124.373246536</v>
      </c>
      <c r="BL216" s="458">
        <v>0.2665791819581218</v>
      </c>
      <c r="BM216" s="468">
        <v>13.514478901645742</v>
      </c>
    </row>
    <row r="217" spans="12:65" x14ac:dyDescent="0.3">
      <c r="L217" s="427">
        <v>-7680093.5096000005</v>
      </c>
      <c r="BE217" s="477">
        <v>4739723.9143625367</v>
      </c>
      <c r="BF217" s="458">
        <v>5.7066721279628307E-2</v>
      </c>
      <c r="BG217" s="477">
        <v>12645177.443957893</v>
      </c>
      <c r="BH217" s="458">
        <v>6.223444753454821E-2</v>
      </c>
      <c r="BI217" s="477">
        <v>15247908.547131471</v>
      </c>
      <c r="BJ217" s="458">
        <v>0.11439648853746154</v>
      </c>
      <c r="BK217" s="477">
        <v>95419721.515390813</v>
      </c>
      <c r="BL217" s="458">
        <v>0.2598644382187254</v>
      </c>
      <c r="BM217" s="468">
        <v>8.6679633181853273</v>
      </c>
    </row>
    <row r="218" spans="12:65" x14ac:dyDescent="0.3">
      <c r="L218" s="427">
        <v>12226469.4811</v>
      </c>
      <c r="BE218" s="477">
        <v>9471672.0566733349</v>
      </c>
      <c r="BF218" s="458">
        <v>4.8505613121634594E-2</v>
      </c>
      <c r="BG218" s="477">
        <v>8838861.0632378329</v>
      </c>
      <c r="BH218" s="458">
        <v>7.9894473982760061E-2</v>
      </c>
      <c r="BI218" s="477">
        <v>15752554.145209448</v>
      </c>
      <c r="BJ218" s="458">
        <v>8.8087473540526817E-2</v>
      </c>
      <c r="BK218" s="477">
        <v>85976481.313781291</v>
      </c>
      <c r="BL218" s="458">
        <v>0.27018846091543991</v>
      </c>
      <c r="BM218" s="468">
        <v>8.2850309529637656</v>
      </c>
    </row>
    <row r="219" spans="12:65" x14ac:dyDescent="0.3">
      <c r="L219" s="427">
        <v>7880857.3295</v>
      </c>
      <c r="BE219" s="477">
        <v>7190336.173485131</v>
      </c>
      <c r="BF219" s="458">
        <v>5.6040631541572017E-2</v>
      </c>
      <c r="BG219" s="477">
        <v>13352176.714463737</v>
      </c>
      <c r="BH219" s="458">
        <v>5.7405079460258968E-2</v>
      </c>
      <c r="BI219" s="477">
        <v>17519711.854132921</v>
      </c>
      <c r="BJ219" s="458">
        <v>0.12152650369420703</v>
      </c>
      <c r="BK219" s="477">
        <v>97951449.868301719</v>
      </c>
      <c r="BL219" s="458">
        <v>0.25577894952952929</v>
      </c>
      <c r="BM219" s="468">
        <v>10.646280900217173</v>
      </c>
    </row>
    <row r="220" spans="12:65" x14ac:dyDescent="0.3">
      <c r="L220" s="427">
        <v>-1493980.5226</v>
      </c>
      <c r="BE220" s="477">
        <v>4286517.7901110901</v>
      </c>
      <c r="BF220" s="458">
        <v>2.1627825980526261E-2</v>
      </c>
      <c r="BG220" s="477">
        <v>6503126.6880397554</v>
      </c>
      <c r="BH220" s="458">
        <v>6.6464151503918156E-2</v>
      </c>
      <c r="BI220" s="477">
        <v>14776524.276735136</v>
      </c>
      <c r="BJ220" s="458">
        <v>0.11786472913916102</v>
      </c>
      <c r="BK220" s="477">
        <v>84811386.523654982</v>
      </c>
      <c r="BL220" s="458">
        <v>0.29010403430073461</v>
      </c>
      <c r="BM220" s="468">
        <v>12.614670148195277</v>
      </c>
    </row>
    <row r="221" spans="12:65" x14ac:dyDescent="0.3">
      <c r="L221" s="427">
        <v>5243718.4078000002</v>
      </c>
      <c r="BE221" s="477">
        <v>5343379.8045704551</v>
      </c>
      <c r="BF221" s="458">
        <v>4.0361851988954367E-2</v>
      </c>
      <c r="BG221" s="477">
        <v>9561301.3056449555</v>
      </c>
      <c r="BH221" s="458">
        <v>6.8327359662718967E-2</v>
      </c>
      <c r="BI221" s="477">
        <v>6747542.4183538724</v>
      </c>
      <c r="BJ221" s="458">
        <v>0.1102364103407707</v>
      </c>
      <c r="BK221" s="477">
        <v>100655564.52944884</v>
      </c>
      <c r="BL221" s="458">
        <v>0.27728310693186398</v>
      </c>
      <c r="BM221" s="468">
        <v>8.7708435901368382</v>
      </c>
    </row>
    <row r="222" spans="12:65" x14ac:dyDescent="0.3">
      <c r="L222" s="427">
        <v>7072497.9841999998</v>
      </c>
      <c r="BE222" s="477">
        <v>6728083.1943652416</v>
      </c>
      <c r="BF222" s="458">
        <v>4.801353394314023E-2</v>
      </c>
      <c r="BG222" s="477">
        <v>9132913.2184081636</v>
      </c>
      <c r="BH222" s="458">
        <v>6.6876884261539038E-2</v>
      </c>
      <c r="BI222" s="477">
        <v>14900807.604837747</v>
      </c>
      <c r="BJ222" s="458">
        <v>9.075247897826122E-2</v>
      </c>
      <c r="BK222" s="477">
        <v>90978637.422866762</v>
      </c>
      <c r="BL222" s="458">
        <v>0.2496019654335786</v>
      </c>
      <c r="BM222" s="468">
        <v>17.398784222216669</v>
      </c>
    </row>
    <row r="223" spans="12:65" x14ac:dyDescent="0.3">
      <c r="L223" s="427">
        <v>8851900.7445</v>
      </c>
      <c r="BE223" s="477">
        <v>3042718.2588118631</v>
      </c>
      <c r="BF223" s="458">
        <v>2.6822781542263696E-2</v>
      </c>
      <c r="BG223" s="477">
        <v>14052627.806800175</v>
      </c>
      <c r="BH223" s="458">
        <v>8.1782601314475345E-2</v>
      </c>
      <c r="BI223" s="477">
        <v>16355107.822247723</v>
      </c>
      <c r="BJ223" s="458">
        <v>0.11849820839944147</v>
      </c>
      <c r="BK223" s="477">
        <v>87958696.979351968</v>
      </c>
      <c r="BL223" s="458">
        <v>0.29353535892200378</v>
      </c>
      <c r="BM223" s="468">
        <v>10.72173920864115</v>
      </c>
    </row>
    <row r="224" spans="12:65" x14ac:dyDescent="0.3">
      <c r="L224" s="427">
        <v>-4121570.0691999998</v>
      </c>
      <c r="BE224" s="477">
        <v>3727540.042715102</v>
      </c>
      <c r="BF224" s="458">
        <v>2.5237614920875062E-2</v>
      </c>
      <c r="BG224" s="477">
        <v>11735612.879246205</v>
      </c>
      <c r="BH224" s="458">
        <v>9.1316322730762289E-2</v>
      </c>
      <c r="BI224" s="477">
        <v>21093635.044189014</v>
      </c>
      <c r="BJ224" s="458">
        <v>0.11216506138268434</v>
      </c>
      <c r="BK224" s="477">
        <v>88160638.628102541</v>
      </c>
      <c r="BL224" s="458">
        <v>0.2465383513213919</v>
      </c>
      <c r="BM224" s="468">
        <v>11.302933180023331</v>
      </c>
    </row>
    <row r="225" spans="12:65" x14ac:dyDescent="0.3">
      <c r="L225" s="427">
        <v>25734664.450800002</v>
      </c>
      <c r="BE225" s="477">
        <v>2475248.5745517001</v>
      </c>
      <c r="BF225" s="458">
        <v>3.1686831381125824E-2</v>
      </c>
      <c r="BG225" s="477">
        <v>8835347.6115831565</v>
      </c>
      <c r="BH225" s="458">
        <v>6.4652950611304716E-2</v>
      </c>
      <c r="BI225" s="477">
        <v>22150586.888456419</v>
      </c>
      <c r="BJ225" s="458">
        <v>0.11472994413363424</v>
      </c>
      <c r="BK225" s="477">
        <v>92090087.105040789</v>
      </c>
      <c r="BL225" s="458">
        <v>0.27957950291550593</v>
      </c>
      <c r="BM225" s="468">
        <v>4.1454778167581701</v>
      </c>
    </row>
    <row r="226" spans="12:65" x14ac:dyDescent="0.3">
      <c r="L226" s="427">
        <v>10046034.247400001</v>
      </c>
      <c r="BE226" s="477">
        <v>10490243.080881946</v>
      </c>
      <c r="BF226" s="458">
        <v>3.2482626933952652E-2</v>
      </c>
      <c r="BG226" s="477">
        <v>5906987.0154390428</v>
      </c>
      <c r="BH226" s="458">
        <v>6.5622610719253682E-2</v>
      </c>
      <c r="BI226" s="477">
        <v>19907441.734758511</v>
      </c>
      <c r="BJ226" s="458">
        <v>0.1240194157459622</v>
      </c>
      <c r="BK226" s="477">
        <v>93870942.737299725</v>
      </c>
      <c r="BL226" s="458">
        <v>0.28420817934382447</v>
      </c>
      <c r="BM226" s="468">
        <v>6.1892468477285441</v>
      </c>
    </row>
    <row r="227" spans="12:65" x14ac:dyDescent="0.3">
      <c r="L227" s="427">
        <v>6473863.5691</v>
      </c>
      <c r="BE227" s="477">
        <v>7713658.0860920176</v>
      </c>
      <c r="BF227" s="458">
        <v>3.6237095443144796E-2</v>
      </c>
      <c r="BG227" s="477">
        <v>5715732.9855410671</v>
      </c>
      <c r="BH227" s="458">
        <v>7.0495131566028046E-2</v>
      </c>
      <c r="BI227" s="477">
        <v>22618824.879392002</v>
      </c>
      <c r="BJ227" s="458">
        <v>0.10635916686128422</v>
      </c>
      <c r="BK227" s="477">
        <v>98360535.196910113</v>
      </c>
      <c r="BL227" s="458">
        <v>0.27819839640570909</v>
      </c>
      <c r="BM227" s="468">
        <v>10.746144236461786</v>
      </c>
    </row>
    <row r="228" spans="12:65" x14ac:dyDescent="0.3">
      <c r="L228" s="427">
        <v>6265762.5734000001</v>
      </c>
      <c r="BE228" s="477">
        <v>6750016.655172714</v>
      </c>
      <c r="BF228" s="458">
        <v>2.7495462191523767E-2</v>
      </c>
      <c r="BG228" s="477">
        <v>9222428.5427249391</v>
      </c>
      <c r="BH228" s="458">
        <v>8.1888256823333672E-2</v>
      </c>
      <c r="BI228" s="477">
        <v>9026260.1822784171</v>
      </c>
      <c r="BJ228" s="458">
        <v>0.1063458432311426</v>
      </c>
      <c r="BK228" s="477">
        <v>87068026.171265334</v>
      </c>
      <c r="BL228" s="458">
        <v>0.27912412826425514</v>
      </c>
      <c r="BM228" s="468">
        <v>8.0866141613744258</v>
      </c>
    </row>
    <row r="229" spans="12:65" x14ac:dyDescent="0.3">
      <c r="L229" s="427">
        <v>19442108.8048</v>
      </c>
      <c r="BE229" s="477">
        <v>-1390508.4188315913</v>
      </c>
      <c r="BF229" s="458">
        <v>4.2949318895564081E-2</v>
      </c>
      <c r="BG229" s="477">
        <v>10686961.354479844</v>
      </c>
      <c r="BH229" s="458">
        <v>6.1020187482192068E-2</v>
      </c>
      <c r="BI229" s="477">
        <v>22630671.356343616</v>
      </c>
      <c r="BJ229" s="458">
        <v>0.10181811033710142</v>
      </c>
      <c r="BK229" s="477">
        <v>79499575.2298792</v>
      </c>
      <c r="BL229" s="458">
        <v>0.25747944168138748</v>
      </c>
      <c r="BM229" s="468">
        <v>7.7043767841822106</v>
      </c>
    </row>
    <row r="230" spans="12:65" x14ac:dyDescent="0.3">
      <c r="L230" s="427">
        <v>2262747.2437999998</v>
      </c>
      <c r="BE230" s="477">
        <v>4906893.8110432215</v>
      </c>
      <c r="BF230" s="458">
        <v>3.6249709322607959E-2</v>
      </c>
      <c r="BG230" s="477">
        <v>5254488.9502591835</v>
      </c>
      <c r="BH230" s="458">
        <v>6.4495475299878313E-2</v>
      </c>
      <c r="BI230" s="477">
        <v>24270367.66655232</v>
      </c>
      <c r="BJ230" s="458">
        <v>0.1016451076140108</v>
      </c>
      <c r="BK230" s="477">
        <v>82934681.244251132</v>
      </c>
      <c r="BL230" s="458">
        <v>0.26691409710055347</v>
      </c>
      <c r="BM230" s="468">
        <v>3.4574993578464097</v>
      </c>
    </row>
    <row r="231" spans="12:65" x14ac:dyDescent="0.3">
      <c r="L231" s="427">
        <v>20432828.336599998</v>
      </c>
      <c r="BE231" s="477">
        <v>4888626.7958951788</v>
      </c>
      <c r="BF231" s="458">
        <v>3.4220666820689249E-2</v>
      </c>
      <c r="BG231" s="477">
        <v>6228418.1638739565</v>
      </c>
      <c r="BH231" s="458">
        <v>9.8615000312364476E-2</v>
      </c>
      <c r="BI231" s="477">
        <v>21435959.430296969</v>
      </c>
      <c r="BJ231" s="458">
        <v>0.10528235092861116</v>
      </c>
      <c r="BK231" s="477">
        <v>89375713.945097342</v>
      </c>
      <c r="BL231" s="458">
        <v>0.26374256764538506</v>
      </c>
      <c r="BM231" s="468">
        <v>13.183944226901723</v>
      </c>
    </row>
    <row r="232" spans="12:65" x14ac:dyDescent="0.3">
      <c r="L232" s="427">
        <v>-7205606.9902999997</v>
      </c>
      <c r="BE232" s="477">
        <v>5112077.6833298728</v>
      </c>
      <c r="BF232" s="458">
        <v>4.3992132058352285E-2</v>
      </c>
      <c r="BG232" s="477">
        <v>2248415.2534390166</v>
      </c>
      <c r="BH232" s="458">
        <v>7.7852605587828583E-2</v>
      </c>
      <c r="BI232" s="477">
        <v>17246053.665076707</v>
      </c>
      <c r="BJ232" s="458">
        <v>0.1259087850645817</v>
      </c>
      <c r="BK232" s="477">
        <v>85653201.134201556</v>
      </c>
      <c r="BL232" s="458">
        <v>0.27569649797840823</v>
      </c>
      <c r="BM232" s="468">
        <v>9.2006496365382198</v>
      </c>
    </row>
    <row r="233" spans="12:65" x14ac:dyDescent="0.3">
      <c r="L233" s="427">
        <v>8224044.4726</v>
      </c>
      <c r="BE233" s="477">
        <v>3361701.5078106788</v>
      </c>
      <c r="BF233" s="458">
        <v>4.3348671157170449E-2</v>
      </c>
      <c r="BG233" s="477">
        <v>8262162.9894100232</v>
      </c>
      <c r="BH233" s="458">
        <v>6.3765034944425425E-2</v>
      </c>
      <c r="BI233" s="477">
        <v>14034065.889091836</v>
      </c>
      <c r="BJ233" s="458">
        <v>0.12475899068043428</v>
      </c>
      <c r="BK233" s="477">
        <v>84612359.03789629</v>
      </c>
      <c r="BL233" s="458">
        <v>0.2749832020863221</v>
      </c>
      <c r="BM233" s="468">
        <v>7.9592593753301584</v>
      </c>
    </row>
    <row r="234" spans="12:65" x14ac:dyDescent="0.3">
      <c r="L234" s="427">
        <v>11547206.011700001</v>
      </c>
      <c r="BE234" s="477">
        <v>5093242.4157650005</v>
      </c>
      <c r="BF234" s="458">
        <v>5.1239770726779987E-2</v>
      </c>
      <c r="BG234" s="477">
        <v>9954377.126242863</v>
      </c>
      <c r="BH234" s="458">
        <v>7.072190333604933E-2</v>
      </c>
      <c r="BI234" s="477">
        <v>17634778.941526048</v>
      </c>
      <c r="BJ234" s="458">
        <v>0.12433102045511424</v>
      </c>
      <c r="BK234" s="477">
        <v>80381856.842053428</v>
      </c>
      <c r="BL234" s="458">
        <v>0.28837048260481812</v>
      </c>
      <c r="BM234" s="468">
        <v>9.9657568195394894</v>
      </c>
    </row>
    <row r="235" spans="12:65" x14ac:dyDescent="0.3">
      <c r="L235" s="427">
        <v>1687837.291</v>
      </c>
      <c r="BE235" s="477">
        <v>7103772.5919766398</v>
      </c>
      <c r="BF235" s="458">
        <v>4.8626359269788422E-2</v>
      </c>
      <c r="BG235" s="477">
        <v>12407029.51380242</v>
      </c>
      <c r="BH235" s="458">
        <v>7.6822106992207262E-2</v>
      </c>
      <c r="BI235" s="477">
        <v>15095153.860521136</v>
      </c>
      <c r="BJ235" s="458">
        <v>0.11557089066080928</v>
      </c>
      <c r="BK235" s="477">
        <v>82736575.793845281</v>
      </c>
      <c r="BL235" s="458">
        <v>0.27825173705432071</v>
      </c>
      <c r="BM235" s="468">
        <v>7.8285988607430959</v>
      </c>
    </row>
    <row r="236" spans="12:65" x14ac:dyDescent="0.3">
      <c r="L236" s="427">
        <v>15177974.374700001</v>
      </c>
      <c r="BE236" s="477">
        <v>-791568.8082045468</v>
      </c>
      <c r="BF236" s="458">
        <v>4.6191256274117576E-2</v>
      </c>
      <c r="BG236" s="477">
        <v>6203864.9456620105</v>
      </c>
      <c r="BH236" s="458">
        <v>6.9883226489565464E-2</v>
      </c>
      <c r="BI236" s="477">
        <v>15642042.314163772</v>
      </c>
      <c r="BJ236" s="458">
        <v>0.11325285406911556</v>
      </c>
      <c r="BK236" s="477">
        <v>87404464.807005048</v>
      </c>
      <c r="BL236" s="458">
        <v>0.2656327805770935</v>
      </c>
      <c r="BM236" s="468">
        <v>8.1639946364000124</v>
      </c>
    </row>
    <row r="237" spans="12:65" x14ac:dyDescent="0.3">
      <c r="L237" s="427">
        <v>-4042054.1817000001</v>
      </c>
      <c r="BE237" s="477">
        <v>9437006.4874049649</v>
      </c>
      <c r="BF237" s="458">
        <v>4.0459950646967835E-2</v>
      </c>
      <c r="BG237" s="477">
        <v>3487229.5680016414</v>
      </c>
      <c r="BH237" s="458">
        <v>6.823291814091359E-2</v>
      </c>
      <c r="BI237" s="477">
        <v>10594404.73628382</v>
      </c>
      <c r="BJ237" s="458">
        <v>0.12028799280449443</v>
      </c>
      <c r="BK237" s="477">
        <v>94703102.06852591</v>
      </c>
      <c r="BL237" s="458">
        <v>0.2799118838358341</v>
      </c>
      <c r="BM237" s="468">
        <v>2.3863369231376605</v>
      </c>
    </row>
    <row r="238" spans="12:65" x14ac:dyDescent="0.3">
      <c r="L238" s="427">
        <v>-2094839.6654999999</v>
      </c>
      <c r="BE238" s="477">
        <v>2993796.0788857043</v>
      </c>
      <c r="BF238" s="458">
        <v>3.9365665546340134E-2</v>
      </c>
      <c r="BG238" s="477">
        <v>10647581.555289067</v>
      </c>
      <c r="BH238" s="458">
        <v>4.3810328271191024E-2</v>
      </c>
      <c r="BI238" s="477">
        <v>14322329.949100159</v>
      </c>
      <c r="BJ238" s="458">
        <v>9.392660449234902E-2</v>
      </c>
      <c r="BK238" s="477">
        <v>84257448.347588092</v>
      </c>
      <c r="BL238" s="458">
        <v>0.27033906315485745</v>
      </c>
      <c r="BM238" s="468">
        <v>8.1043441445657702</v>
      </c>
    </row>
    <row r="239" spans="12:65" x14ac:dyDescent="0.3">
      <c r="L239" s="427">
        <v>-2365552.3755000001</v>
      </c>
      <c r="BE239" s="477">
        <v>5549812.3700713841</v>
      </c>
      <c r="BF239" s="458">
        <v>3.8747072585239684E-2</v>
      </c>
      <c r="BG239" s="477">
        <v>6529978.6073688557</v>
      </c>
      <c r="BH239" s="458">
        <v>7.315257074173398E-2</v>
      </c>
      <c r="BI239" s="477">
        <v>18092464.848603725</v>
      </c>
      <c r="BJ239" s="458">
        <v>0.12861231790457128</v>
      </c>
      <c r="BK239" s="477">
        <v>83292209.261403069</v>
      </c>
      <c r="BL239" s="458">
        <v>0.26248853443477782</v>
      </c>
      <c r="BM239" s="468">
        <v>10.990507328168253</v>
      </c>
    </row>
    <row r="240" spans="12:65" x14ac:dyDescent="0.3">
      <c r="L240" s="427">
        <v>-7230205.2966</v>
      </c>
      <c r="BE240" s="477">
        <v>7742912.6106626038</v>
      </c>
      <c r="BF240" s="458">
        <v>7.1214526658524013E-2</v>
      </c>
      <c r="BG240" s="477">
        <v>2036387.6443657188</v>
      </c>
      <c r="BH240" s="458">
        <v>0.10389075172147888</v>
      </c>
      <c r="BI240" s="477">
        <v>7307278.0211002929</v>
      </c>
      <c r="BJ240" s="458">
        <v>8.9302269534853096E-2</v>
      </c>
      <c r="BK240" s="477">
        <v>81222806.703975528</v>
      </c>
      <c r="BL240" s="458">
        <v>0.27735042299618784</v>
      </c>
      <c r="BM240" s="468">
        <v>8.4172193156415194</v>
      </c>
    </row>
    <row r="241" spans="12:65" x14ac:dyDescent="0.3">
      <c r="L241" s="427">
        <v>-1943121.9282</v>
      </c>
      <c r="BE241" s="477">
        <v>8037206.1695253151</v>
      </c>
      <c r="BF241" s="458">
        <v>3.1467313421237986E-2</v>
      </c>
      <c r="BG241" s="477">
        <v>10629099.461105397</v>
      </c>
      <c r="BH241" s="458">
        <v>8.5871705123078623E-2</v>
      </c>
      <c r="BI241" s="477">
        <v>16324328.545460572</v>
      </c>
      <c r="BJ241" s="458">
        <v>0.10362348658071818</v>
      </c>
      <c r="BK241" s="477">
        <v>93623514.162105471</v>
      </c>
      <c r="BL241" s="458">
        <v>0.2643914943269543</v>
      </c>
      <c r="BM241" s="468">
        <v>5.3499312974221649</v>
      </c>
    </row>
    <row r="242" spans="12:65" x14ac:dyDescent="0.3">
      <c r="L242" s="427">
        <v>11739940.917199999</v>
      </c>
      <c r="BE242" s="477">
        <v>6943523.8921053298</v>
      </c>
      <c r="BF242" s="458">
        <v>3.7146847836986074E-2</v>
      </c>
      <c r="BG242" s="477">
        <v>10877065.167806474</v>
      </c>
      <c r="BH242" s="458">
        <v>7.9414939259443873E-2</v>
      </c>
      <c r="BI242" s="477">
        <v>14122214.414348939</v>
      </c>
      <c r="BJ242" s="458">
        <v>0.11588357791232973</v>
      </c>
      <c r="BK242" s="477">
        <v>86700880.905906916</v>
      </c>
      <c r="BL242" s="458">
        <v>0.25579019249368207</v>
      </c>
      <c r="BM242" s="468">
        <v>5.8278098244120855</v>
      </c>
    </row>
    <row r="243" spans="12:65" x14ac:dyDescent="0.3">
      <c r="L243" s="427">
        <v>17579096.2896</v>
      </c>
      <c r="BE243" s="477">
        <v>5552260.2872751392</v>
      </c>
      <c r="BF243" s="458">
        <v>3.792527485701247E-2</v>
      </c>
      <c r="BG243" s="477">
        <v>6195108.0848195637</v>
      </c>
      <c r="BH243" s="458">
        <v>7.2846326274317974E-2</v>
      </c>
      <c r="BI243" s="477">
        <v>13620857.491375759</v>
      </c>
      <c r="BJ243" s="458">
        <v>0.13136572070428665</v>
      </c>
      <c r="BK243" s="477">
        <v>93564217.754196003</v>
      </c>
      <c r="BL243" s="458">
        <v>0.26864652577822934</v>
      </c>
      <c r="BM243" s="468">
        <v>9.9296079082312882</v>
      </c>
    </row>
    <row r="244" spans="12:65" x14ac:dyDescent="0.3">
      <c r="L244" s="427">
        <v>6060581.4011000004</v>
      </c>
      <c r="BE244" s="477">
        <v>4308891.6066797907</v>
      </c>
      <c r="BF244" s="458">
        <v>6.8768817563503504E-2</v>
      </c>
      <c r="BG244" s="477">
        <v>9530489.2632728443</v>
      </c>
      <c r="BH244" s="458">
        <v>8.5609391504354759E-2</v>
      </c>
      <c r="BI244" s="477">
        <v>21339145.567309141</v>
      </c>
      <c r="BJ244" s="458">
        <v>0.1209640150878839</v>
      </c>
      <c r="BK244" s="477">
        <v>91443534.167900339</v>
      </c>
      <c r="BL244" s="458">
        <v>0.25966231249282812</v>
      </c>
      <c r="BM244" s="468">
        <v>6.0361415822874864</v>
      </c>
    </row>
    <row r="245" spans="12:65" x14ac:dyDescent="0.3">
      <c r="L245" s="427">
        <v>18365538.34</v>
      </c>
      <c r="BE245" s="477">
        <v>5929743.9380796673</v>
      </c>
      <c r="BF245" s="458">
        <v>3.627917832524008E-2</v>
      </c>
      <c r="BG245" s="477">
        <v>15377849.475030327</v>
      </c>
      <c r="BH245" s="458">
        <v>7.9206455494068573E-2</v>
      </c>
      <c r="BI245" s="477">
        <v>14655660.95377895</v>
      </c>
      <c r="BJ245" s="458">
        <v>9.3895604645928943E-2</v>
      </c>
      <c r="BK245" s="477">
        <v>86582684.218846619</v>
      </c>
      <c r="BL245" s="458">
        <v>0.26219540234212602</v>
      </c>
      <c r="BM245" s="468">
        <v>7.8898680372386032</v>
      </c>
    </row>
    <row r="246" spans="12:65" x14ac:dyDescent="0.3">
      <c r="L246" s="427">
        <v>11960329.5473</v>
      </c>
      <c r="BE246" s="477">
        <v>3691318.2606997262</v>
      </c>
      <c r="BF246" s="458">
        <v>3.4982535782167812E-2</v>
      </c>
      <c r="BG246" s="477">
        <v>9957560.4523735773</v>
      </c>
      <c r="BH246" s="458">
        <v>7.0504956720866874E-2</v>
      </c>
      <c r="BI246" s="477">
        <v>10935099.382098129</v>
      </c>
      <c r="BJ246" s="458">
        <v>0.11623137633094904</v>
      </c>
      <c r="BK246" s="477">
        <v>101877414.3665859</v>
      </c>
      <c r="BL246" s="458">
        <v>0.26588442508917676</v>
      </c>
      <c r="BM246" s="468">
        <v>12.116708044524383</v>
      </c>
    </row>
    <row r="247" spans="12:65" x14ac:dyDescent="0.3">
      <c r="L247" s="427">
        <v>21302652.1798</v>
      </c>
      <c r="BE247" s="477">
        <v>7244170.101125285</v>
      </c>
      <c r="BF247" s="458">
        <v>7.0360864026420167E-2</v>
      </c>
      <c r="BG247" s="477">
        <v>4963710.3825030541</v>
      </c>
      <c r="BH247" s="458">
        <v>5.5655077550205156E-2</v>
      </c>
      <c r="BI247" s="477">
        <v>21086343.307921134</v>
      </c>
      <c r="BJ247" s="458">
        <v>0.10727956787984816</v>
      </c>
      <c r="BK247" s="477">
        <v>97348897.922276437</v>
      </c>
      <c r="BL247" s="458">
        <v>0.26344125334745083</v>
      </c>
      <c r="BM247" s="468">
        <v>9.348152164915609</v>
      </c>
    </row>
    <row r="248" spans="12:65" x14ac:dyDescent="0.3">
      <c r="L248" s="427">
        <v>-14069230.559599999</v>
      </c>
      <c r="BE248" s="477">
        <v>3270317.3365142909</v>
      </c>
      <c r="BF248" s="458">
        <v>3.5008729531950111E-2</v>
      </c>
      <c r="BG248" s="477">
        <v>6965009.4574520448</v>
      </c>
      <c r="BH248" s="458">
        <v>6.7568535855889733E-2</v>
      </c>
      <c r="BI248" s="477">
        <v>19414236.196390778</v>
      </c>
      <c r="BJ248" s="458">
        <v>8.3847100222655957E-2</v>
      </c>
      <c r="BK248" s="477">
        <v>89009030.711933404</v>
      </c>
      <c r="BL248" s="458">
        <v>0.28334177891046464</v>
      </c>
      <c r="BM248" s="468">
        <v>11.271773647182359</v>
      </c>
    </row>
    <row r="249" spans="12:65" x14ac:dyDescent="0.3">
      <c r="L249" s="427">
        <v>2649052.0219000001</v>
      </c>
      <c r="BE249" s="477">
        <v>2988659.8171802368</v>
      </c>
      <c r="BF249" s="458">
        <v>2.6946031232402579E-2</v>
      </c>
      <c r="BG249" s="477">
        <v>2362788.0257944646</v>
      </c>
      <c r="BH249" s="458">
        <v>6.0839143242603866E-2</v>
      </c>
      <c r="BI249" s="477">
        <v>16911794.370174933</v>
      </c>
      <c r="BJ249" s="458">
        <v>9.7381140055763149E-2</v>
      </c>
      <c r="BK249" s="477">
        <v>81239692.202440888</v>
      </c>
      <c r="BL249" s="458">
        <v>0.26773636273150636</v>
      </c>
      <c r="BM249" s="468">
        <v>0.7379044082735513</v>
      </c>
    </row>
    <row r="250" spans="12:65" x14ac:dyDescent="0.3">
      <c r="L250" s="427">
        <v>3878889.3679999998</v>
      </c>
      <c r="BE250" s="477">
        <v>5164805.1359615391</v>
      </c>
      <c r="BF250" s="458">
        <v>2.6198860073022523E-2</v>
      </c>
      <c r="BG250" s="477">
        <v>6201051.3753123218</v>
      </c>
      <c r="BH250" s="458">
        <v>6.963916638673906E-2</v>
      </c>
      <c r="BI250" s="477">
        <v>15141545.012570938</v>
      </c>
      <c r="BJ250" s="458">
        <v>8.6951664777592086E-2</v>
      </c>
      <c r="BK250" s="477">
        <v>87960967.928836197</v>
      </c>
      <c r="BL250" s="458">
        <v>0.27413012861086683</v>
      </c>
      <c r="BM250" s="468">
        <v>8.6425886774985514</v>
      </c>
    </row>
    <row r="251" spans="12:65" x14ac:dyDescent="0.3">
      <c r="L251" s="427">
        <v>1562296.6200999999</v>
      </c>
      <c r="BE251" s="477">
        <v>4307101.8026536973</v>
      </c>
      <c r="BF251" s="458">
        <v>4.4300239812914199E-2</v>
      </c>
      <c r="BG251" s="477">
        <v>9968524.8788922373</v>
      </c>
      <c r="BH251" s="458">
        <v>5.2144308773148351E-2</v>
      </c>
      <c r="BI251" s="477">
        <v>18907659.849389933</v>
      </c>
      <c r="BJ251" s="458">
        <v>8.6548009040181784E-2</v>
      </c>
      <c r="BK251" s="477">
        <v>96861635.579654098</v>
      </c>
      <c r="BL251" s="458">
        <v>0.27378060532849702</v>
      </c>
      <c r="BM251" s="468">
        <v>6.9091830311741864</v>
      </c>
    </row>
    <row r="252" spans="12:65" x14ac:dyDescent="0.3">
      <c r="L252" s="427">
        <v>18171950.162599999</v>
      </c>
      <c r="BE252" s="477">
        <v>1164546.3563175325</v>
      </c>
      <c r="BF252" s="458">
        <v>4.4681041400205235E-2</v>
      </c>
      <c r="BG252" s="477">
        <v>6168816.5397876156</v>
      </c>
      <c r="BH252" s="458">
        <v>5.4244906268842374E-2</v>
      </c>
      <c r="BI252" s="477">
        <v>6163589.7007135712</v>
      </c>
      <c r="BJ252" s="458">
        <v>0.11998117642477935</v>
      </c>
      <c r="BK252" s="477">
        <v>87662633.657407045</v>
      </c>
      <c r="BL252" s="458">
        <v>0.25518516253536649</v>
      </c>
      <c r="BM252" s="468">
        <v>7.2794990611789023</v>
      </c>
    </row>
    <row r="253" spans="12:65" x14ac:dyDescent="0.3">
      <c r="L253" s="427">
        <v>10037360.1173</v>
      </c>
      <c r="BE253" s="477">
        <v>6035747.0368872443</v>
      </c>
      <c r="BF253" s="458">
        <v>3.4276896102592769E-2</v>
      </c>
      <c r="BG253" s="477">
        <v>13300059.577379681</v>
      </c>
      <c r="BH253" s="458">
        <v>6.2398000500183626E-2</v>
      </c>
      <c r="BI253" s="477">
        <v>13417443.11260709</v>
      </c>
      <c r="BJ253" s="458">
        <v>9.824195072818509E-2</v>
      </c>
      <c r="BK253" s="477">
        <v>98252527.677165732</v>
      </c>
      <c r="BL253" s="458">
        <v>0.275687387814741</v>
      </c>
      <c r="BM253" s="468">
        <v>13.566612220124933</v>
      </c>
    </row>
    <row r="254" spans="12:65" x14ac:dyDescent="0.3">
      <c r="L254" s="427">
        <v>6735441.7901999997</v>
      </c>
      <c r="BE254" s="477">
        <v>4406160.9209558275</v>
      </c>
      <c r="BF254" s="458">
        <v>3.4628471624336132E-2</v>
      </c>
      <c r="BG254" s="477">
        <v>11492673.567124115</v>
      </c>
      <c r="BH254" s="458">
        <v>0.11718660688063931</v>
      </c>
      <c r="BI254" s="477">
        <v>10660043.40578714</v>
      </c>
      <c r="BJ254" s="458">
        <v>0.1255215029150949</v>
      </c>
      <c r="BK254" s="477">
        <v>88177625.738664582</v>
      </c>
      <c r="BL254" s="458">
        <v>0.27312473440631457</v>
      </c>
      <c r="BM254" s="468">
        <v>7.964834817255805</v>
      </c>
    </row>
    <row r="255" spans="12:65" x14ac:dyDescent="0.3">
      <c r="L255" s="427">
        <v>29024324.172499999</v>
      </c>
      <c r="BE255" s="477">
        <v>4079212.6085716113</v>
      </c>
      <c r="BF255" s="458">
        <v>2.1742769263048967E-2</v>
      </c>
      <c r="BG255" s="477">
        <v>10025020.853136223</v>
      </c>
      <c r="BH255" s="458">
        <v>8.0095447082455307E-2</v>
      </c>
      <c r="BI255" s="477">
        <v>9766484.620710481</v>
      </c>
      <c r="BJ255" s="458">
        <v>9.0050230204626214E-2</v>
      </c>
      <c r="BK255" s="477">
        <v>92857597.132593602</v>
      </c>
      <c r="BL255" s="458">
        <v>0.28211390899610689</v>
      </c>
      <c r="BM255" s="468">
        <v>6.251996007693549</v>
      </c>
    </row>
    <row r="256" spans="12:65" x14ac:dyDescent="0.3">
      <c r="L256" s="427">
        <v>11293287.159499999</v>
      </c>
      <c r="BE256" s="477">
        <v>862434.59579667903</v>
      </c>
      <c r="BF256" s="458">
        <v>6.1606079393695889E-2</v>
      </c>
      <c r="BG256" s="477">
        <v>14643790.512523996</v>
      </c>
      <c r="BH256" s="458">
        <v>5.0202709500363207E-2</v>
      </c>
      <c r="BI256" s="477">
        <v>24942648.417356811</v>
      </c>
      <c r="BJ256" s="458">
        <v>9.4862701163628271E-2</v>
      </c>
      <c r="BK256" s="477">
        <v>83150054.39774698</v>
      </c>
      <c r="BL256" s="458">
        <v>0.25192498480926417</v>
      </c>
      <c r="BM256" s="468">
        <v>12.007995028770507</v>
      </c>
    </row>
    <row r="257" spans="12:65" x14ac:dyDescent="0.3">
      <c r="L257" s="427">
        <v>6588588.8872999996</v>
      </c>
      <c r="BE257" s="477">
        <v>5376446.1046250062</v>
      </c>
      <c r="BF257" s="458">
        <v>3.5148933519838499E-2</v>
      </c>
      <c r="BG257" s="477">
        <v>7560578.4774165591</v>
      </c>
      <c r="BH257" s="458">
        <v>5.5364044195477025E-2</v>
      </c>
      <c r="BI257" s="477">
        <v>15730955.16966714</v>
      </c>
      <c r="BJ257" s="458">
        <v>0.11166232957283229</v>
      </c>
      <c r="BK257" s="477">
        <v>84194117.483178854</v>
      </c>
      <c r="BL257" s="458">
        <v>0.26700567398041075</v>
      </c>
      <c r="BM257" s="468">
        <v>0.82300615609939776</v>
      </c>
    </row>
    <row r="258" spans="12:65" x14ac:dyDescent="0.3">
      <c r="L258" s="427">
        <v>-12245958.5725</v>
      </c>
      <c r="BE258" s="477">
        <v>1971192.0647608559</v>
      </c>
      <c r="BF258" s="458">
        <v>3.648280585520558E-2</v>
      </c>
      <c r="BG258" s="477">
        <v>9250804.8752298579</v>
      </c>
      <c r="BH258" s="458">
        <v>3.4354207210592014E-2</v>
      </c>
      <c r="BI258" s="477">
        <v>16584271.612397721</v>
      </c>
      <c r="BJ258" s="458">
        <v>0.11178227557336129</v>
      </c>
      <c r="BK258" s="477">
        <v>96968674.081284195</v>
      </c>
      <c r="BL258" s="458">
        <v>0.26547773647351169</v>
      </c>
      <c r="BM258" s="468">
        <v>11.284386365213637</v>
      </c>
    </row>
    <row r="259" spans="12:65" x14ac:dyDescent="0.3">
      <c r="L259" s="427">
        <v>20881296.7491</v>
      </c>
      <c r="BE259" s="477">
        <v>6148494.2672861908</v>
      </c>
      <c r="BF259" s="458">
        <v>7.161288084146511E-2</v>
      </c>
      <c r="BG259" s="477">
        <v>7904025.8964039963</v>
      </c>
      <c r="BH259" s="458">
        <v>4.8566411802665188E-2</v>
      </c>
      <c r="BI259" s="477">
        <v>12096559.18309471</v>
      </c>
      <c r="BJ259" s="458">
        <v>9.4464561209987474E-2</v>
      </c>
      <c r="BK259" s="477">
        <v>101379580.31690754</v>
      </c>
      <c r="BL259" s="458">
        <v>0.24770436798860684</v>
      </c>
      <c r="BM259" s="468">
        <v>7.8541983611356931</v>
      </c>
    </row>
    <row r="260" spans="12:65" x14ac:dyDescent="0.3">
      <c r="L260" s="427">
        <v>8181712.2405000003</v>
      </c>
      <c r="BE260" s="477">
        <v>9312539.8383775614</v>
      </c>
      <c r="BF260" s="458">
        <v>4.7342468939208571E-2</v>
      </c>
      <c r="BG260" s="477">
        <v>9017667.3717977256</v>
      </c>
      <c r="BH260" s="458">
        <v>6.3540197990104907E-2</v>
      </c>
      <c r="BI260" s="477">
        <v>14547868.989987101</v>
      </c>
      <c r="BJ260" s="458">
        <v>0.13855538225101083</v>
      </c>
      <c r="BK260" s="477">
        <v>93725579.256227732</v>
      </c>
      <c r="BL260" s="458">
        <v>0.25793808929685769</v>
      </c>
      <c r="BM260" s="468">
        <v>10.093621034483364</v>
      </c>
    </row>
    <row r="261" spans="12:65" x14ac:dyDescent="0.3">
      <c r="L261" s="427">
        <v>26309405.679299999</v>
      </c>
      <c r="BE261" s="477">
        <v>5644880.841620245</v>
      </c>
      <c r="BF261" s="458">
        <v>3.486761361351709E-2</v>
      </c>
      <c r="BG261" s="477">
        <v>7833907.4415735258</v>
      </c>
      <c r="BH261" s="458">
        <v>6.7045799207459789E-2</v>
      </c>
      <c r="BI261" s="477">
        <v>20973021.886629757</v>
      </c>
      <c r="BJ261" s="458">
        <v>0.10384526260956517</v>
      </c>
      <c r="BK261" s="477">
        <v>78318152.872127786</v>
      </c>
      <c r="BL261" s="458">
        <v>0.27577538338700824</v>
      </c>
      <c r="BM261" s="468">
        <v>9.1384618416239594</v>
      </c>
    </row>
    <row r="262" spans="12:65" x14ac:dyDescent="0.3">
      <c r="L262" s="427">
        <v>7870646.3260000004</v>
      </c>
      <c r="BE262" s="477">
        <v>5385745.8456609584</v>
      </c>
      <c r="BF262" s="458">
        <v>4.5595762261813277E-2</v>
      </c>
      <c r="BG262" s="477">
        <v>11292967.769673631</v>
      </c>
      <c r="BH262" s="458">
        <v>6.5193645935289535E-2</v>
      </c>
      <c r="BI262" s="477">
        <v>21540319.387084279</v>
      </c>
      <c r="BJ262" s="458">
        <v>0.11976850674793771</v>
      </c>
      <c r="BK262" s="477">
        <v>92756256.396110445</v>
      </c>
      <c r="BL262" s="458">
        <v>0.26195510071300143</v>
      </c>
      <c r="BM262" s="468">
        <v>5.5245410765794851</v>
      </c>
    </row>
    <row r="263" spans="12:65" x14ac:dyDescent="0.3">
      <c r="L263" s="427">
        <v>5945782.9883000003</v>
      </c>
      <c r="BE263" s="477">
        <v>4277656.9057073863</v>
      </c>
      <c r="BF263" s="458">
        <v>4.7576918245757049E-2</v>
      </c>
      <c r="BG263" s="477">
        <v>4523181.6260742238</v>
      </c>
      <c r="BH263" s="458">
        <v>5.2885216811797475E-2</v>
      </c>
      <c r="BI263" s="477">
        <v>8359918.3464926751</v>
      </c>
      <c r="BJ263" s="458">
        <v>9.8528116932125931E-2</v>
      </c>
      <c r="BK263" s="477">
        <v>81171819.956357688</v>
      </c>
      <c r="BL263" s="458">
        <v>0.28320353899235928</v>
      </c>
      <c r="BM263" s="468">
        <v>11.311567661322831</v>
      </c>
    </row>
    <row r="264" spans="12:65" x14ac:dyDescent="0.3">
      <c r="L264" s="427">
        <v>18635071.394299999</v>
      </c>
      <c r="BE264" s="477">
        <v>10810300.53100027</v>
      </c>
      <c r="BF264" s="458">
        <v>2.8163184367174354E-2</v>
      </c>
      <c r="BG264" s="477">
        <v>11238345.80328911</v>
      </c>
      <c r="BH264" s="458">
        <v>4.3672453270328537E-2</v>
      </c>
      <c r="BI264" s="477">
        <v>24982637.823497247</v>
      </c>
      <c r="BJ264" s="458">
        <v>9.7309673507830263E-2</v>
      </c>
      <c r="BK264" s="477">
        <v>83912762.30666022</v>
      </c>
      <c r="BL264" s="458">
        <v>0.27341810459260429</v>
      </c>
      <c r="BM264" s="468">
        <v>6.4059513995271002</v>
      </c>
    </row>
    <row r="265" spans="12:65" x14ac:dyDescent="0.3">
      <c r="L265" s="427">
        <v>7716897.1281000003</v>
      </c>
      <c r="BE265" s="477">
        <v>7458561.3962221248</v>
      </c>
      <c r="BF265" s="458">
        <v>3.6026475547675352E-2</v>
      </c>
      <c r="BG265" s="477">
        <v>12404699.206065599</v>
      </c>
      <c r="BH265" s="458">
        <v>6.0675824542105294E-2</v>
      </c>
      <c r="BI265" s="477">
        <v>14962849.250875741</v>
      </c>
      <c r="BJ265" s="458">
        <v>0.10160752064306267</v>
      </c>
      <c r="BK265" s="477">
        <v>76270423.197518721</v>
      </c>
      <c r="BL265" s="458">
        <v>0.25175557803517079</v>
      </c>
      <c r="BM265" s="468">
        <v>10.743858912386095</v>
      </c>
    </row>
    <row r="266" spans="12:65" x14ac:dyDescent="0.3">
      <c r="L266" s="427">
        <v>19453919.104699999</v>
      </c>
      <c r="BE266" s="477">
        <v>9557480.596913442</v>
      </c>
      <c r="BF266" s="458">
        <v>5.2531475959257445E-2</v>
      </c>
      <c r="BG266" s="477">
        <v>3901174.854198358</v>
      </c>
      <c r="BH266" s="458">
        <v>7.4574780476696967E-2</v>
      </c>
      <c r="BI266" s="477">
        <v>17147660.433308963</v>
      </c>
      <c r="BJ266" s="458">
        <v>0.10983326383800551</v>
      </c>
      <c r="BK266" s="477">
        <v>86469698.989309475</v>
      </c>
      <c r="BL266" s="458">
        <v>0.25877120623724381</v>
      </c>
      <c r="BM266" s="468">
        <v>5.2241933616446605</v>
      </c>
    </row>
    <row r="267" spans="12:65" x14ac:dyDescent="0.3">
      <c r="L267" s="427">
        <v>-2184863.1598999999</v>
      </c>
      <c r="BE267" s="477">
        <v>7762887.1459638858</v>
      </c>
      <c r="BF267" s="458">
        <v>3.5843957624107414E-2</v>
      </c>
      <c r="BG267" s="477">
        <v>83948.605232569666</v>
      </c>
      <c r="BH267" s="458">
        <v>4.1665712568871305E-2</v>
      </c>
      <c r="BI267" s="477">
        <v>22582232.303440899</v>
      </c>
      <c r="BJ267" s="458">
        <v>8.9355747543147457E-2</v>
      </c>
      <c r="BK267" s="477">
        <v>101530863.71181372</v>
      </c>
      <c r="BL267" s="458">
        <v>0.26296471576772196</v>
      </c>
      <c r="BM267" s="468">
        <v>1.6343005734751443</v>
      </c>
    </row>
    <row r="268" spans="12:65" x14ac:dyDescent="0.3">
      <c r="L268" s="427">
        <v>3128063.4607000002</v>
      </c>
      <c r="BE268" s="477">
        <v>4019184.3321675002</v>
      </c>
      <c r="BF268" s="458">
        <v>3.8897357515062625E-2</v>
      </c>
      <c r="BG268" s="477">
        <v>7006847.7520340551</v>
      </c>
      <c r="BH268" s="458">
        <v>5.7646375518043858E-2</v>
      </c>
      <c r="BI268" s="477">
        <v>19583821.079236839</v>
      </c>
      <c r="BJ268" s="458">
        <v>0.14679935370953023</v>
      </c>
      <c r="BK268" s="477">
        <v>91188888.001877084</v>
      </c>
      <c r="BL268" s="458">
        <v>0.26675833127225834</v>
      </c>
      <c r="BM268" s="468">
        <v>5.1921285576609186</v>
      </c>
    </row>
    <row r="269" spans="12:65" x14ac:dyDescent="0.3">
      <c r="L269" s="427">
        <v>2451046.6118999999</v>
      </c>
      <c r="BE269" s="477">
        <v>9474366.411882896</v>
      </c>
      <c r="BF269" s="458">
        <v>4.2716562093434218E-2</v>
      </c>
      <c r="BG269" s="477">
        <v>8829354.6551344041</v>
      </c>
      <c r="BH269" s="458">
        <v>5.0786248784093324E-2</v>
      </c>
      <c r="BI269" s="477">
        <v>22141985.338603936</v>
      </c>
      <c r="BJ269" s="458">
        <v>0.11210226981956972</v>
      </c>
      <c r="BK269" s="477">
        <v>84548381.867908284</v>
      </c>
      <c r="BL269" s="458">
        <v>0.25692734622339919</v>
      </c>
      <c r="BM269" s="468">
        <v>11.06090404248317</v>
      </c>
    </row>
    <row r="270" spans="12:65" x14ac:dyDescent="0.3">
      <c r="L270" s="427">
        <v>12131481.2841</v>
      </c>
      <c r="BE270" s="477">
        <v>6517951.5968866022</v>
      </c>
      <c r="BF270" s="458">
        <v>5.3503177319881523E-2</v>
      </c>
      <c r="BG270" s="477">
        <v>8801546.5214943159</v>
      </c>
      <c r="BH270" s="458">
        <v>8.0916691627159976E-2</v>
      </c>
      <c r="BI270" s="477">
        <v>24306951.056187224</v>
      </c>
      <c r="BJ270" s="458">
        <v>0.16168257363878924</v>
      </c>
      <c r="BK270" s="477">
        <v>77610052.095529601</v>
      </c>
      <c r="BL270" s="458">
        <v>0.26075794317019718</v>
      </c>
      <c r="BM270" s="468">
        <v>7.165010511815785</v>
      </c>
    </row>
    <row r="271" spans="12:65" x14ac:dyDescent="0.3">
      <c r="L271" s="427">
        <v>9294947.7270999998</v>
      </c>
      <c r="BE271" s="477">
        <v>5404277.2304063262</v>
      </c>
      <c r="BF271" s="458">
        <v>3.173980501549778E-2</v>
      </c>
      <c r="BG271" s="477">
        <v>6064953.2472812524</v>
      </c>
      <c r="BH271" s="458">
        <v>8.2246715756612465E-2</v>
      </c>
      <c r="BI271" s="477">
        <v>11737321.731373681</v>
      </c>
      <c r="BJ271" s="458">
        <v>9.0172510032064723E-2</v>
      </c>
      <c r="BK271" s="477">
        <v>90577319.661070555</v>
      </c>
      <c r="BL271" s="458">
        <v>0.26327645403153377</v>
      </c>
      <c r="BM271" s="468">
        <v>7.0900100602208234</v>
      </c>
    </row>
    <row r="272" spans="12:65" x14ac:dyDescent="0.3">
      <c r="L272" s="427">
        <v>3739787.1041000001</v>
      </c>
      <c r="BE272" s="477">
        <v>-1408913.9770089942</v>
      </c>
      <c r="BF272" s="458">
        <v>2.5713050155122152E-2</v>
      </c>
      <c r="BG272" s="477">
        <v>7723645.4216826307</v>
      </c>
      <c r="BH272" s="458">
        <v>6.3782564403068731E-2</v>
      </c>
      <c r="BI272" s="477">
        <v>12676297.843473868</v>
      </c>
      <c r="BJ272" s="458">
        <v>0.10976127045338369</v>
      </c>
      <c r="BK272" s="477">
        <v>77741659.10278587</v>
      </c>
      <c r="BL272" s="458">
        <v>0.25817956931428432</v>
      </c>
      <c r="BM272" s="468">
        <v>8.9290501017832931</v>
      </c>
    </row>
    <row r="273" spans="12:65" x14ac:dyDescent="0.3">
      <c r="L273" s="427">
        <v>13612298.335000001</v>
      </c>
      <c r="BE273" s="477">
        <v>5859258.0102933375</v>
      </c>
      <c r="BF273" s="458">
        <v>4.7482507193460588E-2</v>
      </c>
      <c r="BG273" s="477">
        <v>4686987.6962541211</v>
      </c>
      <c r="BH273" s="458">
        <v>4.453519591878452E-2</v>
      </c>
      <c r="BI273" s="477">
        <v>20106172.971888643</v>
      </c>
      <c r="BJ273" s="458">
        <v>9.0641121480802722E-2</v>
      </c>
      <c r="BK273" s="477">
        <v>91365887.245870098</v>
      </c>
      <c r="BL273" s="458">
        <v>0.25159002727352053</v>
      </c>
      <c r="BM273" s="468">
        <v>8.994942849334981</v>
      </c>
    </row>
    <row r="274" spans="12:65" x14ac:dyDescent="0.3">
      <c r="L274" s="427">
        <v>4803395.0111999996</v>
      </c>
      <c r="BE274" s="477">
        <v>3178370.7985208938</v>
      </c>
      <c r="BF274" s="458">
        <v>5.833257170499917E-2</v>
      </c>
      <c r="BG274" s="477">
        <v>14476315.482591826</v>
      </c>
      <c r="BH274" s="458">
        <v>6.8952941985695793E-2</v>
      </c>
      <c r="BI274" s="477">
        <v>18149529.849926472</v>
      </c>
      <c r="BJ274" s="458">
        <v>0.12444449761572174</v>
      </c>
      <c r="BK274" s="477">
        <v>83921046.029240355</v>
      </c>
      <c r="BL274" s="458">
        <v>0.276739799757868</v>
      </c>
      <c r="BM274" s="468">
        <v>6.7785921015049446</v>
      </c>
    </row>
    <row r="275" spans="12:65" x14ac:dyDescent="0.3">
      <c r="L275" s="427">
        <v>15240088.093900001</v>
      </c>
      <c r="BE275" s="477">
        <v>541209.27802398475</v>
      </c>
      <c r="BF275" s="458">
        <v>3.8655437866487619E-2</v>
      </c>
      <c r="BG275" s="477">
        <v>8752690.9801417794</v>
      </c>
      <c r="BH275" s="458">
        <v>4.8894459565359094E-2</v>
      </c>
      <c r="BI275" s="477">
        <v>18255332.270865269</v>
      </c>
      <c r="BJ275" s="458">
        <v>0.1167594170648294</v>
      </c>
      <c r="BK275" s="477">
        <v>98638655.319680154</v>
      </c>
      <c r="BL275" s="458">
        <v>0.28884180236354728</v>
      </c>
      <c r="BM275" s="468">
        <v>11.868498695863011</v>
      </c>
    </row>
    <row r="276" spans="12:65" x14ac:dyDescent="0.3">
      <c r="L276" s="427">
        <v>22420781.243099999</v>
      </c>
      <c r="BE276" s="477">
        <v>8437569.9386423901</v>
      </c>
      <c r="BF276" s="458">
        <v>3.9353060294929687E-2</v>
      </c>
      <c r="BG276" s="477">
        <v>10302421.817277484</v>
      </c>
      <c r="BH276" s="458">
        <v>5.9546727837975988E-2</v>
      </c>
      <c r="BI276" s="477">
        <v>22812856.605690464</v>
      </c>
      <c r="BJ276" s="458">
        <v>0.10133095847874429</v>
      </c>
      <c r="BK276" s="477">
        <v>79780545.372073203</v>
      </c>
      <c r="BL276" s="458">
        <v>0.2677572160063677</v>
      </c>
      <c r="BM276" s="468">
        <v>7.6606540209394058</v>
      </c>
    </row>
    <row r="277" spans="12:65" x14ac:dyDescent="0.3">
      <c r="L277" s="427">
        <v>124903.40820000001</v>
      </c>
      <c r="BE277" s="477">
        <v>5306976.9822452636</v>
      </c>
      <c r="BF277" s="458">
        <v>3.5140719731017844E-2</v>
      </c>
      <c r="BG277" s="477">
        <v>10958932.042925976</v>
      </c>
      <c r="BH277" s="458">
        <v>8.8992308301390377E-2</v>
      </c>
      <c r="BI277" s="477">
        <v>17669696.923870299</v>
      </c>
      <c r="BJ277" s="458">
        <v>0.12133838859587986</v>
      </c>
      <c r="BK277" s="477">
        <v>84345001.294005081</v>
      </c>
      <c r="BL277" s="458">
        <v>0.28786412752301516</v>
      </c>
      <c r="BM277" s="468">
        <v>5.6431523260682299</v>
      </c>
    </row>
    <row r="278" spans="12:65" x14ac:dyDescent="0.3">
      <c r="L278" s="427">
        <v>6655965.6253000004</v>
      </c>
      <c r="BE278" s="477">
        <v>6475653.0020161588</v>
      </c>
      <c r="BF278" s="458">
        <v>2.6703323981417615E-2</v>
      </c>
      <c r="BG278" s="477">
        <v>4948893.0288247783</v>
      </c>
      <c r="BH278" s="458">
        <v>7.382995704154216E-2</v>
      </c>
      <c r="BI278" s="477">
        <v>17327139.750267792</v>
      </c>
      <c r="BJ278" s="458">
        <v>9.6297871738849627E-2</v>
      </c>
      <c r="BK278" s="477">
        <v>73859853.132759169</v>
      </c>
      <c r="BL278" s="458">
        <v>0.26353990604885325</v>
      </c>
      <c r="BM278" s="468">
        <v>2.7014082834416797</v>
      </c>
    </row>
    <row r="279" spans="12:65" x14ac:dyDescent="0.3">
      <c r="L279" s="427">
        <v>13820937.655999999</v>
      </c>
      <c r="BE279" s="477">
        <v>2283984.0073850802</v>
      </c>
      <c r="BF279" s="458">
        <v>3.9749777298237143E-2</v>
      </c>
      <c r="BG279" s="477">
        <v>15866455.273779992</v>
      </c>
      <c r="BH279" s="458">
        <v>5.6178229451836259E-2</v>
      </c>
      <c r="BI279" s="477">
        <v>23705660.214306775</v>
      </c>
      <c r="BJ279" s="458">
        <v>0.12017263118637578</v>
      </c>
      <c r="BK279" s="477">
        <v>86029891.190039873</v>
      </c>
      <c r="BL279" s="458">
        <v>0.2693250426979974</v>
      </c>
      <c r="BM279" s="468">
        <v>6.8434843457628993</v>
      </c>
    </row>
    <row r="280" spans="12:65" x14ac:dyDescent="0.3">
      <c r="L280" s="427">
        <v>20541276.015000001</v>
      </c>
      <c r="BE280" s="477">
        <v>8750256.6623089854</v>
      </c>
      <c r="BF280" s="458">
        <v>5.7777759692061004E-2</v>
      </c>
      <c r="BG280" s="477">
        <v>11744345.960294278</v>
      </c>
      <c r="BH280" s="458">
        <v>8.3114011823031575E-2</v>
      </c>
      <c r="BI280" s="477">
        <v>19910849.187512163</v>
      </c>
      <c r="BJ280" s="458">
        <v>0.11893948031581503</v>
      </c>
      <c r="BK280" s="477">
        <v>84920680.236154258</v>
      </c>
      <c r="BL280" s="458">
        <v>0.2865798671602422</v>
      </c>
      <c r="BM280" s="468">
        <v>3.8681101907231898</v>
      </c>
    </row>
    <row r="281" spans="12:65" x14ac:dyDescent="0.3">
      <c r="L281" s="427">
        <v>4114391.0539000002</v>
      </c>
      <c r="BE281" s="477">
        <v>2040610.7246710712</v>
      </c>
      <c r="BF281" s="458">
        <v>3.5399934639862574E-2</v>
      </c>
      <c r="BG281" s="477">
        <v>14674769.427234551</v>
      </c>
      <c r="BH281" s="458">
        <v>6.5789552264955198E-2</v>
      </c>
      <c r="BI281" s="477">
        <v>19970860.969860185</v>
      </c>
      <c r="BJ281" s="458">
        <v>0.10927607614784574</v>
      </c>
      <c r="BK281" s="477">
        <v>84938494.229560047</v>
      </c>
      <c r="BL281" s="458">
        <v>0.29006132005713692</v>
      </c>
      <c r="BM281" s="468">
        <v>6.5885425473189105</v>
      </c>
    </row>
    <row r="282" spans="12:65" x14ac:dyDescent="0.3">
      <c r="L282" s="427">
        <v>4403023.8827</v>
      </c>
      <c r="BE282" s="477">
        <v>8272826.8238896737</v>
      </c>
      <c r="BF282" s="458">
        <v>4.4825796190636202E-2</v>
      </c>
      <c r="BG282" s="477">
        <v>11391796.840910878</v>
      </c>
      <c r="BH282" s="458">
        <v>6.9844883312386141E-2</v>
      </c>
      <c r="BI282" s="477">
        <v>18611405.173183061</v>
      </c>
      <c r="BJ282" s="458">
        <v>0.12500016459365493</v>
      </c>
      <c r="BK282" s="477">
        <v>83843695.151530117</v>
      </c>
      <c r="BL282" s="458">
        <v>0.26006312426937095</v>
      </c>
      <c r="BM282" s="468">
        <v>8.9659254754425444</v>
      </c>
    </row>
    <row r="283" spans="12:65" x14ac:dyDescent="0.3">
      <c r="L283" s="427">
        <v>6523808.3925999999</v>
      </c>
      <c r="BE283" s="477">
        <v>5742087.141250209</v>
      </c>
      <c r="BF283" s="458">
        <v>7.0649434321518267E-2</v>
      </c>
      <c r="BG283" s="477">
        <v>7069390.0880910046</v>
      </c>
      <c r="BH283" s="458">
        <v>6.9113381932930595E-2</v>
      </c>
      <c r="BI283" s="477">
        <v>17687119.258564342</v>
      </c>
      <c r="BJ283" s="458">
        <v>9.2473578374551613E-2</v>
      </c>
      <c r="BK283" s="477">
        <v>87008452.640212178</v>
      </c>
      <c r="BL283" s="458">
        <v>0.25771185676358987</v>
      </c>
      <c r="BM283" s="468">
        <v>4.1583074530945794</v>
      </c>
    </row>
    <row r="284" spans="12:65" x14ac:dyDescent="0.3">
      <c r="L284" s="427">
        <v>5024736.7911</v>
      </c>
      <c r="BE284" s="477">
        <v>5285473.7815119782</v>
      </c>
      <c r="BF284" s="458">
        <v>4.8967997598910129E-2</v>
      </c>
      <c r="BG284" s="477">
        <v>8893908.3034973685</v>
      </c>
      <c r="BH284" s="458">
        <v>4.204321919279308E-2</v>
      </c>
      <c r="BI284" s="477">
        <v>22579099.024945039</v>
      </c>
      <c r="BJ284" s="458">
        <v>0.12759562593906937</v>
      </c>
      <c r="BK284" s="477">
        <v>92486649.743037909</v>
      </c>
      <c r="BL284" s="458">
        <v>0.26872681195157222</v>
      </c>
      <c r="BM284" s="468">
        <v>7.9044073236340111</v>
      </c>
    </row>
    <row r="285" spans="12:65" x14ac:dyDescent="0.3">
      <c r="L285" s="427">
        <v>10420770.4717</v>
      </c>
      <c r="BE285" s="477">
        <v>10828825.413166247</v>
      </c>
      <c r="BF285" s="458">
        <v>4.0803881703043388E-2</v>
      </c>
      <c r="BG285" s="477">
        <v>9715924.4013863094</v>
      </c>
      <c r="BH285" s="458">
        <v>6.6132712752726919E-2</v>
      </c>
      <c r="BI285" s="477">
        <v>13793676.451487407</v>
      </c>
      <c r="BJ285" s="458">
        <v>0.10798900139034329</v>
      </c>
      <c r="BK285" s="477">
        <v>94762000.605652183</v>
      </c>
      <c r="BL285" s="458">
        <v>0.28207044187444441</v>
      </c>
      <c r="BM285" s="468">
        <v>13.419532180937246</v>
      </c>
    </row>
    <row r="286" spans="12:65" x14ac:dyDescent="0.3">
      <c r="L286" s="427">
        <v>9961718.9526000004</v>
      </c>
      <c r="BE286" s="477">
        <v>7761477.7092688503</v>
      </c>
      <c r="BF286" s="458">
        <v>5.712663017200148E-2</v>
      </c>
      <c r="BG286" s="477">
        <v>10328574.119595863</v>
      </c>
      <c r="BH286" s="458">
        <v>6.8118750726596344E-2</v>
      </c>
      <c r="BI286" s="477">
        <v>23234973.450284783</v>
      </c>
      <c r="BJ286" s="458">
        <v>0.14324662390546372</v>
      </c>
      <c r="BK286" s="477">
        <v>77571641.653044805</v>
      </c>
      <c r="BL286" s="458">
        <v>0.25393864854241488</v>
      </c>
      <c r="BM286" s="468">
        <v>7.8600426667491199</v>
      </c>
    </row>
    <row r="287" spans="12:65" x14ac:dyDescent="0.3">
      <c r="L287" s="427">
        <v>3413060.3500999999</v>
      </c>
      <c r="BE287" s="477">
        <v>6602732.6059752693</v>
      </c>
      <c r="BF287" s="458">
        <v>5.0516983121878134E-2</v>
      </c>
      <c r="BG287" s="477">
        <v>12596885.348041724</v>
      </c>
      <c r="BH287" s="458">
        <v>5.6838002465942283E-2</v>
      </c>
      <c r="BI287" s="477">
        <v>15121127.202443216</v>
      </c>
      <c r="BJ287" s="458">
        <v>0.11444496120168468</v>
      </c>
      <c r="BK287" s="477">
        <v>96708721.163601547</v>
      </c>
      <c r="BL287" s="458">
        <v>0.25096453822996212</v>
      </c>
      <c r="BM287" s="468">
        <v>2.7353194024180647</v>
      </c>
    </row>
    <row r="288" spans="12:65" x14ac:dyDescent="0.3">
      <c r="L288" s="427">
        <v>-7838992.0102000004</v>
      </c>
      <c r="BE288" s="477">
        <v>11163704.700036813</v>
      </c>
      <c r="BF288" s="458">
        <v>7.6203877268432141E-2</v>
      </c>
      <c r="BG288" s="477">
        <v>8198742.7520054346</v>
      </c>
      <c r="BH288" s="458">
        <v>6.5955786564245944E-2</v>
      </c>
      <c r="BI288" s="477">
        <v>13675873.426068436</v>
      </c>
      <c r="BJ288" s="458">
        <v>0.13309994111653745</v>
      </c>
      <c r="BK288" s="477">
        <v>87620564.008110762</v>
      </c>
      <c r="BL288" s="458">
        <v>0.26195915315484286</v>
      </c>
      <c r="BM288" s="468">
        <v>7.9401984536756123</v>
      </c>
    </row>
    <row r="289" spans="12:65" x14ac:dyDescent="0.3">
      <c r="L289" s="427">
        <v>-3127114.9792999998</v>
      </c>
      <c r="BE289" s="477">
        <v>3690578.3474977599</v>
      </c>
      <c r="BF289" s="458">
        <v>3.234406833826764E-2</v>
      </c>
      <c r="BG289" s="477">
        <v>12777882.426948348</v>
      </c>
      <c r="BH289" s="458">
        <v>6.874932260224087E-2</v>
      </c>
      <c r="BI289" s="477">
        <v>14285390.735464536</v>
      </c>
      <c r="BJ289" s="458">
        <v>0.11440457006981641</v>
      </c>
      <c r="BK289" s="477">
        <v>96674295.908022061</v>
      </c>
      <c r="BL289" s="458">
        <v>0.27946416659723528</v>
      </c>
      <c r="BM289" s="468">
        <v>9.6728448991468632</v>
      </c>
    </row>
    <row r="290" spans="12:65" x14ac:dyDescent="0.3">
      <c r="L290" s="427">
        <v>14405463.6767</v>
      </c>
      <c r="BE290" s="477">
        <v>5669388.4119295403</v>
      </c>
      <c r="BF290" s="458">
        <v>5.1409698915114932E-2</v>
      </c>
      <c r="BG290" s="477">
        <v>8417284.7935086843</v>
      </c>
      <c r="BH290" s="458">
        <v>8.6797334726569364E-2</v>
      </c>
      <c r="BI290" s="477">
        <v>9550830.7580313385</v>
      </c>
      <c r="BJ290" s="458">
        <v>0.13457900572076609</v>
      </c>
      <c r="BK290" s="477">
        <v>100995791.34313415</v>
      </c>
      <c r="BL290" s="458">
        <v>0.26407995697510622</v>
      </c>
      <c r="BM290" s="468">
        <v>4.7744934868866897</v>
      </c>
    </row>
    <row r="291" spans="12:65" x14ac:dyDescent="0.3">
      <c r="L291" s="427">
        <v>11903586.407500001</v>
      </c>
      <c r="BE291" s="477">
        <v>4361824.2158219656</v>
      </c>
      <c r="BF291" s="458">
        <v>3.0561972769833412E-2</v>
      </c>
      <c r="BG291" s="477">
        <v>11478696.19700673</v>
      </c>
      <c r="BH291" s="458">
        <v>8.5199257326780797E-2</v>
      </c>
      <c r="BI291" s="477">
        <v>20336400.946408518</v>
      </c>
      <c r="BJ291" s="458">
        <v>0.14126764971800188</v>
      </c>
      <c r="BK291" s="477">
        <v>100116650.05362162</v>
      </c>
      <c r="BL291" s="458">
        <v>0.27440750508646783</v>
      </c>
      <c r="BM291" s="468">
        <v>8.0425719224595387</v>
      </c>
    </row>
    <row r="292" spans="12:65" x14ac:dyDescent="0.3">
      <c r="L292" s="427">
        <v>8951277.7346000001</v>
      </c>
      <c r="BE292" s="477">
        <v>2317009.2535487884</v>
      </c>
      <c r="BF292" s="458">
        <v>6.8614817255070237E-2</v>
      </c>
      <c r="BG292" s="477">
        <v>2451478.0705891047</v>
      </c>
      <c r="BH292" s="458">
        <v>6.0459562240440912E-2</v>
      </c>
      <c r="BI292" s="477">
        <v>22916562.755568773</v>
      </c>
      <c r="BJ292" s="458">
        <v>9.7728390145910726E-2</v>
      </c>
      <c r="BK292" s="477">
        <v>80944888.020274729</v>
      </c>
      <c r="BL292" s="458">
        <v>0.26284256689563867</v>
      </c>
      <c r="BM292" s="468">
        <v>6.5895610623759904</v>
      </c>
    </row>
    <row r="293" spans="12:65" x14ac:dyDescent="0.3">
      <c r="L293" s="427">
        <v>13341138.894099999</v>
      </c>
      <c r="BE293" s="477">
        <v>11353719.974403746</v>
      </c>
      <c r="BF293" s="458">
        <v>5.2398604367522417E-2</v>
      </c>
      <c r="BG293" s="477">
        <v>6632744.5489658816</v>
      </c>
      <c r="BH293" s="458">
        <v>7.0198687400270909E-2</v>
      </c>
      <c r="BI293" s="477">
        <v>16819035.018700995</v>
      </c>
      <c r="BJ293" s="458">
        <v>0.10991809717772028</v>
      </c>
      <c r="BK293" s="477">
        <v>91124342.466077551</v>
      </c>
      <c r="BL293" s="458">
        <v>0.2660426247309462</v>
      </c>
      <c r="BM293" s="468">
        <v>4.0713618577275819</v>
      </c>
    </row>
    <row r="294" spans="12:65" x14ac:dyDescent="0.3">
      <c r="L294" s="427">
        <v>6948115.6468000002</v>
      </c>
      <c r="BE294" s="477">
        <v>2465898.3331072954</v>
      </c>
      <c r="BF294" s="458">
        <v>3.6662139106240943E-2</v>
      </c>
      <c r="BG294" s="477">
        <v>16256525.832166975</v>
      </c>
      <c r="BH294" s="458">
        <v>7.2131063830165765E-2</v>
      </c>
      <c r="BI294" s="477">
        <v>16938234.227438778</v>
      </c>
      <c r="BJ294" s="458">
        <v>0.11205607654605676</v>
      </c>
      <c r="BK294" s="477">
        <v>94340633.187521175</v>
      </c>
      <c r="BL294" s="458">
        <v>0.26083050677830499</v>
      </c>
      <c r="BM294" s="468">
        <v>2.9680821900368439</v>
      </c>
    </row>
    <row r="295" spans="12:65" x14ac:dyDescent="0.3">
      <c r="L295" s="427">
        <v>17298651.1778</v>
      </c>
      <c r="BE295" s="477">
        <v>4161505.642635792</v>
      </c>
      <c r="BF295" s="458">
        <v>5.0456908882009932E-2</v>
      </c>
      <c r="BG295" s="477">
        <v>6344916.8668779572</v>
      </c>
      <c r="BH295" s="458">
        <v>6.6439202131630681E-2</v>
      </c>
      <c r="BI295" s="477">
        <v>10537334.830430109</v>
      </c>
      <c r="BJ295" s="458">
        <v>0.12257529328352512</v>
      </c>
      <c r="BK295" s="477">
        <v>92145173.996088862</v>
      </c>
      <c r="BL295" s="458">
        <v>0.27732263379985356</v>
      </c>
      <c r="BM295" s="468">
        <v>4.3265669506492497</v>
      </c>
    </row>
    <row r="296" spans="12:65" x14ac:dyDescent="0.3">
      <c r="L296" s="427">
        <v>6284593.4458999997</v>
      </c>
      <c r="BE296" s="477">
        <v>8840143.3343364391</v>
      </c>
      <c r="BF296" s="458">
        <v>4.3800880692352218E-2</v>
      </c>
      <c r="BG296" s="477">
        <v>9685187.9823170807</v>
      </c>
      <c r="BH296" s="458">
        <v>6.61656416549532E-2</v>
      </c>
      <c r="BI296" s="477">
        <v>17823338.201923136</v>
      </c>
      <c r="BJ296" s="458">
        <v>0.12085583293083868</v>
      </c>
      <c r="BK296" s="477">
        <v>93462777.447833195</v>
      </c>
      <c r="BL296" s="458">
        <v>0.28993208369904666</v>
      </c>
      <c r="BM296" s="468">
        <v>6.5999517143716115</v>
      </c>
    </row>
    <row r="297" spans="12:65" x14ac:dyDescent="0.3">
      <c r="L297" s="427">
        <v>24028020.524700001</v>
      </c>
      <c r="BE297" s="477">
        <v>7833086.2430046713</v>
      </c>
      <c r="BF297" s="458">
        <v>3.1455768771434967E-2</v>
      </c>
      <c r="BG297" s="477">
        <v>12952032.236305533</v>
      </c>
      <c r="BH297" s="458">
        <v>7.0722924834901724E-2</v>
      </c>
      <c r="BI297" s="477">
        <v>11169216.264419723</v>
      </c>
      <c r="BJ297" s="458">
        <v>0.1202161476234187</v>
      </c>
      <c r="BK297" s="477">
        <v>90033646.588360935</v>
      </c>
      <c r="BL297" s="458">
        <v>0.29810681158697516</v>
      </c>
      <c r="BM297" s="468">
        <v>7.6238515387837325</v>
      </c>
    </row>
    <row r="298" spans="12:65" x14ac:dyDescent="0.3">
      <c r="L298" s="427">
        <v>-9985685.4733000007</v>
      </c>
      <c r="BE298" s="477">
        <v>8742154.5559392609</v>
      </c>
      <c r="BF298" s="458">
        <v>1.9169056413635754E-2</v>
      </c>
      <c r="BG298" s="477">
        <v>6198664.9273713706</v>
      </c>
      <c r="BH298" s="458">
        <v>5.4237850242413232E-2</v>
      </c>
      <c r="BI298" s="477">
        <v>12623142.79764108</v>
      </c>
      <c r="BJ298" s="458">
        <v>9.9242241882340876E-2</v>
      </c>
      <c r="BK298" s="477">
        <v>87804880.121951133</v>
      </c>
      <c r="BL298" s="458">
        <v>0.26207405014187324</v>
      </c>
      <c r="BM298" s="468">
        <v>8.1995580130168886</v>
      </c>
    </row>
    <row r="299" spans="12:65" x14ac:dyDescent="0.3">
      <c r="L299" s="427">
        <v>6939434.1964999996</v>
      </c>
      <c r="BE299" s="477">
        <v>8258549.2734052511</v>
      </c>
      <c r="BF299" s="458">
        <v>6.4513048176212173E-2</v>
      </c>
      <c r="BG299" s="477">
        <v>11127137.474041492</v>
      </c>
      <c r="BH299" s="458">
        <v>7.223681710349128E-2</v>
      </c>
      <c r="BI299" s="477">
        <v>15190146.73749204</v>
      </c>
      <c r="BJ299" s="458">
        <v>9.7664093184886891E-2</v>
      </c>
      <c r="BK299" s="477">
        <v>100394973.02962264</v>
      </c>
      <c r="BL299" s="458">
        <v>0.27238238344410548</v>
      </c>
      <c r="BM299" s="468">
        <v>5.523963470828761</v>
      </c>
    </row>
    <row r="300" spans="12:65" x14ac:dyDescent="0.3">
      <c r="L300" s="427">
        <v>6732732.7264999999</v>
      </c>
      <c r="BE300" s="477">
        <v>8817049.7597360536</v>
      </c>
      <c r="BF300" s="458">
        <v>4.9286559399322361E-2</v>
      </c>
      <c r="BG300" s="477">
        <v>7620763.3116262825</v>
      </c>
      <c r="BH300" s="458">
        <v>7.2467781147874666E-2</v>
      </c>
      <c r="BI300" s="477">
        <v>12937454.735786874</v>
      </c>
      <c r="BJ300" s="458">
        <v>8.0937529211423831E-2</v>
      </c>
      <c r="BK300" s="477">
        <v>99696317.387001485</v>
      </c>
      <c r="BL300" s="458">
        <v>0.27538185473783083</v>
      </c>
      <c r="BM300" s="468">
        <v>9.223417945822602</v>
      </c>
    </row>
    <row r="301" spans="12:65" x14ac:dyDescent="0.3">
      <c r="L301" s="427">
        <v>6787726.3486000001</v>
      </c>
      <c r="BE301" s="477">
        <v>3698664.5792133333</v>
      </c>
      <c r="BF301" s="458">
        <v>5.3126122145966237E-2</v>
      </c>
      <c r="BG301" s="477">
        <v>17106681.628289595</v>
      </c>
      <c r="BH301" s="458">
        <v>5.1930466626833649E-2</v>
      </c>
      <c r="BI301" s="477">
        <v>15184812.360980373</v>
      </c>
      <c r="BJ301" s="458">
        <v>9.9932252755371875E-2</v>
      </c>
      <c r="BK301" s="477">
        <v>89117747.405459464</v>
      </c>
      <c r="BL301" s="458">
        <v>0.27048646506813867</v>
      </c>
      <c r="BM301" s="468">
        <v>10.700354119101782</v>
      </c>
    </row>
    <row r="302" spans="12:65" x14ac:dyDescent="0.3">
      <c r="L302" s="427">
        <v>4373279.0943999998</v>
      </c>
      <c r="BE302" s="477">
        <v>1992548.3596866629</v>
      </c>
      <c r="BF302" s="458">
        <v>5.2282747555585374E-2</v>
      </c>
      <c r="BG302" s="477">
        <v>10808367.299949182</v>
      </c>
      <c r="BH302" s="458">
        <v>6.9410332772302352E-2</v>
      </c>
      <c r="BI302" s="477">
        <v>21736880.976453461</v>
      </c>
      <c r="BJ302" s="458">
        <v>9.5249452746673402E-2</v>
      </c>
      <c r="BK302" s="477">
        <v>83842798.922646075</v>
      </c>
      <c r="BL302" s="458">
        <v>0.26953019134203515</v>
      </c>
      <c r="BM302" s="468">
        <v>2.0747712274072727</v>
      </c>
    </row>
    <row r="303" spans="12:65" x14ac:dyDescent="0.3">
      <c r="L303" s="427">
        <v>18865294.2742</v>
      </c>
      <c r="BE303" s="477">
        <v>3220144.1083967872</v>
      </c>
      <c r="BF303" s="458">
        <v>4.2281891219759338E-2</v>
      </c>
      <c r="BG303" s="477">
        <v>8372441.6003013374</v>
      </c>
      <c r="BH303" s="458">
        <v>3.7100594431322742E-2</v>
      </c>
      <c r="BI303" s="477">
        <v>20393125.294916511</v>
      </c>
      <c r="BJ303" s="458">
        <v>0.13381325562568325</v>
      </c>
      <c r="BK303" s="477">
        <v>98200439.681747809</v>
      </c>
      <c r="BL303" s="458">
        <v>0.26446284210520421</v>
      </c>
      <c r="BM303" s="468">
        <v>1.8491791206016508</v>
      </c>
    </row>
    <row r="304" spans="12:65" x14ac:dyDescent="0.3">
      <c r="L304" s="427">
        <v>11228126.670299999</v>
      </c>
      <c r="BE304" s="477">
        <v>6141976.264353158</v>
      </c>
      <c r="BF304" s="458">
        <v>4.7587993528011241E-2</v>
      </c>
      <c r="BG304" s="477">
        <v>5747806.3615616923</v>
      </c>
      <c r="BH304" s="458">
        <v>5.1070676333593523E-2</v>
      </c>
      <c r="BI304" s="477">
        <v>15258347.649659498</v>
      </c>
      <c r="BJ304" s="458">
        <v>0.10973752614927967</v>
      </c>
      <c r="BK304" s="477">
        <v>96134997.057336301</v>
      </c>
      <c r="BL304" s="458">
        <v>0.28357491809862312</v>
      </c>
      <c r="BM304" s="468">
        <v>5.2749719988092414</v>
      </c>
    </row>
    <row r="305" spans="12:65" x14ac:dyDescent="0.3">
      <c r="L305" s="427">
        <v>24465766.943399999</v>
      </c>
      <c r="BE305" s="477">
        <v>6014318.9822215457</v>
      </c>
      <c r="BF305" s="458">
        <v>1.7619316552447417E-2</v>
      </c>
      <c r="BG305" s="477">
        <v>967621.05538294988</v>
      </c>
      <c r="BH305" s="458">
        <v>7.3299944903501002E-2</v>
      </c>
      <c r="BI305" s="477">
        <v>13778502.680158291</v>
      </c>
      <c r="BJ305" s="458">
        <v>0.1490438101388416</v>
      </c>
      <c r="BK305" s="477">
        <v>85549179.076912925</v>
      </c>
      <c r="BL305" s="458">
        <v>0.27751266281542697</v>
      </c>
      <c r="BM305" s="468">
        <v>4.5750462757401253</v>
      </c>
    </row>
    <row r="306" spans="12:65" x14ac:dyDescent="0.3">
      <c r="L306" s="427">
        <v>-2294973.8916000002</v>
      </c>
      <c r="BE306" s="477">
        <v>3176196.3224809295</v>
      </c>
      <c r="BF306" s="458">
        <v>3.0560784235458938E-2</v>
      </c>
      <c r="BG306" s="477">
        <v>7605857.6214058762</v>
      </c>
      <c r="BH306" s="458">
        <v>0.10114485350768909</v>
      </c>
      <c r="BI306" s="477">
        <v>18078863.231217835</v>
      </c>
      <c r="BJ306" s="458">
        <v>0.1053924361130103</v>
      </c>
      <c r="BK306" s="477">
        <v>91745055.04434751</v>
      </c>
      <c r="BL306" s="458">
        <v>0.27033410188653706</v>
      </c>
      <c r="BM306" s="468">
        <v>11.607200611615273</v>
      </c>
    </row>
    <row r="307" spans="12:65" x14ac:dyDescent="0.3">
      <c r="L307" s="427">
        <v>16204634.654899999</v>
      </c>
      <c r="BE307" s="477">
        <v>5798706.2533931583</v>
      </c>
      <c r="BF307" s="458">
        <v>3.2529065279087055E-2</v>
      </c>
      <c r="BG307" s="477">
        <v>10194610.922200849</v>
      </c>
      <c r="BH307" s="458">
        <v>7.07753237148665E-2</v>
      </c>
      <c r="BI307" s="477">
        <v>20184289.553259693</v>
      </c>
      <c r="BJ307" s="458">
        <v>9.2772605073705217E-2</v>
      </c>
      <c r="BK307" s="477">
        <v>82578526.760755852</v>
      </c>
      <c r="BL307" s="458">
        <v>0.24894497390326031</v>
      </c>
      <c r="BM307" s="468">
        <v>1.7782803982232664</v>
      </c>
    </row>
    <row r="308" spans="12:65" x14ac:dyDescent="0.3">
      <c r="L308" s="427">
        <v>-7328121.9354999997</v>
      </c>
      <c r="BE308" s="477">
        <v>5643090.9771557143</v>
      </c>
      <c r="BF308" s="458">
        <v>4.2400032658053588E-2</v>
      </c>
      <c r="BG308" s="477">
        <v>10935402.161460761</v>
      </c>
      <c r="BH308" s="458">
        <v>4.6848467560363316E-2</v>
      </c>
      <c r="BI308" s="477">
        <v>21017116.5010252</v>
      </c>
      <c r="BJ308" s="458">
        <v>0.10800638615811109</v>
      </c>
      <c r="BK308" s="477">
        <v>80319314.181179002</v>
      </c>
      <c r="BL308" s="458">
        <v>0.26627568474941232</v>
      </c>
      <c r="BM308" s="468">
        <v>9.5879062224211413</v>
      </c>
    </row>
    <row r="309" spans="12:65" x14ac:dyDescent="0.3">
      <c r="L309" s="427">
        <v>13805839.2488</v>
      </c>
      <c r="BE309" s="477">
        <v>5590350.9115408072</v>
      </c>
      <c r="BF309" s="458">
        <v>6.4646929037871725E-2</v>
      </c>
      <c r="BG309" s="477">
        <v>10188603.722898608</v>
      </c>
      <c r="BH309" s="458">
        <v>8.0371879711705896E-2</v>
      </c>
      <c r="BI309" s="477">
        <v>18696167.5509075</v>
      </c>
      <c r="BJ309" s="458">
        <v>9.9320415431310094E-2</v>
      </c>
      <c r="BK309" s="477">
        <v>83164742.022265717</v>
      </c>
      <c r="BL309" s="458">
        <v>0.28824419915675259</v>
      </c>
      <c r="BM309" s="468">
        <v>10.764054904626772</v>
      </c>
    </row>
    <row r="310" spans="12:65" x14ac:dyDescent="0.3">
      <c r="L310" s="427">
        <v>10793036.210000001</v>
      </c>
      <c r="BE310" s="477">
        <v>8047103.2264127834</v>
      </c>
      <c r="BF310" s="458">
        <v>3.7699804425907146E-2</v>
      </c>
      <c r="BG310" s="477">
        <v>7292752.1693499377</v>
      </c>
      <c r="BH310" s="458">
        <v>5.0436106150074433E-2</v>
      </c>
      <c r="BI310" s="477">
        <v>25239027.798685074</v>
      </c>
      <c r="BJ310" s="458">
        <v>0.12273656997800853</v>
      </c>
      <c r="BK310" s="477">
        <v>67438633.06056866</v>
      </c>
      <c r="BL310" s="458">
        <v>0.25725142799583622</v>
      </c>
      <c r="BM310" s="468">
        <v>10.435568176879041</v>
      </c>
    </row>
    <row r="311" spans="12:65" x14ac:dyDescent="0.3">
      <c r="L311" s="427">
        <v>-2076235.88</v>
      </c>
      <c r="BE311" s="477">
        <v>4110155.1653811154</v>
      </c>
      <c r="BF311" s="458">
        <v>4.1450911563329473E-2</v>
      </c>
      <c r="BG311" s="477">
        <v>12924316.877034843</v>
      </c>
      <c r="BH311" s="458">
        <v>7.0109600966056895E-2</v>
      </c>
      <c r="BI311" s="477">
        <v>16205564.109793289</v>
      </c>
      <c r="BJ311" s="458">
        <v>0.1241360194981862</v>
      </c>
      <c r="BK311" s="477">
        <v>85234803.481826395</v>
      </c>
      <c r="BL311" s="458">
        <v>0.29240814330597042</v>
      </c>
      <c r="BM311" s="468">
        <v>12.938722780157159</v>
      </c>
    </row>
    <row r="312" spans="12:65" x14ac:dyDescent="0.3">
      <c r="L312" s="427">
        <v>10076067.208900001</v>
      </c>
      <c r="BE312" s="477">
        <v>7953180.3564279182</v>
      </c>
      <c r="BF312" s="458">
        <v>5.163742410767469E-2</v>
      </c>
      <c r="BG312" s="477">
        <v>7727248.8938639769</v>
      </c>
      <c r="BH312" s="458">
        <v>6.0842658116281312E-2</v>
      </c>
      <c r="BI312" s="477">
        <v>11371134.77160172</v>
      </c>
      <c r="BJ312" s="458">
        <v>0.13145831022387</v>
      </c>
      <c r="BK312" s="477">
        <v>86603999.821718454</v>
      </c>
      <c r="BL312" s="458">
        <v>0.25473453746820507</v>
      </c>
      <c r="BM312" s="468">
        <v>5.3419448573943003</v>
      </c>
    </row>
    <row r="313" spans="12:65" x14ac:dyDescent="0.3">
      <c r="L313" s="427">
        <v>19181933.985100001</v>
      </c>
      <c r="BE313" s="477">
        <v>6368325.8859476494</v>
      </c>
      <c r="BF313" s="458">
        <v>3.3087106294580115E-2</v>
      </c>
      <c r="BG313" s="477">
        <v>14005309.184036609</v>
      </c>
      <c r="BH313" s="458">
        <v>7.2275498563941554E-2</v>
      </c>
      <c r="BI313" s="477">
        <v>15928419.152937921</v>
      </c>
      <c r="BJ313" s="458">
        <v>8.9511185513261093E-2</v>
      </c>
      <c r="BK313" s="477">
        <v>93085373.064839303</v>
      </c>
      <c r="BL313" s="458">
        <v>0.27431202902663143</v>
      </c>
      <c r="BM313" s="468">
        <v>3.7280872231649953</v>
      </c>
    </row>
    <row r="314" spans="12:65" x14ac:dyDescent="0.3">
      <c r="L314" s="427">
        <v>-2623484.6924999999</v>
      </c>
      <c r="BE314" s="477">
        <v>2073234.6741536378</v>
      </c>
      <c r="BF314" s="458">
        <v>4.6989584867298539E-2</v>
      </c>
      <c r="BG314" s="477">
        <v>2525424.6291015535</v>
      </c>
      <c r="BH314" s="458">
        <v>5.9879164684464081E-2</v>
      </c>
      <c r="BI314" s="477">
        <v>18460117.619653258</v>
      </c>
      <c r="BJ314" s="458">
        <v>0.14460646005817446</v>
      </c>
      <c r="BK314" s="477">
        <v>107479017.97463137</v>
      </c>
      <c r="BL314" s="458">
        <v>0.25312168558429859</v>
      </c>
      <c r="BM314" s="468">
        <v>8.8861174079829723</v>
      </c>
    </row>
    <row r="315" spans="12:65" x14ac:dyDescent="0.3">
      <c r="L315" s="427">
        <v>-4707213.3239000002</v>
      </c>
      <c r="BE315" s="477">
        <v>5259505.0352362143</v>
      </c>
      <c r="BF315" s="458">
        <v>4.0199045917680643E-2</v>
      </c>
      <c r="BG315" s="477">
        <v>6827801.439804825</v>
      </c>
      <c r="BH315" s="458">
        <v>8.1570104480933159E-2</v>
      </c>
      <c r="BI315" s="477">
        <v>10072372.009979844</v>
      </c>
      <c r="BJ315" s="458">
        <v>8.6344584604172825E-2</v>
      </c>
      <c r="BK315" s="477">
        <v>76117168.013669565</v>
      </c>
      <c r="BL315" s="458">
        <v>0.26990611910495077</v>
      </c>
      <c r="BM315" s="468">
        <v>3.7184734020958494</v>
      </c>
    </row>
    <row r="316" spans="12:65" x14ac:dyDescent="0.3">
      <c r="L316" s="427">
        <v>25392272.210299999</v>
      </c>
      <c r="BE316" s="477">
        <v>4154388.6644411446</v>
      </c>
      <c r="BF316" s="458">
        <v>4.509706095520416E-2</v>
      </c>
      <c r="BG316" s="477">
        <v>14307529.587114185</v>
      </c>
      <c r="BH316" s="458">
        <v>7.1934274663987052E-2</v>
      </c>
      <c r="BI316" s="477">
        <v>13753010.44732693</v>
      </c>
      <c r="BJ316" s="458">
        <v>0.10833559969291406</v>
      </c>
      <c r="BK316" s="477">
        <v>85343778.948525459</v>
      </c>
      <c r="BL316" s="458">
        <v>0.26752339169897099</v>
      </c>
      <c r="BM316" s="468">
        <v>7.9946954197158373</v>
      </c>
    </row>
    <row r="317" spans="12:65" x14ac:dyDescent="0.3">
      <c r="L317" s="427">
        <v>5753398.8065999998</v>
      </c>
      <c r="BE317" s="477">
        <v>7930882.8593725162</v>
      </c>
      <c r="BF317" s="458">
        <v>2.9921690535389844E-2</v>
      </c>
      <c r="BG317" s="477">
        <v>7102976.4767824439</v>
      </c>
      <c r="BH317" s="458">
        <v>7.2100467620821451E-2</v>
      </c>
      <c r="BI317" s="477">
        <v>15281196.413341649</v>
      </c>
      <c r="BJ317" s="458">
        <v>0.10135168102237357</v>
      </c>
      <c r="BK317" s="477">
        <v>86569157.154961944</v>
      </c>
      <c r="BL317" s="458">
        <v>0.27224656718249651</v>
      </c>
      <c r="BM317" s="468">
        <v>8.7036011366962356</v>
      </c>
    </row>
    <row r="318" spans="12:65" x14ac:dyDescent="0.3">
      <c r="L318" s="427">
        <v>-2444625.9593000002</v>
      </c>
      <c r="BE318" s="477">
        <v>6280241.5263937814</v>
      </c>
      <c r="BF318" s="458">
        <v>5.340165667173058E-2</v>
      </c>
      <c r="BG318" s="477">
        <v>5309980.0565610118</v>
      </c>
      <c r="BH318" s="458">
        <v>4.1340188123554888E-2</v>
      </c>
      <c r="BI318" s="477">
        <v>11071226.187146947</v>
      </c>
      <c r="BJ318" s="458">
        <v>0.11547868397594452</v>
      </c>
      <c r="BK318" s="477">
        <v>86611767.910276636</v>
      </c>
      <c r="BL318" s="458">
        <v>0.29334890063477603</v>
      </c>
      <c r="BM318" s="468">
        <v>3.3487133075637168</v>
      </c>
    </row>
    <row r="319" spans="12:65" x14ac:dyDescent="0.3">
      <c r="L319" s="427">
        <v>12774119.5689</v>
      </c>
      <c r="BE319" s="477">
        <v>2873740.4444080824</v>
      </c>
      <c r="BF319" s="458">
        <v>4.613929770986247E-2</v>
      </c>
      <c r="BG319" s="477">
        <v>4140366.7775810272</v>
      </c>
      <c r="BH319" s="458">
        <v>6.416403423343886E-2</v>
      </c>
      <c r="BI319" s="477">
        <v>15736578.875690633</v>
      </c>
      <c r="BJ319" s="458">
        <v>9.708371285804529E-2</v>
      </c>
      <c r="BK319" s="477">
        <v>89762252.161743417</v>
      </c>
      <c r="BL319" s="458">
        <v>0.27343129774973729</v>
      </c>
      <c r="BM319" s="468">
        <v>6.416021181897464</v>
      </c>
    </row>
    <row r="320" spans="12:65" x14ac:dyDescent="0.3">
      <c r="L320" s="427">
        <v>12707824.235300001</v>
      </c>
      <c r="BE320" s="477">
        <v>10418940.985718377</v>
      </c>
      <c r="BF320" s="458">
        <v>2.9857965200775771E-2</v>
      </c>
      <c r="BG320" s="477">
        <v>11444938.058036512</v>
      </c>
      <c r="BH320" s="458">
        <v>6.482574166507904E-2</v>
      </c>
      <c r="BI320" s="477">
        <v>24840124.491323419</v>
      </c>
      <c r="BJ320" s="458">
        <v>9.5477984790149018E-2</v>
      </c>
      <c r="BK320" s="477">
        <v>89382411.799525425</v>
      </c>
      <c r="BL320" s="458">
        <v>0.25380416571010622</v>
      </c>
      <c r="BM320" s="468">
        <v>4.2301008500856776</v>
      </c>
    </row>
    <row r="321" spans="12:65" x14ac:dyDescent="0.3">
      <c r="L321" s="427">
        <v>-5997983.4233999997</v>
      </c>
      <c r="BE321" s="477">
        <v>4560091.8139145523</v>
      </c>
      <c r="BF321" s="458">
        <v>2.9069555188762974E-2</v>
      </c>
      <c r="BG321" s="477">
        <v>8962532.551263772</v>
      </c>
      <c r="BH321" s="458">
        <v>7.1724839211180891E-2</v>
      </c>
      <c r="BI321" s="477">
        <v>22017068.651423924</v>
      </c>
      <c r="BJ321" s="458">
        <v>0.11051467646604696</v>
      </c>
      <c r="BK321" s="477">
        <v>97018201.900841609</v>
      </c>
      <c r="BL321" s="458">
        <v>0.26734463770633488</v>
      </c>
      <c r="BM321" s="468">
        <v>12.819450074998851</v>
      </c>
    </row>
    <row r="322" spans="12:65" x14ac:dyDescent="0.3">
      <c r="L322" s="427">
        <v>16815632.323100001</v>
      </c>
      <c r="BE322" s="477">
        <v>1208086.000458082</v>
      </c>
      <c r="BF322" s="458">
        <v>5.8016816748331257E-2</v>
      </c>
      <c r="BG322" s="477">
        <v>6047236.7719043605</v>
      </c>
      <c r="BH322" s="458">
        <v>2.7586228970982063E-2</v>
      </c>
      <c r="BI322" s="477">
        <v>18331098.548805568</v>
      </c>
      <c r="BJ322" s="458">
        <v>0.11113839380444324</v>
      </c>
      <c r="BK322" s="477">
        <v>91515459.70639573</v>
      </c>
      <c r="BL322" s="458">
        <v>0.25756250492691901</v>
      </c>
      <c r="BM322" s="468">
        <v>5.3186837560653073</v>
      </c>
    </row>
    <row r="323" spans="12:65" x14ac:dyDescent="0.3">
      <c r="L323" s="427">
        <v>1800443.8925000001</v>
      </c>
      <c r="BE323" s="477">
        <v>8306134.9423288731</v>
      </c>
      <c r="BF323" s="458">
        <v>4.0379081995449928E-2</v>
      </c>
      <c r="BG323" s="477">
        <v>6236531.2163097486</v>
      </c>
      <c r="BH323" s="458">
        <v>4.9740162552471823E-2</v>
      </c>
      <c r="BI323" s="477">
        <v>10642892.267575659</v>
      </c>
      <c r="BJ323" s="458">
        <v>0.11078856418657423</v>
      </c>
      <c r="BK323" s="477">
        <v>87419699.652128786</v>
      </c>
      <c r="BL323" s="458">
        <v>0.27277887313218829</v>
      </c>
      <c r="BM323" s="468">
        <v>3.8211263657658803</v>
      </c>
    </row>
    <row r="324" spans="12:65" x14ac:dyDescent="0.3">
      <c r="L324" s="427">
        <v>24920216.312199999</v>
      </c>
      <c r="BE324" s="477">
        <v>2627121.6684521814</v>
      </c>
      <c r="BF324" s="458">
        <v>2.0269340948985137E-2</v>
      </c>
      <c r="BG324" s="477">
        <v>5318673.6112766387</v>
      </c>
      <c r="BH324" s="458">
        <v>6.7076099871521855E-2</v>
      </c>
      <c r="BI324" s="477">
        <v>16292538.060237179</v>
      </c>
      <c r="BJ324" s="458">
        <v>0.11991006629960799</v>
      </c>
      <c r="BK324" s="477">
        <v>89229970.247652844</v>
      </c>
      <c r="BL324" s="458">
        <v>0.2676141411138182</v>
      </c>
      <c r="BM324" s="468">
        <v>4.1369188036528985</v>
      </c>
    </row>
    <row r="325" spans="12:65" x14ac:dyDescent="0.3">
      <c r="L325" s="427">
        <v>11361059.8254</v>
      </c>
      <c r="BE325" s="477">
        <v>4317846.3082475709</v>
      </c>
      <c r="BF325" s="458">
        <v>4.9389126374927317E-2</v>
      </c>
      <c r="BG325" s="477">
        <v>10181973.625506524</v>
      </c>
      <c r="BH325" s="458">
        <v>9.2949054126260533E-2</v>
      </c>
      <c r="BI325" s="477">
        <v>20337699.713226572</v>
      </c>
      <c r="BJ325" s="458">
        <v>9.2534357569117764E-2</v>
      </c>
      <c r="BK325" s="477">
        <v>87943053.52628237</v>
      </c>
      <c r="BL325" s="458">
        <v>0.26342106772927587</v>
      </c>
      <c r="BM325" s="468">
        <v>9.4742438379465863</v>
      </c>
    </row>
    <row r="326" spans="12:65" x14ac:dyDescent="0.3">
      <c r="L326" s="427">
        <v>9711638.2446999997</v>
      </c>
      <c r="BE326" s="477">
        <v>7116543.975114299</v>
      </c>
      <c r="BF326" s="458">
        <v>4.5856964729045435E-2</v>
      </c>
      <c r="BG326" s="477">
        <v>-2238499.0542153707</v>
      </c>
      <c r="BH326" s="458">
        <v>9.1354432458337076E-2</v>
      </c>
      <c r="BI326" s="477">
        <v>14826983.237753464</v>
      </c>
      <c r="BJ326" s="458">
        <v>9.4816530229017149E-2</v>
      </c>
      <c r="BK326" s="477">
        <v>80725479.9545836</v>
      </c>
      <c r="BL326" s="458">
        <v>0.26461360346674456</v>
      </c>
      <c r="BM326" s="468">
        <v>8.8470803378827529</v>
      </c>
    </row>
    <row r="327" spans="12:65" x14ac:dyDescent="0.3">
      <c r="L327" s="427">
        <v>-2979107.9923999999</v>
      </c>
      <c r="BE327" s="477">
        <v>4478241.5800858876</v>
      </c>
      <c r="BF327" s="458">
        <v>2.9419110516625491E-2</v>
      </c>
      <c r="BG327" s="477">
        <v>1215717.4497985567</v>
      </c>
      <c r="BH327" s="458">
        <v>5.4055759775667678E-2</v>
      </c>
      <c r="BI327" s="477">
        <v>9726002.9102486223</v>
      </c>
      <c r="BJ327" s="458">
        <v>0.10672194367551224</v>
      </c>
      <c r="BK327" s="477">
        <v>78510302.114692479</v>
      </c>
      <c r="BL327" s="458">
        <v>0.2715814137837862</v>
      </c>
      <c r="BM327" s="468">
        <v>5.4820739798023634</v>
      </c>
    </row>
    <row r="328" spans="12:65" x14ac:dyDescent="0.3">
      <c r="L328" s="427">
        <v>1517728.1305</v>
      </c>
      <c r="BE328" s="477">
        <v>4671871.5030717282</v>
      </c>
      <c r="BF328" s="458">
        <v>3.5773905982459775E-2</v>
      </c>
      <c r="BG328" s="477">
        <v>10613136.038692851</v>
      </c>
      <c r="BH328" s="458">
        <v>5.6212177577667166E-2</v>
      </c>
      <c r="BI328" s="477">
        <v>16389457.235732248</v>
      </c>
      <c r="BJ328" s="458">
        <v>0.13569171701609606</v>
      </c>
      <c r="BK328" s="477">
        <v>84330601.671997055</v>
      </c>
      <c r="BL328" s="458">
        <v>0.27098256752536165</v>
      </c>
      <c r="BM328" s="468">
        <v>7.7072900807058904</v>
      </c>
    </row>
    <row r="329" spans="12:65" x14ac:dyDescent="0.3">
      <c r="L329" s="427">
        <v>11981250.459000001</v>
      </c>
      <c r="BE329" s="477">
        <v>5520674.9255756987</v>
      </c>
      <c r="BF329" s="458">
        <v>4.727512525319022E-2</v>
      </c>
      <c r="BG329" s="477">
        <v>9226492.7169661168</v>
      </c>
      <c r="BH329" s="458">
        <v>5.6438428035795241E-2</v>
      </c>
      <c r="BI329" s="477">
        <v>17965691.398323473</v>
      </c>
      <c r="BJ329" s="458">
        <v>0.11039430991142307</v>
      </c>
      <c r="BK329" s="477">
        <v>105751871.92192608</v>
      </c>
      <c r="BL329" s="458">
        <v>0.29567144863243988</v>
      </c>
      <c r="BM329" s="468">
        <v>12.458931249827771</v>
      </c>
    </row>
    <row r="330" spans="12:65" x14ac:dyDescent="0.3">
      <c r="L330" s="427">
        <v>9600145.9551999997</v>
      </c>
      <c r="BE330" s="477">
        <v>1090768.0636606517</v>
      </c>
      <c r="BF330" s="458">
        <v>2.9137437884319439E-2</v>
      </c>
      <c r="BG330" s="477">
        <v>4766976.9923816528</v>
      </c>
      <c r="BH330" s="458">
        <v>7.7619728511851838E-2</v>
      </c>
      <c r="BI330" s="477">
        <v>10261240.860471966</v>
      </c>
      <c r="BJ330" s="458">
        <v>8.4618268832320709E-2</v>
      </c>
      <c r="BK330" s="477">
        <v>75709345.298897907</v>
      </c>
      <c r="BL330" s="458">
        <v>0.26945308713911231</v>
      </c>
      <c r="BM330" s="468">
        <v>5.3268284917779543</v>
      </c>
    </row>
    <row r="331" spans="12:65" x14ac:dyDescent="0.3">
      <c r="L331" s="427">
        <v>8288852.5055</v>
      </c>
      <c r="BE331" s="477">
        <v>4536345.1617822051</v>
      </c>
      <c r="BF331" s="458">
        <v>5.0892185252502387E-2</v>
      </c>
      <c r="BG331" s="477">
        <v>6170935.4198664883</v>
      </c>
      <c r="BH331" s="458">
        <v>6.3644567153272158E-2</v>
      </c>
      <c r="BI331" s="477">
        <v>2236081.9138158322</v>
      </c>
      <c r="BJ331" s="458">
        <v>0.13758912336552798</v>
      </c>
      <c r="BK331" s="477">
        <v>91075710.418921858</v>
      </c>
      <c r="BL331" s="458">
        <v>0.25412103106455297</v>
      </c>
      <c r="BM331" s="468">
        <v>11.822254560190906</v>
      </c>
    </row>
    <row r="332" spans="12:65" x14ac:dyDescent="0.3">
      <c r="L332" s="427">
        <v>6670349.5314999996</v>
      </c>
      <c r="BE332" s="477">
        <v>3987368.8464370575</v>
      </c>
      <c r="BF332" s="458">
        <v>2.7605512269332388E-2</v>
      </c>
      <c r="BG332" s="477">
        <v>11828461.249314392</v>
      </c>
      <c r="BH332" s="458">
        <v>9.417546897143847E-2</v>
      </c>
      <c r="BI332" s="477">
        <v>26901615.470625546</v>
      </c>
      <c r="BJ332" s="458">
        <v>0.15875639889085558</v>
      </c>
      <c r="BK332" s="477">
        <v>89354315.819477469</v>
      </c>
      <c r="BL332" s="458">
        <v>0.25893926642219545</v>
      </c>
      <c r="BM332" s="468">
        <v>7.4241852737717267</v>
      </c>
    </row>
    <row r="333" spans="12:65" x14ac:dyDescent="0.3">
      <c r="L333" s="427">
        <v>13494263.471799999</v>
      </c>
      <c r="BE333" s="477">
        <v>10411448.664769566</v>
      </c>
      <c r="BF333" s="458">
        <v>5.6755087162844609E-2</v>
      </c>
      <c r="BG333" s="477">
        <v>4524084.052205082</v>
      </c>
      <c r="BH333" s="458">
        <v>5.3478340080704401E-2</v>
      </c>
      <c r="BI333" s="477">
        <v>20091299.51832613</v>
      </c>
      <c r="BJ333" s="458">
        <v>0.11893455219909788</v>
      </c>
      <c r="BK333" s="477">
        <v>84131461.977166206</v>
      </c>
      <c r="BL333" s="458">
        <v>0.25812145491766625</v>
      </c>
      <c r="BM333" s="468">
        <v>6.3840535603951842</v>
      </c>
    </row>
    <row r="334" spans="12:65" x14ac:dyDescent="0.3">
      <c r="L334" s="427">
        <v>29787885.309599999</v>
      </c>
      <c r="BE334" s="477">
        <v>3584032.7394108055</v>
      </c>
      <c r="BF334" s="458">
        <v>5.7233523310594281E-2</v>
      </c>
      <c r="BG334" s="477">
        <v>4776719.6036431845</v>
      </c>
      <c r="BH334" s="458">
        <v>4.9924633701078802E-2</v>
      </c>
      <c r="BI334" s="477">
        <v>12340342.424310029</v>
      </c>
      <c r="BJ334" s="458">
        <v>0.13710950477443684</v>
      </c>
      <c r="BK334" s="477">
        <v>92704319.660759106</v>
      </c>
      <c r="BL334" s="458">
        <v>0.25322238036066125</v>
      </c>
      <c r="BM334" s="468">
        <v>4.3212945139450971</v>
      </c>
    </row>
    <row r="335" spans="12:65" x14ac:dyDescent="0.3">
      <c r="L335" s="427">
        <v>6400023.0137</v>
      </c>
      <c r="BE335" s="477">
        <v>7150512.607109311</v>
      </c>
      <c r="BF335" s="458">
        <v>3.2922094563580639E-2</v>
      </c>
      <c r="BG335" s="477">
        <v>4193779.3464211463</v>
      </c>
      <c r="BH335" s="458">
        <v>0.10494330574015009</v>
      </c>
      <c r="BI335" s="477">
        <v>17110670.448510323</v>
      </c>
      <c r="BJ335" s="458">
        <v>0.10657387630809345</v>
      </c>
      <c r="BK335" s="477">
        <v>103383813.1736684</v>
      </c>
      <c r="BL335" s="458">
        <v>0.25864636294991872</v>
      </c>
      <c r="BM335" s="468">
        <v>10.411131319846115</v>
      </c>
    </row>
    <row r="336" spans="12:65" x14ac:dyDescent="0.3">
      <c r="L336" s="427">
        <v>12591748.035</v>
      </c>
      <c r="BE336" s="477">
        <v>-537541.99437827163</v>
      </c>
      <c r="BF336" s="458">
        <v>5.0651320849582016E-2</v>
      </c>
      <c r="BG336" s="477">
        <v>16245829.715183059</v>
      </c>
      <c r="BH336" s="458">
        <v>9.8626115073237264E-2</v>
      </c>
      <c r="BI336" s="477">
        <v>21886549.449603193</v>
      </c>
      <c r="BJ336" s="458">
        <v>0.11152131555054079</v>
      </c>
      <c r="BK336" s="477">
        <v>86657069.501192287</v>
      </c>
      <c r="BL336" s="458">
        <v>0.27510238312314317</v>
      </c>
      <c r="BM336" s="468">
        <v>7.3617052133277197</v>
      </c>
    </row>
    <row r="337" spans="12:65" x14ac:dyDescent="0.3">
      <c r="L337" s="427">
        <v>7446975.7291000001</v>
      </c>
      <c r="BE337" s="477">
        <v>2924288.3131878744</v>
      </c>
      <c r="BF337" s="458">
        <v>3.0923224236791391E-2</v>
      </c>
      <c r="BG337" s="477">
        <v>-1840170.1375174741</v>
      </c>
      <c r="BH337" s="458">
        <v>5.5497929287958936E-2</v>
      </c>
      <c r="BI337" s="477">
        <v>18583023.109736782</v>
      </c>
      <c r="BJ337" s="458">
        <v>0.11534562549000227</v>
      </c>
      <c r="BK337" s="477">
        <v>91506013.666866109</v>
      </c>
      <c r="BL337" s="458">
        <v>0.25684389939159447</v>
      </c>
      <c r="BM337" s="468">
        <v>5.1418341105148002</v>
      </c>
    </row>
    <row r="338" spans="12:65" x14ac:dyDescent="0.3">
      <c r="L338" s="427">
        <v>-10068799.463199999</v>
      </c>
      <c r="BE338" s="477">
        <v>5958280.203747821</v>
      </c>
      <c r="BF338" s="458">
        <v>3.174328875244492E-2</v>
      </c>
      <c r="BG338" s="477">
        <v>3790705.5038319379</v>
      </c>
      <c r="BH338" s="458">
        <v>3.192282412289571E-2</v>
      </c>
      <c r="BI338" s="477">
        <v>18644828.950812332</v>
      </c>
      <c r="BJ338" s="458">
        <v>0.12050714298499665</v>
      </c>
      <c r="BK338" s="477">
        <v>102115462.8680252</v>
      </c>
      <c r="BL338" s="458">
        <v>0.2554938428049276</v>
      </c>
      <c r="BM338" s="468">
        <v>7.0365883475317093</v>
      </c>
    </row>
    <row r="339" spans="12:65" x14ac:dyDescent="0.3">
      <c r="L339" s="427">
        <v>16840816.274500001</v>
      </c>
      <c r="BE339" s="477">
        <v>3829032.956688276</v>
      </c>
      <c r="BF339" s="458">
        <v>3.2397210045381541E-2</v>
      </c>
      <c r="BG339" s="477">
        <v>7441223.0686340509</v>
      </c>
      <c r="BH339" s="458">
        <v>0.1051463424790835</v>
      </c>
      <c r="BI339" s="477">
        <v>14168823.642698016</v>
      </c>
      <c r="BJ339" s="458">
        <v>0.11880399712361567</v>
      </c>
      <c r="BK339" s="477">
        <v>95226331.089074075</v>
      </c>
      <c r="BL339" s="458">
        <v>0.26892962956255384</v>
      </c>
      <c r="BM339" s="468">
        <v>10.875618493922413</v>
      </c>
    </row>
    <row r="340" spans="12:65" x14ac:dyDescent="0.3">
      <c r="L340" s="427">
        <v>8829980.9781999998</v>
      </c>
      <c r="BE340" s="477">
        <v>3720702.9707216658</v>
      </c>
      <c r="BF340" s="458">
        <v>4.8707133253150126E-2</v>
      </c>
      <c r="BG340" s="477">
        <v>6093333.0106028738</v>
      </c>
      <c r="BH340" s="458">
        <v>7.1063935707509795E-2</v>
      </c>
      <c r="BI340" s="477">
        <v>16670510.455478158</v>
      </c>
      <c r="BJ340" s="458">
        <v>9.7964246959592938E-2</v>
      </c>
      <c r="BK340" s="477">
        <v>81627781.944385573</v>
      </c>
      <c r="BL340" s="458">
        <v>0.26257241244232432</v>
      </c>
      <c r="BM340" s="468">
        <v>3.1624262603634286</v>
      </c>
    </row>
    <row r="341" spans="12:65" x14ac:dyDescent="0.3">
      <c r="L341" s="427">
        <v>13104452.808599999</v>
      </c>
      <c r="BE341" s="477">
        <v>9666259.4893844202</v>
      </c>
      <c r="BF341" s="458">
        <v>2.6083529817669593E-2</v>
      </c>
      <c r="BG341" s="477">
        <v>11747623.715882413</v>
      </c>
      <c r="BH341" s="458">
        <v>6.8292791827821553E-2</v>
      </c>
      <c r="BI341" s="477">
        <v>13269680.999362256</v>
      </c>
      <c r="BJ341" s="458">
        <v>0.11033253619964611</v>
      </c>
      <c r="BK341" s="477">
        <v>93215008.171031386</v>
      </c>
      <c r="BL341" s="458">
        <v>0.25349349656091236</v>
      </c>
      <c r="BM341" s="468">
        <v>8.5267378998964549</v>
      </c>
    </row>
    <row r="342" spans="12:65" x14ac:dyDescent="0.3">
      <c r="L342" s="427">
        <v>-310232.7868</v>
      </c>
      <c r="BE342" s="477">
        <v>6955362.0513260961</v>
      </c>
      <c r="BF342" s="458">
        <v>3.9555547443721917E-2</v>
      </c>
      <c r="BG342" s="477">
        <v>6784325.2454859894</v>
      </c>
      <c r="BH342" s="458">
        <v>6.794574788784935E-2</v>
      </c>
      <c r="BI342" s="477">
        <v>22427801.404670272</v>
      </c>
      <c r="BJ342" s="458">
        <v>0.11104008108726493</v>
      </c>
      <c r="BK342" s="477">
        <v>94433559.233182654</v>
      </c>
      <c r="BL342" s="458">
        <v>0.29386849384024538</v>
      </c>
      <c r="BM342" s="468">
        <v>3.3424556372215015</v>
      </c>
    </row>
    <row r="343" spans="12:65" x14ac:dyDescent="0.3">
      <c r="L343" s="427">
        <v>3419253.5628999998</v>
      </c>
      <c r="BE343" s="477">
        <v>3508172.2103709998</v>
      </c>
      <c r="BF343" s="458">
        <v>3.1078735166937488E-2</v>
      </c>
      <c r="BG343" s="477">
        <v>2683290.6325832107</v>
      </c>
      <c r="BH343" s="458">
        <v>8.9284843347477993E-2</v>
      </c>
      <c r="BI343" s="477">
        <v>9380741.5302671343</v>
      </c>
      <c r="BJ343" s="458">
        <v>9.7355593221937875E-2</v>
      </c>
      <c r="BK343" s="477">
        <v>89282329.938187063</v>
      </c>
      <c r="BL343" s="458">
        <v>0.267515896311044</v>
      </c>
      <c r="BM343" s="468">
        <v>11.684567004973303</v>
      </c>
    </row>
    <row r="344" spans="12:65" x14ac:dyDescent="0.3">
      <c r="L344" s="427">
        <v>7677732.0091000004</v>
      </c>
      <c r="BE344" s="477">
        <v>7927394.9080915637</v>
      </c>
      <c r="BF344" s="458">
        <v>4.6168578370332281E-2</v>
      </c>
      <c r="BG344" s="477">
        <v>3643172.6236509699</v>
      </c>
      <c r="BH344" s="458">
        <v>4.9260540032516342E-2</v>
      </c>
      <c r="BI344" s="477">
        <v>15242751.499313448</v>
      </c>
      <c r="BJ344" s="458">
        <v>9.4995612667492901E-2</v>
      </c>
      <c r="BK344" s="477">
        <v>96513508.644646615</v>
      </c>
      <c r="BL344" s="458">
        <v>0.27288738144246927</v>
      </c>
      <c r="BM344" s="468">
        <v>6.3867561706124132</v>
      </c>
    </row>
    <row r="345" spans="12:65" x14ac:dyDescent="0.3">
      <c r="L345" s="427">
        <v>14473917.7618</v>
      </c>
      <c r="BE345" s="477">
        <v>4384588.4071255606</v>
      </c>
      <c r="BF345" s="458">
        <v>3.4824786062915836E-2</v>
      </c>
      <c r="BG345" s="477">
        <v>10885756.125231927</v>
      </c>
      <c r="BH345" s="458">
        <v>7.3573130662555331E-2</v>
      </c>
      <c r="BI345" s="477">
        <v>14766647.689658927</v>
      </c>
      <c r="BJ345" s="458">
        <v>0.10788395237210513</v>
      </c>
      <c r="BK345" s="477">
        <v>89397811.132757053</v>
      </c>
      <c r="BL345" s="458">
        <v>0.26047974788965966</v>
      </c>
      <c r="BM345" s="468">
        <v>6.1647052282211616</v>
      </c>
    </row>
    <row r="346" spans="12:65" x14ac:dyDescent="0.3">
      <c r="L346" s="427">
        <v>9452441.1889999993</v>
      </c>
      <c r="BE346" s="477">
        <v>1405172.1536041263</v>
      </c>
      <c r="BF346" s="458">
        <v>4.8934478772586942E-2</v>
      </c>
      <c r="BG346" s="477">
        <v>7727685.5068610245</v>
      </c>
      <c r="BH346" s="458">
        <v>6.9599832944869711E-2</v>
      </c>
      <c r="BI346" s="477">
        <v>13742335.825689731</v>
      </c>
      <c r="BJ346" s="458">
        <v>0.10779355604246899</v>
      </c>
      <c r="BK346" s="477">
        <v>98649084.866455808</v>
      </c>
      <c r="BL346" s="458">
        <v>0.26623894424810834</v>
      </c>
      <c r="BM346" s="468">
        <v>5.7156757135162248</v>
      </c>
    </row>
    <row r="347" spans="12:65" x14ac:dyDescent="0.3">
      <c r="L347" s="427">
        <v>19722293.163400002</v>
      </c>
      <c r="BE347" s="477">
        <v>2221854.5933155185</v>
      </c>
      <c r="BF347" s="458">
        <v>5.873236439293783E-2</v>
      </c>
      <c r="BG347" s="477">
        <v>9336797.2242959235</v>
      </c>
      <c r="BH347" s="458">
        <v>5.2385555324593991E-2</v>
      </c>
      <c r="BI347" s="477">
        <v>16019723.91806525</v>
      </c>
      <c r="BJ347" s="458">
        <v>8.5111344273393064E-2</v>
      </c>
      <c r="BK347" s="477">
        <v>80733842.082960784</v>
      </c>
      <c r="BL347" s="458">
        <v>0.283840500844317</v>
      </c>
      <c r="BM347" s="468">
        <v>7.7636916840505963</v>
      </c>
    </row>
    <row r="348" spans="12:65" x14ac:dyDescent="0.3">
      <c r="L348" s="427">
        <v>11438462.8686</v>
      </c>
      <c r="BE348" s="477">
        <v>9854585.134947069</v>
      </c>
      <c r="BF348" s="458">
        <v>3.4004792441848064E-2</v>
      </c>
      <c r="BG348" s="477">
        <v>11755479.136371419</v>
      </c>
      <c r="BH348" s="458">
        <v>6.5352164084943487E-2</v>
      </c>
      <c r="BI348" s="477">
        <v>449457.37090560282</v>
      </c>
      <c r="BJ348" s="458">
        <v>0.10842351901898217</v>
      </c>
      <c r="BK348" s="477">
        <v>91497692.821764424</v>
      </c>
      <c r="BL348" s="458">
        <v>0.27365112694396032</v>
      </c>
      <c r="BM348" s="468">
        <v>9.5585902870421897</v>
      </c>
    </row>
    <row r="349" spans="12:65" x14ac:dyDescent="0.3">
      <c r="L349" s="427">
        <v>18890013.976199999</v>
      </c>
      <c r="BE349" s="477">
        <v>2809270.5605427092</v>
      </c>
      <c r="BF349" s="458">
        <v>2.6009377562440594E-2</v>
      </c>
      <c r="BG349" s="477">
        <v>7760952.5016254429</v>
      </c>
      <c r="BH349" s="458">
        <v>7.3440984418148281E-2</v>
      </c>
      <c r="BI349" s="477">
        <v>12797966.917598333</v>
      </c>
      <c r="BJ349" s="458">
        <v>0.10719290709628382</v>
      </c>
      <c r="BK349" s="477">
        <v>82931131.297903538</v>
      </c>
      <c r="BL349" s="458">
        <v>0.25893162308736439</v>
      </c>
      <c r="BM349" s="468">
        <v>12.777920805834238</v>
      </c>
    </row>
    <row r="350" spans="12:65" x14ac:dyDescent="0.3">
      <c r="L350" s="427">
        <v>4684427.8425000003</v>
      </c>
      <c r="BE350" s="477">
        <v>4429790.1449542502</v>
      </c>
      <c r="BF350" s="458">
        <v>3.6443656056559526E-2</v>
      </c>
      <c r="BG350" s="477">
        <v>13115758.732280359</v>
      </c>
      <c r="BH350" s="458">
        <v>7.7931762741119348E-2</v>
      </c>
      <c r="BI350" s="477">
        <v>17114187.992139328</v>
      </c>
      <c r="BJ350" s="458">
        <v>9.070655846720288E-2</v>
      </c>
      <c r="BK350" s="477">
        <v>92273467.83664082</v>
      </c>
      <c r="BL350" s="458">
        <v>0.24900803926017723</v>
      </c>
      <c r="BM350" s="468">
        <v>4.5079294804269594</v>
      </c>
    </row>
    <row r="351" spans="12:65" x14ac:dyDescent="0.3">
      <c r="L351" s="427">
        <v>8943305.6179000009</v>
      </c>
      <c r="BE351" s="477">
        <v>8636652.8732593562</v>
      </c>
      <c r="BF351" s="458">
        <v>5.1777842524134643E-2</v>
      </c>
      <c r="BG351" s="477">
        <v>6868407.8865471333</v>
      </c>
      <c r="BH351" s="458">
        <v>8.7053025615482005E-2</v>
      </c>
      <c r="BI351" s="477">
        <v>19383875.042056613</v>
      </c>
      <c r="BJ351" s="458">
        <v>0.12086167593558561</v>
      </c>
      <c r="BK351" s="477">
        <v>85327114.008815452</v>
      </c>
      <c r="BL351" s="458">
        <v>0.27973882504552949</v>
      </c>
      <c r="BM351" s="468">
        <v>12.373644930099347</v>
      </c>
    </row>
    <row r="352" spans="12:65" x14ac:dyDescent="0.3">
      <c r="L352" s="427">
        <v>16016495.989800001</v>
      </c>
      <c r="BE352" s="477">
        <v>5549118.3253047336</v>
      </c>
      <c r="BF352" s="458">
        <v>5.2512914298165958E-2</v>
      </c>
      <c r="BG352" s="477">
        <v>15274586.420718972</v>
      </c>
      <c r="BH352" s="458">
        <v>4.534504627591196E-2</v>
      </c>
      <c r="BI352" s="477">
        <v>14448040.176852595</v>
      </c>
      <c r="BJ352" s="458">
        <v>0.11329023845704245</v>
      </c>
      <c r="BK352" s="477">
        <v>92355099.48943767</v>
      </c>
      <c r="BL352" s="458">
        <v>0.26790188716796104</v>
      </c>
      <c r="BM352" s="468">
        <v>13.516063123946711</v>
      </c>
    </row>
    <row r="353" spans="12:65" x14ac:dyDescent="0.3">
      <c r="L353" s="427">
        <v>14201972.1525</v>
      </c>
      <c r="BE353" s="477">
        <v>5908682.1485978495</v>
      </c>
      <c r="BF353" s="458">
        <v>4.2167262551117801E-2</v>
      </c>
      <c r="BG353" s="477">
        <v>8895411.0334490165</v>
      </c>
      <c r="BH353" s="458">
        <v>9.8942680641196601E-2</v>
      </c>
      <c r="BI353" s="477">
        <v>20682742.602617182</v>
      </c>
      <c r="BJ353" s="458">
        <v>0.10428637542686925</v>
      </c>
      <c r="BK353" s="477">
        <v>82370650.971988395</v>
      </c>
      <c r="BL353" s="458">
        <v>0.28329866892968036</v>
      </c>
      <c r="BM353" s="468">
        <v>5.3901641606437014</v>
      </c>
    </row>
    <row r="354" spans="12:65" x14ac:dyDescent="0.3">
      <c r="L354" s="427">
        <v>5452187.6755999997</v>
      </c>
      <c r="BE354" s="477">
        <v>4203915.2460470572</v>
      </c>
      <c r="BF354" s="458">
        <v>2.7763725324038813E-2</v>
      </c>
      <c r="BG354" s="477">
        <v>10575321.14455816</v>
      </c>
      <c r="BH354" s="458">
        <v>4.6343247929645948E-2</v>
      </c>
      <c r="BI354" s="477">
        <v>21688405.506579898</v>
      </c>
      <c r="BJ354" s="458">
        <v>0.1247710230803778</v>
      </c>
      <c r="BK354" s="477">
        <v>85976259.559564859</v>
      </c>
      <c r="BL354" s="458">
        <v>0.27517471208582744</v>
      </c>
      <c r="BM354" s="468">
        <v>6.2876155907437941</v>
      </c>
    </row>
    <row r="355" spans="12:65" x14ac:dyDescent="0.3">
      <c r="L355" s="427">
        <v>8211451.4475999996</v>
      </c>
      <c r="BE355" s="477">
        <v>2580544.1793826027</v>
      </c>
      <c r="BF355" s="458">
        <v>4.9417512226710203E-2</v>
      </c>
      <c r="BG355" s="477">
        <v>11197165.711983398</v>
      </c>
      <c r="BH355" s="458">
        <v>6.7206122717867967E-2</v>
      </c>
      <c r="BI355" s="477">
        <v>16962944.319559164</v>
      </c>
      <c r="BJ355" s="458">
        <v>0.10719596521448493</v>
      </c>
      <c r="BK355" s="477">
        <v>85195581.97294797</v>
      </c>
      <c r="BL355" s="458">
        <v>0.31848361549060633</v>
      </c>
      <c r="BM355" s="468">
        <v>12.319494026230526</v>
      </c>
    </row>
    <row r="356" spans="12:65" x14ac:dyDescent="0.3">
      <c r="L356" s="427">
        <v>6829286.1047999999</v>
      </c>
      <c r="BE356" s="477">
        <v>5048331.7363958117</v>
      </c>
      <c r="BF356" s="458">
        <v>4.9232306500224254E-2</v>
      </c>
      <c r="BG356" s="477">
        <v>9862842.6231333781</v>
      </c>
      <c r="BH356" s="458">
        <v>6.375951901602428E-2</v>
      </c>
      <c r="BI356" s="477">
        <v>24210720.730143413</v>
      </c>
      <c r="BJ356" s="458">
        <v>0.10731439604820681</v>
      </c>
      <c r="BK356" s="477">
        <v>85557657.33425954</v>
      </c>
      <c r="BL356" s="458">
        <v>0.27784238169000264</v>
      </c>
      <c r="BM356" s="468">
        <v>8.628977837186067</v>
      </c>
    </row>
    <row r="357" spans="12:65" x14ac:dyDescent="0.3">
      <c r="L357" s="427">
        <v>14468590.531300001</v>
      </c>
      <c r="BE357" s="477">
        <v>5836082.9004384438</v>
      </c>
      <c r="BF357" s="458">
        <v>4.3884877670264055E-2</v>
      </c>
      <c r="BG357" s="477">
        <v>9094803.5503113084</v>
      </c>
      <c r="BH357" s="458">
        <v>7.3425740950941565E-2</v>
      </c>
      <c r="BI357" s="477">
        <v>16761851.466095423</v>
      </c>
      <c r="BJ357" s="458">
        <v>0.10091159182944787</v>
      </c>
      <c r="BK357" s="477">
        <v>89518513.779375583</v>
      </c>
      <c r="BL357" s="458">
        <v>0.26758411486961386</v>
      </c>
      <c r="BM357" s="468">
        <v>10.085395036880469</v>
      </c>
    </row>
    <row r="358" spans="12:65" x14ac:dyDescent="0.3">
      <c r="L358" s="427">
        <v>-141588.85019999999</v>
      </c>
      <c r="BE358" s="477">
        <v>923393.76034430158</v>
      </c>
      <c r="BF358" s="458">
        <v>1.4132881237794104E-2</v>
      </c>
      <c r="BG358" s="477">
        <v>11865316.064309625</v>
      </c>
      <c r="BH358" s="458">
        <v>6.5607429669595652E-2</v>
      </c>
      <c r="BI358" s="477">
        <v>13306840.816309586</v>
      </c>
      <c r="BJ358" s="458">
        <v>0.11131759244986106</v>
      </c>
      <c r="BK358" s="477">
        <v>90934935.855034232</v>
      </c>
      <c r="BL358" s="458">
        <v>0.27758021380441344</v>
      </c>
      <c r="BM358" s="468">
        <v>6.9778446184834166</v>
      </c>
    </row>
    <row r="359" spans="12:65" x14ac:dyDescent="0.3">
      <c r="L359" s="427">
        <v>1937945.3652999999</v>
      </c>
      <c r="BE359" s="477">
        <v>4200847.108885535</v>
      </c>
      <c r="BF359" s="458">
        <v>3.3260330123313864E-2</v>
      </c>
      <c r="BG359" s="477">
        <v>10222817.10824243</v>
      </c>
      <c r="BH359" s="458">
        <v>6.6483689054196216E-2</v>
      </c>
      <c r="BI359" s="477">
        <v>17057009.964656431</v>
      </c>
      <c r="BJ359" s="458">
        <v>0.10380402357691509</v>
      </c>
      <c r="BK359" s="477">
        <v>100360103.65446325</v>
      </c>
      <c r="BL359" s="458">
        <v>0.25432614896859906</v>
      </c>
      <c r="BM359" s="468">
        <v>14.666655350996976</v>
      </c>
    </row>
    <row r="360" spans="12:65" x14ac:dyDescent="0.3">
      <c r="L360" s="427">
        <v>6191183.6941999998</v>
      </c>
      <c r="BE360" s="477">
        <v>687140.20334556943</v>
      </c>
      <c r="BF360" s="458">
        <v>2.5867246347469619E-2</v>
      </c>
      <c r="BG360" s="477">
        <v>12610649.306642931</v>
      </c>
      <c r="BH360" s="458">
        <v>9.0401361558016591E-2</v>
      </c>
      <c r="BI360" s="477">
        <v>10692326.614379266</v>
      </c>
      <c r="BJ360" s="458">
        <v>0.11408636948894291</v>
      </c>
      <c r="BK360" s="477">
        <v>91070157.675804555</v>
      </c>
      <c r="BL360" s="458">
        <v>0.27834325542403104</v>
      </c>
      <c r="BM360" s="468">
        <v>1.7276101349665609</v>
      </c>
    </row>
    <row r="361" spans="12:65" x14ac:dyDescent="0.3">
      <c r="L361" s="427">
        <v>-3935169.9295999999</v>
      </c>
      <c r="BE361" s="477">
        <v>1491158.6299279656</v>
      </c>
      <c r="BF361" s="458">
        <v>2.1765053081479024E-2</v>
      </c>
      <c r="BG361" s="477">
        <v>3277653.5281657414</v>
      </c>
      <c r="BH361" s="458">
        <v>5.8343967524322471E-2</v>
      </c>
      <c r="BI361" s="477">
        <v>12120446.224178217</v>
      </c>
      <c r="BJ361" s="458">
        <v>0.13049465205148625</v>
      </c>
      <c r="BK361" s="477">
        <v>63994060.528308779</v>
      </c>
      <c r="BL361" s="458">
        <v>0.28058121471837816</v>
      </c>
      <c r="BM361" s="468">
        <v>7.1215042495128182</v>
      </c>
    </row>
    <row r="362" spans="12:65" x14ac:dyDescent="0.3">
      <c r="L362" s="427">
        <v>-12590315.1446</v>
      </c>
      <c r="BE362" s="477">
        <v>4657528.8001724752</v>
      </c>
      <c r="BF362" s="458">
        <v>4.9084617490158688E-2</v>
      </c>
      <c r="BG362" s="477">
        <v>12374778.29434965</v>
      </c>
      <c r="BH362" s="458">
        <v>2.9653516136996405E-2</v>
      </c>
      <c r="BI362" s="477">
        <v>21087358.055646863</v>
      </c>
      <c r="BJ362" s="458">
        <v>9.937042528024298E-2</v>
      </c>
      <c r="BK362" s="477">
        <v>84040768.090707898</v>
      </c>
      <c r="BL362" s="458">
        <v>0.26505972156570734</v>
      </c>
      <c r="BM362" s="468">
        <v>4.3665427275746662</v>
      </c>
    </row>
    <row r="363" spans="12:65" x14ac:dyDescent="0.3">
      <c r="L363" s="427">
        <v>18825138.7086</v>
      </c>
      <c r="BE363" s="477">
        <v>-738857.96446697833</v>
      </c>
      <c r="BF363" s="458">
        <v>5.4780420294989307E-2</v>
      </c>
      <c r="BG363" s="477">
        <v>12750654.783113224</v>
      </c>
      <c r="BH363" s="458">
        <v>6.9645392069757728E-2</v>
      </c>
      <c r="BI363" s="477">
        <v>22389859.574288387</v>
      </c>
      <c r="BJ363" s="458">
        <v>0.11403860343022654</v>
      </c>
      <c r="BK363" s="477">
        <v>87963550.325556755</v>
      </c>
      <c r="BL363" s="458">
        <v>0.26821293748265651</v>
      </c>
      <c r="BM363" s="468">
        <v>9.8478282972529012</v>
      </c>
    </row>
    <row r="364" spans="12:65" x14ac:dyDescent="0.3">
      <c r="L364" s="427">
        <v>5740950.2072000001</v>
      </c>
      <c r="BE364" s="477">
        <v>7555632.9052202338</v>
      </c>
      <c r="BF364" s="458">
        <v>2.7504572479392753E-2</v>
      </c>
      <c r="BG364" s="477">
        <v>8328360.1418151231</v>
      </c>
      <c r="BH364" s="458">
        <v>8.2358358715647118E-2</v>
      </c>
      <c r="BI364" s="477">
        <v>18299228.081977177</v>
      </c>
      <c r="BJ364" s="458">
        <v>0.12277334703324772</v>
      </c>
      <c r="BK364" s="477">
        <v>97542511.184041753</v>
      </c>
      <c r="BL364" s="458">
        <v>0.25589916821631586</v>
      </c>
      <c r="BM364" s="468">
        <v>5.7417363123498522</v>
      </c>
    </row>
    <row r="365" spans="12:65" x14ac:dyDescent="0.3">
      <c r="L365" s="427">
        <v>8740531.0578000005</v>
      </c>
      <c r="BE365" s="477">
        <v>5958191.1148986584</v>
      </c>
      <c r="BF365" s="458">
        <v>4.3772075413121891E-2</v>
      </c>
      <c r="BG365" s="477">
        <v>9439673.5782733262</v>
      </c>
      <c r="BH365" s="458">
        <v>6.4663341160397625E-2</v>
      </c>
      <c r="BI365" s="477">
        <v>26411025.279842652</v>
      </c>
      <c r="BJ365" s="458">
        <v>0.13139689860818593</v>
      </c>
      <c r="BK365" s="477">
        <v>93207682.661158711</v>
      </c>
      <c r="BL365" s="458">
        <v>0.26127280544922749</v>
      </c>
      <c r="BM365" s="468">
        <v>10.179991984440523</v>
      </c>
    </row>
    <row r="366" spans="12:65" x14ac:dyDescent="0.3">
      <c r="L366" s="427">
        <v>3008844.2086</v>
      </c>
      <c r="BE366" s="477">
        <v>6833005.0641417066</v>
      </c>
      <c r="BF366" s="458">
        <v>4.8318408858158524E-2</v>
      </c>
      <c r="BG366" s="477">
        <v>12452498.187839566</v>
      </c>
      <c r="BH366" s="458">
        <v>7.5143813978028273E-2</v>
      </c>
      <c r="BI366" s="477">
        <v>15154040.038582707</v>
      </c>
      <c r="BJ366" s="458">
        <v>9.6731903881165149E-2</v>
      </c>
      <c r="BK366" s="477">
        <v>91801680.015745118</v>
      </c>
      <c r="BL366" s="458">
        <v>0.24632319335942676</v>
      </c>
      <c r="BM366" s="468">
        <v>5.3919283762284307</v>
      </c>
    </row>
    <row r="367" spans="12:65" x14ac:dyDescent="0.3">
      <c r="L367" s="427">
        <v>11930000.9417</v>
      </c>
      <c r="BE367" s="477">
        <v>5249294.8111849409</v>
      </c>
      <c r="BF367" s="458">
        <v>4.8170047661306503E-2</v>
      </c>
      <c r="BG367" s="477">
        <v>10230083.563342119</v>
      </c>
      <c r="BH367" s="458">
        <v>6.4129310735614897E-2</v>
      </c>
      <c r="BI367" s="477">
        <v>13304230.927345283</v>
      </c>
      <c r="BJ367" s="458">
        <v>9.9349022715801372E-2</v>
      </c>
      <c r="BK367" s="477">
        <v>77991213.514254659</v>
      </c>
      <c r="BL367" s="458">
        <v>0.2603377961781792</v>
      </c>
      <c r="BM367" s="468">
        <v>8.0036609141715775</v>
      </c>
    </row>
    <row r="368" spans="12:65" x14ac:dyDescent="0.3">
      <c r="L368" s="427">
        <v>-5966256.7976000002</v>
      </c>
      <c r="BE368" s="477">
        <v>1613577.3753955499</v>
      </c>
      <c r="BF368" s="458">
        <v>3.6773502896541244E-2</v>
      </c>
      <c r="BG368" s="477">
        <v>7552310.1504768543</v>
      </c>
      <c r="BH368" s="458">
        <v>6.56636630368157E-2</v>
      </c>
      <c r="BI368" s="477">
        <v>19628687.549372487</v>
      </c>
      <c r="BJ368" s="458">
        <v>9.9296557527902785E-2</v>
      </c>
      <c r="BK368" s="477">
        <v>100822652.72829065</v>
      </c>
      <c r="BL368" s="458">
        <v>0.25254613090114897</v>
      </c>
      <c r="BM368" s="468">
        <v>8.8264652290324328</v>
      </c>
    </row>
    <row r="369" spans="12:65" x14ac:dyDescent="0.3">
      <c r="L369" s="427">
        <v>19318737.5953</v>
      </c>
      <c r="BE369" s="477">
        <v>3891576.3755751676</v>
      </c>
      <c r="BF369" s="458">
        <v>4.086745795106328E-2</v>
      </c>
      <c r="BG369" s="477">
        <v>12958229.939678954</v>
      </c>
      <c r="BH369" s="458">
        <v>5.7669655563737265E-2</v>
      </c>
      <c r="BI369" s="477">
        <v>6874432.2122616852</v>
      </c>
      <c r="BJ369" s="458">
        <v>0.12453725749162858</v>
      </c>
      <c r="BK369" s="477">
        <v>77270464.004555747</v>
      </c>
      <c r="BL369" s="458">
        <v>0.25931239314249765</v>
      </c>
      <c r="BM369" s="468">
        <v>13.47299856246155</v>
      </c>
    </row>
    <row r="370" spans="12:65" x14ac:dyDescent="0.3">
      <c r="L370" s="427">
        <v>15575683.3476</v>
      </c>
      <c r="BE370" s="477">
        <v>1595103.5464683911</v>
      </c>
      <c r="BF370" s="458">
        <v>4.0224055130372971E-2</v>
      </c>
      <c r="BG370" s="477">
        <v>11848345.867764244</v>
      </c>
      <c r="BH370" s="458">
        <v>5.3339113601341914E-2</v>
      </c>
      <c r="BI370" s="477">
        <v>12925770.961250225</v>
      </c>
      <c r="BJ370" s="458">
        <v>0.11262008389378608</v>
      </c>
      <c r="BK370" s="477">
        <v>85816657.347107977</v>
      </c>
      <c r="BL370" s="458">
        <v>0.2924520113591027</v>
      </c>
      <c r="BM370" s="468">
        <v>8.7802893930651233</v>
      </c>
    </row>
    <row r="371" spans="12:65" x14ac:dyDescent="0.3">
      <c r="L371" s="427">
        <v>17163514.616900001</v>
      </c>
      <c r="BE371" s="477">
        <v>10736435.867629196</v>
      </c>
      <c r="BF371" s="458">
        <v>3.6135552857065933E-2</v>
      </c>
      <c r="BG371" s="477">
        <v>13076327.787118256</v>
      </c>
      <c r="BH371" s="458">
        <v>6.7318828930412522E-2</v>
      </c>
      <c r="BI371" s="477">
        <v>13366013.185256364</v>
      </c>
      <c r="BJ371" s="458">
        <v>0.10843345208847843</v>
      </c>
      <c r="BK371" s="477">
        <v>97520526.694847301</v>
      </c>
      <c r="BL371" s="458">
        <v>0.25438168420828333</v>
      </c>
      <c r="BM371" s="468">
        <v>9.2766585980915259</v>
      </c>
    </row>
    <row r="372" spans="12:65" x14ac:dyDescent="0.3">
      <c r="L372" s="427">
        <v>21707985.109000001</v>
      </c>
      <c r="BE372" s="477">
        <v>4339397.0694149565</v>
      </c>
      <c r="BF372" s="458">
        <v>6.7294241837328572E-2</v>
      </c>
      <c r="BG372" s="477">
        <v>5077214.9452432189</v>
      </c>
      <c r="BH372" s="458">
        <v>5.3754685820784021E-2</v>
      </c>
      <c r="BI372" s="477">
        <v>16559991.613845773</v>
      </c>
      <c r="BJ372" s="458">
        <v>0.11947711132838079</v>
      </c>
      <c r="BK372" s="477">
        <v>95586736.977769166</v>
      </c>
      <c r="BL372" s="458">
        <v>0.28197568801717621</v>
      </c>
      <c r="BM372" s="468">
        <v>5.8146992860133802</v>
      </c>
    </row>
    <row r="373" spans="12:65" x14ac:dyDescent="0.3">
      <c r="L373" s="427">
        <v>17081795.291299999</v>
      </c>
      <c r="BE373" s="477">
        <v>3608256.0325670321</v>
      </c>
      <c r="BF373" s="458">
        <v>5.7749629664396229E-2</v>
      </c>
      <c r="BG373" s="477">
        <v>7074584.2457603319</v>
      </c>
      <c r="BH373" s="458">
        <v>4.2115247985665016E-2</v>
      </c>
      <c r="BI373" s="477">
        <v>19495119.970765963</v>
      </c>
      <c r="BJ373" s="458">
        <v>0.10886612484416003</v>
      </c>
      <c r="BK373" s="477">
        <v>91087208.042424113</v>
      </c>
      <c r="BL373" s="458">
        <v>0.26011971647198728</v>
      </c>
      <c r="BM373" s="468">
        <v>2.909284240738649</v>
      </c>
    </row>
    <row r="374" spans="12:65" x14ac:dyDescent="0.3">
      <c r="L374" s="427">
        <v>9483301.0120000001</v>
      </c>
      <c r="BE374" s="477">
        <v>3556914.7779670195</v>
      </c>
      <c r="BF374" s="458">
        <v>2.6953038101116267E-2</v>
      </c>
      <c r="BG374" s="477">
        <v>10198671.577125067</v>
      </c>
      <c r="BH374" s="458">
        <v>5.3838203274832575E-2</v>
      </c>
      <c r="BI374" s="477">
        <v>15525473.938684175</v>
      </c>
      <c r="BJ374" s="458">
        <v>0.15285565410167612</v>
      </c>
      <c r="BK374" s="477">
        <v>96242907.93175137</v>
      </c>
      <c r="BL374" s="458">
        <v>0.2586635572267606</v>
      </c>
      <c r="BM374" s="468">
        <v>7.3070960782216892</v>
      </c>
    </row>
    <row r="375" spans="12:65" x14ac:dyDescent="0.3">
      <c r="L375" s="427">
        <v>4847839.17</v>
      </c>
      <c r="BE375" s="477">
        <v>3323003.7603121265</v>
      </c>
      <c r="BF375" s="458">
        <v>3.039592898308352E-2</v>
      </c>
      <c r="BG375" s="477">
        <v>5029254.0600121906</v>
      </c>
      <c r="BH375" s="458">
        <v>6.4788200569594778E-2</v>
      </c>
      <c r="BI375" s="477">
        <v>13159364.178058507</v>
      </c>
      <c r="BJ375" s="458">
        <v>0.11875185067937011</v>
      </c>
      <c r="BK375" s="477">
        <v>91995923.656371504</v>
      </c>
      <c r="BL375" s="458">
        <v>0.26896801580130503</v>
      </c>
      <c r="BM375" s="468">
        <v>7.6260110374345107</v>
      </c>
    </row>
    <row r="376" spans="12:65" x14ac:dyDescent="0.3">
      <c r="L376" s="427">
        <v>12807992.377800001</v>
      </c>
      <c r="BE376" s="477">
        <v>8119554.7605316509</v>
      </c>
      <c r="BF376" s="458">
        <v>2.3579880243162155E-2</v>
      </c>
      <c r="BG376" s="477">
        <v>4464996.8157703541</v>
      </c>
      <c r="BH376" s="458">
        <v>6.3235393062563983E-2</v>
      </c>
      <c r="BI376" s="477">
        <v>11762185.261805186</v>
      </c>
      <c r="BJ376" s="458">
        <v>0.11251272833253689</v>
      </c>
      <c r="BK376" s="477">
        <v>105450110.43701701</v>
      </c>
      <c r="BL376" s="458">
        <v>0.2579239200879222</v>
      </c>
      <c r="BM376" s="468">
        <v>3.3596574077457229</v>
      </c>
    </row>
    <row r="377" spans="12:65" x14ac:dyDescent="0.3">
      <c r="L377" s="427">
        <v>-4714659.3992999997</v>
      </c>
      <c r="BE377" s="477">
        <v>7148786.0181294158</v>
      </c>
      <c r="BF377" s="458">
        <v>4.6618248101752746E-2</v>
      </c>
      <c r="BG377" s="477">
        <v>12069069.605490319</v>
      </c>
      <c r="BH377" s="458">
        <v>7.7362369428424671E-2</v>
      </c>
      <c r="BI377" s="477">
        <v>18412204.265056606</v>
      </c>
      <c r="BJ377" s="458">
        <v>0.10083513514236864</v>
      </c>
      <c r="BK377" s="477">
        <v>76293209.213206872</v>
      </c>
      <c r="BL377" s="458">
        <v>0.25365861961864344</v>
      </c>
      <c r="BM377" s="468">
        <v>2.2707630780277563</v>
      </c>
    </row>
    <row r="378" spans="12:65" x14ac:dyDescent="0.3">
      <c r="L378" s="427">
        <v>-1691836.1580000001</v>
      </c>
      <c r="BE378" s="477">
        <v>7421153.1943338476</v>
      </c>
      <c r="BF378" s="458">
        <v>4.7069204222065286E-2</v>
      </c>
      <c r="BG378" s="477">
        <v>12070787.454047304</v>
      </c>
      <c r="BH378" s="458">
        <v>5.1590112377272179E-2</v>
      </c>
      <c r="BI378" s="477">
        <v>12967030.159145935</v>
      </c>
      <c r="BJ378" s="458">
        <v>8.5786211072150342E-2</v>
      </c>
      <c r="BK378" s="477">
        <v>95982257.526980251</v>
      </c>
      <c r="BL378" s="458">
        <v>0.25144959831861868</v>
      </c>
      <c r="BM378" s="468">
        <v>3.7678901197388113</v>
      </c>
    </row>
    <row r="379" spans="12:65" x14ac:dyDescent="0.3">
      <c r="L379" s="427">
        <v>3891163.2922999999</v>
      </c>
      <c r="BE379" s="477">
        <v>5412099.1444002818</v>
      </c>
      <c r="BF379" s="458">
        <v>6.0799720692379378E-2</v>
      </c>
      <c r="BG379" s="477">
        <v>8568538.2579356581</v>
      </c>
      <c r="BH379" s="458">
        <v>6.6438103957430217E-2</v>
      </c>
      <c r="BI379" s="477">
        <v>14191929.134076301</v>
      </c>
      <c r="BJ379" s="458">
        <v>0.13974148609237491</v>
      </c>
      <c r="BK379" s="477">
        <v>93788917.636460289</v>
      </c>
      <c r="BL379" s="458">
        <v>0.25654523614794522</v>
      </c>
      <c r="BM379" s="468">
        <v>3.8916977907536188</v>
      </c>
    </row>
    <row r="380" spans="12:65" x14ac:dyDescent="0.3">
      <c r="L380" s="427">
        <v>9423605.3928999994</v>
      </c>
      <c r="BE380" s="477">
        <v>5317476.5997915203</v>
      </c>
      <c r="BF380" s="458">
        <v>5.9935621029357566E-2</v>
      </c>
      <c r="BG380" s="477">
        <v>10054294.091655014</v>
      </c>
      <c r="BH380" s="458">
        <v>6.3965791695270502E-2</v>
      </c>
      <c r="BI380" s="477">
        <v>25176625.333881784</v>
      </c>
      <c r="BJ380" s="458">
        <v>0.106801326337568</v>
      </c>
      <c r="BK380" s="477">
        <v>95906880.894346997</v>
      </c>
      <c r="BL380" s="458">
        <v>0.26975523892981368</v>
      </c>
      <c r="BM380" s="468">
        <v>5.6484163826844771</v>
      </c>
    </row>
    <row r="381" spans="12:65" x14ac:dyDescent="0.3">
      <c r="L381" s="427">
        <v>-1318306.6024</v>
      </c>
      <c r="BE381" s="477">
        <v>2455022.1405054517</v>
      </c>
      <c r="BF381" s="458">
        <v>3.1465648607324592E-2</v>
      </c>
      <c r="BG381" s="477">
        <v>6651004.881595172</v>
      </c>
      <c r="BH381" s="458">
        <v>4.7088070948596128E-2</v>
      </c>
      <c r="BI381" s="477">
        <v>16907780.802391235</v>
      </c>
      <c r="BJ381" s="458">
        <v>0.12314676448734652</v>
      </c>
      <c r="BK381" s="477">
        <v>95160180.624509543</v>
      </c>
      <c r="BL381" s="458">
        <v>0.27487610123131767</v>
      </c>
      <c r="BM381" s="468">
        <v>4.7417417274438716</v>
      </c>
    </row>
    <row r="382" spans="12:65" x14ac:dyDescent="0.3">
      <c r="L382" s="427">
        <v>5082794.2171</v>
      </c>
      <c r="BE382" s="477">
        <v>-4057853.5072811237</v>
      </c>
      <c r="BF382" s="458">
        <v>2.4639429011440672E-2</v>
      </c>
      <c r="BG382" s="477">
        <v>11490231.152121434</v>
      </c>
      <c r="BH382" s="458">
        <v>5.2854259321374109E-2</v>
      </c>
      <c r="BI382" s="477">
        <v>17612013.569331802</v>
      </c>
      <c r="BJ382" s="458">
        <v>0.10355133446292641</v>
      </c>
      <c r="BK382" s="477">
        <v>93987049.164717376</v>
      </c>
      <c r="BL382" s="458">
        <v>0.28655961369135396</v>
      </c>
      <c r="BM382" s="468">
        <v>9.279292560134218</v>
      </c>
    </row>
    <row r="383" spans="12:65" x14ac:dyDescent="0.3">
      <c r="L383" s="427">
        <v>7216029.9895000001</v>
      </c>
      <c r="BE383" s="477">
        <v>7342713.8967861813</v>
      </c>
      <c r="BF383" s="458">
        <v>3.9128969244057954E-2</v>
      </c>
      <c r="BG383" s="477">
        <v>8891810.0032877773</v>
      </c>
      <c r="BH383" s="458">
        <v>6.399570542266475E-2</v>
      </c>
      <c r="BI383" s="477">
        <v>20298392.985452753</v>
      </c>
      <c r="BJ383" s="458">
        <v>0.11680883386080509</v>
      </c>
      <c r="BK383" s="477">
        <v>86070651.86874561</v>
      </c>
      <c r="BL383" s="458">
        <v>0.27989780987518542</v>
      </c>
      <c r="BM383" s="468">
        <v>6.8018017474969827</v>
      </c>
    </row>
    <row r="384" spans="12:65" x14ac:dyDescent="0.3">
      <c r="L384" s="427">
        <v>18686857.625799999</v>
      </c>
      <c r="BE384" s="477">
        <v>1351451.6324567243</v>
      </c>
      <c r="BF384" s="458">
        <v>2.0383908440003262E-2</v>
      </c>
      <c r="BG384" s="477">
        <v>7887858.3548328513</v>
      </c>
      <c r="BH384" s="458">
        <v>6.253930132043739E-2</v>
      </c>
      <c r="BI384" s="477">
        <v>15256598.699481592</v>
      </c>
      <c r="BJ384" s="458">
        <v>8.9596018694928947E-2</v>
      </c>
      <c r="BK384" s="477">
        <v>83400113.042777866</v>
      </c>
      <c r="BL384" s="458">
        <v>0.25588884724702998</v>
      </c>
      <c r="BM384" s="468">
        <v>8.9801146042154372</v>
      </c>
    </row>
    <row r="385" spans="12:65" x14ac:dyDescent="0.3">
      <c r="L385" s="427">
        <v>2615464.8805999998</v>
      </c>
      <c r="BE385" s="477">
        <v>6179081.7854195107</v>
      </c>
      <c r="BF385" s="458">
        <v>3.8697921364368115E-2</v>
      </c>
      <c r="BG385" s="477">
        <v>8710669.2375962343</v>
      </c>
      <c r="BH385" s="458">
        <v>6.6238215960308988E-2</v>
      </c>
      <c r="BI385" s="477">
        <v>22440671.490616512</v>
      </c>
      <c r="BJ385" s="458">
        <v>0.12246031274792979</v>
      </c>
      <c r="BK385" s="477">
        <v>81739679.403919563</v>
      </c>
      <c r="BL385" s="458">
        <v>0.26167845948738977</v>
      </c>
      <c r="BM385" s="468">
        <v>12.938339483746322</v>
      </c>
    </row>
    <row r="386" spans="12:65" x14ac:dyDescent="0.3">
      <c r="L386" s="427">
        <v>19740590.3662</v>
      </c>
      <c r="BE386" s="477">
        <v>4722116.4192798398</v>
      </c>
      <c r="BF386" s="458">
        <v>3.7768946763863553E-2</v>
      </c>
      <c r="BG386" s="477">
        <v>7111672.3133965218</v>
      </c>
      <c r="BH386" s="458">
        <v>6.6351597072030755E-2</v>
      </c>
      <c r="BI386" s="477">
        <v>15694874.655996289</v>
      </c>
      <c r="BJ386" s="458">
        <v>0.11456882109004085</v>
      </c>
      <c r="BK386" s="477">
        <v>101079000.8072266</v>
      </c>
      <c r="BL386" s="458">
        <v>0.2534509083066514</v>
      </c>
      <c r="BM386" s="468">
        <v>10.236040872079419</v>
      </c>
    </row>
    <row r="387" spans="12:65" x14ac:dyDescent="0.3">
      <c r="L387" s="427">
        <v>14788301.6789</v>
      </c>
      <c r="BE387" s="477">
        <v>5100254.5149871632</v>
      </c>
      <c r="BF387" s="458">
        <v>5.2854922736605747E-2</v>
      </c>
      <c r="BG387" s="477">
        <v>15029379.721553855</v>
      </c>
      <c r="BH387" s="458">
        <v>7.7729720407347047E-2</v>
      </c>
      <c r="BI387" s="477">
        <v>10637632.602024769</v>
      </c>
      <c r="BJ387" s="458">
        <v>0.14556407497570678</v>
      </c>
      <c r="BK387" s="477">
        <v>109820630.24459143</v>
      </c>
      <c r="BL387" s="458">
        <v>0.26120508450817415</v>
      </c>
      <c r="BM387" s="468">
        <v>8.0576092384647904</v>
      </c>
    </row>
    <row r="388" spans="12:65" x14ac:dyDescent="0.3">
      <c r="L388" s="427">
        <v>15916565.7729</v>
      </c>
      <c r="BE388" s="477">
        <v>6065312.3853570875</v>
      </c>
      <c r="BF388" s="458">
        <v>4.4309699453772833E-2</v>
      </c>
      <c r="BG388" s="477">
        <v>12808519.781099143</v>
      </c>
      <c r="BH388" s="458">
        <v>6.2347194047278398E-2</v>
      </c>
      <c r="BI388" s="477">
        <v>14435344.633843889</v>
      </c>
      <c r="BJ388" s="458">
        <v>0.12413629839932261</v>
      </c>
      <c r="BK388" s="477">
        <v>81211184.63941136</v>
      </c>
      <c r="BL388" s="458">
        <v>0.27738926732217517</v>
      </c>
      <c r="BM388" s="468">
        <v>11.799259557043726</v>
      </c>
    </row>
    <row r="389" spans="12:65" x14ac:dyDescent="0.3">
      <c r="L389" s="427">
        <v>13301325.076300001</v>
      </c>
      <c r="BE389" s="477">
        <v>3344985.9878170528</v>
      </c>
      <c r="BF389" s="458">
        <v>3.5130080151156484E-2</v>
      </c>
      <c r="BG389" s="477">
        <v>9739690.4242264722</v>
      </c>
      <c r="BH389" s="458">
        <v>8.7998276997281355E-2</v>
      </c>
      <c r="BI389" s="477">
        <v>12822640.453132367</v>
      </c>
      <c r="BJ389" s="458">
        <v>0.10750788782251286</v>
      </c>
      <c r="BK389" s="477">
        <v>96729221.203999221</v>
      </c>
      <c r="BL389" s="458">
        <v>0.25413082886275595</v>
      </c>
      <c r="BM389" s="468">
        <v>14.976548323219731</v>
      </c>
    </row>
    <row r="390" spans="12:65" x14ac:dyDescent="0.3">
      <c r="L390" s="427">
        <v>12846000.204500001</v>
      </c>
      <c r="BE390" s="477">
        <v>5670839.6189244566</v>
      </c>
      <c r="BF390" s="458">
        <v>5.4137586647987179E-2</v>
      </c>
      <c r="BG390" s="477">
        <v>5394086.0781940492</v>
      </c>
      <c r="BH390" s="458">
        <v>5.4728772763733557E-2</v>
      </c>
      <c r="BI390" s="477">
        <v>18066535.01182162</v>
      </c>
      <c r="BJ390" s="458">
        <v>0.13820200799982008</v>
      </c>
      <c r="BK390" s="477">
        <v>84695218.153218657</v>
      </c>
      <c r="BL390" s="458">
        <v>0.27300402935188028</v>
      </c>
      <c r="BM390" s="468">
        <v>19.390744307701461</v>
      </c>
    </row>
    <row r="391" spans="12:65" x14ac:dyDescent="0.3">
      <c r="L391" s="427">
        <v>16405054.3124</v>
      </c>
      <c r="BE391" s="477">
        <v>7318807.2354941238</v>
      </c>
      <c r="BF391" s="458">
        <v>2.6832516097997861E-2</v>
      </c>
      <c r="BG391" s="477">
        <v>5059789.4614508376</v>
      </c>
      <c r="BH391" s="458">
        <v>6.4283712003828652E-2</v>
      </c>
      <c r="BI391" s="477">
        <v>17595624.394231733</v>
      </c>
      <c r="BJ391" s="458">
        <v>0.11303948634357419</v>
      </c>
      <c r="BK391" s="477">
        <v>86658626.949641868</v>
      </c>
      <c r="BL391" s="458">
        <v>0.28810334667174398</v>
      </c>
      <c r="BM391" s="468">
        <v>3.7053636802852479</v>
      </c>
    </row>
    <row r="392" spans="12:65" x14ac:dyDescent="0.3">
      <c r="L392" s="427">
        <v>-29954.4738</v>
      </c>
      <c r="BE392" s="477">
        <v>6241305.1735624252</v>
      </c>
      <c r="BF392" s="458">
        <v>1.5788986151215267E-2</v>
      </c>
      <c r="BG392" s="477">
        <v>11725855.903745135</v>
      </c>
      <c r="BH392" s="458">
        <v>4.6643706107342142E-2</v>
      </c>
      <c r="BI392" s="477">
        <v>13123174.566282708</v>
      </c>
      <c r="BJ392" s="458">
        <v>0.10995728512598113</v>
      </c>
      <c r="BK392" s="477">
        <v>97690572.711075842</v>
      </c>
      <c r="BL392" s="458">
        <v>0.25139853020493375</v>
      </c>
      <c r="BM392" s="468">
        <v>11.793892431301524</v>
      </c>
    </row>
    <row r="393" spans="12:65" x14ac:dyDescent="0.3">
      <c r="L393" s="427">
        <v>-152732.79860000001</v>
      </c>
      <c r="BE393" s="477">
        <v>4521161.1582670398</v>
      </c>
      <c r="BF393" s="458">
        <v>5.0268031527765933E-2</v>
      </c>
      <c r="BG393" s="477">
        <v>8752184.5086483546</v>
      </c>
      <c r="BH393" s="458">
        <v>8.1011339490653533E-2</v>
      </c>
      <c r="BI393" s="477">
        <v>20326378.824290726</v>
      </c>
      <c r="BJ393" s="458">
        <v>0.11543624912167738</v>
      </c>
      <c r="BK393" s="477">
        <v>93648522.002834633</v>
      </c>
      <c r="BL393" s="458">
        <v>0.26275334073433787</v>
      </c>
      <c r="BM393" s="468">
        <v>5.3088699653533302</v>
      </c>
    </row>
    <row r="394" spans="12:65" x14ac:dyDescent="0.3">
      <c r="L394" s="427">
        <v>18550663.554499999</v>
      </c>
      <c r="BE394" s="477">
        <v>3531230.527158964</v>
      </c>
      <c r="BF394" s="458">
        <v>6.0302052473308887E-2</v>
      </c>
      <c r="BG394" s="477">
        <v>7896188.5266257077</v>
      </c>
      <c r="BH394" s="458">
        <v>5.8551456285795833E-2</v>
      </c>
      <c r="BI394" s="477">
        <v>13826436.285239682</v>
      </c>
      <c r="BJ394" s="458">
        <v>0.11204536737154314</v>
      </c>
      <c r="BK394" s="477">
        <v>87127443.169309124</v>
      </c>
      <c r="BL394" s="458">
        <v>0.25370740438949468</v>
      </c>
      <c r="BM394" s="468">
        <v>11.654935501120882</v>
      </c>
    </row>
    <row r="395" spans="12:65" x14ac:dyDescent="0.3">
      <c r="L395" s="427">
        <v>-2789419.554</v>
      </c>
      <c r="BE395" s="477">
        <v>5001733.2293522824</v>
      </c>
      <c r="BF395" s="458">
        <v>4.7668921552043608E-2</v>
      </c>
      <c r="BG395" s="477">
        <v>8051138.9026514236</v>
      </c>
      <c r="BH395" s="458">
        <v>6.0328873192210475E-2</v>
      </c>
      <c r="BI395" s="477">
        <v>23394124.625649955</v>
      </c>
      <c r="BJ395" s="458">
        <v>0.10725880628291162</v>
      </c>
      <c r="BK395" s="477">
        <v>88948150.10884729</v>
      </c>
      <c r="BL395" s="458">
        <v>0.26946937879048916</v>
      </c>
      <c r="BM395" s="468">
        <v>5.0134199682400951</v>
      </c>
    </row>
    <row r="396" spans="12:65" x14ac:dyDescent="0.3">
      <c r="L396" s="427">
        <v>24430783.322900001</v>
      </c>
      <c r="BE396" s="477">
        <v>6171684.2569325604</v>
      </c>
      <c r="BF396" s="458">
        <v>4.0381053658110844E-2</v>
      </c>
      <c r="BG396" s="477">
        <v>4367461.5342687294</v>
      </c>
      <c r="BH396" s="458">
        <v>7.5121041559453872E-2</v>
      </c>
      <c r="BI396" s="477">
        <v>18263634.938208934</v>
      </c>
      <c r="BJ396" s="458">
        <v>0.10952105677690738</v>
      </c>
      <c r="BK396" s="477">
        <v>96070600.73956354</v>
      </c>
      <c r="BL396" s="458">
        <v>0.27330154913762761</v>
      </c>
      <c r="BM396" s="468">
        <v>10.118537451703226</v>
      </c>
    </row>
    <row r="397" spans="12:65" x14ac:dyDescent="0.3">
      <c r="L397" s="427">
        <v>-1541535.1351999999</v>
      </c>
      <c r="BE397" s="477">
        <v>3384152.1156946439</v>
      </c>
      <c r="BF397" s="458">
        <v>3.1237576293158043E-2</v>
      </c>
      <c r="BG397" s="477">
        <v>1035874.3347170916</v>
      </c>
      <c r="BH397" s="458">
        <v>5.5310052000880461E-2</v>
      </c>
      <c r="BI397" s="477">
        <v>16335221.81077343</v>
      </c>
      <c r="BJ397" s="458">
        <v>0.11598286431062799</v>
      </c>
      <c r="BK397" s="477">
        <v>89778978.456190184</v>
      </c>
      <c r="BL397" s="458">
        <v>0.26491049856802773</v>
      </c>
      <c r="BM397" s="468">
        <v>7.5459032171522233</v>
      </c>
    </row>
    <row r="398" spans="12:65" x14ac:dyDescent="0.3">
      <c r="L398" s="427">
        <v>10970734.5385</v>
      </c>
      <c r="BE398" s="477">
        <v>3345579.5394364828</v>
      </c>
      <c r="BF398" s="458">
        <v>3.2524320548501962E-2</v>
      </c>
      <c r="BG398" s="477">
        <v>5088459.5899899751</v>
      </c>
      <c r="BH398" s="458">
        <v>6.0105241523321862E-2</v>
      </c>
      <c r="BI398" s="477">
        <v>11911184.68151282</v>
      </c>
      <c r="BJ398" s="458">
        <v>0.10031433975129156</v>
      </c>
      <c r="BK398" s="477">
        <v>96374667.387029469</v>
      </c>
      <c r="BL398" s="458">
        <v>0.26601710155264402</v>
      </c>
      <c r="BM398" s="468">
        <v>11.920677566837934</v>
      </c>
    </row>
    <row r="399" spans="12:65" x14ac:dyDescent="0.3">
      <c r="L399" s="427">
        <v>-521890.86969999998</v>
      </c>
      <c r="BE399" s="477">
        <v>9096473.434728533</v>
      </c>
      <c r="BF399" s="458">
        <v>5.26865249215418E-2</v>
      </c>
      <c r="BG399" s="477">
        <v>5921954.2801424433</v>
      </c>
      <c r="BH399" s="458">
        <v>7.1845304881556604E-2</v>
      </c>
      <c r="BI399" s="477">
        <v>4443349.1996881869</v>
      </c>
      <c r="BJ399" s="458">
        <v>0.11458902655208303</v>
      </c>
      <c r="BK399" s="477">
        <v>89616696.311758205</v>
      </c>
      <c r="BL399" s="458">
        <v>0.26996998468479538</v>
      </c>
      <c r="BM399" s="468">
        <v>6.5198243075705804</v>
      </c>
    </row>
    <row r="400" spans="12:65" x14ac:dyDescent="0.3">
      <c r="L400" s="427">
        <v>-3516238.1723000002</v>
      </c>
      <c r="BE400" s="477">
        <v>9280567.3187944684</v>
      </c>
      <c r="BF400" s="458">
        <v>4.5587569894230739E-2</v>
      </c>
      <c r="BG400" s="477">
        <v>8175126.3376190979</v>
      </c>
      <c r="BH400" s="458">
        <v>7.8606274724747571E-2</v>
      </c>
      <c r="BI400" s="477">
        <v>9259267.5982782822</v>
      </c>
      <c r="BJ400" s="458">
        <v>0.11139402619544092</v>
      </c>
      <c r="BK400" s="477">
        <v>82865544.920446277</v>
      </c>
      <c r="BL400" s="458">
        <v>0.25209600283859923</v>
      </c>
      <c r="BM400" s="468">
        <v>0.24687649778294407</v>
      </c>
    </row>
    <row r="401" spans="12:65" x14ac:dyDescent="0.3">
      <c r="L401" s="427">
        <v>3569519.7437</v>
      </c>
      <c r="BE401" s="477">
        <v>7505887.3938787784</v>
      </c>
      <c r="BF401" s="458">
        <v>9.436265778448516E-2</v>
      </c>
      <c r="BG401" s="477">
        <v>10028469.96126873</v>
      </c>
      <c r="BH401" s="458">
        <v>0.10395133077384022</v>
      </c>
      <c r="BI401" s="477">
        <v>23134562.134528525</v>
      </c>
      <c r="BJ401" s="458">
        <v>9.9603933491798413E-2</v>
      </c>
      <c r="BK401" s="477">
        <v>95665326.406808138</v>
      </c>
      <c r="BL401" s="458">
        <v>0.2621410449297199</v>
      </c>
      <c r="BM401" s="468">
        <v>1.1750803591386019</v>
      </c>
    </row>
    <row r="402" spans="12:65" x14ac:dyDescent="0.3">
      <c r="L402" s="427">
        <v>2610070.0088999998</v>
      </c>
      <c r="BE402" s="477">
        <v>1786979.6157100212</v>
      </c>
      <c r="BF402" s="458">
        <v>2.4949759365890722E-2</v>
      </c>
      <c r="BG402" s="477">
        <v>7056453.5951636499</v>
      </c>
      <c r="BH402" s="458">
        <v>8.2860666115036397E-2</v>
      </c>
      <c r="BI402" s="477">
        <v>22809310.133131571</v>
      </c>
      <c r="BJ402" s="458">
        <v>0.11847754950595357</v>
      </c>
      <c r="BK402" s="477">
        <v>84615311.675911665</v>
      </c>
      <c r="BL402" s="458">
        <v>0.25911127342062223</v>
      </c>
      <c r="BM402" s="468">
        <v>7.5752445107394015</v>
      </c>
    </row>
    <row r="403" spans="12:65" x14ac:dyDescent="0.3">
      <c r="L403" s="427">
        <v>6645383.2439999999</v>
      </c>
      <c r="BE403" s="477">
        <v>5439041.9439620376</v>
      </c>
      <c r="BF403" s="458">
        <v>4.8827486915937968E-2</v>
      </c>
      <c r="BG403" s="477">
        <v>12825221.169617496</v>
      </c>
      <c r="BH403" s="458">
        <v>5.9256575892328467E-2</v>
      </c>
      <c r="BI403" s="477">
        <v>11381289.079688124</v>
      </c>
      <c r="BJ403" s="458">
        <v>0.13797989804615396</v>
      </c>
      <c r="BK403" s="477">
        <v>82543711.333013028</v>
      </c>
      <c r="BL403" s="458">
        <v>0.27133830409462023</v>
      </c>
      <c r="BM403" s="468">
        <v>6.6816820950808662</v>
      </c>
    </row>
    <row r="404" spans="12:65" x14ac:dyDescent="0.3">
      <c r="L404" s="427">
        <v>17521999.306600001</v>
      </c>
      <c r="BE404" s="477">
        <v>5766001.7250471748</v>
      </c>
      <c r="BF404" s="458">
        <v>5.4544262101449359E-2</v>
      </c>
      <c r="BG404" s="477">
        <v>11647469.215760844</v>
      </c>
      <c r="BH404" s="458">
        <v>4.405379884114935E-2</v>
      </c>
      <c r="BI404" s="477">
        <v>18682713.457343638</v>
      </c>
      <c r="BJ404" s="458">
        <v>0.10150138822542454</v>
      </c>
      <c r="BK404" s="477">
        <v>88531428.58480899</v>
      </c>
      <c r="BL404" s="458">
        <v>0.26727710166128094</v>
      </c>
      <c r="BM404" s="468">
        <v>6.2945312609952753</v>
      </c>
    </row>
    <row r="405" spans="12:65" x14ac:dyDescent="0.3">
      <c r="L405" s="427">
        <v>14077545.424000001</v>
      </c>
      <c r="BE405" s="477">
        <v>636238.05441190954</v>
      </c>
      <c r="BF405" s="458">
        <v>5.7720536684093826E-2</v>
      </c>
      <c r="BG405" s="477">
        <v>17764790.22393395</v>
      </c>
      <c r="BH405" s="458">
        <v>4.407381257440357E-2</v>
      </c>
      <c r="BI405" s="477">
        <v>22563633.210758105</v>
      </c>
      <c r="BJ405" s="458">
        <v>0.10103318620056201</v>
      </c>
      <c r="BK405" s="477">
        <v>79343142.9814872</v>
      </c>
      <c r="BL405" s="458">
        <v>0.25455204220913985</v>
      </c>
      <c r="BM405" s="468">
        <v>15.760633221488494</v>
      </c>
    </row>
    <row r="406" spans="12:65" x14ac:dyDescent="0.3">
      <c r="L406" s="427">
        <v>7527111.4424000001</v>
      </c>
      <c r="BE406" s="477">
        <v>6162894.1242021499</v>
      </c>
      <c r="BF406" s="458">
        <v>4.2330337709949761E-2</v>
      </c>
      <c r="BG406" s="477">
        <v>4382769.9879463036</v>
      </c>
      <c r="BH406" s="458">
        <v>7.5936280817973989E-2</v>
      </c>
      <c r="BI406" s="477">
        <v>13355202.439367976</v>
      </c>
      <c r="BJ406" s="458">
        <v>9.6144547629781529E-2</v>
      </c>
      <c r="BK406" s="477">
        <v>83809878.447174877</v>
      </c>
      <c r="BL406" s="458">
        <v>0.27838305683796549</v>
      </c>
      <c r="BM406" s="468">
        <v>7.5863867996637078</v>
      </c>
    </row>
    <row r="407" spans="12:65" x14ac:dyDescent="0.3">
      <c r="L407" s="427">
        <v>18319695.7368</v>
      </c>
      <c r="BE407" s="477">
        <v>-649588.69397478295</v>
      </c>
      <c r="BF407" s="458">
        <v>3.5946384618738003E-2</v>
      </c>
      <c r="BG407" s="477">
        <v>9201423.1329275426</v>
      </c>
      <c r="BH407" s="458">
        <v>5.6018023201446887E-2</v>
      </c>
      <c r="BI407" s="477">
        <v>14975747.215324396</v>
      </c>
      <c r="BJ407" s="458">
        <v>0.11038360068785513</v>
      </c>
      <c r="BK407" s="477">
        <v>109044285.32239421</v>
      </c>
      <c r="BL407" s="458">
        <v>0.25090024697557101</v>
      </c>
      <c r="BM407" s="468">
        <v>8.7278049922363294</v>
      </c>
    </row>
    <row r="408" spans="12:65" x14ac:dyDescent="0.3">
      <c r="L408" s="427">
        <v>6575260.3963000001</v>
      </c>
      <c r="BE408" s="477">
        <v>8491063.3354395106</v>
      </c>
      <c r="BF408" s="458">
        <v>3.8470173222623139E-2</v>
      </c>
      <c r="BG408" s="477">
        <v>13716766.871367833</v>
      </c>
      <c r="BH408" s="458">
        <v>4.6094763208125222E-2</v>
      </c>
      <c r="BI408" s="477">
        <v>13507473.656885369</v>
      </c>
      <c r="BJ408" s="458">
        <v>0.10447557699967791</v>
      </c>
      <c r="BK408" s="477">
        <v>92318990.703368947</v>
      </c>
      <c r="BL408" s="458">
        <v>0.2696014273870031</v>
      </c>
      <c r="BM408" s="468">
        <v>6.7703500220313337</v>
      </c>
    </row>
    <row r="409" spans="12:65" x14ac:dyDescent="0.3">
      <c r="L409" s="427">
        <v>7459190.5174000002</v>
      </c>
      <c r="BE409" s="477">
        <v>3901230.4537991099</v>
      </c>
      <c r="BF409" s="458">
        <v>2.9784447679287673E-2</v>
      </c>
      <c r="BG409" s="477">
        <v>12564092.536251131</v>
      </c>
      <c r="BH409" s="458">
        <v>5.5425090683372868E-2</v>
      </c>
      <c r="BI409" s="477">
        <v>19824903.847084455</v>
      </c>
      <c r="BJ409" s="458">
        <v>0.10289601782606916</v>
      </c>
      <c r="BK409" s="477">
        <v>81689368.8787826</v>
      </c>
      <c r="BL409" s="458">
        <v>0.26069205528420314</v>
      </c>
      <c r="BM409" s="468">
        <v>10.509333965720513</v>
      </c>
    </row>
    <row r="410" spans="12:65" x14ac:dyDescent="0.3">
      <c r="L410" s="427">
        <v>17438235.2159</v>
      </c>
      <c r="BE410" s="477">
        <v>8124170.7753079645</v>
      </c>
      <c r="BF410" s="458">
        <v>2.1259029379459449E-2</v>
      </c>
      <c r="BG410" s="477">
        <v>12630541.75305126</v>
      </c>
      <c r="BH410" s="458">
        <v>5.3544879963958625E-2</v>
      </c>
      <c r="BI410" s="477">
        <v>20694082.638505094</v>
      </c>
      <c r="BJ410" s="458">
        <v>0.11860128730415309</v>
      </c>
      <c r="BK410" s="477">
        <v>96142782.740718186</v>
      </c>
      <c r="BL410" s="458">
        <v>0.25580952596058437</v>
      </c>
      <c r="BM410" s="468">
        <v>19.472253271338914</v>
      </c>
    </row>
    <row r="411" spans="12:65" x14ac:dyDescent="0.3">
      <c r="L411" s="427">
        <v>5123858.6568999998</v>
      </c>
      <c r="BE411" s="477">
        <v>5169728.7680937583</v>
      </c>
      <c r="BF411" s="458">
        <v>2.7996193969844541E-2</v>
      </c>
      <c r="BG411" s="477">
        <v>6400200.1332853707</v>
      </c>
      <c r="BH411" s="458">
        <v>5.7241657520534783E-2</v>
      </c>
      <c r="BI411" s="477">
        <v>18508396.330887191</v>
      </c>
      <c r="BJ411" s="458">
        <v>0.10357715792980815</v>
      </c>
      <c r="BK411" s="477">
        <v>80745464.296976194</v>
      </c>
      <c r="BL411" s="458">
        <v>0.26413277498318566</v>
      </c>
      <c r="BM411" s="468">
        <v>5.2244225241303646</v>
      </c>
    </row>
    <row r="412" spans="12:65" x14ac:dyDescent="0.3">
      <c r="L412" s="427">
        <v>1976827.3424</v>
      </c>
      <c r="BE412" s="477">
        <v>6629823.2635153886</v>
      </c>
      <c r="BF412" s="458">
        <v>4.4225261556879669E-2</v>
      </c>
      <c r="BG412" s="477">
        <v>7240787.9034968317</v>
      </c>
      <c r="BH412" s="458">
        <v>5.1540280430605989E-2</v>
      </c>
      <c r="BI412" s="477">
        <v>19799582.586691618</v>
      </c>
      <c r="BJ412" s="458">
        <v>0.10803598010588922</v>
      </c>
      <c r="BK412" s="477">
        <v>97448092.167030782</v>
      </c>
      <c r="BL412" s="458">
        <v>0.30458908980095178</v>
      </c>
      <c r="BM412" s="468">
        <v>5.1449152082744254</v>
      </c>
    </row>
    <row r="413" spans="12:65" x14ac:dyDescent="0.3">
      <c r="L413" s="427">
        <v>9756722.0098999999</v>
      </c>
      <c r="BE413" s="477">
        <v>9234294.4067446589</v>
      </c>
      <c r="BF413" s="458">
        <v>4.5065035255581254E-2</v>
      </c>
      <c r="BG413" s="477">
        <v>8357475.635074826</v>
      </c>
      <c r="BH413" s="458">
        <v>4.3357130774873909E-2</v>
      </c>
      <c r="BI413" s="477">
        <v>27034079.730287008</v>
      </c>
      <c r="BJ413" s="458">
        <v>0.12313123215521227</v>
      </c>
      <c r="BK413" s="477">
        <v>90697663.026763022</v>
      </c>
      <c r="BL413" s="458">
        <v>0.29721205753136348</v>
      </c>
      <c r="BM413" s="468">
        <v>11.619999220498139</v>
      </c>
    </row>
    <row r="414" spans="12:65" x14ac:dyDescent="0.3">
      <c r="L414" s="427">
        <v>8830299.3397000004</v>
      </c>
      <c r="BE414" s="477">
        <v>7571191.4846348166</v>
      </c>
      <c r="BF414" s="458">
        <v>5.2102780476599442E-2</v>
      </c>
      <c r="BG414" s="477">
        <v>11329497.39541392</v>
      </c>
      <c r="BH414" s="458">
        <v>4.5369244565682365E-2</v>
      </c>
      <c r="BI414" s="477">
        <v>14271077.929566503</v>
      </c>
      <c r="BJ414" s="458">
        <v>9.7435463119986743E-2</v>
      </c>
      <c r="BK414" s="477">
        <v>98383508.229012311</v>
      </c>
      <c r="BL414" s="458">
        <v>0.26345573686522195</v>
      </c>
      <c r="BM414" s="468">
        <v>8.0197978939837107</v>
      </c>
    </row>
    <row r="415" spans="12:65" x14ac:dyDescent="0.3">
      <c r="L415" s="427">
        <v>30163584.807700001</v>
      </c>
      <c r="BE415" s="477">
        <v>3924186.8248541825</v>
      </c>
      <c r="BF415" s="458">
        <v>3.8603861034109732E-2</v>
      </c>
      <c r="BG415" s="477">
        <v>7720865.0188393965</v>
      </c>
      <c r="BH415" s="458">
        <v>4.2046933625536242E-2</v>
      </c>
      <c r="BI415" s="477">
        <v>19840079.381720081</v>
      </c>
      <c r="BJ415" s="458">
        <v>0.10939927490975299</v>
      </c>
      <c r="BK415" s="477">
        <v>96363811.253427565</v>
      </c>
      <c r="BL415" s="458">
        <v>0.26939520167230224</v>
      </c>
      <c r="BM415" s="468">
        <v>5.8480219104864357</v>
      </c>
    </row>
    <row r="416" spans="12:65" x14ac:dyDescent="0.3">
      <c r="L416" s="427">
        <v>20024576.037799999</v>
      </c>
      <c r="BE416" s="477">
        <v>5824626.653121151</v>
      </c>
      <c r="BF416" s="458">
        <v>4.3423386088777161E-2</v>
      </c>
      <c r="BG416" s="477">
        <v>10717881.242310457</v>
      </c>
      <c r="BH416" s="458">
        <v>8.4572945628441643E-2</v>
      </c>
      <c r="BI416" s="477">
        <v>10311841.735548632</v>
      </c>
      <c r="BJ416" s="458">
        <v>0.125751743503415</v>
      </c>
      <c r="BK416" s="477">
        <v>85594402.573732272</v>
      </c>
      <c r="BL416" s="458">
        <v>0.28277842425232746</v>
      </c>
      <c r="BM416" s="468">
        <v>9.8226468952945609</v>
      </c>
    </row>
    <row r="417" spans="12:65" x14ac:dyDescent="0.3">
      <c r="L417" s="427">
        <v>21229404.800099999</v>
      </c>
      <c r="BE417" s="477">
        <v>3866011.3750333088</v>
      </c>
      <c r="BF417" s="458">
        <v>3.8084925558309557E-2</v>
      </c>
      <c r="BG417" s="477">
        <v>5127859.3257691134</v>
      </c>
      <c r="BH417" s="458">
        <v>8.0042711393549126E-2</v>
      </c>
      <c r="BI417" s="477">
        <v>13413132.88703368</v>
      </c>
      <c r="BJ417" s="458">
        <v>0.16892309158271912</v>
      </c>
      <c r="BK417" s="477">
        <v>90832766.726065472</v>
      </c>
      <c r="BL417" s="458">
        <v>0.27338256279657713</v>
      </c>
      <c r="BM417" s="468">
        <v>9.0355257540115357</v>
      </c>
    </row>
    <row r="418" spans="12:65" x14ac:dyDescent="0.3">
      <c r="L418" s="427">
        <v>-596603.72580000001</v>
      </c>
      <c r="BE418" s="477">
        <v>5923682.8868570542</v>
      </c>
      <c r="BF418" s="458">
        <v>3.6827461195563238E-2</v>
      </c>
      <c r="BG418" s="477">
        <v>9460529.7910421453</v>
      </c>
      <c r="BH418" s="458">
        <v>5.2396065605235131E-2</v>
      </c>
      <c r="BI418" s="477">
        <v>15084790.154723326</v>
      </c>
      <c r="BJ418" s="458">
        <v>0.11345162994502456</v>
      </c>
      <c r="BK418" s="477">
        <v>93427399.359803915</v>
      </c>
      <c r="BL418" s="458">
        <v>0.28529874387296372</v>
      </c>
      <c r="BM418" s="468">
        <v>11.051631880154407</v>
      </c>
    </row>
    <row r="419" spans="12:65" x14ac:dyDescent="0.3">
      <c r="L419" s="427">
        <v>703125.25529999996</v>
      </c>
      <c r="BE419" s="477">
        <v>10539831.983429126</v>
      </c>
      <c r="BF419" s="458">
        <v>4.3326689371176563E-2</v>
      </c>
      <c r="BG419" s="477">
        <v>8445166.4088056963</v>
      </c>
      <c r="BH419" s="458">
        <v>6.8459934573654291E-2</v>
      </c>
      <c r="BI419" s="477">
        <v>22133890.018192973</v>
      </c>
      <c r="BJ419" s="458">
        <v>0.11826277249481465</v>
      </c>
      <c r="BK419" s="477">
        <v>79289113.485340029</v>
      </c>
      <c r="BL419" s="458">
        <v>0.26300959398849511</v>
      </c>
      <c r="BM419" s="468">
        <v>9.4556998547366184</v>
      </c>
    </row>
    <row r="420" spans="12:65" x14ac:dyDescent="0.3">
      <c r="L420" s="427">
        <v>17557693.799199998</v>
      </c>
      <c r="BE420" s="477">
        <v>3077619.9655312588</v>
      </c>
      <c r="BF420" s="458">
        <v>4.3414673163731266E-2</v>
      </c>
      <c r="BG420" s="477">
        <v>10057062.200927144</v>
      </c>
      <c r="BH420" s="458">
        <v>8.0072879469296865E-2</v>
      </c>
      <c r="BI420" s="477">
        <v>12842469.073699567</v>
      </c>
      <c r="BJ420" s="458">
        <v>8.2948937646854626E-2</v>
      </c>
      <c r="BK420" s="477">
        <v>87089920.602950782</v>
      </c>
      <c r="BL420" s="458">
        <v>0.26549164258075675</v>
      </c>
      <c r="BM420" s="468">
        <v>4.2656730793216813</v>
      </c>
    </row>
    <row r="421" spans="12:65" x14ac:dyDescent="0.3">
      <c r="L421" s="427">
        <v>16618356.611400001</v>
      </c>
      <c r="BE421" s="477">
        <v>6246507.5894907797</v>
      </c>
      <c r="BF421" s="458">
        <v>3.32613577147296E-2</v>
      </c>
      <c r="BG421" s="477">
        <v>7869383.5028304383</v>
      </c>
      <c r="BH421" s="458">
        <v>4.9607119322600646E-2</v>
      </c>
      <c r="BI421" s="477">
        <v>20735016.550184477</v>
      </c>
      <c r="BJ421" s="458">
        <v>0.13171093045850935</v>
      </c>
      <c r="BK421" s="477">
        <v>102312455.14266811</v>
      </c>
      <c r="BL421" s="458">
        <v>0.26348045174092283</v>
      </c>
      <c r="BM421" s="468">
        <v>7.0222680202358374</v>
      </c>
    </row>
    <row r="422" spans="12:65" x14ac:dyDescent="0.3">
      <c r="L422" s="427">
        <v>9017155.8815000001</v>
      </c>
      <c r="BE422" s="477">
        <v>7336745.9988715788</v>
      </c>
      <c r="BF422" s="458">
        <v>5.4571071061009002E-2</v>
      </c>
      <c r="BG422" s="477">
        <v>2900767.6169914952</v>
      </c>
      <c r="BH422" s="458">
        <v>6.9064171579558575E-2</v>
      </c>
      <c r="BI422" s="477">
        <v>16114621.190489091</v>
      </c>
      <c r="BJ422" s="458">
        <v>0.1176581930813323</v>
      </c>
      <c r="BK422" s="477">
        <v>95685873.692799866</v>
      </c>
      <c r="BL422" s="458">
        <v>0.2606768583190513</v>
      </c>
      <c r="BM422" s="468">
        <v>2.4418820307673004</v>
      </c>
    </row>
    <row r="423" spans="12:65" x14ac:dyDescent="0.3">
      <c r="L423" s="427">
        <v>17373213.919500001</v>
      </c>
      <c r="BE423" s="477">
        <v>6739330.226775554</v>
      </c>
      <c r="BF423" s="458">
        <v>4.0501959990163927E-2</v>
      </c>
      <c r="BG423" s="477">
        <v>10885880.855934538</v>
      </c>
      <c r="BH423" s="458">
        <v>6.3930765535780143E-2</v>
      </c>
      <c r="BI423" s="477">
        <v>22631790.954247121</v>
      </c>
      <c r="BJ423" s="458">
        <v>9.6323206008570583E-2</v>
      </c>
      <c r="BK423" s="477">
        <v>88286855.598999739</v>
      </c>
      <c r="BL423" s="458">
        <v>0.27916660714433683</v>
      </c>
      <c r="BM423" s="468">
        <v>8.48856987885652</v>
      </c>
    </row>
    <row r="424" spans="12:65" x14ac:dyDescent="0.3">
      <c r="L424" s="427">
        <v>-4695382.1632000003</v>
      </c>
      <c r="BE424" s="477">
        <v>3991225.8326879838</v>
      </c>
      <c r="BF424" s="458">
        <v>2.3386988441447931E-2</v>
      </c>
      <c r="BG424" s="477">
        <v>14045192.117072055</v>
      </c>
      <c r="BH424" s="458">
        <v>6.6912732787288709E-2</v>
      </c>
      <c r="BI424" s="477">
        <v>31286759.003738638</v>
      </c>
      <c r="BJ424" s="458">
        <v>0.12262255499452435</v>
      </c>
      <c r="BK424" s="477">
        <v>90673765.486435577</v>
      </c>
      <c r="BL424" s="458">
        <v>0.26961951626591718</v>
      </c>
      <c r="BM424" s="468">
        <v>10.705643446384116</v>
      </c>
    </row>
    <row r="425" spans="12:65" x14ac:dyDescent="0.3">
      <c r="L425" s="427">
        <v>2372033.1313999998</v>
      </c>
      <c r="BE425" s="477">
        <v>10438704.17189171</v>
      </c>
      <c r="BF425" s="458">
        <v>3.5351532457892576E-2</v>
      </c>
      <c r="BG425" s="477">
        <v>2977856.8486621906</v>
      </c>
      <c r="BH425" s="458">
        <v>4.9805743297803629E-2</v>
      </c>
      <c r="BI425" s="477">
        <v>12124170.097158331</v>
      </c>
      <c r="BJ425" s="458">
        <v>0.12603766471757272</v>
      </c>
      <c r="BK425" s="477">
        <v>92002089.058612242</v>
      </c>
      <c r="BL425" s="458">
        <v>0.2661787311980941</v>
      </c>
      <c r="BM425" s="468">
        <v>11.6169457695422</v>
      </c>
    </row>
    <row r="426" spans="12:65" x14ac:dyDescent="0.3">
      <c r="L426" s="427">
        <v>418893.25060000003</v>
      </c>
      <c r="BE426" s="477">
        <v>7001836.6320863226</v>
      </c>
      <c r="BF426" s="458">
        <v>3.4691944820043785E-2</v>
      </c>
      <c r="BG426" s="477">
        <v>5935569.114678639</v>
      </c>
      <c r="BH426" s="458">
        <v>7.6841037523746269E-2</v>
      </c>
      <c r="BI426" s="477">
        <v>10624281.253517471</v>
      </c>
      <c r="BJ426" s="458">
        <v>0.13985767477372946</v>
      </c>
      <c r="BK426" s="477">
        <v>87673515.684819132</v>
      </c>
      <c r="BL426" s="458">
        <v>0.28187916052855644</v>
      </c>
      <c r="BM426" s="468">
        <v>14.16903261325578</v>
      </c>
    </row>
    <row r="427" spans="12:65" x14ac:dyDescent="0.3">
      <c r="L427" s="427">
        <v>-8150391.6326000001</v>
      </c>
      <c r="BE427" s="477">
        <v>7565317.6487096511</v>
      </c>
      <c r="BF427" s="458">
        <v>1.8182496492611611E-2</v>
      </c>
      <c r="BG427" s="477">
        <v>8073991.1850888403</v>
      </c>
      <c r="BH427" s="458">
        <v>4.8505600190561049E-2</v>
      </c>
      <c r="BI427" s="477">
        <v>17252569.680971466</v>
      </c>
      <c r="BJ427" s="458">
        <v>8.3676921500313695E-2</v>
      </c>
      <c r="BK427" s="477">
        <v>75530827.294706658</v>
      </c>
      <c r="BL427" s="458">
        <v>0.26768212980301165</v>
      </c>
      <c r="BM427" s="468">
        <v>7.4365787364859655</v>
      </c>
    </row>
    <row r="428" spans="12:65" x14ac:dyDescent="0.3">
      <c r="L428" s="427">
        <v>19656788.9551</v>
      </c>
      <c r="BE428" s="477">
        <v>8093069.6686072098</v>
      </c>
      <c r="BF428" s="458">
        <v>2.8761083925593178E-2</v>
      </c>
      <c r="BG428" s="477">
        <v>3727468.4643054716</v>
      </c>
      <c r="BH428" s="458">
        <v>6.2600128247721321E-2</v>
      </c>
      <c r="BI428" s="477">
        <v>20304923.795021482</v>
      </c>
      <c r="BJ428" s="458">
        <v>0.10208089979411072</v>
      </c>
      <c r="BK428" s="477">
        <v>97228539.088538572</v>
      </c>
      <c r="BL428" s="458">
        <v>0.26593684437640741</v>
      </c>
      <c r="BM428" s="468">
        <v>14.378296555475711</v>
      </c>
    </row>
    <row r="429" spans="12:65" x14ac:dyDescent="0.3">
      <c r="L429" s="427">
        <v>25236733.652800001</v>
      </c>
      <c r="BE429" s="477">
        <v>4080299.5744838174</v>
      </c>
      <c r="BF429" s="458">
        <v>2.9001999348996721E-2</v>
      </c>
      <c r="BG429" s="477">
        <v>10479230.317525053</v>
      </c>
      <c r="BH429" s="458">
        <v>7.7435573809961022E-2</v>
      </c>
      <c r="BI429" s="477">
        <v>19814163.154472411</v>
      </c>
      <c r="BJ429" s="458">
        <v>0.10070970965251758</v>
      </c>
      <c r="BK429" s="477">
        <v>87619257.282866538</v>
      </c>
      <c r="BL429" s="458">
        <v>0.27123070247688519</v>
      </c>
      <c r="BM429" s="468">
        <v>10.680863789547313</v>
      </c>
    </row>
    <row r="430" spans="12:65" x14ac:dyDescent="0.3">
      <c r="L430" s="427">
        <v>5222851.8777999999</v>
      </c>
      <c r="BE430" s="477">
        <v>4116081.4502636227</v>
      </c>
      <c r="BF430" s="458">
        <v>4.1398494129835095E-2</v>
      </c>
      <c r="BG430" s="477">
        <v>11680565.250634605</v>
      </c>
      <c r="BH430" s="458">
        <v>8.8800949339961965E-2</v>
      </c>
      <c r="BI430" s="477">
        <v>15229403.081767218</v>
      </c>
      <c r="BJ430" s="458">
        <v>0.11151588899477738</v>
      </c>
      <c r="BK430" s="477">
        <v>74666506.210529462</v>
      </c>
      <c r="BL430" s="458">
        <v>0.25191705268685327</v>
      </c>
      <c r="BM430" s="468">
        <v>11.551323134530634</v>
      </c>
    </row>
    <row r="431" spans="12:65" x14ac:dyDescent="0.3">
      <c r="L431" s="427">
        <v>-933294.179</v>
      </c>
      <c r="BE431" s="477">
        <v>7335229.1355781024</v>
      </c>
      <c r="BF431" s="458">
        <v>3.4460816813900896E-2</v>
      </c>
      <c r="BG431" s="477">
        <v>4084182.2322580214</v>
      </c>
      <c r="BH431" s="458">
        <v>4.3041737066130681E-2</v>
      </c>
      <c r="BI431" s="477">
        <v>17343171.36063445</v>
      </c>
      <c r="BJ431" s="458">
        <v>0.12416893686931219</v>
      </c>
      <c r="BK431" s="477">
        <v>87469039.851995796</v>
      </c>
      <c r="BL431" s="458">
        <v>0.25128030976069282</v>
      </c>
      <c r="BM431" s="468">
        <v>9.465970624522086</v>
      </c>
    </row>
    <row r="432" spans="12:65" x14ac:dyDescent="0.3">
      <c r="L432" s="427">
        <v>13288988.022500001</v>
      </c>
      <c r="BE432" s="477">
        <v>1327139.9510086272</v>
      </c>
      <c r="BF432" s="458">
        <v>5.096198876236846E-2</v>
      </c>
      <c r="BG432" s="477">
        <v>7004378.1080788681</v>
      </c>
      <c r="BH432" s="458">
        <v>7.4847001768604926E-2</v>
      </c>
      <c r="BI432" s="477">
        <v>16940078.009865992</v>
      </c>
      <c r="BJ432" s="458">
        <v>0.11476414810997038</v>
      </c>
      <c r="BK432" s="477">
        <v>82758734.024603754</v>
      </c>
      <c r="BL432" s="458">
        <v>0.2703583623514747</v>
      </c>
      <c r="BM432" s="468">
        <v>7.0424982919727928</v>
      </c>
    </row>
    <row r="433" spans="12:65" x14ac:dyDescent="0.3">
      <c r="L433" s="427">
        <v>16886711.727600001</v>
      </c>
      <c r="BE433" s="477">
        <v>9487670.5417780634</v>
      </c>
      <c r="BF433" s="458">
        <v>4.641411505039672E-2</v>
      </c>
      <c r="BG433" s="477">
        <v>4157590.6002085665</v>
      </c>
      <c r="BH433" s="458">
        <v>0.10528629444664617</v>
      </c>
      <c r="BI433" s="477">
        <v>22100774.618324589</v>
      </c>
      <c r="BJ433" s="458">
        <v>0.10875547137333119</v>
      </c>
      <c r="BK433" s="477">
        <v>90755303.980450228</v>
      </c>
      <c r="BL433" s="458">
        <v>0.25312256569853075</v>
      </c>
      <c r="BM433" s="468">
        <v>11.042113055258104</v>
      </c>
    </row>
    <row r="434" spans="12:65" x14ac:dyDescent="0.3">
      <c r="L434" s="427">
        <v>-3097842.5263</v>
      </c>
      <c r="BE434" s="477">
        <v>2858927.1180555741</v>
      </c>
      <c r="BF434" s="458">
        <v>1.6845177272674539E-2</v>
      </c>
      <c r="BG434" s="477">
        <v>8808224.9716143049</v>
      </c>
      <c r="BH434" s="458">
        <v>5.5859968827514761E-2</v>
      </c>
      <c r="BI434" s="477">
        <v>25969890.107158206</v>
      </c>
      <c r="BJ434" s="458">
        <v>0.1170528828771964</v>
      </c>
      <c r="BK434" s="477">
        <v>90385480.884186074</v>
      </c>
      <c r="BL434" s="458">
        <v>0.28378254265175218</v>
      </c>
      <c r="BM434" s="468">
        <v>10.935307532504114</v>
      </c>
    </row>
    <row r="435" spans="12:65" x14ac:dyDescent="0.3">
      <c r="L435" s="427">
        <v>7091836.1853</v>
      </c>
      <c r="BE435" s="477">
        <v>8653255.9006039854</v>
      </c>
      <c r="BF435" s="458">
        <v>7.6551745519458647E-2</v>
      </c>
      <c r="BG435" s="477">
        <v>5149086.0614865804</v>
      </c>
      <c r="BH435" s="458">
        <v>7.36058887749933E-2</v>
      </c>
      <c r="BI435" s="477">
        <v>15127304.433312535</v>
      </c>
      <c r="BJ435" s="458">
        <v>7.6643728192187455E-2</v>
      </c>
      <c r="BK435" s="477">
        <v>91398798.613617957</v>
      </c>
      <c r="BL435" s="458">
        <v>0.24284548993996902</v>
      </c>
      <c r="BM435" s="468">
        <v>13.002611117114636</v>
      </c>
    </row>
    <row r="436" spans="12:65" x14ac:dyDescent="0.3">
      <c r="L436" s="427">
        <v>5588000.3035000004</v>
      </c>
      <c r="BE436" s="477">
        <v>7274870.1084767552</v>
      </c>
      <c r="BF436" s="458">
        <v>3.846733469119834E-2</v>
      </c>
      <c r="BG436" s="477">
        <v>8689144.6164117586</v>
      </c>
      <c r="BH436" s="458">
        <v>9.1572152774953119E-2</v>
      </c>
      <c r="BI436" s="477">
        <v>16032167.844999751</v>
      </c>
      <c r="BJ436" s="458">
        <v>0.13077118986676251</v>
      </c>
      <c r="BK436" s="477">
        <v>93124891.923063621</v>
      </c>
      <c r="BL436" s="458">
        <v>0.28387511995230597</v>
      </c>
      <c r="BM436" s="468">
        <v>5.3089514499160781</v>
      </c>
    </row>
    <row r="437" spans="12:65" x14ac:dyDescent="0.3">
      <c r="L437" s="427">
        <v>5524585.0423999997</v>
      </c>
      <c r="BE437" s="477">
        <v>1907548.3039180846</v>
      </c>
      <c r="BF437" s="458">
        <v>3.8618357068449072E-2</v>
      </c>
      <c r="BG437" s="477">
        <v>9881923.1935392339</v>
      </c>
      <c r="BH437" s="458">
        <v>5.753341271092749E-2</v>
      </c>
      <c r="BI437" s="477">
        <v>19571580.967490166</v>
      </c>
      <c r="BJ437" s="458">
        <v>0.12689620931194368</v>
      </c>
      <c r="BK437" s="477">
        <v>103169010.42947207</v>
      </c>
      <c r="BL437" s="458">
        <v>0.26412565114625064</v>
      </c>
      <c r="BM437" s="468">
        <v>11.437679028449521</v>
      </c>
    </row>
    <row r="438" spans="12:65" x14ac:dyDescent="0.3">
      <c r="L438" s="427">
        <v>10267086.2246</v>
      </c>
      <c r="BE438" s="477">
        <v>811722.95298305841</v>
      </c>
      <c r="BF438" s="458">
        <v>4.0170822884446844E-2</v>
      </c>
      <c r="BG438" s="477">
        <v>14328611.648955995</v>
      </c>
      <c r="BH438" s="458">
        <v>5.7064153558897823E-2</v>
      </c>
      <c r="BI438" s="477">
        <v>20452353.615624845</v>
      </c>
      <c r="BJ438" s="458">
        <v>0.10678329587357283</v>
      </c>
      <c r="BK438" s="477">
        <v>86422753.432858318</v>
      </c>
      <c r="BL438" s="458">
        <v>0.26294921881538813</v>
      </c>
      <c r="BM438" s="468">
        <v>3.0609471620339379</v>
      </c>
    </row>
    <row r="439" spans="12:65" x14ac:dyDescent="0.3">
      <c r="L439" s="427">
        <v>6571644.1664000005</v>
      </c>
      <c r="BE439" s="477">
        <v>7462187.9470184147</v>
      </c>
      <c r="BF439" s="458">
        <v>3.8439168062378126E-2</v>
      </c>
      <c r="BG439" s="477">
        <v>14212660.723091943</v>
      </c>
      <c r="BH439" s="458">
        <v>6.4595467455789812E-2</v>
      </c>
      <c r="BI439" s="477">
        <v>19049384.114252772</v>
      </c>
      <c r="BJ439" s="458">
        <v>0.11900415327929892</v>
      </c>
      <c r="BK439" s="477">
        <v>84604391.463755414</v>
      </c>
      <c r="BL439" s="458">
        <v>0.27435716764035223</v>
      </c>
      <c r="BM439" s="468">
        <v>8.188234645267773</v>
      </c>
    </row>
    <row r="440" spans="12:65" x14ac:dyDescent="0.3">
      <c r="L440" s="427">
        <v>4529499.9154000003</v>
      </c>
      <c r="BE440" s="477">
        <v>4928104.3559997706</v>
      </c>
      <c r="BF440" s="458">
        <v>3.0882530435791811E-2</v>
      </c>
      <c r="BG440" s="477">
        <v>9759436.6895981282</v>
      </c>
      <c r="BH440" s="458">
        <v>6.2921269140095548E-2</v>
      </c>
      <c r="BI440" s="477">
        <v>13015519.113706887</v>
      </c>
      <c r="BJ440" s="458">
        <v>0.12500712993643126</v>
      </c>
      <c r="BK440" s="477">
        <v>82295361.407731384</v>
      </c>
      <c r="BL440" s="458">
        <v>0.27436312767332827</v>
      </c>
      <c r="BM440" s="468">
        <v>9.2239532939309843</v>
      </c>
    </row>
    <row r="441" spans="12:65" x14ac:dyDescent="0.3">
      <c r="L441" s="427">
        <v>15296622.5359</v>
      </c>
      <c r="BE441" s="477">
        <v>4854603.1519803237</v>
      </c>
      <c r="BF441" s="458">
        <v>4.869029838492378E-2</v>
      </c>
      <c r="BG441" s="477">
        <v>9348109.9862346631</v>
      </c>
      <c r="BH441" s="458">
        <v>7.2335599818087459E-2</v>
      </c>
      <c r="BI441" s="477">
        <v>12186274.137690205</v>
      </c>
      <c r="BJ441" s="458">
        <v>0.13344473451131988</v>
      </c>
      <c r="BK441" s="477">
        <v>87450911.783433765</v>
      </c>
      <c r="BL441" s="458">
        <v>0.25829393298948689</v>
      </c>
      <c r="BM441" s="468">
        <v>12.572240122719048</v>
      </c>
    </row>
    <row r="442" spans="12:65" x14ac:dyDescent="0.3">
      <c r="L442" s="427">
        <v>-4449262.9018000001</v>
      </c>
      <c r="BE442" s="477">
        <v>5073266.1617897553</v>
      </c>
      <c r="BF442" s="458">
        <v>3.4394954941190825E-2</v>
      </c>
      <c r="BG442" s="477">
        <v>16023033.221964354</v>
      </c>
      <c r="BH442" s="458">
        <v>5.699314514950049E-2</v>
      </c>
      <c r="BI442" s="477">
        <v>20572968.606038991</v>
      </c>
      <c r="BJ442" s="458">
        <v>0.1113505851548362</v>
      </c>
      <c r="BK442" s="477">
        <v>91213603.56076178</v>
      </c>
      <c r="BL442" s="458">
        <v>0.27649188300057026</v>
      </c>
      <c r="BM442" s="468">
        <v>4.9905950343181722</v>
      </c>
    </row>
    <row r="443" spans="12:65" x14ac:dyDescent="0.3">
      <c r="L443" s="427">
        <v>11224209.123400001</v>
      </c>
      <c r="BE443" s="477">
        <v>8238568.0648345957</v>
      </c>
      <c r="BF443" s="458">
        <v>4.4436827844715587E-2</v>
      </c>
      <c r="BG443" s="477">
        <v>11188352.802311447</v>
      </c>
      <c r="BH443" s="458">
        <v>7.2833431264846649E-2</v>
      </c>
      <c r="BI443" s="477">
        <v>16878844.854760624</v>
      </c>
      <c r="BJ443" s="458">
        <v>8.6471189019559969E-2</v>
      </c>
      <c r="BK443" s="477">
        <v>76022038.242981717</v>
      </c>
      <c r="BL443" s="458">
        <v>0.26479635360016607</v>
      </c>
      <c r="BM443" s="468">
        <v>2.12751479665405</v>
      </c>
    </row>
    <row r="444" spans="12:65" x14ac:dyDescent="0.3">
      <c r="L444" s="427">
        <v>13825443.101600001</v>
      </c>
      <c r="BE444" s="477">
        <v>5782588.7782974364</v>
      </c>
      <c r="BF444" s="458">
        <v>2.3935499030795171E-2</v>
      </c>
      <c r="BG444" s="477">
        <v>8614332.302019449</v>
      </c>
      <c r="BH444" s="458">
        <v>5.3755041610594301E-2</v>
      </c>
      <c r="BI444" s="477">
        <v>16322616.880242635</v>
      </c>
      <c r="BJ444" s="458">
        <v>9.4632397748098951E-2</v>
      </c>
      <c r="BK444" s="477">
        <v>81004847.697896704</v>
      </c>
      <c r="BL444" s="458">
        <v>0.25890281804608506</v>
      </c>
      <c r="BM444" s="468">
        <v>9.5307625075544848</v>
      </c>
    </row>
    <row r="445" spans="12:65" x14ac:dyDescent="0.3">
      <c r="L445" s="427">
        <v>4672367.8068000004</v>
      </c>
      <c r="BE445" s="477">
        <v>9403528.0457084961</v>
      </c>
      <c r="BF445" s="458">
        <v>3.5613624940272093E-2</v>
      </c>
      <c r="BG445" s="477">
        <v>7254424.806223698</v>
      </c>
      <c r="BH445" s="458">
        <v>8.6946300057704207E-2</v>
      </c>
      <c r="BI445" s="477">
        <v>13681848.855608776</v>
      </c>
      <c r="BJ445" s="458">
        <v>0.10523776638494953</v>
      </c>
      <c r="BK445" s="477">
        <v>97014463.964275748</v>
      </c>
      <c r="BL445" s="458">
        <v>0.2900490251431056</v>
      </c>
      <c r="BM445" s="468">
        <v>8.5330113528001004</v>
      </c>
    </row>
    <row r="446" spans="12:65" x14ac:dyDescent="0.3">
      <c r="L446" s="427">
        <v>22890372.9663</v>
      </c>
      <c r="BE446" s="477">
        <v>525716.6517469422</v>
      </c>
      <c r="BF446" s="458">
        <v>5.4651352938913211E-2</v>
      </c>
      <c r="BG446" s="477">
        <v>8712201.115994459</v>
      </c>
      <c r="BH446" s="458">
        <v>6.4046682514563802E-2</v>
      </c>
      <c r="BI446" s="477">
        <v>12923176.541737232</v>
      </c>
      <c r="BJ446" s="458">
        <v>0.10808511818756195</v>
      </c>
      <c r="BK446" s="477">
        <v>93611264.955526188</v>
      </c>
      <c r="BL446" s="458">
        <v>0.29960781067414954</v>
      </c>
      <c r="BM446" s="468">
        <v>1.3626558353300151</v>
      </c>
    </row>
    <row r="447" spans="12:65" x14ac:dyDescent="0.3">
      <c r="L447" s="427">
        <v>7275115.1054999996</v>
      </c>
      <c r="BE447" s="477">
        <v>7581716.8450725628</v>
      </c>
      <c r="BF447" s="458">
        <v>4.827225031008453E-2</v>
      </c>
      <c r="BG447" s="477">
        <v>20068690.959031306</v>
      </c>
      <c r="BH447" s="458">
        <v>8.5217042137039734E-2</v>
      </c>
      <c r="BI447" s="477">
        <v>15629821.910891116</v>
      </c>
      <c r="BJ447" s="458">
        <v>9.4755499600657433E-2</v>
      </c>
      <c r="BK447" s="477">
        <v>102391686.4883794</v>
      </c>
      <c r="BL447" s="458">
        <v>0.26581859560512555</v>
      </c>
      <c r="BM447" s="468">
        <v>7.8660413178514785</v>
      </c>
    </row>
    <row r="448" spans="12:65" x14ac:dyDescent="0.3">
      <c r="L448" s="427">
        <v>25173934.174899999</v>
      </c>
      <c r="BE448" s="477">
        <v>873401.4686039309</v>
      </c>
      <c r="BF448" s="458">
        <v>4.6126852157582832E-2</v>
      </c>
      <c r="BG448" s="477">
        <v>8199683.3391578458</v>
      </c>
      <c r="BH448" s="458">
        <v>5.8799111204978161E-2</v>
      </c>
      <c r="BI448" s="477">
        <v>14366433.854000647</v>
      </c>
      <c r="BJ448" s="458">
        <v>0.10571578860852759</v>
      </c>
      <c r="BK448" s="477">
        <v>95331199.661615565</v>
      </c>
      <c r="BL448" s="458">
        <v>0.27335343301858317</v>
      </c>
      <c r="BM448" s="468">
        <v>8.4047819972311082</v>
      </c>
    </row>
    <row r="449" spans="12:65" x14ac:dyDescent="0.3">
      <c r="L449" s="427">
        <v>883562.576</v>
      </c>
      <c r="BE449" s="477">
        <v>4809805.8452316523</v>
      </c>
      <c r="BF449" s="458">
        <v>5.1591143001951778E-2</v>
      </c>
      <c r="BG449" s="477">
        <v>14899045.932727696</v>
      </c>
      <c r="BH449" s="458">
        <v>6.5418221772533869E-2</v>
      </c>
      <c r="BI449" s="477">
        <v>1586205.2306372183</v>
      </c>
      <c r="BJ449" s="458">
        <v>9.4947278144869252E-2</v>
      </c>
      <c r="BK449" s="477">
        <v>89717316.350697666</v>
      </c>
      <c r="BL449" s="458">
        <v>0.27219363932453988</v>
      </c>
      <c r="BM449" s="468">
        <v>13.453448537137719</v>
      </c>
    </row>
    <row r="450" spans="12:65" x14ac:dyDescent="0.3">
      <c r="L450" s="427">
        <v>2667979.8207</v>
      </c>
      <c r="BE450" s="477">
        <v>3241009.3333676751</v>
      </c>
      <c r="BF450" s="458">
        <v>5.5220680507543696E-2</v>
      </c>
      <c r="BG450" s="477">
        <v>6285672.193638335</v>
      </c>
      <c r="BH450" s="458">
        <v>9.0660469955564649E-2</v>
      </c>
      <c r="BI450" s="477">
        <v>23076778.629890684</v>
      </c>
      <c r="BJ450" s="458">
        <v>0.11848074009853349</v>
      </c>
      <c r="BK450" s="477">
        <v>83919224.451356471</v>
      </c>
      <c r="BL450" s="458">
        <v>0.2717283187609989</v>
      </c>
      <c r="BM450" s="468">
        <v>1.5091676783213899</v>
      </c>
    </row>
    <row r="451" spans="12:65" x14ac:dyDescent="0.3">
      <c r="L451" s="427">
        <v>3671221.4098</v>
      </c>
      <c r="BE451" s="477">
        <v>4411539.4735964769</v>
      </c>
      <c r="BF451" s="458">
        <v>3.672165526602722E-2</v>
      </c>
      <c r="BG451" s="477">
        <v>6426057.8058882514</v>
      </c>
      <c r="BH451" s="458">
        <v>6.3527937050965377E-2</v>
      </c>
      <c r="BI451" s="477">
        <v>18721176.349392679</v>
      </c>
      <c r="BJ451" s="458">
        <v>0.11399340637685063</v>
      </c>
      <c r="BK451" s="477">
        <v>102532661.28399017</v>
      </c>
      <c r="BL451" s="458">
        <v>0.2667028620529357</v>
      </c>
      <c r="BM451" s="468">
        <v>6.628492199040589</v>
      </c>
    </row>
    <row r="452" spans="12:65" x14ac:dyDescent="0.3">
      <c r="L452" s="427">
        <v>15778896.796</v>
      </c>
      <c r="BE452" s="477">
        <v>2955529.574696525</v>
      </c>
      <c r="BF452" s="458">
        <v>5.8067827662109162E-2</v>
      </c>
      <c r="BG452" s="477">
        <v>2183818.9454754177</v>
      </c>
      <c r="BH452" s="458">
        <v>6.0475910338475103E-2</v>
      </c>
      <c r="BI452" s="477">
        <v>18530858.858257595</v>
      </c>
      <c r="BJ452" s="458">
        <v>0.10991010159455916</v>
      </c>
      <c r="BK452" s="477">
        <v>100222487.0960267</v>
      </c>
      <c r="BL452" s="458">
        <v>0.25670510284289949</v>
      </c>
      <c r="BM452" s="468">
        <v>5.1521782404892935</v>
      </c>
    </row>
    <row r="453" spans="12:65" x14ac:dyDescent="0.3">
      <c r="L453" s="427">
        <v>20244946.3532</v>
      </c>
      <c r="BE453" s="477">
        <v>6135428.5649688495</v>
      </c>
      <c r="BF453" s="458">
        <v>4.3001768687166431E-2</v>
      </c>
      <c r="BG453" s="477">
        <v>13865932.043296082</v>
      </c>
      <c r="BH453" s="458">
        <v>6.9613118758310888E-2</v>
      </c>
      <c r="BI453" s="477">
        <v>24733377.679766152</v>
      </c>
      <c r="BJ453" s="458">
        <v>0.14683343960417372</v>
      </c>
      <c r="BK453" s="477">
        <v>97356304.632028773</v>
      </c>
      <c r="BL453" s="458">
        <v>0.31365402501148876</v>
      </c>
      <c r="BM453" s="468">
        <v>10.861571643396466</v>
      </c>
    </row>
    <row r="454" spans="12:65" x14ac:dyDescent="0.3">
      <c r="L454" s="427">
        <v>9116922.1776000001</v>
      </c>
      <c r="BE454" s="477">
        <v>-4267002.5236737439</v>
      </c>
      <c r="BF454" s="458">
        <v>5.3134175025039587E-2</v>
      </c>
      <c r="BG454" s="477">
        <v>6590951.7335154442</v>
      </c>
      <c r="BH454" s="458">
        <v>5.9244775688434004E-2</v>
      </c>
      <c r="BI454" s="477">
        <v>17088098.069604974</v>
      </c>
      <c r="BJ454" s="458">
        <v>0.12341270292860429</v>
      </c>
      <c r="BK454" s="477">
        <v>81132214.312927887</v>
      </c>
      <c r="BL454" s="458">
        <v>0.26573694030605388</v>
      </c>
      <c r="BM454" s="468">
        <v>-1.5024478450284935</v>
      </c>
    </row>
    <row r="455" spans="12:65" x14ac:dyDescent="0.3">
      <c r="L455" s="427">
        <v>8469661.5318</v>
      </c>
      <c r="BE455" s="477">
        <v>6149716.9675100259</v>
      </c>
      <c r="BF455" s="458">
        <v>4.1127093585148433E-2</v>
      </c>
      <c r="BG455" s="477">
        <v>9327896.827778995</v>
      </c>
      <c r="BH455" s="458">
        <v>5.8332369031286024E-2</v>
      </c>
      <c r="BI455" s="477">
        <v>11253944.813471263</v>
      </c>
      <c r="BJ455" s="458">
        <v>0.1156540094463141</v>
      </c>
      <c r="BK455" s="477">
        <v>94396463.011685014</v>
      </c>
      <c r="BL455" s="458">
        <v>0.25923487757072694</v>
      </c>
      <c r="BM455" s="468">
        <v>7.9841851665160943</v>
      </c>
    </row>
    <row r="456" spans="12:65" x14ac:dyDescent="0.3">
      <c r="L456" s="427">
        <v>23176624.507800002</v>
      </c>
      <c r="BE456" s="477">
        <v>6479536.1471351143</v>
      </c>
      <c r="BF456" s="458">
        <v>3.5257822989324117E-2</v>
      </c>
      <c r="BG456" s="477">
        <v>7400019.6349942163</v>
      </c>
      <c r="BH456" s="458">
        <v>8.4088972297369002E-2</v>
      </c>
      <c r="BI456" s="477">
        <v>26216584.265030369</v>
      </c>
      <c r="BJ456" s="458">
        <v>0.10660463461773784</v>
      </c>
      <c r="BK456" s="477">
        <v>99121051.649993405</v>
      </c>
      <c r="BL456" s="458">
        <v>0.25591829897829022</v>
      </c>
      <c r="BM456" s="468">
        <v>1.9371346728988019</v>
      </c>
    </row>
    <row r="457" spans="12:65" x14ac:dyDescent="0.3">
      <c r="L457" s="427">
        <v>-1764412.7323</v>
      </c>
      <c r="BE457" s="477">
        <v>3961135.3458996043</v>
      </c>
      <c r="BF457" s="458">
        <v>2.4296596669438397E-2</v>
      </c>
      <c r="BG457" s="477">
        <v>9202130.7966866288</v>
      </c>
      <c r="BH457" s="458">
        <v>8.0519178067325337E-2</v>
      </c>
      <c r="BI457" s="477">
        <v>19309666.343505897</v>
      </c>
      <c r="BJ457" s="458">
        <v>8.9587027440037437E-2</v>
      </c>
      <c r="BK457" s="477">
        <v>89578960.371514812</v>
      </c>
      <c r="BL457" s="458">
        <v>0.27568412233372097</v>
      </c>
      <c r="BM457" s="468">
        <v>5.8005417933375565</v>
      </c>
    </row>
    <row r="458" spans="12:65" x14ac:dyDescent="0.3">
      <c r="L458" s="427">
        <v>8969205.3725000005</v>
      </c>
      <c r="BE458" s="477">
        <v>5045827.9120405698</v>
      </c>
      <c r="BF458" s="458">
        <v>2.6237818850908701E-2</v>
      </c>
      <c r="BG458" s="477">
        <v>7214602.1607174072</v>
      </c>
      <c r="BH458" s="458">
        <v>6.4131745578764665E-2</v>
      </c>
      <c r="BI458" s="477">
        <v>25647450.881413341</v>
      </c>
      <c r="BJ458" s="458">
        <v>0.12321351021899241</v>
      </c>
      <c r="BK458" s="477">
        <v>77009051.023522094</v>
      </c>
      <c r="BL458" s="458">
        <v>0.25728324483210741</v>
      </c>
      <c r="BM458" s="468">
        <v>13.325496126563316</v>
      </c>
    </row>
    <row r="459" spans="12:65" x14ac:dyDescent="0.3">
      <c r="L459" s="427">
        <v>-136007.13329999999</v>
      </c>
      <c r="BE459" s="477">
        <v>4137096.4404361183</v>
      </c>
      <c r="BF459" s="458">
        <v>5.1072686437893866E-2</v>
      </c>
      <c r="BG459" s="477">
        <v>6084798.7153611286</v>
      </c>
      <c r="BH459" s="458">
        <v>7.5571002614086114E-2</v>
      </c>
      <c r="BI459" s="477">
        <v>19341660.594671179</v>
      </c>
      <c r="BJ459" s="458">
        <v>0.12103271123357962</v>
      </c>
      <c r="BK459" s="477">
        <v>84006184.564627334</v>
      </c>
      <c r="BL459" s="458">
        <v>0.27361370560715925</v>
      </c>
      <c r="BM459" s="468">
        <v>5.4649318605867361</v>
      </c>
    </row>
    <row r="460" spans="12:65" x14ac:dyDescent="0.3">
      <c r="L460" s="427">
        <v>6449209.2302000001</v>
      </c>
      <c r="BE460" s="477">
        <v>5964767.5365512418</v>
      </c>
      <c r="BF460" s="458">
        <v>4.5138265121271948E-2</v>
      </c>
      <c r="BG460" s="477">
        <v>2841285.7020902657</v>
      </c>
      <c r="BH460" s="458">
        <v>5.4309847872331618E-2</v>
      </c>
      <c r="BI460" s="477">
        <v>16686349.51709778</v>
      </c>
      <c r="BJ460" s="458">
        <v>0.10007120658007862</v>
      </c>
      <c r="BK460" s="477">
        <v>96378635.642580152</v>
      </c>
      <c r="BL460" s="458">
        <v>0.28467714499228158</v>
      </c>
      <c r="BM460" s="468">
        <v>-0.58792918287170259</v>
      </c>
    </row>
    <row r="461" spans="12:65" x14ac:dyDescent="0.3">
      <c r="L461" s="427">
        <v>-18618015.542399999</v>
      </c>
      <c r="BE461" s="477">
        <v>5803129.4633312505</v>
      </c>
      <c r="BF461" s="458">
        <v>4.3788787431764176E-2</v>
      </c>
      <c r="BG461" s="477">
        <v>8381140.6798886843</v>
      </c>
      <c r="BH461" s="458">
        <v>5.6849682581709748E-2</v>
      </c>
      <c r="BI461" s="477">
        <v>15949357.537583027</v>
      </c>
      <c r="BJ461" s="458">
        <v>0.13239295282760266</v>
      </c>
      <c r="BK461" s="477">
        <v>88711205.162743747</v>
      </c>
      <c r="BL461" s="458">
        <v>0.27224284764079809</v>
      </c>
      <c r="BM461" s="468">
        <v>10.067002886995065</v>
      </c>
    </row>
    <row r="462" spans="12:65" x14ac:dyDescent="0.3">
      <c r="L462" s="427">
        <v>-7974556.4963999996</v>
      </c>
      <c r="BE462" s="477">
        <v>3743635.6126872473</v>
      </c>
      <c r="BF462" s="458">
        <v>3.8752234554013221E-2</v>
      </c>
      <c r="BG462" s="477">
        <v>9420366.7834888212</v>
      </c>
      <c r="BH462" s="458">
        <v>6.8873855320886967E-2</v>
      </c>
      <c r="BI462" s="477">
        <v>19581799.163250893</v>
      </c>
      <c r="BJ462" s="458">
        <v>0.10449137811639342</v>
      </c>
      <c r="BK462" s="477">
        <v>85265124.461297989</v>
      </c>
      <c r="BL462" s="458">
        <v>0.27047795812347308</v>
      </c>
      <c r="BM462" s="468">
        <v>5.4597886485173674</v>
      </c>
    </row>
    <row r="463" spans="12:65" x14ac:dyDescent="0.3">
      <c r="L463" s="427">
        <v>19824489.3312</v>
      </c>
      <c r="BE463" s="477">
        <v>3640342.2229060167</v>
      </c>
      <c r="BF463" s="458">
        <v>2.6715419805019458E-2</v>
      </c>
      <c r="BG463" s="477">
        <v>9828087.3247941826</v>
      </c>
      <c r="BH463" s="458">
        <v>5.9463161217770288E-2</v>
      </c>
      <c r="BI463" s="477">
        <v>8733235.3279008083</v>
      </c>
      <c r="BJ463" s="458">
        <v>0.10911284416377187</v>
      </c>
      <c r="BK463" s="477">
        <v>108292037.90904927</v>
      </c>
      <c r="BL463" s="458">
        <v>0.27734385320797195</v>
      </c>
      <c r="BM463" s="468">
        <v>8.5217009113170263</v>
      </c>
    </row>
    <row r="464" spans="12:65" x14ac:dyDescent="0.3">
      <c r="L464" s="427">
        <v>-4730182.074</v>
      </c>
      <c r="BE464" s="477">
        <v>7866817.0202714168</v>
      </c>
      <c r="BF464" s="458">
        <v>3.4187777549116838E-2</v>
      </c>
      <c r="BG464" s="477">
        <v>9516287.03475192</v>
      </c>
      <c r="BH464" s="458">
        <v>7.9364712449123243E-2</v>
      </c>
      <c r="BI464" s="477">
        <v>15068761.024678024</v>
      </c>
      <c r="BJ464" s="458">
        <v>0.11286354836792278</v>
      </c>
      <c r="BK464" s="477">
        <v>94694638.825937927</v>
      </c>
      <c r="BL464" s="458">
        <v>0.26350179875282209</v>
      </c>
      <c r="BM464" s="468">
        <v>6.5229879943422517</v>
      </c>
    </row>
    <row r="465" spans="12:65" x14ac:dyDescent="0.3">
      <c r="L465" s="427">
        <v>18878884.009</v>
      </c>
      <c r="BE465" s="477">
        <v>5321334.6440194072</v>
      </c>
      <c r="BF465" s="458">
        <v>5.4773626593650704E-2</v>
      </c>
      <c r="BG465" s="477">
        <v>15134914.462077383</v>
      </c>
      <c r="BH465" s="458">
        <v>6.7115081766677021E-2</v>
      </c>
      <c r="BI465" s="477">
        <v>12046478.932009988</v>
      </c>
      <c r="BJ465" s="458">
        <v>0.10052984450788305</v>
      </c>
      <c r="BK465" s="477">
        <v>89609188.327847511</v>
      </c>
      <c r="BL465" s="458">
        <v>0.27882235160048729</v>
      </c>
      <c r="BM465" s="468">
        <v>14.878200519649315</v>
      </c>
    </row>
    <row r="466" spans="12:65" x14ac:dyDescent="0.3">
      <c r="L466" s="427">
        <v>29106801.633400001</v>
      </c>
      <c r="BE466" s="477">
        <v>5315249.8066001786</v>
      </c>
      <c r="BF466" s="458">
        <v>2.6233992800323458E-2</v>
      </c>
      <c r="BG466" s="477">
        <v>6487224.4465075703</v>
      </c>
      <c r="BH466" s="458">
        <v>5.8633050765180661E-2</v>
      </c>
      <c r="BI466" s="477">
        <v>22219676.64800974</v>
      </c>
      <c r="BJ466" s="458">
        <v>0.11304655447268508</v>
      </c>
      <c r="BK466" s="477">
        <v>88540750.581605256</v>
      </c>
      <c r="BL466" s="458">
        <v>0.23735032898450137</v>
      </c>
      <c r="BM466" s="468">
        <v>12.20295832748603</v>
      </c>
    </row>
    <row r="467" spans="12:65" x14ac:dyDescent="0.3">
      <c r="L467" s="427">
        <v>11529831.7575</v>
      </c>
      <c r="BE467" s="477">
        <v>4296611.3207688211</v>
      </c>
      <c r="BF467" s="458">
        <v>6.5297362677109616E-2</v>
      </c>
      <c r="BG467" s="477">
        <v>7520005.6585641298</v>
      </c>
      <c r="BH467" s="458">
        <v>7.6587585825792504E-2</v>
      </c>
      <c r="BI467" s="477">
        <v>9485776.5429449193</v>
      </c>
      <c r="BJ467" s="458">
        <v>0.10852275895949037</v>
      </c>
      <c r="BK467" s="477">
        <v>91594318.012246907</v>
      </c>
      <c r="BL467" s="458">
        <v>0.26911912881359079</v>
      </c>
      <c r="BM467" s="468">
        <v>8.2089051475438684</v>
      </c>
    </row>
    <row r="468" spans="12:65" x14ac:dyDescent="0.3">
      <c r="L468" s="427">
        <v>7691830.6670000004</v>
      </c>
      <c r="BE468" s="477">
        <v>8924011.2184781618</v>
      </c>
      <c r="BF468" s="458">
        <v>3.1116379781803039E-2</v>
      </c>
      <c r="BG468" s="477">
        <v>12538499.405207241</v>
      </c>
      <c r="BH468" s="458">
        <v>5.705469088611359E-2</v>
      </c>
      <c r="BI468" s="477">
        <v>11629272.204673123</v>
      </c>
      <c r="BJ468" s="458">
        <v>0.13501989817719151</v>
      </c>
      <c r="BK468" s="477">
        <v>99209440.026605248</v>
      </c>
      <c r="BL468" s="458">
        <v>0.26695461937227538</v>
      </c>
      <c r="BM468" s="468">
        <v>9.0211188406933545</v>
      </c>
    </row>
    <row r="469" spans="12:65" x14ac:dyDescent="0.3">
      <c r="L469" s="427">
        <v>5677278.4528999999</v>
      </c>
      <c r="BE469" s="477">
        <v>4441774.3657845184</v>
      </c>
      <c r="BF469" s="458">
        <v>7.9718239371814548E-2</v>
      </c>
      <c r="BG469" s="477">
        <v>13162050.254764182</v>
      </c>
      <c r="BH469" s="458">
        <v>8.5657116969320324E-2</v>
      </c>
      <c r="BI469" s="477">
        <v>21588729.530967645</v>
      </c>
      <c r="BJ469" s="458">
        <v>0.11096771602251998</v>
      </c>
      <c r="BK469" s="477">
        <v>87745627.078214988</v>
      </c>
      <c r="BL469" s="458">
        <v>0.2581157038137305</v>
      </c>
      <c r="BM469" s="468">
        <v>8.8904307856463465</v>
      </c>
    </row>
    <row r="470" spans="12:65" x14ac:dyDescent="0.3">
      <c r="L470" s="427">
        <v>19180607.259</v>
      </c>
      <c r="BE470" s="477">
        <v>9233251.6226198506</v>
      </c>
      <c r="BF470" s="458">
        <v>4.6308351214998655E-2</v>
      </c>
      <c r="BG470" s="477">
        <v>14656322.282579169</v>
      </c>
      <c r="BH470" s="458">
        <v>5.5426271146553185E-2</v>
      </c>
      <c r="BI470" s="477">
        <v>12155526.054999601</v>
      </c>
      <c r="BJ470" s="458">
        <v>0.11197425813672335</v>
      </c>
      <c r="BK470" s="477">
        <v>89575535.221833557</v>
      </c>
      <c r="BL470" s="458">
        <v>0.27371453399518719</v>
      </c>
      <c r="BM470" s="468">
        <v>5.0250349841237671</v>
      </c>
    </row>
    <row r="471" spans="12:65" x14ac:dyDescent="0.3">
      <c r="L471" s="427">
        <v>2524727.1792000001</v>
      </c>
      <c r="BE471" s="477">
        <v>2007212.2327651449</v>
      </c>
      <c r="BF471" s="458">
        <v>5.018067338063581E-2</v>
      </c>
      <c r="BG471" s="477">
        <v>10798176.530562598</v>
      </c>
      <c r="BH471" s="458">
        <v>7.683089791290687E-2</v>
      </c>
      <c r="BI471" s="477">
        <v>24693573.039554633</v>
      </c>
      <c r="BJ471" s="458">
        <v>0.12170251711421698</v>
      </c>
      <c r="BK471" s="477">
        <v>74996472.150506064</v>
      </c>
      <c r="BL471" s="458">
        <v>0.28772640214845047</v>
      </c>
      <c r="BM471" s="468">
        <v>7.4878778402328576</v>
      </c>
    </row>
    <row r="472" spans="12:65" x14ac:dyDescent="0.3">
      <c r="L472" s="427">
        <v>6488411.8041000003</v>
      </c>
      <c r="BE472" s="477">
        <v>6297892.5001849588</v>
      </c>
      <c r="BF472" s="458">
        <v>4.0517131224723002E-2</v>
      </c>
      <c r="BG472" s="477">
        <v>13291065.520187108</v>
      </c>
      <c r="BH472" s="458">
        <v>5.1071255035398666E-2</v>
      </c>
      <c r="BI472" s="477">
        <v>20127103.983912256</v>
      </c>
      <c r="BJ472" s="458">
        <v>0.12681791239298845</v>
      </c>
      <c r="BK472" s="477">
        <v>79233834.765798077</v>
      </c>
      <c r="BL472" s="458">
        <v>0.28106270055114235</v>
      </c>
      <c r="BM472" s="468">
        <v>2.7434433315369278</v>
      </c>
    </row>
    <row r="473" spans="12:65" x14ac:dyDescent="0.3">
      <c r="L473" s="427">
        <v>5265013.0663000001</v>
      </c>
      <c r="BE473" s="477">
        <v>1773734.8193301763</v>
      </c>
      <c r="BF473" s="458">
        <v>7.1151810705939456E-2</v>
      </c>
      <c r="BG473" s="477">
        <v>17528053.797722295</v>
      </c>
      <c r="BH473" s="458">
        <v>7.3534253342027345E-2</v>
      </c>
      <c r="BI473" s="477">
        <v>15829639.052183848</v>
      </c>
      <c r="BJ473" s="458">
        <v>0.11426898221622617</v>
      </c>
      <c r="BK473" s="477">
        <v>98144161.868341982</v>
      </c>
      <c r="BL473" s="458">
        <v>0.24077406209740126</v>
      </c>
      <c r="BM473" s="468">
        <v>7.3302196849536312</v>
      </c>
    </row>
    <row r="474" spans="12:65" x14ac:dyDescent="0.3">
      <c r="L474" s="427">
        <v>11732741.978800001</v>
      </c>
      <c r="BE474" s="477">
        <v>2072141.9986982783</v>
      </c>
      <c r="BF474" s="458">
        <v>3.6508569412340819E-2</v>
      </c>
      <c r="BG474" s="477">
        <v>13730554.456426505</v>
      </c>
      <c r="BH474" s="458">
        <v>6.7011321057491635E-2</v>
      </c>
      <c r="BI474" s="477">
        <v>9655828.1493483819</v>
      </c>
      <c r="BJ474" s="458">
        <v>0.11174608906896411</v>
      </c>
      <c r="BK474" s="477">
        <v>78669414.314536631</v>
      </c>
      <c r="BL474" s="458">
        <v>0.25664978564533558</v>
      </c>
      <c r="BM474" s="468">
        <v>12.457373287939259</v>
      </c>
    </row>
    <row r="475" spans="12:65" x14ac:dyDescent="0.3">
      <c r="L475" s="427">
        <v>7942992.0669</v>
      </c>
      <c r="BE475" s="477">
        <v>7077237.0476828301</v>
      </c>
      <c r="BF475" s="458">
        <v>3.9362290104898001E-2</v>
      </c>
      <c r="BG475" s="477">
        <v>11123883.660197461</v>
      </c>
      <c r="BH475" s="458">
        <v>8.2369335572512137E-2</v>
      </c>
      <c r="BI475" s="477">
        <v>16577486.572684919</v>
      </c>
      <c r="BJ475" s="458">
        <v>0.10766662461242049</v>
      </c>
      <c r="BK475" s="477">
        <v>94097141.328424156</v>
      </c>
      <c r="BL475" s="458">
        <v>0.25420043928678138</v>
      </c>
      <c r="BM475" s="468">
        <v>7.6515842034216837</v>
      </c>
    </row>
    <row r="476" spans="12:65" x14ac:dyDescent="0.3">
      <c r="L476" s="427">
        <v>10735904.947899999</v>
      </c>
      <c r="BE476" s="477">
        <v>7110473.060583421</v>
      </c>
      <c r="BF476" s="458">
        <v>2.8257211233991608E-2</v>
      </c>
      <c r="BG476" s="477">
        <v>7975500.2098896978</v>
      </c>
      <c r="BH476" s="458">
        <v>8.119748313493047E-2</v>
      </c>
      <c r="BI476" s="477">
        <v>16333209.537547316</v>
      </c>
      <c r="BJ476" s="458">
        <v>0.11015974260952377</v>
      </c>
      <c r="BK476" s="477">
        <v>96102859.867970362</v>
      </c>
      <c r="BL476" s="458">
        <v>0.26540158196006769</v>
      </c>
      <c r="BM476" s="468">
        <v>12.013024937070659</v>
      </c>
    </row>
    <row r="477" spans="12:65" x14ac:dyDescent="0.3">
      <c r="L477" s="427">
        <v>2330343.4515</v>
      </c>
      <c r="BE477" s="477">
        <v>8372593.830906067</v>
      </c>
      <c r="BF477" s="458">
        <v>2.7875824047772113E-2</v>
      </c>
      <c r="BG477" s="477">
        <v>5280700.1201125402</v>
      </c>
      <c r="BH477" s="458">
        <v>8.2224038080324968E-2</v>
      </c>
      <c r="BI477" s="477">
        <v>13202187.437342271</v>
      </c>
      <c r="BJ477" s="458">
        <v>0.12172514410503843</v>
      </c>
      <c r="BK477" s="477">
        <v>92351391.363358632</v>
      </c>
      <c r="BL477" s="458">
        <v>0.25440741881369999</v>
      </c>
      <c r="BM477" s="468">
        <v>8.0755835993622469</v>
      </c>
    </row>
    <row r="478" spans="12:65" x14ac:dyDescent="0.3">
      <c r="L478" s="427">
        <v>14197138.6043</v>
      </c>
      <c r="BE478" s="477">
        <v>971819.04924194131</v>
      </c>
      <c r="BF478" s="458">
        <v>4.2675906860859758E-2</v>
      </c>
      <c r="BG478" s="477">
        <v>7644271.4276834112</v>
      </c>
      <c r="BH478" s="458">
        <v>6.8820899279042225E-2</v>
      </c>
      <c r="BI478" s="477">
        <v>15463472.183998859</v>
      </c>
      <c r="BJ478" s="458">
        <v>0.11720131200223327</v>
      </c>
      <c r="BK478" s="477">
        <v>90939608.174971014</v>
      </c>
      <c r="BL478" s="458">
        <v>0.27850359896204746</v>
      </c>
      <c r="BM478" s="468">
        <v>9.0364332700962997</v>
      </c>
    </row>
    <row r="479" spans="12:65" x14ac:dyDescent="0.3">
      <c r="L479" s="427">
        <v>16496836.484200001</v>
      </c>
      <c r="BE479" s="477">
        <v>7124481.7191574136</v>
      </c>
      <c r="BF479" s="458">
        <v>4.4557510653581156E-2</v>
      </c>
      <c r="BG479" s="477">
        <v>9183650.5957400892</v>
      </c>
      <c r="BH479" s="458">
        <v>6.6039789076076438E-2</v>
      </c>
      <c r="BI479" s="477">
        <v>16197586.614573916</v>
      </c>
      <c r="BJ479" s="458">
        <v>0.11630465167830173</v>
      </c>
      <c r="BK479" s="477">
        <v>93002550.224621862</v>
      </c>
      <c r="BL479" s="458">
        <v>0.25175302265300314</v>
      </c>
      <c r="BM479" s="468">
        <v>8.3253667033479051</v>
      </c>
    </row>
    <row r="480" spans="12:65" x14ac:dyDescent="0.3">
      <c r="L480" s="427">
        <v>-3227910.3269000002</v>
      </c>
      <c r="BE480" s="477">
        <v>6815588.9530621516</v>
      </c>
      <c r="BF480" s="458">
        <v>5.0763905415877053E-2</v>
      </c>
      <c r="BG480" s="477">
        <v>12361119.536863122</v>
      </c>
      <c r="BH480" s="458">
        <v>8.3923291964308699E-2</v>
      </c>
      <c r="BI480" s="477">
        <v>16104028.962692689</v>
      </c>
      <c r="BJ480" s="458">
        <v>7.116305244224308E-2</v>
      </c>
      <c r="BK480" s="477">
        <v>112469121.87633529</v>
      </c>
      <c r="BL480" s="458">
        <v>0.27497387101688653</v>
      </c>
      <c r="BM480" s="468">
        <v>11.591913073778423</v>
      </c>
    </row>
    <row r="481" spans="12:65" x14ac:dyDescent="0.3">
      <c r="L481" s="427">
        <v>-4345977.6352000004</v>
      </c>
      <c r="BE481" s="477">
        <v>6896245.7137456909</v>
      </c>
      <c r="BF481" s="458">
        <v>5.8670491371041411E-2</v>
      </c>
      <c r="BG481" s="477">
        <v>7255877.5356600964</v>
      </c>
      <c r="BH481" s="458">
        <v>5.6656870057152142E-2</v>
      </c>
      <c r="BI481" s="477">
        <v>11546019.280400403</v>
      </c>
      <c r="BJ481" s="458">
        <v>9.8516544551599639E-2</v>
      </c>
      <c r="BK481" s="477">
        <v>79507536.541810811</v>
      </c>
      <c r="BL481" s="458">
        <v>0.27124988178276088</v>
      </c>
      <c r="BM481" s="468">
        <v>11.985665909025069</v>
      </c>
    </row>
    <row r="482" spans="12:65" x14ac:dyDescent="0.3">
      <c r="L482" s="427">
        <v>7253515.2481000004</v>
      </c>
      <c r="BE482" s="477">
        <v>7073935.6433186587</v>
      </c>
      <c r="BF482" s="458">
        <v>1.0269548602306111E-2</v>
      </c>
      <c r="BG482" s="477">
        <v>10864363.11327954</v>
      </c>
      <c r="BH482" s="458">
        <v>5.694241933040467E-2</v>
      </c>
      <c r="BI482" s="477">
        <v>19402904.738848165</v>
      </c>
      <c r="BJ482" s="458">
        <v>0.10616620756865136</v>
      </c>
      <c r="BK482" s="477">
        <v>88906118.505783096</v>
      </c>
      <c r="BL482" s="458">
        <v>0.2535592564516651</v>
      </c>
      <c r="BM482" s="468">
        <v>12.846600343086777</v>
      </c>
    </row>
    <row r="483" spans="12:65" x14ac:dyDescent="0.3">
      <c r="L483" s="427">
        <v>7844153.5345999999</v>
      </c>
      <c r="BE483" s="477">
        <v>3957662.5760458582</v>
      </c>
      <c r="BF483" s="458">
        <v>3.5264821910557798E-2</v>
      </c>
      <c r="BG483" s="477">
        <v>8804282.3250917196</v>
      </c>
      <c r="BH483" s="458">
        <v>4.8176182835288017E-2</v>
      </c>
      <c r="BI483" s="477">
        <v>15235787.677350221</v>
      </c>
      <c r="BJ483" s="458">
        <v>0.10396965236835998</v>
      </c>
      <c r="BK483" s="477">
        <v>96506471.376864702</v>
      </c>
      <c r="BL483" s="458">
        <v>0.26463267412463254</v>
      </c>
      <c r="BM483" s="468">
        <v>10.540611933293304</v>
      </c>
    </row>
    <row r="484" spans="12:65" x14ac:dyDescent="0.3">
      <c r="L484" s="427">
        <v>-6367094.8114999998</v>
      </c>
      <c r="BE484" s="477">
        <v>9628294.4786178544</v>
      </c>
      <c r="BF484" s="458">
        <v>3.9599717817871083E-2</v>
      </c>
      <c r="BG484" s="477">
        <v>8781422.9639421273</v>
      </c>
      <c r="BH484" s="458">
        <v>6.5328212064841962E-2</v>
      </c>
      <c r="BI484" s="477">
        <v>6229868.27383311</v>
      </c>
      <c r="BJ484" s="458">
        <v>0.13089803242204656</v>
      </c>
      <c r="BK484" s="477">
        <v>96969876.759690449</v>
      </c>
      <c r="BL484" s="458">
        <v>0.25532124871845241</v>
      </c>
      <c r="BM484" s="468">
        <v>7.2806279038615171</v>
      </c>
    </row>
    <row r="485" spans="12:65" x14ac:dyDescent="0.3">
      <c r="L485" s="427">
        <v>13312066.7958</v>
      </c>
      <c r="BE485" s="477">
        <v>1108330.8287241682</v>
      </c>
      <c r="BF485" s="458">
        <v>5.862802806466183E-2</v>
      </c>
      <c r="BG485" s="477">
        <v>10371628.006200347</v>
      </c>
      <c r="BH485" s="458">
        <v>7.7560425868295368E-2</v>
      </c>
      <c r="BI485" s="477">
        <v>18016233.306957271</v>
      </c>
      <c r="BJ485" s="458">
        <v>0.10567602345047145</v>
      </c>
      <c r="BK485" s="477">
        <v>99756995.281710625</v>
      </c>
      <c r="BL485" s="458">
        <v>0.26565859304857264</v>
      </c>
      <c r="BM485" s="468">
        <v>9.0832196159566365</v>
      </c>
    </row>
    <row r="486" spans="12:65" x14ac:dyDescent="0.3">
      <c r="L486" s="427">
        <v>11930856.5583</v>
      </c>
      <c r="BE486" s="477">
        <v>7052949.0377455279</v>
      </c>
      <c r="BF486" s="458">
        <v>4.4374795896469976E-2</v>
      </c>
      <c r="BG486" s="477">
        <v>9431766.442359224</v>
      </c>
      <c r="BH486" s="458">
        <v>7.0177077226800444E-2</v>
      </c>
      <c r="BI486" s="477">
        <v>16921404.07082795</v>
      </c>
      <c r="BJ486" s="458">
        <v>0.13105828146168141</v>
      </c>
      <c r="BK486" s="477">
        <v>102656969.12009242</v>
      </c>
      <c r="BL486" s="458">
        <v>0.26465183239060641</v>
      </c>
      <c r="BM486" s="468">
        <v>7.9682661867550069</v>
      </c>
    </row>
    <row r="487" spans="12:65" x14ac:dyDescent="0.3">
      <c r="L487" s="427">
        <v>28249676.081599999</v>
      </c>
      <c r="BE487" s="477">
        <v>6168512.0350157358</v>
      </c>
      <c r="BF487" s="458">
        <v>3.0133592037067558E-2</v>
      </c>
      <c r="BG487" s="477">
        <v>6002608.1376744593</v>
      </c>
      <c r="BH487" s="458">
        <v>8.8027859431089706E-2</v>
      </c>
      <c r="BI487" s="477">
        <v>12767292.56956014</v>
      </c>
      <c r="BJ487" s="458">
        <v>0.15122704940402021</v>
      </c>
      <c r="BK487" s="477">
        <v>94689974.477393568</v>
      </c>
      <c r="BL487" s="458">
        <v>0.26279837855931842</v>
      </c>
      <c r="BM487" s="468">
        <v>15.428149719887532</v>
      </c>
    </row>
    <row r="488" spans="12:65" x14ac:dyDescent="0.3">
      <c r="L488" s="427">
        <v>1180734.0393999999</v>
      </c>
      <c r="BE488" s="477">
        <v>6115120.3680308266</v>
      </c>
      <c r="BF488" s="458">
        <v>4.8724662876695302E-2</v>
      </c>
      <c r="BG488" s="477">
        <v>1961413.0623758703</v>
      </c>
      <c r="BH488" s="458">
        <v>6.5104069488594707E-2</v>
      </c>
      <c r="BI488" s="477">
        <v>12629516.067063026</v>
      </c>
      <c r="BJ488" s="458">
        <v>0.11676618094186098</v>
      </c>
      <c r="BK488" s="477">
        <v>83042485.638767675</v>
      </c>
      <c r="BL488" s="458">
        <v>0.27462157391907049</v>
      </c>
      <c r="BM488" s="468">
        <v>7.8955147045889849</v>
      </c>
    </row>
    <row r="489" spans="12:65" x14ac:dyDescent="0.3">
      <c r="L489" s="427">
        <v>4325098.4541999996</v>
      </c>
      <c r="BE489" s="477">
        <v>5884679.3418564415</v>
      </c>
      <c r="BF489" s="458">
        <v>6.1544545747676649E-2</v>
      </c>
      <c r="BG489" s="477">
        <v>7792157.0606941124</v>
      </c>
      <c r="BH489" s="458">
        <v>5.2712996694425529E-2</v>
      </c>
      <c r="BI489" s="477">
        <v>7700568.8397249002</v>
      </c>
      <c r="BJ489" s="458">
        <v>8.4232434842493875E-2</v>
      </c>
      <c r="BK489" s="477">
        <v>96286408.375286266</v>
      </c>
      <c r="BL489" s="458">
        <v>0.262358782933938</v>
      </c>
      <c r="BM489" s="468">
        <v>9.7076365842438381</v>
      </c>
    </row>
    <row r="490" spans="12:65" x14ac:dyDescent="0.3">
      <c r="L490" s="427">
        <v>728085.03980000003</v>
      </c>
      <c r="BE490" s="477">
        <v>4090188.1475183815</v>
      </c>
      <c r="BF490" s="458">
        <v>4.9927600257891003E-2</v>
      </c>
      <c r="BG490" s="477">
        <v>9187182.3105439134</v>
      </c>
      <c r="BH490" s="458">
        <v>4.1702165826945636E-2</v>
      </c>
      <c r="BI490" s="477">
        <v>17503917.336771503</v>
      </c>
      <c r="BJ490" s="458">
        <v>9.625440046322975E-2</v>
      </c>
      <c r="BK490" s="477">
        <v>74832040.15559417</v>
      </c>
      <c r="BL490" s="458">
        <v>0.27881615290001527</v>
      </c>
      <c r="BM490" s="468">
        <v>8.2878656958610541</v>
      </c>
    </row>
    <row r="491" spans="12:65" x14ac:dyDescent="0.3">
      <c r="L491" s="427">
        <v>1785429.3463999999</v>
      </c>
      <c r="BE491" s="477">
        <v>9850976.6616759654</v>
      </c>
      <c r="BF491" s="458">
        <v>3.373127193590042E-2</v>
      </c>
      <c r="BG491" s="477">
        <v>11384857.860524243</v>
      </c>
      <c r="BH491" s="458">
        <v>6.3325685536969489E-2</v>
      </c>
      <c r="BI491" s="477">
        <v>18340522.832805239</v>
      </c>
      <c r="BJ491" s="458">
        <v>0.12500137755143359</v>
      </c>
      <c r="BK491" s="477">
        <v>89794819.323086038</v>
      </c>
      <c r="BL491" s="458">
        <v>0.25684458013417055</v>
      </c>
      <c r="BM491" s="468">
        <v>3.1417906022444546</v>
      </c>
    </row>
    <row r="492" spans="12:65" x14ac:dyDescent="0.3">
      <c r="L492" s="427">
        <v>2916992.6941999998</v>
      </c>
      <c r="BE492" s="477">
        <v>5687441.1720103798</v>
      </c>
      <c r="BF492" s="458">
        <v>3.6134841961740882E-2</v>
      </c>
      <c r="BG492" s="477">
        <v>9982206.7831159756</v>
      </c>
      <c r="BH492" s="458">
        <v>7.2274183942240944E-2</v>
      </c>
      <c r="BI492" s="477">
        <v>13286470.592324935</v>
      </c>
      <c r="BJ492" s="458">
        <v>0.11959870014218543</v>
      </c>
      <c r="BK492" s="477">
        <v>87190441.462818652</v>
      </c>
      <c r="BL492" s="458">
        <v>0.27994118935626</v>
      </c>
      <c r="BM492" s="468">
        <v>9.7931588867483423</v>
      </c>
    </row>
    <row r="493" spans="12:65" x14ac:dyDescent="0.3">
      <c r="L493" s="427">
        <v>6545652.1240999997</v>
      </c>
      <c r="BE493" s="477">
        <v>5751149.7748653479</v>
      </c>
      <c r="BF493" s="458">
        <v>3.7094767827536623E-2</v>
      </c>
      <c r="BG493" s="477">
        <v>1191088.4864836074</v>
      </c>
      <c r="BH493" s="458">
        <v>7.4753933673667561E-2</v>
      </c>
      <c r="BI493" s="477">
        <v>12755975.05604638</v>
      </c>
      <c r="BJ493" s="458">
        <v>0.10383570729786107</v>
      </c>
      <c r="BK493" s="477">
        <v>98880261.00829272</v>
      </c>
      <c r="BL493" s="458">
        <v>0.27722277013561003</v>
      </c>
      <c r="BM493" s="468">
        <v>4.1981648345157954</v>
      </c>
    </row>
    <row r="494" spans="12:65" x14ac:dyDescent="0.3">
      <c r="L494" s="427">
        <v>15096195.180500001</v>
      </c>
      <c r="BE494" s="477">
        <v>3849564.7160701496</v>
      </c>
      <c r="BF494" s="458">
        <v>3.6127638418936181E-2</v>
      </c>
      <c r="BG494" s="477">
        <v>6501527.2413360234</v>
      </c>
      <c r="BH494" s="458">
        <v>5.3048355790462631E-2</v>
      </c>
      <c r="BI494" s="477">
        <v>10730222.568096042</v>
      </c>
      <c r="BJ494" s="458">
        <v>9.0757381326536768E-2</v>
      </c>
      <c r="BK494" s="477">
        <v>90491587.992117584</v>
      </c>
      <c r="BL494" s="458">
        <v>0.26258550574959716</v>
      </c>
      <c r="BM494" s="468">
        <v>6.8629408332498913</v>
      </c>
    </row>
    <row r="495" spans="12:65" x14ac:dyDescent="0.3">
      <c r="L495" s="427">
        <v>18374733.837699998</v>
      </c>
      <c r="BE495" s="477">
        <v>4494348.4116787855</v>
      </c>
      <c r="BF495" s="458">
        <v>2.9025795806060462E-2</v>
      </c>
      <c r="BG495" s="477">
        <v>11799165.031467563</v>
      </c>
      <c r="BH495" s="458">
        <v>5.9013079280664904E-2</v>
      </c>
      <c r="BI495" s="477">
        <v>12146654.978576828</v>
      </c>
      <c r="BJ495" s="458">
        <v>0.1097781965519713</v>
      </c>
      <c r="BK495" s="477">
        <v>92891694.328392193</v>
      </c>
      <c r="BL495" s="458">
        <v>0.27093058570026196</v>
      </c>
      <c r="BM495" s="468">
        <v>9.1759115914056366</v>
      </c>
    </row>
    <row r="496" spans="12:65" x14ac:dyDescent="0.3">
      <c r="L496" s="427">
        <v>16281305.235200001</v>
      </c>
      <c r="BE496" s="477">
        <v>11890823.230801981</v>
      </c>
      <c r="BF496" s="458">
        <v>4.8404743783936999E-2</v>
      </c>
      <c r="BG496" s="477">
        <v>6046863.1115464689</v>
      </c>
      <c r="BH496" s="458">
        <v>5.2254991367780113E-2</v>
      </c>
      <c r="BI496" s="477">
        <v>13652366.869996294</v>
      </c>
      <c r="BJ496" s="458">
        <v>9.0107963447862094E-2</v>
      </c>
      <c r="BK496" s="477">
        <v>94080837.398822159</v>
      </c>
      <c r="BL496" s="458">
        <v>0.25461411943704304</v>
      </c>
      <c r="BM496" s="468">
        <v>7.3409618276770079</v>
      </c>
    </row>
    <row r="497" spans="12:65" x14ac:dyDescent="0.3">
      <c r="L497" s="427">
        <v>-10451099.8979</v>
      </c>
      <c r="BE497" s="477">
        <v>6061619.9750736272</v>
      </c>
      <c r="BF497" s="458">
        <v>3.0792790116460633E-2</v>
      </c>
      <c r="BG497" s="477">
        <v>4431742.1137257079</v>
      </c>
      <c r="BH497" s="458">
        <v>5.184345681702518E-2</v>
      </c>
      <c r="BI497" s="477">
        <v>14264759.757228425</v>
      </c>
      <c r="BJ497" s="458">
        <v>0.12331997007459994</v>
      </c>
      <c r="BK497" s="477">
        <v>76236682.96425508</v>
      </c>
      <c r="BL497" s="458">
        <v>0.27998534221727223</v>
      </c>
      <c r="BM497" s="468">
        <v>8.7964395203644568</v>
      </c>
    </row>
    <row r="498" spans="12:65" x14ac:dyDescent="0.3">
      <c r="L498" s="427">
        <v>10953170.0821</v>
      </c>
      <c r="BE498" s="477">
        <v>5490450.442932453</v>
      </c>
      <c r="BF498" s="458">
        <v>5.6210416274736996E-2</v>
      </c>
      <c r="BG498" s="477">
        <v>13764798.591730366</v>
      </c>
      <c r="BH498" s="458">
        <v>6.5016896646190592E-2</v>
      </c>
      <c r="BI498" s="477">
        <v>13716467.596738003</v>
      </c>
      <c r="BJ498" s="458">
        <v>9.3899218319071442E-2</v>
      </c>
      <c r="BK498" s="477">
        <v>74228950.434402734</v>
      </c>
      <c r="BL498" s="458">
        <v>0.26385436820811159</v>
      </c>
      <c r="BM498" s="468">
        <v>9.4947967489246707</v>
      </c>
    </row>
    <row r="499" spans="12:65" x14ac:dyDescent="0.3">
      <c r="L499" s="427">
        <v>32550342.087699998</v>
      </c>
      <c r="BE499" s="477">
        <v>5470372.7263357677</v>
      </c>
      <c r="BF499" s="458">
        <v>5.2043743242538021E-2</v>
      </c>
      <c r="BG499" s="477">
        <v>10958002.915956941</v>
      </c>
      <c r="BH499" s="458">
        <v>3.7841274759505383E-2</v>
      </c>
      <c r="BI499" s="477">
        <v>13230268.115486592</v>
      </c>
      <c r="BJ499" s="458">
        <v>9.067417386428378E-2</v>
      </c>
      <c r="BK499" s="477">
        <v>87038232.515162185</v>
      </c>
      <c r="BL499" s="458">
        <v>0.25599519265802861</v>
      </c>
      <c r="BM499" s="468">
        <v>9.8204574272139471</v>
      </c>
    </row>
    <row r="500" spans="12:65" x14ac:dyDescent="0.3">
      <c r="L500" s="427">
        <v>17781720.142200001</v>
      </c>
      <c r="BE500" s="477">
        <v>3476615.189423366</v>
      </c>
      <c r="BF500" s="458">
        <v>5.0814665071901466E-2</v>
      </c>
      <c r="BG500" s="477">
        <v>6407640.3603465827</v>
      </c>
      <c r="BH500" s="458">
        <v>7.3951376141947911E-2</v>
      </c>
      <c r="BI500" s="477">
        <v>18601931.528134927</v>
      </c>
      <c r="BJ500" s="458">
        <v>0.10454113703396128</v>
      </c>
      <c r="BK500" s="477">
        <v>89799169.611372039</v>
      </c>
      <c r="BL500" s="458">
        <v>0.28371436423354957</v>
      </c>
      <c r="BM500" s="468">
        <v>10.045259597675054</v>
      </c>
    </row>
    <row r="501" spans="12:65" x14ac:dyDescent="0.3">
      <c r="L501" s="427">
        <v>20731678.699700002</v>
      </c>
      <c r="BE501" s="477">
        <v>10369408.777286377</v>
      </c>
      <c r="BF501" s="458">
        <v>6.7250181032059375E-2</v>
      </c>
      <c r="BG501" s="477">
        <v>4584195.0819647014</v>
      </c>
      <c r="BH501" s="458">
        <v>8.2176431552634099E-2</v>
      </c>
      <c r="BI501" s="477">
        <v>9844286.4928616527</v>
      </c>
      <c r="BJ501" s="458">
        <v>0.11955184685189857</v>
      </c>
      <c r="BK501" s="477">
        <v>80062780.665353149</v>
      </c>
      <c r="BL501" s="458">
        <v>0.24397720174673387</v>
      </c>
      <c r="BM501" s="468">
        <v>4.8512908947076872</v>
      </c>
    </row>
    <row r="502" spans="12:65" x14ac:dyDescent="0.3">
      <c r="L502" s="427">
        <v>-4124368.6206</v>
      </c>
      <c r="BE502" s="477">
        <v>7907570.7295561982</v>
      </c>
      <c r="BF502" s="458">
        <v>6.527738837648478E-2</v>
      </c>
      <c r="BG502" s="477">
        <v>10502621.331646685</v>
      </c>
      <c r="BH502" s="458">
        <v>7.4288186709034143E-2</v>
      </c>
      <c r="BI502" s="477">
        <v>12704576.035759147</v>
      </c>
      <c r="BJ502" s="458">
        <v>0.11896399599251861</v>
      </c>
      <c r="BK502" s="477">
        <v>86511448.013967842</v>
      </c>
      <c r="BL502" s="458">
        <v>0.26941993810100873</v>
      </c>
      <c r="BM502" s="468">
        <v>16.385536636678545</v>
      </c>
    </row>
    <row r="503" spans="12:65" x14ac:dyDescent="0.3">
      <c r="L503" s="427">
        <v>18727927.5491</v>
      </c>
      <c r="BE503" s="477">
        <v>5403715.0528657967</v>
      </c>
      <c r="BF503" s="458">
        <v>4.5710786996995711E-2</v>
      </c>
      <c r="BG503" s="477">
        <v>5980811.5934503619</v>
      </c>
      <c r="BH503" s="458">
        <v>7.2339768267040139E-2</v>
      </c>
      <c r="BI503" s="477">
        <v>12143384.012111023</v>
      </c>
      <c r="BJ503" s="458">
        <v>9.2814279027830793E-2</v>
      </c>
      <c r="BK503" s="477">
        <v>82653858.09074454</v>
      </c>
      <c r="BL503" s="458">
        <v>0.26713268809959234</v>
      </c>
      <c r="BM503" s="468">
        <v>10.860759552074681</v>
      </c>
    </row>
    <row r="504" spans="12:65" x14ac:dyDescent="0.3">
      <c r="L504" s="427">
        <v>5091.0856000000003</v>
      </c>
      <c r="BE504" s="477">
        <v>8614225.6265914124</v>
      </c>
      <c r="BF504" s="458">
        <v>4.4879507801814489E-2</v>
      </c>
      <c r="BG504" s="477">
        <v>8577874.5920356698</v>
      </c>
      <c r="BH504" s="458">
        <v>8.3152683340875777E-2</v>
      </c>
      <c r="BI504" s="477">
        <v>18204182.76206363</v>
      </c>
      <c r="BJ504" s="458">
        <v>0.10239483169189678</v>
      </c>
      <c r="BK504" s="477">
        <v>93182961.983533204</v>
      </c>
      <c r="BL504" s="458">
        <v>0.25260481793586576</v>
      </c>
      <c r="BM504" s="468">
        <v>10.954222786013776</v>
      </c>
    </row>
    <row r="505" spans="12:65" x14ac:dyDescent="0.3">
      <c r="L505" s="427">
        <v>4343951.9411000004</v>
      </c>
      <c r="BE505" s="477">
        <v>5428169.9479407631</v>
      </c>
      <c r="BF505" s="458">
        <v>5.1031646361496596E-2</v>
      </c>
      <c r="BG505" s="477">
        <v>8800462.2634955496</v>
      </c>
      <c r="BH505" s="458">
        <v>7.4835589666830682E-2</v>
      </c>
      <c r="BI505" s="477">
        <v>20856152.783562556</v>
      </c>
      <c r="BJ505" s="458">
        <v>0.11967461515091737</v>
      </c>
      <c r="BK505" s="477">
        <v>87826455.123176202</v>
      </c>
      <c r="BL505" s="458">
        <v>0.27400148836900717</v>
      </c>
      <c r="BM505" s="468">
        <v>3.2249272432592537</v>
      </c>
    </row>
    <row r="506" spans="12:65" x14ac:dyDescent="0.3">
      <c r="L506" s="427">
        <v>7096867.5398000004</v>
      </c>
      <c r="BE506" s="477">
        <v>7375303.2325392915</v>
      </c>
      <c r="BF506" s="458">
        <v>6.1377462967287633E-2</v>
      </c>
      <c r="BG506" s="477">
        <v>476435.50333065289</v>
      </c>
      <c r="BH506" s="458">
        <v>4.6568801005392846E-2</v>
      </c>
      <c r="BI506" s="477">
        <v>14800258.081835821</v>
      </c>
      <c r="BJ506" s="458">
        <v>7.0197729629767336E-2</v>
      </c>
      <c r="BK506" s="477">
        <v>92598064.609215856</v>
      </c>
      <c r="BL506" s="458">
        <v>0.24191080586537606</v>
      </c>
      <c r="BM506" s="468">
        <v>-0.10758847057674537</v>
      </c>
    </row>
    <row r="507" spans="12:65" x14ac:dyDescent="0.3">
      <c r="L507" s="427">
        <v>12528587.1187</v>
      </c>
      <c r="BE507" s="477">
        <v>8905734.5449872203</v>
      </c>
      <c r="BF507" s="458">
        <v>3.0794462720937554E-2</v>
      </c>
      <c r="BG507" s="477">
        <v>11290511.731939204</v>
      </c>
      <c r="BH507" s="458">
        <v>8.282153831875716E-2</v>
      </c>
      <c r="BI507" s="477">
        <v>20664701.148229074</v>
      </c>
      <c r="BJ507" s="458">
        <v>0.13795829557087935</v>
      </c>
      <c r="BK507" s="477">
        <v>79539064.185720041</v>
      </c>
      <c r="BL507" s="458">
        <v>0.25906167498975585</v>
      </c>
      <c r="BM507" s="468">
        <v>9.928952806300849</v>
      </c>
    </row>
    <row r="508" spans="12:65" x14ac:dyDescent="0.3">
      <c r="L508" s="427">
        <v>-6127408.7843000004</v>
      </c>
      <c r="BE508" s="477">
        <v>6011073.7976182606</v>
      </c>
      <c r="BF508" s="458">
        <v>5.7594060833972893E-2</v>
      </c>
      <c r="BG508" s="477">
        <v>10962803.463231849</v>
      </c>
      <c r="BH508" s="458">
        <v>5.6956794997147009E-2</v>
      </c>
      <c r="BI508" s="477">
        <v>6607480.8939038934</v>
      </c>
      <c r="BJ508" s="458">
        <v>0.11345885732473948</v>
      </c>
      <c r="BK508" s="477">
        <v>86324461.611797988</v>
      </c>
      <c r="BL508" s="458">
        <v>0.27578269083630058</v>
      </c>
      <c r="BM508" s="468">
        <v>13.965303535442533</v>
      </c>
    </row>
    <row r="509" spans="12:65" x14ac:dyDescent="0.3">
      <c r="L509" s="427">
        <v>-3946590.9602999999</v>
      </c>
      <c r="BE509" s="477">
        <v>5975603.0281054797</v>
      </c>
      <c r="BF509" s="458">
        <v>3.8660468722315988E-2</v>
      </c>
      <c r="BG509" s="477">
        <v>2129704.3370373729</v>
      </c>
      <c r="BH509" s="458">
        <v>6.126524601341643E-2</v>
      </c>
      <c r="BI509" s="477">
        <v>14148913.570783429</v>
      </c>
      <c r="BJ509" s="458">
        <v>9.2981692279545447E-2</v>
      </c>
      <c r="BK509" s="477">
        <v>94566770.445076779</v>
      </c>
      <c r="BL509" s="458">
        <v>0.26111688905938579</v>
      </c>
      <c r="BM509" s="468">
        <v>7.3453748653223139</v>
      </c>
    </row>
    <row r="510" spans="12:65" x14ac:dyDescent="0.3">
      <c r="L510" s="427">
        <v>1060561.8873000001</v>
      </c>
      <c r="BE510" s="477">
        <v>7356242.3478093725</v>
      </c>
      <c r="BF510" s="458">
        <v>4.1934657132863817E-2</v>
      </c>
      <c r="BG510" s="477">
        <v>10849457.522653528</v>
      </c>
      <c r="BH510" s="458">
        <v>7.4440420817274866E-2</v>
      </c>
      <c r="BI510" s="477">
        <v>17077402.561669994</v>
      </c>
      <c r="BJ510" s="458">
        <v>9.3760196382633332E-2</v>
      </c>
      <c r="BK510" s="477">
        <v>93014191.357911289</v>
      </c>
      <c r="BL510" s="458">
        <v>0.26424862558142914</v>
      </c>
      <c r="BM510" s="468">
        <v>1.9102541222569247</v>
      </c>
    </row>
    <row r="511" spans="12:65" x14ac:dyDescent="0.3">
      <c r="L511" s="427">
        <v>2578386.3133999999</v>
      </c>
      <c r="BE511" s="477">
        <v>4707212.2266513761</v>
      </c>
      <c r="BF511" s="458">
        <v>3.7627549962075957E-2</v>
      </c>
      <c r="BG511" s="477">
        <v>9696413.0216864254</v>
      </c>
      <c r="BH511" s="458">
        <v>7.3336815734154737E-2</v>
      </c>
      <c r="BI511" s="477">
        <v>16908070.328122701</v>
      </c>
      <c r="BJ511" s="458">
        <v>9.6782954782393738E-2</v>
      </c>
      <c r="BK511" s="477">
        <v>79485714.986352757</v>
      </c>
      <c r="BL511" s="458">
        <v>0.26274488070100199</v>
      </c>
      <c r="BM511" s="468">
        <v>8.5178129380475411</v>
      </c>
    </row>
    <row r="512" spans="12:65" x14ac:dyDescent="0.3">
      <c r="L512" s="427">
        <v>9489657.7213000003</v>
      </c>
      <c r="BE512" s="477">
        <v>3757291.4507513172</v>
      </c>
      <c r="BF512" s="458">
        <v>4.9585024457296401E-2</v>
      </c>
      <c r="BG512" s="477">
        <v>8323190.6081962502</v>
      </c>
      <c r="BH512" s="458">
        <v>5.0291100938298028E-2</v>
      </c>
      <c r="BI512" s="477">
        <v>12186386.241021072</v>
      </c>
      <c r="BJ512" s="458">
        <v>9.6192780072689388E-2</v>
      </c>
      <c r="BK512" s="477">
        <v>95833153.017014295</v>
      </c>
      <c r="BL512" s="458">
        <v>0.28654645039013182</v>
      </c>
      <c r="BM512" s="468">
        <v>8.1950394691002817</v>
      </c>
    </row>
    <row r="513" spans="12:65" x14ac:dyDescent="0.3">
      <c r="L513" s="427">
        <v>36815637.760600001</v>
      </c>
      <c r="BE513" s="477">
        <v>8997648.2588167656</v>
      </c>
      <c r="BF513" s="458">
        <v>5.3412321530996953E-2</v>
      </c>
      <c r="BG513" s="477">
        <v>6755383.8829414248</v>
      </c>
      <c r="BH513" s="458">
        <v>8.5006511590393519E-2</v>
      </c>
      <c r="BI513" s="477">
        <v>23719962.889777418</v>
      </c>
      <c r="BJ513" s="458">
        <v>9.308163134605163E-2</v>
      </c>
      <c r="BK513" s="477">
        <v>96043254.480488643</v>
      </c>
      <c r="BL513" s="458">
        <v>0.27111028505974621</v>
      </c>
      <c r="BM513" s="468">
        <v>8.5198628149738376</v>
      </c>
    </row>
    <row r="514" spans="12:65" x14ac:dyDescent="0.3">
      <c r="L514" s="427">
        <v>-1732616.4436000001</v>
      </c>
      <c r="BE514" s="477">
        <v>4506412.037095312</v>
      </c>
      <c r="BF514" s="458">
        <v>2.1062405221581537E-2</v>
      </c>
      <c r="BG514" s="477">
        <v>9549873.6209674962</v>
      </c>
      <c r="BH514" s="458">
        <v>6.1288318577088496E-2</v>
      </c>
      <c r="BI514" s="477">
        <v>15140459.026780689</v>
      </c>
      <c r="BJ514" s="458">
        <v>0.10585545935281737</v>
      </c>
      <c r="BK514" s="477">
        <v>96857551.241147175</v>
      </c>
      <c r="BL514" s="458">
        <v>0.2780341012243186</v>
      </c>
      <c r="BM514" s="468">
        <v>8.4686016875883201</v>
      </c>
    </row>
    <row r="515" spans="12:65" x14ac:dyDescent="0.3">
      <c r="L515" s="427">
        <v>7225618.1513</v>
      </c>
      <c r="BE515" s="477">
        <v>3406084.231207367</v>
      </c>
      <c r="BF515" s="458">
        <v>5.2376757485282033E-2</v>
      </c>
      <c r="BG515" s="477">
        <v>10115433.784159632</v>
      </c>
      <c r="BH515" s="458">
        <v>5.8137459420908311E-2</v>
      </c>
      <c r="BI515" s="477">
        <v>9612382.1455877516</v>
      </c>
      <c r="BJ515" s="458">
        <v>0.11506343568159938</v>
      </c>
      <c r="BK515" s="477">
        <v>76766150.136020318</v>
      </c>
      <c r="BL515" s="458">
        <v>0.24890532811566879</v>
      </c>
      <c r="BM515" s="468">
        <v>9.0167660383190782</v>
      </c>
    </row>
    <row r="516" spans="12:65" x14ac:dyDescent="0.3">
      <c r="L516" s="427">
        <v>15639475.0942</v>
      </c>
      <c r="BE516" s="477">
        <v>7250740.199486319</v>
      </c>
      <c r="BF516" s="458">
        <v>2.4605702458611489E-2</v>
      </c>
      <c r="BG516" s="477">
        <v>4592301.5639133714</v>
      </c>
      <c r="BH516" s="458">
        <v>5.5890287800872684E-2</v>
      </c>
      <c r="BI516" s="477">
        <v>14853161.804565473</v>
      </c>
      <c r="BJ516" s="458">
        <v>7.946153049652005E-2</v>
      </c>
      <c r="BK516" s="477">
        <v>80074776.47118932</v>
      </c>
      <c r="BL516" s="458">
        <v>0.29009793328170619</v>
      </c>
      <c r="BM516" s="468">
        <v>7.9138295300944641</v>
      </c>
    </row>
    <row r="517" spans="12:65" x14ac:dyDescent="0.3">
      <c r="L517" s="427">
        <v>9657564.6583999991</v>
      </c>
      <c r="BE517" s="477">
        <v>5283485.0885477709</v>
      </c>
      <c r="BF517" s="458">
        <v>6.8282064493182526E-2</v>
      </c>
      <c r="BG517" s="477">
        <v>9735504.961709341</v>
      </c>
      <c r="BH517" s="458">
        <v>8.742214295286721E-2</v>
      </c>
      <c r="BI517" s="477">
        <v>25703113.824620944</v>
      </c>
      <c r="BJ517" s="458">
        <v>0.11837966372531628</v>
      </c>
      <c r="BK517" s="477">
        <v>92729593.554693088</v>
      </c>
      <c r="BL517" s="458">
        <v>0.27086374775222488</v>
      </c>
      <c r="BM517" s="468">
        <v>7.6561911514957011</v>
      </c>
    </row>
    <row r="518" spans="12:65" x14ac:dyDescent="0.3">
      <c r="L518" s="427">
        <v>20709492.2951</v>
      </c>
      <c r="BE518" s="477">
        <v>6081240.8377974061</v>
      </c>
      <c r="BF518" s="458">
        <v>3.9360040283173525E-2</v>
      </c>
      <c r="BG518" s="477">
        <v>10674915.442998733</v>
      </c>
      <c r="BH518" s="458">
        <v>5.7324380049056822E-2</v>
      </c>
      <c r="BI518" s="477">
        <v>20764676.100555912</v>
      </c>
      <c r="BJ518" s="458">
        <v>8.4073822982278168E-2</v>
      </c>
      <c r="BK518" s="477">
        <v>88946407.327099174</v>
      </c>
      <c r="BL518" s="458">
        <v>0.2818512610191477</v>
      </c>
      <c r="BM518" s="468">
        <v>10.25581844816621</v>
      </c>
    </row>
    <row r="519" spans="12:65" x14ac:dyDescent="0.3">
      <c r="L519" s="427">
        <v>-10783199.579600001</v>
      </c>
      <c r="BE519" s="477">
        <v>7252818.7692190772</v>
      </c>
      <c r="BF519" s="458">
        <v>3.0061914696910108E-2</v>
      </c>
      <c r="BG519" s="477">
        <v>6178882.9970841464</v>
      </c>
      <c r="BH519" s="458">
        <v>7.631314769887676E-2</v>
      </c>
      <c r="BI519" s="477">
        <v>19560887.50916478</v>
      </c>
      <c r="BJ519" s="458">
        <v>0.10451906005550371</v>
      </c>
      <c r="BK519" s="477">
        <v>110380481.8352717</v>
      </c>
      <c r="BL519" s="458">
        <v>0.30198230162172957</v>
      </c>
      <c r="BM519" s="468">
        <v>7.8230116594807759</v>
      </c>
    </row>
    <row r="520" spans="12:65" x14ac:dyDescent="0.3">
      <c r="L520" s="427">
        <v>732757.09109999996</v>
      </c>
      <c r="BE520" s="477">
        <v>4698220.7971135695</v>
      </c>
      <c r="BF520" s="458">
        <v>1.3836768306580094E-2</v>
      </c>
      <c r="BG520" s="477">
        <v>5617075.764063118</v>
      </c>
      <c r="BH520" s="458">
        <v>6.9487379189439702E-2</v>
      </c>
      <c r="BI520" s="477">
        <v>13644512.01632781</v>
      </c>
      <c r="BJ520" s="458">
        <v>9.224580100196289E-2</v>
      </c>
      <c r="BK520" s="477">
        <v>97628990.733778819</v>
      </c>
      <c r="BL520" s="458">
        <v>0.27191513722386773</v>
      </c>
      <c r="BM520" s="468">
        <v>4.9213360945045039</v>
      </c>
    </row>
    <row r="521" spans="12:65" x14ac:dyDescent="0.3">
      <c r="L521" s="427">
        <v>-6437618.5713</v>
      </c>
      <c r="BE521" s="477">
        <v>-1207925.0015242277</v>
      </c>
      <c r="BF521" s="458">
        <v>4.7215968009455045E-2</v>
      </c>
      <c r="BG521" s="477">
        <v>11079354.719424836</v>
      </c>
      <c r="BH521" s="458">
        <v>6.1288532675282559E-2</v>
      </c>
      <c r="BI521" s="477">
        <v>16965446.208568651</v>
      </c>
      <c r="BJ521" s="458">
        <v>0.1254685259995354</v>
      </c>
      <c r="BK521" s="477">
        <v>102648970.50887336</v>
      </c>
      <c r="BL521" s="458">
        <v>0.24756562935818027</v>
      </c>
      <c r="BM521" s="468">
        <v>13.251384554336965</v>
      </c>
    </row>
    <row r="522" spans="12:65" x14ac:dyDescent="0.3">
      <c r="L522" s="427">
        <v>3022753.1162</v>
      </c>
      <c r="BE522" s="477">
        <v>11768719.431264365</v>
      </c>
      <c r="BF522" s="458">
        <v>3.4870789802225133E-2</v>
      </c>
      <c r="BG522" s="477">
        <v>9460578.3110397607</v>
      </c>
      <c r="BH522" s="458">
        <v>7.8047433079702522E-2</v>
      </c>
      <c r="BI522" s="477">
        <v>18902598.486599058</v>
      </c>
      <c r="BJ522" s="458">
        <v>0.12512250595310892</v>
      </c>
      <c r="BK522" s="477">
        <v>91553011.730138496</v>
      </c>
      <c r="BL522" s="458">
        <v>0.26929855813148906</v>
      </c>
      <c r="BM522" s="468">
        <v>11.893935263165544</v>
      </c>
    </row>
    <row r="523" spans="12:65" x14ac:dyDescent="0.3">
      <c r="L523" s="427">
        <v>5725782.3251</v>
      </c>
      <c r="BE523" s="477">
        <v>5580649.8653289722</v>
      </c>
      <c r="BF523" s="458">
        <v>4.8589032035048829E-2</v>
      </c>
      <c r="BG523" s="477">
        <v>6955894.5547555303</v>
      </c>
      <c r="BH523" s="458">
        <v>7.0720322884100462E-2</v>
      </c>
      <c r="BI523" s="477">
        <v>17227229.041431677</v>
      </c>
      <c r="BJ523" s="458">
        <v>0.11624586427267136</v>
      </c>
      <c r="BK523" s="477">
        <v>101431675.14093262</v>
      </c>
      <c r="BL523" s="458">
        <v>0.2671390165923353</v>
      </c>
      <c r="BM523" s="468">
        <v>10.926309418112048</v>
      </c>
    </row>
    <row r="524" spans="12:65" x14ac:dyDescent="0.3">
      <c r="L524" s="427">
        <v>10837912.073999999</v>
      </c>
      <c r="BE524" s="477">
        <v>1895223.4462334258</v>
      </c>
      <c r="BF524" s="458">
        <v>3.4468878320332408E-2</v>
      </c>
      <c r="BG524" s="477">
        <v>10744576.034298077</v>
      </c>
      <c r="BH524" s="458">
        <v>7.758612247570662E-2</v>
      </c>
      <c r="BI524" s="477">
        <v>16102613.17134434</v>
      </c>
      <c r="BJ524" s="458">
        <v>0.13635588421277145</v>
      </c>
      <c r="BK524" s="477">
        <v>90512371.984936759</v>
      </c>
      <c r="BL524" s="458">
        <v>0.28308667091038164</v>
      </c>
      <c r="BM524" s="468">
        <v>6.1337208063557096</v>
      </c>
    </row>
    <row r="525" spans="12:65" x14ac:dyDescent="0.3">
      <c r="L525" s="427">
        <v>4927309.0347999996</v>
      </c>
      <c r="BE525" s="477">
        <v>2782705.4976911712</v>
      </c>
      <c r="BF525" s="458">
        <v>5.8677050142984744E-2</v>
      </c>
      <c r="BG525" s="477">
        <v>7539706.3197580688</v>
      </c>
      <c r="BH525" s="458">
        <v>6.4124420879461352E-2</v>
      </c>
      <c r="BI525" s="477">
        <v>26239403.675284922</v>
      </c>
      <c r="BJ525" s="458">
        <v>0.10713027399826824</v>
      </c>
      <c r="BK525" s="477">
        <v>89183182.674818382</v>
      </c>
      <c r="BL525" s="458">
        <v>0.26677778615216297</v>
      </c>
      <c r="BM525" s="468">
        <v>6.3426645134439621</v>
      </c>
    </row>
    <row r="526" spans="12:65" x14ac:dyDescent="0.3">
      <c r="L526" s="427">
        <v>17863311.844300002</v>
      </c>
      <c r="BE526" s="477">
        <v>6802624.3475854155</v>
      </c>
      <c r="BF526" s="458">
        <v>4.7015737544964908E-2</v>
      </c>
      <c r="BG526" s="477">
        <v>16171054.056043815</v>
      </c>
      <c r="BH526" s="458">
        <v>9.0051561769840527E-2</v>
      </c>
      <c r="BI526" s="477">
        <v>13244869.50588505</v>
      </c>
      <c r="BJ526" s="458">
        <v>0.1193473922204773</v>
      </c>
      <c r="BK526" s="477">
        <v>97355952.814641148</v>
      </c>
      <c r="BL526" s="458">
        <v>0.28012298948280323</v>
      </c>
      <c r="BM526" s="468">
        <v>2.5900796891823994</v>
      </c>
    </row>
    <row r="527" spans="12:65" x14ac:dyDescent="0.3">
      <c r="L527" s="427">
        <v>21938432.8127</v>
      </c>
      <c r="BE527" s="477">
        <v>3857761.1907813135</v>
      </c>
      <c r="BF527" s="458">
        <v>4.7751180545768879E-2</v>
      </c>
      <c r="BG527" s="477">
        <v>3265290.9591143355</v>
      </c>
      <c r="BH527" s="458">
        <v>7.9380903967710692E-2</v>
      </c>
      <c r="BI527" s="477">
        <v>15323257.632815182</v>
      </c>
      <c r="BJ527" s="458">
        <v>0.10291496528745459</v>
      </c>
      <c r="BK527" s="477">
        <v>91709915.268129587</v>
      </c>
      <c r="BL527" s="458">
        <v>0.26844458424324613</v>
      </c>
      <c r="BM527" s="468">
        <v>5.6547674913356794</v>
      </c>
    </row>
    <row r="528" spans="12:65" x14ac:dyDescent="0.3">
      <c r="L528" s="427">
        <v>-4784302.7725999998</v>
      </c>
      <c r="BE528" s="477">
        <v>5921247.4280972267</v>
      </c>
      <c r="BF528" s="458">
        <v>6.7269518958179564E-2</v>
      </c>
      <c r="BG528" s="477">
        <v>14583109.07164635</v>
      </c>
      <c r="BH528" s="458">
        <v>6.6658368715733163E-2</v>
      </c>
      <c r="BI528" s="477">
        <v>9614793.2354681864</v>
      </c>
      <c r="BJ528" s="458">
        <v>0.11690456238646307</v>
      </c>
      <c r="BK528" s="477">
        <v>93524158.954746872</v>
      </c>
      <c r="BL528" s="458">
        <v>0.29024868554608885</v>
      </c>
      <c r="BM528" s="468">
        <v>5.2879811247328918</v>
      </c>
    </row>
    <row r="529" spans="12:65" x14ac:dyDescent="0.3">
      <c r="L529" s="427">
        <v>8740380.9956</v>
      </c>
      <c r="BE529" s="477">
        <v>9255903.3089502659</v>
      </c>
      <c r="BF529" s="458">
        <v>3.2447163031721793E-2</v>
      </c>
      <c r="BG529" s="477">
        <v>6622163.6813531807</v>
      </c>
      <c r="BH529" s="458">
        <v>4.8225470412567306E-2</v>
      </c>
      <c r="BI529" s="477">
        <v>12737832.500160625</v>
      </c>
      <c r="BJ529" s="458">
        <v>0.1120161544982623</v>
      </c>
      <c r="BK529" s="477">
        <v>96710036.435253024</v>
      </c>
      <c r="BL529" s="458">
        <v>0.27178783773261417</v>
      </c>
      <c r="BM529" s="468">
        <v>2.2748167296495971</v>
      </c>
    </row>
    <row r="530" spans="12:65" x14ac:dyDescent="0.3">
      <c r="L530" s="427">
        <v>1191693.8801</v>
      </c>
      <c r="BE530" s="477">
        <v>1937734.767398</v>
      </c>
      <c r="BF530" s="458">
        <v>2.6951183932120149E-2</v>
      </c>
      <c r="BG530" s="477">
        <v>6153194.1926492006</v>
      </c>
      <c r="BH530" s="458">
        <v>8.634499914121041E-2</v>
      </c>
      <c r="BI530" s="477">
        <v>19722551.558564711</v>
      </c>
      <c r="BJ530" s="458">
        <v>0.11133756052544608</v>
      </c>
      <c r="BK530" s="477">
        <v>80178376.647167921</v>
      </c>
      <c r="BL530" s="458">
        <v>0.27568351474582431</v>
      </c>
      <c r="BM530" s="468">
        <v>13.317563934607499</v>
      </c>
    </row>
    <row r="531" spans="12:65" x14ac:dyDescent="0.3">
      <c r="L531" s="427">
        <v>437154.54350000003</v>
      </c>
      <c r="BE531" s="477">
        <v>3031205.790509908</v>
      </c>
      <c r="BF531" s="458">
        <v>4.6026879587138136E-2</v>
      </c>
      <c r="BG531" s="477">
        <v>9674052.852997601</v>
      </c>
      <c r="BH531" s="458">
        <v>5.273252912146531E-2</v>
      </c>
      <c r="BI531" s="477">
        <v>8596199.1425957773</v>
      </c>
      <c r="BJ531" s="458">
        <v>0.12508550392159656</v>
      </c>
      <c r="BK531" s="477">
        <v>92293210.962765425</v>
      </c>
      <c r="BL531" s="458">
        <v>0.26283512250356145</v>
      </c>
      <c r="BM531" s="468">
        <v>10.948112571581451</v>
      </c>
    </row>
    <row r="532" spans="12:65" x14ac:dyDescent="0.3">
      <c r="L532" s="427">
        <v>-19253826.591400001</v>
      </c>
      <c r="BE532" s="477">
        <v>5947954.3831551615</v>
      </c>
      <c r="BF532" s="458">
        <v>4.6202103398836236E-2</v>
      </c>
      <c r="BG532" s="477">
        <v>6235249.6338118371</v>
      </c>
      <c r="BH532" s="458">
        <v>7.0760598151802911E-2</v>
      </c>
      <c r="BI532" s="477">
        <v>4966315.6575463312</v>
      </c>
      <c r="BJ532" s="458">
        <v>9.0197407992912426E-2</v>
      </c>
      <c r="BK532" s="477">
        <v>89825596.84568204</v>
      </c>
      <c r="BL532" s="458">
        <v>0.24717383320814656</v>
      </c>
      <c r="BM532" s="468">
        <v>6.5889336022458558</v>
      </c>
    </row>
    <row r="533" spans="12:65" x14ac:dyDescent="0.3">
      <c r="L533" s="427">
        <v>4703428.0805000002</v>
      </c>
      <c r="BE533" s="477">
        <v>1678730.6535386886</v>
      </c>
      <c r="BF533" s="458">
        <v>4.6102238556373409E-2</v>
      </c>
      <c r="BG533" s="477">
        <v>6412093.3623926509</v>
      </c>
      <c r="BH533" s="458">
        <v>5.0973162158324925E-2</v>
      </c>
      <c r="BI533" s="477">
        <v>16293771.065004347</v>
      </c>
      <c r="BJ533" s="458">
        <v>0.11938722544092006</v>
      </c>
      <c r="BK533" s="477">
        <v>87947683.146139607</v>
      </c>
      <c r="BL533" s="458">
        <v>0.28274066879437054</v>
      </c>
      <c r="BM533" s="468">
        <v>5.6989068369746567</v>
      </c>
    </row>
    <row r="534" spans="12:65" x14ac:dyDescent="0.3">
      <c r="L534" s="427">
        <v>16579471.871400001</v>
      </c>
      <c r="BE534" s="477">
        <v>5568498.9665017789</v>
      </c>
      <c r="BF534" s="458">
        <v>4.4388466295224971E-2</v>
      </c>
      <c r="BG534" s="477">
        <v>8997817.8538391404</v>
      </c>
      <c r="BH534" s="458">
        <v>6.0866956879244372E-2</v>
      </c>
      <c r="BI534" s="477">
        <v>19218874.61295883</v>
      </c>
      <c r="BJ534" s="458">
        <v>0.10140099255400026</v>
      </c>
      <c r="BK534" s="477">
        <v>91146331.025469616</v>
      </c>
      <c r="BL534" s="458">
        <v>0.26363788714552761</v>
      </c>
      <c r="BM534" s="468">
        <v>9.6914643398885882</v>
      </c>
    </row>
    <row r="535" spans="12:65" x14ac:dyDescent="0.3">
      <c r="L535" s="427">
        <v>17290276.809799999</v>
      </c>
      <c r="BE535" s="477">
        <v>4895912.8109044246</v>
      </c>
      <c r="BF535" s="458">
        <v>7.5970124039157261E-2</v>
      </c>
      <c r="BG535" s="477">
        <v>11398037.160909604</v>
      </c>
      <c r="BH535" s="458">
        <v>5.7038234201759019E-2</v>
      </c>
      <c r="BI535" s="477">
        <v>10619835.862764403</v>
      </c>
      <c r="BJ535" s="458">
        <v>0.13691843456048236</v>
      </c>
      <c r="BK535" s="477">
        <v>89846912.449464798</v>
      </c>
      <c r="BL535" s="458">
        <v>0.28119958049662408</v>
      </c>
      <c r="BM535" s="468">
        <v>10.546745767691869</v>
      </c>
    </row>
    <row r="536" spans="12:65" x14ac:dyDescent="0.3">
      <c r="L536" s="427">
        <v>10149027.392899999</v>
      </c>
      <c r="BE536" s="477">
        <v>6752256.0362833794</v>
      </c>
      <c r="BF536" s="458">
        <v>1.9669973354236925E-2</v>
      </c>
      <c r="BG536" s="477">
        <v>8586684.6493311487</v>
      </c>
      <c r="BH536" s="458">
        <v>7.4378280462541246E-2</v>
      </c>
      <c r="BI536" s="477">
        <v>12134515.809876392</v>
      </c>
      <c r="BJ536" s="458">
        <v>0.11980387320806818</v>
      </c>
      <c r="BK536" s="477">
        <v>99161614.913023695</v>
      </c>
      <c r="BL536" s="458">
        <v>0.27096099491278403</v>
      </c>
      <c r="BM536" s="468">
        <v>5.8706386880311587</v>
      </c>
    </row>
    <row r="537" spans="12:65" x14ac:dyDescent="0.3">
      <c r="L537" s="427">
        <v>780729.13309999998</v>
      </c>
      <c r="BE537" s="477">
        <v>3831114.8373049446</v>
      </c>
      <c r="BF537" s="458">
        <v>3.5370100717897479E-2</v>
      </c>
      <c r="BG537" s="477">
        <v>8842249.5905443169</v>
      </c>
      <c r="BH537" s="458">
        <v>5.4297875938023266E-2</v>
      </c>
      <c r="BI537" s="477">
        <v>26341130.448552933</v>
      </c>
      <c r="BJ537" s="458">
        <v>8.2227921291592843E-2</v>
      </c>
      <c r="BK537" s="477">
        <v>86610957.5298374</v>
      </c>
      <c r="BL537" s="458">
        <v>0.27053926273699846</v>
      </c>
      <c r="BM537" s="468">
        <v>1.4053371985472252</v>
      </c>
    </row>
    <row r="538" spans="12:65" x14ac:dyDescent="0.3">
      <c r="L538" s="427">
        <v>-686234.19709999999</v>
      </c>
      <c r="BE538" s="477">
        <v>4052681.2275668615</v>
      </c>
      <c r="BF538" s="458">
        <v>4.3212592554370266E-2</v>
      </c>
      <c r="BG538" s="477">
        <v>14881004.295262547</v>
      </c>
      <c r="BH538" s="458">
        <v>7.3238628605386991E-2</v>
      </c>
      <c r="BI538" s="477">
        <v>20413724.680057816</v>
      </c>
      <c r="BJ538" s="458">
        <v>0.11722557096508068</v>
      </c>
      <c r="BK538" s="477">
        <v>87397261.233431488</v>
      </c>
      <c r="BL538" s="458">
        <v>0.28083689801739165</v>
      </c>
      <c r="BM538" s="468">
        <v>7.1414752384190319</v>
      </c>
    </row>
    <row r="539" spans="12:65" x14ac:dyDescent="0.3">
      <c r="L539" s="427">
        <v>17408177.297800001</v>
      </c>
      <c r="BE539" s="477">
        <v>4302771.3169021923</v>
      </c>
      <c r="BF539" s="458">
        <v>2.2467110622988118E-2</v>
      </c>
      <c r="BG539" s="477">
        <v>4734655.3197001452</v>
      </c>
      <c r="BH539" s="458">
        <v>3.981141681134126E-2</v>
      </c>
      <c r="BI539" s="477">
        <v>19611654.630627379</v>
      </c>
      <c r="BJ539" s="458">
        <v>0.12256334943671821</v>
      </c>
      <c r="BK539" s="477">
        <v>72707561.443337753</v>
      </c>
      <c r="BL539" s="458">
        <v>0.26840578007869076</v>
      </c>
      <c r="BM539" s="468">
        <v>-1.8942881782809717</v>
      </c>
    </row>
    <row r="540" spans="12:65" x14ac:dyDescent="0.3">
      <c r="L540" s="427">
        <v>8788235.9583000001</v>
      </c>
      <c r="BE540" s="477">
        <v>5239982.459646754</v>
      </c>
      <c r="BF540" s="458">
        <v>3.1149544299642562E-2</v>
      </c>
      <c r="BG540" s="477">
        <v>12772304.303638818</v>
      </c>
      <c r="BH540" s="458">
        <v>9.7836100093717127E-2</v>
      </c>
      <c r="BI540" s="477">
        <v>14989918.017331967</v>
      </c>
      <c r="BJ540" s="458">
        <v>9.7619901172265822E-2</v>
      </c>
      <c r="BK540" s="477">
        <v>87389953.535948217</v>
      </c>
      <c r="BL540" s="458">
        <v>0.27302303929583771</v>
      </c>
      <c r="BM540" s="468">
        <v>10.472833496953312</v>
      </c>
    </row>
    <row r="541" spans="12:65" x14ac:dyDescent="0.3">
      <c r="L541" s="427">
        <v>-3400599.0414999998</v>
      </c>
      <c r="BE541" s="477">
        <v>4292598.5125503922</v>
      </c>
      <c r="BF541" s="458">
        <v>4.1661099697644755E-2</v>
      </c>
      <c r="BG541" s="477">
        <v>6629702.7248078948</v>
      </c>
      <c r="BH541" s="458">
        <v>2.8523988421081725E-2</v>
      </c>
      <c r="BI541" s="477">
        <v>19913480.839575268</v>
      </c>
      <c r="BJ541" s="458">
        <v>0.11926494718432079</v>
      </c>
      <c r="BK541" s="477">
        <v>86165200.239188939</v>
      </c>
      <c r="BL541" s="458">
        <v>0.237118140811855</v>
      </c>
      <c r="BM541" s="468">
        <v>10.419239946189748</v>
      </c>
    </row>
    <row r="542" spans="12:65" x14ac:dyDescent="0.3">
      <c r="L542" s="427">
        <v>13094142.1468</v>
      </c>
      <c r="BE542" s="477">
        <v>6212187.7490212191</v>
      </c>
      <c r="BF542" s="458">
        <v>3.907484490071611E-2</v>
      </c>
      <c r="BG542" s="477">
        <v>11292767.298045058</v>
      </c>
      <c r="BH542" s="458">
        <v>7.27519328686832E-2</v>
      </c>
      <c r="BI542" s="477">
        <v>18490015.856405526</v>
      </c>
      <c r="BJ542" s="458">
        <v>0.11873692579358486</v>
      </c>
      <c r="BK542" s="477">
        <v>90947280.443586528</v>
      </c>
      <c r="BL542" s="458">
        <v>0.26205764297350598</v>
      </c>
      <c r="BM542" s="468">
        <v>5.4539162221827535</v>
      </c>
    </row>
    <row r="543" spans="12:65" x14ac:dyDescent="0.3">
      <c r="L543" s="427">
        <v>5099691.9347999999</v>
      </c>
      <c r="BE543" s="477">
        <v>5247946.1931539644</v>
      </c>
      <c r="BF543" s="458">
        <v>5.2370726589706873E-2</v>
      </c>
      <c r="BG543" s="477">
        <v>12317000.711905915</v>
      </c>
      <c r="BH543" s="458">
        <v>6.3702181047951001E-2</v>
      </c>
      <c r="BI543" s="477">
        <v>23739007.632203884</v>
      </c>
      <c r="BJ543" s="458">
        <v>9.9029734894043209E-2</v>
      </c>
      <c r="BK543" s="477">
        <v>98832956.273401275</v>
      </c>
      <c r="BL543" s="458">
        <v>0.25259234915265183</v>
      </c>
      <c r="BM543" s="468">
        <v>9.8497781904642832</v>
      </c>
    </row>
    <row r="544" spans="12:65" x14ac:dyDescent="0.3">
      <c r="L544" s="427">
        <v>2468149.2436000002</v>
      </c>
      <c r="BE544" s="477">
        <v>4017068.1656703921</v>
      </c>
      <c r="BF544" s="458">
        <v>2.9900122726556733E-2</v>
      </c>
      <c r="BG544" s="477">
        <v>4861706.4601177359</v>
      </c>
      <c r="BH544" s="458">
        <v>7.4648089733281076E-2</v>
      </c>
      <c r="BI544" s="477">
        <v>22423626.194254547</v>
      </c>
      <c r="BJ544" s="458">
        <v>7.451232798128693E-2</v>
      </c>
      <c r="BK544" s="477">
        <v>84557159.290282473</v>
      </c>
      <c r="BL544" s="458">
        <v>0.25906311656120651</v>
      </c>
      <c r="BM544" s="468">
        <v>5.1135376132253612</v>
      </c>
    </row>
    <row r="545" spans="12:65" x14ac:dyDescent="0.3">
      <c r="L545" s="427">
        <v>2279818.0764000001</v>
      </c>
      <c r="BE545" s="477">
        <v>10927111.674180653</v>
      </c>
      <c r="BF545" s="458">
        <v>3.9460998186425567E-2</v>
      </c>
      <c r="BG545" s="477">
        <v>12048461.062069042</v>
      </c>
      <c r="BH545" s="458">
        <v>5.0019387199100818E-2</v>
      </c>
      <c r="BI545" s="477">
        <v>19767755.699100297</v>
      </c>
      <c r="BJ545" s="458">
        <v>0.1117321276756218</v>
      </c>
      <c r="BK545" s="477">
        <v>95012985.353596985</v>
      </c>
      <c r="BL545" s="458">
        <v>0.27262886483406334</v>
      </c>
      <c r="BM545" s="468">
        <v>7.573195369797225</v>
      </c>
    </row>
    <row r="546" spans="12:65" x14ac:dyDescent="0.3">
      <c r="L546" s="427">
        <v>8370263.4379000003</v>
      </c>
      <c r="BE546" s="477">
        <v>3330367.1838123119</v>
      </c>
      <c r="BF546" s="458">
        <v>2.3640700531843528E-2</v>
      </c>
      <c r="BG546" s="477">
        <v>13048650.341692435</v>
      </c>
      <c r="BH546" s="458">
        <v>8.5358067918937408E-2</v>
      </c>
      <c r="BI546" s="477">
        <v>12243904.734692845</v>
      </c>
      <c r="BJ546" s="458">
        <v>0.11213602902925501</v>
      </c>
      <c r="BK546" s="477">
        <v>82907940.324571639</v>
      </c>
      <c r="BL546" s="458">
        <v>0.27793549077003421</v>
      </c>
      <c r="BM546" s="468">
        <v>7.1169458575826106</v>
      </c>
    </row>
    <row r="547" spans="12:65" x14ac:dyDescent="0.3">
      <c r="L547" s="427">
        <v>14677104.9004</v>
      </c>
      <c r="BE547" s="477">
        <v>5250244.6377526689</v>
      </c>
      <c r="BF547" s="458">
        <v>5.4762878083312927E-2</v>
      </c>
      <c r="BG547" s="477">
        <v>12924892.049286146</v>
      </c>
      <c r="BH547" s="458">
        <v>3.310640393922637E-2</v>
      </c>
      <c r="BI547" s="477">
        <v>15324731.865578352</v>
      </c>
      <c r="BJ547" s="458">
        <v>0.12419821558807498</v>
      </c>
      <c r="BK547" s="477">
        <v>90170893.349917457</v>
      </c>
      <c r="BL547" s="458">
        <v>0.27251647977254612</v>
      </c>
      <c r="BM547" s="468">
        <v>4.2373570540634908</v>
      </c>
    </row>
    <row r="548" spans="12:65" x14ac:dyDescent="0.3">
      <c r="L548" s="427">
        <v>5231784.9861000003</v>
      </c>
      <c r="BE548" s="477">
        <v>7179268.7485479265</v>
      </c>
      <c r="BF548" s="458">
        <v>7.8791910990245295E-2</v>
      </c>
      <c r="BG548" s="477">
        <v>7859168.5845586238</v>
      </c>
      <c r="BH548" s="458">
        <v>6.3663233948684894E-2</v>
      </c>
      <c r="BI548" s="477">
        <v>16694946.517987952</v>
      </c>
      <c r="BJ548" s="458">
        <v>0.11173899952997135</v>
      </c>
      <c r="BK548" s="477">
        <v>90674914.927891955</v>
      </c>
      <c r="BL548" s="458">
        <v>0.27034470957300583</v>
      </c>
      <c r="BM548" s="468">
        <v>7.3279736778925013</v>
      </c>
    </row>
    <row r="549" spans="12:65" x14ac:dyDescent="0.3">
      <c r="L549" s="427">
        <v>-700087.58829999994</v>
      </c>
      <c r="BE549" s="477">
        <v>1051381.2357521593</v>
      </c>
      <c r="BF549" s="458">
        <v>4.0098956231654714E-2</v>
      </c>
      <c r="BG549" s="477">
        <v>6225017.7195962276</v>
      </c>
      <c r="BH549" s="458">
        <v>6.7861112607730423E-2</v>
      </c>
      <c r="BI549" s="477">
        <v>16757907.528090227</v>
      </c>
      <c r="BJ549" s="458">
        <v>8.9379255204695029E-2</v>
      </c>
      <c r="BK549" s="477">
        <v>86791055.569663167</v>
      </c>
      <c r="BL549" s="458">
        <v>0.27309176655909662</v>
      </c>
      <c r="BM549" s="468">
        <v>8.313287425346946</v>
      </c>
    </row>
    <row r="550" spans="12:65" x14ac:dyDescent="0.3">
      <c r="L550" s="427">
        <v>8895937.4788000006</v>
      </c>
      <c r="BE550" s="477">
        <v>3880854.8739499287</v>
      </c>
      <c r="BF550" s="458">
        <v>2.4723755443965212E-2</v>
      </c>
      <c r="BG550" s="477">
        <v>12510540.908604009</v>
      </c>
      <c r="BH550" s="458">
        <v>5.2133566775248275E-2</v>
      </c>
      <c r="BI550" s="477">
        <v>18232425.566986158</v>
      </c>
      <c r="BJ550" s="458">
        <v>0.11588839786408855</v>
      </c>
      <c r="BK550" s="477">
        <v>64256780.963780485</v>
      </c>
      <c r="BL550" s="458">
        <v>0.26679665444608736</v>
      </c>
      <c r="BM550" s="468">
        <v>6.8463489953147736</v>
      </c>
    </row>
    <row r="551" spans="12:65" x14ac:dyDescent="0.3">
      <c r="L551" s="427">
        <v>16186368.046399999</v>
      </c>
      <c r="BE551" s="477">
        <v>9127723.6365510896</v>
      </c>
      <c r="BF551" s="458">
        <v>5.6827089244849915E-2</v>
      </c>
      <c r="BG551" s="477">
        <v>6425719.6779503888</v>
      </c>
      <c r="BH551" s="458">
        <v>4.9270268289441921E-2</v>
      </c>
      <c r="BI551" s="477">
        <v>14031123.216347381</v>
      </c>
      <c r="BJ551" s="458">
        <v>0.10109442851537809</v>
      </c>
      <c r="BK551" s="477">
        <v>85749061.922897264</v>
      </c>
      <c r="BL551" s="458">
        <v>0.28272694441253599</v>
      </c>
      <c r="BM551" s="468">
        <v>6.3157455420516193</v>
      </c>
    </row>
    <row r="552" spans="12:65" x14ac:dyDescent="0.3">
      <c r="L552" s="427">
        <v>6233969.7390999999</v>
      </c>
      <c r="BE552" s="477">
        <v>5417352.8097395487</v>
      </c>
      <c r="BF552" s="458">
        <v>2.5902041008155186E-2</v>
      </c>
      <c r="BG552" s="477">
        <v>12683903.539832762</v>
      </c>
      <c r="BH552" s="458">
        <v>6.411779390240735E-2</v>
      </c>
      <c r="BI552" s="477">
        <v>22108989.777091336</v>
      </c>
      <c r="BJ552" s="458">
        <v>8.933761678096408E-2</v>
      </c>
      <c r="BK552" s="477">
        <v>101248929.20621583</v>
      </c>
      <c r="BL552" s="458">
        <v>0.26017106190772132</v>
      </c>
      <c r="BM552" s="468">
        <v>12.51358432468534</v>
      </c>
    </row>
    <row r="553" spans="12:65" x14ac:dyDescent="0.3">
      <c r="L553" s="427">
        <v>35400563.032700002</v>
      </c>
      <c r="BE553" s="477">
        <v>1843437.5628698994</v>
      </c>
      <c r="BF553" s="458">
        <v>3.8371776989441608E-2</v>
      </c>
      <c r="BG553" s="477">
        <v>6753393.9430760564</v>
      </c>
      <c r="BH553" s="458">
        <v>7.1300673759560285E-2</v>
      </c>
      <c r="BI553" s="477">
        <v>13875325.550218215</v>
      </c>
      <c r="BJ553" s="458">
        <v>9.3344097877616994E-2</v>
      </c>
      <c r="BK553" s="477">
        <v>87204629.30761534</v>
      </c>
      <c r="BL553" s="458">
        <v>0.26152123831650598</v>
      </c>
      <c r="BM553" s="468">
        <v>-2.1871689918421353</v>
      </c>
    </row>
    <row r="554" spans="12:65" x14ac:dyDescent="0.3">
      <c r="L554" s="427">
        <v>-2942481.2228999999</v>
      </c>
      <c r="BE554" s="477">
        <v>816746.85249374795</v>
      </c>
      <c r="BF554" s="458">
        <v>4.9817047552495053E-2</v>
      </c>
      <c r="BG554" s="477">
        <v>12949384.659824003</v>
      </c>
      <c r="BH554" s="458">
        <v>8.3496303638866287E-2</v>
      </c>
      <c r="BI554" s="477">
        <v>19750304.261012904</v>
      </c>
      <c r="BJ554" s="458">
        <v>0.11089053172901453</v>
      </c>
      <c r="BK554" s="477">
        <v>88501224.600840375</v>
      </c>
      <c r="BL554" s="458">
        <v>0.26031971783928265</v>
      </c>
      <c r="BM554" s="468">
        <v>10.394704107910474</v>
      </c>
    </row>
    <row r="555" spans="12:65" x14ac:dyDescent="0.3">
      <c r="L555" s="427">
        <v>-89437.892600000006</v>
      </c>
      <c r="BE555" s="477">
        <v>8640975.6260209493</v>
      </c>
      <c r="BF555" s="458">
        <v>3.0883515439159348E-2</v>
      </c>
      <c r="BG555" s="477">
        <v>11419598.280547617</v>
      </c>
      <c r="BH555" s="458">
        <v>4.9354280055489808E-2</v>
      </c>
      <c r="BI555" s="477">
        <v>17006419.892280187</v>
      </c>
      <c r="BJ555" s="458">
        <v>0.11482131331013501</v>
      </c>
      <c r="BK555" s="477">
        <v>85641370.444383308</v>
      </c>
      <c r="BL555" s="458">
        <v>0.30393052258798403</v>
      </c>
      <c r="BM555" s="468">
        <v>2.8124618735307747</v>
      </c>
    </row>
    <row r="556" spans="12:65" x14ac:dyDescent="0.3">
      <c r="L556" s="427">
        <v>17294338.513900001</v>
      </c>
      <c r="BE556" s="477">
        <v>7243727.1508055665</v>
      </c>
      <c r="BF556" s="458">
        <v>4.8657780142043139E-2</v>
      </c>
      <c r="BG556" s="477">
        <v>9244239.2311675083</v>
      </c>
      <c r="BH556" s="458">
        <v>6.422649707061634E-2</v>
      </c>
      <c r="BI556" s="477">
        <v>17639831.398562599</v>
      </c>
      <c r="BJ556" s="458">
        <v>0.10487690636606839</v>
      </c>
      <c r="BK556" s="477">
        <v>97206174.250787035</v>
      </c>
      <c r="BL556" s="458">
        <v>0.26864175858651551</v>
      </c>
      <c r="BM556" s="468">
        <v>4.7594303665259723</v>
      </c>
    </row>
    <row r="557" spans="12:65" x14ac:dyDescent="0.3">
      <c r="L557" s="427">
        <v>7505092.3721000003</v>
      </c>
      <c r="BE557" s="477">
        <v>8896255.7527321707</v>
      </c>
      <c r="BF557" s="458">
        <v>7.0236078910930644E-2</v>
      </c>
      <c r="BG557" s="477">
        <v>6571030.1544287801</v>
      </c>
      <c r="BH557" s="458">
        <v>9.0856441925722953E-2</v>
      </c>
      <c r="BI557" s="477">
        <v>21958868.115419593</v>
      </c>
      <c r="BJ557" s="458">
        <v>0.11079343955499987</v>
      </c>
      <c r="BK557" s="477">
        <v>98357012.612232894</v>
      </c>
      <c r="BL557" s="458">
        <v>0.26909519126080905</v>
      </c>
      <c r="BM557" s="468">
        <v>11.444574025031802</v>
      </c>
    </row>
    <row r="558" spans="12:65" x14ac:dyDescent="0.3">
      <c r="L558" s="427">
        <v>15701970.090500001</v>
      </c>
      <c r="BE558" s="477">
        <v>6732339.2909070449</v>
      </c>
      <c r="BF558" s="458">
        <v>3.907717610177075E-2</v>
      </c>
      <c r="BG558" s="477">
        <v>7999140.6154799983</v>
      </c>
      <c r="BH558" s="458">
        <v>7.2194865134371566E-2</v>
      </c>
      <c r="BI558" s="477">
        <v>25819984.211141557</v>
      </c>
      <c r="BJ558" s="458">
        <v>8.395567309228813E-2</v>
      </c>
      <c r="BK558" s="477">
        <v>101754513.44379175</v>
      </c>
      <c r="BL558" s="458">
        <v>0.25287762661623714</v>
      </c>
      <c r="BM558" s="468">
        <v>7.0050546849838486</v>
      </c>
    </row>
    <row r="559" spans="12:65" x14ac:dyDescent="0.3">
      <c r="L559" s="427">
        <v>13099604.851500001</v>
      </c>
      <c r="BE559" s="477">
        <v>4294226.6659959182</v>
      </c>
      <c r="BF559" s="458">
        <v>4.5901917375458678E-2</v>
      </c>
      <c r="BG559" s="477">
        <v>9314350.4664841797</v>
      </c>
      <c r="BH559" s="458">
        <v>9.9748548328327136E-2</v>
      </c>
      <c r="BI559" s="477">
        <v>11416286.462212486</v>
      </c>
      <c r="BJ559" s="458">
        <v>0.11856058352013621</v>
      </c>
      <c r="BK559" s="477">
        <v>102035467.46327859</v>
      </c>
      <c r="BL559" s="458">
        <v>0.28140238892547575</v>
      </c>
      <c r="BM559" s="468">
        <v>1.3130742947212068</v>
      </c>
    </row>
    <row r="560" spans="12:65" x14ac:dyDescent="0.3">
      <c r="L560" s="427">
        <v>3140700.2023999998</v>
      </c>
      <c r="BE560" s="477">
        <v>9708048.2389880661</v>
      </c>
      <c r="BF560" s="458">
        <v>2.15995075982367E-2</v>
      </c>
      <c r="BG560" s="477">
        <v>14839420.089877401</v>
      </c>
      <c r="BH560" s="458">
        <v>9.7112668896618182E-2</v>
      </c>
      <c r="BI560" s="477">
        <v>16440115.343090339</v>
      </c>
      <c r="BJ560" s="458">
        <v>0.13639796298254137</v>
      </c>
      <c r="BK560" s="477">
        <v>100648377.1897296</v>
      </c>
      <c r="BL560" s="458">
        <v>0.269106098408042</v>
      </c>
      <c r="BM560" s="468">
        <v>2.3487148801346054</v>
      </c>
    </row>
    <row r="561" spans="12:65" x14ac:dyDescent="0.3">
      <c r="L561" s="427">
        <v>10864892.9069</v>
      </c>
      <c r="BE561" s="477">
        <v>2672634.5727755441</v>
      </c>
      <c r="BF561" s="458">
        <v>2.8365276986532351E-2</v>
      </c>
      <c r="BG561" s="477">
        <v>9980970.7958546802</v>
      </c>
      <c r="BH561" s="458">
        <v>6.9554543458405726E-2</v>
      </c>
      <c r="BI561" s="477">
        <v>11765152.608414533</v>
      </c>
      <c r="BJ561" s="458">
        <v>0.11025085612569896</v>
      </c>
      <c r="BK561" s="477">
        <v>85603070.832984388</v>
      </c>
      <c r="BL561" s="458">
        <v>0.26834814009766972</v>
      </c>
      <c r="BM561" s="468">
        <v>1.6098035811734084</v>
      </c>
    </row>
    <row r="562" spans="12:65" x14ac:dyDescent="0.3">
      <c r="L562" s="427">
        <v>-8909689.4397</v>
      </c>
      <c r="BE562" s="477">
        <v>6216142.5241320832</v>
      </c>
      <c r="BF562" s="458">
        <v>5.0946555589940212E-2</v>
      </c>
      <c r="BG562" s="477">
        <v>16432431.297981957</v>
      </c>
      <c r="BH562" s="458">
        <v>6.9398211782079722E-2</v>
      </c>
      <c r="BI562" s="477">
        <v>12680581.04105274</v>
      </c>
      <c r="BJ562" s="458">
        <v>9.627933585049564E-2</v>
      </c>
      <c r="BK562" s="477">
        <v>94589991.840661287</v>
      </c>
      <c r="BL562" s="458">
        <v>0.28741619092154358</v>
      </c>
      <c r="BM562" s="468">
        <v>6.3558367715460422</v>
      </c>
    </row>
    <row r="563" spans="12:65" x14ac:dyDescent="0.3">
      <c r="L563" s="427">
        <v>-5501933.2258000001</v>
      </c>
      <c r="BE563" s="477">
        <v>6155217.1019678721</v>
      </c>
      <c r="BF563" s="458">
        <v>2.2376538821954783E-2</v>
      </c>
      <c r="BG563" s="477">
        <v>12946825.936187517</v>
      </c>
      <c r="BH563" s="458">
        <v>0.10169179947325313</v>
      </c>
      <c r="BI563" s="477">
        <v>23557661.812843356</v>
      </c>
      <c r="BJ563" s="458">
        <v>9.3557243387527578E-2</v>
      </c>
      <c r="BK563" s="477">
        <v>86287161.334493414</v>
      </c>
      <c r="BL563" s="458">
        <v>0.25789228845420209</v>
      </c>
      <c r="BM563" s="468">
        <v>5.6142527556880033</v>
      </c>
    </row>
    <row r="564" spans="12:65" x14ac:dyDescent="0.3">
      <c r="L564" s="427">
        <v>23706633.3706</v>
      </c>
      <c r="BE564" s="477">
        <v>3365030.8320082654</v>
      </c>
      <c r="BF564" s="458">
        <v>3.3446756952676848E-2</v>
      </c>
      <c r="BG564" s="477">
        <v>9817570.9438160323</v>
      </c>
      <c r="BH564" s="458">
        <v>6.4596804550775433E-2</v>
      </c>
      <c r="BI564" s="477">
        <v>22739666.989739295</v>
      </c>
      <c r="BJ564" s="458">
        <v>8.3649031921206429E-2</v>
      </c>
      <c r="BK564" s="477">
        <v>87724530.247441053</v>
      </c>
      <c r="BL564" s="458">
        <v>0.27381816374113144</v>
      </c>
      <c r="BM564" s="468">
        <v>-0.16096762037714107</v>
      </c>
    </row>
    <row r="565" spans="12:65" x14ac:dyDescent="0.3">
      <c r="L565" s="427">
        <v>13027010.1907</v>
      </c>
      <c r="BE565" s="477">
        <v>4291961.9968155911</v>
      </c>
      <c r="BF565" s="458">
        <v>1.7868292627527538E-2</v>
      </c>
      <c r="BG565" s="477">
        <v>16025959.880024031</v>
      </c>
      <c r="BH565" s="458">
        <v>0.10945682804154022</v>
      </c>
      <c r="BI565" s="477">
        <v>12864137.419745486</v>
      </c>
      <c r="BJ565" s="458">
        <v>0.12165967015357437</v>
      </c>
      <c r="BK565" s="477">
        <v>81371595.460215017</v>
      </c>
      <c r="BL565" s="458">
        <v>0.25871660579830436</v>
      </c>
      <c r="BM565" s="468">
        <v>5.2668084478605328</v>
      </c>
    </row>
    <row r="566" spans="12:65" x14ac:dyDescent="0.3">
      <c r="L566" s="427">
        <v>23385179.1873</v>
      </c>
      <c r="BE566" s="477">
        <v>7706799.6289261878</v>
      </c>
      <c r="BF566" s="458">
        <v>4.9994907161201807E-2</v>
      </c>
      <c r="BG566" s="477">
        <v>8377087.3669780167</v>
      </c>
      <c r="BH566" s="458">
        <v>8.1641667451801903E-2</v>
      </c>
      <c r="BI566" s="477">
        <v>16216913.437909437</v>
      </c>
      <c r="BJ566" s="458">
        <v>0.10487718501473386</v>
      </c>
      <c r="BK566" s="477">
        <v>88183510.831940696</v>
      </c>
      <c r="BL566" s="458">
        <v>0.26142332097429666</v>
      </c>
      <c r="BM566" s="468">
        <v>11.964917620622034</v>
      </c>
    </row>
    <row r="567" spans="12:65" x14ac:dyDescent="0.3">
      <c r="L567" s="427">
        <v>13678788.9507</v>
      </c>
      <c r="BE567" s="477">
        <v>2702775.815464987</v>
      </c>
      <c r="BF567" s="458">
        <v>4.878095419409223E-2</v>
      </c>
      <c r="BG567" s="477">
        <v>7271144.0816614963</v>
      </c>
      <c r="BH567" s="458">
        <v>8.2956401375248623E-2</v>
      </c>
      <c r="BI567" s="477">
        <v>22231635.173475362</v>
      </c>
      <c r="BJ567" s="458">
        <v>0.10448417834968593</v>
      </c>
      <c r="BK567" s="477">
        <v>98120120.729076877</v>
      </c>
      <c r="BL567" s="458">
        <v>0.31201477450916304</v>
      </c>
      <c r="BM567" s="468">
        <v>2.5069830251437022</v>
      </c>
    </row>
    <row r="568" spans="12:65" x14ac:dyDescent="0.3">
      <c r="L568" s="427">
        <v>-10150105.367699999</v>
      </c>
      <c r="BE568" s="477">
        <v>10421887.79284738</v>
      </c>
      <c r="BF568" s="458">
        <v>3.5281044221585622E-2</v>
      </c>
      <c r="BG568" s="477">
        <v>11533582.125861347</v>
      </c>
      <c r="BH568" s="458">
        <v>6.3611146896218385E-2</v>
      </c>
      <c r="BI568" s="477">
        <v>6694709.971677403</v>
      </c>
      <c r="BJ568" s="458">
        <v>0.11868164266966863</v>
      </c>
      <c r="BK568" s="477">
        <v>105708731.43603277</v>
      </c>
      <c r="BL568" s="458">
        <v>0.25780152582775084</v>
      </c>
      <c r="BM568" s="468">
        <v>16.344789151256478</v>
      </c>
    </row>
    <row r="569" spans="12:65" x14ac:dyDescent="0.3">
      <c r="L569" s="427">
        <v>-515239.86839999998</v>
      </c>
      <c r="BE569" s="477">
        <v>7821077.0176306032</v>
      </c>
      <c r="BF569" s="458">
        <v>4.2089542469037733E-2</v>
      </c>
      <c r="BG569" s="477">
        <v>7945317.8616210725</v>
      </c>
      <c r="BH569" s="458">
        <v>8.3402083622033718E-2</v>
      </c>
      <c r="BI569" s="477">
        <v>19268301.498000953</v>
      </c>
      <c r="BJ569" s="458">
        <v>9.9672403521120057E-2</v>
      </c>
      <c r="BK569" s="477">
        <v>88501322.907308504</v>
      </c>
      <c r="BL569" s="458">
        <v>0.26534809154173833</v>
      </c>
      <c r="BM569" s="468">
        <v>3.4459676211932688</v>
      </c>
    </row>
    <row r="570" spans="12:65" x14ac:dyDescent="0.3">
      <c r="L570" s="427">
        <v>-2976273.1269999999</v>
      </c>
      <c r="BE570" s="477">
        <v>5055908.9241453651</v>
      </c>
      <c r="BF570" s="458">
        <v>3.8331265384689894E-2</v>
      </c>
      <c r="BG570" s="477">
        <v>7062127.8236804903</v>
      </c>
      <c r="BH570" s="458">
        <v>7.4130481022527617E-2</v>
      </c>
      <c r="BI570" s="477">
        <v>6848686.1683316519</v>
      </c>
      <c r="BJ570" s="458">
        <v>0.13026519090163857</v>
      </c>
      <c r="BK570" s="477">
        <v>94458310.966170162</v>
      </c>
      <c r="BL570" s="458">
        <v>0.28284071982401837</v>
      </c>
      <c r="BM570" s="468">
        <v>10.054987939762151</v>
      </c>
    </row>
    <row r="571" spans="12:65" x14ac:dyDescent="0.3">
      <c r="L571" s="427">
        <v>16820453.096700002</v>
      </c>
      <c r="BE571" s="477">
        <v>3027172.091746869</v>
      </c>
      <c r="BF571" s="458">
        <v>4.0499414839359149E-2</v>
      </c>
      <c r="BG571" s="477">
        <v>8999012.4345434345</v>
      </c>
      <c r="BH571" s="458">
        <v>7.6619533885037283E-2</v>
      </c>
      <c r="BI571" s="477">
        <v>4599205.1782810027</v>
      </c>
      <c r="BJ571" s="458">
        <v>0.12757182418894519</v>
      </c>
      <c r="BK571" s="477">
        <v>98921355.219535008</v>
      </c>
      <c r="BL571" s="458">
        <v>0.27672511260510668</v>
      </c>
      <c r="BM571" s="468">
        <v>10.624362473385805</v>
      </c>
    </row>
    <row r="572" spans="12:65" x14ac:dyDescent="0.3">
      <c r="L572" s="427">
        <v>12534092.8124</v>
      </c>
      <c r="BE572" s="477">
        <v>1925159.6716985165</v>
      </c>
      <c r="BF572" s="458">
        <v>3.183820928801584E-2</v>
      </c>
      <c r="BG572" s="477">
        <v>8791909.5341465604</v>
      </c>
      <c r="BH572" s="458">
        <v>5.4783212677804949E-2</v>
      </c>
      <c r="BI572" s="477">
        <v>20996473.83753733</v>
      </c>
      <c r="BJ572" s="458">
        <v>0.10206862367020042</v>
      </c>
      <c r="BK572" s="477">
        <v>94040456.592698276</v>
      </c>
      <c r="BL572" s="458">
        <v>0.2755299650246783</v>
      </c>
      <c r="BM572" s="468">
        <v>8.1347596527794011</v>
      </c>
    </row>
    <row r="573" spans="12:65" x14ac:dyDescent="0.3">
      <c r="L573" s="427">
        <v>14971003.487400001</v>
      </c>
      <c r="BE573" s="477">
        <v>1727959.4577225074</v>
      </c>
      <c r="BF573" s="458">
        <v>5.8060992338361928E-2</v>
      </c>
      <c r="BG573" s="477">
        <v>9085346.5344904345</v>
      </c>
      <c r="BH573" s="458">
        <v>5.6973571352148422E-2</v>
      </c>
      <c r="BI573" s="477">
        <v>18375557.004978914</v>
      </c>
      <c r="BJ573" s="458">
        <v>0.12612490619251915</v>
      </c>
      <c r="BK573" s="477">
        <v>84702693.189175829</v>
      </c>
      <c r="BL573" s="458">
        <v>0.27446495171469043</v>
      </c>
      <c r="BM573" s="468">
        <v>-2.7209517594059722</v>
      </c>
    </row>
    <row r="574" spans="12:65" x14ac:dyDescent="0.3">
      <c r="L574" s="427">
        <v>-4316253.1211000001</v>
      </c>
      <c r="BE574" s="477">
        <v>5228887.2393069752</v>
      </c>
      <c r="BF574" s="458">
        <v>1.2868281326168685E-2</v>
      </c>
      <c r="BG574" s="477">
        <v>12541780.26620388</v>
      </c>
      <c r="BH574" s="458">
        <v>5.8480097070084058E-2</v>
      </c>
      <c r="BI574" s="477">
        <v>15836290.440172123</v>
      </c>
      <c r="BJ574" s="458">
        <v>0.1068536067685748</v>
      </c>
      <c r="BK574" s="477">
        <v>75955329.526439875</v>
      </c>
      <c r="BL574" s="458">
        <v>0.28044046787928023</v>
      </c>
      <c r="BM574" s="468">
        <v>4.6258430840252824</v>
      </c>
    </row>
    <row r="575" spans="12:65" x14ac:dyDescent="0.3">
      <c r="L575" s="427">
        <v>6618563.2906999998</v>
      </c>
      <c r="BE575" s="477">
        <v>5072615.6997009069</v>
      </c>
      <c r="BF575" s="458">
        <v>4.946283981066979E-2</v>
      </c>
      <c r="BG575" s="477">
        <v>9885744.0770067517</v>
      </c>
      <c r="BH575" s="458">
        <v>5.5977641601249184E-2</v>
      </c>
      <c r="BI575" s="477">
        <v>19209842.242362823</v>
      </c>
      <c r="BJ575" s="458">
        <v>0.10330255797250221</v>
      </c>
      <c r="BK575" s="477">
        <v>74238888.183483452</v>
      </c>
      <c r="BL575" s="458">
        <v>0.26395615812531847</v>
      </c>
      <c r="BM575" s="468">
        <v>-3.3308140560157948</v>
      </c>
    </row>
    <row r="576" spans="12:65" x14ac:dyDescent="0.3">
      <c r="L576" s="427">
        <v>9517218.1790999994</v>
      </c>
      <c r="BE576" s="477">
        <v>4673989.9184139874</v>
      </c>
      <c r="BF576" s="458">
        <v>5.5628620182217148E-2</v>
      </c>
      <c r="BG576" s="477">
        <v>14108897.457049772</v>
      </c>
      <c r="BH576" s="458">
        <v>6.975460704241021E-2</v>
      </c>
      <c r="BI576" s="477">
        <v>13489165.827283273</v>
      </c>
      <c r="BJ576" s="458">
        <v>9.9202231072798686E-2</v>
      </c>
      <c r="BK576" s="477">
        <v>97182795.820868582</v>
      </c>
      <c r="BL576" s="458">
        <v>0.27104514696530835</v>
      </c>
      <c r="BM576" s="468">
        <v>7.2572197265343377</v>
      </c>
    </row>
    <row r="577" spans="12:65" x14ac:dyDescent="0.3">
      <c r="L577" s="427">
        <v>-7272201.2148000002</v>
      </c>
      <c r="BE577" s="477">
        <v>574901.04517190636</v>
      </c>
      <c r="BF577" s="458">
        <v>2.6474273340840959E-2</v>
      </c>
      <c r="BG577" s="477">
        <v>9999429.3846223354</v>
      </c>
      <c r="BH577" s="458">
        <v>4.0747870932956953E-2</v>
      </c>
      <c r="BI577" s="477">
        <v>18201929.934884194</v>
      </c>
      <c r="BJ577" s="458">
        <v>0.11565486561261462</v>
      </c>
      <c r="BK577" s="477">
        <v>87528545.346106485</v>
      </c>
      <c r="BL577" s="458">
        <v>0.27007949706074652</v>
      </c>
      <c r="BM577" s="468">
        <v>14.622461336689184</v>
      </c>
    </row>
    <row r="578" spans="12:65" x14ac:dyDescent="0.3">
      <c r="L578" s="427">
        <v>-9338814.6449999996</v>
      </c>
      <c r="BE578" s="477">
        <v>6114334.7488028165</v>
      </c>
      <c r="BF578" s="458">
        <v>3.7392515911394364E-2</v>
      </c>
      <c r="BG578" s="477">
        <v>3800748.1606363184</v>
      </c>
      <c r="BH578" s="458">
        <v>6.3570441066191474E-2</v>
      </c>
      <c r="BI578" s="477">
        <v>14751414.335606659</v>
      </c>
      <c r="BJ578" s="458">
        <v>0.11295342893773275</v>
      </c>
      <c r="BK578" s="477">
        <v>90338149.733349189</v>
      </c>
      <c r="BL578" s="458">
        <v>0.26496444979673894</v>
      </c>
      <c r="BM578" s="468">
        <v>5.8733623539863551</v>
      </c>
    </row>
    <row r="579" spans="12:65" x14ac:dyDescent="0.3">
      <c r="L579" s="427">
        <v>3622284.4547000001</v>
      </c>
      <c r="BE579" s="477">
        <v>5967050.2882508961</v>
      </c>
      <c r="BF579" s="458">
        <v>2.2570538966794951E-2</v>
      </c>
      <c r="BG579" s="477">
        <v>7865806.3140038569</v>
      </c>
      <c r="BH579" s="458">
        <v>5.8760005092327372E-2</v>
      </c>
      <c r="BI579" s="477">
        <v>20183526.018440403</v>
      </c>
      <c r="BJ579" s="458">
        <v>0.10477649266895694</v>
      </c>
      <c r="BK579" s="477">
        <v>90153979.940578401</v>
      </c>
      <c r="BL579" s="458">
        <v>0.27274873320669557</v>
      </c>
      <c r="BM579" s="468">
        <v>5.6725064998762909</v>
      </c>
    </row>
    <row r="580" spans="12:65" x14ac:dyDescent="0.3">
      <c r="L580" s="427">
        <v>-1173285.2955</v>
      </c>
      <c r="BE580" s="477">
        <v>6095714.4860165957</v>
      </c>
      <c r="BF580" s="458">
        <v>6.70496962591558E-2</v>
      </c>
      <c r="BG580" s="477">
        <v>14520180.104717419</v>
      </c>
      <c r="BH580" s="458">
        <v>4.9170446996114725E-2</v>
      </c>
      <c r="BI580" s="477">
        <v>20735826.862754539</v>
      </c>
      <c r="BJ580" s="458">
        <v>0.11631860401001237</v>
      </c>
      <c r="BK580" s="477">
        <v>95216846.443477973</v>
      </c>
      <c r="BL580" s="458">
        <v>0.27607431757996803</v>
      </c>
      <c r="BM580" s="468">
        <v>7.0369780883193123</v>
      </c>
    </row>
    <row r="581" spans="12:65" x14ac:dyDescent="0.3">
      <c r="L581" s="427">
        <v>6706125.0537</v>
      </c>
      <c r="BE581" s="477">
        <v>5753175.6193142533</v>
      </c>
      <c r="BF581" s="458">
        <v>5.3356676289951332E-2</v>
      </c>
      <c r="BG581" s="477">
        <v>7512717.9885224001</v>
      </c>
      <c r="BH581" s="458">
        <v>6.6225301084590571E-2</v>
      </c>
      <c r="BI581" s="477">
        <v>21887208.615653891</v>
      </c>
      <c r="BJ581" s="458">
        <v>0.14095094882869597</v>
      </c>
      <c r="BK581" s="477">
        <v>96534828.717230156</v>
      </c>
      <c r="BL581" s="458">
        <v>0.25193158143741523</v>
      </c>
      <c r="BM581" s="468">
        <v>14.900709589318112</v>
      </c>
    </row>
    <row r="582" spans="12:65" x14ac:dyDescent="0.3">
      <c r="L582" s="427">
        <v>-2515992.9471999998</v>
      </c>
      <c r="BE582" s="477">
        <v>5822297.497028362</v>
      </c>
      <c r="BF582" s="458">
        <v>2.522104677893533E-2</v>
      </c>
      <c r="BG582" s="477">
        <v>10925317.219873836</v>
      </c>
      <c r="BH582" s="458">
        <v>7.1804756645358347E-2</v>
      </c>
      <c r="BI582" s="477">
        <v>14175568.681253288</v>
      </c>
      <c r="BJ582" s="458">
        <v>8.8814769613178912E-2</v>
      </c>
      <c r="BK582" s="477">
        <v>92897020.027052119</v>
      </c>
      <c r="BL582" s="458">
        <v>0.28154738341499752</v>
      </c>
      <c r="BM582" s="468">
        <v>4.8989962492935177</v>
      </c>
    </row>
    <row r="583" spans="12:65" x14ac:dyDescent="0.3">
      <c r="L583" s="427">
        <v>5541159.6365999999</v>
      </c>
      <c r="BE583" s="477">
        <v>8488654.394372521</v>
      </c>
      <c r="BF583" s="458">
        <v>2.8639680985599547E-2</v>
      </c>
      <c r="BG583" s="477">
        <v>9242533.7979715187</v>
      </c>
      <c r="BH583" s="458">
        <v>7.6399405511226481E-2</v>
      </c>
      <c r="BI583" s="477">
        <v>14057162.038264172</v>
      </c>
      <c r="BJ583" s="458">
        <v>0.10072393708366056</v>
      </c>
      <c r="BK583" s="477">
        <v>80612910.048041016</v>
      </c>
      <c r="BL583" s="458">
        <v>0.28037060077177633</v>
      </c>
      <c r="BM583" s="468">
        <v>3.3588075311496395</v>
      </c>
    </row>
    <row r="584" spans="12:65" x14ac:dyDescent="0.3">
      <c r="L584" s="427">
        <v>3916217.3796999999</v>
      </c>
      <c r="BE584" s="477">
        <v>7016592.6453574058</v>
      </c>
      <c r="BF584" s="458">
        <v>3.0296481059278291E-2</v>
      </c>
      <c r="BG584" s="477">
        <v>11567635.280381657</v>
      </c>
      <c r="BH584" s="458">
        <v>3.8337450078086865E-2</v>
      </c>
      <c r="BI584" s="477">
        <v>15521611.58403909</v>
      </c>
      <c r="BJ584" s="458">
        <v>9.2278943763902888E-2</v>
      </c>
      <c r="BK584" s="477">
        <v>92349486.958423451</v>
      </c>
      <c r="BL584" s="458">
        <v>0.26604900364275363</v>
      </c>
      <c r="BM584" s="468">
        <v>8.146479660495249</v>
      </c>
    </row>
    <row r="585" spans="12:65" x14ac:dyDescent="0.3">
      <c r="L585" s="427">
        <v>-4722804.6008000001</v>
      </c>
      <c r="BE585" s="477">
        <v>8388968.7306142282</v>
      </c>
      <c r="BF585" s="458">
        <v>3.2739914078535381E-2</v>
      </c>
      <c r="BG585" s="477">
        <v>14187661.802065589</v>
      </c>
      <c r="BH585" s="458">
        <v>5.4648647799120598E-2</v>
      </c>
      <c r="BI585" s="477">
        <v>20451691.384784281</v>
      </c>
      <c r="BJ585" s="458">
        <v>0.1199141803131003</v>
      </c>
      <c r="BK585" s="477">
        <v>75102719.501020879</v>
      </c>
      <c r="BL585" s="458">
        <v>0.25840112894771505</v>
      </c>
      <c r="BM585" s="468">
        <v>8.5911318208543648</v>
      </c>
    </row>
    <row r="586" spans="12:65" x14ac:dyDescent="0.3">
      <c r="L586" s="427">
        <v>5112819.4522000002</v>
      </c>
      <c r="BE586" s="477">
        <v>3237558.5204025824</v>
      </c>
      <c r="BF586" s="458">
        <v>5.642214306072435E-2</v>
      </c>
      <c r="BG586" s="477">
        <v>8416986.3042863943</v>
      </c>
      <c r="BH586" s="458">
        <v>6.4681317395174576E-2</v>
      </c>
      <c r="BI586" s="477">
        <v>16439921.420312403</v>
      </c>
      <c r="BJ586" s="458">
        <v>0.10079482074948265</v>
      </c>
      <c r="BK586" s="477">
        <v>90287234.528974041</v>
      </c>
      <c r="BL586" s="458">
        <v>0.26009539618598598</v>
      </c>
      <c r="BM586" s="468">
        <v>8.3836388346834312</v>
      </c>
    </row>
    <row r="587" spans="12:65" x14ac:dyDescent="0.3">
      <c r="L587" s="427">
        <v>11471189.9559</v>
      </c>
      <c r="BE587" s="477">
        <v>5536528.1313885273</v>
      </c>
      <c r="BF587" s="458">
        <v>4.9203726769020184E-2</v>
      </c>
      <c r="BG587" s="477">
        <v>14926114.655545253</v>
      </c>
      <c r="BH587" s="458">
        <v>7.7269186681660829E-2</v>
      </c>
      <c r="BI587" s="477">
        <v>15052847.472499894</v>
      </c>
      <c r="BJ587" s="458">
        <v>9.9727517768743335E-2</v>
      </c>
      <c r="BK587" s="477">
        <v>99847007.25874567</v>
      </c>
      <c r="BL587" s="458">
        <v>0.25269966918744124</v>
      </c>
      <c r="BM587" s="468">
        <v>2.6522911636515234</v>
      </c>
    </row>
    <row r="588" spans="12:65" x14ac:dyDescent="0.3">
      <c r="L588" s="427">
        <v>-1007576.0345</v>
      </c>
      <c r="BE588" s="477">
        <v>5900794.7720680181</v>
      </c>
      <c r="BF588" s="458">
        <v>4.9927566935987544E-2</v>
      </c>
      <c r="BG588" s="477">
        <v>5301696.590764896</v>
      </c>
      <c r="BH588" s="458">
        <v>7.8120348682086505E-2</v>
      </c>
      <c r="BI588" s="477">
        <v>23710580.800601125</v>
      </c>
      <c r="BJ588" s="458">
        <v>0.130052678374875</v>
      </c>
      <c r="BK588" s="477">
        <v>85491302.838585272</v>
      </c>
      <c r="BL588" s="458">
        <v>0.29114113333392888</v>
      </c>
      <c r="BM588" s="468">
        <v>4.7087660972491179</v>
      </c>
    </row>
    <row r="589" spans="12:65" x14ac:dyDescent="0.3">
      <c r="L589" s="427">
        <v>18376209.0134</v>
      </c>
      <c r="BE589" s="477">
        <v>2891886.0123605169</v>
      </c>
      <c r="BF589" s="458">
        <v>5.8585093599557325E-2</v>
      </c>
      <c r="BG589" s="477">
        <v>11889626.404491423</v>
      </c>
      <c r="BH589" s="458">
        <v>6.7801478068809651E-2</v>
      </c>
      <c r="BI589" s="477">
        <v>27912594.042475797</v>
      </c>
      <c r="BJ589" s="458">
        <v>0.10491112877297493</v>
      </c>
      <c r="BK589" s="477">
        <v>83800681.166303769</v>
      </c>
      <c r="BL589" s="458">
        <v>0.26792667221235322</v>
      </c>
      <c r="BM589" s="468">
        <v>5.5460582214707195</v>
      </c>
    </row>
    <row r="590" spans="12:65" x14ac:dyDescent="0.3">
      <c r="L590" s="427">
        <v>7275446.9342</v>
      </c>
      <c r="BE590" s="477">
        <v>10751332.406258686</v>
      </c>
      <c r="BF590" s="458">
        <v>4.6259874947888857E-2</v>
      </c>
      <c r="BG590" s="477">
        <v>9295547.1826821286</v>
      </c>
      <c r="BH590" s="458">
        <v>8.216923680275201E-2</v>
      </c>
      <c r="BI590" s="477">
        <v>20424930.935761813</v>
      </c>
      <c r="BJ590" s="458">
        <v>0.1043411094183595</v>
      </c>
      <c r="BK590" s="477">
        <v>83414970.503503069</v>
      </c>
      <c r="BL590" s="458">
        <v>0.28780447269588261</v>
      </c>
      <c r="BM590" s="468">
        <v>12.646615400393136</v>
      </c>
    </row>
    <row r="591" spans="12:65" x14ac:dyDescent="0.3">
      <c r="L591" s="427">
        <v>10684893.0447</v>
      </c>
      <c r="BE591" s="477">
        <v>4572745.4114859896</v>
      </c>
      <c r="BF591" s="458">
        <v>4.9005876989443253E-2</v>
      </c>
      <c r="BG591" s="477">
        <v>9057088.924234191</v>
      </c>
      <c r="BH591" s="458">
        <v>5.2878924434233365E-2</v>
      </c>
      <c r="BI591" s="477">
        <v>14951269.317700773</v>
      </c>
      <c r="BJ591" s="458">
        <v>0.12431039560202528</v>
      </c>
      <c r="BK591" s="477">
        <v>99696133.081334591</v>
      </c>
      <c r="BL591" s="458">
        <v>0.27180700064176189</v>
      </c>
      <c r="BM591" s="468">
        <v>6.9115725099823067</v>
      </c>
    </row>
    <row r="592" spans="12:65" x14ac:dyDescent="0.3">
      <c r="L592" s="427">
        <v>19663693.169</v>
      </c>
      <c r="BE592" s="477">
        <v>6883348.6829749979</v>
      </c>
      <c r="BF592" s="458">
        <v>3.9936318498461132E-2</v>
      </c>
      <c r="BG592" s="477">
        <v>7781525.7074762443</v>
      </c>
      <c r="BH592" s="458">
        <v>7.262543933321064E-2</v>
      </c>
      <c r="BI592" s="477">
        <v>13489402.888960741</v>
      </c>
      <c r="BJ592" s="458">
        <v>0.11549498253163182</v>
      </c>
      <c r="BK592" s="477">
        <v>90681612.014312163</v>
      </c>
      <c r="BL592" s="458">
        <v>0.28412412840524781</v>
      </c>
      <c r="BM592" s="468">
        <v>5.3496579406333531</v>
      </c>
    </row>
    <row r="593" spans="12:65" x14ac:dyDescent="0.3">
      <c r="L593" s="427">
        <v>16104556.9778</v>
      </c>
      <c r="BE593" s="477">
        <v>2930147.2024704618</v>
      </c>
      <c r="BF593" s="458">
        <v>3.6665567928337639E-2</v>
      </c>
      <c r="BG593" s="477">
        <v>2486122.9097175142</v>
      </c>
      <c r="BH593" s="458">
        <v>6.8611801568194464E-2</v>
      </c>
      <c r="BI593" s="477">
        <v>18857507.609777376</v>
      </c>
      <c r="BJ593" s="458">
        <v>9.3965358297115165E-2</v>
      </c>
      <c r="BK593" s="477">
        <v>85999776.143472359</v>
      </c>
      <c r="BL593" s="458">
        <v>0.27785246398075913</v>
      </c>
      <c r="BM593" s="468">
        <v>9.3218747575732674</v>
      </c>
    </row>
    <row r="594" spans="12:65" x14ac:dyDescent="0.3">
      <c r="L594" s="427">
        <v>18109918.740600001</v>
      </c>
      <c r="BE594" s="477">
        <v>8224924.4008658826</v>
      </c>
      <c r="BF594" s="458">
        <v>1.8320552950540137E-2</v>
      </c>
      <c r="BG594" s="477">
        <v>8873926.5585376304</v>
      </c>
      <c r="BH594" s="458">
        <v>8.3857549037473555E-2</v>
      </c>
      <c r="BI594" s="477">
        <v>17038465.029590774</v>
      </c>
      <c r="BJ594" s="458">
        <v>0.10631678430982139</v>
      </c>
      <c r="BK594" s="477">
        <v>88356029.185962677</v>
      </c>
      <c r="BL594" s="458">
        <v>0.26812371584047567</v>
      </c>
      <c r="BM594" s="468">
        <v>10.133733042022563</v>
      </c>
    </row>
    <row r="595" spans="12:65" x14ac:dyDescent="0.3">
      <c r="L595" s="427">
        <v>8148108.8927999996</v>
      </c>
      <c r="BE595" s="477">
        <v>3045659.2529579401</v>
      </c>
      <c r="BF595" s="458">
        <v>4.224864078313173E-2</v>
      </c>
      <c r="BG595" s="477">
        <v>5640874.7322458159</v>
      </c>
      <c r="BH595" s="458">
        <v>7.383900920438502E-2</v>
      </c>
      <c r="BI595" s="477">
        <v>17689527.55612449</v>
      </c>
      <c r="BJ595" s="458">
        <v>0.1233059498960638</v>
      </c>
      <c r="BK595" s="477">
        <v>93373634.206256032</v>
      </c>
      <c r="BL595" s="458">
        <v>0.26830051748104577</v>
      </c>
      <c r="BM595" s="468">
        <v>7.4473421035479017</v>
      </c>
    </row>
    <row r="596" spans="12:65" x14ac:dyDescent="0.3">
      <c r="L596" s="427">
        <v>15291191.202199999</v>
      </c>
      <c r="BE596" s="477">
        <v>4447861.4708919823</v>
      </c>
      <c r="BF596" s="458">
        <v>3.7077180267278687E-2</v>
      </c>
      <c r="BG596" s="477">
        <v>11110351.276602339</v>
      </c>
      <c r="BH596" s="458">
        <v>6.0410923698884345E-2</v>
      </c>
      <c r="BI596" s="477">
        <v>18562554.329574026</v>
      </c>
      <c r="BJ596" s="458">
        <v>0.10351785534526892</v>
      </c>
      <c r="BK596" s="477">
        <v>91492836.581782922</v>
      </c>
      <c r="BL596" s="458">
        <v>0.26672851082829774</v>
      </c>
      <c r="BM596" s="468">
        <v>4.3236557565854596</v>
      </c>
    </row>
    <row r="597" spans="12:65" x14ac:dyDescent="0.3">
      <c r="L597" s="427">
        <v>1424407.5081</v>
      </c>
      <c r="BE597" s="477">
        <v>5706448.081483243</v>
      </c>
      <c r="BF597" s="458">
        <v>4.2257473965594095E-2</v>
      </c>
      <c r="BG597" s="477">
        <v>5492490.2684517456</v>
      </c>
      <c r="BH597" s="458">
        <v>4.8137460243394825E-2</v>
      </c>
      <c r="BI597" s="477">
        <v>5643774.7121211141</v>
      </c>
      <c r="BJ597" s="458">
        <v>0.13321419059264805</v>
      </c>
      <c r="BK597" s="477">
        <v>88427228.897553742</v>
      </c>
      <c r="BL597" s="458">
        <v>0.25616470961942284</v>
      </c>
      <c r="BM597" s="468">
        <v>11.845392353406842</v>
      </c>
    </row>
    <row r="598" spans="12:65" x14ac:dyDescent="0.3">
      <c r="L598" s="427">
        <v>11433162.886</v>
      </c>
      <c r="BE598" s="477">
        <v>8414326.8677870985</v>
      </c>
      <c r="BF598" s="458">
        <v>2.171020149871894E-2</v>
      </c>
      <c r="BG598" s="477">
        <v>9147198.0931429062</v>
      </c>
      <c r="BH598" s="458">
        <v>4.8830739050460092E-2</v>
      </c>
      <c r="BI598" s="477">
        <v>18413234.673676129</v>
      </c>
      <c r="BJ598" s="458">
        <v>0.11143923117328725</v>
      </c>
      <c r="BK598" s="477">
        <v>97709643.683209985</v>
      </c>
      <c r="BL598" s="458">
        <v>0.26102860781653203</v>
      </c>
      <c r="BM598" s="468">
        <v>4.3602458971118043</v>
      </c>
    </row>
    <row r="599" spans="12:65" x14ac:dyDescent="0.3">
      <c r="L599" s="427">
        <v>-366542.18040000001</v>
      </c>
      <c r="BE599" s="477">
        <v>5003922.2624338754</v>
      </c>
      <c r="BF599" s="458">
        <v>3.9025570266708165E-2</v>
      </c>
      <c r="BG599" s="477">
        <v>9054510.6975729801</v>
      </c>
      <c r="BH599" s="458">
        <v>7.2269852403916701E-2</v>
      </c>
      <c r="BI599" s="477">
        <v>7294386.3419338474</v>
      </c>
      <c r="BJ599" s="458">
        <v>0.1074229683249277</v>
      </c>
      <c r="BK599" s="477">
        <v>86563948.402507663</v>
      </c>
      <c r="BL599" s="458">
        <v>0.27444371149097035</v>
      </c>
      <c r="BM599" s="468">
        <v>8.5618676949610748</v>
      </c>
    </row>
    <row r="600" spans="12:65" x14ac:dyDescent="0.3">
      <c r="L600" s="427">
        <v>5995603.6114999996</v>
      </c>
      <c r="BE600" s="477">
        <v>5467582.5069296807</v>
      </c>
      <c r="BF600" s="458">
        <v>2.6500723608341437E-2</v>
      </c>
      <c r="BG600" s="477">
        <v>7749923.2551980559</v>
      </c>
      <c r="BH600" s="458">
        <v>8.1979511870904354E-2</v>
      </c>
      <c r="BI600" s="477">
        <v>13372955.012731902</v>
      </c>
      <c r="BJ600" s="458">
        <v>0.12314393543839541</v>
      </c>
      <c r="BK600" s="477">
        <v>99168271.137790546</v>
      </c>
      <c r="BL600" s="458">
        <v>0.28614954005159743</v>
      </c>
      <c r="BM600" s="468">
        <v>9.49628060547529</v>
      </c>
    </row>
    <row r="601" spans="12:65" x14ac:dyDescent="0.3">
      <c r="L601" s="427">
        <v>-7561974.3004000001</v>
      </c>
      <c r="BE601" s="477">
        <v>3927615.2363119982</v>
      </c>
      <c r="BF601" s="458">
        <v>5.8811266493467018E-2</v>
      </c>
      <c r="BG601" s="477">
        <v>3944696.5281288079</v>
      </c>
      <c r="BH601" s="458">
        <v>7.8020498450470432E-2</v>
      </c>
      <c r="BI601" s="477">
        <v>17232088.124462489</v>
      </c>
      <c r="BJ601" s="458">
        <v>0.12447336500286377</v>
      </c>
      <c r="BK601" s="477">
        <v>98830261.424856842</v>
      </c>
      <c r="BL601" s="458">
        <v>0.27344931798259009</v>
      </c>
      <c r="BM601" s="468">
        <v>3.9018304141709388</v>
      </c>
    </row>
    <row r="602" spans="12:65" x14ac:dyDescent="0.3">
      <c r="L602" s="427">
        <v>-117501.7844</v>
      </c>
      <c r="BE602" s="477">
        <v>3814906.3127306448</v>
      </c>
      <c r="BF602" s="458">
        <v>2.1570585245599627E-2</v>
      </c>
      <c r="BG602" s="477">
        <v>12979773.500969149</v>
      </c>
      <c r="BH602" s="458">
        <v>6.9793375718544715E-2</v>
      </c>
      <c r="BI602" s="477">
        <v>12425014.97613587</v>
      </c>
      <c r="BJ602" s="458">
        <v>0.1101297112114612</v>
      </c>
      <c r="BK602" s="477">
        <v>101777946.85855386</v>
      </c>
      <c r="BL602" s="458">
        <v>0.24716867119921049</v>
      </c>
      <c r="BM602" s="468">
        <v>9.4809425172112718</v>
      </c>
    </row>
    <row r="603" spans="12:65" x14ac:dyDescent="0.3">
      <c r="L603" s="427">
        <v>9750931.6741000004</v>
      </c>
      <c r="BE603" s="477">
        <v>5816413.600290616</v>
      </c>
      <c r="BF603" s="458">
        <v>3.9355735432469396E-2</v>
      </c>
      <c r="BG603" s="477">
        <v>7836119.5302174557</v>
      </c>
      <c r="BH603" s="458">
        <v>4.9141577245309431E-2</v>
      </c>
      <c r="BI603" s="477">
        <v>30289907.980492502</v>
      </c>
      <c r="BJ603" s="458">
        <v>0.10551811631726404</v>
      </c>
      <c r="BK603" s="477">
        <v>83747738.773013651</v>
      </c>
      <c r="BL603" s="458">
        <v>0.29749454466161374</v>
      </c>
      <c r="BM603" s="468">
        <v>9.3738289109244484</v>
      </c>
    </row>
    <row r="604" spans="12:65" x14ac:dyDescent="0.3">
      <c r="L604" s="427">
        <v>16296600.310799999</v>
      </c>
      <c r="BE604" s="477">
        <v>3021750.5654999469</v>
      </c>
      <c r="BF604" s="458">
        <v>4.2604691342619905E-2</v>
      </c>
      <c r="BG604" s="477">
        <v>9189951.9562912025</v>
      </c>
      <c r="BH604" s="458">
        <v>8.2534943031218333E-2</v>
      </c>
      <c r="BI604" s="477">
        <v>17903182.584831413</v>
      </c>
      <c r="BJ604" s="458">
        <v>0.11488263868553705</v>
      </c>
      <c r="BK604" s="477">
        <v>91520580.919148386</v>
      </c>
      <c r="BL604" s="458">
        <v>0.26195628349666511</v>
      </c>
      <c r="BM604" s="468">
        <v>2.9300699969385899</v>
      </c>
    </row>
    <row r="605" spans="12:65" x14ac:dyDescent="0.3">
      <c r="L605" s="427">
        <v>-11473246.3532</v>
      </c>
      <c r="BE605" s="477">
        <v>4080072.4341611066</v>
      </c>
      <c r="BF605" s="458">
        <v>8.000878606146955E-2</v>
      </c>
      <c r="BG605" s="477">
        <v>15588508.205005782</v>
      </c>
      <c r="BH605" s="458">
        <v>9.7474584947005338E-2</v>
      </c>
      <c r="BI605" s="477">
        <v>10503191.585842391</v>
      </c>
      <c r="BJ605" s="458">
        <v>0.10063275577148123</v>
      </c>
      <c r="BK605" s="477">
        <v>75571503.143396556</v>
      </c>
      <c r="BL605" s="458">
        <v>0.28031462972604904</v>
      </c>
      <c r="BM605" s="468">
        <v>4.7639536158108857</v>
      </c>
    </row>
    <row r="606" spans="12:65" x14ac:dyDescent="0.3">
      <c r="L606" s="427">
        <v>10865881.132300001</v>
      </c>
      <c r="BE606" s="477">
        <v>6548293.167073098</v>
      </c>
      <c r="BF606" s="458">
        <v>8.8764816287393078E-2</v>
      </c>
      <c r="BG606" s="477">
        <v>9311692.5954700168</v>
      </c>
      <c r="BH606" s="458">
        <v>6.8171340085438015E-2</v>
      </c>
      <c r="BI606" s="477">
        <v>12214071.827702953</v>
      </c>
      <c r="BJ606" s="458">
        <v>0.12071483244632031</v>
      </c>
      <c r="BK606" s="477">
        <v>94843221.115511864</v>
      </c>
      <c r="BL606" s="458">
        <v>0.26711967821951599</v>
      </c>
      <c r="BM606" s="468">
        <v>12.320457281191048</v>
      </c>
    </row>
    <row r="607" spans="12:65" x14ac:dyDescent="0.3">
      <c r="L607" s="427">
        <v>24328458.1734</v>
      </c>
      <c r="BE607" s="477">
        <v>4472227.7349513378</v>
      </c>
      <c r="BF607" s="458">
        <v>5.0794102675463693E-2</v>
      </c>
      <c r="BG607" s="477">
        <v>5453476.9358302215</v>
      </c>
      <c r="BH607" s="458">
        <v>7.8002451182507704E-2</v>
      </c>
      <c r="BI607" s="477">
        <v>21727726.779209457</v>
      </c>
      <c r="BJ607" s="458">
        <v>9.7294618874369521E-2</v>
      </c>
      <c r="BK607" s="477">
        <v>91972343.554683208</v>
      </c>
      <c r="BL607" s="458">
        <v>0.27819954180065842</v>
      </c>
      <c r="BM607" s="468">
        <v>8.2664249085767931</v>
      </c>
    </row>
    <row r="608" spans="12:65" x14ac:dyDescent="0.3">
      <c r="L608" s="427">
        <v>-7211222.1211999999</v>
      </c>
      <c r="BE608" s="477">
        <v>5310133.8252268713</v>
      </c>
      <c r="BF608" s="458">
        <v>4.7757680498133892E-2</v>
      </c>
      <c r="BG608" s="477">
        <v>10504418.050551966</v>
      </c>
      <c r="BH608" s="458">
        <v>6.6562322077396097E-2</v>
      </c>
      <c r="BI608" s="477">
        <v>19840228.870185245</v>
      </c>
      <c r="BJ608" s="458">
        <v>8.8601503129756232E-2</v>
      </c>
      <c r="BK608" s="477">
        <v>95295704.735137075</v>
      </c>
      <c r="BL608" s="458">
        <v>0.27992284937187706</v>
      </c>
      <c r="BM608" s="468">
        <v>4.9141776720884174</v>
      </c>
    </row>
    <row r="609" spans="12:65" x14ac:dyDescent="0.3">
      <c r="L609" s="427">
        <v>16764563.032299999</v>
      </c>
      <c r="BE609" s="477">
        <v>10179286.165656215</v>
      </c>
      <c r="BF609" s="458">
        <v>6.2015185164741471E-2</v>
      </c>
      <c r="BG609" s="477">
        <v>6040279.3740673</v>
      </c>
      <c r="BH609" s="458">
        <v>6.1988853586815162E-2</v>
      </c>
      <c r="BI609" s="477">
        <v>16922988.367360372</v>
      </c>
      <c r="BJ609" s="458">
        <v>0.11704761921520102</v>
      </c>
      <c r="BK609" s="477">
        <v>96495614.607678711</v>
      </c>
      <c r="BL609" s="458">
        <v>0.26193687406035693</v>
      </c>
      <c r="BM609" s="468">
        <v>1.9162129504148302</v>
      </c>
    </row>
    <row r="610" spans="12:65" x14ac:dyDescent="0.3">
      <c r="L610" s="427">
        <v>12802550.4301</v>
      </c>
      <c r="BE610" s="477">
        <v>3845327.1462363773</v>
      </c>
      <c r="BF610" s="458">
        <v>2.583343864819132E-2</v>
      </c>
      <c r="BG610" s="477">
        <v>10808457.953955052</v>
      </c>
      <c r="BH610" s="458">
        <v>6.3441663467488585E-2</v>
      </c>
      <c r="BI610" s="477">
        <v>10512548.344355088</v>
      </c>
      <c r="BJ610" s="458">
        <v>0.10004134068596393</v>
      </c>
      <c r="BK610" s="477">
        <v>84694016.16321063</v>
      </c>
      <c r="BL610" s="458">
        <v>0.25621761307619284</v>
      </c>
      <c r="BM610" s="468">
        <v>8.8329685814613761</v>
      </c>
    </row>
    <row r="611" spans="12:65" x14ac:dyDescent="0.3">
      <c r="L611" s="427">
        <v>-8170632.5290999999</v>
      </c>
      <c r="BE611" s="477">
        <v>5037428.2656642105</v>
      </c>
      <c r="BF611" s="458">
        <v>3.7277069497742454E-2</v>
      </c>
      <c r="BG611" s="477">
        <v>3740785.6302373274</v>
      </c>
      <c r="BH611" s="458">
        <v>9.0996258636619753E-2</v>
      </c>
      <c r="BI611" s="477">
        <v>15328846.356355142</v>
      </c>
      <c r="BJ611" s="458">
        <v>9.9183118851830399E-2</v>
      </c>
      <c r="BK611" s="477">
        <v>82606598.135388076</v>
      </c>
      <c r="BL611" s="458">
        <v>0.27265549393568356</v>
      </c>
      <c r="BM611" s="468">
        <v>10.049699271689201</v>
      </c>
    </row>
    <row r="612" spans="12:65" x14ac:dyDescent="0.3">
      <c r="L612" s="427">
        <v>16074036.6746</v>
      </c>
      <c r="BE612" s="477">
        <v>6968398.1973139122</v>
      </c>
      <c r="BF612" s="458">
        <v>4.8927434873321074E-2</v>
      </c>
      <c r="BG612" s="477">
        <v>9922267.8661953509</v>
      </c>
      <c r="BH612" s="458">
        <v>5.4885225173237462E-2</v>
      </c>
      <c r="BI612" s="477">
        <v>13741121.24318631</v>
      </c>
      <c r="BJ612" s="458">
        <v>9.6768296647565588E-2</v>
      </c>
      <c r="BK612" s="477">
        <v>102459336.68550867</v>
      </c>
      <c r="BL612" s="458">
        <v>0.26494473670806351</v>
      </c>
      <c r="BM612" s="468">
        <v>9.6315749472531103</v>
      </c>
    </row>
    <row r="613" spans="12:65" x14ac:dyDescent="0.3">
      <c r="L613" s="427">
        <v>9515681.8302999996</v>
      </c>
      <c r="BE613" s="477">
        <v>5084864.8958812607</v>
      </c>
      <c r="BF613" s="458">
        <v>4.3267369920812815E-2</v>
      </c>
      <c r="BG613" s="477">
        <v>13877642.717597624</v>
      </c>
      <c r="BH613" s="458">
        <v>6.8410964088198023E-2</v>
      </c>
      <c r="BI613" s="477">
        <v>12586894.99300739</v>
      </c>
      <c r="BJ613" s="458">
        <v>0.11798822124030517</v>
      </c>
      <c r="BK613" s="477">
        <v>94242514.354891196</v>
      </c>
      <c r="BL613" s="458">
        <v>0.28094118725130413</v>
      </c>
      <c r="BM613" s="468">
        <v>9.818690592039971</v>
      </c>
    </row>
    <row r="614" spans="12:65" x14ac:dyDescent="0.3">
      <c r="L614" s="427">
        <v>5893763.0433999998</v>
      </c>
      <c r="BE614" s="477">
        <v>3934511.3978575058</v>
      </c>
      <c r="BF614" s="458">
        <v>6.4304954336164233E-2</v>
      </c>
      <c r="BG614" s="477">
        <v>3174559.5795910824</v>
      </c>
      <c r="BH614" s="458">
        <v>8.6394691477627017E-2</v>
      </c>
      <c r="BI614" s="477">
        <v>18261740.511287291</v>
      </c>
      <c r="BJ614" s="458">
        <v>9.8772524413492269E-2</v>
      </c>
      <c r="BK614" s="477">
        <v>84380275.617126256</v>
      </c>
      <c r="BL614" s="458">
        <v>0.2960428161682207</v>
      </c>
      <c r="BM614" s="468">
        <v>13.921905179784124</v>
      </c>
    </row>
    <row r="615" spans="12:65" x14ac:dyDescent="0.3">
      <c r="L615" s="427">
        <v>26479992.330499999</v>
      </c>
      <c r="BE615" s="477">
        <v>5395700.7191859651</v>
      </c>
      <c r="BF615" s="458">
        <v>4.3419433335316615E-2</v>
      </c>
      <c r="BG615" s="477">
        <v>4112223.5986256599</v>
      </c>
      <c r="BH615" s="458">
        <v>7.3055854087730188E-2</v>
      </c>
      <c r="BI615" s="477">
        <v>13786497.571273539</v>
      </c>
      <c r="BJ615" s="458">
        <v>0.13054020845623371</v>
      </c>
      <c r="BK615" s="477">
        <v>90302139.406290576</v>
      </c>
      <c r="BL615" s="458">
        <v>0.25598330123178092</v>
      </c>
      <c r="BM615" s="468">
        <v>10.265086894560721</v>
      </c>
    </row>
    <row r="616" spans="12:65" x14ac:dyDescent="0.3">
      <c r="L616" s="427">
        <v>5758584.7867999999</v>
      </c>
      <c r="BE616" s="477">
        <v>2859035.5120873693</v>
      </c>
      <c r="BF616" s="458">
        <v>3.7328475617544488E-2</v>
      </c>
      <c r="BG616" s="477">
        <v>12926700.019560276</v>
      </c>
      <c r="BH616" s="458">
        <v>5.9680307605334049E-2</v>
      </c>
      <c r="BI616" s="477">
        <v>7534844.9470810043</v>
      </c>
      <c r="BJ616" s="458">
        <v>0.10518420192589151</v>
      </c>
      <c r="BK616" s="477">
        <v>90037369.142224759</v>
      </c>
      <c r="BL616" s="458">
        <v>0.27354098009256611</v>
      </c>
      <c r="BM616" s="468">
        <v>11.487850528436633</v>
      </c>
    </row>
    <row r="617" spans="12:65" x14ac:dyDescent="0.3">
      <c r="L617" s="427">
        <v>8249790.2253999999</v>
      </c>
      <c r="BE617" s="477">
        <v>4458764.942591764</v>
      </c>
      <c r="BF617" s="458">
        <v>3.3512671104374947E-2</v>
      </c>
      <c r="BG617" s="477">
        <v>3926022.0576861636</v>
      </c>
      <c r="BH617" s="458">
        <v>6.881658218816411E-2</v>
      </c>
      <c r="BI617" s="477">
        <v>20052200.112855293</v>
      </c>
      <c r="BJ617" s="458">
        <v>8.4519635533143456E-2</v>
      </c>
      <c r="BK617" s="477">
        <v>92645144.655153364</v>
      </c>
      <c r="BL617" s="458">
        <v>0.25445692721082591</v>
      </c>
      <c r="BM617" s="468">
        <v>8.4102671959383031</v>
      </c>
    </row>
    <row r="618" spans="12:65" x14ac:dyDescent="0.3">
      <c r="L618" s="427">
        <v>-10879967.9299</v>
      </c>
      <c r="BE618" s="477">
        <v>8697143.8050453365</v>
      </c>
      <c r="BF618" s="458">
        <v>4.123353388829476E-2</v>
      </c>
      <c r="BG618" s="477">
        <v>6904753.6147863166</v>
      </c>
      <c r="BH618" s="458">
        <v>6.6134113546832518E-2</v>
      </c>
      <c r="BI618" s="477">
        <v>13702634.887899438</v>
      </c>
      <c r="BJ618" s="458">
        <v>7.590402195465451E-2</v>
      </c>
      <c r="BK618" s="477">
        <v>109333177.40132473</v>
      </c>
      <c r="BL618" s="458">
        <v>0.29814633501924503</v>
      </c>
      <c r="BM618" s="468">
        <v>16.313816523472184</v>
      </c>
    </row>
    <row r="619" spans="12:65" x14ac:dyDescent="0.3">
      <c r="L619" s="427">
        <v>7167028.1014</v>
      </c>
      <c r="BE619" s="477">
        <v>4377514.6681811064</v>
      </c>
      <c r="BF619" s="458">
        <v>6.4514476077945693E-2</v>
      </c>
      <c r="BG619" s="477">
        <v>5037288.614301865</v>
      </c>
      <c r="BH619" s="458">
        <v>7.9196559043425596E-2</v>
      </c>
      <c r="BI619" s="477">
        <v>19992954.133309584</v>
      </c>
      <c r="BJ619" s="458">
        <v>0.10774455951357598</v>
      </c>
      <c r="BK619" s="477">
        <v>89868405.384735286</v>
      </c>
      <c r="BL619" s="458">
        <v>0.26156979014825588</v>
      </c>
      <c r="BM619" s="468">
        <v>8.9697019747703735</v>
      </c>
    </row>
    <row r="620" spans="12:65" x14ac:dyDescent="0.3">
      <c r="L620" s="427">
        <v>1798308.7919000001</v>
      </c>
      <c r="BE620" s="477">
        <v>3441997.9566844716</v>
      </c>
      <c r="BF620" s="458">
        <v>4.8061559023488742E-2</v>
      </c>
      <c r="BG620" s="477">
        <v>5791123.0105970986</v>
      </c>
      <c r="BH620" s="458">
        <v>9.0261261822388361E-2</v>
      </c>
      <c r="BI620" s="477">
        <v>11276119.179832431</v>
      </c>
      <c r="BJ620" s="458">
        <v>9.6163471240237497E-2</v>
      </c>
      <c r="BK620" s="477">
        <v>86840541.413648054</v>
      </c>
      <c r="BL620" s="458">
        <v>0.29496010953580409</v>
      </c>
      <c r="BM620" s="468">
        <v>2.6460950766690869</v>
      </c>
    </row>
    <row r="621" spans="12:65" x14ac:dyDescent="0.3">
      <c r="L621" s="427">
        <v>-867681.16379999998</v>
      </c>
      <c r="BE621" s="477">
        <v>2400949.7118736962</v>
      </c>
      <c r="BF621" s="458">
        <v>3.3586740093583867E-2</v>
      </c>
      <c r="BG621" s="477">
        <v>3743078.7304967237</v>
      </c>
      <c r="BH621" s="458">
        <v>7.2509201718825356E-2</v>
      </c>
      <c r="BI621" s="477">
        <v>15459058.835572455</v>
      </c>
      <c r="BJ621" s="458">
        <v>0.10060941404781398</v>
      </c>
      <c r="BK621" s="477">
        <v>78992230.273828998</v>
      </c>
      <c r="BL621" s="458">
        <v>0.24661166852024197</v>
      </c>
      <c r="BM621" s="468">
        <v>11.427572674166871</v>
      </c>
    </row>
    <row r="622" spans="12:65" x14ac:dyDescent="0.3">
      <c r="L622" s="427">
        <v>10202326.445800001</v>
      </c>
      <c r="BE622" s="477">
        <v>6437490.0483563216</v>
      </c>
      <c r="BF622" s="458">
        <v>4.7683084873868076E-2</v>
      </c>
      <c r="BG622" s="477">
        <v>9012114.6807283387</v>
      </c>
      <c r="BH622" s="458">
        <v>5.0094842777760773E-2</v>
      </c>
      <c r="BI622" s="477">
        <v>16772272.860372012</v>
      </c>
      <c r="BJ622" s="458">
        <v>0.13435974349086943</v>
      </c>
      <c r="BK622" s="477">
        <v>101538710.83021553</v>
      </c>
      <c r="BL622" s="458">
        <v>0.27996615891328958</v>
      </c>
      <c r="BM622" s="468">
        <v>6.7755099257503684</v>
      </c>
    </row>
    <row r="623" spans="12:65" x14ac:dyDescent="0.3">
      <c r="L623" s="427">
        <v>11910164.2619</v>
      </c>
      <c r="BE623" s="477">
        <v>6662675.3192880042</v>
      </c>
      <c r="BF623" s="458">
        <v>3.3036029695730162E-2</v>
      </c>
      <c r="BG623" s="477">
        <v>6350621.7775353333</v>
      </c>
      <c r="BH623" s="458">
        <v>5.1540172724982458E-2</v>
      </c>
      <c r="BI623" s="477">
        <v>17268151.720339518</v>
      </c>
      <c r="BJ623" s="458">
        <v>0.10606920146580001</v>
      </c>
      <c r="BK623" s="477">
        <v>82869962.247617632</v>
      </c>
      <c r="BL623" s="458">
        <v>0.27886267604096204</v>
      </c>
      <c r="BM623" s="468">
        <v>8.2566164763861227</v>
      </c>
    </row>
    <row r="624" spans="12:65" x14ac:dyDescent="0.3">
      <c r="L624" s="427">
        <v>28843833.635899998</v>
      </c>
      <c r="BE624" s="477">
        <v>5394405.8571809102</v>
      </c>
      <c r="BF624" s="458">
        <v>7.6821078012611288E-2</v>
      </c>
      <c r="BG624" s="477">
        <v>14842943.847453715</v>
      </c>
      <c r="BH624" s="458">
        <v>8.2251205218787593E-2</v>
      </c>
      <c r="BI624" s="477">
        <v>19156569.842067268</v>
      </c>
      <c r="BJ624" s="458">
        <v>9.9629064366715703E-2</v>
      </c>
      <c r="BK624" s="477">
        <v>92747932.997231886</v>
      </c>
      <c r="BL624" s="458">
        <v>0.30109254605379188</v>
      </c>
      <c r="BM624" s="468">
        <v>9.6761591242587883</v>
      </c>
    </row>
    <row r="625" spans="12:65" x14ac:dyDescent="0.3">
      <c r="L625" s="427">
        <v>84914.614100000006</v>
      </c>
      <c r="BE625" s="477">
        <v>6375283.3096813373</v>
      </c>
      <c r="BF625" s="458">
        <v>5.5721038346132401E-2</v>
      </c>
      <c r="BG625" s="477">
        <v>6932747.8804348344</v>
      </c>
      <c r="BH625" s="458">
        <v>7.1115203504387381E-2</v>
      </c>
      <c r="BI625" s="477">
        <v>9082339.3087689616</v>
      </c>
      <c r="BJ625" s="458">
        <v>9.0929846348916987E-2</v>
      </c>
      <c r="BK625" s="477">
        <v>84294678.824823782</v>
      </c>
      <c r="BL625" s="458">
        <v>0.27790739386151153</v>
      </c>
      <c r="BM625" s="468">
        <v>5.4203196008653531</v>
      </c>
    </row>
    <row r="626" spans="12:65" x14ac:dyDescent="0.3">
      <c r="L626" s="427">
        <v>623598.68559999997</v>
      </c>
      <c r="BE626" s="477">
        <v>2366348.6021408015</v>
      </c>
      <c r="BF626" s="458">
        <v>3.4363363330541574E-2</v>
      </c>
      <c r="BG626" s="477">
        <v>9423189.6316205189</v>
      </c>
      <c r="BH626" s="458">
        <v>5.9486432286254498E-2</v>
      </c>
      <c r="BI626" s="477">
        <v>17026662.008690044</v>
      </c>
      <c r="BJ626" s="458">
        <v>9.4210128551987848E-2</v>
      </c>
      <c r="BK626" s="477">
        <v>99714030.814685434</v>
      </c>
      <c r="BL626" s="458">
        <v>0.26493737265403694</v>
      </c>
      <c r="BM626" s="468">
        <v>15.597738461323956</v>
      </c>
    </row>
    <row r="627" spans="12:65" x14ac:dyDescent="0.3">
      <c r="L627" s="427">
        <v>23173285.450399999</v>
      </c>
      <c r="BE627" s="477">
        <v>5820787.7535163863</v>
      </c>
      <c r="BF627" s="458">
        <v>4.5526474881966816E-2</v>
      </c>
      <c r="BG627" s="477">
        <v>11404751.882504936</v>
      </c>
      <c r="BH627" s="458">
        <v>6.1670763954912111E-2</v>
      </c>
      <c r="BI627" s="477">
        <v>15406902.429819021</v>
      </c>
      <c r="BJ627" s="458">
        <v>0.10557535905875337</v>
      </c>
      <c r="BK627" s="477">
        <v>93417837.401845545</v>
      </c>
      <c r="BL627" s="458">
        <v>0.2728002530017255</v>
      </c>
      <c r="BM627" s="468">
        <v>11.335383566070648</v>
      </c>
    </row>
    <row r="628" spans="12:65" x14ac:dyDescent="0.3">
      <c r="L628" s="427">
        <v>8690031.9527000003</v>
      </c>
      <c r="BE628" s="477">
        <v>3260344.7733826954</v>
      </c>
      <c r="BF628" s="458">
        <v>3.7124796697911355E-2</v>
      </c>
      <c r="BG628" s="477">
        <v>11470908.497133773</v>
      </c>
      <c r="BH628" s="458">
        <v>6.8946924803325649E-2</v>
      </c>
      <c r="BI628" s="477">
        <v>10756539.673985647</v>
      </c>
      <c r="BJ628" s="458">
        <v>9.0260701104714292E-2</v>
      </c>
      <c r="BK628" s="477">
        <v>94821867.933193266</v>
      </c>
      <c r="BL628" s="458">
        <v>0.27285427300720477</v>
      </c>
      <c r="BM628" s="468">
        <v>10.613757551623383</v>
      </c>
    </row>
    <row r="629" spans="12:65" x14ac:dyDescent="0.3">
      <c r="L629" s="427">
        <v>-13913274.0294</v>
      </c>
      <c r="BE629" s="477">
        <v>3315594.6738610482</v>
      </c>
      <c r="BF629" s="458">
        <v>7.3152809164525268E-2</v>
      </c>
      <c r="BG629" s="477">
        <v>11397348.000889309</v>
      </c>
      <c r="BH629" s="458">
        <v>4.1785538134616607E-2</v>
      </c>
      <c r="BI629" s="477">
        <v>23992182.808419097</v>
      </c>
      <c r="BJ629" s="458">
        <v>0.15259127438094455</v>
      </c>
      <c r="BK629" s="477">
        <v>66037074.419986054</v>
      </c>
      <c r="BL629" s="458">
        <v>0.26250205148620709</v>
      </c>
      <c r="BM629" s="468">
        <v>4.0629465153845912</v>
      </c>
    </row>
    <row r="630" spans="12:65" x14ac:dyDescent="0.3">
      <c r="L630" s="427">
        <v>2370498.5989999999</v>
      </c>
      <c r="BE630" s="477">
        <v>11024709.876104081</v>
      </c>
      <c r="BF630" s="458">
        <v>4.0329556530225963E-2</v>
      </c>
      <c r="BG630" s="477">
        <v>9181070.1589433793</v>
      </c>
      <c r="BH630" s="458">
        <v>8.6061527225305356E-2</v>
      </c>
      <c r="BI630" s="477">
        <v>24552556.751313545</v>
      </c>
      <c r="BJ630" s="458">
        <v>0.10931183020225155</v>
      </c>
      <c r="BK630" s="477">
        <v>90489819.356502369</v>
      </c>
      <c r="BL630" s="458">
        <v>0.2683517168734102</v>
      </c>
      <c r="BM630" s="468">
        <v>11.07166138520722</v>
      </c>
    </row>
    <row r="631" spans="12:65" x14ac:dyDescent="0.3">
      <c r="L631" s="427">
        <v>17889146.918200001</v>
      </c>
      <c r="BE631" s="477">
        <v>8954200.325577965</v>
      </c>
      <c r="BF631" s="458">
        <v>6.0439645679112086E-2</v>
      </c>
      <c r="BG631" s="477">
        <v>1923344.471612582</v>
      </c>
      <c r="BH631" s="458">
        <v>7.2079380416873784E-2</v>
      </c>
      <c r="BI631" s="477">
        <v>18857803.662620131</v>
      </c>
      <c r="BJ631" s="458">
        <v>0.12428047992281166</v>
      </c>
      <c r="BK631" s="477">
        <v>80001375.342322156</v>
      </c>
      <c r="BL631" s="458">
        <v>0.26281301441154348</v>
      </c>
      <c r="BM631" s="468">
        <v>7.0967129469644679</v>
      </c>
    </row>
    <row r="632" spans="12:65" x14ac:dyDescent="0.3">
      <c r="L632" s="427">
        <v>20086593.508099999</v>
      </c>
      <c r="BE632" s="477">
        <v>4168828.9101518006</v>
      </c>
      <c r="BF632" s="458">
        <v>3.6806489347879889E-2</v>
      </c>
      <c r="BG632" s="477">
        <v>7299861.7861389453</v>
      </c>
      <c r="BH632" s="458">
        <v>7.1554439736970954E-2</v>
      </c>
      <c r="BI632" s="477">
        <v>22316778.424838476</v>
      </c>
      <c r="BJ632" s="458">
        <v>0.11242498495939324</v>
      </c>
      <c r="BK632" s="477">
        <v>76637025.672176152</v>
      </c>
      <c r="BL632" s="458">
        <v>0.2698890976128363</v>
      </c>
      <c r="BM632" s="468">
        <v>10.235142279404688</v>
      </c>
    </row>
    <row r="633" spans="12:65" x14ac:dyDescent="0.3">
      <c r="L633" s="427">
        <v>13478772.165200001</v>
      </c>
      <c r="BE633" s="477">
        <v>6719259.5912253568</v>
      </c>
      <c r="BF633" s="458">
        <v>5.263911847017444E-2</v>
      </c>
      <c r="BG633" s="477">
        <v>3012525.390740355</v>
      </c>
      <c r="BH633" s="458">
        <v>5.5491756443761364E-2</v>
      </c>
      <c r="BI633" s="477">
        <v>15531949.646354087</v>
      </c>
      <c r="BJ633" s="458">
        <v>8.4645522639227755E-2</v>
      </c>
      <c r="BK633" s="477">
        <v>104499513.57739022</v>
      </c>
      <c r="BL633" s="458">
        <v>0.27928361932702073</v>
      </c>
      <c r="BM633" s="468">
        <v>14.969688961644589</v>
      </c>
    </row>
    <row r="634" spans="12:65" x14ac:dyDescent="0.3">
      <c r="L634" s="427">
        <v>3903152.8536999999</v>
      </c>
      <c r="BE634" s="477">
        <v>7227771.8232057067</v>
      </c>
      <c r="BF634" s="458">
        <v>4.4799488894481376E-2</v>
      </c>
      <c r="BG634" s="477">
        <v>12643702.568402156</v>
      </c>
      <c r="BH634" s="458">
        <v>5.1257007099678731E-2</v>
      </c>
      <c r="BI634" s="477">
        <v>17549426.038434591</v>
      </c>
      <c r="BJ634" s="458">
        <v>0.11457781977366421</v>
      </c>
      <c r="BK634" s="477">
        <v>91836131.410199299</v>
      </c>
      <c r="BL634" s="458">
        <v>0.25595817928679931</v>
      </c>
      <c r="BM634" s="468">
        <v>6.4219639960947887</v>
      </c>
    </row>
    <row r="635" spans="12:65" x14ac:dyDescent="0.3">
      <c r="L635" s="427">
        <v>15861116.3824</v>
      </c>
      <c r="BE635" s="477">
        <v>3377264.2867542622</v>
      </c>
      <c r="BF635" s="458">
        <v>3.3162645102501775E-2</v>
      </c>
      <c r="BG635" s="477">
        <v>18262131.037052475</v>
      </c>
      <c r="BH635" s="458">
        <v>5.8152928686517447E-2</v>
      </c>
      <c r="BI635" s="477">
        <v>18960653.750345659</v>
      </c>
      <c r="BJ635" s="458">
        <v>0.1158685380014508</v>
      </c>
      <c r="BK635" s="477">
        <v>97098341.441159233</v>
      </c>
      <c r="BL635" s="458">
        <v>0.25510569525797355</v>
      </c>
      <c r="BM635" s="468">
        <v>8.4863539766508413</v>
      </c>
    </row>
    <row r="636" spans="12:65" x14ac:dyDescent="0.3">
      <c r="L636" s="427">
        <v>2246983.5339000002</v>
      </c>
      <c r="BE636" s="477">
        <v>4596233.9638607679</v>
      </c>
      <c r="BF636" s="458">
        <v>5.9521495387417911E-2</v>
      </c>
      <c r="BG636" s="477">
        <v>11721935.134528384</v>
      </c>
      <c r="BH636" s="458">
        <v>6.0552351177136865E-2</v>
      </c>
      <c r="BI636" s="477">
        <v>9898922.0188133065</v>
      </c>
      <c r="BJ636" s="458">
        <v>6.2386871503303798E-2</v>
      </c>
      <c r="BK636" s="477">
        <v>78459107.864705741</v>
      </c>
      <c r="BL636" s="458">
        <v>0.26033604871969596</v>
      </c>
      <c r="BM636" s="468">
        <v>4.7027017088983811</v>
      </c>
    </row>
    <row r="637" spans="12:65" x14ac:dyDescent="0.3">
      <c r="L637" s="427">
        <v>3178293.3125999998</v>
      </c>
      <c r="BE637" s="477">
        <v>3416186.130977775</v>
      </c>
      <c r="BF637" s="458">
        <v>4.9045423921580289E-2</v>
      </c>
      <c r="BG637" s="477">
        <v>11123484.758712929</v>
      </c>
      <c r="BH637" s="458">
        <v>5.8513994484606258E-2</v>
      </c>
      <c r="BI637" s="477">
        <v>13200716.268875729</v>
      </c>
      <c r="BJ637" s="458">
        <v>0.13375186321564514</v>
      </c>
      <c r="BK637" s="477">
        <v>94695455.869395345</v>
      </c>
      <c r="BL637" s="458">
        <v>0.29544777752867701</v>
      </c>
      <c r="BM637" s="468">
        <v>6.5496951791483671</v>
      </c>
    </row>
    <row r="638" spans="12:65" x14ac:dyDescent="0.3">
      <c r="L638" s="427">
        <v>11944228.6523</v>
      </c>
      <c r="BE638" s="477">
        <v>36932.112923400142</v>
      </c>
      <c r="BF638" s="458">
        <v>6.0585707699197577E-2</v>
      </c>
      <c r="BG638" s="477">
        <v>9641186.6756209359</v>
      </c>
      <c r="BH638" s="458">
        <v>7.2601819518880895E-2</v>
      </c>
      <c r="BI638" s="477">
        <v>12548713.951674446</v>
      </c>
      <c r="BJ638" s="458">
        <v>0.12502029773518819</v>
      </c>
      <c r="BK638" s="477">
        <v>70155065.218625784</v>
      </c>
      <c r="BL638" s="458">
        <v>0.26345373483699963</v>
      </c>
      <c r="BM638" s="468">
        <v>6.4103025059136076</v>
      </c>
    </row>
    <row r="639" spans="12:65" x14ac:dyDescent="0.3">
      <c r="L639" s="427">
        <v>9453123.8299000002</v>
      </c>
      <c r="BE639" s="477">
        <v>5512068.0206061024</v>
      </c>
      <c r="BF639" s="458">
        <v>3.7061411963645652E-2</v>
      </c>
      <c r="BG639" s="477">
        <v>8950906.9684232157</v>
      </c>
      <c r="BH639" s="458">
        <v>3.6235193630502982E-2</v>
      </c>
      <c r="BI639" s="477">
        <v>11943991.712889774</v>
      </c>
      <c r="BJ639" s="458">
        <v>8.87825781233893E-2</v>
      </c>
      <c r="BK639" s="477">
        <v>94522196.218937173</v>
      </c>
      <c r="BL639" s="458">
        <v>0.26262960025669657</v>
      </c>
      <c r="BM639" s="468">
        <v>6.8692510583899207</v>
      </c>
    </row>
    <row r="640" spans="12:65" x14ac:dyDescent="0.3">
      <c r="L640" s="427">
        <v>2009601.6525999999</v>
      </c>
      <c r="BE640" s="477">
        <v>2378273.3851704006</v>
      </c>
      <c r="BF640" s="458">
        <v>3.48201098698524E-2</v>
      </c>
      <c r="BG640" s="477">
        <v>14021207.474183101</v>
      </c>
      <c r="BH640" s="458">
        <v>8.0899806737236402E-2</v>
      </c>
      <c r="BI640" s="477">
        <v>19886218.508621413</v>
      </c>
      <c r="BJ640" s="458">
        <v>9.7101534156768254E-2</v>
      </c>
      <c r="BK640" s="477">
        <v>87923277.701494515</v>
      </c>
      <c r="BL640" s="458">
        <v>0.28023442715140257</v>
      </c>
      <c r="BM640" s="468">
        <v>7.1561177585287581</v>
      </c>
    </row>
    <row r="641" spans="12:65" x14ac:dyDescent="0.3">
      <c r="L641" s="427">
        <v>10999373.021</v>
      </c>
      <c r="BE641" s="477">
        <v>9419908.9224667996</v>
      </c>
      <c r="BF641" s="458">
        <v>6.2286936509380331E-2</v>
      </c>
      <c r="BG641" s="477">
        <v>4841003.5132799326</v>
      </c>
      <c r="BH641" s="458">
        <v>5.989599954037983E-2</v>
      </c>
      <c r="BI641" s="477">
        <v>13909508.695744185</v>
      </c>
      <c r="BJ641" s="458">
        <v>8.9549150810632083E-2</v>
      </c>
      <c r="BK641" s="477">
        <v>89325289.3764036</v>
      </c>
      <c r="BL641" s="458">
        <v>0.25772286025039959</v>
      </c>
      <c r="BM641" s="468">
        <v>7.3349137613958479</v>
      </c>
    </row>
    <row r="642" spans="12:65" x14ac:dyDescent="0.3">
      <c r="L642" s="427">
        <v>9350357.7627000008</v>
      </c>
      <c r="BE642" s="477">
        <v>4132629.3584966748</v>
      </c>
      <c r="BF642" s="458">
        <v>5.7190946781175978E-2</v>
      </c>
      <c r="BG642" s="477">
        <v>8474191.1715590414</v>
      </c>
      <c r="BH642" s="458">
        <v>5.5917732286929978E-2</v>
      </c>
      <c r="BI642" s="477">
        <v>17624772.258950125</v>
      </c>
      <c r="BJ642" s="458">
        <v>7.0589192275090529E-2</v>
      </c>
      <c r="BK642" s="477">
        <v>83470607.860770822</v>
      </c>
      <c r="BL642" s="458">
        <v>0.28115371003415124</v>
      </c>
      <c r="BM642" s="468">
        <v>9.9127493978807486</v>
      </c>
    </row>
    <row r="643" spans="12:65" x14ac:dyDescent="0.3">
      <c r="L643" s="427">
        <v>7239591.6195999999</v>
      </c>
      <c r="BE643" s="477">
        <v>9044110.0163895581</v>
      </c>
      <c r="BF643" s="458">
        <v>1.6808600967053389E-2</v>
      </c>
      <c r="BG643" s="477">
        <v>17399855.953979377</v>
      </c>
      <c r="BH643" s="458">
        <v>5.6954842696201435E-2</v>
      </c>
      <c r="BI643" s="477">
        <v>20475603.364577897</v>
      </c>
      <c r="BJ643" s="458">
        <v>0.11033461663580213</v>
      </c>
      <c r="BK643" s="477">
        <v>88599050.191609949</v>
      </c>
      <c r="BL643" s="458">
        <v>0.27194434133707124</v>
      </c>
      <c r="BM643" s="468">
        <v>12.651709384444185</v>
      </c>
    </row>
    <row r="644" spans="12:65" x14ac:dyDescent="0.3">
      <c r="L644" s="427">
        <v>11692402.283</v>
      </c>
      <c r="BE644" s="477">
        <v>2263533.9142144974</v>
      </c>
      <c r="BF644" s="458">
        <v>4.3682001568965623E-2</v>
      </c>
      <c r="BG644" s="477">
        <v>9254103.7602700219</v>
      </c>
      <c r="BH644" s="458">
        <v>5.9635964995421453E-2</v>
      </c>
      <c r="BI644" s="477">
        <v>23481875.229044862</v>
      </c>
      <c r="BJ644" s="458">
        <v>8.8710600169344955E-2</v>
      </c>
      <c r="BK644" s="477">
        <v>92433994.373704925</v>
      </c>
      <c r="BL644" s="458">
        <v>0.25508175773456898</v>
      </c>
      <c r="BM644" s="468">
        <v>17.842394152290812</v>
      </c>
    </row>
    <row r="645" spans="12:65" x14ac:dyDescent="0.3">
      <c r="L645" s="427">
        <v>7322829.5360000003</v>
      </c>
      <c r="BE645" s="477">
        <v>2573999.5011226861</v>
      </c>
      <c r="BF645" s="458">
        <v>2.6153818482696378E-2</v>
      </c>
      <c r="BG645" s="477">
        <v>9638211.887055479</v>
      </c>
      <c r="BH645" s="458">
        <v>3.9567142099108832E-2</v>
      </c>
      <c r="BI645" s="477">
        <v>20651798.209214214</v>
      </c>
      <c r="BJ645" s="458">
        <v>0.1184723599840467</v>
      </c>
      <c r="BK645" s="477">
        <v>78054933.052195206</v>
      </c>
      <c r="BL645" s="458">
        <v>0.28275373351777788</v>
      </c>
      <c r="BM645" s="468">
        <v>14.570033865721497</v>
      </c>
    </row>
    <row r="646" spans="12:65" x14ac:dyDescent="0.3">
      <c r="L646" s="427">
        <v>9659795.3531999998</v>
      </c>
      <c r="BE646" s="477">
        <v>1522803.111910664</v>
      </c>
      <c r="BF646" s="458">
        <v>3.9319273901424978E-2</v>
      </c>
      <c r="BG646" s="477">
        <v>7980087.786848519</v>
      </c>
      <c r="BH646" s="458">
        <v>5.7153899860426849E-2</v>
      </c>
      <c r="BI646" s="477">
        <v>15419297.318228291</v>
      </c>
      <c r="BJ646" s="458">
        <v>0.10301163038171279</v>
      </c>
      <c r="BK646" s="477">
        <v>84547453.838070273</v>
      </c>
      <c r="BL646" s="458">
        <v>0.26101044303556376</v>
      </c>
      <c r="BM646" s="468">
        <v>3.9974919089171763</v>
      </c>
    </row>
    <row r="647" spans="12:65" x14ac:dyDescent="0.3">
      <c r="L647" s="427">
        <v>19859954.6252</v>
      </c>
      <c r="BE647" s="477">
        <v>3156776.6961195259</v>
      </c>
      <c r="BF647" s="458">
        <v>3.0015075136397895E-2</v>
      </c>
      <c r="BG647" s="477">
        <v>10988752.458950991</v>
      </c>
      <c r="BH647" s="458">
        <v>5.1771977000023783E-2</v>
      </c>
      <c r="BI647" s="477">
        <v>11941522.16106116</v>
      </c>
      <c r="BJ647" s="458">
        <v>9.5828631268839226E-2</v>
      </c>
      <c r="BK647" s="477">
        <v>84552200.160387382</v>
      </c>
      <c r="BL647" s="458">
        <v>0.28766859607766171</v>
      </c>
      <c r="BM647" s="468">
        <v>11.230081665125605</v>
      </c>
    </row>
    <row r="648" spans="12:65" x14ac:dyDescent="0.3">
      <c r="L648" s="427">
        <v>14930321.253900001</v>
      </c>
      <c r="BE648" s="477">
        <v>2023468.4311274395</v>
      </c>
      <c r="BF648" s="458">
        <v>6.4832297216588008E-2</v>
      </c>
      <c r="BG648" s="477">
        <v>12749291.981991077</v>
      </c>
      <c r="BH648" s="458">
        <v>4.0178134977219671E-2</v>
      </c>
      <c r="BI648" s="477">
        <v>12655683.064067233</v>
      </c>
      <c r="BJ648" s="458">
        <v>9.0586029021750392E-2</v>
      </c>
      <c r="BK648" s="477">
        <v>82887661.062627658</v>
      </c>
      <c r="BL648" s="458">
        <v>0.26160851866377666</v>
      </c>
      <c r="BM648" s="468">
        <v>14.174815099603514</v>
      </c>
    </row>
    <row r="649" spans="12:65" x14ac:dyDescent="0.3">
      <c r="L649" s="427">
        <v>4048316.8010999998</v>
      </c>
      <c r="BE649" s="477">
        <v>11263440.604267566</v>
      </c>
      <c r="BF649" s="458">
        <v>4.9469715457037378E-2</v>
      </c>
      <c r="BG649" s="477">
        <v>9040253.8686684128</v>
      </c>
      <c r="BH649" s="458">
        <v>5.3282278630289781E-2</v>
      </c>
      <c r="BI649" s="477">
        <v>18367253.248605333</v>
      </c>
      <c r="BJ649" s="458">
        <v>0.13630167456124065</v>
      </c>
      <c r="BK649" s="477">
        <v>84688882.597395495</v>
      </c>
      <c r="BL649" s="458">
        <v>0.26919573314166234</v>
      </c>
      <c r="BM649" s="468">
        <v>11.370826473291135</v>
      </c>
    </row>
    <row r="650" spans="12:65" x14ac:dyDescent="0.3">
      <c r="L650" s="427">
        <v>5569823.3208999997</v>
      </c>
      <c r="BE650" s="477">
        <v>9201151.5036307611</v>
      </c>
      <c r="BF650" s="458">
        <v>2.8724948191267918E-2</v>
      </c>
      <c r="BG650" s="477">
        <v>10337608.120183418</v>
      </c>
      <c r="BH650" s="458">
        <v>9.3242766865157423E-2</v>
      </c>
      <c r="BI650" s="477">
        <v>12518385.151290849</v>
      </c>
      <c r="BJ650" s="458">
        <v>0.10559228642004093</v>
      </c>
      <c r="BK650" s="477">
        <v>80952841.404883593</v>
      </c>
      <c r="BL650" s="458">
        <v>0.26750941071876588</v>
      </c>
      <c r="BM650" s="468">
        <v>3.9466530667065589</v>
      </c>
    </row>
    <row r="651" spans="12:65" x14ac:dyDescent="0.3">
      <c r="L651" s="427">
        <v>21567701.264600001</v>
      </c>
      <c r="BE651" s="477">
        <v>7814304.0325392177</v>
      </c>
      <c r="BF651" s="458">
        <v>3.8442631851772768E-2</v>
      </c>
      <c r="BG651" s="477">
        <v>6548181.4536654204</v>
      </c>
      <c r="BH651" s="458">
        <v>4.4993045696757994E-2</v>
      </c>
      <c r="BI651" s="477">
        <v>13189191.662712298</v>
      </c>
      <c r="BJ651" s="458">
        <v>9.713534971072102E-2</v>
      </c>
      <c r="BK651" s="477">
        <v>73963873.821025804</v>
      </c>
      <c r="BL651" s="458">
        <v>0.25279470075697108</v>
      </c>
      <c r="BM651" s="468">
        <v>8.0599182972929935</v>
      </c>
    </row>
    <row r="652" spans="12:65" x14ac:dyDescent="0.3">
      <c r="L652" s="427">
        <v>10896463.557</v>
      </c>
      <c r="BE652" s="477">
        <v>3510448.5153379967</v>
      </c>
      <c r="BF652" s="458">
        <v>6.892831419063028E-2</v>
      </c>
      <c r="BG652" s="477">
        <v>10930855.763892967</v>
      </c>
      <c r="BH652" s="458">
        <v>3.7503314990352532E-2</v>
      </c>
      <c r="BI652" s="477">
        <v>5522122.9116796348</v>
      </c>
      <c r="BJ652" s="458">
        <v>0.20066331565597473</v>
      </c>
      <c r="BK652" s="477">
        <v>96987848.775719598</v>
      </c>
      <c r="BL652" s="458">
        <v>0.27850161072453106</v>
      </c>
      <c r="BM652" s="468">
        <v>3.7939284244480138</v>
      </c>
    </row>
    <row r="653" spans="12:65" x14ac:dyDescent="0.3">
      <c r="L653" s="427">
        <v>13561676.077099999</v>
      </c>
      <c r="BE653" s="477">
        <v>8988869.1016639397</v>
      </c>
      <c r="BF653" s="458">
        <v>4.9401574487180522E-2</v>
      </c>
      <c r="BG653" s="477">
        <v>10811209.324653376</v>
      </c>
      <c r="BH653" s="458">
        <v>7.4970421414481736E-2</v>
      </c>
      <c r="BI653" s="477">
        <v>20847717.217340421</v>
      </c>
      <c r="BJ653" s="458">
        <v>0.13060822803311156</v>
      </c>
      <c r="BK653" s="477">
        <v>96254518.212410673</v>
      </c>
      <c r="BL653" s="458">
        <v>0.26776240917163152</v>
      </c>
      <c r="BM653" s="468">
        <v>9.9045063133060633</v>
      </c>
    </row>
    <row r="654" spans="12:65" x14ac:dyDescent="0.3">
      <c r="L654" s="427">
        <v>17547743.813000001</v>
      </c>
      <c r="BE654" s="477">
        <v>3828944.6948073427</v>
      </c>
      <c r="BF654" s="458">
        <v>2.3823680419742699E-2</v>
      </c>
      <c r="BG654" s="477">
        <v>9455829.0113639534</v>
      </c>
      <c r="BH654" s="458">
        <v>0.10599413654741219</v>
      </c>
      <c r="BI654" s="477">
        <v>20368118.153322306</v>
      </c>
      <c r="BJ654" s="458">
        <v>0.10114880802075921</v>
      </c>
      <c r="BK654" s="477">
        <v>87235122.795648694</v>
      </c>
      <c r="BL654" s="458">
        <v>0.3036707636650402</v>
      </c>
      <c r="BM654" s="468">
        <v>15.348391028819718</v>
      </c>
    </row>
    <row r="655" spans="12:65" x14ac:dyDescent="0.3">
      <c r="L655" s="427">
        <v>6129471.8327000001</v>
      </c>
      <c r="BE655" s="477">
        <v>3093355.6545986664</v>
      </c>
      <c r="BF655" s="458">
        <v>3.5046072582946675E-2</v>
      </c>
      <c r="BG655" s="477">
        <v>7988978.2987791374</v>
      </c>
      <c r="BH655" s="458">
        <v>8.583209769240252E-2</v>
      </c>
      <c r="BI655" s="477">
        <v>12936837.98206115</v>
      </c>
      <c r="BJ655" s="458">
        <v>9.9876082465945037E-2</v>
      </c>
      <c r="BK655" s="477">
        <v>74184311.472495854</v>
      </c>
      <c r="BL655" s="458">
        <v>0.26618737352273603</v>
      </c>
      <c r="BM655" s="468">
        <v>3.1738214735172852</v>
      </c>
    </row>
    <row r="656" spans="12:65" x14ac:dyDescent="0.3">
      <c r="L656" s="427">
        <v>7368778.0619999999</v>
      </c>
      <c r="BE656" s="477">
        <v>3790475.7134094378</v>
      </c>
      <c r="BF656" s="458">
        <v>0.12854031875579564</v>
      </c>
      <c r="BG656" s="477">
        <v>15508677.538334372</v>
      </c>
      <c r="BH656" s="458">
        <v>6.7602175119516827E-2</v>
      </c>
      <c r="BI656" s="477">
        <v>14403085.85814127</v>
      </c>
      <c r="BJ656" s="458">
        <v>0.11437946084266448</v>
      </c>
      <c r="BK656" s="477">
        <v>94525965.003316909</v>
      </c>
      <c r="BL656" s="458">
        <v>0.25851292393357483</v>
      </c>
      <c r="BM656" s="468">
        <v>8.5998346348060775</v>
      </c>
    </row>
    <row r="657" spans="12:65" x14ac:dyDescent="0.3">
      <c r="L657" s="427">
        <v>5682733.2993999999</v>
      </c>
      <c r="BE657" s="477">
        <v>2670110.7845192347</v>
      </c>
      <c r="BF657" s="458">
        <v>3.762092858595123E-2</v>
      </c>
      <c r="BG657" s="477">
        <v>12425439.763945647</v>
      </c>
      <c r="BH657" s="458">
        <v>8.2313368158718037E-2</v>
      </c>
      <c r="BI657" s="477">
        <v>21868797.78801078</v>
      </c>
      <c r="BJ657" s="458">
        <v>0.10524580391074112</v>
      </c>
      <c r="BK657" s="477">
        <v>85875753.0639081</v>
      </c>
      <c r="BL657" s="458">
        <v>0.31794222492093205</v>
      </c>
      <c r="BM657" s="468">
        <v>1.2115977506629658</v>
      </c>
    </row>
    <row r="658" spans="12:65" x14ac:dyDescent="0.3">
      <c r="L658" s="427">
        <v>16682503.029100001</v>
      </c>
      <c r="BE658" s="477">
        <v>3641150.9521113094</v>
      </c>
      <c r="BF658" s="458">
        <v>4.5342670246543371E-2</v>
      </c>
      <c r="BG658" s="477">
        <v>13087321.523968242</v>
      </c>
      <c r="BH658" s="458">
        <v>5.4097519274153294E-2</v>
      </c>
      <c r="BI658" s="477">
        <v>16705846.39879469</v>
      </c>
      <c r="BJ658" s="458">
        <v>0.10090902608398733</v>
      </c>
      <c r="BK658" s="477">
        <v>82672476.566134572</v>
      </c>
      <c r="BL658" s="458">
        <v>0.28910075199561724</v>
      </c>
      <c r="BM658" s="468">
        <v>10.56977176762992</v>
      </c>
    </row>
    <row r="659" spans="12:65" x14ac:dyDescent="0.3">
      <c r="L659" s="427">
        <v>-5153690.1182000004</v>
      </c>
      <c r="BE659" s="477">
        <v>1762400.4539609675</v>
      </c>
      <c r="BF659" s="458">
        <v>4.960761757807397E-2</v>
      </c>
      <c r="BG659" s="477">
        <v>7562848.1105969315</v>
      </c>
      <c r="BH659" s="458">
        <v>7.0399691886291471E-2</v>
      </c>
      <c r="BI659" s="477">
        <v>18185685.15035861</v>
      </c>
      <c r="BJ659" s="458">
        <v>0.1217801224626065</v>
      </c>
      <c r="BK659" s="477">
        <v>107200348.31526433</v>
      </c>
      <c r="BL659" s="458">
        <v>0.26306504425762034</v>
      </c>
      <c r="BM659" s="468">
        <v>4.0417938754716394</v>
      </c>
    </row>
    <row r="660" spans="12:65" x14ac:dyDescent="0.3">
      <c r="L660" s="427">
        <v>9178181.4288999997</v>
      </c>
      <c r="BE660" s="477">
        <v>1411654.4507399357</v>
      </c>
      <c r="BF660" s="458">
        <v>2.9185168880738521E-2</v>
      </c>
      <c r="BG660" s="477">
        <v>-606501.54608132865</v>
      </c>
      <c r="BH660" s="458">
        <v>6.0543417162171265E-2</v>
      </c>
      <c r="BI660" s="477">
        <v>23703943.521961939</v>
      </c>
      <c r="BJ660" s="458">
        <v>0.13193421464949728</v>
      </c>
      <c r="BK660" s="477">
        <v>81366294.716406628</v>
      </c>
      <c r="BL660" s="458">
        <v>0.25978489495723256</v>
      </c>
      <c r="BM660" s="468">
        <v>11.20162941970198</v>
      </c>
    </row>
    <row r="661" spans="12:65" x14ac:dyDescent="0.3">
      <c r="L661" s="427">
        <v>13948181.031500001</v>
      </c>
      <c r="BE661" s="477">
        <v>4539188.1774592102</v>
      </c>
      <c r="BF661" s="458">
        <v>5.2763162211449721E-2</v>
      </c>
      <c r="BG661" s="477">
        <v>5376060.3751183795</v>
      </c>
      <c r="BH661" s="458">
        <v>4.145529565041306E-2</v>
      </c>
      <c r="BI661" s="477">
        <v>26245117.915515404</v>
      </c>
      <c r="BJ661" s="458">
        <v>0.1309768426243243</v>
      </c>
      <c r="BK661" s="477">
        <v>93155871.782979995</v>
      </c>
      <c r="BL661" s="458">
        <v>0.26366847734101939</v>
      </c>
      <c r="BM661" s="468">
        <v>9.5954659609557833</v>
      </c>
    </row>
    <row r="662" spans="12:65" x14ac:dyDescent="0.3">
      <c r="L662" s="427">
        <v>19230736.712400001</v>
      </c>
      <c r="BE662" s="477">
        <v>7126784.4904471561</v>
      </c>
      <c r="BF662" s="458">
        <v>5.7375424344119796E-2</v>
      </c>
      <c r="BG662" s="477">
        <v>5782254.8233441021</v>
      </c>
      <c r="BH662" s="458">
        <v>7.6179881894774981E-2</v>
      </c>
      <c r="BI662" s="477">
        <v>15413686.375785613</v>
      </c>
      <c r="BJ662" s="458">
        <v>0.11659165859239273</v>
      </c>
      <c r="BK662" s="477">
        <v>82401077.343444601</v>
      </c>
      <c r="BL662" s="458">
        <v>0.2869653303419768</v>
      </c>
      <c r="BM662" s="468">
        <v>15.429092471684136</v>
      </c>
    </row>
    <row r="663" spans="12:65" x14ac:dyDescent="0.3">
      <c r="L663" s="427">
        <v>10746630.9506</v>
      </c>
      <c r="BE663" s="477">
        <v>4626977.4610618809</v>
      </c>
      <c r="BF663" s="458">
        <v>4.3269895680605686E-2</v>
      </c>
      <c r="BG663" s="477">
        <v>7601523.1733472785</v>
      </c>
      <c r="BH663" s="458">
        <v>6.0105223388258411E-2</v>
      </c>
      <c r="BI663" s="477">
        <v>21208243.169061553</v>
      </c>
      <c r="BJ663" s="458">
        <v>0.12820833023667122</v>
      </c>
      <c r="BK663" s="477">
        <v>88456215.333841547</v>
      </c>
      <c r="BL663" s="458">
        <v>0.2637594390660245</v>
      </c>
      <c r="BM663" s="468">
        <v>8.7290125534832548</v>
      </c>
    </row>
    <row r="664" spans="12:65" x14ac:dyDescent="0.3">
      <c r="L664" s="427">
        <v>-1592339.1407999999</v>
      </c>
      <c r="BE664" s="477">
        <v>5743193.9702168675</v>
      </c>
      <c r="BF664" s="458">
        <v>3.390573147029996E-2</v>
      </c>
      <c r="BG664" s="477">
        <v>9723936.2370562553</v>
      </c>
      <c r="BH664" s="458">
        <v>7.9055138995424601E-2</v>
      </c>
      <c r="BI664" s="477">
        <v>23185629.445678931</v>
      </c>
      <c r="BJ664" s="458">
        <v>0.10550633625733163</v>
      </c>
      <c r="BK664" s="477">
        <v>83499427.749610454</v>
      </c>
      <c r="BL664" s="458">
        <v>0.27555715129184266</v>
      </c>
      <c r="BM664" s="468">
        <v>7.4740976798778673</v>
      </c>
    </row>
    <row r="665" spans="12:65" x14ac:dyDescent="0.3">
      <c r="L665" s="427">
        <v>12763283.921599999</v>
      </c>
      <c r="BE665" s="477">
        <v>871163.12811800663</v>
      </c>
      <c r="BF665" s="458">
        <v>5.1939810904766182E-2</v>
      </c>
      <c r="BG665" s="477">
        <v>4220275.5983614465</v>
      </c>
      <c r="BH665" s="458">
        <v>6.2127643158140788E-2</v>
      </c>
      <c r="BI665" s="477">
        <v>24359315.690567367</v>
      </c>
      <c r="BJ665" s="458">
        <v>0.12155381657916053</v>
      </c>
      <c r="BK665" s="477">
        <v>90721854.012719929</v>
      </c>
      <c r="BL665" s="458">
        <v>0.28557694682555601</v>
      </c>
      <c r="BM665" s="468">
        <v>18.011079427779634</v>
      </c>
    </row>
    <row r="666" spans="12:65" x14ac:dyDescent="0.3">
      <c r="L666" s="427">
        <v>20971356.3627</v>
      </c>
      <c r="BE666" s="477">
        <v>6238703.3261405667</v>
      </c>
      <c r="BF666" s="458">
        <v>6.8967206549070958E-3</v>
      </c>
      <c r="BG666" s="477">
        <v>4671152.5300072506</v>
      </c>
      <c r="BH666" s="458">
        <v>6.7769509777801495E-2</v>
      </c>
      <c r="BI666" s="477">
        <v>15806703.543316616</v>
      </c>
      <c r="BJ666" s="458">
        <v>0.1200408225318208</v>
      </c>
      <c r="BK666" s="477">
        <v>83244976.66868332</v>
      </c>
      <c r="BL666" s="458">
        <v>0.27306245765223913</v>
      </c>
      <c r="BM666" s="468">
        <v>9.8946524530604645</v>
      </c>
    </row>
    <row r="667" spans="12:65" x14ac:dyDescent="0.3">
      <c r="L667" s="427">
        <v>-2385589.4493999998</v>
      </c>
      <c r="BE667" s="477">
        <v>5587294.8049763879</v>
      </c>
      <c r="BF667" s="458">
        <v>8.6833178316430448E-2</v>
      </c>
      <c r="BG667" s="477">
        <v>6262661.7648198819</v>
      </c>
      <c r="BH667" s="458">
        <v>6.4280131031559495E-2</v>
      </c>
      <c r="BI667" s="477">
        <v>12041890.732637715</v>
      </c>
      <c r="BJ667" s="458">
        <v>9.9660791334451604E-2</v>
      </c>
      <c r="BK667" s="477">
        <v>83507230.842427462</v>
      </c>
      <c r="BL667" s="458">
        <v>0.27562936334877697</v>
      </c>
      <c r="BM667" s="468">
        <v>9.8099924600831798</v>
      </c>
    </row>
    <row r="668" spans="12:65" x14ac:dyDescent="0.3">
      <c r="L668" s="427">
        <v>13148316.8477</v>
      </c>
      <c r="BE668" s="477">
        <v>5539742.8906901591</v>
      </c>
      <c r="BF668" s="458">
        <v>2.6201874399239822E-2</v>
      </c>
      <c r="BG668" s="477">
        <v>8075936.375496381</v>
      </c>
      <c r="BH668" s="458">
        <v>8.3428339205758206E-2</v>
      </c>
      <c r="BI668" s="477">
        <v>17179883.637558229</v>
      </c>
      <c r="BJ668" s="458">
        <v>0.11901564125795239</v>
      </c>
      <c r="BK668" s="477">
        <v>80132191.40458931</v>
      </c>
      <c r="BL668" s="458">
        <v>0.26799211308436544</v>
      </c>
      <c r="BM668" s="468">
        <v>9.3432408430672105</v>
      </c>
    </row>
    <row r="669" spans="12:65" x14ac:dyDescent="0.3">
      <c r="L669" s="427">
        <v>1120305.8452000001</v>
      </c>
      <c r="BE669" s="477">
        <v>2070336.8788671144</v>
      </c>
      <c r="BF669" s="458">
        <v>4.9848438816691321E-2</v>
      </c>
      <c r="BG669" s="477">
        <v>7973753.7670609578</v>
      </c>
      <c r="BH669" s="458">
        <v>0.12157793136464234</v>
      </c>
      <c r="BI669" s="477">
        <v>17701794.333517723</v>
      </c>
      <c r="BJ669" s="458">
        <v>0.11520049517064312</v>
      </c>
      <c r="BK669" s="477">
        <v>81846837.876642823</v>
      </c>
      <c r="BL669" s="458">
        <v>0.26215460872644636</v>
      </c>
      <c r="BM669" s="468">
        <v>3.4222908043666624</v>
      </c>
    </row>
    <row r="670" spans="12:65" x14ac:dyDescent="0.3">
      <c r="L670" s="427">
        <v>13716739.331499999</v>
      </c>
      <c r="BE670" s="477">
        <v>9137460.5461564083</v>
      </c>
      <c r="BF670" s="458">
        <v>2.7911440759582407E-2</v>
      </c>
      <c r="BG670" s="477">
        <v>16762408.280412223</v>
      </c>
      <c r="BH670" s="458">
        <v>6.808363044976895E-2</v>
      </c>
      <c r="BI670" s="477">
        <v>14007421.779748479</v>
      </c>
      <c r="BJ670" s="458">
        <v>0.10921821380005636</v>
      </c>
      <c r="BK670" s="477">
        <v>106851212.10894011</v>
      </c>
      <c r="BL670" s="458">
        <v>0.28212576532344547</v>
      </c>
      <c r="BM670" s="468">
        <v>5.7179536632977843</v>
      </c>
    </row>
    <row r="671" spans="12:65" x14ac:dyDescent="0.3">
      <c r="L671" s="427">
        <v>7570656.2878</v>
      </c>
      <c r="BE671" s="477">
        <v>5397241.822885925</v>
      </c>
      <c r="BF671" s="458">
        <v>2.4539427235975131E-2</v>
      </c>
      <c r="BG671" s="477">
        <v>7308348.7875630902</v>
      </c>
      <c r="BH671" s="458">
        <v>6.8797284206065124E-2</v>
      </c>
      <c r="BI671" s="477">
        <v>14031847.706923904</v>
      </c>
      <c r="BJ671" s="458">
        <v>0.11556824830835821</v>
      </c>
      <c r="BK671" s="477">
        <v>90085945.111607939</v>
      </c>
      <c r="BL671" s="458">
        <v>0.25812739947175434</v>
      </c>
      <c r="BM671" s="468">
        <v>9.8072831322848018</v>
      </c>
    </row>
    <row r="672" spans="12:65" x14ac:dyDescent="0.3">
      <c r="L672" s="427">
        <v>2189516.4926</v>
      </c>
      <c r="BE672" s="477">
        <v>1134410.9722212702</v>
      </c>
      <c r="BF672" s="458">
        <v>3.3029665634537242E-2</v>
      </c>
      <c r="BG672" s="477">
        <v>6422223.32922146</v>
      </c>
      <c r="BH672" s="458">
        <v>6.7320513916195868E-2</v>
      </c>
      <c r="BI672" s="477">
        <v>11866280.405799508</v>
      </c>
      <c r="BJ672" s="458">
        <v>9.2800069407937391E-2</v>
      </c>
      <c r="BK672" s="477">
        <v>96639951.250216395</v>
      </c>
      <c r="BL672" s="458">
        <v>0.28043488562693453</v>
      </c>
      <c r="BM672" s="468">
        <v>5.530716032974988</v>
      </c>
    </row>
    <row r="673" spans="12:65" x14ac:dyDescent="0.3">
      <c r="L673" s="427">
        <v>1265552.4210000001</v>
      </c>
      <c r="BE673" s="477">
        <v>5873619.810724807</v>
      </c>
      <c r="BF673" s="458">
        <v>3.4299717178346789E-2</v>
      </c>
      <c r="BG673" s="477">
        <v>5421373.3135816203</v>
      </c>
      <c r="BH673" s="458">
        <v>5.8499167552735543E-2</v>
      </c>
      <c r="BI673" s="477">
        <v>13021811.429131394</v>
      </c>
      <c r="BJ673" s="458">
        <v>9.1881636687103807E-2</v>
      </c>
      <c r="BK673" s="477">
        <v>87387317.111741617</v>
      </c>
      <c r="BL673" s="458">
        <v>0.28716136907072287</v>
      </c>
      <c r="BM673" s="468">
        <v>7.915279251174189</v>
      </c>
    </row>
    <row r="674" spans="12:65" x14ac:dyDescent="0.3">
      <c r="L674" s="427">
        <v>9076334.7192000002</v>
      </c>
      <c r="BE674" s="477">
        <v>8707532.9872912951</v>
      </c>
      <c r="BF674" s="458">
        <v>4.3167384487454274E-2</v>
      </c>
      <c r="BG674" s="477">
        <v>9940689.0661676005</v>
      </c>
      <c r="BH674" s="458">
        <v>9.5994581543686008E-2</v>
      </c>
      <c r="BI674" s="477">
        <v>16143646.9403536</v>
      </c>
      <c r="BJ674" s="458">
        <v>0.10835176445297856</v>
      </c>
      <c r="BK674" s="477">
        <v>74538369.17674078</v>
      </c>
      <c r="BL674" s="458">
        <v>0.24852112831270845</v>
      </c>
      <c r="BM674" s="468">
        <v>-0.93426423093387356</v>
      </c>
    </row>
    <row r="675" spans="12:65" x14ac:dyDescent="0.3">
      <c r="L675" s="427">
        <v>8353664.1962000001</v>
      </c>
      <c r="BE675" s="477">
        <v>1033056.1743118598</v>
      </c>
      <c r="BF675" s="458">
        <v>5.0669012836786598E-2</v>
      </c>
      <c r="BG675" s="477">
        <v>3399450.5706369849</v>
      </c>
      <c r="BH675" s="458">
        <v>6.9522978598263618E-2</v>
      </c>
      <c r="BI675" s="477">
        <v>16892052.334226266</v>
      </c>
      <c r="BJ675" s="458">
        <v>0.10682908407464087</v>
      </c>
      <c r="BK675" s="477">
        <v>87164180.968270853</v>
      </c>
      <c r="BL675" s="458">
        <v>0.27198217941374381</v>
      </c>
      <c r="BM675" s="468">
        <v>3.2506066121227102</v>
      </c>
    </row>
    <row r="676" spans="12:65" x14ac:dyDescent="0.3">
      <c r="L676" s="427">
        <v>5840319.1897</v>
      </c>
      <c r="BE676" s="477">
        <v>6016525.1430893438</v>
      </c>
      <c r="BF676" s="458">
        <v>3.800183640720034E-2</v>
      </c>
      <c r="BG676" s="477">
        <v>6765752.2184019331</v>
      </c>
      <c r="BH676" s="458">
        <v>7.2055265383454969E-2</v>
      </c>
      <c r="BI676" s="477">
        <v>14599839.363466604</v>
      </c>
      <c r="BJ676" s="458">
        <v>0.1050727380709775</v>
      </c>
      <c r="BK676" s="477">
        <v>64285742.082615651</v>
      </c>
      <c r="BL676" s="458">
        <v>0.27044249286896571</v>
      </c>
      <c r="BM676" s="468">
        <v>14.688645592182976</v>
      </c>
    </row>
    <row r="677" spans="12:65" x14ac:dyDescent="0.3">
      <c r="L677" s="427">
        <v>-2307248.2017999999</v>
      </c>
      <c r="BE677" s="477">
        <v>10692589.685947381</v>
      </c>
      <c r="BF677" s="458">
        <v>4.1949545244340358E-2</v>
      </c>
      <c r="BG677" s="477">
        <v>7595481.6462898757</v>
      </c>
      <c r="BH677" s="458">
        <v>4.2141549052275851E-2</v>
      </c>
      <c r="BI677" s="477">
        <v>16197919.951278616</v>
      </c>
      <c r="BJ677" s="458">
        <v>9.9525950412077124E-2</v>
      </c>
      <c r="BK677" s="477">
        <v>94028604.770754248</v>
      </c>
      <c r="BL677" s="458">
        <v>0.26812972067825736</v>
      </c>
      <c r="BM677" s="468">
        <v>6.4071062499533635</v>
      </c>
    </row>
    <row r="678" spans="12:65" x14ac:dyDescent="0.3">
      <c r="L678" s="427">
        <v>24014177.321600001</v>
      </c>
      <c r="BE678" s="477">
        <v>6306593.1464218721</v>
      </c>
      <c r="BF678" s="458">
        <v>2.8767960704413786E-2</v>
      </c>
      <c r="BG678" s="477">
        <v>8222416.1333510289</v>
      </c>
      <c r="BH678" s="458">
        <v>3.7848509085760318E-2</v>
      </c>
      <c r="BI678" s="477">
        <v>23607989.239693765</v>
      </c>
      <c r="BJ678" s="458">
        <v>0.1253967831535967</v>
      </c>
      <c r="BK678" s="477">
        <v>93210275.943155631</v>
      </c>
      <c r="BL678" s="458">
        <v>0.28331922020574951</v>
      </c>
      <c r="BM678" s="468">
        <v>9.8593530629970338</v>
      </c>
    </row>
    <row r="679" spans="12:65" x14ac:dyDescent="0.3">
      <c r="L679" s="427">
        <v>20975325.0526</v>
      </c>
      <c r="BE679" s="477">
        <v>1781563.8776945062</v>
      </c>
      <c r="BF679" s="458">
        <v>4.1085855604408472E-2</v>
      </c>
      <c r="BG679" s="477">
        <v>7168234.1380925262</v>
      </c>
      <c r="BH679" s="458">
        <v>6.1779278466271181E-2</v>
      </c>
      <c r="BI679" s="477">
        <v>11071708.134755192</v>
      </c>
      <c r="BJ679" s="458">
        <v>9.4035163281356082E-2</v>
      </c>
      <c r="BK679" s="477">
        <v>85360532.16150403</v>
      </c>
      <c r="BL679" s="458">
        <v>0.28993668455793054</v>
      </c>
      <c r="BM679" s="468">
        <v>7.7200885403227248</v>
      </c>
    </row>
    <row r="680" spans="12:65" x14ac:dyDescent="0.3">
      <c r="L680" s="427">
        <v>15151017.4702</v>
      </c>
      <c r="BE680" s="477">
        <v>2246482.9268358951</v>
      </c>
      <c r="BF680" s="458">
        <v>4.761880140523167E-2</v>
      </c>
      <c r="BG680" s="477">
        <v>3097072.3442123341</v>
      </c>
      <c r="BH680" s="458">
        <v>7.8935545882854452E-2</v>
      </c>
      <c r="BI680" s="477">
        <v>7993982.5813426226</v>
      </c>
      <c r="BJ680" s="458">
        <v>0.15218195235963528</v>
      </c>
      <c r="BK680" s="477">
        <v>97752163.98789297</v>
      </c>
      <c r="BL680" s="458">
        <v>0.27104084106628723</v>
      </c>
      <c r="BM680" s="468">
        <v>6.670158872949381</v>
      </c>
    </row>
    <row r="681" spans="12:65" x14ac:dyDescent="0.3">
      <c r="L681" s="427">
        <v>19037609.843699999</v>
      </c>
      <c r="BE681" s="477">
        <v>7242199.7071708348</v>
      </c>
      <c r="BF681" s="458">
        <v>4.4511968661752332E-2</v>
      </c>
      <c r="BG681" s="477">
        <v>13282655.58228866</v>
      </c>
      <c r="BH681" s="458">
        <v>5.3092966549785015E-2</v>
      </c>
      <c r="BI681" s="477">
        <v>14338334.717247214</v>
      </c>
      <c r="BJ681" s="458">
        <v>8.2655027104062029E-2</v>
      </c>
      <c r="BK681" s="477">
        <v>77795283.232784688</v>
      </c>
      <c r="BL681" s="458">
        <v>0.26570376866172385</v>
      </c>
      <c r="BM681" s="468">
        <v>9.8987496681676426</v>
      </c>
    </row>
    <row r="682" spans="12:65" x14ac:dyDescent="0.3">
      <c r="L682" s="427">
        <v>183609.38320000001</v>
      </c>
      <c r="BE682" s="477">
        <v>2831511.8099728813</v>
      </c>
      <c r="BF682" s="458">
        <v>4.431691494538037E-2</v>
      </c>
      <c r="BG682" s="477">
        <v>8973163.9891298451</v>
      </c>
      <c r="BH682" s="458">
        <v>6.6866153868503364E-2</v>
      </c>
      <c r="BI682" s="477">
        <v>22089275.559557747</v>
      </c>
      <c r="BJ682" s="458">
        <v>0.11208106651523186</v>
      </c>
      <c r="BK682" s="477">
        <v>94595696.164892122</v>
      </c>
      <c r="BL682" s="458">
        <v>0.27444220236608752</v>
      </c>
      <c r="BM682" s="468">
        <v>15.328250869019172</v>
      </c>
    </row>
    <row r="683" spans="12:65" x14ac:dyDescent="0.3">
      <c r="L683" s="427">
        <v>14347146.7984</v>
      </c>
      <c r="BE683" s="477">
        <v>4585189.3226940706</v>
      </c>
      <c r="BF683" s="458">
        <v>3.9249701025297679E-2</v>
      </c>
      <c r="BG683" s="477">
        <v>4186936.1358222449</v>
      </c>
      <c r="BH683" s="458">
        <v>0.10731609259677866</v>
      </c>
      <c r="BI683" s="477">
        <v>13770641.340728262</v>
      </c>
      <c r="BJ683" s="458">
        <v>0.1137672127339513</v>
      </c>
      <c r="BK683" s="477">
        <v>96474389.56619069</v>
      </c>
      <c r="BL683" s="458">
        <v>0.27696181044930968</v>
      </c>
      <c r="BM683" s="468">
        <v>6.6460859364447691</v>
      </c>
    </row>
    <row r="684" spans="12:65" x14ac:dyDescent="0.3">
      <c r="L684" s="427">
        <v>3807739.3001000001</v>
      </c>
      <c r="BE684" s="477">
        <v>6250440.8313163379</v>
      </c>
      <c r="BF684" s="458">
        <v>3.6194128393503222E-2</v>
      </c>
      <c r="BG684" s="477">
        <v>8199016.124198365</v>
      </c>
      <c r="BH684" s="458">
        <v>7.338800527650724E-2</v>
      </c>
      <c r="BI684" s="477">
        <v>16948612.809806149</v>
      </c>
      <c r="BJ684" s="458">
        <v>0.11447414102605324</v>
      </c>
      <c r="BK684" s="477">
        <v>96966980.865790084</v>
      </c>
      <c r="BL684" s="458">
        <v>0.26652298760762871</v>
      </c>
      <c r="BM684" s="468">
        <v>9.6575717500235765</v>
      </c>
    </row>
    <row r="685" spans="12:65" x14ac:dyDescent="0.3">
      <c r="L685" s="427">
        <v>2548796.7426999998</v>
      </c>
      <c r="BE685" s="477">
        <v>3558165.1836538003</v>
      </c>
      <c r="BF685" s="458">
        <v>3.4911620292445766E-2</v>
      </c>
      <c r="BG685" s="477">
        <v>11381675.584143789</v>
      </c>
      <c r="BH685" s="458">
        <v>3.4709078260078075E-2</v>
      </c>
      <c r="BI685" s="477">
        <v>11569687.714936627</v>
      </c>
      <c r="BJ685" s="458">
        <v>0.10349544411728706</v>
      </c>
      <c r="BK685" s="477">
        <v>102265166.23623526</v>
      </c>
      <c r="BL685" s="458">
        <v>0.27432737782174943</v>
      </c>
      <c r="BM685" s="468">
        <v>17.013161082151129</v>
      </c>
    </row>
    <row r="686" spans="12:65" x14ac:dyDescent="0.3">
      <c r="L686" s="427">
        <v>5311860.9633999998</v>
      </c>
      <c r="BE686" s="477">
        <v>5716062.5972089246</v>
      </c>
      <c r="BF686" s="458">
        <v>5.24144171557821E-2</v>
      </c>
      <c r="BG686" s="477">
        <v>6689215.1439268775</v>
      </c>
      <c r="BH686" s="458">
        <v>4.9152275629489983E-2</v>
      </c>
      <c r="BI686" s="477">
        <v>14185328.371429257</v>
      </c>
      <c r="BJ686" s="458">
        <v>9.9174503418489657E-2</v>
      </c>
      <c r="BK686" s="477">
        <v>93464635.077974111</v>
      </c>
      <c r="BL686" s="458">
        <v>0.26065237678512165</v>
      </c>
      <c r="BM686" s="468">
        <v>10.591996741657219</v>
      </c>
    </row>
    <row r="687" spans="12:65" x14ac:dyDescent="0.3">
      <c r="L687" s="427">
        <v>4517756.9939999999</v>
      </c>
      <c r="BE687" s="477">
        <v>-714261.29200533032</v>
      </c>
      <c r="BF687" s="458">
        <v>4.6110460902755168E-2</v>
      </c>
      <c r="BG687" s="477">
        <v>10868940.939503973</v>
      </c>
      <c r="BH687" s="458">
        <v>6.4539097454812122E-2</v>
      </c>
      <c r="BI687" s="477">
        <v>20998120.273190625</v>
      </c>
      <c r="BJ687" s="458">
        <v>0.10339936819870488</v>
      </c>
      <c r="BK687" s="477">
        <v>90004216.858289734</v>
      </c>
      <c r="BL687" s="458">
        <v>0.28075790752475505</v>
      </c>
      <c r="BM687" s="468">
        <v>9.1124235026664824</v>
      </c>
    </row>
    <row r="688" spans="12:65" x14ac:dyDescent="0.3">
      <c r="L688" s="427">
        <v>829009.61849999998</v>
      </c>
      <c r="BE688" s="477">
        <v>7546023.775807227</v>
      </c>
      <c r="BF688" s="458">
        <v>3.6723990669241591E-2</v>
      </c>
      <c r="BG688" s="477">
        <v>7361269.7515703337</v>
      </c>
      <c r="BH688" s="458">
        <v>5.6909050372400571E-2</v>
      </c>
      <c r="BI688" s="477">
        <v>12156301.708039396</v>
      </c>
      <c r="BJ688" s="458">
        <v>8.9960887622348329E-2</v>
      </c>
      <c r="BK688" s="477">
        <v>97423971.945266396</v>
      </c>
      <c r="BL688" s="458">
        <v>0.26793861765212945</v>
      </c>
      <c r="BM688" s="468">
        <v>3.6803825543742619</v>
      </c>
    </row>
    <row r="689" spans="12:65" x14ac:dyDescent="0.3">
      <c r="L689" s="427">
        <v>5843598.2023</v>
      </c>
      <c r="BE689" s="477">
        <v>1446186.8225608398</v>
      </c>
      <c r="BF689" s="458">
        <v>2.9142927559552945E-2</v>
      </c>
      <c r="BG689" s="477">
        <v>8244877.0214427812</v>
      </c>
      <c r="BH689" s="458">
        <v>5.6391387415784866E-2</v>
      </c>
      <c r="BI689" s="477">
        <v>14021190.961485716</v>
      </c>
      <c r="BJ689" s="458">
        <v>0.11923608914866435</v>
      </c>
      <c r="BK689" s="477">
        <v>100066322.59882529</v>
      </c>
      <c r="BL689" s="458">
        <v>0.2837434004947057</v>
      </c>
      <c r="BM689" s="468">
        <v>11.951899899962729</v>
      </c>
    </row>
    <row r="690" spans="12:65" x14ac:dyDescent="0.3">
      <c r="L690" s="427">
        <v>13092363.961999999</v>
      </c>
      <c r="BE690" s="477">
        <v>4676184.5103544993</v>
      </c>
      <c r="BF690" s="458">
        <v>3.2388563115106184E-2</v>
      </c>
      <c r="BG690" s="477">
        <v>15464433.228240632</v>
      </c>
      <c r="BH690" s="458">
        <v>8.4714341710726782E-2</v>
      </c>
      <c r="BI690" s="477">
        <v>17651868.932134587</v>
      </c>
      <c r="BJ690" s="458">
        <v>0.10024162658314162</v>
      </c>
      <c r="BK690" s="477">
        <v>80216604.261474162</v>
      </c>
      <c r="BL690" s="458">
        <v>0.2854952191866289</v>
      </c>
      <c r="BM690" s="468">
        <v>5.1698771624404705</v>
      </c>
    </row>
    <row r="691" spans="12:65" x14ac:dyDescent="0.3">
      <c r="L691" s="427">
        <v>-2345033.835</v>
      </c>
      <c r="BE691" s="477">
        <v>7110065.1426998656</v>
      </c>
      <c r="BF691" s="458">
        <v>4.7290877599492687E-2</v>
      </c>
      <c r="BG691" s="477">
        <v>8751307.3482256401</v>
      </c>
      <c r="BH691" s="458">
        <v>0.10159515239496053</v>
      </c>
      <c r="BI691" s="477">
        <v>16530180.758309729</v>
      </c>
      <c r="BJ691" s="458">
        <v>0.12390345447228945</v>
      </c>
      <c r="BK691" s="477">
        <v>82680409.760554448</v>
      </c>
      <c r="BL691" s="458">
        <v>0.25154628214999852</v>
      </c>
      <c r="BM691" s="468">
        <v>5.2178397973019237</v>
      </c>
    </row>
    <row r="692" spans="12:65" x14ac:dyDescent="0.3">
      <c r="L692" s="427">
        <v>15930346.3958</v>
      </c>
      <c r="BE692" s="477">
        <v>7606352.4926018687</v>
      </c>
      <c r="BF692" s="458">
        <v>5.2948004063090526E-2</v>
      </c>
      <c r="BG692" s="477">
        <v>6921459.800201009</v>
      </c>
      <c r="BH692" s="458">
        <v>8.1840793114301258E-2</v>
      </c>
      <c r="BI692" s="477">
        <v>21277243.414017249</v>
      </c>
      <c r="BJ692" s="458">
        <v>0.12655015506384393</v>
      </c>
      <c r="BK692" s="477">
        <v>89253893.494725257</v>
      </c>
      <c r="BL692" s="458">
        <v>0.26422163602055071</v>
      </c>
      <c r="BM692" s="468">
        <v>9.6774936014182451</v>
      </c>
    </row>
    <row r="693" spans="12:65" x14ac:dyDescent="0.3">
      <c r="L693" s="427">
        <v>2263257.9226000002</v>
      </c>
      <c r="BE693" s="477">
        <v>7508794.5904584415</v>
      </c>
      <c r="BF693" s="458">
        <v>2.0878384351990187E-2</v>
      </c>
      <c r="BG693" s="477">
        <v>8333774.3989597624</v>
      </c>
      <c r="BH693" s="458">
        <v>5.1049116999562827E-2</v>
      </c>
      <c r="BI693" s="477">
        <v>16660377.50946329</v>
      </c>
      <c r="BJ693" s="458">
        <v>0.10861260090416081</v>
      </c>
      <c r="BK693" s="477">
        <v>88242618.459896579</v>
      </c>
      <c r="BL693" s="458">
        <v>0.28980182359339146</v>
      </c>
      <c r="BM693" s="468">
        <v>6.7373895814606612</v>
      </c>
    </row>
    <row r="694" spans="12:65" x14ac:dyDescent="0.3">
      <c r="L694" s="427">
        <v>16854476.549199998</v>
      </c>
      <c r="BE694" s="477">
        <v>6177943.8991992213</v>
      </c>
      <c r="BF694" s="458">
        <v>3.4952310994428748E-2</v>
      </c>
      <c r="BG694" s="477">
        <v>10299928.581287524</v>
      </c>
      <c r="BH694" s="458">
        <v>8.6025298071495948E-2</v>
      </c>
      <c r="BI694" s="477">
        <v>19106150.55503526</v>
      </c>
      <c r="BJ694" s="458">
        <v>0.1082472756807995</v>
      </c>
      <c r="BK694" s="477">
        <v>87129553.80846855</v>
      </c>
      <c r="BL694" s="458">
        <v>0.25768270373879631</v>
      </c>
      <c r="BM694" s="468">
        <v>7.0904602766314291</v>
      </c>
    </row>
    <row r="695" spans="12:65" x14ac:dyDescent="0.3">
      <c r="L695" s="427">
        <v>17492914.917800002</v>
      </c>
      <c r="BE695" s="477">
        <v>5560165.8078477029</v>
      </c>
      <c r="BF695" s="458">
        <v>3.1029109893358831E-2</v>
      </c>
      <c r="BG695" s="477">
        <v>5914454.2030653814</v>
      </c>
      <c r="BH695" s="458">
        <v>6.723123659373198E-2</v>
      </c>
      <c r="BI695" s="477">
        <v>12552078.73076959</v>
      </c>
      <c r="BJ695" s="458">
        <v>0.10923268373760808</v>
      </c>
      <c r="BK695" s="477">
        <v>85569779.769530863</v>
      </c>
      <c r="BL695" s="458">
        <v>0.26630735703369646</v>
      </c>
      <c r="BM695" s="468">
        <v>5.8663787233642708</v>
      </c>
    </row>
    <row r="696" spans="12:65" x14ac:dyDescent="0.3">
      <c r="L696" s="427">
        <v>16505218.362400001</v>
      </c>
      <c r="BE696" s="477">
        <v>4699707.742833823</v>
      </c>
      <c r="BF696" s="458">
        <v>6.3138458742779457E-2</v>
      </c>
      <c r="BG696" s="477">
        <v>5152125.1176646156</v>
      </c>
      <c r="BH696" s="458">
        <v>7.840284530673336E-2</v>
      </c>
      <c r="BI696" s="477">
        <v>13290775.208257206</v>
      </c>
      <c r="BJ696" s="458">
        <v>0.1054869534235785</v>
      </c>
      <c r="BK696" s="477">
        <v>92989073.217421412</v>
      </c>
      <c r="BL696" s="458">
        <v>0.29088813761176491</v>
      </c>
      <c r="BM696" s="468">
        <v>8.5004754452151783</v>
      </c>
    </row>
    <row r="697" spans="12:65" x14ac:dyDescent="0.3">
      <c r="L697" s="427">
        <v>9228760.7630000003</v>
      </c>
      <c r="BE697" s="477">
        <v>3851587.246962606</v>
      </c>
      <c r="BF697" s="458">
        <v>3.5172969754471151E-2</v>
      </c>
      <c r="BG697" s="477">
        <v>3119698.5235570888</v>
      </c>
      <c r="BH697" s="458">
        <v>5.031468012243101E-2</v>
      </c>
      <c r="BI697" s="477">
        <v>19465872.395061739</v>
      </c>
      <c r="BJ697" s="458">
        <v>0.10226679515595283</v>
      </c>
      <c r="BK697" s="477">
        <v>75993207.529058874</v>
      </c>
      <c r="BL697" s="458">
        <v>0.26302994100170318</v>
      </c>
      <c r="BM697" s="468">
        <v>9.8260079451412352</v>
      </c>
    </row>
    <row r="698" spans="12:65" x14ac:dyDescent="0.3">
      <c r="L698" s="427">
        <v>14743566.9263</v>
      </c>
      <c r="BE698" s="477">
        <v>979242.94943533093</v>
      </c>
      <c r="BF698" s="458">
        <v>6.0580479651634045E-2</v>
      </c>
      <c r="BG698" s="477">
        <v>6626684.6376409065</v>
      </c>
      <c r="BH698" s="458">
        <v>9.9864398996730941E-2</v>
      </c>
      <c r="BI698" s="477">
        <v>12102693.548562469</v>
      </c>
      <c r="BJ698" s="458">
        <v>0.10423349550912397</v>
      </c>
      <c r="BK698" s="477">
        <v>90484432.758568108</v>
      </c>
      <c r="BL698" s="458">
        <v>0.27511476118036904</v>
      </c>
      <c r="BM698" s="468">
        <v>13.174825528595981</v>
      </c>
    </row>
    <row r="699" spans="12:65" x14ac:dyDescent="0.3">
      <c r="L699" s="427">
        <v>10452991.8292</v>
      </c>
      <c r="BE699" s="477">
        <v>5321321.4063076153</v>
      </c>
      <c r="BF699" s="458">
        <v>4.6570126179340754E-2</v>
      </c>
      <c r="BG699" s="477">
        <v>16160213.621490221</v>
      </c>
      <c r="BH699" s="458">
        <v>6.1698612840158873E-2</v>
      </c>
      <c r="BI699" s="477">
        <v>17715593.296007365</v>
      </c>
      <c r="BJ699" s="458">
        <v>0.10232393984065813</v>
      </c>
      <c r="BK699" s="477">
        <v>103236445.18469299</v>
      </c>
      <c r="BL699" s="458">
        <v>0.30104983307092925</v>
      </c>
      <c r="BM699" s="468">
        <v>9.9776515112083306</v>
      </c>
    </row>
    <row r="700" spans="12:65" x14ac:dyDescent="0.3">
      <c r="L700" s="427">
        <v>7887585.2243999997</v>
      </c>
      <c r="BE700" s="477">
        <v>6404564.4081802461</v>
      </c>
      <c r="BF700" s="458">
        <v>4.7561884257223408E-2</v>
      </c>
      <c r="BG700" s="477">
        <v>17017441.053994261</v>
      </c>
      <c r="BH700" s="458">
        <v>7.9414502676264931E-2</v>
      </c>
      <c r="BI700" s="477">
        <v>16743439.27470364</v>
      </c>
      <c r="BJ700" s="458">
        <v>0.11684440776564209</v>
      </c>
      <c r="BK700" s="477">
        <v>84487580.911421329</v>
      </c>
      <c r="BL700" s="458">
        <v>0.25431481424128077</v>
      </c>
      <c r="BM700" s="468">
        <v>14.778038728148776</v>
      </c>
    </row>
    <row r="701" spans="12:65" x14ac:dyDescent="0.3">
      <c r="L701" s="427">
        <v>-327669.12819999998</v>
      </c>
      <c r="BE701" s="477">
        <v>3224281.7608428784</v>
      </c>
      <c r="BF701" s="458">
        <v>5.6528562057908571E-2</v>
      </c>
      <c r="BG701" s="477">
        <v>3743329.493557699</v>
      </c>
      <c r="BH701" s="458">
        <v>4.8568485003840367E-2</v>
      </c>
      <c r="BI701" s="477">
        <v>14199806.435447238</v>
      </c>
      <c r="BJ701" s="458">
        <v>0.11098953302788073</v>
      </c>
      <c r="BK701" s="477">
        <v>88908504.00708589</v>
      </c>
      <c r="BL701" s="458">
        <v>0.2622581622025324</v>
      </c>
      <c r="BM701" s="468">
        <v>4.1704800764179204</v>
      </c>
    </row>
    <row r="702" spans="12:65" x14ac:dyDescent="0.3">
      <c r="L702" s="427">
        <v>18551215.104899999</v>
      </c>
      <c r="BE702" s="477">
        <v>5685018.1979121594</v>
      </c>
      <c r="BF702" s="458">
        <v>3.1505581904242463E-2</v>
      </c>
      <c r="BG702" s="477">
        <v>6297273.8145446861</v>
      </c>
      <c r="BH702" s="458">
        <v>2.712596574538928E-2</v>
      </c>
      <c r="BI702" s="477">
        <v>14709342.583244989</v>
      </c>
      <c r="BJ702" s="458">
        <v>9.8405849011365953E-2</v>
      </c>
      <c r="BK702" s="477">
        <v>92755054.765598416</v>
      </c>
      <c r="BL702" s="458">
        <v>0.24092269515051501</v>
      </c>
      <c r="BM702" s="468">
        <v>16.030604206161755</v>
      </c>
    </row>
    <row r="703" spans="12:65" x14ac:dyDescent="0.3">
      <c r="L703" s="427">
        <v>16977863.325800002</v>
      </c>
      <c r="BE703" s="477">
        <v>1732362.609338063</v>
      </c>
      <c r="BF703" s="458">
        <v>3.1232135870274957E-2</v>
      </c>
      <c r="BG703" s="477">
        <v>2654452.5746884802</v>
      </c>
      <c r="BH703" s="458">
        <v>3.7389943330970787E-2</v>
      </c>
      <c r="BI703" s="477">
        <v>15925295.90742898</v>
      </c>
      <c r="BJ703" s="458">
        <v>8.2683147168161497E-2</v>
      </c>
      <c r="BK703" s="477">
        <v>86485244.716078311</v>
      </c>
      <c r="BL703" s="458">
        <v>0.25452897913519523</v>
      </c>
      <c r="BM703" s="468">
        <v>12.679768490039354</v>
      </c>
    </row>
    <row r="704" spans="12:65" x14ac:dyDescent="0.3">
      <c r="L704" s="427">
        <v>2660150.7351000002</v>
      </c>
      <c r="BE704" s="477">
        <v>7257617.6493618079</v>
      </c>
      <c r="BF704" s="458">
        <v>3.767491023639602E-2</v>
      </c>
      <c r="BG704" s="477">
        <v>9586824.2235207856</v>
      </c>
      <c r="BH704" s="458">
        <v>4.1794858774715227E-2</v>
      </c>
      <c r="BI704" s="477">
        <v>9191837.7773224842</v>
      </c>
      <c r="BJ704" s="458">
        <v>0.1144130128974068</v>
      </c>
      <c r="BK704" s="477">
        <v>100176044.0771497</v>
      </c>
      <c r="BL704" s="458">
        <v>0.27443347513993555</v>
      </c>
      <c r="BM704" s="468">
        <v>3.5528969839648497</v>
      </c>
    </row>
    <row r="705" spans="12:65" x14ac:dyDescent="0.3">
      <c r="L705" s="427">
        <v>8323648.3679999998</v>
      </c>
      <c r="BE705" s="477">
        <v>6186691.7257541036</v>
      </c>
      <c r="BF705" s="458">
        <v>5.2256758759296806E-2</v>
      </c>
      <c r="BG705" s="477">
        <v>9261016.1293971632</v>
      </c>
      <c r="BH705" s="458">
        <v>9.0213544073280527E-2</v>
      </c>
      <c r="BI705" s="477">
        <v>17427819.194331873</v>
      </c>
      <c r="BJ705" s="458">
        <v>0.10585357471982237</v>
      </c>
      <c r="BK705" s="477">
        <v>95182750.112582818</v>
      </c>
      <c r="BL705" s="458">
        <v>0.26172243698410691</v>
      </c>
      <c r="BM705" s="468">
        <v>7.6593486763239618</v>
      </c>
    </row>
    <row r="706" spans="12:65" x14ac:dyDescent="0.3">
      <c r="L706" s="427">
        <v>9116350.0841000006</v>
      </c>
      <c r="BE706" s="477">
        <v>10005945.274408707</v>
      </c>
      <c r="BF706" s="458">
        <v>4.8628356140546947E-2</v>
      </c>
      <c r="BG706" s="477">
        <v>4766712.8910272056</v>
      </c>
      <c r="BH706" s="458">
        <v>5.0232616772653227E-2</v>
      </c>
      <c r="BI706" s="477">
        <v>9765822.5990354959</v>
      </c>
      <c r="BJ706" s="458">
        <v>0.1235485941237946</v>
      </c>
      <c r="BK706" s="477">
        <v>91513787.283933878</v>
      </c>
      <c r="BL706" s="458">
        <v>0.29715214587634442</v>
      </c>
      <c r="BM706" s="468">
        <v>12.73780612296814</v>
      </c>
    </row>
    <row r="707" spans="12:65" x14ac:dyDescent="0.3">
      <c r="L707" s="427">
        <v>5491806.6150000002</v>
      </c>
      <c r="BE707" s="477">
        <v>8468592.3366418052</v>
      </c>
      <c r="BF707" s="458">
        <v>3.2700144502655792E-2</v>
      </c>
      <c r="BG707" s="477">
        <v>8148716.7497385945</v>
      </c>
      <c r="BH707" s="458">
        <v>5.8210239653011309E-2</v>
      </c>
      <c r="BI707" s="477">
        <v>20510287.4762569</v>
      </c>
      <c r="BJ707" s="458">
        <v>0.10079681251032557</v>
      </c>
      <c r="BK707" s="477">
        <v>84009857.513519496</v>
      </c>
      <c r="BL707" s="458">
        <v>0.25094570411245298</v>
      </c>
      <c r="BM707" s="468">
        <v>8.2218343691421794</v>
      </c>
    </row>
    <row r="708" spans="12:65" x14ac:dyDescent="0.3">
      <c r="L708" s="427">
        <v>14894223.8115</v>
      </c>
      <c r="BE708" s="477">
        <v>1207010.9575082918</v>
      </c>
      <c r="BF708" s="458">
        <v>5.5911577865883411E-2</v>
      </c>
      <c r="BG708" s="477">
        <v>10324202.406998366</v>
      </c>
      <c r="BH708" s="458">
        <v>7.8450165423456397E-2</v>
      </c>
      <c r="BI708" s="477">
        <v>14910578.396112263</v>
      </c>
      <c r="BJ708" s="458">
        <v>0.1097150029671583</v>
      </c>
      <c r="BK708" s="477">
        <v>81908449.623979345</v>
      </c>
      <c r="BL708" s="458">
        <v>0.271630793563852</v>
      </c>
      <c r="BM708" s="468">
        <v>5.4054915737909415</v>
      </c>
    </row>
    <row r="709" spans="12:65" x14ac:dyDescent="0.3">
      <c r="L709" s="427">
        <v>3052924.5717000002</v>
      </c>
      <c r="BE709" s="477">
        <v>2384934.3747558794</v>
      </c>
      <c r="BF709" s="458">
        <v>6.6464262059060752E-2</v>
      </c>
      <c r="BG709" s="477">
        <v>8139320.2166400859</v>
      </c>
      <c r="BH709" s="458">
        <v>9.8050012845823042E-2</v>
      </c>
      <c r="BI709" s="477">
        <v>16013346.962440541</v>
      </c>
      <c r="BJ709" s="458">
        <v>0.11153722166852864</v>
      </c>
      <c r="BK709" s="477">
        <v>110872354.21835318</v>
      </c>
      <c r="BL709" s="458">
        <v>0.26008212855858437</v>
      </c>
      <c r="BM709" s="468">
        <v>4.2187831548534103</v>
      </c>
    </row>
    <row r="710" spans="12:65" x14ac:dyDescent="0.3">
      <c r="L710" s="427">
        <v>4754996.4941999996</v>
      </c>
      <c r="BE710" s="477">
        <v>4188583.384453713</v>
      </c>
      <c r="BF710" s="458">
        <v>3.9578408173731594E-2</v>
      </c>
      <c r="BG710" s="477">
        <v>7228250.8559993068</v>
      </c>
      <c r="BH710" s="458">
        <v>8.2613997418227392E-2</v>
      </c>
      <c r="BI710" s="477">
        <v>20968057.946489025</v>
      </c>
      <c r="BJ710" s="458">
        <v>5.1603415610629977E-2</v>
      </c>
      <c r="BK710" s="477">
        <v>84329053.665654853</v>
      </c>
      <c r="BL710" s="458">
        <v>0.2936803745364962</v>
      </c>
      <c r="BM710" s="468">
        <v>6.291235874012874</v>
      </c>
    </row>
    <row r="711" spans="12:65" x14ac:dyDescent="0.3">
      <c r="L711" s="427">
        <v>591085.53099999996</v>
      </c>
      <c r="BE711" s="477">
        <v>3940304.5287663327</v>
      </c>
      <c r="BF711" s="458">
        <v>6.0421166243634472E-2</v>
      </c>
      <c r="BG711" s="477">
        <v>11996456.004201218</v>
      </c>
      <c r="BH711" s="458">
        <v>3.9957645270901399E-2</v>
      </c>
      <c r="BI711" s="477">
        <v>19063541.401803203</v>
      </c>
      <c r="BJ711" s="458">
        <v>0.15834550415655424</v>
      </c>
      <c r="BK711" s="477">
        <v>96461385.075367838</v>
      </c>
      <c r="BL711" s="458">
        <v>0.27059229670256668</v>
      </c>
      <c r="BM711" s="468">
        <v>7.47590038728812</v>
      </c>
    </row>
    <row r="712" spans="12:65" x14ac:dyDescent="0.3">
      <c r="L712" s="427">
        <v>10292632.885199999</v>
      </c>
      <c r="BE712" s="477">
        <v>6945195.0437789364</v>
      </c>
      <c r="BF712" s="458">
        <v>3.0319238940234694E-2</v>
      </c>
      <c r="BG712" s="477">
        <v>8167940.9164300505</v>
      </c>
      <c r="BH712" s="458">
        <v>6.1193334917363451E-2</v>
      </c>
      <c r="BI712" s="477">
        <v>24254254.889351834</v>
      </c>
      <c r="BJ712" s="458">
        <v>0.10328831421652729</v>
      </c>
      <c r="BK712" s="477">
        <v>80811437.413843006</v>
      </c>
      <c r="BL712" s="458">
        <v>0.23343216967189684</v>
      </c>
      <c r="BM712" s="468">
        <v>10.818342552446529</v>
      </c>
    </row>
    <row r="713" spans="12:65" x14ac:dyDescent="0.3">
      <c r="L713" s="427">
        <v>5432097.6703000003</v>
      </c>
      <c r="BE713" s="477">
        <v>8237746.751079753</v>
      </c>
      <c r="BF713" s="458">
        <v>3.6820267840268484E-2</v>
      </c>
      <c r="BG713" s="477">
        <v>11622142.908199469</v>
      </c>
      <c r="BH713" s="458">
        <v>9.9294229168260806E-2</v>
      </c>
      <c r="BI713" s="477">
        <v>24478494.834250819</v>
      </c>
      <c r="BJ713" s="458">
        <v>9.342055207006883E-2</v>
      </c>
      <c r="BK713" s="477">
        <v>80290500.442507967</v>
      </c>
      <c r="BL713" s="458">
        <v>0.26237220143258733</v>
      </c>
      <c r="BM713" s="468">
        <v>4.2926987770008171</v>
      </c>
    </row>
    <row r="714" spans="12:65" x14ac:dyDescent="0.3">
      <c r="L714" s="427">
        <v>7845672.3790999996</v>
      </c>
      <c r="BE714" s="477">
        <v>4450033.5927109653</v>
      </c>
      <c r="BF714" s="458">
        <v>6.2463925991279146E-2</v>
      </c>
      <c r="BG714" s="477">
        <v>11693201.217395553</v>
      </c>
      <c r="BH714" s="458">
        <v>5.6879881095264651E-2</v>
      </c>
      <c r="BI714" s="477">
        <v>12090036.62882369</v>
      </c>
      <c r="BJ714" s="458">
        <v>8.3781022771133085E-2</v>
      </c>
      <c r="BK714" s="477">
        <v>86186942.704143152</v>
      </c>
      <c r="BL714" s="458">
        <v>0.28099804003105655</v>
      </c>
      <c r="BM714" s="468">
        <v>3.1745195016853298</v>
      </c>
    </row>
    <row r="715" spans="12:65" x14ac:dyDescent="0.3">
      <c r="L715" s="427">
        <v>16187106.5868</v>
      </c>
      <c r="BE715" s="477">
        <v>535703.60815113806</v>
      </c>
      <c r="BF715" s="458">
        <v>6.3541251606505256E-2</v>
      </c>
      <c r="BG715" s="477">
        <v>10674877.471434364</v>
      </c>
      <c r="BH715" s="458">
        <v>5.7669892827885372E-2</v>
      </c>
      <c r="BI715" s="477">
        <v>23299250.841033947</v>
      </c>
      <c r="BJ715" s="458">
        <v>0.10677712478649748</v>
      </c>
      <c r="BK715" s="477">
        <v>96693735.15372178</v>
      </c>
      <c r="BL715" s="458">
        <v>0.24765974778645172</v>
      </c>
      <c r="BM715" s="468">
        <v>8.2293645755113083</v>
      </c>
    </row>
    <row r="716" spans="12:65" x14ac:dyDescent="0.3">
      <c r="L716" s="427">
        <v>-3103496.9219999998</v>
      </c>
      <c r="BE716" s="477">
        <v>9148425.3646736369</v>
      </c>
      <c r="BF716" s="458">
        <v>4.2601751743834182E-2</v>
      </c>
      <c r="BG716" s="477">
        <v>12727582.472044377</v>
      </c>
      <c r="BH716" s="458">
        <v>5.2181082993380423E-2</v>
      </c>
      <c r="BI716" s="477">
        <v>18913418.817926589</v>
      </c>
      <c r="BJ716" s="458">
        <v>8.0505498522283059E-2</v>
      </c>
      <c r="BK716" s="477">
        <v>72822711.692147523</v>
      </c>
      <c r="BL716" s="458">
        <v>0.25015499460441815</v>
      </c>
      <c r="BM716" s="468">
        <v>9.6600153164106182</v>
      </c>
    </row>
    <row r="717" spans="12:65" x14ac:dyDescent="0.3">
      <c r="L717" s="427">
        <v>-1941694.0271999999</v>
      </c>
      <c r="BE717" s="477">
        <v>7909983.5259512085</v>
      </c>
      <c r="BF717" s="458">
        <v>4.0521886020960185E-2</v>
      </c>
      <c r="BG717" s="477">
        <v>10998964.531572649</v>
      </c>
      <c r="BH717" s="458">
        <v>6.4465386738565167E-2</v>
      </c>
      <c r="BI717" s="477">
        <v>13913695.371425087</v>
      </c>
      <c r="BJ717" s="458">
        <v>0.12396194045214814</v>
      </c>
      <c r="BK717" s="477">
        <v>78295682.48516646</v>
      </c>
      <c r="BL717" s="458">
        <v>0.27761836033308374</v>
      </c>
      <c r="BM717" s="468">
        <v>9.8051641700218735</v>
      </c>
    </row>
    <row r="718" spans="12:65" x14ac:dyDescent="0.3">
      <c r="L718" s="427">
        <v>11981438.4312</v>
      </c>
      <c r="BE718" s="477">
        <v>6139061.0863434691</v>
      </c>
      <c r="BF718" s="458">
        <v>6.7719856436986969E-2</v>
      </c>
      <c r="BG718" s="477">
        <v>8960677.3030525614</v>
      </c>
      <c r="BH718" s="458">
        <v>7.9498182963884778E-2</v>
      </c>
      <c r="BI718" s="477">
        <v>17468704.878974512</v>
      </c>
      <c r="BJ718" s="458">
        <v>9.6086608319727151E-2</v>
      </c>
      <c r="BK718" s="477">
        <v>98802200.68113324</v>
      </c>
      <c r="BL718" s="458">
        <v>0.26308601940856224</v>
      </c>
      <c r="BM718" s="468">
        <v>11.428818390851742</v>
      </c>
    </row>
    <row r="719" spans="12:65" x14ac:dyDescent="0.3">
      <c r="L719" s="427">
        <v>25970118.189300001</v>
      </c>
      <c r="BE719" s="477">
        <v>1313239.9666763805</v>
      </c>
      <c r="BF719" s="458">
        <v>5.5067535515760602E-2</v>
      </c>
      <c r="BG719" s="477">
        <v>11666915.788002938</v>
      </c>
      <c r="BH719" s="458">
        <v>5.9751084629598106E-2</v>
      </c>
      <c r="BI719" s="477">
        <v>18050316.500419691</v>
      </c>
      <c r="BJ719" s="458">
        <v>0.11414611123611462</v>
      </c>
      <c r="BK719" s="477">
        <v>79001283.324539185</v>
      </c>
      <c r="BL719" s="458">
        <v>0.25581341450463468</v>
      </c>
      <c r="BM719" s="468">
        <v>13.984347218280785</v>
      </c>
    </row>
    <row r="720" spans="12:65" x14ac:dyDescent="0.3">
      <c r="L720" s="427">
        <v>6846684.7922999999</v>
      </c>
      <c r="BE720" s="477">
        <v>5292339.3072164794</v>
      </c>
      <c r="BF720" s="458">
        <v>4.4534181697809316E-2</v>
      </c>
      <c r="BG720" s="477">
        <v>4321526.2271586033</v>
      </c>
      <c r="BH720" s="458">
        <v>7.1486581508414249E-2</v>
      </c>
      <c r="BI720" s="477">
        <v>14777454.294249469</v>
      </c>
      <c r="BJ720" s="458">
        <v>8.6003685803258678E-2</v>
      </c>
      <c r="BK720" s="477">
        <v>88396217.906334877</v>
      </c>
      <c r="BL720" s="458">
        <v>0.26909457902068246</v>
      </c>
      <c r="BM720" s="468">
        <v>13.52525618956963</v>
      </c>
    </row>
    <row r="721" spans="12:65" x14ac:dyDescent="0.3">
      <c r="L721" s="427">
        <v>-6349232.3799999999</v>
      </c>
      <c r="BE721" s="477">
        <v>5543267.6427118685</v>
      </c>
      <c r="BF721" s="458">
        <v>3.4062043472187886E-2</v>
      </c>
      <c r="BG721" s="477">
        <v>8562013.1123692412</v>
      </c>
      <c r="BH721" s="458">
        <v>8.6052525209494135E-2</v>
      </c>
      <c r="BI721" s="477">
        <v>7651907.095326717</v>
      </c>
      <c r="BJ721" s="458">
        <v>0.11004408959874379</v>
      </c>
      <c r="BK721" s="477">
        <v>71774906.81782639</v>
      </c>
      <c r="BL721" s="458">
        <v>0.27471562983616127</v>
      </c>
      <c r="BM721" s="468">
        <v>10.467119378835779</v>
      </c>
    </row>
    <row r="722" spans="12:65" x14ac:dyDescent="0.3">
      <c r="L722" s="427">
        <v>8117008.0379999997</v>
      </c>
      <c r="BE722" s="477">
        <v>2453862.2488125456</v>
      </c>
      <c r="BF722" s="458">
        <v>3.1717049018033627E-2</v>
      </c>
      <c r="BG722" s="477">
        <v>11434712.404666455</v>
      </c>
      <c r="BH722" s="458">
        <v>0.10085260451223732</v>
      </c>
      <c r="BI722" s="477">
        <v>4796574.6634397777</v>
      </c>
      <c r="BJ722" s="458">
        <v>0.11072520859535739</v>
      </c>
      <c r="BK722" s="477">
        <v>82221225.091201231</v>
      </c>
      <c r="BL722" s="458">
        <v>0.26975057339184438</v>
      </c>
      <c r="BM722" s="468">
        <v>6.0137320834409946</v>
      </c>
    </row>
    <row r="723" spans="12:65" x14ac:dyDescent="0.3">
      <c r="L723" s="427">
        <v>3353054.9389999998</v>
      </c>
      <c r="BE723" s="477">
        <v>1362638.0792166025</v>
      </c>
      <c r="BF723" s="458">
        <v>2.2868537156501834E-2</v>
      </c>
      <c r="BG723" s="477">
        <v>10931160.744298466</v>
      </c>
      <c r="BH723" s="458">
        <v>5.5564774999026012E-2</v>
      </c>
      <c r="BI723" s="477">
        <v>12332943.783734653</v>
      </c>
      <c r="BJ723" s="458">
        <v>0.1069886740541961</v>
      </c>
      <c r="BK723" s="477">
        <v>104532306.43387343</v>
      </c>
      <c r="BL723" s="458">
        <v>0.29474830944683506</v>
      </c>
      <c r="BM723" s="468">
        <v>5.1395997737462782</v>
      </c>
    </row>
    <row r="724" spans="12:65" x14ac:dyDescent="0.3">
      <c r="L724" s="427">
        <v>22141303.189399999</v>
      </c>
      <c r="BE724" s="477">
        <v>1103907.7413679159</v>
      </c>
      <c r="BF724" s="458">
        <v>5.6136410208530441E-2</v>
      </c>
      <c r="BG724" s="477">
        <v>3695986.4065918732</v>
      </c>
      <c r="BH724" s="458">
        <v>4.9101657194107418E-2</v>
      </c>
      <c r="BI724" s="477">
        <v>17506930.173529331</v>
      </c>
      <c r="BJ724" s="458">
        <v>8.9584213452834405E-2</v>
      </c>
      <c r="BK724" s="477">
        <v>104777337.90548836</v>
      </c>
      <c r="BL724" s="458">
        <v>0.24862764083891276</v>
      </c>
      <c r="BM724" s="468">
        <v>6.1331250358021077</v>
      </c>
    </row>
    <row r="725" spans="12:65" x14ac:dyDescent="0.3">
      <c r="L725" s="427">
        <v>11824133.8552</v>
      </c>
      <c r="BE725" s="477">
        <v>8297605.608678652</v>
      </c>
      <c r="BF725" s="458">
        <v>4.2007424908548918E-2</v>
      </c>
      <c r="BG725" s="477">
        <v>14375931.981747421</v>
      </c>
      <c r="BH725" s="458">
        <v>3.7398593942275404E-2</v>
      </c>
      <c r="BI725" s="477">
        <v>14398020.824868737</v>
      </c>
      <c r="BJ725" s="458">
        <v>0.10112337980773645</v>
      </c>
      <c r="BK725" s="477">
        <v>97534915.503242135</v>
      </c>
      <c r="BL725" s="458">
        <v>0.24804776953902175</v>
      </c>
      <c r="BM725" s="468">
        <v>6.4210029708717542</v>
      </c>
    </row>
    <row r="726" spans="12:65" x14ac:dyDescent="0.3">
      <c r="L726" s="427">
        <v>-571891.99399999995</v>
      </c>
      <c r="BE726" s="477">
        <v>4597356.9538301742</v>
      </c>
      <c r="BF726" s="458">
        <v>2.0916284788931261E-2</v>
      </c>
      <c r="BG726" s="477">
        <v>12187244.892932503</v>
      </c>
      <c r="BH726" s="458">
        <v>6.0931276089746911E-2</v>
      </c>
      <c r="BI726" s="477">
        <v>12733966.041766066</v>
      </c>
      <c r="BJ726" s="458">
        <v>0.10862800943553697</v>
      </c>
      <c r="BK726" s="477">
        <v>76641999.037806347</v>
      </c>
      <c r="BL726" s="458">
        <v>0.27123865475190012</v>
      </c>
      <c r="BM726" s="468">
        <v>9.0665127744640195</v>
      </c>
    </row>
    <row r="727" spans="12:65" x14ac:dyDescent="0.3">
      <c r="L727" s="427">
        <v>3691658.466</v>
      </c>
      <c r="BE727" s="477">
        <v>6803023.5430351645</v>
      </c>
      <c r="BF727" s="458">
        <v>5.3329746445766713E-2</v>
      </c>
      <c r="BG727" s="477">
        <v>11693025.701269696</v>
      </c>
      <c r="BH727" s="458">
        <v>4.8676861304315144E-2</v>
      </c>
      <c r="BI727" s="477">
        <v>20833817.33306624</v>
      </c>
      <c r="BJ727" s="458">
        <v>0.10638304190547521</v>
      </c>
      <c r="BK727" s="477">
        <v>94036067.012751147</v>
      </c>
      <c r="BL727" s="458">
        <v>0.24954050237760206</v>
      </c>
      <c r="BM727" s="468">
        <v>7.2330705429896565</v>
      </c>
    </row>
    <row r="728" spans="12:65" x14ac:dyDescent="0.3">
      <c r="L728" s="427">
        <v>21084414.239700001</v>
      </c>
      <c r="BE728" s="477">
        <v>4834745.3535666801</v>
      </c>
      <c r="BF728" s="458">
        <v>3.3967007146816774E-2</v>
      </c>
      <c r="BG728" s="477">
        <v>12004666.564192392</v>
      </c>
      <c r="BH728" s="458">
        <v>7.1447643338534927E-2</v>
      </c>
      <c r="BI728" s="477">
        <v>18259904.110048417</v>
      </c>
      <c r="BJ728" s="458">
        <v>0.1128753309771493</v>
      </c>
      <c r="BK728" s="477">
        <v>90002863.046103209</v>
      </c>
      <c r="BL728" s="458">
        <v>0.25748683864715272</v>
      </c>
      <c r="BM728" s="468">
        <v>7.4286393962189949</v>
      </c>
    </row>
    <row r="729" spans="12:65" x14ac:dyDescent="0.3">
      <c r="L729" s="427">
        <v>7391210.5318999998</v>
      </c>
      <c r="BE729" s="477">
        <v>10659291.443447132</v>
      </c>
      <c r="BF729" s="458">
        <v>3.3784549166765654E-2</v>
      </c>
      <c r="BG729" s="477">
        <v>13590302.515231349</v>
      </c>
      <c r="BH729" s="458">
        <v>5.5412170898707203E-2</v>
      </c>
      <c r="BI729" s="477">
        <v>21410749.41666358</v>
      </c>
      <c r="BJ729" s="458">
        <v>9.354503836651662E-2</v>
      </c>
      <c r="BK729" s="477">
        <v>88047842.830796227</v>
      </c>
      <c r="BL729" s="458">
        <v>0.24723489789253494</v>
      </c>
      <c r="BM729" s="468">
        <v>4.1312073188216925</v>
      </c>
    </row>
    <row r="730" spans="12:65" x14ac:dyDescent="0.3">
      <c r="L730" s="427">
        <v>6138504.7280000001</v>
      </c>
      <c r="BE730" s="477">
        <v>3345187.4899460622</v>
      </c>
      <c r="BF730" s="458">
        <v>3.4644187532204329E-2</v>
      </c>
      <c r="BG730" s="477">
        <v>7142790.6733239871</v>
      </c>
      <c r="BH730" s="458">
        <v>5.3076875499876053E-2</v>
      </c>
      <c r="BI730" s="477">
        <v>17091376.986503743</v>
      </c>
      <c r="BJ730" s="458">
        <v>9.0880383376112706E-2</v>
      </c>
      <c r="BK730" s="477">
        <v>98487238.015569404</v>
      </c>
      <c r="BL730" s="458">
        <v>0.26261181032290404</v>
      </c>
      <c r="BM730" s="468">
        <v>7.6765729694374611</v>
      </c>
    </row>
    <row r="731" spans="12:65" x14ac:dyDescent="0.3">
      <c r="L731" s="427">
        <v>24635429.918499999</v>
      </c>
      <c r="BE731" s="477">
        <v>10074394.666743224</v>
      </c>
      <c r="BF731" s="458">
        <v>3.8271186490423936E-2</v>
      </c>
      <c r="BG731" s="477">
        <v>9196097.1402125135</v>
      </c>
      <c r="BH731" s="458">
        <v>8.0615902845094123E-2</v>
      </c>
      <c r="BI731" s="477">
        <v>13852165.776730414</v>
      </c>
      <c r="BJ731" s="458">
        <v>0.11202213181375842</v>
      </c>
      <c r="BK731" s="477">
        <v>83698057.852873027</v>
      </c>
      <c r="BL731" s="458">
        <v>0.26416510810643956</v>
      </c>
      <c r="BM731" s="468">
        <v>7.3115018449391762</v>
      </c>
    </row>
    <row r="732" spans="12:65" x14ac:dyDescent="0.3">
      <c r="L732" s="427">
        <v>1693778.4323</v>
      </c>
      <c r="BE732" s="477">
        <v>7908840.844034533</v>
      </c>
      <c r="BF732" s="458">
        <v>3.6712106720779403E-2</v>
      </c>
      <c r="BG732" s="477">
        <v>6805269.2949889451</v>
      </c>
      <c r="BH732" s="458">
        <v>7.5064444432395128E-2</v>
      </c>
      <c r="BI732" s="477">
        <v>18308358.571912546</v>
      </c>
      <c r="BJ732" s="458">
        <v>9.3898925921111376E-2</v>
      </c>
      <c r="BK732" s="477">
        <v>83654158.631978869</v>
      </c>
      <c r="BL732" s="458">
        <v>0.26017300242215069</v>
      </c>
      <c r="BM732" s="468">
        <v>5.7168495154536929</v>
      </c>
    </row>
    <row r="733" spans="12:65" x14ac:dyDescent="0.3">
      <c r="L733" s="427">
        <v>11303211.3782</v>
      </c>
      <c r="BE733" s="477">
        <v>4155217.1533444338</v>
      </c>
      <c r="BF733" s="458">
        <v>3.7907847991275334E-2</v>
      </c>
      <c r="BG733" s="477">
        <v>5580115.642458735</v>
      </c>
      <c r="BH733" s="458">
        <v>6.8204008116154569E-2</v>
      </c>
      <c r="BI733" s="477">
        <v>19846529.11579784</v>
      </c>
      <c r="BJ733" s="458">
        <v>0.11028520037430201</v>
      </c>
      <c r="BK733" s="477">
        <v>102016494.99921182</v>
      </c>
      <c r="BL733" s="458">
        <v>0.26497306481981009</v>
      </c>
      <c r="BM733" s="468">
        <v>2.1387760244302987</v>
      </c>
    </row>
    <row r="734" spans="12:65" x14ac:dyDescent="0.3">
      <c r="L734" s="427">
        <v>3001231.8048999999</v>
      </c>
      <c r="BE734" s="477">
        <v>1396080.2074222008</v>
      </c>
      <c r="BF734" s="458">
        <v>7.4638252485320855E-2</v>
      </c>
      <c r="BG734" s="477">
        <v>12301668.350222282</v>
      </c>
      <c r="BH734" s="458">
        <v>9.8379943797590963E-2</v>
      </c>
      <c r="BI734" s="477">
        <v>16568366.189174356</v>
      </c>
      <c r="BJ734" s="458">
        <v>9.7513459798933555E-2</v>
      </c>
      <c r="BK734" s="477">
        <v>88785005.439777702</v>
      </c>
      <c r="BL734" s="458">
        <v>0.26936751328253572</v>
      </c>
      <c r="BM734" s="468">
        <v>4.5221567547913342</v>
      </c>
    </row>
    <row r="735" spans="12:65" x14ac:dyDescent="0.3">
      <c r="L735" s="427">
        <v>4332885.9082000004</v>
      </c>
      <c r="BE735" s="477">
        <v>6756210.5045592953</v>
      </c>
      <c r="BF735" s="458">
        <v>4.527464086717492E-2</v>
      </c>
      <c r="BG735" s="477">
        <v>11938940.195550933</v>
      </c>
      <c r="BH735" s="458">
        <v>5.8917348429935901E-2</v>
      </c>
      <c r="BI735" s="477">
        <v>17829034.717535701</v>
      </c>
      <c r="BJ735" s="458">
        <v>9.5275445198146791E-2</v>
      </c>
      <c r="BK735" s="477">
        <v>86230077.26805459</v>
      </c>
      <c r="BL735" s="458">
        <v>0.28268266733113556</v>
      </c>
      <c r="BM735" s="468">
        <v>8.7289149967555826</v>
      </c>
    </row>
    <row r="736" spans="12:65" x14ac:dyDescent="0.3">
      <c r="L736" s="427">
        <v>13678002.2786</v>
      </c>
      <c r="BE736" s="477">
        <v>7333243.4496639473</v>
      </c>
      <c r="BF736" s="458">
        <v>3.5831219635584333E-2</v>
      </c>
      <c r="BG736" s="477">
        <v>9069298.8381919786</v>
      </c>
      <c r="BH736" s="458">
        <v>5.93146455988387E-2</v>
      </c>
      <c r="BI736" s="477">
        <v>15963760.280642049</v>
      </c>
      <c r="BJ736" s="458">
        <v>0.11903844640721339</v>
      </c>
      <c r="BK736" s="477">
        <v>89796777.59775196</v>
      </c>
      <c r="BL736" s="458">
        <v>0.26168174763535323</v>
      </c>
      <c r="BM736" s="468">
        <v>9.7553582619281798</v>
      </c>
    </row>
    <row r="737" spans="12:65" x14ac:dyDescent="0.3">
      <c r="L737" s="427">
        <v>5615700.5456999997</v>
      </c>
      <c r="BE737" s="477">
        <v>3396619.1973145735</v>
      </c>
      <c r="BF737" s="458">
        <v>5.2941418776574656E-2</v>
      </c>
      <c r="BG737" s="477">
        <v>8093607.7330101887</v>
      </c>
      <c r="BH737" s="458">
        <v>8.0851563087132483E-2</v>
      </c>
      <c r="BI737" s="477">
        <v>17874677.18317946</v>
      </c>
      <c r="BJ737" s="458">
        <v>0.1128561708487561</v>
      </c>
      <c r="BK737" s="477">
        <v>87878604.471671164</v>
      </c>
      <c r="BL737" s="458">
        <v>0.27728448255441962</v>
      </c>
      <c r="BM737" s="468">
        <v>9.5145506918376093</v>
      </c>
    </row>
    <row r="738" spans="12:65" x14ac:dyDescent="0.3">
      <c r="L738" s="427">
        <v>25657681.8904</v>
      </c>
      <c r="BE738" s="477">
        <v>4684693.6308382452</v>
      </c>
      <c r="BF738" s="458">
        <v>3.8362129353380237E-2</v>
      </c>
      <c r="BG738" s="477">
        <v>12056447.085722359</v>
      </c>
      <c r="BH738" s="458">
        <v>5.4149195644208614E-2</v>
      </c>
      <c r="BI738" s="477">
        <v>11520040.845233982</v>
      </c>
      <c r="BJ738" s="458">
        <v>0.11466401511980773</v>
      </c>
      <c r="BK738" s="477">
        <v>97760851.300634786</v>
      </c>
      <c r="BL738" s="458">
        <v>0.28127916211184978</v>
      </c>
      <c r="BM738" s="468">
        <v>17.101511274687077</v>
      </c>
    </row>
    <row r="739" spans="12:65" x14ac:dyDescent="0.3">
      <c r="L739" s="427">
        <v>621987.44090000005</v>
      </c>
      <c r="BE739" s="477">
        <v>4378421.3670897996</v>
      </c>
      <c r="BF739" s="458">
        <v>3.5296374236993167E-2</v>
      </c>
      <c r="BG739" s="477">
        <v>10389530.662204646</v>
      </c>
      <c r="BH739" s="458">
        <v>4.4114168201569992E-2</v>
      </c>
      <c r="BI739" s="477">
        <v>19910522.005423225</v>
      </c>
      <c r="BJ739" s="458">
        <v>0.11007237816494575</v>
      </c>
      <c r="BK739" s="477">
        <v>89407020.663751394</v>
      </c>
      <c r="BL739" s="458">
        <v>0.27652803837985274</v>
      </c>
      <c r="BM739" s="468">
        <v>11.34300400811502</v>
      </c>
    </row>
    <row r="740" spans="12:65" x14ac:dyDescent="0.3">
      <c r="L740" s="427">
        <v>-3870167.5016000001</v>
      </c>
      <c r="BE740" s="477">
        <v>4707356.9853681652</v>
      </c>
      <c r="BF740" s="458">
        <v>5.6939784726140585E-2</v>
      </c>
      <c r="BG740" s="477">
        <v>9931853.8854294978</v>
      </c>
      <c r="BH740" s="458">
        <v>6.2711144960758691E-2</v>
      </c>
      <c r="BI740" s="477">
        <v>21589224.781973749</v>
      </c>
      <c r="BJ740" s="458">
        <v>9.8501187989056715E-2</v>
      </c>
      <c r="BK740" s="477">
        <v>95678746.135734081</v>
      </c>
      <c r="BL740" s="458">
        <v>0.25259695138455496</v>
      </c>
      <c r="BM740" s="468">
        <v>12.300587003549065</v>
      </c>
    </row>
    <row r="741" spans="12:65" x14ac:dyDescent="0.3">
      <c r="L741" s="427">
        <v>11601780.855799999</v>
      </c>
      <c r="BE741" s="477">
        <v>3931266.1130451611</v>
      </c>
      <c r="BF741" s="458">
        <v>4.4307300141780193E-2</v>
      </c>
      <c r="BG741" s="477">
        <v>5922733.0886142021</v>
      </c>
      <c r="BH741" s="458">
        <v>6.0525887624532038E-2</v>
      </c>
      <c r="BI741" s="477">
        <v>13814987.26227681</v>
      </c>
      <c r="BJ741" s="458">
        <v>0.11057071665702622</v>
      </c>
      <c r="BK741" s="477">
        <v>97957041.177046135</v>
      </c>
      <c r="BL741" s="458">
        <v>0.28179990158436574</v>
      </c>
      <c r="BM741" s="468">
        <v>8.8563461755200343</v>
      </c>
    </row>
    <row r="742" spans="12:65" x14ac:dyDescent="0.3">
      <c r="L742" s="427">
        <v>28732809.466699999</v>
      </c>
      <c r="BE742" s="477">
        <v>12234507.792771431</v>
      </c>
      <c r="BF742" s="458">
        <v>4.814756656680852E-2</v>
      </c>
      <c r="BG742" s="477">
        <v>16106212.52021165</v>
      </c>
      <c r="BH742" s="458">
        <v>9.6537165500757194E-2</v>
      </c>
      <c r="BI742" s="477">
        <v>18917797.626962118</v>
      </c>
      <c r="BJ742" s="458">
        <v>8.6791836868995942E-2</v>
      </c>
      <c r="BK742" s="477">
        <v>85473615.9338599</v>
      </c>
      <c r="BL742" s="458">
        <v>0.24231456855894562</v>
      </c>
      <c r="BM742" s="468">
        <v>5.1552567300119998</v>
      </c>
    </row>
    <row r="743" spans="12:65" x14ac:dyDescent="0.3">
      <c r="L743" s="427">
        <v>1307800.46</v>
      </c>
      <c r="BE743" s="477">
        <v>-698254.3548694225</v>
      </c>
      <c r="BF743" s="458">
        <v>4.1884461575341536E-2</v>
      </c>
      <c r="BG743" s="477">
        <v>6388543.6438754583</v>
      </c>
      <c r="BH743" s="458">
        <v>6.7166906678959082E-2</v>
      </c>
      <c r="BI743" s="477">
        <v>19213222.2420104</v>
      </c>
      <c r="BJ743" s="458">
        <v>0.10141138832146535</v>
      </c>
      <c r="BK743" s="477">
        <v>89573734.029778212</v>
      </c>
      <c r="BL743" s="458">
        <v>0.28875067618547634</v>
      </c>
      <c r="BM743" s="468">
        <v>9.0610637264687988</v>
      </c>
    </row>
    <row r="744" spans="12:65" x14ac:dyDescent="0.3">
      <c r="L744" s="427">
        <v>10691988.406400001</v>
      </c>
      <c r="BE744" s="477">
        <v>787901.03725712223</v>
      </c>
      <c r="BF744" s="458">
        <v>0.11376224319973116</v>
      </c>
      <c r="BG744" s="477">
        <v>5258154.8243995206</v>
      </c>
      <c r="BH744" s="458">
        <v>4.424208490567394E-2</v>
      </c>
      <c r="BI744" s="477">
        <v>12830175.19366554</v>
      </c>
      <c r="BJ744" s="458">
        <v>9.2256668365749084E-2</v>
      </c>
      <c r="BK744" s="477">
        <v>83648525.799783245</v>
      </c>
      <c r="BL744" s="458">
        <v>0.26497020430094698</v>
      </c>
      <c r="BM744" s="468">
        <v>-0.26847388484425316</v>
      </c>
    </row>
    <row r="745" spans="12:65" x14ac:dyDescent="0.3">
      <c r="L745" s="427">
        <v>17023279.109299999</v>
      </c>
      <c r="BE745" s="477">
        <v>3330971.6128376788</v>
      </c>
      <c r="BF745" s="458">
        <v>2.0599466185418525E-2</v>
      </c>
      <c r="BG745" s="477">
        <v>11725572.857810916</v>
      </c>
      <c r="BH745" s="458">
        <v>5.6504983571197265E-2</v>
      </c>
      <c r="BI745" s="477">
        <v>14100832.008046774</v>
      </c>
      <c r="BJ745" s="458">
        <v>0.10153614143575118</v>
      </c>
      <c r="BK745" s="477">
        <v>79526461.039261475</v>
      </c>
      <c r="BL745" s="458">
        <v>0.26678916775413297</v>
      </c>
      <c r="BM745" s="468">
        <v>4.1316374974171426</v>
      </c>
    </row>
    <row r="746" spans="12:65" x14ac:dyDescent="0.3">
      <c r="L746" s="427">
        <v>9645298.2442000005</v>
      </c>
      <c r="BE746" s="477">
        <v>6261660.3414492914</v>
      </c>
      <c r="BF746" s="458">
        <v>3.6031431009164283E-2</v>
      </c>
      <c r="BG746" s="477">
        <v>11291016.015585504</v>
      </c>
      <c r="BH746" s="458">
        <v>3.6673500535936654E-2</v>
      </c>
      <c r="BI746" s="477">
        <v>17165855.162176169</v>
      </c>
      <c r="BJ746" s="458">
        <v>0.12514527563137157</v>
      </c>
      <c r="BK746" s="477">
        <v>79766940.24725613</v>
      </c>
      <c r="BL746" s="458">
        <v>0.27035215740995566</v>
      </c>
      <c r="BM746" s="468">
        <v>2.4697074338365708</v>
      </c>
    </row>
    <row r="747" spans="12:65" x14ac:dyDescent="0.3">
      <c r="L747" s="427">
        <v>3829173.1365</v>
      </c>
      <c r="BE747" s="477">
        <v>-744759.25520961534</v>
      </c>
      <c r="BF747" s="458">
        <v>5.0433514487538078E-2</v>
      </c>
      <c r="BG747" s="477">
        <v>12003080.517021962</v>
      </c>
      <c r="BH747" s="458">
        <v>6.1225696124959983E-2</v>
      </c>
      <c r="BI747" s="477">
        <v>15776340.912696797</v>
      </c>
      <c r="BJ747" s="458">
        <v>0.10589089296979193</v>
      </c>
      <c r="BK747" s="477">
        <v>85511825.059055761</v>
      </c>
      <c r="BL747" s="458">
        <v>0.27441613818503119</v>
      </c>
      <c r="BM747" s="468">
        <v>13.446980273684797</v>
      </c>
    </row>
    <row r="748" spans="12:65" x14ac:dyDescent="0.3">
      <c r="L748" s="427">
        <v>7807268.5378</v>
      </c>
      <c r="BE748" s="477">
        <v>2643648.3749769349</v>
      </c>
      <c r="BF748" s="458">
        <v>3.608408076603431E-2</v>
      </c>
      <c r="BG748" s="477">
        <v>8787716.6539311651</v>
      </c>
      <c r="BH748" s="458">
        <v>7.6772805480965989E-2</v>
      </c>
      <c r="BI748" s="477">
        <v>18641096.068096008</v>
      </c>
      <c r="BJ748" s="458">
        <v>0.12064225915603988</v>
      </c>
      <c r="BK748" s="477">
        <v>86464436.612063512</v>
      </c>
      <c r="BL748" s="458">
        <v>0.28241983668688442</v>
      </c>
      <c r="BM748" s="468">
        <v>5.6207656649090136</v>
      </c>
    </row>
    <row r="749" spans="12:65" x14ac:dyDescent="0.3">
      <c r="L749" s="427">
        <v>6367704.8696999997</v>
      </c>
      <c r="BE749" s="477">
        <v>8086067.3901153142</v>
      </c>
      <c r="BF749" s="458">
        <v>5.6771950478303079E-2</v>
      </c>
      <c r="BG749" s="477">
        <v>8163142.0415834831</v>
      </c>
      <c r="BH749" s="458">
        <v>6.5110486528973555E-2</v>
      </c>
      <c r="BI749" s="477">
        <v>15491684.076711884</v>
      </c>
      <c r="BJ749" s="458">
        <v>0.11718057763935219</v>
      </c>
      <c r="BK749" s="477">
        <v>84181936.704327106</v>
      </c>
      <c r="BL749" s="458">
        <v>0.27030962389543522</v>
      </c>
      <c r="BM749" s="468">
        <v>10.247502295264454</v>
      </c>
    </row>
    <row r="750" spans="12:65" x14ac:dyDescent="0.3">
      <c r="L750" s="427">
        <v>8007618.5198999997</v>
      </c>
      <c r="BE750" s="477">
        <v>4328811.2747213999</v>
      </c>
      <c r="BF750" s="458">
        <v>5.3877880028605052E-2</v>
      </c>
      <c r="BG750" s="477">
        <v>9348189.1576770637</v>
      </c>
      <c r="BH750" s="458">
        <v>7.7886252084815144E-2</v>
      </c>
      <c r="BI750" s="477">
        <v>15312319.136787679</v>
      </c>
      <c r="BJ750" s="458">
        <v>0.10444415983045729</v>
      </c>
      <c r="BK750" s="477">
        <v>81596358.255506828</v>
      </c>
      <c r="BL750" s="458">
        <v>0.32729066084970171</v>
      </c>
      <c r="BM750" s="468">
        <v>8.7196611789732081</v>
      </c>
    </row>
    <row r="751" spans="12:65" x14ac:dyDescent="0.3">
      <c r="L751" s="427">
        <v>4777274.5537999999</v>
      </c>
      <c r="BE751" s="477">
        <v>8330442.3373197345</v>
      </c>
      <c r="BF751" s="458">
        <v>4.7583648722554717E-2</v>
      </c>
      <c r="BG751" s="477">
        <v>13314032.943802632</v>
      </c>
      <c r="BH751" s="458">
        <v>4.868099641197654E-2</v>
      </c>
      <c r="BI751" s="477">
        <v>26526840.036633797</v>
      </c>
      <c r="BJ751" s="458">
        <v>8.7108375988259601E-2</v>
      </c>
      <c r="BK751" s="477">
        <v>76366070.598758414</v>
      </c>
      <c r="BL751" s="458">
        <v>0.2784980823621892</v>
      </c>
      <c r="BM751" s="468">
        <v>10.2862061224744</v>
      </c>
    </row>
    <row r="752" spans="12:65" x14ac:dyDescent="0.3">
      <c r="L752" s="427">
        <v>2243113.5118999998</v>
      </c>
      <c r="BE752" s="477">
        <v>4202593.0464719525</v>
      </c>
      <c r="BF752" s="458">
        <v>2.771819692102917E-2</v>
      </c>
      <c r="BG752" s="477">
        <v>11885690.77735796</v>
      </c>
      <c r="BH752" s="458">
        <v>6.6444694013458427E-2</v>
      </c>
      <c r="BI752" s="477">
        <v>22997825.264415059</v>
      </c>
      <c r="BJ752" s="458">
        <v>0.11595601396148925</v>
      </c>
      <c r="BK752" s="477">
        <v>87327511.51366584</v>
      </c>
      <c r="BL752" s="458">
        <v>0.26728043929621603</v>
      </c>
      <c r="BM752" s="468">
        <v>6.8518301077482455</v>
      </c>
    </row>
    <row r="753" spans="12:65" x14ac:dyDescent="0.3">
      <c r="L753" s="427">
        <v>5893955.8557000002</v>
      </c>
      <c r="BE753" s="477">
        <v>232380.5962298988</v>
      </c>
      <c r="BF753" s="458">
        <v>4.3468064877438817E-2</v>
      </c>
      <c r="BG753" s="477">
        <v>7018753.7642628374</v>
      </c>
      <c r="BH753" s="458">
        <v>5.8530916944542488E-2</v>
      </c>
      <c r="BI753" s="477">
        <v>13925953.750821104</v>
      </c>
      <c r="BJ753" s="458">
        <v>0.10106645834913897</v>
      </c>
      <c r="BK753" s="477">
        <v>99575255.726386279</v>
      </c>
      <c r="BL753" s="458">
        <v>0.27272856214985119</v>
      </c>
      <c r="BM753" s="468">
        <v>2.6038763774034273</v>
      </c>
    </row>
    <row r="754" spans="12:65" x14ac:dyDescent="0.3">
      <c r="L754" s="427">
        <v>4303286.3486000001</v>
      </c>
      <c r="BE754" s="477">
        <v>5445235.8615859523</v>
      </c>
      <c r="BF754" s="458">
        <v>2.8768148704086727E-2</v>
      </c>
      <c r="BG754" s="477">
        <v>6294672.5376756983</v>
      </c>
      <c r="BH754" s="458">
        <v>5.8614251047226285E-2</v>
      </c>
      <c r="BI754" s="477">
        <v>22344607.022840511</v>
      </c>
      <c r="BJ754" s="458">
        <v>0.11671414205059771</v>
      </c>
      <c r="BK754" s="477">
        <v>98101656.296510309</v>
      </c>
      <c r="BL754" s="458">
        <v>0.28883250260725535</v>
      </c>
      <c r="BM754" s="468">
        <v>8.2409153804787589</v>
      </c>
    </row>
    <row r="755" spans="12:65" x14ac:dyDescent="0.3">
      <c r="L755" s="427">
        <v>3984257.4264000002</v>
      </c>
      <c r="BE755" s="477">
        <v>7115056.1277811294</v>
      </c>
      <c r="BF755" s="458">
        <v>5.9005273207107134E-2</v>
      </c>
      <c r="BG755" s="477">
        <v>7072344.0639926968</v>
      </c>
      <c r="BH755" s="458">
        <v>3.5696488141300886E-2</v>
      </c>
      <c r="BI755" s="477">
        <v>13841244.828643512</v>
      </c>
      <c r="BJ755" s="458">
        <v>0.11140714707678812</v>
      </c>
      <c r="BK755" s="477">
        <v>106350122.87044856</v>
      </c>
      <c r="BL755" s="458">
        <v>0.27115837175871893</v>
      </c>
      <c r="BM755" s="468">
        <v>11.518285105255606</v>
      </c>
    </row>
    <row r="756" spans="12:65" x14ac:dyDescent="0.3">
      <c r="L756" s="427">
        <v>16181344.0995</v>
      </c>
      <c r="BE756" s="477">
        <v>11328319.87389767</v>
      </c>
      <c r="BF756" s="458">
        <v>3.4933682074250738E-2</v>
      </c>
      <c r="BG756" s="477">
        <v>11047447.165346265</v>
      </c>
      <c r="BH756" s="458">
        <v>8.058857582036083E-2</v>
      </c>
      <c r="BI756" s="477">
        <v>17432954.058655825</v>
      </c>
      <c r="BJ756" s="458">
        <v>0.13801851666132037</v>
      </c>
      <c r="BK756" s="477">
        <v>81547098.567740753</v>
      </c>
      <c r="BL756" s="458">
        <v>0.27485872560849844</v>
      </c>
      <c r="BM756" s="468">
        <v>7.9784060716817811</v>
      </c>
    </row>
    <row r="757" spans="12:65" x14ac:dyDescent="0.3">
      <c r="L757" s="427">
        <v>-2178345.6434999998</v>
      </c>
      <c r="BE757" s="477">
        <v>5626864.8129831571</v>
      </c>
      <c r="BF757" s="458">
        <v>5.3566589935808873E-2</v>
      </c>
      <c r="BG757" s="477">
        <v>10195081.090270281</v>
      </c>
      <c r="BH757" s="458">
        <v>7.4964893821440226E-2</v>
      </c>
      <c r="BI757" s="477">
        <v>18616650.750302121</v>
      </c>
      <c r="BJ757" s="458">
        <v>0.12514756733178523</v>
      </c>
      <c r="BK757" s="477">
        <v>89139386.003032044</v>
      </c>
      <c r="BL757" s="458">
        <v>0.26055099480389776</v>
      </c>
      <c r="BM757" s="468">
        <v>8.0808551052141322</v>
      </c>
    </row>
    <row r="758" spans="12:65" x14ac:dyDescent="0.3">
      <c r="L758" s="427">
        <v>22537032.366300002</v>
      </c>
      <c r="BE758" s="477">
        <v>1517377.6713966695</v>
      </c>
      <c r="BF758" s="458">
        <v>4.5441707330949654E-2</v>
      </c>
      <c r="BG758" s="477">
        <v>10906226.585071728</v>
      </c>
      <c r="BH758" s="458">
        <v>6.1119817583642488E-2</v>
      </c>
      <c r="BI758" s="477">
        <v>22525814.505273506</v>
      </c>
      <c r="BJ758" s="458">
        <v>9.0863680860477691E-2</v>
      </c>
      <c r="BK758" s="477">
        <v>86765262.817342341</v>
      </c>
      <c r="BL758" s="458">
        <v>0.26287045871632531</v>
      </c>
      <c r="BM758" s="468">
        <v>7.7396455265249964</v>
      </c>
    </row>
    <row r="759" spans="12:65" x14ac:dyDescent="0.3">
      <c r="L759" s="427">
        <v>-2043640.6122999999</v>
      </c>
      <c r="BE759" s="477">
        <v>7872207.4973262083</v>
      </c>
      <c r="BF759" s="458">
        <v>4.2849708361771599E-2</v>
      </c>
      <c r="BG759" s="477">
        <v>10687827.490914801</v>
      </c>
      <c r="BH759" s="458">
        <v>6.0546031070643602E-2</v>
      </c>
      <c r="BI759" s="477">
        <v>15166776.16834474</v>
      </c>
      <c r="BJ759" s="458">
        <v>9.2012781255045306E-2</v>
      </c>
      <c r="BK759" s="477">
        <v>78109622.814450651</v>
      </c>
      <c r="BL759" s="458">
        <v>0.27208044841297774</v>
      </c>
      <c r="BM759" s="468">
        <v>7.1453088204404374</v>
      </c>
    </row>
    <row r="760" spans="12:65" x14ac:dyDescent="0.3">
      <c r="L760" s="427">
        <v>827918.87089999998</v>
      </c>
      <c r="BE760" s="477">
        <v>1937874.3596343743</v>
      </c>
      <c r="BF760" s="458">
        <v>8.3916607354658668E-2</v>
      </c>
      <c r="BG760" s="477">
        <v>12078791.387748953</v>
      </c>
      <c r="BH760" s="458">
        <v>5.7750147813660391E-2</v>
      </c>
      <c r="BI760" s="477">
        <v>17711699.072553184</v>
      </c>
      <c r="BJ760" s="458">
        <v>0.12037744329651057</v>
      </c>
      <c r="BK760" s="477">
        <v>86913851.917659327</v>
      </c>
      <c r="BL760" s="458">
        <v>0.26966562703452723</v>
      </c>
      <c r="BM760" s="468">
        <v>5.1199255129845653</v>
      </c>
    </row>
    <row r="761" spans="12:65" x14ac:dyDescent="0.3">
      <c r="L761" s="427">
        <v>9756441.3859999999</v>
      </c>
      <c r="BE761" s="477">
        <v>5716555.6547235493</v>
      </c>
      <c r="BF761" s="458">
        <v>2.8399538131797186E-2</v>
      </c>
      <c r="BG761" s="477">
        <v>8125833.4620158812</v>
      </c>
      <c r="BH761" s="458">
        <v>7.9332352958169317E-2</v>
      </c>
      <c r="BI761" s="477">
        <v>21630066.699491695</v>
      </c>
      <c r="BJ761" s="458">
        <v>0.11012093916721888</v>
      </c>
      <c r="BK761" s="477">
        <v>86807642.434573546</v>
      </c>
      <c r="BL761" s="458">
        <v>0.2730349882676828</v>
      </c>
      <c r="BM761" s="468">
        <v>10.005476166608368</v>
      </c>
    </row>
    <row r="762" spans="12:65" x14ac:dyDescent="0.3">
      <c r="L762" s="427">
        <v>4137923.9983999999</v>
      </c>
      <c r="BE762" s="477">
        <v>5955911.9115912626</v>
      </c>
      <c r="BF762" s="458">
        <v>3.2647159022579197E-2</v>
      </c>
      <c r="BG762" s="477">
        <v>3215572.3181974385</v>
      </c>
      <c r="BH762" s="458">
        <v>7.5871302274458374E-2</v>
      </c>
      <c r="BI762" s="477">
        <v>17216975.24992663</v>
      </c>
      <c r="BJ762" s="458">
        <v>0.10825469981550584</v>
      </c>
      <c r="BK762" s="477">
        <v>94143502.144668937</v>
      </c>
      <c r="BL762" s="458">
        <v>0.26890003828089193</v>
      </c>
      <c r="BM762" s="468">
        <v>4.5381222321906129</v>
      </c>
    </row>
    <row r="763" spans="12:65" x14ac:dyDescent="0.3">
      <c r="L763" s="427">
        <v>-1621150.7102000001</v>
      </c>
      <c r="BE763" s="477">
        <v>6678119.6521720765</v>
      </c>
      <c r="BF763" s="458">
        <v>5.0856986979695318E-2</v>
      </c>
      <c r="BG763" s="477">
        <v>12205728.213484392</v>
      </c>
      <c r="BH763" s="458">
        <v>7.2226025235869074E-2</v>
      </c>
      <c r="BI763" s="477">
        <v>17043482.684157316</v>
      </c>
      <c r="BJ763" s="458">
        <v>9.4218370906689719E-2</v>
      </c>
      <c r="BK763" s="477">
        <v>85240281.912458345</v>
      </c>
      <c r="BL763" s="458">
        <v>0.27310844201679463</v>
      </c>
      <c r="BM763" s="468">
        <v>7.763626319609048</v>
      </c>
    </row>
    <row r="764" spans="12:65" x14ac:dyDescent="0.3">
      <c r="L764" s="427">
        <v>17554913.665800001</v>
      </c>
      <c r="BE764" s="477">
        <v>8112892.3132687816</v>
      </c>
      <c r="BF764" s="458">
        <v>6.2527824838982671E-2</v>
      </c>
      <c r="BG764" s="477">
        <v>11556125.112972654</v>
      </c>
      <c r="BH764" s="458">
        <v>4.1261574023682357E-2</v>
      </c>
      <c r="BI764" s="477">
        <v>14623595.077482237</v>
      </c>
      <c r="BJ764" s="458">
        <v>0.10952576503714462</v>
      </c>
      <c r="BK764" s="477">
        <v>82996209.501336023</v>
      </c>
      <c r="BL764" s="458">
        <v>0.26581363309960127</v>
      </c>
      <c r="BM764" s="468">
        <v>9.5767210372171903</v>
      </c>
    </row>
    <row r="765" spans="12:65" x14ac:dyDescent="0.3">
      <c r="L765" s="427">
        <v>16424358.7622</v>
      </c>
      <c r="BE765" s="477">
        <v>1293757.9673111725</v>
      </c>
      <c r="BF765" s="458">
        <v>5.0580889311570676E-2</v>
      </c>
      <c r="BG765" s="477">
        <v>5919958.0528974514</v>
      </c>
      <c r="BH765" s="458">
        <v>5.1384203288289187E-2</v>
      </c>
      <c r="BI765" s="477">
        <v>22793828.467211161</v>
      </c>
      <c r="BJ765" s="458">
        <v>8.925390280168588E-2</v>
      </c>
      <c r="BK765" s="477">
        <v>70814318.435371354</v>
      </c>
      <c r="BL765" s="458">
        <v>0.27607662076145667</v>
      </c>
      <c r="BM765" s="468">
        <v>12.567781791535101</v>
      </c>
    </row>
    <row r="766" spans="12:65" x14ac:dyDescent="0.3">
      <c r="L766" s="427">
        <v>7545401.9183999998</v>
      </c>
      <c r="BE766" s="477">
        <v>10289468.848007774</v>
      </c>
      <c r="BF766" s="458">
        <v>2.953311196708297E-2</v>
      </c>
      <c r="BG766" s="477">
        <v>8595314.3011740837</v>
      </c>
      <c r="BH766" s="458">
        <v>0.10018240032630543</v>
      </c>
      <c r="BI766" s="477">
        <v>19846264.078166567</v>
      </c>
      <c r="BJ766" s="458">
        <v>0.11288453057637926</v>
      </c>
      <c r="BK766" s="477">
        <v>90128045.048860759</v>
      </c>
      <c r="BL766" s="458">
        <v>0.25387846973557959</v>
      </c>
      <c r="BM766" s="468">
        <v>11.97921253621646</v>
      </c>
    </row>
    <row r="767" spans="12:65" x14ac:dyDescent="0.3">
      <c r="L767" s="427">
        <v>10416086.891000001</v>
      </c>
      <c r="BE767" s="477">
        <v>6090664.7803052086</v>
      </c>
      <c r="BF767" s="458">
        <v>4.740050397615847E-2</v>
      </c>
      <c r="BG767" s="477">
        <v>7135015.278128461</v>
      </c>
      <c r="BH767" s="458">
        <v>6.5302055814036031E-2</v>
      </c>
      <c r="BI767" s="477">
        <v>17746983.802761544</v>
      </c>
      <c r="BJ767" s="458">
        <v>9.3039491829258081E-2</v>
      </c>
      <c r="BK767" s="477">
        <v>88165412.221936584</v>
      </c>
      <c r="BL767" s="458">
        <v>0.29585968413515062</v>
      </c>
      <c r="BM767" s="468">
        <v>3.4441028803510934</v>
      </c>
    </row>
    <row r="768" spans="12:65" x14ac:dyDescent="0.3">
      <c r="L768" s="427">
        <v>13600530.454600001</v>
      </c>
      <c r="BE768" s="477">
        <v>4756651.9418941671</v>
      </c>
      <c r="BF768" s="458">
        <v>4.0376530577345804E-2</v>
      </c>
      <c r="BG768" s="477">
        <v>5524267.9321756605</v>
      </c>
      <c r="BH768" s="458">
        <v>4.3607631372311717E-2</v>
      </c>
      <c r="BI768" s="477">
        <v>9106675.013770191</v>
      </c>
      <c r="BJ768" s="458">
        <v>0.11704269000300216</v>
      </c>
      <c r="BK768" s="477">
        <v>100071603.78704073</v>
      </c>
      <c r="BL768" s="458">
        <v>0.2839958845014483</v>
      </c>
      <c r="BM768" s="468">
        <v>7.9366410024443557</v>
      </c>
    </row>
    <row r="769" spans="12:65" x14ac:dyDescent="0.3">
      <c r="L769" s="427">
        <v>7338059.4649</v>
      </c>
      <c r="BE769" s="477">
        <v>441370.50019725214</v>
      </c>
      <c r="BF769" s="458">
        <v>3.4715821484173848E-2</v>
      </c>
      <c r="BG769" s="477">
        <v>11585267.470169932</v>
      </c>
      <c r="BH769" s="458">
        <v>4.4152532026682012E-2</v>
      </c>
      <c r="BI769" s="477">
        <v>11664241.032110296</v>
      </c>
      <c r="BJ769" s="458">
        <v>0.1053135130384566</v>
      </c>
      <c r="BK769" s="477">
        <v>89315578.398319542</v>
      </c>
      <c r="BL769" s="458">
        <v>0.2937410043139761</v>
      </c>
      <c r="BM769" s="468">
        <v>4.475618952564286</v>
      </c>
    </row>
    <row r="770" spans="12:65" x14ac:dyDescent="0.3">
      <c r="L770" s="427">
        <v>11935924.693600001</v>
      </c>
      <c r="BE770" s="477">
        <v>6495267.668080599</v>
      </c>
      <c r="BF770" s="458">
        <v>3.9464143647439665E-2</v>
      </c>
      <c r="BG770" s="477">
        <v>11829623.61012671</v>
      </c>
      <c r="BH770" s="458">
        <v>5.8264631563797575E-2</v>
      </c>
      <c r="BI770" s="477">
        <v>21046161.408086579</v>
      </c>
      <c r="BJ770" s="458">
        <v>0.14032453116799859</v>
      </c>
      <c r="BK770" s="477">
        <v>98083774.497821063</v>
      </c>
      <c r="BL770" s="458">
        <v>0.28322814618293135</v>
      </c>
      <c r="BM770" s="468">
        <v>8.2493852997531789</v>
      </c>
    </row>
    <row r="771" spans="12:65" x14ac:dyDescent="0.3">
      <c r="L771" s="427">
        <v>10235732.8102</v>
      </c>
      <c r="BE771" s="477">
        <v>5411297.7884580093</v>
      </c>
      <c r="BF771" s="458">
        <v>5.0634972214221863E-2</v>
      </c>
      <c r="BG771" s="477">
        <v>12494824.313068662</v>
      </c>
      <c r="BH771" s="458">
        <v>8.65884025809045E-2</v>
      </c>
      <c r="BI771" s="477">
        <v>15553211.902824238</v>
      </c>
      <c r="BJ771" s="458">
        <v>0.11922381418079531</v>
      </c>
      <c r="BK771" s="477">
        <v>93550226.145563602</v>
      </c>
      <c r="BL771" s="458">
        <v>0.26885185083267271</v>
      </c>
      <c r="BM771" s="468">
        <v>9.7423453765708565</v>
      </c>
    </row>
    <row r="772" spans="12:65" x14ac:dyDescent="0.3">
      <c r="L772" s="427">
        <v>27136299.2042</v>
      </c>
      <c r="BE772" s="477">
        <v>3942016.7432350968</v>
      </c>
      <c r="BF772" s="458">
        <v>6.7339633556874334E-2</v>
      </c>
      <c r="BG772" s="477">
        <v>12664774.614867575</v>
      </c>
      <c r="BH772" s="458">
        <v>4.8657109753545758E-2</v>
      </c>
      <c r="BI772" s="477">
        <v>19418626.198958997</v>
      </c>
      <c r="BJ772" s="458">
        <v>0.12073262067561119</v>
      </c>
      <c r="BK772" s="477">
        <v>87985177.014976308</v>
      </c>
      <c r="BL772" s="458">
        <v>0.27570369932994443</v>
      </c>
      <c r="BM772" s="468">
        <v>10.991362278872396</v>
      </c>
    </row>
    <row r="773" spans="12:65" x14ac:dyDescent="0.3">
      <c r="L773" s="427">
        <v>-2750282.7562000002</v>
      </c>
      <c r="BE773" s="477">
        <v>4593631.5162832029</v>
      </c>
      <c r="BF773" s="458">
        <v>1.765607343758191E-2</v>
      </c>
      <c r="BG773" s="477">
        <v>7634995.2758693267</v>
      </c>
      <c r="BH773" s="458">
        <v>5.7813068907088594E-2</v>
      </c>
      <c r="BI773" s="477">
        <v>13613482.924769638</v>
      </c>
      <c r="BJ773" s="458">
        <v>0.11851189612903545</v>
      </c>
      <c r="BK773" s="477">
        <v>89286197.706510812</v>
      </c>
      <c r="BL773" s="458">
        <v>0.26830579223051543</v>
      </c>
      <c r="BM773" s="468">
        <v>12.392197385012256</v>
      </c>
    </row>
    <row r="774" spans="12:65" x14ac:dyDescent="0.3">
      <c r="L774" s="427">
        <v>10624675.9761</v>
      </c>
      <c r="BE774" s="477">
        <v>5410205.8891723854</v>
      </c>
      <c r="BF774" s="458">
        <v>8.5825434731573891E-2</v>
      </c>
      <c r="BG774" s="477">
        <v>12834067.725534467</v>
      </c>
      <c r="BH774" s="458">
        <v>7.2041195347007481E-2</v>
      </c>
      <c r="BI774" s="477">
        <v>15893166.501500674</v>
      </c>
      <c r="BJ774" s="458">
        <v>0.12062138140001011</v>
      </c>
      <c r="BK774" s="477">
        <v>92665724.430693954</v>
      </c>
      <c r="BL774" s="458">
        <v>0.26434498488948588</v>
      </c>
      <c r="BM774" s="468">
        <v>7.9863882998791809</v>
      </c>
    </row>
    <row r="775" spans="12:65" x14ac:dyDescent="0.3">
      <c r="L775" s="427">
        <v>2015594.1089999999</v>
      </c>
      <c r="BE775" s="477">
        <v>3285030.0820150045</v>
      </c>
      <c r="BF775" s="458">
        <v>3.9788840765272004E-2</v>
      </c>
      <c r="BG775" s="477">
        <v>8673540.9570424668</v>
      </c>
      <c r="BH775" s="458">
        <v>6.9193305926834592E-2</v>
      </c>
      <c r="BI775" s="477">
        <v>22764202.840823848</v>
      </c>
      <c r="BJ775" s="458">
        <v>0.13430687116455742</v>
      </c>
      <c r="BK775" s="477">
        <v>82540397.147688195</v>
      </c>
      <c r="BL775" s="458">
        <v>0.26723915081628835</v>
      </c>
      <c r="BM775" s="468">
        <v>3.5435385104988102</v>
      </c>
    </row>
    <row r="776" spans="12:65" x14ac:dyDescent="0.3">
      <c r="L776" s="427">
        <v>4033443.8297000001</v>
      </c>
      <c r="BE776" s="477">
        <v>469271.02638881531</v>
      </c>
      <c r="BF776" s="458">
        <v>4.0058644134158827E-2</v>
      </c>
      <c r="BG776" s="477">
        <v>9486903.1826782823</v>
      </c>
      <c r="BH776" s="458">
        <v>7.2512022973547197E-2</v>
      </c>
      <c r="BI776" s="477">
        <v>12314011.849094817</v>
      </c>
      <c r="BJ776" s="458">
        <v>0.13778436647303538</v>
      </c>
      <c r="BK776" s="477">
        <v>89819630.502831906</v>
      </c>
      <c r="BL776" s="458">
        <v>0.28426540701369474</v>
      </c>
      <c r="BM776" s="468">
        <v>10.909886578095987</v>
      </c>
    </row>
    <row r="777" spans="12:65" x14ac:dyDescent="0.3">
      <c r="L777" s="427">
        <v>4266274.5323999999</v>
      </c>
      <c r="BE777" s="477">
        <v>3109730.4825997464</v>
      </c>
      <c r="BF777" s="458">
        <v>5.8594612030947513E-2</v>
      </c>
      <c r="BG777" s="477">
        <v>8993637.472105287</v>
      </c>
      <c r="BH777" s="458">
        <v>6.9252907304125255E-2</v>
      </c>
      <c r="BI777" s="477">
        <v>15268705.065047922</v>
      </c>
      <c r="BJ777" s="458">
        <v>9.5707370768598032E-2</v>
      </c>
      <c r="BK777" s="477">
        <v>86992788.132580444</v>
      </c>
      <c r="BL777" s="458">
        <v>0.2660107380571195</v>
      </c>
      <c r="BM777" s="468">
        <v>14.657395763675442</v>
      </c>
    </row>
    <row r="778" spans="12:65" x14ac:dyDescent="0.3">
      <c r="L778" s="427">
        <v>2296809.3747</v>
      </c>
      <c r="BE778" s="477">
        <v>8939191.423034329</v>
      </c>
      <c r="BF778" s="458">
        <v>3.755969968582451E-2</v>
      </c>
      <c r="BG778" s="477">
        <v>14008409.626140058</v>
      </c>
      <c r="BH778" s="458">
        <v>8.003373657267332E-2</v>
      </c>
      <c r="BI778" s="477">
        <v>15143500.666301336</v>
      </c>
      <c r="BJ778" s="458">
        <v>9.4346304082903343E-2</v>
      </c>
      <c r="BK778" s="477">
        <v>100314848.83195248</v>
      </c>
      <c r="BL778" s="458">
        <v>0.27896479690146014</v>
      </c>
      <c r="BM778" s="468">
        <v>11.840014772534726</v>
      </c>
    </row>
    <row r="779" spans="12:65" x14ac:dyDescent="0.3">
      <c r="L779" s="427">
        <v>20456492.653999999</v>
      </c>
      <c r="BE779" s="477">
        <v>8169493.768573002</v>
      </c>
      <c r="BF779" s="458">
        <v>3.2559577664820205E-2</v>
      </c>
      <c r="BG779" s="477">
        <v>2625002.2292721975</v>
      </c>
      <c r="BH779" s="458">
        <v>8.2296512585531278E-2</v>
      </c>
      <c r="BI779" s="477">
        <v>22537266.74865609</v>
      </c>
      <c r="BJ779" s="458">
        <v>0.12400264563388141</v>
      </c>
      <c r="BK779" s="477">
        <v>102688000.97605942</v>
      </c>
      <c r="BL779" s="458">
        <v>0.26852368772188684</v>
      </c>
      <c r="BM779" s="468">
        <v>6.7347029386995585</v>
      </c>
    </row>
    <row r="780" spans="12:65" x14ac:dyDescent="0.3">
      <c r="L780" s="427">
        <v>4605764.3978000004</v>
      </c>
      <c r="BE780" s="477">
        <v>10272181.1946963</v>
      </c>
      <c r="BF780" s="458">
        <v>3.5591744509429368E-2</v>
      </c>
      <c r="BG780" s="477">
        <v>-3313541.4962392631</v>
      </c>
      <c r="BH780" s="458">
        <v>7.6569541267980101E-2</v>
      </c>
      <c r="BI780" s="477">
        <v>16307722.724448813</v>
      </c>
      <c r="BJ780" s="458">
        <v>0.1139895100046262</v>
      </c>
      <c r="BK780" s="477">
        <v>89641348.933628485</v>
      </c>
      <c r="BL780" s="458">
        <v>0.28675543619024468</v>
      </c>
      <c r="BM780" s="468">
        <v>7.8265095128838045</v>
      </c>
    </row>
    <row r="781" spans="12:65" x14ac:dyDescent="0.3">
      <c r="L781" s="427">
        <v>16617140.6306</v>
      </c>
      <c r="BE781" s="477">
        <v>9393202.9567901213</v>
      </c>
      <c r="BF781" s="458">
        <v>3.0252940663321182E-2</v>
      </c>
      <c r="BG781" s="477">
        <v>8634194.8535637576</v>
      </c>
      <c r="BH781" s="458">
        <v>5.0134175201141051E-2</v>
      </c>
      <c r="BI781" s="477">
        <v>11522666.190203801</v>
      </c>
      <c r="BJ781" s="458">
        <v>9.5647426578383987E-2</v>
      </c>
      <c r="BK781" s="477">
        <v>91168279.389314607</v>
      </c>
      <c r="BL781" s="458">
        <v>0.29115248611008648</v>
      </c>
      <c r="BM781" s="468">
        <v>6.0985391072528916</v>
      </c>
    </row>
    <row r="782" spans="12:65" x14ac:dyDescent="0.3">
      <c r="L782" s="427">
        <v>2222072.9695000001</v>
      </c>
      <c r="BE782" s="477">
        <v>1945657.2133743428</v>
      </c>
      <c r="BF782" s="458">
        <v>3.586287307752456E-2</v>
      </c>
      <c r="BG782" s="477">
        <v>13799667.693166958</v>
      </c>
      <c r="BH782" s="458">
        <v>7.0421505375077631E-2</v>
      </c>
      <c r="BI782" s="477">
        <v>17897660.220580745</v>
      </c>
      <c r="BJ782" s="458">
        <v>0.12326217637560299</v>
      </c>
      <c r="BK782" s="477">
        <v>72646283.776179314</v>
      </c>
      <c r="BL782" s="458">
        <v>0.26892068902377919</v>
      </c>
      <c r="BM782" s="468">
        <v>8.8492723834525702</v>
      </c>
    </row>
    <row r="783" spans="12:65" x14ac:dyDescent="0.3">
      <c r="L783" s="427">
        <v>118144.3064</v>
      </c>
      <c r="BE783" s="477">
        <v>7184672.3849947536</v>
      </c>
      <c r="BF783" s="458">
        <v>3.8319001166498667E-2</v>
      </c>
      <c r="BG783" s="477">
        <v>9980783.3464285042</v>
      </c>
      <c r="BH783" s="458">
        <v>4.742242587408918E-2</v>
      </c>
      <c r="BI783" s="477">
        <v>16726842.17623597</v>
      </c>
      <c r="BJ783" s="458">
        <v>9.8254139353900705E-2</v>
      </c>
      <c r="BK783" s="477">
        <v>84336006.004091948</v>
      </c>
      <c r="BL783" s="458">
        <v>0.2567552277318299</v>
      </c>
      <c r="BM783" s="468">
        <v>4.7091060378450313</v>
      </c>
    </row>
    <row r="784" spans="12:65" x14ac:dyDescent="0.3">
      <c r="L784" s="427">
        <v>18302031.053399999</v>
      </c>
      <c r="BE784" s="477">
        <v>8901292.0448549427</v>
      </c>
      <c r="BF784" s="458">
        <v>4.6347874169818226E-2</v>
      </c>
      <c r="BG784" s="477">
        <v>4626618.6408572141</v>
      </c>
      <c r="BH784" s="458">
        <v>6.3467878114479737E-2</v>
      </c>
      <c r="BI784" s="477">
        <v>18175431.576194521</v>
      </c>
      <c r="BJ784" s="458">
        <v>0.13916104937167129</v>
      </c>
      <c r="BK784" s="477">
        <v>95210576.882918</v>
      </c>
      <c r="BL784" s="458">
        <v>0.27382543291343175</v>
      </c>
      <c r="BM784" s="468">
        <v>13.775227089972699</v>
      </c>
    </row>
    <row r="785" spans="12:65" x14ac:dyDescent="0.3">
      <c r="L785" s="427">
        <v>14898761.471100001</v>
      </c>
      <c r="BE785" s="477">
        <v>6708936.0024661534</v>
      </c>
      <c r="BF785" s="458">
        <v>5.7625422621486289E-2</v>
      </c>
      <c r="BG785" s="477">
        <v>10367338.463845987</v>
      </c>
      <c r="BH785" s="458">
        <v>6.6363690936501962E-2</v>
      </c>
      <c r="BI785" s="477">
        <v>15522733.251738744</v>
      </c>
      <c r="BJ785" s="458">
        <v>0.10873707252326104</v>
      </c>
      <c r="BK785" s="477">
        <v>79314299.650641233</v>
      </c>
      <c r="BL785" s="458">
        <v>0.26349028474008218</v>
      </c>
      <c r="BM785" s="468">
        <v>7.8342837331515582</v>
      </c>
    </row>
    <row r="786" spans="12:65" x14ac:dyDescent="0.3">
      <c r="L786" s="427">
        <v>12187252.6402</v>
      </c>
      <c r="BE786" s="477">
        <v>7626383.725816438</v>
      </c>
      <c r="BF786" s="458">
        <v>5.5973585298254136E-2</v>
      </c>
      <c r="BG786" s="477">
        <v>14253623.04247863</v>
      </c>
      <c r="BH786" s="458">
        <v>6.9074152625677288E-2</v>
      </c>
      <c r="BI786" s="477">
        <v>21344541.42054709</v>
      </c>
      <c r="BJ786" s="458">
        <v>0.10521113389195702</v>
      </c>
      <c r="BK786" s="477">
        <v>87998990.629512817</v>
      </c>
      <c r="BL786" s="458">
        <v>0.26923884579962554</v>
      </c>
      <c r="BM786" s="468">
        <v>8.5527608064806593</v>
      </c>
    </row>
    <row r="787" spans="12:65" x14ac:dyDescent="0.3">
      <c r="L787" s="427">
        <v>30001488.462400001</v>
      </c>
      <c r="BE787" s="477">
        <v>5198663.3849717323</v>
      </c>
      <c r="BF787" s="458">
        <v>4.5091602904703487E-2</v>
      </c>
      <c r="BG787" s="477">
        <v>5227919.3644550471</v>
      </c>
      <c r="BH787" s="458">
        <v>4.5581879585341545E-2</v>
      </c>
      <c r="BI787" s="477">
        <v>8834363.6995029263</v>
      </c>
      <c r="BJ787" s="458">
        <v>0.11186647595592891</v>
      </c>
      <c r="BK787" s="477">
        <v>82366426.431039035</v>
      </c>
      <c r="BL787" s="458">
        <v>0.26245505551924997</v>
      </c>
      <c r="BM787" s="468">
        <v>3.4756457746300224</v>
      </c>
    </row>
    <row r="788" spans="12:65" x14ac:dyDescent="0.3">
      <c r="L788" s="427">
        <v>12813737.443600001</v>
      </c>
      <c r="BE788" s="477">
        <v>7216944.180163715</v>
      </c>
      <c r="BF788" s="458">
        <v>1.8856751120340354E-2</v>
      </c>
      <c r="BG788" s="477">
        <v>16378929.048456572</v>
      </c>
      <c r="BH788" s="458">
        <v>6.1370277133143691E-2</v>
      </c>
      <c r="BI788" s="477">
        <v>17878045.327135216</v>
      </c>
      <c r="BJ788" s="458">
        <v>0.11503901368582858</v>
      </c>
      <c r="BK788" s="477">
        <v>86774249.909502611</v>
      </c>
      <c r="BL788" s="458">
        <v>0.25788641247634203</v>
      </c>
      <c r="BM788" s="468">
        <v>0.24191941906419689</v>
      </c>
    </row>
    <row r="789" spans="12:65" x14ac:dyDescent="0.3">
      <c r="L789" s="427">
        <v>-147685.29610000001</v>
      </c>
      <c r="BE789" s="477">
        <v>7303914.2305180579</v>
      </c>
      <c r="BF789" s="458">
        <v>2.7609900131364773E-2</v>
      </c>
      <c r="BG789" s="477">
        <v>15262244.788680544</v>
      </c>
      <c r="BH789" s="458">
        <v>6.7876643972377693E-2</v>
      </c>
      <c r="BI789" s="477">
        <v>26826713.938990809</v>
      </c>
      <c r="BJ789" s="458">
        <v>0.17543271632983792</v>
      </c>
      <c r="BK789" s="477">
        <v>89822594.942538545</v>
      </c>
      <c r="BL789" s="458">
        <v>0.26664187035322851</v>
      </c>
      <c r="BM789" s="468">
        <v>2.6021760547592772</v>
      </c>
    </row>
    <row r="790" spans="12:65" x14ac:dyDescent="0.3">
      <c r="L790" s="427">
        <v>16065935.6982</v>
      </c>
      <c r="BE790" s="477">
        <v>4205176.9808831243</v>
      </c>
      <c r="BF790" s="458">
        <v>5.2642965614553283E-2</v>
      </c>
      <c r="BG790" s="477">
        <v>6006873.4443666544</v>
      </c>
      <c r="BH790" s="458">
        <v>5.3212526915447755E-2</v>
      </c>
      <c r="BI790" s="477">
        <v>15295757.076441659</v>
      </c>
      <c r="BJ790" s="458">
        <v>9.9560464079132105E-2</v>
      </c>
      <c r="BK790" s="477">
        <v>79368762.24871473</v>
      </c>
      <c r="BL790" s="458">
        <v>0.25629495459948415</v>
      </c>
      <c r="BM790" s="468">
        <v>9.5560855582928461</v>
      </c>
    </row>
    <row r="791" spans="12:65" x14ac:dyDescent="0.3">
      <c r="L791" s="427">
        <v>-6985685.8661000002</v>
      </c>
      <c r="BE791" s="477">
        <v>6729267.5332096517</v>
      </c>
      <c r="BF791" s="458">
        <v>5.1922042597177587E-2</v>
      </c>
      <c r="BG791" s="477">
        <v>7199993.8945320342</v>
      </c>
      <c r="BH791" s="458">
        <v>7.500543696821671E-2</v>
      </c>
      <c r="BI791" s="477">
        <v>11453096.242881043</v>
      </c>
      <c r="BJ791" s="458">
        <v>0.11896627225680612</v>
      </c>
      <c r="BK791" s="477">
        <v>100417952.11418365</v>
      </c>
      <c r="BL791" s="458">
        <v>0.29335370931316262</v>
      </c>
      <c r="BM791" s="468">
        <v>7.9844126509854245</v>
      </c>
    </row>
    <row r="792" spans="12:65" x14ac:dyDescent="0.3">
      <c r="L792" s="427">
        <v>23927050.376600001</v>
      </c>
      <c r="BE792" s="477">
        <v>2701102.1918540141</v>
      </c>
      <c r="BF792" s="458">
        <v>3.6683375106778549E-2</v>
      </c>
      <c r="BG792" s="477">
        <v>11514208.638571192</v>
      </c>
      <c r="BH792" s="458">
        <v>8.516158343858482E-2</v>
      </c>
      <c r="BI792" s="477">
        <v>13564913.116794731</v>
      </c>
      <c r="BJ792" s="458">
        <v>7.9568877295948637E-2</v>
      </c>
      <c r="BK792" s="477">
        <v>90316621.069812864</v>
      </c>
      <c r="BL792" s="458">
        <v>0.24661892836600785</v>
      </c>
      <c r="BM792" s="468">
        <v>10.220209547125098</v>
      </c>
    </row>
    <row r="793" spans="12:65" x14ac:dyDescent="0.3">
      <c r="L793" s="427">
        <v>7351512.6320000002</v>
      </c>
      <c r="BE793" s="477">
        <v>3559815.3335660729</v>
      </c>
      <c r="BF793" s="458">
        <v>4.3506233733124011E-2</v>
      </c>
      <c r="BG793" s="477">
        <v>2653162.8274025004</v>
      </c>
      <c r="BH793" s="458">
        <v>4.9593715663480031E-2</v>
      </c>
      <c r="BI793" s="477">
        <v>12926867.384521427</v>
      </c>
      <c r="BJ793" s="458">
        <v>0.13030796004488621</v>
      </c>
      <c r="BK793" s="477">
        <v>94611097.2556988</v>
      </c>
      <c r="BL793" s="458">
        <v>0.26258028870205252</v>
      </c>
      <c r="BM793" s="468">
        <v>12.892684469642436</v>
      </c>
    </row>
    <row r="794" spans="12:65" x14ac:dyDescent="0.3">
      <c r="L794" s="427">
        <v>12525199.518300001</v>
      </c>
      <c r="BE794" s="477">
        <v>6282757.5696230428</v>
      </c>
      <c r="BF794" s="458">
        <v>3.598834710076626E-2</v>
      </c>
      <c r="BG794" s="477">
        <v>14203204.869351398</v>
      </c>
      <c r="BH794" s="458">
        <v>6.5542417794962837E-2</v>
      </c>
      <c r="BI794" s="477">
        <v>15948262.130828388</v>
      </c>
      <c r="BJ794" s="458">
        <v>0.10819558154105002</v>
      </c>
      <c r="BK794" s="477">
        <v>75081568.538759202</v>
      </c>
      <c r="BL794" s="458">
        <v>0.27785550106224122</v>
      </c>
      <c r="BM794" s="468">
        <v>-0.12185962019517582</v>
      </c>
    </row>
    <row r="795" spans="12:65" x14ac:dyDescent="0.3">
      <c r="L795" s="427">
        <v>16078339.5908</v>
      </c>
      <c r="BE795" s="477">
        <v>7985573.0891912933</v>
      </c>
      <c r="BF795" s="458">
        <v>4.8305466724035018E-2</v>
      </c>
      <c r="BG795" s="477">
        <v>6727910.2439588727</v>
      </c>
      <c r="BH795" s="458">
        <v>8.8785893862524778E-2</v>
      </c>
      <c r="BI795" s="477">
        <v>10462041.046258133</v>
      </c>
      <c r="BJ795" s="458">
        <v>0.11941683874772258</v>
      </c>
      <c r="BK795" s="477">
        <v>96530127.740661442</v>
      </c>
      <c r="BL795" s="458">
        <v>0.27457029943021971</v>
      </c>
      <c r="BM795" s="468">
        <v>7.9336346001202322</v>
      </c>
    </row>
    <row r="796" spans="12:65" x14ac:dyDescent="0.3">
      <c r="L796" s="427">
        <v>6913728.5597000001</v>
      </c>
      <c r="BE796" s="477">
        <v>7165607.0755065447</v>
      </c>
      <c r="BF796" s="458">
        <v>5.5686190934705282E-2</v>
      </c>
      <c r="BG796" s="477">
        <v>3013316.6404088624</v>
      </c>
      <c r="BH796" s="458">
        <v>4.1241991959923174E-2</v>
      </c>
      <c r="BI796" s="477">
        <v>16686060.858251806</v>
      </c>
      <c r="BJ796" s="458">
        <v>0.11058516973444643</v>
      </c>
      <c r="BK796" s="477">
        <v>81242705.830424145</v>
      </c>
      <c r="BL796" s="458">
        <v>0.25727188643179333</v>
      </c>
      <c r="BM796" s="468">
        <v>7.1697079952226526</v>
      </c>
    </row>
    <row r="797" spans="12:65" x14ac:dyDescent="0.3">
      <c r="L797" s="427">
        <v>6840506.6505000005</v>
      </c>
      <c r="BE797" s="477">
        <v>10136654.110634902</v>
      </c>
      <c r="BF797" s="458">
        <v>4.1147824830612079E-2</v>
      </c>
      <c r="BG797" s="477">
        <v>10857807.306442065</v>
      </c>
      <c r="BH797" s="458">
        <v>5.7360372950017169E-2</v>
      </c>
      <c r="BI797" s="477">
        <v>13092143.473218728</v>
      </c>
      <c r="BJ797" s="458">
        <v>0.1198283062763541</v>
      </c>
      <c r="BK797" s="477">
        <v>92549189.969004348</v>
      </c>
      <c r="BL797" s="458">
        <v>0.28549746730767667</v>
      </c>
      <c r="BM797" s="468">
        <v>8.7477952549152569</v>
      </c>
    </row>
    <row r="798" spans="12:65" x14ac:dyDescent="0.3">
      <c r="L798" s="427">
        <v>12870589.4747</v>
      </c>
      <c r="BE798" s="477">
        <v>5031382.7498555472</v>
      </c>
      <c r="BF798" s="458">
        <v>5.8067767917678204E-2</v>
      </c>
      <c r="BG798" s="477">
        <v>14432227.420186032</v>
      </c>
      <c r="BH798" s="458">
        <v>6.174253835624377E-2</v>
      </c>
      <c r="BI798" s="477">
        <v>21909417.531597991</v>
      </c>
      <c r="BJ798" s="458">
        <v>0.10338960242170403</v>
      </c>
      <c r="BK798" s="477">
        <v>82368913.228812143</v>
      </c>
      <c r="BL798" s="458">
        <v>0.24943951718600599</v>
      </c>
      <c r="BM798" s="468">
        <v>11.205048442990282</v>
      </c>
    </row>
    <row r="799" spans="12:65" x14ac:dyDescent="0.3">
      <c r="L799" s="427">
        <v>-7965635.7712000003</v>
      </c>
      <c r="BE799" s="477">
        <v>7776810.0690849805</v>
      </c>
      <c r="BF799" s="458">
        <v>3.5046195009394099E-2</v>
      </c>
      <c r="BG799" s="477">
        <v>11853063.829830928</v>
      </c>
      <c r="BH799" s="458">
        <v>9.0586607124941709E-2</v>
      </c>
      <c r="BI799" s="477">
        <v>15347917.926640689</v>
      </c>
      <c r="BJ799" s="458">
        <v>9.9803640582158737E-2</v>
      </c>
      <c r="BK799" s="477">
        <v>83932210.243120328</v>
      </c>
      <c r="BL799" s="458">
        <v>0.26513026501906034</v>
      </c>
      <c r="BM799" s="468">
        <v>5.86485650191264</v>
      </c>
    </row>
    <row r="800" spans="12:65" x14ac:dyDescent="0.3">
      <c r="L800" s="427">
        <v>-9268697.5977999996</v>
      </c>
      <c r="BE800" s="477">
        <v>5526247.144289148</v>
      </c>
      <c r="BF800" s="458">
        <v>5.6098877277141801E-2</v>
      </c>
      <c r="BG800" s="477">
        <v>12075604.031163348</v>
      </c>
      <c r="BH800" s="458">
        <v>7.3019280585805868E-2</v>
      </c>
      <c r="BI800" s="477">
        <v>19615498.703647222</v>
      </c>
      <c r="BJ800" s="458">
        <v>9.4484233782956339E-2</v>
      </c>
      <c r="BK800" s="477">
        <v>84032106.764016256</v>
      </c>
      <c r="BL800" s="458">
        <v>0.29681509199285605</v>
      </c>
      <c r="BM800" s="468">
        <v>6.6954691809030198</v>
      </c>
    </row>
    <row r="801" spans="12:65" x14ac:dyDescent="0.3">
      <c r="L801" s="427">
        <v>10218321.820699999</v>
      </c>
      <c r="BE801" s="477">
        <v>1689168.3341274951</v>
      </c>
      <c r="BF801" s="458">
        <v>5.739915480833524E-2</v>
      </c>
      <c r="BG801" s="477">
        <v>5971639.3171508638</v>
      </c>
      <c r="BH801" s="458">
        <v>5.5602394038036795E-2</v>
      </c>
      <c r="BI801" s="477">
        <v>10741562.288072079</v>
      </c>
      <c r="BJ801" s="458">
        <v>0.11006307432068407</v>
      </c>
      <c r="BK801" s="477">
        <v>83193454.0029075</v>
      </c>
      <c r="BL801" s="458">
        <v>0.2689334754265098</v>
      </c>
      <c r="BM801" s="468">
        <v>3.6794630215526345</v>
      </c>
    </row>
    <row r="802" spans="12:65" x14ac:dyDescent="0.3">
      <c r="L802" s="427">
        <v>-4552255.6971000005</v>
      </c>
      <c r="BE802" s="477">
        <v>2261556.1490624775</v>
      </c>
      <c r="BF802" s="458">
        <v>1.9614532009565977E-2</v>
      </c>
      <c r="BG802" s="477">
        <v>12597297.485987073</v>
      </c>
      <c r="BH802" s="458">
        <v>7.5287088153941584E-2</v>
      </c>
      <c r="BI802" s="477">
        <v>13415485.206326738</v>
      </c>
      <c r="BJ802" s="458">
        <v>9.0001002437401612E-2</v>
      </c>
      <c r="BK802" s="477">
        <v>86731669.411509052</v>
      </c>
      <c r="BL802" s="458">
        <v>0.26528611059107154</v>
      </c>
      <c r="BM802" s="468">
        <v>5.7734604672975589</v>
      </c>
    </row>
    <row r="803" spans="12:65" x14ac:dyDescent="0.3">
      <c r="L803" s="427">
        <v>14669597.5496</v>
      </c>
      <c r="BE803" s="477">
        <v>2061917.8946712594</v>
      </c>
      <c r="BF803" s="458">
        <v>5.5495799267870405E-2</v>
      </c>
      <c r="BG803" s="477">
        <v>8994577.4100513961</v>
      </c>
      <c r="BH803" s="458">
        <v>7.7913755682445407E-2</v>
      </c>
      <c r="BI803" s="477">
        <v>15566562.931907346</v>
      </c>
      <c r="BJ803" s="458">
        <v>0.10312480619916231</v>
      </c>
      <c r="BK803" s="477">
        <v>84338866.362730548</v>
      </c>
      <c r="BL803" s="458">
        <v>0.2754028671744424</v>
      </c>
      <c r="BM803" s="468">
        <v>12.172545189674672</v>
      </c>
    </row>
    <row r="804" spans="12:65" x14ac:dyDescent="0.3">
      <c r="L804" s="427">
        <v>-689975.54590000003</v>
      </c>
      <c r="BE804" s="477">
        <v>6520190.7398416791</v>
      </c>
      <c r="BF804" s="458">
        <v>2.4348328112877571E-2</v>
      </c>
      <c r="BG804" s="477">
        <v>4660257.8251660159</v>
      </c>
      <c r="BH804" s="458">
        <v>5.5257044855936854E-2</v>
      </c>
      <c r="BI804" s="477">
        <v>20117852.893818006</v>
      </c>
      <c r="BJ804" s="458">
        <v>9.0424587321332961E-2</v>
      </c>
      <c r="BK804" s="477">
        <v>108459614.90873478</v>
      </c>
      <c r="BL804" s="458">
        <v>0.26274609092182799</v>
      </c>
      <c r="BM804" s="468">
        <v>13.7740589990049</v>
      </c>
    </row>
    <row r="805" spans="12:65" x14ac:dyDescent="0.3">
      <c r="L805" s="427">
        <v>11368641.1998</v>
      </c>
      <c r="BE805" s="477">
        <v>6481703.5032773158</v>
      </c>
      <c r="BF805" s="458">
        <v>4.4540528163082405E-2</v>
      </c>
      <c r="BG805" s="477">
        <v>6671992.634249974</v>
      </c>
      <c r="BH805" s="458">
        <v>7.5347976839148956E-2</v>
      </c>
      <c r="BI805" s="477">
        <v>7722210.2441830458</v>
      </c>
      <c r="BJ805" s="458">
        <v>0.10418674877338208</v>
      </c>
      <c r="BK805" s="477">
        <v>83470847.329441085</v>
      </c>
      <c r="BL805" s="458">
        <v>0.27448452790670719</v>
      </c>
      <c r="BM805" s="468">
        <v>12.579110495646091</v>
      </c>
    </row>
    <row r="806" spans="12:65" x14ac:dyDescent="0.3">
      <c r="L806" s="427">
        <v>16384462.510199999</v>
      </c>
      <c r="BE806" s="477">
        <v>2682563.4089512248</v>
      </c>
      <c r="BF806" s="458">
        <v>4.740135036666504E-2</v>
      </c>
      <c r="BG806" s="477">
        <v>12122228.749998875</v>
      </c>
      <c r="BH806" s="458">
        <v>6.2986913347931273E-2</v>
      </c>
      <c r="BI806" s="477">
        <v>17955348.604125544</v>
      </c>
      <c r="BJ806" s="458">
        <v>8.8524249888379591E-2</v>
      </c>
      <c r="BK806" s="477">
        <v>86934312.906805798</v>
      </c>
      <c r="BL806" s="458">
        <v>0.26350199360445914</v>
      </c>
      <c r="BM806" s="468">
        <v>5.3600914045752219</v>
      </c>
    </row>
    <row r="807" spans="12:65" x14ac:dyDescent="0.3">
      <c r="L807" s="427">
        <v>6508759.9751000004</v>
      </c>
      <c r="BE807" s="477">
        <v>5261713.4050848819</v>
      </c>
      <c r="BF807" s="458">
        <v>5.1401828870263344E-2</v>
      </c>
      <c r="BG807" s="477">
        <v>9644042.2279999126</v>
      </c>
      <c r="BH807" s="458">
        <v>8.1522123877684205E-2</v>
      </c>
      <c r="BI807" s="477">
        <v>17919708.225523565</v>
      </c>
      <c r="BJ807" s="458">
        <v>0.14150224179345927</v>
      </c>
      <c r="BK807" s="477">
        <v>87623124.517552689</v>
      </c>
      <c r="BL807" s="458">
        <v>0.25214989137451593</v>
      </c>
      <c r="BM807" s="468">
        <v>9.8892933369368521</v>
      </c>
    </row>
    <row r="808" spans="12:65" x14ac:dyDescent="0.3">
      <c r="L808" s="427">
        <v>14102412.412900001</v>
      </c>
      <c r="BE808" s="477">
        <v>9920725.2081965618</v>
      </c>
      <c r="BF808" s="458">
        <v>6.0040317588236913E-2</v>
      </c>
      <c r="BG808" s="477">
        <v>3868648.4754509572</v>
      </c>
      <c r="BH808" s="458">
        <v>7.4689010849144033E-2</v>
      </c>
      <c r="BI808" s="477">
        <v>25901213.014167186</v>
      </c>
      <c r="BJ808" s="458">
        <v>8.644463265459934E-2</v>
      </c>
      <c r="BK808" s="477">
        <v>93299585.674472719</v>
      </c>
      <c r="BL808" s="458">
        <v>0.28569492016290066</v>
      </c>
      <c r="BM808" s="468">
        <v>11.758710302758054</v>
      </c>
    </row>
    <row r="809" spans="12:65" x14ac:dyDescent="0.3">
      <c r="L809" s="427">
        <v>28832957.861400001</v>
      </c>
      <c r="BE809" s="477">
        <v>3681489.3083308237</v>
      </c>
      <c r="BF809" s="458">
        <v>4.2269788292969679E-2</v>
      </c>
      <c r="BG809" s="477">
        <v>6392393.5551066548</v>
      </c>
      <c r="BH809" s="458">
        <v>4.6639246231608755E-2</v>
      </c>
      <c r="BI809" s="477">
        <v>15332674.870116318</v>
      </c>
      <c r="BJ809" s="458">
        <v>0.10455111143767959</v>
      </c>
      <c r="BK809" s="477">
        <v>84510584.739713237</v>
      </c>
      <c r="BL809" s="458">
        <v>0.26767561784643235</v>
      </c>
      <c r="BM809" s="468">
        <v>12.79808461028767</v>
      </c>
    </row>
    <row r="810" spans="12:65" x14ac:dyDescent="0.3">
      <c r="L810" s="427">
        <v>14621254.820699999</v>
      </c>
      <c r="BE810" s="477">
        <v>4463496.9324468235</v>
      </c>
      <c r="BF810" s="458">
        <v>4.1906139319497493E-2</v>
      </c>
      <c r="BG810" s="477">
        <v>8581415.5736415964</v>
      </c>
      <c r="BH810" s="458">
        <v>4.6785558358719115E-2</v>
      </c>
      <c r="BI810" s="477">
        <v>9830266.8091489803</v>
      </c>
      <c r="BJ810" s="458">
        <v>0.10139475364017447</v>
      </c>
      <c r="BK810" s="477">
        <v>93405037.508452505</v>
      </c>
      <c r="BL810" s="458">
        <v>0.28270257973588442</v>
      </c>
      <c r="BM810" s="468">
        <v>9.5736926035190315</v>
      </c>
    </row>
    <row r="811" spans="12:65" x14ac:dyDescent="0.3">
      <c r="L811" s="427">
        <v>9953546.9110000003</v>
      </c>
      <c r="BE811" s="477">
        <v>3775968.3572633099</v>
      </c>
      <c r="BF811" s="458">
        <v>4.8480086290968893E-2</v>
      </c>
      <c r="BG811" s="477">
        <v>7213380.2634964744</v>
      </c>
      <c r="BH811" s="458">
        <v>6.37782500038655E-2</v>
      </c>
      <c r="BI811" s="477">
        <v>10082096.656426322</v>
      </c>
      <c r="BJ811" s="458">
        <v>0.10242855349262614</v>
      </c>
      <c r="BK811" s="477">
        <v>88853349.276694834</v>
      </c>
      <c r="BL811" s="458">
        <v>0.26275688518831619</v>
      </c>
      <c r="BM811" s="468">
        <v>11.5510221237884</v>
      </c>
    </row>
    <row r="812" spans="12:65" x14ac:dyDescent="0.3">
      <c r="L812" s="427">
        <v>13656114.644400001</v>
      </c>
      <c r="BE812" s="477">
        <v>4747918.947989855</v>
      </c>
      <c r="BF812" s="458">
        <v>4.4660719372928259E-2</v>
      </c>
      <c r="BG812" s="477">
        <v>14099971.080550214</v>
      </c>
      <c r="BH812" s="458">
        <v>3.8843126703806297E-2</v>
      </c>
      <c r="BI812" s="477">
        <v>15399235.784935834</v>
      </c>
      <c r="BJ812" s="458">
        <v>0.12735842902993832</v>
      </c>
      <c r="BK812" s="477">
        <v>89247651.19352448</v>
      </c>
      <c r="BL812" s="458">
        <v>0.25700697740147671</v>
      </c>
      <c r="BM812" s="468">
        <v>7.0467077774353664</v>
      </c>
    </row>
    <row r="813" spans="12:65" x14ac:dyDescent="0.3">
      <c r="L813" s="427">
        <v>21585844.575100001</v>
      </c>
      <c r="BE813" s="477">
        <v>299858.12054560357</v>
      </c>
      <c r="BF813" s="458">
        <v>3.1694857544478205E-2</v>
      </c>
      <c r="BG813" s="477">
        <v>7043756.7414658768</v>
      </c>
      <c r="BH813" s="458">
        <v>8.5882191818392517E-2</v>
      </c>
      <c r="BI813" s="477">
        <v>20310693.621386532</v>
      </c>
      <c r="BJ813" s="458">
        <v>9.8027204767326737E-2</v>
      </c>
      <c r="BK813" s="477">
        <v>80797440.570613816</v>
      </c>
      <c r="BL813" s="458">
        <v>0.27572935561475709</v>
      </c>
      <c r="BM813" s="468">
        <v>6.7314633203211471</v>
      </c>
    </row>
    <row r="814" spans="12:65" x14ac:dyDescent="0.3">
      <c r="L814" s="427">
        <v>6722448.4830999998</v>
      </c>
      <c r="BE814" s="477">
        <v>5525523.7367632044</v>
      </c>
      <c r="BF814" s="458">
        <v>3.8702692206406208E-2</v>
      </c>
      <c r="BG814" s="477">
        <v>7202762.4402787723</v>
      </c>
      <c r="BH814" s="458">
        <v>7.6527833246096577E-2</v>
      </c>
      <c r="BI814" s="477">
        <v>20745448.53418532</v>
      </c>
      <c r="BJ814" s="458">
        <v>0.10405243913227458</v>
      </c>
      <c r="BK814" s="477">
        <v>91086453.904137254</v>
      </c>
      <c r="BL814" s="458">
        <v>0.27917565019588886</v>
      </c>
      <c r="BM814" s="468">
        <v>8.4605406244397159</v>
      </c>
    </row>
    <row r="815" spans="12:65" x14ac:dyDescent="0.3">
      <c r="L815" s="427">
        <v>-5046756.7807999998</v>
      </c>
      <c r="BE815" s="477">
        <v>7559359.3708709721</v>
      </c>
      <c r="BF815" s="458">
        <v>4.5376255555207301E-2</v>
      </c>
      <c r="BG815" s="477">
        <v>6233156.0090131192</v>
      </c>
      <c r="BH815" s="458">
        <v>6.8090151704401691E-2</v>
      </c>
      <c r="BI815" s="477">
        <v>10113011.610055774</v>
      </c>
      <c r="BJ815" s="458">
        <v>0.14622319995155419</v>
      </c>
      <c r="BK815" s="477">
        <v>95723339.866105661</v>
      </c>
      <c r="BL815" s="458">
        <v>0.26827545927598195</v>
      </c>
      <c r="BM815" s="468">
        <v>8.3535735710778152</v>
      </c>
    </row>
    <row r="816" spans="12:65" x14ac:dyDescent="0.3">
      <c r="L816" s="427">
        <v>13866116.941</v>
      </c>
      <c r="BE816" s="477">
        <v>6659891.4344914285</v>
      </c>
      <c r="BF816" s="458">
        <v>6.3152015471094725E-2</v>
      </c>
      <c r="BG816" s="477">
        <v>7777174.7756952848</v>
      </c>
      <c r="BH816" s="458">
        <v>7.7416734030181011E-2</v>
      </c>
      <c r="BI816" s="477">
        <v>20792312.427528575</v>
      </c>
      <c r="BJ816" s="458">
        <v>0.10783849774993537</v>
      </c>
      <c r="BK816" s="477">
        <v>82378959.107538402</v>
      </c>
      <c r="BL816" s="458">
        <v>0.2730970456662456</v>
      </c>
      <c r="BM816" s="468">
        <v>6.869913088638361</v>
      </c>
    </row>
    <row r="817" spans="12:65" x14ac:dyDescent="0.3">
      <c r="L817" s="427">
        <v>17887524.204</v>
      </c>
      <c r="BE817" s="477">
        <v>10441596.615752701</v>
      </c>
      <c r="BF817" s="458">
        <v>5.5323801399246975E-2</v>
      </c>
      <c r="BG817" s="477">
        <v>10964632.456984507</v>
      </c>
      <c r="BH817" s="458">
        <v>6.6935980736037459E-2</v>
      </c>
      <c r="BI817" s="477">
        <v>10502845.951054433</v>
      </c>
      <c r="BJ817" s="458">
        <v>0.12017958620301905</v>
      </c>
      <c r="BK817" s="477">
        <v>87158482.392546773</v>
      </c>
      <c r="BL817" s="458">
        <v>0.2756312805337533</v>
      </c>
      <c r="BM817" s="468">
        <v>8.4302555138314954</v>
      </c>
    </row>
    <row r="818" spans="12:65" x14ac:dyDescent="0.3">
      <c r="L818" s="427">
        <v>18152292.799400002</v>
      </c>
      <c r="BE818" s="477">
        <v>7428138.0512117054</v>
      </c>
      <c r="BF818" s="458">
        <v>3.1502035821148411E-2</v>
      </c>
      <c r="BG818" s="477">
        <v>9526485.0102576949</v>
      </c>
      <c r="BH818" s="458">
        <v>7.2824648458317709E-2</v>
      </c>
      <c r="BI818" s="477">
        <v>11361372.264497858</v>
      </c>
      <c r="BJ818" s="458">
        <v>0.11703969418883498</v>
      </c>
      <c r="BK818" s="477">
        <v>91503310.854925126</v>
      </c>
      <c r="BL818" s="458">
        <v>0.27228658069255673</v>
      </c>
      <c r="BM818" s="468">
        <v>2.0459858359117602</v>
      </c>
    </row>
    <row r="819" spans="12:65" x14ac:dyDescent="0.3">
      <c r="L819" s="427">
        <v>-624717.9632</v>
      </c>
      <c r="BE819" s="477">
        <v>3055288.4521159306</v>
      </c>
      <c r="BF819" s="458">
        <v>3.235232292604806E-2</v>
      </c>
      <c r="BG819" s="477">
        <v>9435090.8565732837</v>
      </c>
      <c r="BH819" s="458">
        <v>3.2406474205435298E-2</v>
      </c>
      <c r="BI819" s="477">
        <v>18349665.224557281</v>
      </c>
      <c r="BJ819" s="458">
        <v>0.11033809729613964</v>
      </c>
      <c r="BK819" s="477">
        <v>93502174.566391736</v>
      </c>
      <c r="BL819" s="458">
        <v>0.26715195214622467</v>
      </c>
      <c r="BM819" s="468">
        <v>8.557256827442993</v>
      </c>
    </row>
    <row r="820" spans="12:65" x14ac:dyDescent="0.3">
      <c r="L820" s="427">
        <v>15616929.0199</v>
      </c>
      <c r="BE820" s="477">
        <v>8197570.5851337351</v>
      </c>
      <c r="BF820" s="458">
        <v>4.6522302970694707E-2</v>
      </c>
      <c r="BG820" s="477">
        <v>8407984.5905982703</v>
      </c>
      <c r="BH820" s="458">
        <v>8.8737291736287416E-2</v>
      </c>
      <c r="BI820" s="477">
        <v>26676810.78518904</v>
      </c>
      <c r="BJ820" s="458">
        <v>0.13384251293714078</v>
      </c>
      <c r="BK820" s="477">
        <v>92807737.935684949</v>
      </c>
      <c r="BL820" s="458">
        <v>0.25939722617263139</v>
      </c>
      <c r="BM820" s="468">
        <v>1.7117787490573226</v>
      </c>
    </row>
    <row r="821" spans="12:65" x14ac:dyDescent="0.3">
      <c r="L821" s="427">
        <v>-7796665.4914999995</v>
      </c>
      <c r="BE821" s="477">
        <v>3493254.0906488085</v>
      </c>
      <c r="BF821" s="458">
        <v>3.6625088024427654E-2</v>
      </c>
      <c r="BG821" s="477">
        <v>6873381.268330167</v>
      </c>
      <c r="BH821" s="458">
        <v>5.0560420145738805E-2</v>
      </c>
      <c r="BI821" s="477">
        <v>19289437.662535086</v>
      </c>
      <c r="BJ821" s="458">
        <v>9.5536848893929438E-2</v>
      </c>
      <c r="BK821" s="477">
        <v>87813075.70650734</v>
      </c>
      <c r="BL821" s="458">
        <v>0.28253139749293199</v>
      </c>
      <c r="BM821" s="468">
        <v>-1.5594810845029361</v>
      </c>
    </row>
    <row r="822" spans="12:65" x14ac:dyDescent="0.3">
      <c r="L822" s="427">
        <v>14278504.134199999</v>
      </c>
      <c r="BE822" s="477">
        <v>3391362.6868929151</v>
      </c>
      <c r="BF822" s="458">
        <v>3.8288997604532859E-2</v>
      </c>
      <c r="BG822" s="477">
        <v>11478557.648850381</v>
      </c>
      <c r="BH822" s="458">
        <v>5.0486399165064144E-2</v>
      </c>
      <c r="BI822" s="477">
        <v>25578537.926018126</v>
      </c>
      <c r="BJ822" s="458">
        <v>0.11475149551685315</v>
      </c>
      <c r="BK822" s="477">
        <v>91706877.221964657</v>
      </c>
      <c r="BL822" s="458">
        <v>0.26939268270248906</v>
      </c>
      <c r="BM822" s="468">
        <v>7.3762648209215476</v>
      </c>
    </row>
    <row r="823" spans="12:65" x14ac:dyDescent="0.3">
      <c r="L823" s="427">
        <v>9376536.4276000001</v>
      </c>
      <c r="BE823" s="477">
        <v>2159279.2585598221</v>
      </c>
      <c r="BF823" s="458">
        <v>2.7153964452481416E-2</v>
      </c>
      <c r="BG823" s="477">
        <v>2660802.493985747</v>
      </c>
      <c r="BH823" s="458">
        <v>4.7309869025786488E-2</v>
      </c>
      <c r="BI823" s="477">
        <v>14652547.130233558</v>
      </c>
      <c r="BJ823" s="458">
        <v>0.13143126629470969</v>
      </c>
      <c r="BK823" s="477">
        <v>103673241.57637423</v>
      </c>
      <c r="BL823" s="458">
        <v>0.26609697880276495</v>
      </c>
      <c r="BM823" s="468">
        <v>7.3953872459837848</v>
      </c>
    </row>
    <row r="824" spans="12:65" x14ac:dyDescent="0.3">
      <c r="L824" s="427">
        <v>5552905.7644999996</v>
      </c>
      <c r="BE824" s="477">
        <v>5367250.3899164302</v>
      </c>
      <c r="BF824" s="458">
        <v>4.4857141822792324E-2</v>
      </c>
      <c r="BG824" s="477">
        <v>12348920.684566585</v>
      </c>
      <c r="BH824" s="458">
        <v>7.3386539937435824E-2</v>
      </c>
      <c r="BI824" s="477">
        <v>22046354.222232647</v>
      </c>
      <c r="BJ824" s="458">
        <v>0.11082857769030308</v>
      </c>
      <c r="BK824" s="477">
        <v>84859095.01752536</v>
      </c>
      <c r="BL824" s="458">
        <v>0.27998385706267381</v>
      </c>
      <c r="BM824" s="468">
        <v>10.877452855151686</v>
      </c>
    </row>
    <row r="825" spans="12:65" x14ac:dyDescent="0.3">
      <c r="L825" s="427">
        <v>21627185.426600002</v>
      </c>
      <c r="BE825" s="477">
        <v>7619269.0059590908</v>
      </c>
      <c r="BF825" s="458">
        <v>3.0012830948627611E-2</v>
      </c>
      <c r="BG825" s="477">
        <v>7680249.4391530221</v>
      </c>
      <c r="BH825" s="458">
        <v>6.2869313935441262E-2</v>
      </c>
      <c r="BI825" s="477">
        <v>13477220.524267323</v>
      </c>
      <c r="BJ825" s="458">
        <v>0.11401480096478633</v>
      </c>
      <c r="BK825" s="477">
        <v>92593056.94953464</v>
      </c>
      <c r="BL825" s="458">
        <v>0.25944869382118174</v>
      </c>
      <c r="BM825" s="468">
        <v>13.353478278016279</v>
      </c>
    </row>
    <row r="826" spans="12:65" x14ac:dyDescent="0.3">
      <c r="L826" s="427">
        <v>7194.8936000000003</v>
      </c>
      <c r="BE826" s="477">
        <v>7298150.7869314402</v>
      </c>
      <c r="BF826" s="458">
        <v>6.0927600754624223E-2</v>
      </c>
      <c r="BG826" s="477">
        <v>6267941.6745619029</v>
      </c>
      <c r="BH826" s="458">
        <v>7.2535174392330815E-2</v>
      </c>
      <c r="BI826" s="477">
        <v>20725519.818870176</v>
      </c>
      <c r="BJ826" s="458">
        <v>0.11720207361433355</v>
      </c>
      <c r="BK826" s="477">
        <v>72272310.8447662</v>
      </c>
      <c r="BL826" s="458">
        <v>0.2692846066736343</v>
      </c>
      <c r="BM826" s="468">
        <v>7.4447285332372859</v>
      </c>
    </row>
    <row r="827" spans="12:65" x14ac:dyDescent="0.3">
      <c r="L827" s="427">
        <v>3514850.2938999999</v>
      </c>
      <c r="BE827" s="477">
        <v>11084575.344182122</v>
      </c>
      <c r="BF827" s="458">
        <v>2.8320820619942788E-2</v>
      </c>
      <c r="BG827" s="477">
        <v>7961265.6596348537</v>
      </c>
      <c r="BH827" s="458">
        <v>5.1848416623664573E-2</v>
      </c>
      <c r="BI827" s="477">
        <v>21368362.180519622</v>
      </c>
      <c r="BJ827" s="458">
        <v>0.12771502298844828</v>
      </c>
      <c r="BK827" s="477">
        <v>97411790.025099874</v>
      </c>
      <c r="BL827" s="458">
        <v>0.2535763382031655</v>
      </c>
      <c r="BM827" s="468">
        <v>4.0176486608797584</v>
      </c>
    </row>
    <row r="828" spans="12:65" x14ac:dyDescent="0.3">
      <c r="L828" s="427">
        <v>6178813.4748</v>
      </c>
      <c r="BE828" s="477">
        <v>4933450.5148725733</v>
      </c>
      <c r="BF828" s="458">
        <v>1.1178612902452034E-2</v>
      </c>
      <c r="BG828" s="477">
        <v>9276492.7432065811</v>
      </c>
      <c r="BH828" s="458">
        <v>6.0515999568504286E-2</v>
      </c>
      <c r="BI828" s="477">
        <v>10420472.227919929</v>
      </c>
      <c r="BJ828" s="458">
        <v>0.10600089069112739</v>
      </c>
      <c r="BK828" s="477">
        <v>102830941.20981286</v>
      </c>
      <c r="BL828" s="458">
        <v>0.2597164478230376</v>
      </c>
      <c r="BM828" s="468">
        <v>10.737373471917412</v>
      </c>
    </row>
    <row r="829" spans="12:65" x14ac:dyDescent="0.3">
      <c r="L829" s="427">
        <v>34422434.696199998</v>
      </c>
      <c r="BE829" s="477">
        <v>9099238.6870932709</v>
      </c>
      <c r="BF829" s="458">
        <v>4.162225362525529E-2</v>
      </c>
      <c r="BG829" s="477">
        <v>11706960.4988777</v>
      </c>
      <c r="BH829" s="458">
        <v>4.2830132872941906E-2</v>
      </c>
      <c r="BI829" s="477">
        <v>6420754.3065332454</v>
      </c>
      <c r="BJ829" s="458">
        <v>8.7315273187035469E-2</v>
      </c>
      <c r="BK829" s="477">
        <v>89328414.817587614</v>
      </c>
      <c r="BL829" s="458">
        <v>0.330856540671018</v>
      </c>
      <c r="BM829" s="468">
        <v>7.486067968945509</v>
      </c>
    </row>
    <row r="830" spans="12:65" x14ac:dyDescent="0.3">
      <c r="L830" s="427">
        <v>7372365.3870000001</v>
      </c>
      <c r="BE830" s="477">
        <v>3356446.7715132535</v>
      </c>
      <c r="BF830" s="458">
        <v>4.2636809404368536E-2</v>
      </c>
      <c r="BG830" s="477">
        <v>4611820.2693160484</v>
      </c>
      <c r="BH830" s="458">
        <v>7.0134855403541474E-2</v>
      </c>
      <c r="BI830" s="477">
        <v>9593565.9628332425</v>
      </c>
      <c r="BJ830" s="458">
        <v>0.11752768166403138</v>
      </c>
      <c r="BK830" s="477">
        <v>88180296.731924623</v>
      </c>
      <c r="BL830" s="458">
        <v>0.25400180428311669</v>
      </c>
      <c r="BM830" s="468">
        <v>10.199720262694083</v>
      </c>
    </row>
    <row r="831" spans="12:65" x14ac:dyDescent="0.3">
      <c r="L831" s="427">
        <v>19580905.7315</v>
      </c>
      <c r="BE831" s="477">
        <v>5836665.9075128809</v>
      </c>
      <c r="BF831" s="458">
        <v>4.4079938260915164E-2</v>
      </c>
      <c r="BG831" s="477">
        <v>6247619.973640996</v>
      </c>
      <c r="BH831" s="458">
        <v>5.5935264065272605E-2</v>
      </c>
      <c r="BI831" s="477">
        <v>9667989.6768608764</v>
      </c>
      <c r="BJ831" s="458">
        <v>9.7006893634783431E-2</v>
      </c>
      <c r="BK831" s="477">
        <v>88311221.991543725</v>
      </c>
      <c r="BL831" s="458">
        <v>0.2847126477822437</v>
      </c>
      <c r="BM831" s="468">
        <v>7.2856550000242155</v>
      </c>
    </row>
    <row r="832" spans="12:65" x14ac:dyDescent="0.3">
      <c r="L832" s="427">
        <v>-7860913.9824999999</v>
      </c>
      <c r="BE832" s="477">
        <v>7284883.211279057</v>
      </c>
      <c r="BF832" s="458">
        <v>6.7750938791611093E-2</v>
      </c>
      <c r="BG832" s="477">
        <v>9023211.1278878301</v>
      </c>
      <c r="BH832" s="458">
        <v>8.0862106419415936E-2</v>
      </c>
      <c r="BI832" s="477">
        <v>20629960.511214681</v>
      </c>
      <c r="BJ832" s="458">
        <v>0.1320338539953283</v>
      </c>
      <c r="BK832" s="477">
        <v>90279774.969298035</v>
      </c>
      <c r="BL832" s="458">
        <v>0.27215018204002495</v>
      </c>
      <c r="BM832" s="468">
        <v>8.3881941124560022</v>
      </c>
    </row>
    <row r="833" spans="12:65" x14ac:dyDescent="0.3">
      <c r="L833" s="427">
        <v>-4192261.4336999999</v>
      </c>
      <c r="BE833" s="477">
        <v>5694736.3911960786</v>
      </c>
      <c r="BF833" s="458">
        <v>3.6315683342662108E-2</v>
      </c>
      <c r="BG833" s="477">
        <v>14306774.633276787</v>
      </c>
      <c r="BH833" s="458">
        <v>7.9221222262036761E-2</v>
      </c>
      <c r="BI833" s="477">
        <v>13032473.209462918</v>
      </c>
      <c r="BJ833" s="458">
        <v>0.11152735345815157</v>
      </c>
      <c r="BK833" s="477">
        <v>100897677.0485785</v>
      </c>
      <c r="BL833" s="458">
        <v>0.29630436880352251</v>
      </c>
      <c r="BM833" s="468">
        <v>9.0918393610906492</v>
      </c>
    </row>
    <row r="834" spans="12:65" x14ac:dyDescent="0.3">
      <c r="L834" s="427">
        <v>15269248.818399999</v>
      </c>
      <c r="BE834" s="477">
        <v>4278307.3420200618</v>
      </c>
      <c r="BF834" s="458">
        <v>4.1319010575649351E-2</v>
      </c>
      <c r="BG834" s="477">
        <v>5712817.2455438226</v>
      </c>
      <c r="BH834" s="458">
        <v>7.2325305651642857E-2</v>
      </c>
      <c r="BI834" s="477">
        <v>19735631.786670957</v>
      </c>
      <c r="BJ834" s="458">
        <v>0.1237975489920573</v>
      </c>
      <c r="BK834" s="477">
        <v>87668976.474290252</v>
      </c>
      <c r="BL834" s="458">
        <v>0.27194464970644261</v>
      </c>
      <c r="BM834" s="468">
        <v>-2.5272249691948971</v>
      </c>
    </row>
    <row r="835" spans="12:65" x14ac:dyDescent="0.3">
      <c r="L835" s="427">
        <v>10584351.702500001</v>
      </c>
      <c r="BE835" s="477">
        <v>6991307.6086996822</v>
      </c>
      <c r="BF835" s="458">
        <v>5.3990304169651671E-2</v>
      </c>
      <c r="BG835" s="477">
        <v>-3870837.5162719414</v>
      </c>
      <c r="BH835" s="458">
        <v>5.2669003735116071E-2</v>
      </c>
      <c r="BI835" s="477">
        <v>21659595.241848178</v>
      </c>
      <c r="BJ835" s="458">
        <v>0.12080991483556103</v>
      </c>
      <c r="BK835" s="477">
        <v>79627487.474918813</v>
      </c>
      <c r="BL835" s="458">
        <v>0.26273821508675366</v>
      </c>
      <c r="BM835" s="468">
        <v>9.4129082829620199</v>
      </c>
    </row>
    <row r="836" spans="12:65" x14ac:dyDescent="0.3">
      <c r="L836" s="427">
        <v>489984.22590000002</v>
      </c>
      <c r="BE836" s="477">
        <v>5606231.7753876457</v>
      </c>
      <c r="BF836" s="458">
        <v>4.0416828090222623E-2</v>
      </c>
      <c r="BG836" s="477">
        <v>-2650713.6382879689</v>
      </c>
      <c r="BH836" s="458">
        <v>7.1220483451150729E-2</v>
      </c>
      <c r="BI836" s="477">
        <v>13924778.239585096</v>
      </c>
      <c r="BJ836" s="458">
        <v>0.1059448272261132</v>
      </c>
      <c r="BK836" s="477">
        <v>78175587.964989647</v>
      </c>
      <c r="BL836" s="458">
        <v>0.27782910288658424</v>
      </c>
      <c r="BM836" s="468">
        <v>11.580925093402438</v>
      </c>
    </row>
    <row r="837" spans="12:65" x14ac:dyDescent="0.3">
      <c r="L837" s="427">
        <v>8089551.7346000001</v>
      </c>
      <c r="BE837" s="477">
        <v>3385301.102854393</v>
      </c>
      <c r="BF837" s="458">
        <v>3.1046452931846602E-2</v>
      </c>
      <c r="BG837" s="477">
        <v>8286662.9052670253</v>
      </c>
      <c r="BH837" s="458">
        <v>5.6070925724676091E-2</v>
      </c>
      <c r="BI837" s="477">
        <v>17056464.894274645</v>
      </c>
      <c r="BJ837" s="458">
        <v>0.11230299480069417</v>
      </c>
      <c r="BK837" s="477">
        <v>84989932.486904919</v>
      </c>
      <c r="BL837" s="458">
        <v>0.25328803043577097</v>
      </c>
      <c r="BM837" s="468">
        <v>12.211570415521619</v>
      </c>
    </row>
    <row r="838" spans="12:65" x14ac:dyDescent="0.3">
      <c r="L838" s="427">
        <v>19177202.012200002</v>
      </c>
      <c r="BE838" s="477">
        <v>9747448.1927790605</v>
      </c>
      <c r="BF838" s="458">
        <v>5.9000710263801492E-2</v>
      </c>
      <c r="BG838" s="477">
        <v>10721971.462862607</v>
      </c>
      <c r="BH838" s="458">
        <v>6.02621182778591E-2</v>
      </c>
      <c r="BI838" s="477">
        <v>19769229.435798839</v>
      </c>
      <c r="BJ838" s="458">
        <v>0.11935863200889196</v>
      </c>
      <c r="BK838" s="477">
        <v>90162103.582230955</v>
      </c>
      <c r="BL838" s="458">
        <v>0.27665309995269016</v>
      </c>
      <c r="BM838" s="468">
        <v>11.096320509233236</v>
      </c>
    </row>
    <row r="839" spans="12:65" x14ac:dyDescent="0.3">
      <c r="L839" s="427">
        <v>11873383.173900001</v>
      </c>
      <c r="BE839" s="477">
        <v>2562455.2807919341</v>
      </c>
      <c r="BF839" s="458">
        <v>2.8680237728975433E-2</v>
      </c>
      <c r="BG839" s="477">
        <v>9931159.6450314373</v>
      </c>
      <c r="BH839" s="458">
        <v>7.4492632240640511E-2</v>
      </c>
      <c r="BI839" s="477">
        <v>20282477.876157612</v>
      </c>
      <c r="BJ839" s="458">
        <v>0.10226248745871458</v>
      </c>
      <c r="BK839" s="477">
        <v>88963875.708052874</v>
      </c>
      <c r="BL839" s="458">
        <v>0.25872285114633242</v>
      </c>
      <c r="BM839" s="468">
        <v>13.7600900540141</v>
      </c>
    </row>
    <row r="840" spans="12:65" x14ac:dyDescent="0.3">
      <c r="L840" s="427">
        <v>4051297.1512000002</v>
      </c>
      <c r="BE840" s="477">
        <v>1288053.8838839808</v>
      </c>
      <c r="BF840" s="458">
        <v>2.2451818930949718E-2</v>
      </c>
      <c r="BG840" s="477">
        <v>13754630.178445658</v>
      </c>
      <c r="BH840" s="458">
        <v>5.8865479726633252E-2</v>
      </c>
      <c r="BI840" s="477">
        <v>23187102.802455392</v>
      </c>
      <c r="BJ840" s="458">
        <v>0.12339121731155966</v>
      </c>
      <c r="BK840" s="477">
        <v>76889447.172232509</v>
      </c>
      <c r="BL840" s="458">
        <v>0.26949903847431167</v>
      </c>
      <c r="BM840" s="468">
        <v>4.3037653036889552</v>
      </c>
    </row>
    <row r="841" spans="12:65" x14ac:dyDescent="0.3">
      <c r="L841" s="427">
        <v>11651253.040100001</v>
      </c>
      <c r="BE841" s="477">
        <v>5760613.3919868125</v>
      </c>
      <c r="BF841" s="458">
        <v>3.7720024281086006E-2</v>
      </c>
      <c r="BG841" s="477">
        <v>12760539.416577995</v>
      </c>
      <c r="BH841" s="458">
        <v>0.1122816600694283</v>
      </c>
      <c r="BI841" s="477">
        <v>15645903.240946431</v>
      </c>
      <c r="BJ841" s="458">
        <v>9.9347773653073235E-2</v>
      </c>
      <c r="BK841" s="477">
        <v>86943670.924314559</v>
      </c>
      <c r="BL841" s="458">
        <v>0.27164693284188046</v>
      </c>
      <c r="BM841" s="468">
        <v>10.140669448358938</v>
      </c>
    </row>
    <row r="842" spans="12:65" x14ac:dyDescent="0.3">
      <c r="L842" s="427">
        <v>-4652943.5870000003</v>
      </c>
      <c r="BE842" s="477">
        <v>4897213.9180938993</v>
      </c>
      <c r="BF842" s="458">
        <v>6.3396578656478519E-2</v>
      </c>
      <c r="BG842" s="477">
        <v>1476612.9677416584</v>
      </c>
      <c r="BH842" s="458">
        <v>6.1231116241551531E-2</v>
      </c>
      <c r="BI842" s="477">
        <v>15261031.688880214</v>
      </c>
      <c r="BJ842" s="458">
        <v>0.12228156985764382</v>
      </c>
      <c r="BK842" s="477">
        <v>95522992.874309316</v>
      </c>
      <c r="BL842" s="458">
        <v>0.25072722481734533</v>
      </c>
      <c r="BM842" s="468">
        <v>7.3787667132446879</v>
      </c>
    </row>
    <row r="843" spans="12:65" x14ac:dyDescent="0.3">
      <c r="L843" s="427">
        <v>17607209.758299999</v>
      </c>
      <c r="BE843" s="477">
        <v>8557080.5092649162</v>
      </c>
      <c r="BF843" s="458">
        <v>6.3396578656478519E-2</v>
      </c>
      <c r="BG843" s="477">
        <v>4715186.8251452614</v>
      </c>
      <c r="BH843" s="458">
        <v>5.6734688832425384E-2</v>
      </c>
      <c r="BI843" s="477">
        <v>14922172.570125112</v>
      </c>
      <c r="BJ843" s="458">
        <v>0.11100542986631567</v>
      </c>
      <c r="BK843" s="477">
        <v>94599964.72040309</v>
      </c>
      <c r="BL843" s="458">
        <v>0.27280258195073004</v>
      </c>
      <c r="BM843" s="468">
        <v>7.2289197906792166</v>
      </c>
    </row>
    <row r="844" spans="12:65" x14ac:dyDescent="0.3">
      <c r="L844" s="427">
        <v>19014547.0253</v>
      </c>
      <c r="BE844" s="477">
        <v>6014179.6408706019</v>
      </c>
      <c r="BF844" s="458">
        <v>7.0218671579302061E-2</v>
      </c>
      <c r="BG844" s="477">
        <v>10292883.621077122</v>
      </c>
      <c r="BH844" s="458">
        <v>7.3406764673604963E-2</v>
      </c>
      <c r="BI844" s="477">
        <v>23836335.932668921</v>
      </c>
      <c r="BJ844" s="458">
        <v>8.8286339668114833E-2</v>
      </c>
      <c r="BK844" s="477">
        <v>87006757.40226239</v>
      </c>
      <c r="BL844" s="458">
        <v>0.27544009691972771</v>
      </c>
      <c r="BM844" s="468">
        <v>9.1205637420774206</v>
      </c>
    </row>
    <row r="845" spans="12:65" x14ac:dyDescent="0.3">
      <c r="L845" s="427">
        <v>-1398646.0421</v>
      </c>
      <c r="BE845" s="477">
        <v>2942271.8636338143</v>
      </c>
      <c r="BF845" s="458">
        <v>3.086953415553273E-2</v>
      </c>
      <c r="BG845" s="477">
        <v>5172788.8545836657</v>
      </c>
      <c r="BH845" s="458">
        <v>5.0988426455430558E-2</v>
      </c>
      <c r="BI845" s="477">
        <v>11478429.346419232</v>
      </c>
      <c r="BJ845" s="458">
        <v>8.4091852375221654E-2</v>
      </c>
      <c r="BK845" s="477">
        <v>100011922.51671304</v>
      </c>
      <c r="BL845" s="458">
        <v>0.25254705202229544</v>
      </c>
      <c r="BM845" s="468">
        <v>8.5866407769155408</v>
      </c>
    </row>
    <row r="846" spans="12:65" x14ac:dyDescent="0.3">
      <c r="L846" s="427">
        <v>15352184.132300001</v>
      </c>
      <c r="BE846" s="477">
        <v>6624769.9133340288</v>
      </c>
      <c r="BF846" s="458">
        <v>0.13504026517431478</v>
      </c>
      <c r="BG846" s="477">
        <v>4374657.4411208499</v>
      </c>
      <c r="BH846" s="458">
        <v>5.3932500713859133E-2</v>
      </c>
      <c r="BI846" s="477">
        <v>16567063.508524301</v>
      </c>
      <c r="BJ846" s="458">
        <v>0.10377468696188208</v>
      </c>
      <c r="BK846" s="477">
        <v>102544348.23315057</v>
      </c>
      <c r="BL846" s="458">
        <v>0.27199420155268417</v>
      </c>
      <c r="BM846" s="468">
        <v>3.7588955308356002</v>
      </c>
    </row>
    <row r="847" spans="12:65" x14ac:dyDescent="0.3">
      <c r="L847" s="427">
        <v>15309822.3968</v>
      </c>
      <c r="BE847" s="477">
        <v>4014419.3400150323</v>
      </c>
      <c r="BF847" s="458">
        <v>4.3058886127885998E-2</v>
      </c>
      <c r="BG847" s="477">
        <v>7542281.9106344674</v>
      </c>
      <c r="BH847" s="458">
        <v>4.8809399896723171E-2</v>
      </c>
      <c r="BI847" s="477">
        <v>17670336.890967641</v>
      </c>
      <c r="BJ847" s="458">
        <v>0.12226127483560645</v>
      </c>
      <c r="BK847" s="477">
        <v>91677200.008856684</v>
      </c>
      <c r="BL847" s="458">
        <v>0.25163513583270158</v>
      </c>
      <c r="BM847" s="468">
        <v>11.365473758186083</v>
      </c>
    </row>
    <row r="848" spans="12:65" x14ac:dyDescent="0.3">
      <c r="L848" s="427">
        <v>24565896.091800001</v>
      </c>
      <c r="BE848" s="477">
        <v>7464877.343137309</v>
      </c>
      <c r="BF848" s="458">
        <v>2.3989260204484886E-2</v>
      </c>
      <c r="BG848" s="477">
        <v>11713648.112290632</v>
      </c>
      <c r="BH848" s="458">
        <v>5.8710522738860682E-2</v>
      </c>
      <c r="BI848" s="477">
        <v>18627258.312496636</v>
      </c>
      <c r="BJ848" s="458">
        <v>9.8441315435771948E-2</v>
      </c>
      <c r="BK848" s="477">
        <v>96628613.158413172</v>
      </c>
      <c r="BL848" s="458">
        <v>0.26817224857408317</v>
      </c>
      <c r="BM848" s="468">
        <v>12.68120725082685</v>
      </c>
    </row>
    <row r="849" spans="12:65" x14ac:dyDescent="0.3">
      <c r="L849" s="427">
        <v>13712162.0307</v>
      </c>
      <c r="BE849" s="477">
        <v>3466253.6213428439</v>
      </c>
      <c r="BF849" s="458">
        <v>3.6878940257266679E-2</v>
      </c>
      <c r="BG849" s="477">
        <v>14530410.582799621</v>
      </c>
      <c r="BH849" s="458">
        <v>5.6272370173988451E-2</v>
      </c>
      <c r="BI849" s="477">
        <v>11467512.015624704</v>
      </c>
      <c r="BJ849" s="458">
        <v>9.2429467975071233E-2</v>
      </c>
      <c r="BK849" s="477">
        <v>79892178.145304203</v>
      </c>
      <c r="BL849" s="458">
        <v>0.27059130320238722</v>
      </c>
      <c r="BM849" s="468">
        <v>5.3142531364410228</v>
      </c>
    </row>
    <row r="850" spans="12:65" x14ac:dyDescent="0.3">
      <c r="L850" s="427">
        <v>-2028671.7319</v>
      </c>
      <c r="BE850" s="477">
        <v>3521522.0432430184</v>
      </c>
      <c r="BF850" s="458">
        <v>3.9602079167942561E-2</v>
      </c>
      <c r="BG850" s="477">
        <v>8377932.6015217332</v>
      </c>
      <c r="BH850" s="458">
        <v>5.32061348745545E-2</v>
      </c>
      <c r="BI850" s="477">
        <v>12663673.524134502</v>
      </c>
      <c r="BJ850" s="458">
        <v>0.12351137492328368</v>
      </c>
      <c r="BK850" s="477">
        <v>83346581.158249766</v>
      </c>
      <c r="BL850" s="458">
        <v>0.24306291918083511</v>
      </c>
      <c r="BM850" s="468">
        <v>10.089365928120841</v>
      </c>
    </row>
    <row r="851" spans="12:65" x14ac:dyDescent="0.3">
      <c r="L851" s="427">
        <v>12640771.647700001</v>
      </c>
      <c r="BE851" s="477">
        <v>9047582.1815453507</v>
      </c>
      <c r="BF851" s="458">
        <v>2.7698438056364516E-2</v>
      </c>
      <c r="BG851" s="477">
        <v>8192674.7019057544</v>
      </c>
      <c r="BH851" s="458">
        <v>6.6643733279080575E-2</v>
      </c>
      <c r="BI851" s="477">
        <v>23872360.828809317</v>
      </c>
      <c r="BJ851" s="458">
        <v>0.11592103879350457</v>
      </c>
      <c r="BK851" s="477">
        <v>83624210.527272582</v>
      </c>
      <c r="BL851" s="458">
        <v>0.29042243797625322</v>
      </c>
      <c r="BM851" s="468">
        <v>11.989483808980378</v>
      </c>
    </row>
    <row r="852" spans="12:65" x14ac:dyDescent="0.3">
      <c r="L852" s="427">
        <v>9109225.9744000006</v>
      </c>
      <c r="BE852" s="477">
        <v>6757282.2197767114</v>
      </c>
      <c r="BF852" s="458">
        <v>4.1550374848786875E-2</v>
      </c>
      <c r="BG852" s="477">
        <v>10009409.61775966</v>
      </c>
      <c r="BH852" s="458">
        <v>6.3979041454570007E-2</v>
      </c>
      <c r="BI852" s="477">
        <v>17840823.721271504</v>
      </c>
      <c r="BJ852" s="458">
        <v>9.2856496900682428E-2</v>
      </c>
      <c r="BK852" s="477">
        <v>79886983.57641381</v>
      </c>
      <c r="BL852" s="458">
        <v>0.26224847041521593</v>
      </c>
      <c r="BM852" s="468">
        <v>4.2707525267364819</v>
      </c>
    </row>
    <row r="853" spans="12:65" x14ac:dyDescent="0.3">
      <c r="L853" s="427">
        <v>6944527.949</v>
      </c>
      <c r="BE853" s="477">
        <v>10232528.342520727</v>
      </c>
      <c r="BF853" s="458">
        <v>1.8424868847926934E-2</v>
      </c>
      <c r="BG853" s="477">
        <v>3628594.1664159745</v>
      </c>
      <c r="BH853" s="458">
        <v>6.975141787913075E-2</v>
      </c>
      <c r="BI853" s="477">
        <v>9842717.9971458726</v>
      </c>
      <c r="BJ853" s="458">
        <v>0.12836838276480877</v>
      </c>
      <c r="BK853" s="477">
        <v>98895257.28522101</v>
      </c>
      <c r="BL853" s="458">
        <v>0.28251656174994988</v>
      </c>
      <c r="BM853" s="468">
        <v>5.9652458503348758</v>
      </c>
    </row>
    <row r="854" spans="12:65" x14ac:dyDescent="0.3">
      <c r="L854" s="427">
        <v>15317401.913899999</v>
      </c>
      <c r="BE854" s="477">
        <v>8986611.7894955669</v>
      </c>
      <c r="BF854" s="458">
        <v>4.5593266662432574E-2</v>
      </c>
      <c r="BG854" s="477">
        <v>5587563.6716048094</v>
      </c>
      <c r="BH854" s="458">
        <v>5.2630673765897917E-2</v>
      </c>
      <c r="BI854" s="477">
        <v>19535140.001679085</v>
      </c>
      <c r="BJ854" s="458">
        <v>0.12537104296188328</v>
      </c>
      <c r="BK854" s="477">
        <v>94632569.184610873</v>
      </c>
      <c r="BL854" s="458">
        <v>0.26682103189372319</v>
      </c>
      <c r="BM854" s="468">
        <v>3.1071430138113385</v>
      </c>
    </row>
    <row r="855" spans="12:65" x14ac:dyDescent="0.3">
      <c r="L855" s="427">
        <v>9980093.1443000007</v>
      </c>
      <c r="BE855" s="477">
        <v>4797978.0391893089</v>
      </c>
      <c r="BF855" s="458">
        <v>2.3733238327304784E-2</v>
      </c>
      <c r="BG855" s="477">
        <v>11424377.190359322</v>
      </c>
      <c r="BH855" s="458">
        <v>0.11453086392801737</v>
      </c>
      <c r="BI855" s="477">
        <v>17184100.085872162</v>
      </c>
      <c r="BJ855" s="458">
        <v>9.9266269708530031E-2</v>
      </c>
      <c r="BK855" s="477">
        <v>100720192.13557281</v>
      </c>
      <c r="BL855" s="458">
        <v>0.28544357367147266</v>
      </c>
      <c r="BM855" s="468">
        <v>7.1542686805146225</v>
      </c>
    </row>
    <row r="856" spans="12:65" x14ac:dyDescent="0.3">
      <c r="L856" s="427">
        <v>5307371.6162</v>
      </c>
      <c r="BE856" s="477">
        <v>9160740.2030940354</v>
      </c>
      <c r="BF856" s="458">
        <v>4.2459891755643797E-2</v>
      </c>
      <c r="BG856" s="477">
        <v>5865012.6440013992</v>
      </c>
      <c r="BH856" s="458">
        <v>6.6438059376895175E-2</v>
      </c>
      <c r="BI856" s="477">
        <v>16528944.129177693</v>
      </c>
      <c r="BJ856" s="458">
        <v>0.1078144984506868</v>
      </c>
      <c r="BK856" s="477">
        <v>95145251.89055033</v>
      </c>
      <c r="BL856" s="458">
        <v>0.24657214599774768</v>
      </c>
      <c r="BM856" s="468">
        <v>5.6209289942902627</v>
      </c>
    </row>
    <row r="857" spans="12:65" x14ac:dyDescent="0.3">
      <c r="L857" s="427">
        <v>15256990.297800001</v>
      </c>
      <c r="BE857" s="477">
        <v>8478634.1475219615</v>
      </c>
      <c r="BF857" s="458">
        <v>3.2739676586243549E-2</v>
      </c>
      <c r="BG857" s="477">
        <v>9225476.9306168854</v>
      </c>
      <c r="BH857" s="458">
        <v>8.497587352997038E-2</v>
      </c>
      <c r="BI857" s="477">
        <v>22483275.268228583</v>
      </c>
      <c r="BJ857" s="458">
        <v>0.13586261333596639</v>
      </c>
      <c r="BK857" s="477">
        <v>73932846.147181049</v>
      </c>
      <c r="BL857" s="458">
        <v>0.26807420326145603</v>
      </c>
      <c r="BM857" s="468">
        <v>5.4956094449377764</v>
      </c>
    </row>
    <row r="858" spans="12:65" x14ac:dyDescent="0.3">
      <c r="L858" s="427">
        <v>-6310123.7405000003</v>
      </c>
      <c r="BE858" s="477">
        <v>3264554.938487621</v>
      </c>
      <c r="BF858" s="458">
        <v>3.1644038412611319E-2</v>
      </c>
      <c r="BG858" s="477">
        <v>7905259.6917256275</v>
      </c>
      <c r="BH858" s="458">
        <v>3.8292642212595984E-2</v>
      </c>
      <c r="BI858" s="477">
        <v>12996669.835799133</v>
      </c>
      <c r="BJ858" s="458">
        <v>0.14790279348540425</v>
      </c>
      <c r="BK858" s="477">
        <v>94831721.020393372</v>
      </c>
      <c r="BL858" s="458">
        <v>0.26661944179704378</v>
      </c>
      <c r="BM858" s="468">
        <v>7.5057926683508773</v>
      </c>
    </row>
    <row r="859" spans="12:65" x14ac:dyDescent="0.3">
      <c r="L859" s="427">
        <v>18174826.978100002</v>
      </c>
      <c r="BE859" s="477">
        <v>4040290.2231787504</v>
      </c>
      <c r="BF859" s="458">
        <v>2.4069520239378805E-2</v>
      </c>
      <c r="BG859" s="477">
        <v>11801818.246747501</v>
      </c>
      <c r="BH859" s="458">
        <v>5.8038691956429078E-2</v>
      </c>
      <c r="BI859" s="477">
        <v>15693775.072340636</v>
      </c>
      <c r="BJ859" s="458">
        <v>9.1559228017008332E-2</v>
      </c>
      <c r="BK859" s="477">
        <v>84413976.102632612</v>
      </c>
      <c r="BL859" s="458">
        <v>0.27539734407218686</v>
      </c>
      <c r="BM859" s="468">
        <v>10.2054188648526</v>
      </c>
    </row>
    <row r="860" spans="12:65" x14ac:dyDescent="0.3">
      <c r="L860" s="427">
        <v>13458629.013</v>
      </c>
      <c r="BE860" s="477">
        <v>7802876.6330268066</v>
      </c>
      <c r="BF860" s="458">
        <v>6.1273247514962881E-2</v>
      </c>
      <c r="BG860" s="477">
        <v>6747091.2810513023</v>
      </c>
      <c r="BH860" s="458">
        <v>7.5699834634890273E-2</v>
      </c>
      <c r="BI860" s="477">
        <v>17609114.636667006</v>
      </c>
      <c r="BJ860" s="458">
        <v>9.1314278365492774E-2</v>
      </c>
      <c r="BK860" s="477">
        <v>80266355.036733896</v>
      </c>
      <c r="BL860" s="458">
        <v>0.27015819007246722</v>
      </c>
      <c r="BM860" s="468">
        <v>12.698125332542823</v>
      </c>
    </row>
    <row r="861" spans="12:65" x14ac:dyDescent="0.3">
      <c r="L861" s="427">
        <v>10059297.740900001</v>
      </c>
      <c r="BE861" s="477">
        <v>5707542.3504214752</v>
      </c>
      <c r="BF861" s="458">
        <v>3.4692677604017952E-2</v>
      </c>
      <c r="BG861" s="477">
        <v>12130623.748764474</v>
      </c>
      <c r="BH861" s="458">
        <v>7.5451068638140217E-2</v>
      </c>
      <c r="BI861" s="477">
        <v>7098058.6063682837</v>
      </c>
      <c r="BJ861" s="458">
        <v>0.13206813954050478</v>
      </c>
      <c r="BK861" s="477">
        <v>90876455.448548689</v>
      </c>
      <c r="BL861" s="458">
        <v>0.26409476136458165</v>
      </c>
      <c r="BM861" s="468">
        <v>2.9206961439448467</v>
      </c>
    </row>
    <row r="862" spans="12:65" x14ac:dyDescent="0.3">
      <c r="L862" s="427">
        <v>16973674.281300001</v>
      </c>
      <c r="BE862" s="477">
        <v>8801108.8820065316</v>
      </c>
      <c r="BF862" s="458">
        <v>3.5274691322314755E-2</v>
      </c>
      <c r="BG862" s="477">
        <v>5982416.0084920153</v>
      </c>
      <c r="BH862" s="458">
        <v>6.379102010958615E-2</v>
      </c>
      <c r="BI862" s="477">
        <v>21112404.87269197</v>
      </c>
      <c r="BJ862" s="458">
        <v>0.10524752044596819</v>
      </c>
      <c r="BK862" s="477">
        <v>80335583.459450498</v>
      </c>
      <c r="BL862" s="458">
        <v>0.25452313845874874</v>
      </c>
      <c r="BM862" s="468">
        <v>13.962496892481603</v>
      </c>
    </row>
    <row r="863" spans="12:65" x14ac:dyDescent="0.3">
      <c r="L863" s="427">
        <v>4291833.7687999997</v>
      </c>
      <c r="BE863" s="477">
        <v>5615138.1698703775</v>
      </c>
      <c r="BF863" s="458">
        <v>3.7621265492547629E-2</v>
      </c>
      <c r="BG863" s="477">
        <v>14536116.105051048</v>
      </c>
      <c r="BH863" s="458">
        <v>5.7107212558999088E-2</v>
      </c>
      <c r="BI863" s="477">
        <v>15313786.529416854</v>
      </c>
      <c r="BJ863" s="458">
        <v>0.11250531588404677</v>
      </c>
      <c r="BK863" s="477">
        <v>89240566.79108654</v>
      </c>
      <c r="BL863" s="458">
        <v>0.2874648754004494</v>
      </c>
      <c r="BM863" s="468">
        <v>7.7157123605473075</v>
      </c>
    </row>
    <row r="864" spans="12:65" x14ac:dyDescent="0.3">
      <c r="L864" s="427">
        <v>2403914.5995999998</v>
      </c>
      <c r="BE864" s="477">
        <v>5411864.9502501739</v>
      </c>
      <c r="BF864" s="458">
        <v>4.1346180087660001E-2</v>
      </c>
      <c r="BG864" s="477">
        <v>4258924.0946234148</v>
      </c>
      <c r="BH864" s="458">
        <v>5.987313568236674E-2</v>
      </c>
      <c r="BI864" s="477">
        <v>16564711.321557254</v>
      </c>
      <c r="BJ864" s="458">
        <v>0.10400371495301153</v>
      </c>
      <c r="BK864" s="477">
        <v>95139225.128244221</v>
      </c>
      <c r="BL864" s="458">
        <v>0.2706827558076963</v>
      </c>
      <c r="BM864" s="468">
        <v>11.675390673259532</v>
      </c>
    </row>
    <row r="865" spans="12:65" x14ac:dyDescent="0.3">
      <c r="L865" s="427">
        <v>11399985.7378</v>
      </c>
      <c r="BE865" s="477">
        <v>7961938.7216624869</v>
      </c>
      <c r="BF865" s="458">
        <v>3.7996784920200311E-2</v>
      </c>
      <c r="BG865" s="477">
        <v>10184554.595125802</v>
      </c>
      <c r="BH865" s="458">
        <v>5.4184130564830735E-2</v>
      </c>
      <c r="BI865" s="477">
        <v>21685912.522150937</v>
      </c>
      <c r="BJ865" s="458">
        <v>9.672082037044416E-2</v>
      </c>
      <c r="BK865" s="477">
        <v>88699831.801365376</v>
      </c>
      <c r="BL865" s="458">
        <v>0.25554092250437943</v>
      </c>
      <c r="BM865" s="468">
        <v>1.8035633645130904</v>
      </c>
    </row>
    <row r="866" spans="12:65" x14ac:dyDescent="0.3">
      <c r="L866" s="427">
        <v>6371340.5357999997</v>
      </c>
      <c r="BE866" s="477">
        <v>5207870.1028987607</v>
      </c>
      <c r="BF866" s="458">
        <v>5.9674815073593734E-3</v>
      </c>
      <c r="BG866" s="477">
        <v>13319872.809422094</v>
      </c>
      <c r="BH866" s="458">
        <v>6.4062053589561296E-2</v>
      </c>
      <c r="BI866" s="477">
        <v>24219422.054393176</v>
      </c>
      <c r="BJ866" s="458">
        <v>0.12256849570472772</v>
      </c>
      <c r="BK866" s="477">
        <v>105137150.56774618</v>
      </c>
      <c r="BL866" s="458">
        <v>0.2647871489063045</v>
      </c>
      <c r="BM866" s="468">
        <v>5.558776363382095</v>
      </c>
    </row>
    <row r="867" spans="12:65" x14ac:dyDescent="0.3">
      <c r="L867" s="427">
        <v>5980338.1798</v>
      </c>
      <c r="BE867" s="477">
        <v>5692515.3521405086</v>
      </c>
      <c r="BF867" s="458">
        <v>3.9068090232378117E-2</v>
      </c>
      <c r="BG867" s="477">
        <v>8699907.0305592641</v>
      </c>
      <c r="BH867" s="458">
        <v>8.0341594399053307E-2</v>
      </c>
      <c r="BI867" s="477">
        <v>15397152.167385556</v>
      </c>
      <c r="BJ867" s="458">
        <v>0.12110090632698878</v>
      </c>
      <c r="BK867" s="477">
        <v>88708092.701580167</v>
      </c>
      <c r="BL867" s="458">
        <v>0.27105553494312096</v>
      </c>
      <c r="BM867" s="468">
        <v>4.6050152430212279</v>
      </c>
    </row>
    <row r="868" spans="12:65" x14ac:dyDescent="0.3">
      <c r="L868" s="427">
        <v>7007934.4480999997</v>
      </c>
      <c r="BE868" s="477">
        <v>4093817.6004308192</v>
      </c>
      <c r="BF868" s="458">
        <v>6.5261444949491931E-2</v>
      </c>
      <c r="BG868" s="477">
        <v>9699957.0628149919</v>
      </c>
      <c r="BH868" s="458">
        <v>0.10278625227356919</v>
      </c>
      <c r="BI868" s="477">
        <v>23927970.19204903</v>
      </c>
      <c r="BJ868" s="458">
        <v>0.12113211032756022</v>
      </c>
      <c r="BK868" s="477">
        <v>94470426.903843448</v>
      </c>
      <c r="BL868" s="458">
        <v>0.26999704619530185</v>
      </c>
      <c r="BM868" s="468">
        <v>9.1259692710203044</v>
      </c>
    </row>
    <row r="869" spans="12:65" x14ac:dyDescent="0.3">
      <c r="L869" s="427">
        <v>10043924.817399999</v>
      </c>
      <c r="BE869" s="477">
        <v>4636999.7876929492</v>
      </c>
      <c r="BF869" s="458">
        <v>4.1869434980958742E-2</v>
      </c>
      <c r="BG869" s="477">
        <v>9768900.5240899753</v>
      </c>
      <c r="BH869" s="458">
        <v>8.8361295483577518E-2</v>
      </c>
      <c r="BI869" s="477">
        <v>21729173.342156641</v>
      </c>
      <c r="BJ869" s="458">
        <v>0.10625425144522072</v>
      </c>
      <c r="BK869" s="477">
        <v>107327025.23216222</v>
      </c>
      <c r="BL869" s="458">
        <v>0.25388690989843976</v>
      </c>
      <c r="BM869" s="468">
        <v>5.6521584032974808</v>
      </c>
    </row>
    <row r="870" spans="12:65" x14ac:dyDescent="0.3">
      <c r="L870" s="427">
        <v>9914106.1344000008</v>
      </c>
      <c r="BE870" s="477">
        <v>3886976.4247150957</v>
      </c>
      <c r="BF870" s="458">
        <v>7.6405149558386842E-2</v>
      </c>
      <c r="BG870" s="477">
        <v>9135799.2889497429</v>
      </c>
      <c r="BH870" s="458">
        <v>5.5756109397011144E-2</v>
      </c>
      <c r="BI870" s="477">
        <v>19858470.254567903</v>
      </c>
      <c r="BJ870" s="458">
        <v>0.11021578553748457</v>
      </c>
      <c r="BK870" s="477">
        <v>92464936.751593381</v>
      </c>
      <c r="BL870" s="458">
        <v>0.25449061788556482</v>
      </c>
      <c r="BM870" s="468">
        <v>9.7822687109814925</v>
      </c>
    </row>
    <row r="871" spans="12:65" x14ac:dyDescent="0.3">
      <c r="L871" s="427">
        <v>11528602.834000001</v>
      </c>
      <c r="BE871" s="477">
        <v>8883242.4192141537</v>
      </c>
      <c r="BF871" s="458">
        <v>6.0685048246681639E-2</v>
      </c>
      <c r="BG871" s="477">
        <v>2820995.728064083</v>
      </c>
      <c r="BH871" s="458">
        <v>5.5829938496660958E-2</v>
      </c>
      <c r="BI871" s="477">
        <v>21996275.102952927</v>
      </c>
      <c r="BJ871" s="458">
        <v>7.6702695194110992E-2</v>
      </c>
      <c r="BK871" s="477">
        <v>98566816.142545074</v>
      </c>
      <c r="BL871" s="458">
        <v>0.28296245937749953</v>
      </c>
      <c r="BM871" s="468">
        <v>6.7963714133337287</v>
      </c>
    </row>
    <row r="872" spans="12:65" x14ac:dyDescent="0.3">
      <c r="L872" s="427">
        <v>7526650.9320999999</v>
      </c>
      <c r="BE872" s="477">
        <v>7224653.1562134493</v>
      </c>
      <c r="BF872" s="458">
        <v>2.9326622517421796E-2</v>
      </c>
      <c r="BG872" s="477">
        <v>4695950.9066094607</v>
      </c>
      <c r="BH872" s="458">
        <v>8.1254472644932685E-2</v>
      </c>
      <c r="BI872" s="477">
        <v>21144019.077502348</v>
      </c>
      <c r="BJ872" s="458">
        <v>0.14742189455629395</v>
      </c>
      <c r="BK872" s="477">
        <v>79763285.816704214</v>
      </c>
      <c r="BL872" s="458">
        <v>0.28043351048100296</v>
      </c>
      <c r="BM872" s="468">
        <v>7.6926749210901697</v>
      </c>
    </row>
    <row r="873" spans="12:65" x14ac:dyDescent="0.3">
      <c r="L873" s="427">
        <v>1042701.751</v>
      </c>
      <c r="BE873" s="477">
        <v>2114471.1577885509</v>
      </c>
      <c r="BF873" s="458">
        <v>3.7982038822178765E-2</v>
      </c>
      <c r="BG873" s="477">
        <v>8483661.4470999315</v>
      </c>
      <c r="BH873" s="458">
        <v>5.3909162560724422E-2</v>
      </c>
      <c r="BI873" s="477">
        <v>10135822.645194858</v>
      </c>
      <c r="BJ873" s="458">
        <v>0.1234521938763169</v>
      </c>
      <c r="BK873" s="477">
        <v>75191582.474734843</v>
      </c>
      <c r="BL873" s="458">
        <v>0.27239928373032796</v>
      </c>
      <c r="BM873" s="468">
        <v>7.2507607015223989</v>
      </c>
    </row>
    <row r="874" spans="12:65" x14ac:dyDescent="0.3">
      <c r="L874" s="427">
        <v>1963833.544</v>
      </c>
      <c r="BE874" s="477">
        <v>6987189.3777763294</v>
      </c>
      <c r="BF874" s="458">
        <v>4.566691403874823E-2</v>
      </c>
      <c r="BG874" s="477">
        <v>-587992.52056876104</v>
      </c>
      <c r="BH874" s="458">
        <v>5.366366381613874E-2</v>
      </c>
      <c r="BI874" s="477">
        <v>15208193.417654363</v>
      </c>
      <c r="BJ874" s="458">
        <v>9.8626525619325278E-2</v>
      </c>
      <c r="BK874" s="477">
        <v>74938360.657846391</v>
      </c>
      <c r="BL874" s="458">
        <v>0.27166177305799821</v>
      </c>
      <c r="BM874" s="468">
        <v>9.2358613036091484</v>
      </c>
    </row>
    <row r="875" spans="12:65" x14ac:dyDescent="0.3">
      <c r="L875" s="427">
        <v>12601780.918500001</v>
      </c>
      <c r="BE875" s="477">
        <v>4010927.5394430775</v>
      </c>
      <c r="BF875" s="458">
        <v>5.2811693582758723E-2</v>
      </c>
      <c r="BG875" s="477">
        <v>9374312.1712327134</v>
      </c>
      <c r="BH875" s="458">
        <v>5.9325473757338321E-2</v>
      </c>
      <c r="BI875" s="477">
        <v>11448987.446043061</v>
      </c>
      <c r="BJ875" s="458">
        <v>0.1293078244959216</v>
      </c>
      <c r="BK875" s="477">
        <v>91095042.326663464</v>
      </c>
      <c r="BL875" s="458">
        <v>0.26837119577154755</v>
      </c>
      <c r="BM875" s="468">
        <v>8.1652263580555147</v>
      </c>
    </row>
    <row r="876" spans="12:65" x14ac:dyDescent="0.3">
      <c r="L876" s="427">
        <v>3152052.2357999999</v>
      </c>
      <c r="BE876" s="477">
        <v>6547069.0022250582</v>
      </c>
      <c r="BF876" s="458">
        <v>5.2056817100907926E-2</v>
      </c>
      <c r="BG876" s="477">
        <v>9285906.8125356715</v>
      </c>
      <c r="BH876" s="458">
        <v>6.3262435631506131E-2</v>
      </c>
      <c r="BI876" s="477">
        <v>18420563.564529967</v>
      </c>
      <c r="BJ876" s="458">
        <v>0.10159901848516828</v>
      </c>
      <c r="BK876" s="477">
        <v>83645094.598004386</v>
      </c>
      <c r="BL876" s="458">
        <v>0.25166053642189778</v>
      </c>
      <c r="BM876" s="468">
        <v>10.613445850010235</v>
      </c>
    </row>
    <row r="877" spans="12:65" x14ac:dyDescent="0.3">
      <c r="L877" s="427">
        <v>7199426.4309</v>
      </c>
      <c r="BE877" s="477">
        <v>7497939.3208813341</v>
      </c>
      <c r="BF877" s="458">
        <v>3.8826833835986063E-2</v>
      </c>
      <c r="BG877" s="477">
        <v>7817206.1663595475</v>
      </c>
      <c r="BH877" s="458">
        <v>7.9643866508900762E-2</v>
      </c>
      <c r="BI877" s="477">
        <v>26917601.965865817</v>
      </c>
      <c r="BJ877" s="458">
        <v>0.11464313445049457</v>
      </c>
      <c r="BK877" s="477">
        <v>100739817.73378351</v>
      </c>
      <c r="BL877" s="458">
        <v>0.29926719972343196</v>
      </c>
      <c r="BM877" s="468">
        <v>6.8638622048225466</v>
      </c>
    </row>
    <row r="878" spans="12:65" x14ac:dyDescent="0.3">
      <c r="L878" s="427">
        <v>5122013.0642999997</v>
      </c>
      <c r="BE878" s="477">
        <v>4770249.1652823342</v>
      </c>
      <c r="BF878" s="458">
        <v>3.166704984908586E-2</v>
      </c>
      <c r="BG878" s="477">
        <v>7279397.6893231962</v>
      </c>
      <c r="BH878" s="458">
        <v>5.5469445181028476E-2</v>
      </c>
      <c r="BI878" s="477">
        <v>6835687.3932023123</v>
      </c>
      <c r="BJ878" s="458">
        <v>8.9597543411439773E-2</v>
      </c>
      <c r="BK878" s="477">
        <v>78431252.00130637</v>
      </c>
      <c r="BL878" s="458">
        <v>0.24781834431955185</v>
      </c>
      <c r="BM878" s="468">
        <v>9.316196850751691</v>
      </c>
    </row>
    <row r="879" spans="12:65" x14ac:dyDescent="0.3">
      <c r="L879" s="427">
        <v>13312388.252800001</v>
      </c>
      <c r="BE879" s="477">
        <v>5028837.867860401</v>
      </c>
      <c r="BF879" s="458">
        <v>4.0201702547528306E-2</v>
      </c>
      <c r="BG879" s="477">
        <v>13131481.200674718</v>
      </c>
      <c r="BH879" s="458">
        <v>6.6154536609592807E-2</v>
      </c>
      <c r="BI879" s="477">
        <v>18104868.435076587</v>
      </c>
      <c r="BJ879" s="458">
        <v>0.10403951181075555</v>
      </c>
      <c r="BK879" s="477">
        <v>90642599.146175846</v>
      </c>
      <c r="BL879" s="458">
        <v>0.26337675637186875</v>
      </c>
      <c r="BM879" s="468">
        <v>13.379989925256369</v>
      </c>
    </row>
    <row r="880" spans="12:65" x14ac:dyDescent="0.3">
      <c r="L880" s="427">
        <v>11414990.6117</v>
      </c>
      <c r="BE880" s="477">
        <v>5355641.2375863325</v>
      </c>
      <c r="BF880" s="458">
        <v>3.3616010371710248E-2</v>
      </c>
      <c r="BG880" s="477">
        <v>9448148.463048026</v>
      </c>
      <c r="BH880" s="458">
        <v>6.3643973457671255E-2</v>
      </c>
      <c r="BI880" s="477">
        <v>19508572.666706622</v>
      </c>
      <c r="BJ880" s="458">
        <v>8.1881022861445718E-2</v>
      </c>
      <c r="BK880" s="477">
        <v>90520695.333533406</v>
      </c>
      <c r="BL880" s="458">
        <v>0.25491934334851152</v>
      </c>
      <c r="BM880" s="468">
        <v>8.1451694466983486</v>
      </c>
    </row>
    <row r="881" spans="12:65" x14ac:dyDescent="0.3">
      <c r="L881" s="427">
        <v>17739727.116799999</v>
      </c>
      <c r="BE881" s="477">
        <v>4302204.9950026544</v>
      </c>
      <c r="BF881" s="458">
        <v>3.1019085426210902E-2</v>
      </c>
      <c r="BG881" s="477">
        <v>11653372.39247858</v>
      </c>
      <c r="BH881" s="458">
        <v>6.0475863946638952E-2</v>
      </c>
      <c r="BI881" s="477">
        <v>19339018.807991758</v>
      </c>
      <c r="BJ881" s="458">
        <v>0.10588277320924</v>
      </c>
      <c r="BK881" s="477">
        <v>85382411.252000272</v>
      </c>
      <c r="BL881" s="458">
        <v>0.25834296355984199</v>
      </c>
      <c r="BM881" s="468">
        <v>9.1272607564798722</v>
      </c>
    </row>
    <row r="882" spans="12:65" x14ac:dyDescent="0.3">
      <c r="L882" s="427">
        <v>14929260.385199999</v>
      </c>
      <c r="BE882" s="477">
        <v>517969.66313073627</v>
      </c>
      <c r="BF882" s="458">
        <v>4.7202509592236153E-2</v>
      </c>
      <c r="BG882" s="477">
        <v>10425920.905609243</v>
      </c>
      <c r="BH882" s="458">
        <v>7.7307431070365196E-2</v>
      </c>
      <c r="BI882" s="477">
        <v>16958753.402889162</v>
      </c>
      <c r="BJ882" s="458">
        <v>9.7912492812736174E-2</v>
      </c>
      <c r="BK882" s="477">
        <v>103779812.11635533</v>
      </c>
      <c r="BL882" s="458">
        <v>0.27752050626736913</v>
      </c>
      <c r="BM882" s="468">
        <v>3.1766203740477561</v>
      </c>
    </row>
    <row r="883" spans="12:65" x14ac:dyDescent="0.3">
      <c r="L883" s="427">
        <v>22033314.870000001</v>
      </c>
      <c r="BE883" s="477">
        <v>4346733.7915298557</v>
      </c>
      <c r="BF883" s="458">
        <v>3.1992050046464549E-2</v>
      </c>
      <c r="BG883" s="477">
        <v>4286284.1089665182</v>
      </c>
      <c r="BH883" s="458">
        <v>8.0397240623553357E-2</v>
      </c>
      <c r="BI883" s="477">
        <v>21243531.380472779</v>
      </c>
      <c r="BJ883" s="458">
        <v>0.13006467536896094</v>
      </c>
      <c r="BK883" s="477">
        <v>83023108.710604593</v>
      </c>
      <c r="BL883" s="458">
        <v>0.27348897146481321</v>
      </c>
      <c r="BM883" s="468">
        <v>15.307052347745035</v>
      </c>
    </row>
    <row r="884" spans="12:65" x14ac:dyDescent="0.3">
      <c r="L884" s="427">
        <v>14807794.6373</v>
      </c>
      <c r="BE884" s="477">
        <v>5568528.0862180758</v>
      </c>
      <c r="BF884" s="458">
        <v>7.518468089157837E-2</v>
      </c>
      <c r="BG884" s="477">
        <v>9389299.037868103</v>
      </c>
      <c r="BH884" s="458">
        <v>3.547878101088453E-2</v>
      </c>
      <c r="BI884" s="477">
        <v>13967817.509974375</v>
      </c>
      <c r="BJ884" s="458">
        <v>9.3411269330757829E-2</v>
      </c>
      <c r="BK884" s="477">
        <v>82594152.314409003</v>
      </c>
      <c r="BL884" s="458">
        <v>0.28745216139210439</v>
      </c>
      <c r="BM884" s="468">
        <v>3.9978114366589734</v>
      </c>
    </row>
    <row r="885" spans="12:65" x14ac:dyDescent="0.3">
      <c r="L885" s="427">
        <v>10517784.7785</v>
      </c>
      <c r="BE885" s="477">
        <v>4608644.2880828427</v>
      </c>
      <c r="BF885" s="458">
        <v>4.8216174289093638E-2</v>
      </c>
      <c r="BG885" s="477">
        <v>5572219.0107705621</v>
      </c>
      <c r="BH885" s="458">
        <v>4.1570630453391377E-2</v>
      </c>
      <c r="BI885" s="477">
        <v>16279710.496778402</v>
      </c>
      <c r="BJ885" s="458">
        <v>0.10934878950675175</v>
      </c>
      <c r="BK885" s="477">
        <v>94866446.749518901</v>
      </c>
      <c r="BL885" s="458">
        <v>0.26099366440698257</v>
      </c>
      <c r="BM885" s="468">
        <v>6.5897575178893746</v>
      </c>
    </row>
    <row r="886" spans="12:65" x14ac:dyDescent="0.3">
      <c r="L886" s="427">
        <v>14651538.6139</v>
      </c>
      <c r="BE886" s="477">
        <v>6111605.9943917105</v>
      </c>
      <c r="BF886" s="458">
        <v>2.3467450258240374E-2</v>
      </c>
      <c r="BG886" s="477">
        <v>5867345.5669202944</v>
      </c>
      <c r="BH886" s="458">
        <v>7.9756872192798145E-2</v>
      </c>
      <c r="BI886" s="477">
        <v>14134774.989637939</v>
      </c>
      <c r="BJ886" s="458">
        <v>0.13190666869837497</v>
      </c>
      <c r="BK886" s="477">
        <v>86629129.241870537</v>
      </c>
      <c r="BL886" s="458">
        <v>0.26436539529206016</v>
      </c>
      <c r="BM886" s="468">
        <v>11.930955214319106</v>
      </c>
    </row>
    <row r="887" spans="12:65" x14ac:dyDescent="0.3">
      <c r="L887" s="427">
        <v>-698774.10809999995</v>
      </c>
      <c r="BE887" s="477">
        <v>8419447.39680258</v>
      </c>
      <c r="BF887" s="458">
        <v>2.7218213404654357E-2</v>
      </c>
      <c r="BG887" s="477">
        <v>11116175.147416284</v>
      </c>
      <c r="BH887" s="458">
        <v>8.7893693888016378E-2</v>
      </c>
      <c r="BI887" s="477">
        <v>20470525.412189495</v>
      </c>
      <c r="BJ887" s="458">
        <v>9.1655152713483234E-2</v>
      </c>
      <c r="BK887" s="477">
        <v>87507196.783655375</v>
      </c>
      <c r="BL887" s="458">
        <v>0.27181003997858011</v>
      </c>
      <c r="BM887" s="468">
        <v>9.6764456799022831</v>
      </c>
    </row>
    <row r="888" spans="12:65" x14ac:dyDescent="0.3">
      <c r="L888" s="427">
        <v>13009189.994100001</v>
      </c>
      <c r="BE888" s="477">
        <v>7533223.4590757638</v>
      </c>
      <c r="BF888" s="458">
        <v>5.3477793607385138E-2</v>
      </c>
      <c r="BG888" s="477">
        <v>8438907.586783262</v>
      </c>
      <c r="BH888" s="458">
        <v>7.203357665521426E-2</v>
      </c>
      <c r="BI888" s="477">
        <v>23018783.746837225</v>
      </c>
      <c r="BJ888" s="458">
        <v>0.11623597679595399</v>
      </c>
      <c r="BK888" s="477">
        <v>90244552.167246595</v>
      </c>
      <c r="BL888" s="458">
        <v>0.2693374001600366</v>
      </c>
      <c r="BM888" s="468">
        <v>8.9745207578249051</v>
      </c>
    </row>
    <row r="889" spans="12:65" x14ac:dyDescent="0.3">
      <c r="L889" s="427">
        <v>2615034.4216999998</v>
      </c>
      <c r="BE889" s="477">
        <v>3979896.0386014427</v>
      </c>
      <c r="BF889" s="458">
        <v>3.8373736575839201E-2</v>
      </c>
      <c r="BG889" s="477">
        <v>11250423.387926312</v>
      </c>
      <c r="BH889" s="458">
        <v>4.1944620204890981E-2</v>
      </c>
      <c r="BI889" s="477">
        <v>24338927.845771752</v>
      </c>
      <c r="BJ889" s="458">
        <v>9.9708443592574358E-2</v>
      </c>
      <c r="BK889" s="477">
        <v>86972001.110032901</v>
      </c>
      <c r="BL889" s="458">
        <v>0.27274057830803322</v>
      </c>
      <c r="BM889" s="468">
        <v>4.4586119377072837</v>
      </c>
    </row>
    <row r="890" spans="12:65" x14ac:dyDescent="0.3">
      <c r="L890" s="427">
        <v>12731881.7202</v>
      </c>
      <c r="BE890" s="477">
        <v>7304956.5528782047</v>
      </c>
      <c r="BF890" s="458">
        <v>6.1712480425725413E-2</v>
      </c>
      <c r="BG890" s="477">
        <v>2653550.88272706</v>
      </c>
      <c r="BH890" s="458">
        <v>6.881720205728814E-2</v>
      </c>
      <c r="BI890" s="477">
        <v>15504516.817466823</v>
      </c>
      <c r="BJ890" s="458">
        <v>8.6190758440654047E-2</v>
      </c>
      <c r="BK890" s="477">
        <v>93858303.396550149</v>
      </c>
      <c r="BL890" s="458">
        <v>0.26609275129497334</v>
      </c>
      <c r="BM890" s="468">
        <v>10.347830273479294</v>
      </c>
    </row>
    <row r="891" spans="12:65" x14ac:dyDescent="0.3">
      <c r="L891" s="427">
        <v>14014002.767999999</v>
      </c>
      <c r="BE891" s="477">
        <v>3017988.2002118356</v>
      </c>
      <c r="BF891" s="458">
        <v>6.9212289936515958E-2</v>
      </c>
      <c r="BG891" s="477">
        <v>9336973.9083829243</v>
      </c>
      <c r="BH891" s="458">
        <v>7.5348663686112927E-2</v>
      </c>
      <c r="BI891" s="477">
        <v>23435010.605852615</v>
      </c>
      <c r="BJ891" s="458">
        <v>0.1044140089832406</v>
      </c>
      <c r="BK891" s="477">
        <v>89280296.473883063</v>
      </c>
      <c r="BL891" s="458">
        <v>0.28272835077233061</v>
      </c>
      <c r="BM891" s="468">
        <v>2.4692607726746711</v>
      </c>
    </row>
    <row r="892" spans="12:65" x14ac:dyDescent="0.3">
      <c r="L892" s="427">
        <v>19373754.655699998</v>
      </c>
      <c r="BE892" s="477">
        <v>2405902.9941352876</v>
      </c>
      <c r="BF892" s="458">
        <v>3.5817961767761863E-2</v>
      </c>
      <c r="BG892" s="477">
        <v>11150679.870210292</v>
      </c>
      <c r="BH892" s="458">
        <v>7.4326708322040469E-2</v>
      </c>
      <c r="BI892" s="477">
        <v>11998467.429357035</v>
      </c>
      <c r="BJ892" s="458">
        <v>0.12609648890333602</v>
      </c>
      <c r="BK892" s="477">
        <v>92623030.887261048</v>
      </c>
      <c r="BL892" s="458">
        <v>0.26671835187248316</v>
      </c>
      <c r="BM892" s="468">
        <v>7.2863193892609708</v>
      </c>
    </row>
    <row r="893" spans="12:65" x14ac:dyDescent="0.3">
      <c r="L893" s="427">
        <v>2572116.1834</v>
      </c>
      <c r="BE893" s="477">
        <v>3131711.7556992746</v>
      </c>
      <c r="BF893" s="458">
        <v>7.9475004031782204E-2</v>
      </c>
      <c r="BG893" s="477">
        <v>11099824.461393073</v>
      </c>
      <c r="BH893" s="458">
        <v>5.0483662543695962E-2</v>
      </c>
      <c r="BI893" s="477">
        <v>18754907.564202998</v>
      </c>
      <c r="BJ893" s="458">
        <v>0.11552045721573156</v>
      </c>
      <c r="BK893" s="477">
        <v>86003040.958557889</v>
      </c>
      <c r="BL893" s="458">
        <v>0.26472904781240314</v>
      </c>
      <c r="BM893" s="468">
        <v>7.0998147575182564</v>
      </c>
    </row>
    <row r="894" spans="12:65" x14ac:dyDescent="0.3">
      <c r="L894" s="427">
        <v>14105380.521299999</v>
      </c>
      <c r="BE894" s="477">
        <v>10135843.639115697</v>
      </c>
      <c r="BF894" s="458">
        <v>4.6903514819512493E-2</v>
      </c>
      <c r="BG894" s="477">
        <v>11569736.41975053</v>
      </c>
      <c r="BH894" s="458">
        <v>7.4087838413759544E-2</v>
      </c>
      <c r="BI894" s="477">
        <v>25801781.397357728</v>
      </c>
      <c r="BJ894" s="458">
        <v>0.1080789745936519</v>
      </c>
      <c r="BK894" s="477">
        <v>96746639.187477931</v>
      </c>
      <c r="BL894" s="458">
        <v>0.26143196135947333</v>
      </c>
      <c r="BM894" s="468">
        <v>6.9079972271549277</v>
      </c>
    </row>
    <row r="895" spans="12:65" x14ac:dyDescent="0.3">
      <c r="L895" s="427">
        <v>24935231.810199998</v>
      </c>
      <c r="BE895" s="477">
        <v>3889644.1197374547</v>
      </c>
      <c r="BF895" s="458">
        <v>2.445677918063538E-2</v>
      </c>
      <c r="BG895" s="477">
        <v>11864996.548943471</v>
      </c>
      <c r="BH895" s="458">
        <v>6.3726321689779875E-2</v>
      </c>
      <c r="BI895" s="477">
        <v>22843587.274225034</v>
      </c>
      <c r="BJ895" s="458">
        <v>0.116903429697369</v>
      </c>
      <c r="BK895" s="477">
        <v>91683864.17478019</v>
      </c>
      <c r="BL895" s="458">
        <v>0.25636438107838133</v>
      </c>
      <c r="BM895" s="468">
        <v>6.8728190631392305</v>
      </c>
    </row>
    <row r="896" spans="12:65" x14ac:dyDescent="0.3">
      <c r="L896" s="427">
        <v>17084956.442899998</v>
      </c>
      <c r="BE896" s="477">
        <v>4789993.575629699</v>
      </c>
      <c r="BF896" s="458">
        <v>7.4356907628227553E-2</v>
      </c>
      <c r="BG896" s="477">
        <v>5581260.2977748644</v>
      </c>
      <c r="BH896" s="458">
        <v>4.4610917150106122E-2</v>
      </c>
      <c r="BI896" s="477">
        <v>16879837.533732545</v>
      </c>
      <c r="BJ896" s="458">
        <v>0.10954210895623184</v>
      </c>
      <c r="BK896" s="477">
        <v>96749671.976020351</v>
      </c>
      <c r="BL896" s="458">
        <v>0.25696989381959656</v>
      </c>
      <c r="BM896" s="468">
        <v>13.689094527181656</v>
      </c>
    </row>
    <row r="897" spans="12:65" x14ac:dyDescent="0.3">
      <c r="L897" s="427">
        <v>-7753032.3070999999</v>
      </c>
      <c r="BE897" s="477">
        <v>6342977.157168516</v>
      </c>
      <c r="BF897" s="458">
        <v>5.6609458366140286E-2</v>
      </c>
      <c r="BG897" s="477">
        <v>-1116990.4840613168</v>
      </c>
      <c r="BH897" s="458">
        <v>3.7240613040187664E-2</v>
      </c>
      <c r="BI897" s="477">
        <v>18521795.569138244</v>
      </c>
      <c r="BJ897" s="458">
        <v>9.7589721859959511E-2</v>
      </c>
      <c r="BK897" s="477">
        <v>81889132.95555979</v>
      </c>
      <c r="BL897" s="458">
        <v>0.26499083319566274</v>
      </c>
      <c r="BM897" s="468">
        <v>12.02976522440307</v>
      </c>
    </row>
    <row r="898" spans="12:65" x14ac:dyDescent="0.3">
      <c r="L898" s="427">
        <v>14162067.9329</v>
      </c>
      <c r="BE898" s="477">
        <v>1277652.2105503755</v>
      </c>
      <c r="BF898" s="458">
        <v>3.9166113749042442E-2</v>
      </c>
      <c r="BG898" s="477">
        <v>10864982.026132265</v>
      </c>
      <c r="BH898" s="458">
        <v>4.5706791304812144E-2</v>
      </c>
      <c r="BI898" s="477">
        <v>19150120.415533226</v>
      </c>
      <c r="BJ898" s="458">
        <v>0.10388371449706879</v>
      </c>
      <c r="BK898" s="477">
        <v>97103788.64222376</v>
      </c>
      <c r="BL898" s="458">
        <v>0.26149025124488845</v>
      </c>
      <c r="BM898" s="468">
        <v>10.004556929897927</v>
      </c>
    </row>
    <row r="899" spans="12:65" x14ac:dyDescent="0.3">
      <c r="L899" s="427">
        <v>8018794.0839999998</v>
      </c>
      <c r="BE899" s="477">
        <v>4770192.9882207708</v>
      </c>
      <c r="BF899" s="458">
        <v>3.4799774120608973E-2</v>
      </c>
      <c r="BG899" s="477">
        <v>11480103.006664157</v>
      </c>
      <c r="BH899" s="458">
        <v>5.3411598363643398E-2</v>
      </c>
      <c r="BI899" s="477">
        <v>15138797.414094474</v>
      </c>
      <c r="BJ899" s="458">
        <v>0.1118013217722984</v>
      </c>
      <c r="BK899" s="477">
        <v>90447902.30088219</v>
      </c>
      <c r="BL899" s="458">
        <v>0.26801121535237282</v>
      </c>
      <c r="BM899" s="468">
        <v>3.0663041915769709</v>
      </c>
    </row>
    <row r="900" spans="12:65" x14ac:dyDescent="0.3">
      <c r="L900" s="427">
        <v>-1890640.6906999999</v>
      </c>
      <c r="BE900" s="477">
        <v>3181955.5701267207</v>
      </c>
      <c r="BF900" s="458">
        <v>7.6433940424632363E-2</v>
      </c>
      <c r="BG900" s="477">
        <v>5646136.9562335955</v>
      </c>
      <c r="BH900" s="458">
        <v>5.7071137662820348E-2</v>
      </c>
      <c r="BI900" s="477">
        <v>7790200.446404092</v>
      </c>
      <c r="BJ900" s="458">
        <v>8.72289387979992E-2</v>
      </c>
      <c r="BK900" s="477">
        <v>91154487.286636591</v>
      </c>
      <c r="BL900" s="458">
        <v>0.2725801209407841</v>
      </c>
      <c r="BM900" s="468">
        <v>12.017020581946902</v>
      </c>
    </row>
    <row r="901" spans="12:65" x14ac:dyDescent="0.3">
      <c r="L901" s="427">
        <v>5157217.9844000004</v>
      </c>
      <c r="BE901" s="477">
        <v>6161622.5563744241</v>
      </c>
      <c r="BF901" s="458">
        <v>4.3867541762773854E-2</v>
      </c>
      <c r="BG901" s="477">
        <v>3184755.0361772715</v>
      </c>
      <c r="BH901" s="458">
        <v>5.66159138579716E-2</v>
      </c>
      <c r="BI901" s="477">
        <v>18585340.749754921</v>
      </c>
      <c r="BJ901" s="458">
        <v>0.10338283312831198</v>
      </c>
      <c r="BK901" s="477">
        <v>88042800.423587978</v>
      </c>
      <c r="BL901" s="458">
        <v>0.24854548955609324</v>
      </c>
      <c r="BM901" s="468">
        <v>7.4279050292307414</v>
      </c>
    </row>
    <row r="902" spans="12:65" x14ac:dyDescent="0.3">
      <c r="L902" s="427">
        <v>23265944.179900002</v>
      </c>
      <c r="BE902" s="477">
        <v>5449615.9174491959</v>
      </c>
      <c r="BF902" s="458">
        <v>3.9884355107426606E-2</v>
      </c>
      <c r="BG902" s="477">
        <v>3853821.7678670785</v>
      </c>
      <c r="BH902" s="458">
        <v>5.1911140284957913E-2</v>
      </c>
      <c r="BI902" s="477">
        <v>15036493.131099276</v>
      </c>
      <c r="BJ902" s="458">
        <v>0.11383367277482548</v>
      </c>
      <c r="BK902" s="477">
        <v>93311550.390689462</v>
      </c>
      <c r="BL902" s="458">
        <v>0.27106937209435866</v>
      </c>
      <c r="BM902" s="468">
        <v>8.0506831266120198</v>
      </c>
    </row>
    <row r="903" spans="12:65" x14ac:dyDescent="0.3">
      <c r="L903" s="427">
        <v>11792345.155400001</v>
      </c>
      <c r="BE903" s="477">
        <v>8504564.5020850692</v>
      </c>
      <c r="BF903" s="458">
        <v>5.3655540292769865E-2</v>
      </c>
      <c r="BG903" s="477">
        <v>11709246.169433881</v>
      </c>
      <c r="BH903" s="458">
        <v>4.6620198744719898E-2</v>
      </c>
      <c r="BI903" s="477">
        <v>13744153.348278441</v>
      </c>
      <c r="BJ903" s="458">
        <v>0.10860831777105795</v>
      </c>
      <c r="BK903" s="477">
        <v>81005950.236642599</v>
      </c>
      <c r="BL903" s="458">
        <v>0.26798802660780496</v>
      </c>
      <c r="BM903" s="468">
        <v>9.9560832380111215</v>
      </c>
    </row>
    <row r="904" spans="12:65" x14ac:dyDescent="0.3">
      <c r="L904" s="427">
        <v>-2969273.8453000002</v>
      </c>
      <c r="BE904" s="477">
        <v>4561915.8908623802</v>
      </c>
      <c r="BF904" s="458">
        <v>1.0929560507030534E-2</v>
      </c>
      <c r="BG904" s="477">
        <v>798156.7700872866</v>
      </c>
      <c r="BH904" s="458">
        <v>6.4712269583293125E-2</v>
      </c>
      <c r="BI904" s="477">
        <v>16328566.510641912</v>
      </c>
      <c r="BJ904" s="458">
        <v>0.13285085218705239</v>
      </c>
      <c r="BK904" s="477">
        <v>82727850.294091597</v>
      </c>
      <c r="BL904" s="458">
        <v>0.26030106928147845</v>
      </c>
      <c r="BM904" s="468">
        <v>13.852049760011028</v>
      </c>
    </row>
    <row r="905" spans="12:65" x14ac:dyDescent="0.3">
      <c r="L905" s="427">
        <v>14496563.7367</v>
      </c>
      <c r="BE905" s="477">
        <v>3726194.911315558</v>
      </c>
      <c r="BF905" s="458">
        <v>2.3715418373640551E-2</v>
      </c>
      <c r="BG905" s="477">
        <v>10816151.577438161</v>
      </c>
      <c r="BH905" s="458">
        <v>5.2284647357859981E-2</v>
      </c>
      <c r="BI905" s="477">
        <v>15042143.883532243</v>
      </c>
      <c r="BJ905" s="458">
        <v>0.10486923003687854</v>
      </c>
      <c r="BK905" s="477">
        <v>95893280.602359101</v>
      </c>
      <c r="BL905" s="458">
        <v>0.26094364355315069</v>
      </c>
      <c r="BM905" s="468">
        <v>13.649752836596559</v>
      </c>
    </row>
    <row r="906" spans="12:65" x14ac:dyDescent="0.3">
      <c r="L906" s="427">
        <v>-16308575.607899999</v>
      </c>
      <c r="BE906" s="477">
        <v>7756957.9356257757</v>
      </c>
      <c r="BF906" s="458">
        <v>7.8056582968698107E-2</v>
      </c>
      <c r="BG906" s="477">
        <v>5400506.7208984941</v>
      </c>
      <c r="BH906" s="458">
        <v>5.7239008095848698E-2</v>
      </c>
      <c r="BI906" s="477">
        <v>13899309.434499366</v>
      </c>
      <c r="BJ906" s="458">
        <v>9.4959701727205248E-2</v>
      </c>
      <c r="BK906" s="477">
        <v>84024143.646228641</v>
      </c>
      <c r="BL906" s="458">
        <v>0.25632419809567386</v>
      </c>
      <c r="BM906" s="468">
        <v>4.8187451328058142</v>
      </c>
    </row>
    <row r="907" spans="12:65" x14ac:dyDescent="0.3">
      <c r="L907" s="427">
        <v>-5578109.9545999998</v>
      </c>
      <c r="BE907" s="477">
        <v>2719539.0867963666</v>
      </c>
      <c r="BF907" s="458">
        <v>5.5000065232698514E-2</v>
      </c>
      <c r="BG907" s="477">
        <v>5920682.7515628263</v>
      </c>
      <c r="BH907" s="458">
        <v>6.4802613419626676E-2</v>
      </c>
      <c r="BI907" s="477">
        <v>18425755.368568167</v>
      </c>
      <c r="BJ907" s="458">
        <v>0.10591565586322882</v>
      </c>
      <c r="BK907" s="477">
        <v>92996540.652996987</v>
      </c>
      <c r="BL907" s="458">
        <v>0.2628543848715732</v>
      </c>
      <c r="BM907" s="468">
        <v>9.4455587708844533</v>
      </c>
    </row>
    <row r="908" spans="12:65" x14ac:dyDescent="0.3">
      <c r="L908" s="427">
        <v>3733254.5813000002</v>
      </c>
      <c r="BE908" s="477">
        <v>8506593.1154298522</v>
      </c>
      <c r="BF908" s="458">
        <v>1.4116892218776433E-2</v>
      </c>
      <c r="BG908" s="477">
        <v>8436426.9939112123</v>
      </c>
      <c r="BH908" s="458">
        <v>4.9058262172340328E-2</v>
      </c>
      <c r="BI908" s="477">
        <v>20436185.928368639</v>
      </c>
      <c r="BJ908" s="458">
        <v>8.8113774608597595E-2</v>
      </c>
      <c r="BK908" s="477">
        <v>96412934.577367827</v>
      </c>
      <c r="BL908" s="458">
        <v>0.25565771553740602</v>
      </c>
      <c r="BM908" s="468">
        <v>5.0454698469120665</v>
      </c>
    </row>
    <row r="909" spans="12:65" x14ac:dyDescent="0.3">
      <c r="L909" s="427">
        <v>6030136.1610000003</v>
      </c>
      <c r="BE909" s="477">
        <v>6390466.1240185667</v>
      </c>
      <c r="BF909" s="458">
        <v>3.8347000651144159E-2</v>
      </c>
      <c r="BG909" s="477">
        <v>11628487.639388263</v>
      </c>
      <c r="BH909" s="458">
        <v>8.1419401629723831E-2</v>
      </c>
      <c r="BI909" s="477">
        <v>20385806.899676733</v>
      </c>
      <c r="BJ909" s="458">
        <v>8.9816794807816791E-2</v>
      </c>
      <c r="BK909" s="477">
        <v>97576629.053696662</v>
      </c>
      <c r="BL909" s="458">
        <v>0.27426444379610793</v>
      </c>
      <c r="BM909" s="468">
        <v>8.0385312587090869</v>
      </c>
    </row>
    <row r="910" spans="12:65" x14ac:dyDescent="0.3">
      <c r="L910" s="427">
        <v>5120579.7257000003</v>
      </c>
      <c r="BE910" s="477">
        <v>10295993.25924482</v>
      </c>
      <c r="BF910" s="458">
        <v>4.0057682975960685E-2</v>
      </c>
      <c r="BG910" s="477">
        <v>3807570.3020123434</v>
      </c>
      <c r="BH910" s="458">
        <v>8.8399010470150419E-2</v>
      </c>
      <c r="BI910" s="477">
        <v>10115545.99851732</v>
      </c>
      <c r="BJ910" s="458">
        <v>0.13021999135495776</v>
      </c>
      <c r="BK910" s="477">
        <v>83523958.196743593</v>
      </c>
      <c r="BL910" s="458">
        <v>0.259145509004304</v>
      </c>
      <c r="BM910" s="468">
        <v>15.851149856460136</v>
      </c>
    </row>
    <row r="911" spans="12:65" x14ac:dyDescent="0.3">
      <c r="L911" s="427">
        <v>-9946944.8107999992</v>
      </c>
      <c r="BE911" s="477">
        <v>2313518.5676591219</v>
      </c>
      <c r="BF911" s="458">
        <v>6.8647747665107728E-2</v>
      </c>
      <c r="BG911" s="477">
        <v>12630828.028826497</v>
      </c>
      <c r="BH911" s="458">
        <v>4.4538603927476217E-2</v>
      </c>
      <c r="BI911" s="477">
        <v>15153688.534217682</v>
      </c>
      <c r="BJ911" s="458">
        <v>7.9278894936213762E-2</v>
      </c>
      <c r="BK911" s="477">
        <v>94412961.933382154</v>
      </c>
      <c r="BL911" s="458">
        <v>0.2873212752319747</v>
      </c>
      <c r="BM911" s="468">
        <v>11.231441395277317</v>
      </c>
    </row>
    <row r="912" spans="12:65" x14ac:dyDescent="0.3">
      <c r="L912" s="427">
        <v>3835026.6721999999</v>
      </c>
      <c r="BE912" s="477">
        <v>2659183.08729026</v>
      </c>
      <c r="BF912" s="458">
        <v>4.1677617463276029E-2</v>
      </c>
      <c r="BG912" s="477">
        <v>8013927.3078184826</v>
      </c>
      <c r="BH912" s="458">
        <v>7.3886120237651731E-2</v>
      </c>
      <c r="BI912" s="477">
        <v>15843371.493660746</v>
      </c>
      <c r="BJ912" s="458">
        <v>0.11514480257355486</v>
      </c>
      <c r="BK912" s="477">
        <v>109216949.33749902</v>
      </c>
      <c r="BL912" s="458">
        <v>0.27659648615831323</v>
      </c>
      <c r="BM912" s="468">
        <v>5.7287914690815231</v>
      </c>
    </row>
    <row r="913" spans="12:65" x14ac:dyDescent="0.3">
      <c r="L913" s="427">
        <v>2206819.2297999999</v>
      </c>
      <c r="BE913" s="477">
        <v>4518510.9690385312</v>
      </c>
      <c r="BF913" s="458">
        <v>2.6837840781065436E-2</v>
      </c>
      <c r="BG913" s="477">
        <v>10114784.394599466</v>
      </c>
      <c r="BH913" s="458">
        <v>8.5718273639936449E-2</v>
      </c>
      <c r="BI913" s="477">
        <v>11566967.400237989</v>
      </c>
      <c r="BJ913" s="458">
        <v>0.10945822696028218</v>
      </c>
      <c r="BK913" s="477">
        <v>74346278.701310903</v>
      </c>
      <c r="BL913" s="458">
        <v>0.25094288937792353</v>
      </c>
      <c r="BM913" s="468">
        <v>11.116888037890511</v>
      </c>
    </row>
    <row r="914" spans="12:65" x14ac:dyDescent="0.3">
      <c r="L914" s="427">
        <v>56371.2451</v>
      </c>
      <c r="BE914" s="477">
        <v>2529522.1318366714</v>
      </c>
      <c r="BF914" s="458">
        <v>3.7079095212872115E-2</v>
      </c>
      <c r="BG914" s="477">
        <v>6448403.7423208579</v>
      </c>
      <c r="BH914" s="458">
        <v>5.1391581319301993E-2</v>
      </c>
      <c r="BI914" s="477">
        <v>10021315.446938951</v>
      </c>
      <c r="BJ914" s="458">
        <v>0.10045942273607777</v>
      </c>
      <c r="BK914" s="477">
        <v>99442256.865924031</v>
      </c>
      <c r="BL914" s="458">
        <v>0.24942982875073905</v>
      </c>
      <c r="BM914" s="468">
        <v>7.9986241858685245</v>
      </c>
    </row>
    <row r="915" spans="12:65" x14ac:dyDescent="0.3">
      <c r="L915" s="427">
        <v>1331783.3848999999</v>
      </c>
      <c r="BE915" s="477">
        <v>5958495.1922075786</v>
      </c>
      <c r="BF915" s="458">
        <v>5.2717387895859336E-2</v>
      </c>
      <c r="BG915" s="477">
        <v>4504229.751582996</v>
      </c>
      <c r="BH915" s="458">
        <v>5.1292324271794199E-2</v>
      </c>
      <c r="BI915" s="477">
        <v>19708943.932182316</v>
      </c>
      <c r="BJ915" s="458">
        <v>0.15195242785086682</v>
      </c>
      <c r="BK915" s="477">
        <v>93899587.416382328</v>
      </c>
      <c r="BL915" s="458">
        <v>0.26246991601013048</v>
      </c>
      <c r="BM915" s="468">
        <v>11.990371414167841</v>
      </c>
    </row>
    <row r="916" spans="12:65" x14ac:dyDescent="0.3">
      <c r="L916" s="427">
        <v>13836652.180199999</v>
      </c>
      <c r="BE916" s="477">
        <v>2918361.7367997421</v>
      </c>
      <c r="BF916" s="458">
        <v>3.9113530410362696E-2</v>
      </c>
      <c r="BG916" s="477">
        <v>9059028.5449027196</v>
      </c>
      <c r="BH916" s="458">
        <v>4.7432361937020495E-2</v>
      </c>
      <c r="BI916" s="477">
        <v>20885555.122281082</v>
      </c>
      <c r="BJ916" s="458">
        <v>0.10296793769991019</v>
      </c>
      <c r="BK916" s="477">
        <v>92635370.173677996</v>
      </c>
      <c r="BL916" s="458">
        <v>0.26384632923622608</v>
      </c>
      <c r="BM916" s="468">
        <v>9.7705111404801048</v>
      </c>
    </row>
    <row r="917" spans="12:65" x14ac:dyDescent="0.3">
      <c r="L917" s="427">
        <v>28877480.002300002</v>
      </c>
      <c r="BE917" s="477">
        <v>3412442.4871617611</v>
      </c>
      <c r="BF917" s="458">
        <v>1.6982107673961355E-2</v>
      </c>
      <c r="BG917" s="477">
        <v>8340987.9055132149</v>
      </c>
      <c r="BH917" s="458">
        <v>6.7230340804339317E-2</v>
      </c>
      <c r="BI917" s="477">
        <v>18966323.570035208</v>
      </c>
      <c r="BJ917" s="458">
        <v>0.10015030985030893</v>
      </c>
      <c r="BK917" s="477">
        <v>78750544.273425788</v>
      </c>
      <c r="BL917" s="458">
        <v>0.28437375790135566</v>
      </c>
      <c r="BM917" s="468">
        <v>5.7126745957281759</v>
      </c>
    </row>
    <row r="918" spans="12:65" x14ac:dyDescent="0.3">
      <c r="L918" s="427">
        <v>-18480535.5482</v>
      </c>
      <c r="BE918" s="477">
        <v>514049.58860696736</v>
      </c>
      <c r="BF918" s="458">
        <v>6.6933271388426974E-2</v>
      </c>
      <c r="BG918" s="477">
        <v>6242832.7608628096</v>
      </c>
      <c r="BH918" s="458">
        <v>4.5605793736378519E-2</v>
      </c>
      <c r="BI918" s="477">
        <v>13331040.722468067</v>
      </c>
      <c r="BJ918" s="458">
        <v>0.11306341848146806</v>
      </c>
      <c r="BK918" s="477">
        <v>72270692.094070494</v>
      </c>
      <c r="BL918" s="458">
        <v>0.27189595090080121</v>
      </c>
      <c r="BM918" s="468">
        <v>7.8037193984925928</v>
      </c>
    </row>
    <row r="919" spans="12:65" x14ac:dyDescent="0.3">
      <c r="L919" s="427">
        <v>-522331.31640000001</v>
      </c>
      <c r="BE919" s="477">
        <v>7809535.7574671563</v>
      </c>
      <c r="BF919" s="458">
        <v>3.5294195343791968E-2</v>
      </c>
      <c r="BG919" s="477">
        <v>4563729.479827581</v>
      </c>
      <c r="BH919" s="458">
        <v>9.0691564787922729E-2</v>
      </c>
      <c r="BI919" s="477">
        <v>14001656.634426188</v>
      </c>
      <c r="BJ919" s="458">
        <v>0.10958123947324716</v>
      </c>
      <c r="BK919" s="477">
        <v>89369331.536110729</v>
      </c>
      <c r="BL919" s="458">
        <v>0.27482299429405721</v>
      </c>
      <c r="BM919" s="468">
        <v>8.1203527229946584</v>
      </c>
    </row>
    <row r="920" spans="12:65" x14ac:dyDescent="0.3">
      <c r="L920" s="427">
        <v>2164175.8574999999</v>
      </c>
      <c r="BE920" s="477">
        <v>4528087.8302813563</v>
      </c>
      <c r="BF920" s="458">
        <v>4.2949837304175453E-2</v>
      </c>
      <c r="BG920" s="477">
        <v>7749970.2697675722</v>
      </c>
      <c r="BH920" s="458">
        <v>6.4185111905353143E-2</v>
      </c>
      <c r="BI920" s="477">
        <v>13929242.873109642</v>
      </c>
      <c r="BJ920" s="458">
        <v>0.10978108421945354</v>
      </c>
      <c r="BK920" s="477">
        <v>98047666.937461779</v>
      </c>
      <c r="BL920" s="458">
        <v>0.28647385895465227</v>
      </c>
      <c r="BM920" s="468">
        <v>0.99822216414187803</v>
      </c>
    </row>
    <row r="921" spans="12:65" x14ac:dyDescent="0.3">
      <c r="L921" s="427">
        <v>3828257.8281999999</v>
      </c>
      <c r="BE921" s="477">
        <v>5084847.0071920045</v>
      </c>
      <c r="BF921" s="458">
        <v>4.0041518826660294E-2</v>
      </c>
      <c r="BG921" s="477">
        <v>9674536.5847645327</v>
      </c>
      <c r="BH921" s="458">
        <v>5.0116918786722087E-2</v>
      </c>
      <c r="BI921" s="477">
        <v>21033409.242681403</v>
      </c>
      <c r="BJ921" s="458">
        <v>7.7835662918473325E-2</v>
      </c>
      <c r="BK921" s="477">
        <v>94156294.834954992</v>
      </c>
      <c r="BL921" s="458">
        <v>0.25933996269871984</v>
      </c>
      <c r="BM921" s="468">
        <v>9.6508116856074189</v>
      </c>
    </row>
    <row r="922" spans="12:65" x14ac:dyDescent="0.3">
      <c r="L922" s="427">
        <v>14625621.296</v>
      </c>
      <c r="BE922" s="477">
        <v>4428284.9447687753</v>
      </c>
      <c r="BF922" s="458">
        <v>4.7614029975220573E-2</v>
      </c>
      <c r="BG922" s="477">
        <v>14981617.542109402</v>
      </c>
      <c r="BH922" s="458">
        <v>6.6238071071722304E-2</v>
      </c>
      <c r="BI922" s="477">
        <v>17461277.147337027</v>
      </c>
      <c r="BJ922" s="458">
        <v>0.10666507320682883</v>
      </c>
      <c r="BK922" s="477">
        <v>93608040.016008839</v>
      </c>
      <c r="BL922" s="458">
        <v>0.27666510635120489</v>
      </c>
      <c r="BM922" s="468">
        <v>11.184630075644943</v>
      </c>
    </row>
    <row r="923" spans="12:65" x14ac:dyDescent="0.3">
      <c r="L923" s="427">
        <v>-10609142.920299999</v>
      </c>
      <c r="BE923" s="477">
        <v>5238431.9038145412</v>
      </c>
      <c r="BF923" s="458">
        <v>5.2343905519307343E-2</v>
      </c>
      <c r="BG923" s="477">
        <v>7478279.4366047382</v>
      </c>
      <c r="BH923" s="458">
        <v>7.4058344916360097E-2</v>
      </c>
      <c r="BI923" s="477">
        <v>15919085.279617971</v>
      </c>
      <c r="BJ923" s="458">
        <v>8.3167813888356257E-2</v>
      </c>
      <c r="BK923" s="477">
        <v>93678683.646708027</v>
      </c>
      <c r="BL923" s="458">
        <v>0.26381445351276955</v>
      </c>
      <c r="BM923" s="468">
        <v>11.481353993690483</v>
      </c>
    </row>
    <row r="924" spans="12:65" x14ac:dyDescent="0.3">
      <c r="L924" s="427">
        <v>13324885.993000001</v>
      </c>
      <c r="BE924" s="477">
        <v>7829999.345225079</v>
      </c>
      <c r="BF924" s="458">
        <v>3.1320925708814285E-2</v>
      </c>
      <c r="BG924" s="477">
        <v>8040006.2096430287</v>
      </c>
      <c r="BH924" s="458">
        <v>4.7949019523457759E-2</v>
      </c>
      <c r="BI924" s="477">
        <v>13940684.037219157</v>
      </c>
      <c r="BJ924" s="458">
        <v>0.13226428316862227</v>
      </c>
      <c r="BK924" s="477">
        <v>94746695.551842451</v>
      </c>
      <c r="BL924" s="458">
        <v>0.27298037844819278</v>
      </c>
      <c r="BM924" s="468">
        <v>6.0281190585174906</v>
      </c>
    </row>
    <row r="925" spans="12:65" x14ac:dyDescent="0.3">
      <c r="L925" s="427">
        <v>14331169.9561</v>
      </c>
      <c r="BE925" s="477">
        <v>8687013.1826062761</v>
      </c>
      <c r="BF925" s="458">
        <v>3.9241287083090937E-2</v>
      </c>
      <c r="BG925" s="477">
        <v>14966235.895361871</v>
      </c>
      <c r="BH925" s="458">
        <v>6.2150913265882402E-2</v>
      </c>
      <c r="BI925" s="477">
        <v>17308153.374689456</v>
      </c>
      <c r="BJ925" s="458">
        <v>9.4419240146548233E-2</v>
      </c>
      <c r="BK925" s="477">
        <v>84491657.620450795</v>
      </c>
      <c r="BL925" s="458">
        <v>0.27912852172991576</v>
      </c>
      <c r="BM925" s="468">
        <v>7.0331333253371966</v>
      </c>
    </row>
    <row r="926" spans="12:65" x14ac:dyDescent="0.3">
      <c r="L926" s="427">
        <v>11680507.5485</v>
      </c>
      <c r="BE926" s="477">
        <v>6348795.3977445653</v>
      </c>
      <c r="BF926" s="458">
        <v>4.8844881348437896E-2</v>
      </c>
      <c r="BG926" s="477">
        <v>3288745.5039423541</v>
      </c>
      <c r="BH926" s="458">
        <v>6.1470742956621027E-2</v>
      </c>
      <c r="BI926" s="477">
        <v>14619792.023664294</v>
      </c>
      <c r="BJ926" s="458">
        <v>9.557643720458131E-2</v>
      </c>
      <c r="BK926" s="477">
        <v>91103855.909334689</v>
      </c>
      <c r="BL926" s="458">
        <v>0.26208393165555499</v>
      </c>
      <c r="BM926" s="468">
        <v>11.317862378614045</v>
      </c>
    </row>
    <row r="927" spans="12:65" x14ac:dyDescent="0.3">
      <c r="L927" s="427">
        <v>-3898026.1724999999</v>
      </c>
      <c r="BE927" s="477">
        <v>7831592.4236463122</v>
      </c>
      <c r="BF927" s="458">
        <v>5.4640917726209715E-2</v>
      </c>
      <c r="BG927" s="477">
        <v>9311077.3792383578</v>
      </c>
      <c r="BH927" s="458">
        <v>4.9772920993509606E-2</v>
      </c>
      <c r="BI927" s="477">
        <v>19456900.959486999</v>
      </c>
      <c r="BJ927" s="458">
        <v>0.11234381164332286</v>
      </c>
      <c r="BK927" s="477">
        <v>94114642.715561032</v>
      </c>
      <c r="BL927" s="458">
        <v>0.27170453839664166</v>
      </c>
      <c r="BM927" s="468">
        <v>12.501326054263386</v>
      </c>
    </row>
    <row r="928" spans="12:65" x14ac:dyDescent="0.3">
      <c r="L928" s="427">
        <v>25715925.324099999</v>
      </c>
      <c r="BE928" s="477">
        <v>4897589.8573322957</v>
      </c>
      <c r="BF928" s="458">
        <v>3.4514059426773214E-2</v>
      </c>
      <c r="BG928" s="477">
        <v>12516133.137917016</v>
      </c>
      <c r="BH928" s="458">
        <v>7.0788288514933573E-2</v>
      </c>
      <c r="BI928" s="477">
        <v>13028868.99851666</v>
      </c>
      <c r="BJ928" s="458">
        <v>9.9725945609200117E-2</v>
      </c>
      <c r="BK928" s="477">
        <v>85331742.304065153</v>
      </c>
      <c r="BL928" s="458">
        <v>0.25976105784049208</v>
      </c>
      <c r="BM928" s="468">
        <v>10.091225240047393</v>
      </c>
    </row>
    <row r="929" spans="12:65" x14ac:dyDescent="0.3">
      <c r="L929" s="427">
        <v>24283215.874299999</v>
      </c>
      <c r="BE929" s="477">
        <v>4579825.810090635</v>
      </c>
      <c r="BF929" s="458">
        <v>4.0698182351969869E-2</v>
      </c>
      <c r="BG929" s="477">
        <v>12229485.028244242</v>
      </c>
      <c r="BH929" s="458">
        <v>7.9362436802152159E-2</v>
      </c>
      <c r="BI929" s="477">
        <v>25518524.616478834</v>
      </c>
      <c r="BJ929" s="458">
        <v>0.1308259091920394</v>
      </c>
      <c r="BK929" s="477">
        <v>74599130.266499966</v>
      </c>
      <c r="BL929" s="458">
        <v>0.28991342715595381</v>
      </c>
      <c r="BM929" s="468">
        <v>6.6580229890209255</v>
      </c>
    </row>
    <row r="930" spans="12:65" x14ac:dyDescent="0.3">
      <c r="L930" s="427">
        <v>19345203.460299999</v>
      </c>
      <c r="BE930" s="477">
        <v>4995084.1303209607</v>
      </c>
      <c r="BF930" s="458">
        <v>8.1552402672159019E-2</v>
      </c>
      <c r="BG930" s="477">
        <v>8359857.0168385748</v>
      </c>
      <c r="BH930" s="458">
        <v>8.093521749763144E-2</v>
      </c>
      <c r="BI930" s="477">
        <v>25758392.787065811</v>
      </c>
      <c r="BJ930" s="458">
        <v>0.10583599786293818</v>
      </c>
      <c r="BK930" s="477">
        <v>89396264.201166332</v>
      </c>
      <c r="BL930" s="458">
        <v>0.27380583136378811</v>
      </c>
      <c r="BM930" s="468">
        <v>10.674317486890175</v>
      </c>
    </row>
    <row r="931" spans="12:65" x14ac:dyDescent="0.3">
      <c r="L931" s="427">
        <v>10892576.3726</v>
      </c>
      <c r="BE931" s="477">
        <v>6241207.196667864</v>
      </c>
      <c r="BF931" s="458">
        <v>6.8846813634057202E-2</v>
      </c>
      <c r="BG931" s="477">
        <v>4381231.0357989529</v>
      </c>
      <c r="BH931" s="458">
        <v>5.9411259758262558E-2</v>
      </c>
      <c r="BI931" s="477">
        <v>9148295.55743373</v>
      </c>
      <c r="BJ931" s="458">
        <v>0.11153412678272057</v>
      </c>
      <c r="BK931" s="477">
        <v>87233396.880787209</v>
      </c>
      <c r="BL931" s="458">
        <v>0.27093739301846242</v>
      </c>
      <c r="BM931" s="468">
        <v>7.2588303088040522</v>
      </c>
    </row>
    <row r="932" spans="12:65" x14ac:dyDescent="0.3">
      <c r="L932" s="427">
        <v>19745580.571400002</v>
      </c>
      <c r="BE932" s="477">
        <v>2753084.5876798485</v>
      </c>
      <c r="BF932" s="458">
        <v>5.5000855891225386E-2</v>
      </c>
      <c r="BG932" s="477">
        <v>1950977.7069027075</v>
      </c>
      <c r="BH932" s="458">
        <v>7.1823229265662425E-2</v>
      </c>
      <c r="BI932" s="477">
        <v>5744795.9417540338</v>
      </c>
      <c r="BJ932" s="458">
        <v>0.10549527904592404</v>
      </c>
      <c r="BK932" s="477">
        <v>91796468.685820371</v>
      </c>
      <c r="BL932" s="458">
        <v>0.28027021858241463</v>
      </c>
      <c r="BM932" s="468">
        <v>12.207654017482181</v>
      </c>
    </row>
    <row r="933" spans="12:65" x14ac:dyDescent="0.3">
      <c r="L933" s="427">
        <v>7553301.6445000004</v>
      </c>
      <c r="BE933" s="477">
        <v>8063157.3303072024</v>
      </c>
      <c r="BF933" s="458">
        <v>2.7385302493384334E-2</v>
      </c>
      <c r="BG933" s="477">
        <v>13221302.507093951</v>
      </c>
      <c r="BH933" s="458">
        <v>5.6986095237270717E-2</v>
      </c>
      <c r="BI933" s="477">
        <v>16926369.29661227</v>
      </c>
      <c r="BJ933" s="458">
        <v>9.8956892347116909E-2</v>
      </c>
      <c r="BK933" s="477">
        <v>84989561.301062629</v>
      </c>
      <c r="BL933" s="458">
        <v>0.26087633867520599</v>
      </c>
      <c r="BM933" s="468">
        <v>4.456444851079568</v>
      </c>
    </row>
    <row r="934" spans="12:65" x14ac:dyDescent="0.3">
      <c r="L934" s="427">
        <v>13620987.819599999</v>
      </c>
      <c r="BE934" s="477">
        <v>6357340.0014947038</v>
      </c>
      <c r="BF934" s="458">
        <v>3.8026026344202712E-2</v>
      </c>
      <c r="BG934" s="477">
        <v>10393450.943043645</v>
      </c>
      <c r="BH934" s="458">
        <v>9.8008575532330999E-2</v>
      </c>
      <c r="BI934" s="477">
        <v>5500870.9404801764</v>
      </c>
      <c r="BJ934" s="458">
        <v>0.12316209575980475</v>
      </c>
      <c r="BK934" s="477">
        <v>81566854.054755628</v>
      </c>
      <c r="BL934" s="458">
        <v>0.26484989133954029</v>
      </c>
      <c r="BM934" s="468">
        <v>10.445583264817504</v>
      </c>
    </row>
    <row r="935" spans="12:65" x14ac:dyDescent="0.3">
      <c r="L935" s="427">
        <v>7982461.3509999998</v>
      </c>
      <c r="BE935" s="477">
        <v>10812436.10909164</v>
      </c>
      <c r="BF935" s="458">
        <v>4.164004212176442E-2</v>
      </c>
      <c r="BG935" s="477">
        <v>8909915.7972802632</v>
      </c>
      <c r="BH935" s="458">
        <v>6.9213588462080144E-2</v>
      </c>
      <c r="BI935" s="477">
        <v>14982803.802217653</v>
      </c>
      <c r="BJ935" s="458">
        <v>9.5669325302938368E-2</v>
      </c>
      <c r="BK935" s="477">
        <v>100224718.75757982</v>
      </c>
      <c r="BL935" s="458">
        <v>0.30331596728454624</v>
      </c>
      <c r="BM935" s="468">
        <v>8.0725828178081152</v>
      </c>
    </row>
    <row r="936" spans="12:65" x14ac:dyDescent="0.3">
      <c r="L936" s="427">
        <v>-579372.71810000006</v>
      </c>
      <c r="BE936" s="477">
        <v>6178268.8272837885</v>
      </c>
      <c r="BF936" s="458">
        <v>3.6981982164542737E-2</v>
      </c>
      <c r="BG936" s="477">
        <v>10346653.889766911</v>
      </c>
      <c r="BH936" s="458">
        <v>5.3617125308314195E-2</v>
      </c>
      <c r="BI936" s="477">
        <v>15091127.1002807</v>
      </c>
      <c r="BJ936" s="458">
        <v>9.3067629870499768E-2</v>
      </c>
      <c r="BK936" s="477">
        <v>101079488.27691945</v>
      </c>
      <c r="BL936" s="458">
        <v>0.26216918671738965</v>
      </c>
      <c r="BM936" s="468">
        <v>10.54823707724147</v>
      </c>
    </row>
    <row r="937" spans="12:65" x14ac:dyDescent="0.3">
      <c r="L937" s="427">
        <v>26216893.427999999</v>
      </c>
      <c r="BE937" s="477">
        <v>4033921.6114630876</v>
      </c>
      <c r="BF937" s="458">
        <v>3.485245275513793E-2</v>
      </c>
      <c r="BG937" s="477">
        <v>10871916.078533832</v>
      </c>
      <c r="BH937" s="458">
        <v>6.4438928652397198E-2</v>
      </c>
      <c r="BI937" s="477">
        <v>14407110.710520316</v>
      </c>
      <c r="BJ937" s="458">
        <v>0.10859608957311973</v>
      </c>
      <c r="BK937" s="477">
        <v>75959319.375360429</v>
      </c>
      <c r="BL937" s="458">
        <v>0.28314855831862085</v>
      </c>
      <c r="BM937" s="468">
        <v>11.058126383648723</v>
      </c>
    </row>
    <row r="938" spans="12:65" x14ac:dyDescent="0.3">
      <c r="L938" s="427">
        <v>17711828.604200002</v>
      </c>
      <c r="BE938" s="477">
        <v>4256413.5595008535</v>
      </c>
      <c r="BF938" s="458">
        <v>6.8628934358919924E-2</v>
      </c>
      <c r="BG938" s="477">
        <v>9274057.1586582996</v>
      </c>
      <c r="BH938" s="458">
        <v>5.5336283905515593E-2</v>
      </c>
      <c r="BI938" s="477">
        <v>22413236.041605674</v>
      </c>
      <c r="BJ938" s="458">
        <v>0.11291585316107788</v>
      </c>
      <c r="BK938" s="477">
        <v>108341306.09317245</v>
      </c>
      <c r="BL938" s="458">
        <v>0.26586484467184412</v>
      </c>
      <c r="BM938" s="468">
        <v>9.0416827810595404</v>
      </c>
    </row>
    <row r="939" spans="12:65" x14ac:dyDescent="0.3">
      <c r="L939" s="427">
        <v>14830183.379899999</v>
      </c>
      <c r="BE939" s="477">
        <v>6633607.8837554855</v>
      </c>
      <c r="BF939" s="458">
        <v>-1.373202000777507E-3</v>
      </c>
      <c r="BG939" s="477">
        <v>4265766.2246604608</v>
      </c>
      <c r="BH939" s="458">
        <v>2.91247705215254E-2</v>
      </c>
      <c r="BI939" s="477">
        <v>7844538.7560358318</v>
      </c>
      <c r="BJ939" s="458">
        <v>0.11768321669686843</v>
      </c>
      <c r="BK939" s="477">
        <v>100196086.0334276</v>
      </c>
      <c r="BL939" s="458">
        <v>0.27886313050083666</v>
      </c>
      <c r="BM939" s="468">
        <v>4.0917466229796533</v>
      </c>
    </row>
    <row r="940" spans="12:65" x14ac:dyDescent="0.3">
      <c r="L940" s="427">
        <v>-7309944.3843</v>
      </c>
      <c r="BE940" s="477">
        <v>6509664.4430666063</v>
      </c>
      <c r="BF940" s="458">
        <v>3.8327304243655158E-2</v>
      </c>
      <c r="BG940" s="477">
        <v>8010269.9463881887</v>
      </c>
      <c r="BH940" s="458">
        <v>9.1529389996173771E-2</v>
      </c>
      <c r="BI940" s="477">
        <v>20645556.472105339</v>
      </c>
      <c r="BJ940" s="458">
        <v>0.10775217632077827</v>
      </c>
      <c r="BK940" s="477">
        <v>89006778.447422311</v>
      </c>
      <c r="BL940" s="458">
        <v>0.27241623557589767</v>
      </c>
      <c r="BM940" s="468">
        <v>9.1472748277362541</v>
      </c>
    </row>
    <row r="941" spans="12:65" x14ac:dyDescent="0.3">
      <c r="L941" s="427">
        <v>25810387.483600002</v>
      </c>
      <c r="BE941" s="477">
        <v>4689825.2445879476</v>
      </c>
      <c r="BF941" s="458">
        <v>3.3665388143007569E-2</v>
      </c>
      <c r="BG941" s="477">
        <v>8271300.1846683156</v>
      </c>
      <c r="BH941" s="458">
        <v>6.4100944394667847E-2</v>
      </c>
      <c r="BI941" s="477">
        <v>4814593.9552073656</v>
      </c>
      <c r="BJ941" s="458">
        <v>8.3496176325041471E-2</v>
      </c>
      <c r="BK941" s="477">
        <v>87692737.899453446</v>
      </c>
      <c r="BL941" s="458">
        <v>0.25710385026226379</v>
      </c>
      <c r="BM941" s="468">
        <v>8.6047055858621668</v>
      </c>
    </row>
    <row r="942" spans="12:65" x14ac:dyDescent="0.3">
      <c r="L942" s="427">
        <v>9783570.8432999998</v>
      </c>
      <c r="BE942" s="477">
        <v>3266349.7492374266</v>
      </c>
      <c r="BF942" s="458">
        <v>2.5349888362761863E-2</v>
      </c>
      <c r="BG942" s="477">
        <v>6725992.324079074</v>
      </c>
      <c r="BH942" s="458">
        <v>4.2769685534693069E-2</v>
      </c>
      <c r="BI942" s="477">
        <v>15851575.249055514</v>
      </c>
      <c r="BJ942" s="458">
        <v>0.10377405800893769</v>
      </c>
      <c r="BK942" s="477">
        <v>86976099.14571771</v>
      </c>
      <c r="BL942" s="458">
        <v>0.29773323907084182</v>
      </c>
      <c r="BM942" s="468">
        <v>6.9535324192973889</v>
      </c>
    </row>
    <row r="943" spans="12:65" x14ac:dyDescent="0.3">
      <c r="L943" s="427">
        <v>15161032.0199</v>
      </c>
      <c r="BE943" s="477">
        <v>4381374.4839815656</v>
      </c>
      <c r="BF943" s="458">
        <v>3.3834283319485126E-2</v>
      </c>
      <c r="BG943" s="477">
        <v>6563697.8076908067</v>
      </c>
      <c r="BH943" s="458">
        <v>4.3144055746831889E-2</v>
      </c>
      <c r="BI943" s="477">
        <v>14148139.019936405</v>
      </c>
      <c r="BJ943" s="458">
        <v>0.13851674779832579</v>
      </c>
      <c r="BK943" s="477">
        <v>93007283.103901908</v>
      </c>
      <c r="BL943" s="458">
        <v>0.29480170079504653</v>
      </c>
      <c r="BM943" s="468">
        <v>0.95771260873344755</v>
      </c>
    </row>
    <row r="944" spans="12:65" x14ac:dyDescent="0.3">
      <c r="L944" s="427">
        <v>9874786.9585999995</v>
      </c>
      <c r="BE944" s="477">
        <v>8032504.3213786455</v>
      </c>
      <c r="BF944" s="458">
        <v>4.9825825551051084E-2</v>
      </c>
      <c r="BG944" s="477">
        <v>8103159.1311434321</v>
      </c>
      <c r="BH944" s="458">
        <v>6.5047798131807166E-2</v>
      </c>
      <c r="BI944" s="477">
        <v>11238958.455368847</v>
      </c>
      <c r="BJ944" s="458">
        <v>0.12179844836152776</v>
      </c>
      <c r="BK944" s="477">
        <v>88826044.006243974</v>
      </c>
      <c r="BL944" s="458">
        <v>0.25643520506136208</v>
      </c>
      <c r="BM944" s="468">
        <v>1.4068085709363878</v>
      </c>
    </row>
    <row r="945" spans="12:65" x14ac:dyDescent="0.3">
      <c r="L945" s="427">
        <v>-72901.338600000003</v>
      </c>
      <c r="BE945" s="477">
        <v>5576674.0277545927</v>
      </c>
      <c r="BF945" s="458">
        <v>4.0275029414818864E-2</v>
      </c>
      <c r="BG945" s="477">
        <v>12637306.767262144</v>
      </c>
      <c r="BH945" s="458">
        <v>5.4665634896582604E-2</v>
      </c>
      <c r="BI945" s="477">
        <v>22098956.628375992</v>
      </c>
      <c r="BJ945" s="458">
        <v>0.12001087632581409</v>
      </c>
      <c r="BK945" s="477">
        <v>89177937.963107511</v>
      </c>
      <c r="BL945" s="458">
        <v>0.26021017009153535</v>
      </c>
      <c r="BM945" s="468">
        <v>3.0877832444530044</v>
      </c>
    </row>
    <row r="946" spans="12:65" x14ac:dyDescent="0.3">
      <c r="L946" s="427">
        <v>-4629385.2330999998</v>
      </c>
      <c r="BE946" s="477">
        <v>4360793.3768430958</v>
      </c>
      <c r="BF946" s="458">
        <v>4.245272623755425E-2</v>
      </c>
      <c r="BG946" s="477">
        <v>7476647.1009116285</v>
      </c>
      <c r="BH946" s="458">
        <v>8.1319040100948703E-2</v>
      </c>
      <c r="BI946" s="477">
        <v>12069814.146756142</v>
      </c>
      <c r="BJ946" s="458">
        <v>0.12834033117371479</v>
      </c>
      <c r="BK946" s="477">
        <v>100339460.32492064</v>
      </c>
      <c r="BL946" s="458">
        <v>0.27019344213309227</v>
      </c>
      <c r="BM946" s="468">
        <v>6.0680151397043351</v>
      </c>
    </row>
    <row r="947" spans="12:65" x14ac:dyDescent="0.3">
      <c r="L947" s="427">
        <v>-1122522.3422999999</v>
      </c>
      <c r="BE947" s="477">
        <v>5309695.6436378472</v>
      </c>
      <c r="BF947" s="458">
        <v>2.8333978343411115E-2</v>
      </c>
      <c r="BG947" s="477">
        <v>8077981.7761080544</v>
      </c>
      <c r="BH947" s="458">
        <v>6.3789503451403773E-2</v>
      </c>
      <c r="BI947" s="477">
        <v>17594235.277189661</v>
      </c>
      <c r="BJ947" s="458">
        <v>8.2849748413420299E-2</v>
      </c>
      <c r="BK947" s="477">
        <v>92938621.340469047</v>
      </c>
      <c r="BL947" s="458">
        <v>0.25887091585995847</v>
      </c>
      <c r="BM947" s="468">
        <v>8.2342517925221497</v>
      </c>
    </row>
    <row r="948" spans="12:65" x14ac:dyDescent="0.3">
      <c r="L948" s="427">
        <v>11125465.4658</v>
      </c>
      <c r="BE948" s="477">
        <v>4760092.4040494198</v>
      </c>
      <c r="BF948" s="458">
        <v>2.6691204499940557E-2</v>
      </c>
      <c r="BG948" s="477">
        <v>5242812.0377154434</v>
      </c>
      <c r="BH948" s="458">
        <v>4.6368514956767193E-2</v>
      </c>
      <c r="BI948" s="477">
        <v>24496781.919085268</v>
      </c>
      <c r="BJ948" s="458">
        <v>0.10046808699166343</v>
      </c>
      <c r="BK948" s="477">
        <v>86720326.193228334</v>
      </c>
      <c r="BL948" s="458">
        <v>0.26617414959024877</v>
      </c>
      <c r="BM948" s="468">
        <v>5.265022224764552</v>
      </c>
    </row>
    <row r="949" spans="12:65" x14ac:dyDescent="0.3">
      <c r="L949" s="427">
        <v>14259356.694499999</v>
      </c>
      <c r="BE949" s="477">
        <v>2505134.4675635332</v>
      </c>
      <c r="BF949" s="458">
        <v>3.2878920629874075E-2</v>
      </c>
      <c r="BG949" s="477">
        <v>2127827.2548536938</v>
      </c>
      <c r="BH949" s="458">
        <v>6.6923190468664462E-2</v>
      </c>
      <c r="BI949" s="477">
        <v>22619432.627108965</v>
      </c>
      <c r="BJ949" s="458">
        <v>0.11145553608274605</v>
      </c>
      <c r="BK949" s="477">
        <v>91110269.142985061</v>
      </c>
      <c r="BL949" s="458">
        <v>0.27549464726195705</v>
      </c>
      <c r="BM949" s="468">
        <v>7.7731739300959282</v>
      </c>
    </row>
    <row r="950" spans="12:65" x14ac:dyDescent="0.3">
      <c r="L950" s="427">
        <v>23373434.056200001</v>
      </c>
      <c r="BE950" s="477">
        <v>1395427.6735681086</v>
      </c>
      <c r="BF950" s="458">
        <v>4.6788383705304026E-2</v>
      </c>
      <c r="BG950" s="477">
        <v>7373277.9360200325</v>
      </c>
      <c r="BH950" s="458">
        <v>8.0182824987665935E-2</v>
      </c>
      <c r="BI950" s="477">
        <v>17360823.459343981</v>
      </c>
      <c r="BJ950" s="458">
        <v>0.10737767999069003</v>
      </c>
      <c r="BK950" s="477">
        <v>89872132.046341553</v>
      </c>
      <c r="BL950" s="458">
        <v>0.26139715741787262</v>
      </c>
      <c r="BM950" s="468">
        <v>8.1861067040737066</v>
      </c>
    </row>
    <row r="951" spans="12:65" x14ac:dyDescent="0.3">
      <c r="L951" s="427">
        <v>-13436658.8709</v>
      </c>
      <c r="BE951" s="477">
        <v>8451124.0330287982</v>
      </c>
      <c r="BF951" s="458">
        <v>3.3054627503737333E-2</v>
      </c>
      <c r="BG951" s="477">
        <v>4679028.8265001299</v>
      </c>
      <c r="BH951" s="458">
        <v>7.6362454195922913E-2</v>
      </c>
      <c r="BI951" s="477">
        <v>16773698.166294893</v>
      </c>
      <c r="BJ951" s="458">
        <v>0.13099665070929789</v>
      </c>
      <c r="BK951" s="477">
        <v>94980390.898612544</v>
      </c>
      <c r="BL951" s="458">
        <v>0.28628471037547976</v>
      </c>
      <c r="BM951" s="468">
        <v>9.7184139980366275</v>
      </c>
    </row>
    <row r="952" spans="12:65" x14ac:dyDescent="0.3">
      <c r="L952" s="427">
        <v>17048815.0788</v>
      </c>
      <c r="BE952" s="477">
        <v>1595507.5515464481</v>
      </c>
      <c r="BF952" s="458">
        <v>1.3091150373057081E-2</v>
      </c>
      <c r="BG952" s="477">
        <v>9012664.6883501578</v>
      </c>
      <c r="BH952" s="458">
        <v>6.9273884493814775E-2</v>
      </c>
      <c r="BI952" s="477">
        <v>15369439.941161638</v>
      </c>
      <c r="BJ952" s="458">
        <v>9.6220310979707735E-2</v>
      </c>
      <c r="BK952" s="477">
        <v>90942541.087716639</v>
      </c>
      <c r="BL952" s="458">
        <v>0.26827814930060145</v>
      </c>
      <c r="BM952" s="468">
        <v>8.902246177025825</v>
      </c>
    </row>
    <row r="953" spans="12:65" x14ac:dyDescent="0.3">
      <c r="L953" s="427">
        <v>5584983.6523000002</v>
      </c>
      <c r="BE953" s="477">
        <v>5013815.123470542</v>
      </c>
      <c r="BF953" s="458">
        <v>3.047110029025335E-2</v>
      </c>
      <c r="BG953" s="477">
        <v>4040742.239298455</v>
      </c>
      <c r="BH953" s="458">
        <v>3.6377027846091092E-2</v>
      </c>
      <c r="BI953" s="477">
        <v>23977096.60878988</v>
      </c>
      <c r="BJ953" s="458">
        <v>0.11158070827073385</v>
      </c>
      <c r="BK953" s="477">
        <v>95175999.88945049</v>
      </c>
      <c r="BL953" s="458">
        <v>0.29864768872480152</v>
      </c>
      <c r="BM953" s="468">
        <v>8.9075824471285614</v>
      </c>
    </row>
    <row r="954" spans="12:65" x14ac:dyDescent="0.3">
      <c r="L954" s="427">
        <v>33755550.373099998</v>
      </c>
      <c r="BE954" s="477">
        <v>1006313.2006523431</v>
      </c>
      <c r="BF954" s="458">
        <v>6.1566645692302968E-2</v>
      </c>
      <c r="BG954" s="477">
        <v>9020299.6523805372</v>
      </c>
      <c r="BH954" s="458">
        <v>5.6774245945504731E-2</v>
      </c>
      <c r="BI954" s="477">
        <v>14059727.302442584</v>
      </c>
      <c r="BJ954" s="458">
        <v>0.12977224565761158</v>
      </c>
      <c r="BK954" s="477">
        <v>96147660.288847879</v>
      </c>
      <c r="BL954" s="458">
        <v>0.27147448264191643</v>
      </c>
      <c r="BM954" s="468">
        <v>9.5624672791951717</v>
      </c>
    </row>
    <row r="955" spans="12:65" x14ac:dyDescent="0.3">
      <c r="L955" s="427">
        <v>20705394.121199999</v>
      </c>
      <c r="BE955" s="477">
        <v>2558034.2794561684</v>
      </c>
      <c r="BF955" s="458">
        <v>5.2336563800793545E-2</v>
      </c>
      <c r="BG955" s="477">
        <v>10643306.422936078</v>
      </c>
      <c r="BH955" s="458">
        <v>5.8525429972921428E-2</v>
      </c>
      <c r="BI955" s="477">
        <v>9100274.0622726865</v>
      </c>
      <c r="BJ955" s="458">
        <v>0.16512697235250906</v>
      </c>
      <c r="BK955" s="477">
        <v>90781239.936494052</v>
      </c>
      <c r="BL955" s="458">
        <v>0.28861324805232225</v>
      </c>
      <c r="BM955" s="468">
        <v>18.734220333476667</v>
      </c>
    </row>
    <row r="956" spans="12:65" x14ac:dyDescent="0.3">
      <c r="L956" s="427">
        <v>-2348460.7888000002</v>
      </c>
      <c r="BE956" s="477">
        <v>2491204.1275593173</v>
      </c>
      <c r="BF956" s="458">
        <v>3.009132663799674E-2</v>
      </c>
      <c r="BG956" s="477">
        <v>7944430.5511357049</v>
      </c>
      <c r="BH956" s="458">
        <v>7.8015013380072995E-2</v>
      </c>
      <c r="BI956" s="477">
        <v>17862479.138296071</v>
      </c>
      <c r="BJ956" s="458">
        <v>0.10479239771193516</v>
      </c>
      <c r="BK956" s="477">
        <v>96447112.158240721</v>
      </c>
      <c r="BL956" s="458">
        <v>0.26306829881317007</v>
      </c>
      <c r="BM956" s="468">
        <v>3.3916766897437673</v>
      </c>
    </row>
    <row r="957" spans="12:65" x14ac:dyDescent="0.3">
      <c r="L957" s="427">
        <v>23334623.035100002</v>
      </c>
      <c r="BE957" s="477">
        <v>1525901.7741725084</v>
      </c>
      <c r="BF957" s="458">
        <v>2.1980872090477277E-2</v>
      </c>
      <c r="BG957" s="477">
        <v>8054856.7534282394</v>
      </c>
      <c r="BH957" s="458">
        <v>5.8457050666978372E-2</v>
      </c>
      <c r="BI957" s="477">
        <v>28065077.221041996</v>
      </c>
      <c r="BJ957" s="458">
        <v>8.9204458940181919E-2</v>
      </c>
      <c r="BK957" s="477">
        <v>88466855.633904561</v>
      </c>
      <c r="BL957" s="458">
        <v>0.28061803921582196</v>
      </c>
      <c r="BM957" s="468">
        <v>10.624400051015055</v>
      </c>
    </row>
    <row r="958" spans="12:65" x14ac:dyDescent="0.3">
      <c r="L958" s="427">
        <v>7344238.6453999998</v>
      </c>
      <c r="BE958" s="477">
        <v>3625726.3717659544</v>
      </c>
      <c r="BF958" s="458">
        <v>3.7998065303081363E-2</v>
      </c>
      <c r="BG958" s="477">
        <v>11451633.636605419</v>
      </c>
      <c r="BH958" s="458">
        <v>6.4615361841068308E-2</v>
      </c>
      <c r="BI958" s="477">
        <v>21050210.264760979</v>
      </c>
      <c r="BJ958" s="458">
        <v>0.11887132317457394</v>
      </c>
      <c r="BK958" s="477">
        <v>93471449.099761263</v>
      </c>
      <c r="BL958" s="458">
        <v>0.29014450346282539</v>
      </c>
      <c r="BM958" s="468">
        <v>11.046142353187289</v>
      </c>
    </row>
    <row r="959" spans="12:65" x14ac:dyDescent="0.3">
      <c r="L959" s="427">
        <v>-4978295.3186999997</v>
      </c>
      <c r="BE959" s="477">
        <v>4220057.3416056214</v>
      </c>
      <c r="BF959" s="458">
        <v>3.800030856972203E-2</v>
      </c>
      <c r="BG959" s="477">
        <v>7804430.1562222783</v>
      </c>
      <c r="BH959" s="458">
        <v>7.7504080661737307E-2</v>
      </c>
      <c r="BI959" s="477">
        <v>15054154.742892675</v>
      </c>
      <c r="BJ959" s="458">
        <v>0.12449278035916866</v>
      </c>
      <c r="BK959" s="477">
        <v>85743946.483903646</v>
      </c>
      <c r="BL959" s="458">
        <v>0.2679577791845229</v>
      </c>
      <c r="BM959" s="468">
        <v>3.5690250193139654</v>
      </c>
    </row>
    <row r="960" spans="12:65" x14ac:dyDescent="0.3">
      <c r="L960" s="427">
        <v>-11384281.4937</v>
      </c>
      <c r="BE960" s="477">
        <v>543856.80859777937</v>
      </c>
      <c r="BF960" s="458">
        <v>4.5620177632165859E-2</v>
      </c>
      <c r="BG960" s="477">
        <v>3299353.5054031275</v>
      </c>
      <c r="BH960" s="458">
        <v>7.8605177781342128E-2</v>
      </c>
      <c r="BI960" s="477">
        <v>13960791.001276417</v>
      </c>
      <c r="BJ960" s="458">
        <v>0.10348070948523036</v>
      </c>
      <c r="BK960" s="477">
        <v>84852900.158709526</v>
      </c>
      <c r="BL960" s="458">
        <v>0.27539174230804342</v>
      </c>
      <c r="BM960" s="468">
        <v>4.0147283277607979</v>
      </c>
    </row>
    <row r="961" spans="12:65" x14ac:dyDescent="0.3">
      <c r="L961" s="427">
        <v>16938958.377799999</v>
      </c>
      <c r="BE961" s="477">
        <v>5104522.3312498033</v>
      </c>
      <c r="BF961" s="458">
        <v>2.5929604655187344E-2</v>
      </c>
      <c r="BG961" s="477">
        <v>2296461.2603875068</v>
      </c>
      <c r="BH961" s="458">
        <v>4.6094552736153371E-2</v>
      </c>
      <c r="BI961" s="477">
        <v>8773313.0197667405</v>
      </c>
      <c r="BJ961" s="458">
        <v>0.11398923908564851</v>
      </c>
      <c r="BK961" s="477">
        <v>84380401.430415362</v>
      </c>
      <c r="BL961" s="458">
        <v>0.24883664027851582</v>
      </c>
      <c r="BM961" s="468">
        <v>12.002341253543433</v>
      </c>
    </row>
    <row r="962" spans="12:65" x14ac:dyDescent="0.3">
      <c r="L962" s="427">
        <v>13588162.145400001</v>
      </c>
      <c r="BE962" s="477">
        <v>8572009.8159137908</v>
      </c>
      <c r="BF962" s="458">
        <v>3.7057321582363745E-2</v>
      </c>
      <c r="BG962" s="477">
        <v>3151386.2473783852</v>
      </c>
      <c r="BH962" s="458">
        <v>7.8162376611316864E-2</v>
      </c>
      <c r="BI962" s="477">
        <v>22317063.935557161</v>
      </c>
      <c r="BJ962" s="458">
        <v>9.493602425115788E-2</v>
      </c>
      <c r="BK962" s="477">
        <v>78178842.70796527</v>
      </c>
      <c r="BL962" s="458">
        <v>0.2895918337313641</v>
      </c>
      <c r="BM962" s="468">
        <v>13.627534765470575</v>
      </c>
    </row>
    <row r="963" spans="12:65" x14ac:dyDescent="0.3">
      <c r="L963" s="427">
        <v>22866772.075800002</v>
      </c>
      <c r="BE963" s="477">
        <v>7531053.2356770849</v>
      </c>
      <c r="BF963" s="458">
        <v>2.463438701749876E-2</v>
      </c>
      <c r="BG963" s="477">
        <v>10509057.089794444</v>
      </c>
      <c r="BH963" s="458">
        <v>7.7559416225639444E-2</v>
      </c>
      <c r="BI963" s="477">
        <v>8447294.8840634674</v>
      </c>
      <c r="BJ963" s="458">
        <v>0.12769360943053498</v>
      </c>
      <c r="BK963" s="477">
        <v>98797647.453241765</v>
      </c>
      <c r="BL963" s="458">
        <v>0.27148691328655805</v>
      </c>
      <c r="BM963" s="468">
        <v>9.4691476064020961</v>
      </c>
    </row>
    <row r="964" spans="12:65" x14ac:dyDescent="0.3">
      <c r="L964" s="427">
        <v>1962523.5806</v>
      </c>
      <c r="BE964" s="477">
        <v>2512271.0155315581</v>
      </c>
      <c r="BF964" s="458">
        <v>4.4376267960411608E-2</v>
      </c>
      <c r="BG964" s="477">
        <v>9347620.7160433587</v>
      </c>
      <c r="BH964" s="458">
        <v>4.9816563797735025E-2</v>
      </c>
      <c r="BI964" s="477">
        <v>21726430.297494758</v>
      </c>
      <c r="BJ964" s="458">
        <v>9.4272578082517988E-2</v>
      </c>
      <c r="BK964" s="477">
        <v>86390234.176023558</v>
      </c>
      <c r="BL964" s="458">
        <v>0.24573681487518062</v>
      </c>
      <c r="BM964" s="468">
        <v>10.331410387651628</v>
      </c>
    </row>
    <row r="965" spans="12:65" x14ac:dyDescent="0.3">
      <c r="L965" s="427">
        <v>1751079.8136</v>
      </c>
      <c r="BE965" s="477">
        <v>3027375.9250354953</v>
      </c>
      <c r="BF965" s="458">
        <v>4.6995159574316103E-2</v>
      </c>
      <c r="BG965" s="477">
        <v>7695749.6710183239</v>
      </c>
      <c r="BH965" s="458">
        <v>7.3829813356165452E-2</v>
      </c>
      <c r="BI965" s="477">
        <v>21277975.402088948</v>
      </c>
      <c r="BJ965" s="458">
        <v>0.1029586151183417</v>
      </c>
      <c r="BK965" s="477">
        <v>89418586.245087042</v>
      </c>
      <c r="BL965" s="458">
        <v>0.26424796037469278</v>
      </c>
      <c r="BM965" s="468">
        <v>11.85255685781906</v>
      </c>
    </row>
    <row r="966" spans="12:65" x14ac:dyDescent="0.3">
      <c r="L966" s="427">
        <v>15975431.0187</v>
      </c>
      <c r="BE966" s="477">
        <v>1800090.7040601186</v>
      </c>
      <c r="BF966" s="458">
        <v>3.4647388398006962E-2</v>
      </c>
      <c r="BG966" s="477">
        <v>10274492.920872577</v>
      </c>
      <c r="BH966" s="458">
        <v>7.8386957965728365E-2</v>
      </c>
      <c r="BI966" s="477">
        <v>25236931.872413833</v>
      </c>
      <c r="BJ966" s="458">
        <v>8.3977084498554566E-2</v>
      </c>
      <c r="BK966" s="477">
        <v>78471258.729124993</v>
      </c>
      <c r="BL966" s="458">
        <v>0.2584348724353065</v>
      </c>
      <c r="BM966" s="468">
        <v>1.67210498957414</v>
      </c>
    </row>
    <row r="967" spans="12:65" x14ac:dyDescent="0.3">
      <c r="L967" s="427">
        <v>10944818.165200001</v>
      </c>
      <c r="BE967" s="477">
        <v>3624966.0870362064</v>
      </c>
      <c r="BF967" s="458">
        <v>2.373874705871426E-2</v>
      </c>
      <c r="BG967" s="477">
        <v>7097490.3904936137</v>
      </c>
      <c r="BH967" s="458">
        <v>9.1081713484529647E-2</v>
      </c>
      <c r="BI967" s="477">
        <v>15031018.992902802</v>
      </c>
      <c r="BJ967" s="458">
        <v>0.1049785091712061</v>
      </c>
      <c r="BK967" s="477">
        <v>96604858.640036196</v>
      </c>
      <c r="BL967" s="458">
        <v>0.27457834232006584</v>
      </c>
      <c r="BM967" s="468">
        <v>3.2899822554680016</v>
      </c>
    </row>
    <row r="968" spans="12:65" x14ac:dyDescent="0.3">
      <c r="L968" s="427">
        <v>6152342.5976</v>
      </c>
      <c r="BE968" s="477">
        <v>4803658.9807740925</v>
      </c>
      <c r="BF968" s="458">
        <v>4.2658326844686956E-2</v>
      </c>
      <c r="BG968" s="477">
        <v>233208.19300379782</v>
      </c>
      <c r="BH968" s="458">
        <v>5.8674707472653909E-2</v>
      </c>
      <c r="BI968" s="477">
        <v>23684142.794098333</v>
      </c>
      <c r="BJ968" s="458">
        <v>0.1159968040627084</v>
      </c>
      <c r="BK968" s="477">
        <v>81501747.538954392</v>
      </c>
      <c r="BL968" s="458">
        <v>0.26862692628889007</v>
      </c>
      <c r="BM968" s="468">
        <v>10.294976905153941</v>
      </c>
    </row>
    <row r="969" spans="12:65" x14ac:dyDescent="0.3">
      <c r="L969" s="427">
        <v>11857542.804400001</v>
      </c>
      <c r="BE969" s="477">
        <v>4954041.0191163868</v>
      </c>
      <c r="BF969" s="458">
        <v>3.0375316904700966E-2</v>
      </c>
      <c r="BG969" s="477">
        <v>9055703.6530919429</v>
      </c>
      <c r="BH969" s="458">
        <v>7.0899624982274201E-2</v>
      </c>
      <c r="BI969" s="477">
        <v>20396245.972957846</v>
      </c>
      <c r="BJ969" s="458">
        <v>0.11213694592503254</v>
      </c>
      <c r="BK969" s="477">
        <v>86370821.214445814</v>
      </c>
      <c r="BL969" s="458">
        <v>0.26205912090484018</v>
      </c>
      <c r="BM969" s="468">
        <v>16.873971347936923</v>
      </c>
    </row>
    <row r="970" spans="12:65" x14ac:dyDescent="0.3">
      <c r="L970" s="427">
        <v>-4667722.1261</v>
      </c>
      <c r="BE970" s="477">
        <v>5268181.6736791423</v>
      </c>
      <c r="BF970" s="458">
        <v>4.2218870340300807E-2</v>
      </c>
      <c r="BG970" s="477">
        <v>13271520.485213712</v>
      </c>
      <c r="BH970" s="458">
        <v>7.3564379775187927E-2</v>
      </c>
      <c r="BI970" s="477">
        <v>20690642.619535219</v>
      </c>
      <c r="BJ970" s="458">
        <v>9.4648979008537193E-2</v>
      </c>
      <c r="BK970" s="477">
        <v>90732445.440480977</v>
      </c>
      <c r="BL970" s="458">
        <v>0.26043141067542153</v>
      </c>
      <c r="BM970" s="468">
        <v>11.096853901796528</v>
      </c>
    </row>
    <row r="971" spans="12:65" x14ac:dyDescent="0.3">
      <c r="L971" s="427">
        <v>9331068.1122999992</v>
      </c>
      <c r="BE971" s="477">
        <v>6778609.5535214236</v>
      </c>
      <c r="BF971" s="458">
        <v>3.3521305671059043E-2</v>
      </c>
      <c r="BG971" s="477">
        <v>8869243.4040457718</v>
      </c>
      <c r="BH971" s="458">
        <v>7.2267849522059002E-2</v>
      </c>
      <c r="BI971" s="477">
        <v>18839694.89739674</v>
      </c>
      <c r="BJ971" s="458">
        <v>0.11331033712888416</v>
      </c>
      <c r="BK971" s="477">
        <v>86732796.05129838</v>
      </c>
      <c r="BL971" s="458">
        <v>0.26055409726487655</v>
      </c>
      <c r="BM971" s="468">
        <v>7.5143604056109341</v>
      </c>
    </row>
    <row r="972" spans="12:65" x14ac:dyDescent="0.3">
      <c r="L972" s="427">
        <v>11585557.0547</v>
      </c>
      <c r="BE972" s="477">
        <v>2146180.3247204903</v>
      </c>
      <c r="BF972" s="458">
        <v>2.735407669480594E-2</v>
      </c>
      <c r="BG972" s="477">
        <v>9760646.7898835</v>
      </c>
      <c r="BH972" s="458">
        <v>7.9927599268856619E-2</v>
      </c>
      <c r="BI972" s="477">
        <v>18704888.963884164</v>
      </c>
      <c r="BJ972" s="458">
        <v>9.3454926279141315E-2</v>
      </c>
      <c r="BK972" s="477">
        <v>89883963.387994498</v>
      </c>
      <c r="BL972" s="458">
        <v>0.26598018969171733</v>
      </c>
      <c r="BM972" s="468">
        <v>7.5932072606597352</v>
      </c>
    </row>
    <row r="973" spans="12:65" x14ac:dyDescent="0.3">
      <c r="L973" s="427">
        <v>14334321.688100001</v>
      </c>
      <c r="BE973" s="477">
        <v>2621617.7049959819</v>
      </c>
      <c r="BF973" s="458">
        <v>5.7641897795677188E-2</v>
      </c>
      <c r="BG973" s="477">
        <v>3301832.5051712939</v>
      </c>
      <c r="BH973" s="458">
        <v>5.6570979486218365E-2</v>
      </c>
      <c r="BI973" s="477">
        <v>15010933.819912177</v>
      </c>
      <c r="BJ973" s="458">
        <v>0.11274440913815886</v>
      </c>
      <c r="BK973" s="477">
        <v>83880029.985785589</v>
      </c>
      <c r="BL973" s="458">
        <v>0.26541843245370256</v>
      </c>
      <c r="BM973" s="468">
        <v>10.974725720890998</v>
      </c>
    </row>
    <row r="974" spans="12:65" x14ac:dyDescent="0.3">
      <c r="L974" s="427">
        <v>10529486.740900001</v>
      </c>
      <c r="BE974" s="477">
        <v>4840384.9961515246</v>
      </c>
      <c r="BF974" s="458">
        <v>6.8763583426164399E-2</v>
      </c>
      <c r="BG974" s="477">
        <v>12931465.148222337</v>
      </c>
      <c r="BH974" s="458">
        <v>7.8384052125816561E-2</v>
      </c>
      <c r="BI974" s="477">
        <v>20593073.107820842</v>
      </c>
      <c r="BJ974" s="458">
        <v>0.10144228725948357</v>
      </c>
      <c r="BK974" s="477">
        <v>96516797.192505002</v>
      </c>
      <c r="BL974" s="458">
        <v>0.28522847069716395</v>
      </c>
      <c r="BM974" s="468">
        <v>1.4138410668518206</v>
      </c>
    </row>
    <row r="975" spans="12:65" x14ac:dyDescent="0.3">
      <c r="L975" s="427">
        <v>3918649.3442000002</v>
      </c>
      <c r="BE975" s="477">
        <v>5000414.9599205526</v>
      </c>
      <c r="BF975" s="458">
        <v>4.5139684311142236E-2</v>
      </c>
      <c r="BG975" s="477">
        <v>10260873.979706801</v>
      </c>
      <c r="BH975" s="458">
        <v>6.2864781136262371E-2</v>
      </c>
      <c r="BI975" s="477">
        <v>11170409.454678714</v>
      </c>
      <c r="BJ975" s="458">
        <v>9.3584976438307432E-2</v>
      </c>
      <c r="BK975" s="477">
        <v>90286153.76739113</v>
      </c>
      <c r="BL975" s="458">
        <v>0.27119261128413918</v>
      </c>
      <c r="BM975" s="468">
        <v>7.7732482256354292</v>
      </c>
    </row>
    <row r="976" spans="12:65" x14ac:dyDescent="0.3">
      <c r="L976" s="427">
        <v>-4719087.2214000002</v>
      </c>
      <c r="BE976" s="477">
        <v>5847369.9417387825</v>
      </c>
      <c r="BF976" s="458">
        <v>4.7672426885216668E-2</v>
      </c>
      <c r="BG976" s="477">
        <v>2615900.9100368982</v>
      </c>
      <c r="BH976" s="458">
        <v>4.2533893606136575E-2</v>
      </c>
      <c r="BI976" s="477">
        <v>23499564.815478574</v>
      </c>
      <c r="BJ976" s="458">
        <v>0.11938075933912362</v>
      </c>
      <c r="BK976" s="477">
        <v>95515989.271079972</v>
      </c>
      <c r="BL976" s="458">
        <v>0.27153172775512879</v>
      </c>
      <c r="BM976" s="468">
        <v>7.1633240658721178</v>
      </c>
    </row>
    <row r="977" spans="12:65" x14ac:dyDescent="0.3">
      <c r="L977" s="427">
        <v>6599273.7862</v>
      </c>
      <c r="BE977" s="477">
        <v>-250041.19881288556</v>
      </c>
      <c r="BF977" s="458">
        <v>3.2806820248233892E-2</v>
      </c>
      <c r="BG977" s="477">
        <v>2390463.6543733645</v>
      </c>
      <c r="BH977" s="458">
        <v>4.3875312637150277E-2</v>
      </c>
      <c r="BI977" s="477">
        <v>23869037.624858674</v>
      </c>
      <c r="BJ977" s="458">
        <v>0.11156852662806882</v>
      </c>
      <c r="BK977" s="477">
        <v>97437915.636265486</v>
      </c>
      <c r="BL977" s="458">
        <v>0.27213487299103845</v>
      </c>
      <c r="BM977" s="468">
        <v>10.056557238159323</v>
      </c>
    </row>
    <row r="978" spans="12:65" x14ac:dyDescent="0.3">
      <c r="L978" s="427">
        <v>-3746370.4273000001</v>
      </c>
      <c r="BE978" s="477">
        <v>3785028.3702258305</v>
      </c>
      <c r="BF978" s="458">
        <v>5.2099398359023441E-2</v>
      </c>
      <c r="BG978" s="477">
        <v>5527207.8074501213</v>
      </c>
      <c r="BH978" s="458">
        <v>7.1743870457864567E-2</v>
      </c>
      <c r="BI978" s="477">
        <v>18750299.613476563</v>
      </c>
      <c r="BJ978" s="458">
        <v>0.1271345735761511</v>
      </c>
      <c r="BK978" s="477">
        <v>69717614.928990275</v>
      </c>
      <c r="BL978" s="458">
        <v>0.2880629240133854</v>
      </c>
      <c r="BM978" s="468">
        <v>11.534991189057234</v>
      </c>
    </row>
    <row r="979" spans="12:65" x14ac:dyDescent="0.3">
      <c r="L979" s="427">
        <v>18717416.389699999</v>
      </c>
      <c r="BE979" s="477">
        <v>197883.75069495096</v>
      </c>
      <c r="BF979" s="458">
        <v>8.2646350508190469E-2</v>
      </c>
      <c r="BG979" s="477">
        <v>7189103.1066171555</v>
      </c>
      <c r="BH979" s="458">
        <v>7.9436111705248891E-2</v>
      </c>
      <c r="BI979" s="477">
        <v>16107345.886578396</v>
      </c>
      <c r="BJ979" s="458">
        <v>0.14655249240369272</v>
      </c>
      <c r="BK979" s="477">
        <v>81281034.442853391</v>
      </c>
      <c r="BL979" s="458">
        <v>0.26709433971408103</v>
      </c>
      <c r="BM979" s="468">
        <v>7.8396238731573833</v>
      </c>
    </row>
    <row r="980" spans="12:65" x14ac:dyDescent="0.3">
      <c r="L980" s="427">
        <v>21893335.024500001</v>
      </c>
      <c r="BE980" s="477">
        <v>9886162.5123769213</v>
      </c>
      <c r="BF980" s="458">
        <v>2.7505030324445068E-2</v>
      </c>
      <c r="BG980" s="477">
        <v>7748198.6484806594</v>
      </c>
      <c r="BH980" s="458">
        <v>6.485824482680469E-2</v>
      </c>
      <c r="BI980" s="477">
        <v>13135246.481822535</v>
      </c>
      <c r="BJ980" s="458">
        <v>0.10501307140398808</v>
      </c>
      <c r="BK980" s="477">
        <v>98056820.278944418</v>
      </c>
      <c r="BL980" s="458">
        <v>0.27262649550552953</v>
      </c>
      <c r="BM980" s="468">
        <v>5.0660818063820567</v>
      </c>
    </row>
    <row r="981" spans="12:65" x14ac:dyDescent="0.3">
      <c r="L981" s="427">
        <v>22151050.9443</v>
      </c>
      <c r="BE981" s="477">
        <v>7008962.6675153561</v>
      </c>
      <c r="BF981" s="458">
        <v>1.179161207531676E-2</v>
      </c>
      <c r="BG981" s="477">
        <v>11478113.963718746</v>
      </c>
      <c r="BH981" s="458">
        <v>2.0485298731637513E-2</v>
      </c>
      <c r="BI981" s="477">
        <v>20087138.417813599</v>
      </c>
      <c r="BJ981" s="458">
        <v>0.10002563618386606</v>
      </c>
      <c r="BK981" s="477">
        <v>75834912.159104839</v>
      </c>
      <c r="BL981" s="458">
        <v>0.29652370377823001</v>
      </c>
      <c r="BM981" s="468">
        <v>6.0807238552360401</v>
      </c>
    </row>
    <row r="982" spans="12:65" x14ac:dyDescent="0.3">
      <c r="L982" s="427">
        <v>7684180.6146</v>
      </c>
      <c r="BE982" s="477">
        <v>7263649.6883352296</v>
      </c>
      <c r="BF982" s="458">
        <v>6.049149913467522E-2</v>
      </c>
      <c r="BG982" s="477">
        <v>7992645.1188824782</v>
      </c>
      <c r="BH982" s="458">
        <v>7.4824963502375441E-2</v>
      </c>
      <c r="BI982" s="477">
        <v>14550199.483075464</v>
      </c>
      <c r="BJ982" s="458">
        <v>0.10837264270238545</v>
      </c>
      <c r="BK982" s="477">
        <v>93704147.20282793</v>
      </c>
      <c r="BL982" s="458">
        <v>0.24500905175263821</v>
      </c>
      <c r="BM982" s="468">
        <v>3.1455617833352552</v>
      </c>
    </row>
    <row r="983" spans="12:65" x14ac:dyDescent="0.3">
      <c r="L983" s="427">
        <v>10233424.3408</v>
      </c>
      <c r="BE983" s="477">
        <v>5185313.3491964201</v>
      </c>
      <c r="BF983" s="458">
        <v>4.2788702991514604E-2</v>
      </c>
      <c r="BG983" s="477">
        <v>10684844.65214208</v>
      </c>
      <c r="BH983" s="458">
        <v>7.1777093289570715E-2</v>
      </c>
      <c r="BI983" s="477">
        <v>14741554.665572619</v>
      </c>
      <c r="BJ983" s="458">
        <v>0.10745464401407578</v>
      </c>
      <c r="BK983" s="477">
        <v>83057707.478031442</v>
      </c>
      <c r="BL983" s="458">
        <v>0.27895166258757809</v>
      </c>
      <c r="BM983" s="468">
        <v>5.3677768648875084</v>
      </c>
    </row>
    <row r="984" spans="12:65" x14ac:dyDescent="0.3">
      <c r="L984" s="427">
        <v>5608883.3775000004</v>
      </c>
      <c r="BE984" s="477">
        <v>1970145.1757379379</v>
      </c>
      <c r="BF984" s="458">
        <v>3.0785568177898348E-2</v>
      </c>
      <c r="BG984" s="477">
        <v>10669509.761267653</v>
      </c>
      <c r="BH984" s="458">
        <v>4.6274083626962392E-2</v>
      </c>
      <c r="BI984" s="477">
        <v>14474376.744326457</v>
      </c>
      <c r="BJ984" s="458">
        <v>9.9328598430183268E-2</v>
      </c>
      <c r="BK984" s="477">
        <v>87699282.194368199</v>
      </c>
      <c r="BL984" s="458">
        <v>0.23667295085761797</v>
      </c>
      <c r="BM984" s="468">
        <v>5.8413684799412007</v>
      </c>
    </row>
    <row r="985" spans="12:65" x14ac:dyDescent="0.3">
      <c r="L985" s="427">
        <v>7687148.2772000004</v>
      </c>
      <c r="BE985" s="477">
        <v>3919427.4437537766</v>
      </c>
      <c r="BF985" s="458">
        <v>3.9952933197158869E-2</v>
      </c>
      <c r="BG985" s="477">
        <v>6000310.4494648678</v>
      </c>
      <c r="BH985" s="458">
        <v>6.3069011997432645E-2</v>
      </c>
      <c r="BI985" s="477">
        <v>21431722.276845727</v>
      </c>
      <c r="BJ985" s="458">
        <v>0.11299664424944855</v>
      </c>
      <c r="BK985" s="477">
        <v>103109395.87609671</v>
      </c>
      <c r="BL985" s="458">
        <v>0.25736912171956416</v>
      </c>
      <c r="BM985" s="468">
        <v>13.336095747273216</v>
      </c>
    </row>
    <row r="986" spans="12:65" x14ac:dyDescent="0.3">
      <c r="L986" s="427">
        <v>-8077170.1891000001</v>
      </c>
      <c r="BE986" s="477">
        <v>8246838.6758511616</v>
      </c>
      <c r="BF986" s="458">
        <v>3.3802184295469218E-2</v>
      </c>
      <c r="BG986" s="477">
        <v>12269480.478518011</v>
      </c>
      <c r="BH986" s="458">
        <v>8.417272723405933E-2</v>
      </c>
      <c r="BI986" s="477">
        <v>11609487.152545333</v>
      </c>
      <c r="BJ986" s="458">
        <v>0.10340701984464795</v>
      </c>
      <c r="BK986" s="477">
        <v>97648966.706706166</v>
      </c>
      <c r="BL986" s="458">
        <v>0.28660872073215793</v>
      </c>
      <c r="BM986" s="468">
        <v>5.7831646882676608</v>
      </c>
    </row>
    <row r="987" spans="12:65" x14ac:dyDescent="0.3">
      <c r="L987" s="427">
        <v>15588482.545</v>
      </c>
      <c r="BE987" s="477">
        <v>4627997.959598206</v>
      </c>
      <c r="BF987" s="458">
        <v>3.6343818492138968E-2</v>
      </c>
      <c r="BG987" s="477">
        <v>9848116.8726558499</v>
      </c>
      <c r="BH987" s="458">
        <v>4.7973262235029512E-2</v>
      </c>
      <c r="BI987" s="477">
        <v>21793437.388896611</v>
      </c>
      <c r="BJ987" s="458">
        <v>0.100263720263011</v>
      </c>
      <c r="BK987" s="477">
        <v>94461872.570075542</v>
      </c>
      <c r="BL987" s="458">
        <v>0.2686128853264127</v>
      </c>
      <c r="BM987" s="468">
        <v>7.6210757017748767</v>
      </c>
    </row>
    <row r="988" spans="12:65" x14ac:dyDescent="0.3">
      <c r="L988" s="427">
        <v>3140621.0616000001</v>
      </c>
      <c r="BE988" s="477">
        <v>7028909.4736903608</v>
      </c>
      <c r="BF988" s="458">
        <v>2.833155699332246E-2</v>
      </c>
      <c r="BG988" s="477">
        <v>11687955.26413486</v>
      </c>
      <c r="BH988" s="458">
        <v>6.2550774767465844E-2</v>
      </c>
      <c r="BI988" s="477">
        <v>18465252.041455768</v>
      </c>
      <c r="BJ988" s="458">
        <v>0.10971056363781373</v>
      </c>
      <c r="BK988" s="477">
        <v>91933909.7366018</v>
      </c>
      <c r="BL988" s="458">
        <v>0.26158214440079219</v>
      </c>
      <c r="BM988" s="468">
        <v>4.5430494295015489</v>
      </c>
    </row>
    <row r="989" spans="12:65" x14ac:dyDescent="0.3">
      <c r="L989" s="427">
        <v>3072964.8835999998</v>
      </c>
      <c r="BE989" s="477">
        <v>6346526.1800209749</v>
      </c>
      <c r="BF989" s="458">
        <v>5.705214262427849E-2</v>
      </c>
      <c r="BG989" s="477">
        <v>8959073.7832922805</v>
      </c>
      <c r="BH989" s="458">
        <v>6.9246471656661646E-2</v>
      </c>
      <c r="BI989" s="477">
        <v>19512045.139909271</v>
      </c>
      <c r="BJ989" s="458">
        <v>0.10883241288014522</v>
      </c>
      <c r="BK989" s="477">
        <v>78695004.86399205</v>
      </c>
      <c r="BL989" s="458">
        <v>0.27488164980802177</v>
      </c>
      <c r="BM989" s="468">
        <v>10.841520066902646</v>
      </c>
    </row>
    <row r="990" spans="12:65" x14ac:dyDescent="0.3">
      <c r="L990" s="427">
        <v>18416672.308800001</v>
      </c>
      <c r="BE990" s="477">
        <v>4651203.0148403747</v>
      </c>
      <c r="BF990" s="458">
        <v>5.7394677937855576E-2</v>
      </c>
      <c r="BG990" s="477">
        <v>2641376.2622537101</v>
      </c>
      <c r="BH990" s="458">
        <v>5.5232204873146395E-2</v>
      </c>
      <c r="BI990" s="477">
        <v>14925150.439010557</v>
      </c>
      <c r="BJ990" s="458">
        <v>0.12589963376381297</v>
      </c>
      <c r="BK990" s="477">
        <v>93351158.294855043</v>
      </c>
      <c r="BL990" s="458">
        <v>0.26007771526837464</v>
      </c>
      <c r="BM990" s="468">
        <v>10.228691856004762</v>
      </c>
    </row>
    <row r="991" spans="12:65" x14ac:dyDescent="0.3">
      <c r="L991" s="427">
        <v>14038646.880899999</v>
      </c>
      <c r="BE991" s="477">
        <v>7920911.3737468431</v>
      </c>
      <c r="BF991" s="458">
        <v>5.6052593576584986E-2</v>
      </c>
      <c r="BG991" s="477">
        <v>14433255.351070181</v>
      </c>
      <c r="BH991" s="458">
        <v>6.15618737711634E-2</v>
      </c>
      <c r="BI991" s="477">
        <v>16222146.24588017</v>
      </c>
      <c r="BJ991" s="458">
        <v>0.10436152839633972</v>
      </c>
      <c r="BK991" s="477">
        <v>87810212.371562764</v>
      </c>
      <c r="BL991" s="458">
        <v>0.26755377283095094</v>
      </c>
      <c r="BM991" s="468">
        <v>-0.79979704410663643</v>
      </c>
    </row>
    <row r="992" spans="12:65" x14ac:dyDescent="0.3">
      <c r="L992" s="427">
        <v>22280103.890299998</v>
      </c>
      <c r="BE992" s="477">
        <v>2493802.2345316787</v>
      </c>
      <c r="BF992" s="458">
        <v>3.714826646028202E-2</v>
      </c>
      <c r="BG992" s="477">
        <v>7616703.0689087464</v>
      </c>
      <c r="BH992" s="458">
        <v>4.5738221881202801E-2</v>
      </c>
      <c r="BI992" s="477">
        <v>11242999.610302547</v>
      </c>
      <c r="BJ992" s="458">
        <v>0.12239029850436833</v>
      </c>
      <c r="BK992" s="477">
        <v>84541441.637737334</v>
      </c>
      <c r="BL992" s="458">
        <v>0.25404229603523021</v>
      </c>
      <c r="BM992" s="468">
        <v>10.425004487169787</v>
      </c>
    </row>
    <row r="993" spans="12:65" x14ac:dyDescent="0.3">
      <c r="L993" s="427">
        <v>17984274.2498</v>
      </c>
      <c r="BE993" s="477">
        <v>9013960.0452345889</v>
      </c>
      <c r="BF993" s="458">
        <v>4.8218867091962103E-2</v>
      </c>
      <c r="BG993" s="477">
        <v>8993457.9650658928</v>
      </c>
      <c r="BH993" s="458">
        <v>4.2270059405761895E-2</v>
      </c>
      <c r="BI993" s="477">
        <v>18212552.544379618</v>
      </c>
      <c r="BJ993" s="458">
        <v>0.11699295457866699</v>
      </c>
      <c r="BK993" s="477">
        <v>85880344.801205769</v>
      </c>
      <c r="BL993" s="458">
        <v>0.29633530709055589</v>
      </c>
      <c r="BM993" s="468">
        <v>9.5376258655799848</v>
      </c>
    </row>
    <row r="994" spans="12:65" x14ac:dyDescent="0.3">
      <c r="L994" s="427">
        <v>39621650.125100002</v>
      </c>
      <c r="BE994" s="477">
        <v>4778835.0452912562</v>
      </c>
      <c r="BF994" s="458">
        <v>5.6796346769690365E-2</v>
      </c>
      <c r="BG994" s="477">
        <v>11512048.634730984</v>
      </c>
      <c r="BH994" s="458">
        <v>8.3744806416367723E-2</v>
      </c>
      <c r="BI994" s="477">
        <v>17597298.877408996</v>
      </c>
      <c r="BJ994" s="458">
        <v>0.1276461146720449</v>
      </c>
      <c r="BK994" s="477">
        <v>110698232.82153337</v>
      </c>
      <c r="BL994" s="458">
        <v>0.28975287688220974</v>
      </c>
      <c r="BM994" s="468">
        <v>7.3373140362141092</v>
      </c>
    </row>
    <row r="995" spans="12:65" x14ac:dyDescent="0.3">
      <c r="L995" s="427">
        <v>9844757.8301999997</v>
      </c>
      <c r="BE995" s="477">
        <v>7206493.3042655503</v>
      </c>
      <c r="BF995" s="458">
        <v>3.8308746672171212E-2</v>
      </c>
      <c r="BG995" s="477">
        <v>5819840.1720803129</v>
      </c>
      <c r="BH995" s="458">
        <v>7.0346883992837839E-2</v>
      </c>
      <c r="BI995" s="477">
        <v>19309684.72912788</v>
      </c>
      <c r="BJ995" s="458">
        <v>0.11718225217520173</v>
      </c>
      <c r="BK995" s="477">
        <v>87706163.446227059</v>
      </c>
      <c r="BL995" s="458">
        <v>0.27379880349004759</v>
      </c>
      <c r="BM995" s="468">
        <v>10.884167441065612</v>
      </c>
    </row>
    <row r="996" spans="12:65" x14ac:dyDescent="0.3">
      <c r="L996" s="427">
        <v>16528205.9979</v>
      </c>
      <c r="BE996" s="477">
        <v>306019.57779565913</v>
      </c>
      <c r="BF996" s="458">
        <v>2.3318496916822973E-2</v>
      </c>
      <c r="BG996" s="477">
        <v>15386030.862123944</v>
      </c>
      <c r="BH996" s="458">
        <v>4.8468639654013268E-2</v>
      </c>
      <c r="BI996" s="477">
        <v>25172396.950432841</v>
      </c>
      <c r="BJ996" s="458">
        <v>0.11350579973465136</v>
      </c>
      <c r="BK996" s="477">
        <v>96180169.856639773</v>
      </c>
      <c r="BL996" s="458">
        <v>0.25913233816094383</v>
      </c>
      <c r="BM996" s="468">
        <v>16.48781452339832</v>
      </c>
    </row>
    <row r="997" spans="12:65" x14ac:dyDescent="0.3">
      <c r="L997" s="427">
        <v>187666.9638</v>
      </c>
      <c r="BE997" s="477">
        <v>7655300.3062777882</v>
      </c>
      <c r="BF997" s="458">
        <v>1.8281737021288658E-2</v>
      </c>
      <c r="BG997" s="477">
        <v>11557007.017384211</v>
      </c>
      <c r="BH997" s="458">
        <v>7.4992774322778066E-2</v>
      </c>
      <c r="BI997" s="477">
        <v>22091804.337990977</v>
      </c>
      <c r="BJ997" s="458">
        <v>0.11331088989362548</v>
      </c>
      <c r="BK997" s="477">
        <v>75933700.663761973</v>
      </c>
      <c r="BL997" s="458">
        <v>0.29842366187908476</v>
      </c>
      <c r="BM997" s="468">
        <v>11.439913982871639</v>
      </c>
    </row>
    <row r="998" spans="12:65" x14ac:dyDescent="0.3">
      <c r="L998" s="427">
        <v>-4343187.1380000003</v>
      </c>
      <c r="BE998" s="477">
        <v>5504312.8584237574</v>
      </c>
      <c r="BF998" s="458">
        <v>4.7713346727482842E-2</v>
      </c>
      <c r="BG998" s="477">
        <v>7323154.9399297629</v>
      </c>
      <c r="BH998" s="458">
        <v>4.9379244911162523E-2</v>
      </c>
      <c r="BI998" s="477">
        <v>7429450.021932113</v>
      </c>
      <c r="BJ998" s="458">
        <v>0.12873416206579646</v>
      </c>
      <c r="BK998" s="477">
        <v>86169709.993947282</v>
      </c>
      <c r="BL998" s="458">
        <v>0.25921556876723195</v>
      </c>
      <c r="BM998" s="468">
        <v>12.520606749713222</v>
      </c>
    </row>
    <row r="999" spans="12:65" x14ac:dyDescent="0.3">
      <c r="L999" s="427">
        <v>14027614.9356</v>
      </c>
      <c r="BE999" s="477">
        <v>6231874.5046098577</v>
      </c>
      <c r="BF999" s="458">
        <v>3.4924247173821144E-2</v>
      </c>
      <c r="BG999" s="477">
        <v>7637494.5478245802</v>
      </c>
      <c r="BH999" s="458">
        <v>7.3851303584745009E-2</v>
      </c>
      <c r="BI999" s="477">
        <v>19489321.822809193</v>
      </c>
      <c r="BJ999" s="458">
        <v>0.11552165583902374</v>
      </c>
      <c r="BK999" s="477">
        <v>91486027.816399351</v>
      </c>
      <c r="BL999" s="458">
        <v>0.28230358132098043</v>
      </c>
      <c r="BM999" s="468">
        <v>13.845601888860186</v>
      </c>
    </row>
    <row r="1000" spans="12:65" x14ac:dyDescent="0.3">
      <c r="L1000" s="427">
        <v>13171558.238</v>
      </c>
      <c r="BE1000" s="477">
        <v>5611743.3312023766</v>
      </c>
      <c r="BF1000" s="458">
        <v>3.0548746560680184E-2</v>
      </c>
      <c r="BG1000" s="477">
        <v>8295627.3665024173</v>
      </c>
      <c r="BH1000" s="458">
        <v>9.3522841077325669E-2</v>
      </c>
      <c r="BI1000" s="477">
        <v>14455788.046420956</v>
      </c>
      <c r="BJ1000" s="458">
        <v>0.13451395087029128</v>
      </c>
      <c r="BK1000" s="477">
        <v>86503345.474370286</v>
      </c>
      <c r="BL1000" s="458">
        <v>0.28270162584159264</v>
      </c>
      <c r="BM1000" s="468">
        <v>5.7497786288922246</v>
      </c>
    </row>
    <row r="1001" spans="12:65" x14ac:dyDescent="0.3">
      <c r="L1001" s="427">
        <v>9324304.7178000007</v>
      </c>
      <c r="BE1001" s="477">
        <v>2520116.7925288668</v>
      </c>
      <c r="BF1001" s="458">
        <v>2.9276964298829533E-2</v>
      </c>
      <c r="BG1001" s="477">
        <v>6851921.6009694943</v>
      </c>
      <c r="BH1001" s="458">
        <v>6.0484369651946812E-2</v>
      </c>
      <c r="BI1001" s="477">
        <v>16311961.300215874</v>
      </c>
      <c r="BJ1001" s="458">
        <v>0.11171026620421376</v>
      </c>
      <c r="BK1001" s="477">
        <v>71551880.402780741</v>
      </c>
      <c r="BL1001" s="458">
        <v>0.26530417428566189</v>
      </c>
      <c r="BM1001" s="468">
        <v>12.559353032263644</v>
      </c>
    </row>
    <row r="1002" spans="12:65" x14ac:dyDescent="0.3">
      <c r="L1002" s="427">
        <v>325161.6029</v>
      </c>
      <c r="BE1002" s="477">
        <v>6594747.8482950609</v>
      </c>
      <c r="BF1002" s="458">
        <v>4.1856772283992205E-2</v>
      </c>
      <c r="BG1002" s="477">
        <v>8063284.4362996249</v>
      </c>
      <c r="BH1002" s="458">
        <v>7.498979782704418E-2</v>
      </c>
      <c r="BI1002" s="477">
        <v>13080379.211838003</v>
      </c>
      <c r="BJ1002" s="458">
        <v>0.11158157991232542</v>
      </c>
      <c r="BK1002" s="477">
        <v>85232281.044942275</v>
      </c>
      <c r="BL1002" s="458">
        <v>0.28678246356818304</v>
      </c>
      <c r="BM1002" s="468">
        <v>11.953681475955729</v>
      </c>
    </row>
    <row r="1003" spans="12:65" x14ac:dyDescent="0.3">
      <c r="L1003" s="427">
        <v>17821087.705200002</v>
      </c>
      <c r="BE1003" s="477">
        <v>5885417.4599441923</v>
      </c>
      <c r="BF1003" s="458">
        <v>3.723137249657249E-2</v>
      </c>
      <c r="BG1003" s="477">
        <v>10884191.937141951</v>
      </c>
      <c r="BH1003" s="458">
        <v>7.8194674509191486E-2</v>
      </c>
      <c r="BI1003" s="477">
        <v>12737365.91646499</v>
      </c>
      <c r="BJ1003" s="458">
        <v>8.3577862590812346E-2</v>
      </c>
      <c r="BK1003" s="477">
        <v>87798268.231728286</v>
      </c>
      <c r="BL1003" s="458">
        <v>0.29166254756607723</v>
      </c>
      <c r="BM1003" s="468">
        <v>12.011743872515932</v>
      </c>
    </row>
    <row r="1004" spans="12:65" x14ac:dyDescent="0.3">
      <c r="L1004" s="427">
        <v>3319142.7426</v>
      </c>
      <c r="BE1004" s="477">
        <v>12279164.307636049</v>
      </c>
      <c r="BF1004" s="458">
        <v>5.4673268299198607E-2</v>
      </c>
      <c r="BG1004" s="477">
        <v>11139027.212738495</v>
      </c>
      <c r="BH1004" s="458">
        <v>6.7122225891279363E-2</v>
      </c>
      <c r="BI1004" s="477">
        <v>4269470.6654646136</v>
      </c>
      <c r="BJ1004" s="458">
        <v>0.10671694694824163</v>
      </c>
      <c r="BK1004" s="477">
        <v>85568574.063518003</v>
      </c>
      <c r="BL1004" s="458">
        <v>0.26685254307944639</v>
      </c>
      <c r="BM1004" s="468">
        <v>4.9176757115386618</v>
      </c>
    </row>
    <row r="1005" spans="12:65" x14ac:dyDescent="0.3">
      <c r="L1005" s="427">
        <v>6745808.6723999996</v>
      </c>
      <c r="BE1005" s="477">
        <v>5407698.5071523758</v>
      </c>
      <c r="BF1005" s="458">
        <v>5.2121820430237165E-2</v>
      </c>
      <c r="BG1005" s="477">
        <v>6075482.7140473509</v>
      </c>
      <c r="BH1005" s="458">
        <v>6.4790310270651741E-2</v>
      </c>
      <c r="BI1005" s="477">
        <v>21756008.05751672</v>
      </c>
      <c r="BJ1005" s="458">
        <v>0.11143289239382503</v>
      </c>
      <c r="BK1005" s="477">
        <v>86889870.523043126</v>
      </c>
      <c r="BL1005" s="458">
        <v>0.26087380340088662</v>
      </c>
      <c r="BM1005" s="468">
        <v>10.028466009592231</v>
      </c>
    </row>
    <row r="1006" spans="12:65" x14ac:dyDescent="0.3">
      <c r="L1006" s="427">
        <v>-170487.0153</v>
      </c>
      <c r="BE1006" s="477">
        <v>5440151.9738572352</v>
      </c>
      <c r="BF1006" s="458">
        <v>2.5246037100588925E-2</v>
      </c>
      <c r="BG1006" s="477">
        <v>6195567.5355881033</v>
      </c>
      <c r="BH1006" s="458">
        <v>5.8775055740467153E-2</v>
      </c>
      <c r="BI1006" s="477">
        <v>20216012.426295795</v>
      </c>
      <c r="BJ1006" s="458">
        <v>9.925889965221546E-2</v>
      </c>
      <c r="BK1006" s="477">
        <v>77351908.719011635</v>
      </c>
      <c r="BL1006" s="458">
        <v>0.28861523064742234</v>
      </c>
      <c r="BM1006" s="468">
        <v>14.585496527542913</v>
      </c>
    </row>
    <row r="1007" spans="12:65" x14ac:dyDescent="0.3">
      <c r="L1007" s="427">
        <v>-6481586.1984999999</v>
      </c>
      <c r="BE1007" s="477">
        <v>4373723.2282326557</v>
      </c>
      <c r="BF1007" s="458">
        <v>4.5307318991957279E-2</v>
      </c>
      <c r="BG1007" s="477">
        <v>2805402.2520241332</v>
      </c>
      <c r="BH1007" s="458">
        <v>8.5555920630588256E-2</v>
      </c>
      <c r="BI1007" s="477">
        <v>7398572.0090803485</v>
      </c>
      <c r="BJ1007" s="458">
        <v>0.12737956470311529</v>
      </c>
      <c r="BK1007" s="477">
        <v>89480499.115207478</v>
      </c>
      <c r="BL1007" s="458">
        <v>0.27816931297121439</v>
      </c>
      <c r="BM1007" s="468">
        <v>9.2990463313306169</v>
      </c>
    </row>
    <row r="1008" spans="12:65" x14ac:dyDescent="0.3">
      <c r="L1008" s="427">
        <v>28047349.843600001</v>
      </c>
      <c r="BE1008" s="477">
        <v>4912111.3202800881</v>
      </c>
      <c r="BF1008" s="458">
        <v>5.0246219993601571E-2</v>
      </c>
      <c r="BG1008" s="477">
        <v>14160920.464606244</v>
      </c>
      <c r="BH1008" s="458">
        <v>4.9752456257835753E-2</v>
      </c>
      <c r="BI1008" s="477">
        <v>18849995.127213288</v>
      </c>
      <c r="BJ1008" s="458">
        <v>7.7724459887713593E-2</v>
      </c>
      <c r="BK1008" s="477">
        <v>95232683.772566199</v>
      </c>
      <c r="BL1008" s="458">
        <v>0.27446286066968728</v>
      </c>
      <c r="BM1008" s="468">
        <v>9.5549184465630894</v>
      </c>
    </row>
    <row r="1009" spans="12:65" x14ac:dyDescent="0.3">
      <c r="L1009" s="427">
        <v>-16534780.131100001</v>
      </c>
      <c r="BE1009" s="477">
        <v>4672311.1957195811</v>
      </c>
      <c r="BF1009" s="458">
        <v>4.3032023094713656E-2</v>
      </c>
      <c r="BG1009" s="477">
        <v>15639909.970334424</v>
      </c>
      <c r="BH1009" s="458">
        <v>5.7840134772483953E-2</v>
      </c>
      <c r="BI1009" s="477">
        <v>12651665.307565872</v>
      </c>
      <c r="BJ1009" s="458">
        <v>0.10816004624347619</v>
      </c>
      <c r="BK1009" s="477">
        <v>89092801.953264534</v>
      </c>
      <c r="BL1009" s="458">
        <v>0.25805927097422998</v>
      </c>
      <c r="BM1009" s="468">
        <v>11.525308754037933</v>
      </c>
    </row>
    <row r="1010" spans="12:65" x14ac:dyDescent="0.3">
      <c r="L1010" s="427">
        <v>9042902.1055999994</v>
      </c>
      <c r="BE1010" s="477">
        <v>5507249.3872117018</v>
      </c>
      <c r="BF1010" s="458">
        <v>5.3581877740391581E-2</v>
      </c>
      <c r="BG1010" s="477">
        <v>8417512.717826413</v>
      </c>
      <c r="BH1010" s="458">
        <v>7.039295252114286E-2</v>
      </c>
      <c r="BI1010" s="477">
        <v>17750427.801460113</v>
      </c>
      <c r="BJ1010" s="458">
        <v>0.12996382164075682</v>
      </c>
      <c r="BK1010" s="477">
        <v>87469463.677924111</v>
      </c>
      <c r="BL1010" s="458">
        <v>0.28986892487316096</v>
      </c>
      <c r="BM1010" s="468">
        <v>4.942138409908031</v>
      </c>
    </row>
    <row r="1011" spans="12:65" x14ac:dyDescent="0.3">
      <c r="L1011" s="427">
        <v>15041080.9957</v>
      </c>
      <c r="BE1011" s="477">
        <v>2602271.1582427272</v>
      </c>
      <c r="BF1011" s="458">
        <v>3.4749851221128614E-2</v>
      </c>
      <c r="BG1011" s="477">
        <v>10974773.708219759</v>
      </c>
      <c r="BH1011" s="458">
        <v>6.6263815963809813E-2</v>
      </c>
      <c r="BI1011" s="477">
        <v>23268547.54336502</v>
      </c>
      <c r="BJ1011" s="458">
        <v>0.11286118007151158</v>
      </c>
      <c r="BK1011" s="477">
        <v>89781615.966144338</v>
      </c>
      <c r="BL1011" s="458">
        <v>0.25076079211739599</v>
      </c>
      <c r="BM1011" s="468">
        <v>6.0324944647426246</v>
      </c>
    </row>
    <row r="1012" spans="12:65" x14ac:dyDescent="0.3">
      <c r="L1012" s="427">
        <v>17278631.7476</v>
      </c>
      <c r="BE1012" s="477">
        <v>3836305.8307108851</v>
      </c>
      <c r="BF1012" s="458">
        <v>4.0749978910837426E-2</v>
      </c>
      <c r="BG1012" s="477">
        <v>11260549.092225084</v>
      </c>
      <c r="BH1012" s="458">
        <v>6.0367668028885824E-2</v>
      </c>
      <c r="BI1012" s="477">
        <v>19037978.340101216</v>
      </c>
      <c r="BJ1012" s="458">
        <v>0.10594733089999631</v>
      </c>
      <c r="BK1012" s="477">
        <v>88575989.319384947</v>
      </c>
      <c r="BL1012" s="458">
        <v>0.27579532696754505</v>
      </c>
      <c r="BM1012" s="468">
        <v>2.8668649702431894</v>
      </c>
    </row>
    <row r="1013" spans="12:65" x14ac:dyDescent="0.3">
      <c r="L1013" s="427">
        <v>-710142.69799999997</v>
      </c>
      <c r="BE1013" s="477">
        <v>2748495.7470285031</v>
      </c>
      <c r="BF1013" s="458">
        <v>1.6374164126973012E-2</v>
      </c>
      <c r="BG1013" s="477">
        <v>6608657.897165644</v>
      </c>
      <c r="BH1013" s="458">
        <v>6.6843183398538786E-2</v>
      </c>
      <c r="BI1013" s="477">
        <v>25141134.595090371</v>
      </c>
      <c r="BJ1013" s="458">
        <v>9.5137453675875561E-2</v>
      </c>
      <c r="BK1013" s="477">
        <v>88602425.469050676</v>
      </c>
      <c r="BL1013" s="458">
        <v>0.2864498344969022</v>
      </c>
      <c r="BM1013" s="468">
        <v>9.6354488313120203</v>
      </c>
    </row>
    <row r="1014" spans="12:65" x14ac:dyDescent="0.3">
      <c r="L1014" s="427">
        <v>547583.10519999999</v>
      </c>
      <c r="BE1014" s="477">
        <v>1449889.3604932008</v>
      </c>
      <c r="BF1014" s="458">
        <v>3.7727207276404329E-2</v>
      </c>
      <c r="BG1014" s="477">
        <v>12253966.912151797</v>
      </c>
      <c r="BH1014" s="458">
        <v>3.6823933016674637E-2</v>
      </c>
      <c r="BI1014" s="477">
        <v>16321447.433037885</v>
      </c>
      <c r="BJ1014" s="458">
        <v>0.11603699051292682</v>
      </c>
      <c r="BK1014" s="477">
        <v>74243055.293481573</v>
      </c>
      <c r="BL1014" s="458">
        <v>0.25494574545562165</v>
      </c>
      <c r="BM1014" s="468">
        <v>4.8172850760424435</v>
      </c>
    </row>
    <row r="1015" spans="12:65" x14ac:dyDescent="0.3">
      <c r="L1015" s="427">
        <v>8626207.5831000004</v>
      </c>
      <c r="BE1015" s="477">
        <v>-228217.96415422825</v>
      </c>
      <c r="BF1015" s="458">
        <v>3.0148603494281279E-2</v>
      </c>
      <c r="BG1015" s="477">
        <v>7780766.1082301149</v>
      </c>
      <c r="BH1015" s="458">
        <v>7.0038832972753706E-2</v>
      </c>
      <c r="BI1015" s="477">
        <v>20723240.716881074</v>
      </c>
      <c r="BJ1015" s="458">
        <v>0.10283600400730397</v>
      </c>
      <c r="BK1015" s="477">
        <v>93411064.258945927</v>
      </c>
      <c r="BL1015" s="458">
        <v>0.28043431763591253</v>
      </c>
      <c r="BM1015" s="468">
        <v>11.440663129812776</v>
      </c>
    </row>
    <row r="1016" spans="12:65" x14ac:dyDescent="0.3">
      <c r="L1016" s="427">
        <v>5387744.9060000004</v>
      </c>
      <c r="BE1016" s="477">
        <v>3935002.5557479816</v>
      </c>
      <c r="BF1016" s="458">
        <v>6.3810576293907628E-2</v>
      </c>
      <c r="BG1016" s="477">
        <v>7743797.4349441109</v>
      </c>
      <c r="BH1016" s="458">
        <v>6.9279333423836631E-2</v>
      </c>
      <c r="BI1016" s="477">
        <v>18074601.85115619</v>
      </c>
      <c r="BJ1016" s="458">
        <v>9.2280121136616433E-2</v>
      </c>
      <c r="BK1016" s="477">
        <v>69766805.113094121</v>
      </c>
      <c r="BL1016" s="458">
        <v>0.27322272040431583</v>
      </c>
      <c r="BM1016" s="468">
        <v>12.149590073582024</v>
      </c>
    </row>
    <row r="1017" spans="12:65" x14ac:dyDescent="0.3">
      <c r="L1017" s="427">
        <v>6347114.5415000003</v>
      </c>
      <c r="BE1017" s="477">
        <v>5193238.0568450224</v>
      </c>
      <c r="BF1017" s="458">
        <v>7.2190133774906684E-2</v>
      </c>
      <c r="BG1017" s="477">
        <v>10152659.418017266</v>
      </c>
      <c r="BH1017" s="458">
        <v>5.4797739735029882E-2</v>
      </c>
      <c r="BI1017" s="477">
        <v>19134241.791726086</v>
      </c>
      <c r="BJ1017" s="458">
        <v>0.10694270108158221</v>
      </c>
      <c r="BK1017" s="477">
        <v>79061740.721708462</v>
      </c>
      <c r="BL1017" s="458">
        <v>0.28500343654782001</v>
      </c>
      <c r="BM1017" s="468">
        <v>4.579419871609403</v>
      </c>
    </row>
    <row r="1018" spans="12:65" x14ac:dyDescent="0.3">
      <c r="L1018" s="427">
        <v>13472523.5331</v>
      </c>
      <c r="BE1018" s="477">
        <v>1786677.8155852645</v>
      </c>
      <c r="BF1018" s="458">
        <v>4.4824525845842844E-2</v>
      </c>
      <c r="BG1018" s="477">
        <v>14471634.8073954</v>
      </c>
      <c r="BH1018" s="458">
        <v>6.4639585498592389E-2</v>
      </c>
      <c r="BI1018" s="477">
        <v>16107081.875955924</v>
      </c>
      <c r="BJ1018" s="458">
        <v>8.4597067699763606E-2</v>
      </c>
      <c r="BK1018" s="477">
        <v>89029797.543442443</v>
      </c>
      <c r="BL1018" s="458">
        <v>0.26035019776452395</v>
      </c>
      <c r="BM1018" s="468">
        <v>4.6238465260620671</v>
      </c>
    </row>
    <row r="1019" spans="12:65" x14ac:dyDescent="0.3">
      <c r="L1019" s="427">
        <v>9860163.6234000009</v>
      </c>
      <c r="BE1019" s="477">
        <v>7482537.6121954601</v>
      </c>
      <c r="BF1019" s="458">
        <v>3.3858102946914492E-2</v>
      </c>
      <c r="BG1019" s="477">
        <v>10743938.88613346</v>
      </c>
      <c r="BH1019" s="458">
        <v>5.98064078237448E-2</v>
      </c>
      <c r="BI1019" s="477">
        <v>13616343.977567775</v>
      </c>
      <c r="BJ1019" s="458">
        <v>9.8596315131462831E-2</v>
      </c>
      <c r="BK1019" s="477">
        <v>88435912.424282148</v>
      </c>
      <c r="BL1019" s="458">
        <v>0.25929716695959026</v>
      </c>
      <c r="BM1019" s="468">
        <v>6.1813759927290235</v>
      </c>
    </row>
    <row r="1020" spans="12:65" x14ac:dyDescent="0.3">
      <c r="L1020" s="427">
        <v>21277909.666099999</v>
      </c>
      <c r="BE1020" s="477">
        <v>8046371.8857591674</v>
      </c>
      <c r="BF1020" s="458">
        <v>3.9044472800607188E-2</v>
      </c>
      <c r="BG1020" s="477">
        <v>-3251163.6108948416</v>
      </c>
      <c r="BH1020" s="458">
        <v>6.5739114280473743E-2</v>
      </c>
      <c r="BI1020" s="477">
        <v>15195234.284774782</v>
      </c>
      <c r="BJ1020" s="458">
        <v>0.10856456186321339</v>
      </c>
      <c r="BK1020" s="477">
        <v>81471781.319674566</v>
      </c>
      <c r="BL1020" s="458">
        <v>0.26533144400454023</v>
      </c>
      <c r="BM1020" s="468">
        <v>17.456628330651135</v>
      </c>
    </row>
    <row r="1021" spans="12:65" x14ac:dyDescent="0.3">
      <c r="L1021" s="427">
        <v>10824381.868899999</v>
      </c>
      <c r="BE1021" s="477">
        <v>6028921.1842379672</v>
      </c>
      <c r="BF1021" s="458">
        <v>3.9510307454862392E-2</v>
      </c>
      <c r="BG1021" s="477">
        <v>2711523.3246648381</v>
      </c>
      <c r="BH1021" s="458">
        <v>5.3823224858943863E-2</v>
      </c>
      <c r="BI1021" s="477">
        <v>17035950.026830405</v>
      </c>
      <c r="BJ1021" s="458">
        <v>0.11548450253490739</v>
      </c>
      <c r="BK1021" s="477">
        <v>100408639.10570106</v>
      </c>
      <c r="BL1021" s="458">
        <v>0.29157730173071306</v>
      </c>
      <c r="BM1021" s="468">
        <v>5.6798446065445241</v>
      </c>
    </row>
    <row r="1022" spans="12:65" x14ac:dyDescent="0.3">
      <c r="L1022" s="427">
        <v>21565708.084800001</v>
      </c>
      <c r="BE1022" s="477">
        <v>4010106.4842115273</v>
      </c>
      <c r="BF1022" s="458">
        <v>3.5545783368848172E-2</v>
      </c>
      <c r="BG1022" s="477">
        <v>11875937.1164122</v>
      </c>
      <c r="BH1022" s="458">
        <v>3.6727336383623355E-2</v>
      </c>
      <c r="BI1022" s="477">
        <v>19628313.753730386</v>
      </c>
      <c r="BJ1022" s="458">
        <v>0.10509324618217541</v>
      </c>
      <c r="BK1022" s="477">
        <v>88117613.591329992</v>
      </c>
      <c r="BL1022" s="458">
        <v>0.28251209079415474</v>
      </c>
      <c r="BM1022" s="468">
        <v>10.73301898875869</v>
      </c>
    </row>
    <row r="1023" spans="12:65" x14ac:dyDescent="0.3">
      <c r="L1023" s="427">
        <v>3725298.1786000002</v>
      </c>
      <c r="BE1023" s="477">
        <v>5951129.0224456443</v>
      </c>
      <c r="BF1023" s="458">
        <v>3.466787811440919E-2</v>
      </c>
      <c r="BG1023" s="477">
        <v>11996013.395757364</v>
      </c>
      <c r="BH1023" s="458">
        <v>7.8884481923926497E-2</v>
      </c>
      <c r="BI1023" s="477">
        <v>19725062.651269712</v>
      </c>
      <c r="BJ1023" s="458">
        <v>0.11197026747722005</v>
      </c>
      <c r="BK1023" s="477">
        <v>98621622.06950143</v>
      </c>
      <c r="BL1023" s="458">
        <v>0.26240807572076652</v>
      </c>
      <c r="BM1023" s="468">
        <v>11.750490434562284</v>
      </c>
    </row>
    <row r="1024" spans="12:65" x14ac:dyDescent="0.3">
      <c r="L1024" s="427">
        <v>113625.8847</v>
      </c>
      <c r="BE1024" s="477">
        <v>6464660.3590451609</v>
      </c>
      <c r="BF1024" s="458">
        <v>3.7559308679007586E-2</v>
      </c>
      <c r="BG1024" s="477">
        <v>8670407.3178308737</v>
      </c>
      <c r="BH1024" s="458">
        <v>6.9227182231832884E-2</v>
      </c>
      <c r="BI1024" s="477">
        <v>7528006.7726456942</v>
      </c>
      <c r="BJ1024" s="458">
        <v>9.9903745547428979E-2</v>
      </c>
      <c r="BK1024" s="477">
        <v>88146689.390428707</v>
      </c>
      <c r="BL1024" s="458">
        <v>0.26159746752879376</v>
      </c>
      <c r="BM1024" s="468">
        <v>13.088681732168714</v>
      </c>
    </row>
    <row r="1025" spans="12:65" x14ac:dyDescent="0.3">
      <c r="L1025" s="427">
        <v>5979992.2522</v>
      </c>
      <c r="BE1025" s="477">
        <v>5604078.242787255</v>
      </c>
      <c r="BF1025" s="458">
        <v>3.1892814825560389E-2</v>
      </c>
      <c r="BG1025" s="477">
        <v>12461265.368796187</v>
      </c>
      <c r="BH1025" s="458">
        <v>7.540641962804906E-2</v>
      </c>
      <c r="BI1025" s="477">
        <v>17308973.562099233</v>
      </c>
      <c r="BJ1025" s="458">
        <v>0.11667414878206328</v>
      </c>
      <c r="BK1025" s="477">
        <v>86965604.472942889</v>
      </c>
      <c r="BL1025" s="458">
        <v>0.27265604788895015</v>
      </c>
      <c r="BM1025" s="468">
        <v>9.1084450824325138</v>
      </c>
    </row>
    <row r="1026" spans="12:65" x14ac:dyDescent="0.3">
      <c r="L1026" s="427">
        <v>7591574.7900999999</v>
      </c>
      <c r="BE1026" s="477">
        <v>5688243.938801839</v>
      </c>
      <c r="BF1026" s="458">
        <v>3.1134341739043725E-2</v>
      </c>
      <c r="BG1026" s="477">
        <v>6267477.4841803648</v>
      </c>
      <c r="BH1026" s="458">
        <v>5.3017468368500298E-2</v>
      </c>
      <c r="BI1026" s="477">
        <v>15059156.48943527</v>
      </c>
      <c r="BJ1026" s="458">
        <v>0.10402300380550122</v>
      </c>
      <c r="BK1026" s="477">
        <v>93771181.987228185</v>
      </c>
      <c r="BL1026" s="458">
        <v>0.2588381988325883</v>
      </c>
      <c r="BM1026" s="468">
        <v>8.2641325645612334</v>
      </c>
    </row>
    <row r="1027" spans="12:65" x14ac:dyDescent="0.3">
      <c r="L1027" s="427">
        <v>5079180.4045000002</v>
      </c>
      <c r="BE1027" s="477">
        <v>4676312.9173058597</v>
      </c>
      <c r="BF1027" s="458">
        <v>4.1110058293426732E-2</v>
      </c>
      <c r="BG1027" s="477">
        <v>6233100.7281682454</v>
      </c>
      <c r="BH1027" s="458">
        <v>7.6127537815194213E-2</v>
      </c>
      <c r="BI1027" s="477">
        <v>17433595.619592309</v>
      </c>
      <c r="BJ1027" s="458">
        <v>0.1226211379584965</v>
      </c>
      <c r="BK1027" s="477">
        <v>88774863.243307903</v>
      </c>
      <c r="BL1027" s="458">
        <v>0.26747363141261826</v>
      </c>
      <c r="BM1027" s="468">
        <v>11.694533565294224</v>
      </c>
    </row>
    <row r="1028" spans="12:65" x14ac:dyDescent="0.3">
      <c r="L1028" s="427">
        <v>20744791.753199998</v>
      </c>
      <c r="BE1028" s="477">
        <v>6255471.6235324414</v>
      </c>
      <c r="BF1028" s="458">
        <v>4.8258468882538708E-2</v>
      </c>
      <c r="BG1028" s="477">
        <v>14907967.776486468</v>
      </c>
      <c r="BH1028" s="458">
        <v>5.6891929786042184E-2</v>
      </c>
      <c r="BI1028" s="477">
        <v>18349486.37072067</v>
      </c>
      <c r="BJ1028" s="458">
        <v>0.11285700463507187</v>
      </c>
      <c r="BK1028" s="477">
        <v>89683355.433308914</v>
      </c>
      <c r="BL1028" s="458">
        <v>0.26144700092312401</v>
      </c>
      <c r="BM1028" s="468">
        <v>7.7162584194999511</v>
      </c>
    </row>
    <row r="1029" spans="12:65" x14ac:dyDescent="0.3">
      <c r="L1029" s="427">
        <v>6623608.6815999998</v>
      </c>
      <c r="BE1029" s="477">
        <v>6242218.0034258924</v>
      </c>
      <c r="BF1029" s="458">
        <v>3.7067878433689971E-2</v>
      </c>
      <c r="BG1029" s="477">
        <v>10946113.404922338</v>
      </c>
      <c r="BH1029" s="458">
        <v>5.2448978660250445E-2</v>
      </c>
      <c r="BI1029" s="477">
        <v>20713665.267419722</v>
      </c>
      <c r="BJ1029" s="458">
        <v>0.10046265576307256</v>
      </c>
      <c r="BK1029" s="477">
        <v>99219771.345928609</v>
      </c>
      <c r="BL1029" s="458">
        <v>0.26763945682878854</v>
      </c>
      <c r="BM1029" s="468">
        <v>9.5368728994259104</v>
      </c>
    </row>
    <row r="1030" spans="12:65" x14ac:dyDescent="0.3">
      <c r="L1030" s="427">
        <v>2412287.6866000001</v>
      </c>
      <c r="BE1030" s="477">
        <v>4765986.1311837025</v>
      </c>
      <c r="BF1030" s="458">
        <v>4.8064280150604821E-2</v>
      </c>
      <c r="BG1030" s="477">
        <v>2775455.8672922538</v>
      </c>
      <c r="BH1030" s="458">
        <v>6.9168841637666567E-2</v>
      </c>
      <c r="BI1030" s="477">
        <v>17067032.389257222</v>
      </c>
      <c r="BJ1030" s="458">
        <v>0.10672774354035175</v>
      </c>
      <c r="BK1030" s="477">
        <v>93682724.701068476</v>
      </c>
      <c r="BL1030" s="458">
        <v>0.27486944195194396</v>
      </c>
      <c r="BM1030" s="468">
        <v>7.8018979679373741</v>
      </c>
    </row>
    <row r="1031" spans="12:65" x14ac:dyDescent="0.3">
      <c r="L1031" s="427">
        <v>7200088.5584000004</v>
      </c>
      <c r="BE1031" s="477">
        <v>2954825.6197965853</v>
      </c>
      <c r="BF1031" s="458">
        <v>2.5493510549586373E-2</v>
      </c>
      <c r="BG1031" s="477">
        <v>11639502.449746644</v>
      </c>
      <c r="BH1031" s="458">
        <v>6.7703371352961561E-2</v>
      </c>
      <c r="BI1031" s="477">
        <v>10853624.058051428</v>
      </c>
      <c r="BJ1031" s="458">
        <v>0.105372794416555</v>
      </c>
      <c r="BK1031" s="477">
        <v>95232400.665991187</v>
      </c>
      <c r="BL1031" s="458">
        <v>0.25108904857391012</v>
      </c>
      <c r="BM1031" s="468">
        <v>5.1321426592936703</v>
      </c>
    </row>
    <row r="1032" spans="12:65" x14ac:dyDescent="0.3">
      <c r="L1032" s="427">
        <v>6604856.6941</v>
      </c>
      <c r="BE1032" s="477">
        <v>4442500.4075152939</v>
      </c>
      <c r="BF1032" s="458">
        <v>4.9187890335830042E-2</v>
      </c>
      <c r="BG1032" s="477">
        <v>8307548.6565444199</v>
      </c>
      <c r="BH1032" s="458">
        <v>4.4418465128095885E-2</v>
      </c>
      <c r="BI1032" s="477">
        <v>22485005.910464108</v>
      </c>
      <c r="BJ1032" s="458">
        <v>0.12168783619924595</v>
      </c>
      <c r="BK1032" s="477">
        <v>101165612.34222384</v>
      </c>
      <c r="BL1032" s="458">
        <v>0.26200464170154403</v>
      </c>
      <c r="BM1032" s="468">
        <v>1.9047391593422436</v>
      </c>
    </row>
    <row r="1033" spans="12:65" x14ac:dyDescent="0.3">
      <c r="L1033" s="427">
        <v>30705311.516899999</v>
      </c>
      <c r="BE1033" s="477">
        <v>6741029.5127395084</v>
      </c>
      <c r="BF1033" s="458">
        <v>4.1976361732134704E-2</v>
      </c>
      <c r="BG1033" s="477">
        <v>5459398.6081359284</v>
      </c>
      <c r="BH1033" s="458">
        <v>4.3583219618224645E-2</v>
      </c>
      <c r="BI1033" s="477">
        <v>18694497.884135786</v>
      </c>
      <c r="BJ1033" s="458">
        <v>9.7170938425508169E-2</v>
      </c>
      <c r="BK1033" s="477">
        <v>79880971.901794389</v>
      </c>
      <c r="BL1033" s="458">
        <v>0.26173288670042094</v>
      </c>
      <c r="BM1033" s="468">
        <v>11.218142525065673</v>
      </c>
    </row>
    <row r="1034" spans="12:65" x14ac:dyDescent="0.3">
      <c r="L1034" s="427">
        <v>4757263.7551999995</v>
      </c>
      <c r="BE1034" s="477">
        <v>7965183.0079373159</v>
      </c>
      <c r="BF1034" s="458">
        <v>1.8467182543815186E-2</v>
      </c>
      <c r="BG1034" s="477">
        <v>4702299.6510405503</v>
      </c>
      <c r="BH1034" s="458">
        <v>7.9134848983001049E-2</v>
      </c>
      <c r="BI1034" s="477">
        <v>15164563.492587272</v>
      </c>
      <c r="BJ1034" s="458">
        <v>0.12722101771794891</v>
      </c>
      <c r="BK1034" s="477">
        <v>98728222.107906848</v>
      </c>
      <c r="BL1034" s="458">
        <v>0.26392531659054552</v>
      </c>
      <c r="BM1034" s="468">
        <v>12.953513953165062</v>
      </c>
    </row>
    <row r="1035" spans="12:65" x14ac:dyDescent="0.3">
      <c r="L1035" s="427">
        <v>6371217.2174000004</v>
      </c>
      <c r="BE1035" s="477">
        <v>2702717.2538861334</v>
      </c>
      <c r="BF1035" s="458">
        <v>2.584234246452155E-2</v>
      </c>
      <c r="BG1035" s="477">
        <v>9584958.0224644039</v>
      </c>
      <c r="BH1035" s="458">
        <v>7.3979521950423566E-2</v>
      </c>
      <c r="BI1035" s="477">
        <v>8112636.5482555088</v>
      </c>
      <c r="BJ1035" s="458">
        <v>0.10487289922784382</v>
      </c>
      <c r="BK1035" s="477">
        <v>105768746.72837389</v>
      </c>
      <c r="BL1035" s="458">
        <v>0.27187994189342346</v>
      </c>
      <c r="BM1035" s="468">
        <v>7.9634534608777736</v>
      </c>
    </row>
    <row r="1036" spans="12:65" x14ac:dyDescent="0.3">
      <c r="L1036" s="427">
        <v>17725563.843499999</v>
      </c>
      <c r="BE1036" s="477">
        <v>2952268.3077731882</v>
      </c>
      <c r="BF1036" s="458">
        <v>1.7599086858202773E-2</v>
      </c>
      <c r="BG1036" s="477">
        <v>2413640.1340524857</v>
      </c>
      <c r="BH1036" s="458">
        <v>4.9522879656868746E-2</v>
      </c>
      <c r="BI1036" s="477">
        <v>20717535.551476169</v>
      </c>
      <c r="BJ1036" s="458">
        <v>0.11830598718874419</v>
      </c>
      <c r="BK1036" s="477">
        <v>82968253.173735425</v>
      </c>
      <c r="BL1036" s="458">
        <v>0.25980914998753502</v>
      </c>
      <c r="BM1036" s="468">
        <v>6.7824337860314108</v>
      </c>
    </row>
    <row r="1037" spans="12:65" x14ac:dyDescent="0.3">
      <c r="L1037" s="427">
        <v>8093495.7462999998</v>
      </c>
      <c r="BE1037" s="477">
        <v>4955316.6287193429</v>
      </c>
      <c r="BF1037" s="458">
        <v>3.271338850919614E-2</v>
      </c>
      <c r="BG1037" s="477">
        <v>5015972.3181736078</v>
      </c>
      <c r="BH1037" s="458">
        <v>7.0917647246826476E-2</v>
      </c>
      <c r="BI1037" s="477">
        <v>11398902.944185685</v>
      </c>
      <c r="BJ1037" s="458">
        <v>0.10802628655678825</v>
      </c>
      <c r="BK1037" s="477">
        <v>85172630.594439924</v>
      </c>
      <c r="BL1037" s="458">
        <v>0.27083254927517042</v>
      </c>
      <c r="BM1037" s="468">
        <v>5.9385803535901047</v>
      </c>
    </row>
    <row r="1038" spans="12:65" x14ac:dyDescent="0.3">
      <c r="L1038" s="427">
        <v>-3817088.4007000001</v>
      </c>
      <c r="BE1038" s="477">
        <v>3761759.5917674531</v>
      </c>
      <c r="BF1038" s="458">
        <v>2.3941363504665913E-2</v>
      </c>
      <c r="BG1038" s="477">
        <v>9586061.3723300342</v>
      </c>
      <c r="BH1038" s="458">
        <v>5.4846731062924814E-2</v>
      </c>
      <c r="BI1038" s="477">
        <v>7882084.7812526841</v>
      </c>
      <c r="BJ1038" s="458">
        <v>0.11514043696551024</v>
      </c>
      <c r="BK1038" s="477">
        <v>83150279.856332883</v>
      </c>
      <c r="BL1038" s="458">
        <v>0.26957227099437975</v>
      </c>
      <c r="BM1038" s="468">
        <v>9.7182983210561495</v>
      </c>
    </row>
    <row r="1039" spans="12:65" x14ac:dyDescent="0.3">
      <c r="L1039" s="427">
        <v>8447263.8035000004</v>
      </c>
      <c r="BE1039" s="477">
        <v>5734107.6142219342</v>
      </c>
      <c r="BF1039" s="458">
        <v>8.1999182747874544E-2</v>
      </c>
      <c r="BG1039" s="477">
        <v>10479032.607412746</v>
      </c>
      <c r="BH1039" s="458">
        <v>6.984544377125923E-2</v>
      </c>
      <c r="BI1039" s="477">
        <v>16953803.146442536</v>
      </c>
      <c r="BJ1039" s="458">
        <v>8.9225777720056687E-2</v>
      </c>
      <c r="BK1039" s="477">
        <v>86813380.951179847</v>
      </c>
      <c r="BL1039" s="458">
        <v>0.26127729450283099</v>
      </c>
      <c r="BM1039" s="468">
        <v>14.744440794314265</v>
      </c>
    </row>
    <row r="1040" spans="12:65" x14ac:dyDescent="0.3">
      <c r="L1040" s="427">
        <v>14775782.2662</v>
      </c>
      <c r="BE1040" s="477">
        <v>4544669.5540238693</v>
      </c>
      <c r="BF1040" s="458">
        <v>4.5566123813479908E-2</v>
      </c>
      <c r="BG1040" s="477">
        <v>8668237.5590736661</v>
      </c>
      <c r="BH1040" s="458">
        <v>6.184872660983598E-2</v>
      </c>
      <c r="BI1040" s="477">
        <v>15894666.202922665</v>
      </c>
      <c r="BJ1040" s="458">
        <v>8.2993873535060603E-2</v>
      </c>
      <c r="BK1040" s="477">
        <v>91841197.742261335</v>
      </c>
      <c r="BL1040" s="458">
        <v>0.25766039975315369</v>
      </c>
      <c r="BM1040" s="468">
        <v>15.087281201068986</v>
      </c>
    </row>
    <row r="1041" spans="12:65" x14ac:dyDescent="0.3">
      <c r="L1041" s="427">
        <v>-14531899.5491</v>
      </c>
      <c r="BE1041" s="477">
        <v>392877.06970391091</v>
      </c>
      <c r="BF1041" s="458">
        <v>2.355584135463662E-2</v>
      </c>
      <c r="BG1041" s="477">
        <v>7092846.3709070534</v>
      </c>
      <c r="BH1041" s="458">
        <v>8.7400918220960078E-2</v>
      </c>
      <c r="BI1041" s="477">
        <v>15126565.776546272</v>
      </c>
      <c r="BJ1041" s="458">
        <v>0.11834425685381489</v>
      </c>
      <c r="BK1041" s="477">
        <v>91497092.642886803</v>
      </c>
      <c r="BL1041" s="458">
        <v>0.26925774044520034</v>
      </c>
      <c r="BM1041" s="468">
        <v>8.1173336899579702</v>
      </c>
    </row>
    <row r="1042" spans="12:65" x14ac:dyDescent="0.3">
      <c r="L1042" s="427">
        <v>2952858.798</v>
      </c>
      <c r="BE1042" s="477">
        <v>4219163.5395928817</v>
      </c>
      <c r="BF1042" s="458">
        <v>6.2135082431150401E-2</v>
      </c>
      <c r="BG1042" s="477">
        <v>11513919.267516427</v>
      </c>
      <c r="BH1042" s="458">
        <v>4.2319896887490049E-2</v>
      </c>
      <c r="BI1042" s="477">
        <v>13456234.512477254</v>
      </c>
      <c r="BJ1042" s="458">
        <v>0.13482606286641108</v>
      </c>
      <c r="BK1042" s="477">
        <v>83591162.637925982</v>
      </c>
      <c r="BL1042" s="458">
        <v>0.25774960581479989</v>
      </c>
      <c r="BM1042" s="468">
        <v>10.129353618381167</v>
      </c>
    </row>
    <row r="1043" spans="12:65" x14ac:dyDescent="0.3">
      <c r="L1043" s="427">
        <v>8190368.0882000001</v>
      </c>
      <c r="BE1043" s="477">
        <v>4290800.7338225609</v>
      </c>
      <c r="BF1043" s="458">
        <v>5.0008738338900516E-2</v>
      </c>
      <c r="BG1043" s="477">
        <v>5707204.5028280206</v>
      </c>
      <c r="BH1043" s="458">
        <v>6.7110892790485543E-2</v>
      </c>
      <c r="BI1043" s="477">
        <v>29024854.465678826</v>
      </c>
      <c r="BJ1043" s="458">
        <v>9.5669497330019171E-2</v>
      </c>
      <c r="BK1043" s="477">
        <v>94158157.263619468</v>
      </c>
      <c r="BL1043" s="458">
        <v>0.27656195575288511</v>
      </c>
      <c r="BM1043" s="468">
        <v>8.654944995590423</v>
      </c>
    </row>
    <row r="1044" spans="12:65" x14ac:dyDescent="0.3">
      <c r="L1044" s="427">
        <v>-7196070.1586999996</v>
      </c>
      <c r="BE1044" s="477">
        <v>7525465.191509515</v>
      </c>
      <c r="BF1044" s="458">
        <v>3.7655291616649933E-2</v>
      </c>
      <c r="BG1044" s="477">
        <v>3977734.1361183147</v>
      </c>
      <c r="BH1044" s="458">
        <v>6.1561915752307739E-2</v>
      </c>
      <c r="BI1044" s="477">
        <v>11787328.759537401</v>
      </c>
      <c r="BJ1044" s="458">
        <v>7.452947827636458E-2</v>
      </c>
      <c r="BK1044" s="477">
        <v>78938963.983003706</v>
      </c>
      <c r="BL1044" s="458">
        <v>0.26933488253750437</v>
      </c>
      <c r="BM1044" s="468">
        <v>13.903929791822886</v>
      </c>
    </row>
    <row r="1045" spans="12:65" x14ac:dyDescent="0.3">
      <c r="L1045" s="427">
        <v>9732870.9221000001</v>
      </c>
      <c r="BE1045" s="477">
        <v>3418408.4846923747</v>
      </c>
      <c r="BF1045" s="458">
        <v>4.4566023262015753E-2</v>
      </c>
      <c r="BG1045" s="477">
        <v>7180549.6560218185</v>
      </c>
      <c r="BH1045" s="458">
        <v>6.0573602194625487E-2</v>
      </c>
      <c r="BI1045" s="477">
        <v>27261015.564496648</v>
      </c>
      <c r="BJ1045" s="458">
        <v>0.11779759347951746</v>
      </c>
      <c r="BK1045" s="477">
        <v>101352268.29978734</v>
      </c>
      <c r="BL1045" s="458">
        <v>0.27067197985210356</v>
      </c>
      <c r="BM1045" s="468">
        <v>7.6289359734152979</v>
      </c>
    </row>
    <row r="1046" spans="12:65" x14ac:dyDescent="0.3">
      <c r="L1046" s="427">
        <v>16446365.8564</v>
      </c>
      <c r="BE1046" s="477">
        <v>6913130.4869576599</v>
      </c>
      <c r="BF1046" s="458">
        <v>5.2900102878827848E-2</v>
      </c>
      <c r="BG1046" s="477">
        <v>9041253.1979489792</v>
      </c>
      <c r="BH1046" s="458">
        <v>6.3667123885545296E-2</v>
      </c>
      <c r="BI1046" s="477">
        <v>10748135.41107958</v>
      </c>
      <c r="BJ1046" s="458">
        <v>0.12258438884428502</v>
      </c>
      <c r="BK1046" s="477">
        <v>87635396.630125523</v>
      </c>
      <c r="BL1046" s="458">
        <v>0.27258799438022163</v>
      </c>
      <c r="BM1046" s="468">
        <v>9.1337956056797172</v>
      </c>
    </row>
    <row r="1047" spans="12:65" x14ac:dyDescent="0.3">
      <c r="L1047" s="427">
        <v>16693648.0209</v>
      </c>
      <c r="BE1047" s="477">
        <v>7175564.0714152772</v>
      </c>
      <c r="BF1047" s="458">
        <v>2.6229513627235246E-2</v>
      </c>
      <c r="BG1047" s="477">
        <v>8231483.4436675319</v>
      </c>
      <c r="BH1047" s="458">
        <v>6.7941778577934597E-2</v>
      </c>
      <c r="BI1047" s="477">
        <v>19248978.61325052</v>
      </c>
      <c r="BJ1047" s="458">
        <v>9.3260986836950055E-2</v>
      </c>
      <c r="BK1047" s="477">
        <v>83917647.792309284</v>
      </c>
      <c r="BL1047" s="458">
        <v>0.26330589964213225</v>
      </c>
      <c r="BM1047" s="468">
        <v>2.7215176123048401</v>
      </c>
    </row>
    <row r="1048" spans="12:65" x14ac:dyDescent="0.3">
      <c r="L1048" s="427">
        <v>2172397.4043999999</v>
      </c>
      <c r="BE1048" s="477">
        <v>5806705.1475660922</v>
      </c>
      <c r="BF1048" s="458">
        <v>3.8527602840523256E-2</v>
      </c>
      <c r="BG1048" s="477">
        <v>3809688.7455376466</v>
      </c>
      <c r="BH1048" s="458">
        <v>5.8668799039703012E-2</v>
      </c>
      <c r="BI1048" s="477">
        <v>21766388.234164741</v>
      </c>
      <c r="BJ1048" s="458">
        <v>0.12053977407913341</v>
      </c>
      <c r="BK1048" s="477">
        <v>84277849.109373391</v>
      </c>
      <c r="BL1048" s="458">
        <v>0.25832641672919565</v>
      </c>
      <c r="BM1048" s="468">
        <v>8.7677449514269021</v>
      </c>
    </row>
    <row r="1049" spans="12:65" x14ac:dyDescent="0.3">
      <c r="L1049" s="427">
        <v>-8034515.5292999996</v>
      </c>
      <c r="BE1049" s="477">
        <v>8005453.0106710084</v>
      </c>
      <c r="BF1049" s="458">
        <v>4.0349264533171114E-2</v>
      </c>
      <c r="BG1049" s="477">
        <v>16113989.627197031</v>
      </c>
      <c r="BH1049" s="458">
        <v>9.8213959094853198E-2</v>
      </c>
      <c r="BI1049" s="477">
        <v>14316346.380724052</v>
      </c>
      <c r="BJ1049" s="458">
        <v>0.13228922178472624</v>
      </c>
      <c r="BK1049" s="477">
        <v>102194020.6540682</v>
      </c>
      <c r="BL1049" s="458">
        <v>0.25263475493783827</v>
      </c>
      <c r="BM1049" s="468">
        <v>12.313999680209474</v>
      </c>
    </row>
    <row r="1050" spans="12:65" x14ac:dyDescent="0.3">
      <c r="L1050" s="427">
        <v>10351340.1175</v>
      </c>
      <c r="BE1050" s="477">
        <v>5495753.8650869662</v>
      </c>
      <c r="BF1050" s="458">
        <v>3.413912489644777E-2</v>
      </c>
      <c r="BG1050" s="477">
        <v>8628393.7873069476</v>
      </c>
      <c r="BH1050" s="458">
        <v>5.9420429278769449E-2</v>
      </c>
      <c r="BI1050" s="477">
        <v>9094663.5131485295</v>
      </c>
      <c r="BJ1050" s="458">
        <v>0.11290082899280351</v>
      </c>
      <c r="BK1050" s="477">
        <v>99025397.18898128</v>
      </c>
      <c r="BL1050" s="458">
        <v>0.26330254902059869</v>
      </c>
      <c r="BM1050" s="468">
        <v>9.1811786212473585</v>
      </c>
    </row>
    <row r="1051" spans="12:65" x14ac:dyDescent="0.3">
      <c r="L1051" s="427">
        <v>2021086.4887000001</v>
      </c>
      <c r="BE1051" s="477">
        <v>6022892.66744754</v>
      </c>
      <c r="BF1051" s="458">
        <v>7.8335973200650999E-2</v>
      </c>
      <c r="BG1051" s="477">
        <v>4110699.3307307772</v>
      </c>
      <c r="BH1051" s="458">
        <v>8.4787053948294222E-2</v>
      </c>
      <c r="BI1051" s="477">
        <v>12517355.032537844</v>
      </c>
      <c r="BJ1051" s="458">
        <v>0.12206324066394392</v>
      </c>
      <c r="BK1051" s="477">
        <v>95552149.168128341</v>
      </c>
      <c r="BL1051" s="458">
        <v>0.26687178581439652</v>
      </c>
      <c r="BM1051" s="468">
        <v>4.0274194863836152</v>
      </c>
    </row>
    <row r="1052" spans="12:65" x14ac:dyDescent="0.3">
      <c r="L1052" s="427">
        <v>11008849.0451</v>
      </c>
      <c r="BE1052" s="477">
        <v>7888587.175113461</v>
      </c>
      <c r="BF1052" s="458">
        <v>3.0357062645417709E-2</v>
      </c>
      <c r="BG1052" s="477">
        <v>5024242.5198188359</v>
      </c>
      <c r="BH1052" s="458">
        <v>6.8227709641395906E-2</v>
      </c>
      <c r="BI1052" s="477">
        <v>20863709.327527907</v>
      </c>
      <c r="BJ1052" s="458">
        <v>0.10870770116430317</v>
      </c>
      <c r="BK1052" s="477">
        <v>83448083.752297536</v>
      </c>
      <c r="BL1052" s="458">
        <v>0.28582894065414943</v>
      </c>
      <c r="BM1052" s="468">
        <v>10.365696309887642</v>
      </c>
    </row>
    <row r="1053" spans="12:65" x14ac:dyDescent="0.3">
      <c r="L1053" s="427">
        <v>8217319.1666999999</v>
      </c>
      <c r="BE1053" s="477">
        <v>2070058.3555799876</v>
      </c>
      <c r="BF1053" s="458">
        <v>2.2618936372688747E-2</v>
      </c>
      <c r="BG1053" s="477">
        <v>5186066.7626040159</v>
      </c>
      <c r="BH1053" s="458">
        <v>4.4188071809765583E-2</v>
      </c>
      <c r="BI1053" s="477">
        <v>16087026.222120978</v>
      </c>
      <c r="BJ1053" s="458">
        <v>0.101310163999216</v>
      </c>
      <c r="BK1053" s="477">
        <v>89451652.732787818</v>
      </c>
      <c r="BL1053" s="458">
        <v>0.28352458064498576</v>
      </c>
      <c r="BM1053" s="468">
        <v>1.5019819889945163</v>
      </c>
    </row>
    <row r="1054" spans="12:65" x14ac:dyDescent="0.3">
      <c r="L1054" s="427">
        <v>3305983.0902</v>
      </c>
      <c r="BE1054" s="477">
        <v>244972.63265634829</v>
      </c>
      <c r="BF1054" s="458">
        <v>4.5581345087204017E-2</v>
      </c>
      <c r="BG1054" s="477">
        <v>7949887.8788522389</v>
      </c>
      <c r="BH1054" s="458">
        <v>9.6188009538995756E-2</v>
      </c>
      <c r="BI1054" s="477">
        <v>16245122.12694462</v>
      </c>
      <c r="BJ1054" s="458">
        <v>0.12546753886144857</v>
      </c>
      <c r="BK1054" s="477">
        <v>84081848.682453886</v>
      </c>
      <c r="BL1054" s="458">
        <v>0.25662473539615016</v>
      </c>
      <c r="BM1054" s="468">
        <v>11.18958465681836</v>
      </c>
    </row>
    <row r="1055" spans="12:65" x14ac:dyDescent="0.3">
      <c r="L1055" s="427">
        <v>1416569.8552000001</v>
      </c>
      <c r="BE1055" s="477">
        <v>6767748.1558138067</v>
      </c>
      <c r="BF1055" s="458">
        <v>4.6353547275548079E-2</v>
      </c>
      <c r="BG1055" s="477">
        <v>5261296.5974701922</v>
      </c>
      <c r="BH1055" s="458">
        <v>6.9905048938162961E-2</v>
      </c>
      <c r="BI1055" s="477">
        <v>10086955.563211143</v>
      </c>
      <c r="BJ1055" s="458">
        <v>0.11489866243808811</v>
      </c>
      <c r="BK1055" s="477">
        <v>90451415.568571195</v>
      </c>
      <c r="BL1055" s="458">
        <v>0.28283768603107728</v>
      </c>
      <c r="BM1055" s="468">
        <v>8.6467194396362821</v>
      </c>
    </row>
    <row r="1056" spans="12:65" x14ac:dyDescent="0.3">
      <c r="L1056" s="427">
        <v>-747044.25730000006</v>
      </c>
      <c r="BE1056" s="477">
        <v>7172457.7848726735</v>
      </c>
      <c r="BF1056" s="458">
        <v>3.8765867963100442E-2</v>
      </c>
      <c r="BG1056" s="477">
        <v>8623639.2756976113</v>
      </c>
      <c r="BH1056" s="458">
        <v>9.7654647615105672E-2</v>
      </c>
      <c r="BI1056" s="477">
        <v>16969055.030690562</v>
      </c>
      <c r="BJ1056" s="458">
        <v>0.11125618782433633</v>
      </c>
      <c r="BK1056" s="477">
        <v>93208982.499006942</v>
      </c>
      <c r="BL1056" s="458">
        <v>0.25155590412490625</v>
      </c>
      <c r="BM1056" s="468">
        <v>7.4664850578484501</v>
      </c>
    </row>
    <row r="1057" spans="12:65" x14ac:dyDescent="0.3">
      <c r="L1057" s="427">
        <v>-6692006.1997999996</v>
      </c>
      <c r="BE1057" s="477">
        <v>1284022.1154024173</v>
      </c>
      <c r="BF1057" s="458">
        <v>3.1178409271431562E-2</v>
      </c>
      <c r="BG1057" s="477">
        <v>10759954.187381238</v>
      </c>
      <c r="BH1057" s="458">
        <v>7.5399140755401994E-2</v>
      </c>
      <c r="BI1057" s="477">
        <v>23711300.853654694</v>
      </c>
      <c r="BJ1057" s="458">
        <v>9.0830591675256978E-2</v>
      </c>
      <c r="BK1057" s="477">
        <v>96966042.783541098</v>
      </c>
      <c r="BL1057" s="458">
        <v>0.26254706178795084</v>
      </c>
      <c r="BM1057" s="468">
        <v>10.189441693765016</v>
      </c>
    </row>
    <row r="1058" spans="12:65" x14ac:dyDescent="0.3">
      <c r="L1058" s="427">
        <v>17008225.1448</v>
      </c>
      <c r="BE1058" s="477">
        <v>7997135.8549147742</v>
      </c>
      <c r="BF1058" s="458">
        <v>2.1029366791613269E-2</v>
      </c>
      <c r="BG1058" s="477">
        <v>10226292.345370568</v>
      </c>
      <c r="BH1058" s="458">
        <v>6.7173072872659612E-2</v>
      </c>
      <c r="BI1058" s="477">
        <v>17619617.815647654</v>
      </c>
      <c r="BJ1058" s="458">
        <v>0.10929820664692902</v>
      </c>
      <c r="BK1058" s="477">
        <v>105799075.73638733</v>
      </c>
      <c r="BL1058" s="458">
        <v>0.28986774296605078</v>
      </c>
      <c r="BM1058" s="468">
        <v>7.016834738776474</v>
      </c>
    </row>
    <row r="1059" spans="12:65" x14ac:dyDescent="0.3">
      <c r="L1059" s="427">
        <v>-1242576.7588</v>
      </c>
      <c r="BE1059" s="477">
        <v>3329753.5695676384</v>
      </c>
      <c r="BF1059" s="458">
        <v>1.7251474175835835E-2</v>
      </c>
      <c r="BG1059" s="477">
        <v>9102987.5967008956</v>
      </c>
      <c r="BH1059" s="458">
        <v>7.7559609095407156E-2</v>
      </c>
      <c r="BI1059" s="477">
        <v>18659621.65095038</v>
      </c>
      <c r="BJ1059" s="458">
        <v>0.1150168228595092</v>
      </c>
      <c r="BK1059" s="477">
        <v>96869719.707291275</v>
      </c>
      <c r="BL1059" s="458">
        <v>0.28534656437476902</v>
      </c>
      <c r="BM1059" s="468">
        <v>10.144766757997015</v>
      </c>
    </row>
    <row r="1060" spans="12:65" x14ac:dyDescent="0.3">
      <c r="L1060" s="427">
        <v>14347206.4756</v>
      </c>
      <c r="BE1060" s="477">
        <v>6972297.2948838174</v>
      </c>
      <c r="BF1060" s="458">
        <v>5.7055269557526378E-2</v>
      </c>
      <c r="BG1060" s="477">
        <v>10872780.822942281</v>
      </c>
      <c r="BH1060" s="458">
        <v>4.5253542980804529E-2</v>
      </c>
      <c r="BI1060" s="477">
        <v>16361807.73057658</v>
      </c>
      <c r="BJ1060" s="458">
        <v>0.14343983487322665</v>
      </c>
      <c r="BK1060" s="477">
        <v>96558792.356934577</v>
      </c>
      <c r="BL1060" s="458">
        <v>0.28039090017827983</v>
      </c>
      <c r="BM1060" s="468">
        <v>8.9761146374654341</v>
      </c>
    </row>
    <row r="1061" spans="12:65" x14ac:dyDescent="0.3">
      <c r="L1061" s="427">
        <v>4523333.0948999999</v>
      </c>
      <c r="BE1061" s="477">
        <v>5147859.6364263529</v>
      </c>
      <c r="BF1061" s="458">
        <v>3.0225793173718429E-2</v>
      </c>
      <c r="BG1061" s="477">
        <v>11852239.106077537</v>
      </c>
      <c r="BH1061" s="458">
        <v>6.7881304761624683E-2</v>
      </c>
      <c r="BI1061" s="477">
        <v>12270525.154254971</v>
      </c>
      <c r="BJ1061" s="458">
        <v>0.12038919811556781</v>
      </c>
      <c r="BK1061" s="477">
        <v>90416461.367520154</v>
      </c>
      <c r="BL1061" s="458">
        <v>0.26770617073269665</v>
      </c>
      <c r="BM1061" s="468">
        <v>12.893530420502396</v>
      </c>
    </row>
    <row r="1062" spans="12:65" x14ac:dyDescent="0.3">
      <c r="L1062" s="427">
        <v>-6703862.0469000004</v>
      </c>
      <c r="BE1062" s="477">
        <v>4330224.744589719</v>
      </c>
      <c r="BF1062" s="458">
        <v>4.4108446322683958E-2</v>
      </c>
      <c r="BG1062" s="477">
        <v>11822563.735152576</v>
      </c>
      <c r="BH1062" s="458">
        <v>7.6529938332011271E-2</v>
      </c>
      <c r="BI1062" s="477">
        <v>20354248.50973355</v>
      </c>
      <c r="BJ1062" s="458">
        <v>0.12002876045137612</v>
      </c>
      <c r="BK1062" s="477">
        <v>84293657.435854286</v>
      </c>
      <c r="BL1062" s="458">
        <v>0.27981630096382171</v>
      </c>
      <c r="BM1062" s="468">
        <v>9.3430160981916792</v>
      </c>
    </row>
    <row r="1063" spans="12:65" x14ac:dyDescent="0.3">
      <c r="L1063" s="427">
        <v>6451453.4041999998</v>
      </c>
      <c r="BE1063" s="477">
        <v>7915252.520619411</v>
      </c>
      <c r="BF1063" s="458">
        <v>4.7987831645923906E-2</v>
      </c>
      <c r="BG1063" s="477">
        <v>8183795.9834220065</v>
      </c>
      <c r="BH1063" s="458">
        <v>6.8574995383625215E-2</v>
      </c>
      <c r="BI1063" s="477">
        <v>25888299.815627422</v>
      </c>
      <c r="BJ1063" s="458">
        <v>0.10431801425045384</v>
      </c>
      <c r="BK1063" s="477">
        <v>85886818.724719092</v>
      </c>
      <c r="BL1063" s="458">
        <v>0.2796411166029229</v>
      </c>
      <c r="BM1063" s="468">
        <v>3.7312062991313955</v>
      </c>
    </row>
    <row r="1064" spans="12:65" x14ac:dyDescent="0.3">
      <c r="L1064" s="427">
        <v>9911644.3539000005</v>
      </c>
      <c r="BE1064" s="477">
        <v>8497925.3278529383</v>
      </c>
      <c r="BF1064" s="458">
        <v>5.390693356355114E-2</v>
      </c>
      <c r="BG1064" s="477">
        <v>13100720.413566498</v>
      </c>
      <c r="BH1064" s="458">
        <v>6.2442573428961978E-2</v>
      </c>
      <c r="BI1064" s="477">
        <v>13394818.773446357</v>
      </c>
      <c r="BJ1064" s="458">
        <v>0.1275497584991101</v>
      </c>
      <c r="BK1064" s="477">
        <v>92908147.532807395</v>
      </c>
      <c r="BL1064" s="458">
        <v>0.2816106945470862</v>
      </c>
      <c r="BM1064" s="468">
        <v>7.3213091261363532</v>
      </c>
    </row>
    <row r="1065" spans="12:65" x14ac:dyDescent="0.3">
      <c r="L1065" s="427">
        <v>3845207.0137999998</v>
      </c>
      <c r="BE1065" s="477">
        <v>5328215.5592632936</v>
      </c>
      <c r="BF1065" s="458">
        <v>5.4134915539103101E-2</v>
      </c>
      <c r="BG1065" s="477">
        <v>15465521.874707004</v>
      </c>
      <c r="BH1065" s="458">
        <v>5.7869978555692647E-2</v>
      </c>
      <c r="BI1065" s="477">
        <v>12621004.437037492</v>
      </c>
      <c r="BJ1065" s="458">
        <v>0.13306838379068475</v>
      </c>
      <c r="BK1065" s="477">
        <v>95282357.130611286</v>
      </c>
      <c r="BL1065" s="458">
        <v>0.26350392024824254</v>
      </c>
      <c r="BM1065" s="468">
        <v>10.774292417282968</v>
      </c>
    </row>
    <row r="1066" spans="12:65" x14ac:dyDescent="0.3">
      <c r="L1066" s="427">
        <v>2710315.4597999998</v>
      </c>
      <c r="BE1066" s="477">
        <v>4499772.1715802727</v>
      </c>
      <c r="BF1066" s="458">
        <v>5.44912221273679E-2</v>
      </c>
      <c r="BG1066" s="477">
        <v>13018319.091804072</v>
      </c>
      <c r="BH1066" s="458">
        <v>6.6299859032197705E-2</v>
      </c>
      <c r="BI1066" s="477">
        <v>13024908.691284666</v>
      </c>
      <c r="BJ1066" s="458">
        <v>0.12417614096233565</v>
      </c>
      <c r="BK1066" s="477">
        <v>108041963.98717061</v>
      </c>
      <c r="BL1066" s="458">
        <v>0.28293241311512207</v>
      </c>
      <c r="BM1066" s="468">
        <v>8.7590229046500667</v>
      </c>
    </row>
    <row r="1067" spans="12:65" x14ac:dyDescent="0.3">
      <c r="L1067" s="427">
        <v>-1902992.1602</v>
      </c>
      <c r="BE1067" s="477">
        <v>4041280.8880670988</v>
      </c>
      <c r="BF1067" s="458">
        <v>2.0090527866326369E-2</v>
      </c>
      <c r="BG1067" s="477">
        <v>13282314.97970644</v>
      </c>
      <c r="BH1067" s="458">
        <v>8.0464559630082588E-2</v>
      </c>
      <c r="BI1067" s="477">
        <v>7028140.2148186387</v>
      </c>
      <c r="BJ1067" s="458">
        <v>7.2503555832605482E-2</v>
      </c>
      <c r="BK1067" s="477">
        <v>89626591.492520317</v>
      </c>
      <c r="BL1067" s="458">
        <v>0.26980365444360999</v>
      </c>
      <c r="BM1067" s="468">
        <v>5.4329975119805898</v>
      </c>
    </row>
    <row r="1068" spans="12:65" x14ac:dyDescent="0.3">
      <c r="L1068" s="427">
        <v>13455034.634400001</v>
      </c>
      <c r="BE1068" s="477">
        <v>6036229.1475653909</v>
      </c>
      <c r="BF1068" s="458">
        <v>3.7544970967961611E-2</v>
      </c>
      <c r="BG1068" s="477">
        <v>7886636.012852692</v>
      </c>
      <c r="BH1068" s="458">
        <v>7.7715408275924824E-2</v>
      </c>
      <c r="BI1068" s="477">
        <v>13017540.739513354</v>
      </c>
      <c r="BJ1068" s="458">
        <v>9.6473282595458176E-2</v>
      </c>
      <c r="BK1068" s="477">
        <v>94315954.607421532</v>
      </c>
      <c r="BL1068" s="458">
        <v>0.25741249427944757</v>
      </c>
      <c r="BM1068" s="468">
        <v>9.8170108615676615</v>
      </c>
    </row>
    <row r="1069" spans="12:65" x14ac:dyDescent="0.3">
      <c r="L1069" s="427">
        <v>8971667.4976000004</v>
      </c>
      <c r="BE1069" s="477">
        <v>349614.14135454345</v>
      </c>
      <c r="BF1069" s="458">
        <v>4.364365376146484E-2</v>
      </c>
      <c r="BG1069" s="477">
        <v>5427735.159252001</v>
      </c>
      <c r="BH1069" s="458">
        <v>4.1382513280270983E-2</v>
      </c>
      <c r="BI1069" s="477">
        <v>14280575.320340231</v>
      </c>
      <c r="BJ1069" s="458">
        <v>0.10434117642991136</v>
      </c>
      <c r="BK1069" s="477">
        <v>103305456.64173734</v>
      </c>
      <c r="BL1069" s="458">
        <v>0.2942419124956881</v>
      </c>
      <c r="BM1069" s="468">
        <v>9.8728826475116112</v>
      </c>
    </row>
    <row r="1070" spans="12:65" x14ac:dyDescent="0.3">
      <c r="L1070" s="427">
        <v>-14812117.5765</v>
      </c>
      <c r="BE1070" s="477">
        <v>9425654.2938560043</v>
      </c>
      <c r="BF1070" s="458">
        <v>4.0275941877986332E-2</v>
      </c>
      <c r="BG1070" s="477">
        <v>10828110.654262796</v>
      </c>
      <c r="BH1070" s="458">
        <v>5.7316371784961184E-2</v>
      </c>
      <c r="BI1070" s="477">
        <v>15812884.452123018</v>
      </c>
      <c r="BJ1070" s="458">
        <v>0.11141090804047282</v>
      </c>
      <c r="BK1070" s="477">
        <v>90762666.420866355</v>
      </c>
      <c r="BL1070" s="458">
        <v>0.26579302790060799</v>
      </c>
      <c r="BM1070" s="468">
        <v>12.74422666760017</v>
      </c>
    </row>
    <row r="1071" spans="12:65" x14ac:dyDescent="0.3">
      <c r="L1071" s="427">
        <v>4212485.2267000005</v>
      </c>
      <c r="BE1071" s="477">
        <v>6894533.8386383578</v>
      </c>
      <c r="BF1071" s="458">
        <v>4.8348170396792955E-2</v>
      </c>
      <c r="BG1071" s="477">
        <v>8711327.3372111227</v>
      </c>
      <c r="BH1071" s="458">
        <v>8.3961778170930534E-2</v>
      </c>
      <c r="BI1071" s="477">
        <v>12730012.057809565</v>
      </c>
      <c r="BJ1071" s="458">
        <v>0.10997766814593812</v>
      </c>
      <c r="BK1071" s="477">
        <v>97697914.425706968</v>
      </c>
      <c r="BL1071" s="458">
        <v>0.27118464692305655</v>
      </c>
      <c r="BM1071" s="468">
        <v>7.4591488794202725</v>
      </c>
    </row>
    <row r="1072" spans="12:65" x14ac:dyDescent="0.3">
      <c r="L1072" s="427">
        <v>-6622359.1632000003</v>
      </c>
      <c r="BE1072" s="477">
        <v>8110021.3727439996</v>
      </c>
      <c r="BF1072" s="458">
        <v>6.6540318598614867E-2</v>
      </c>
      <c r="BG1072" s="477">
        <v>9406456.216700526</v>
      </c>
      <c r="BH1072" s="458">
        <v>6.1533618132255885E-2</v>
      </c>
      <c r="BI1072" s="477">
        <v>17419236.485919748</v>
      </c>
      <c r="BJ1072" s="458">
        <v>9.3491314188716812E-2</v>
      </c>
      <c r="BK1072" s="477">
        <v>88364678.923159838</v>
      </c>
      <c r="BL1072" s="458">
        <v>0.27430578212875956</v>
      </c>
      <c r="BM1072" s="468">
        <v>5.3320038278047992</v>
      </c>
    </row>
    <row r="1073" spans="12:65" x14ac:dyDescent="0.3">
      <c r="L1073" s="427">
        <v>11181138.8705</v>
      </c>
      <c r="BE1073" s="477">
        <v>2432999.1185681112</v>
      </c>
      <c r="BF1073" s="458">
        <v>2.8018986302700499E-2</v>
      </c>
      <c r="BG1073" s="477">
        <v>7453809.9121252457</v>
      </c>
      <c r="BH1073" s="458">
        <v>5.5863458775895491E-2</v>
      </c>
      <c r="BI1073" s="477">
        <v>13872250.085096553</v>
      </c>
      <c r="BJ1073" s="458">
        <v>0.11001674257592442</v>
      </c>
      <c r="BK1073" s="477">
        <v>99519325.31487155</v>
      </c>
      <c r="BL1073" s="458">
        <v>0.2618387901914272</v>
      </c>
      <c r="BM1073" s="468">
        <v>10.487696539373003</v>
      </c>
    </row>
    <row r="1074" spans="12:65" x14ac:dyDescent="0.3">
      <c r="L1074" s="427">
        <v>-8287653.7949999999</v>
      </c>
      <c r="BE1074" s="477">
        <v>6101126.6546439314</v>
      </c>
      <c r="BF1074" s="458">
        <v>5.0425243512850493E-2</v>
      </c>
      <c r="BG1074" s="477">
        <v>7084169.1437447332</v>
      </c>
      <c r="BH1074" s="458">
        <v>8.5699937616932287E-2</v>
      </c>
      <c r="BI1074" s="477">
        <v>16916076.652121238</v>
      </c>
      <c r="BJ1074" s="458">
        <v>7.6480494184775871E-2</v>
      </c>
      <c r="BK1074" s="477">
        <v>76911902.193371877</v>
      </c>
      <c r="BL1074" s="458">
        <v>0.26287496905627683</v>
      </c>
      <c r="BM1074" s="468">
        <v>3.0466145646782605</v>
      </c>
    </row>
    <row r="1075" spans="12:65" x14ac:dyDescent="0.3">
      <c r="L1075" s="427">
        <v>-591594.58680000005</v>
      </c>
      <c r="BE1075" s="477">
        <v>830690.6354669932</v>
      </c>
      <c r="BF1075" s="458">
        <v>7.0037527588735715E-2</v>
      </c>
      <c r="BG1075" s="477">
        <v>7092644.9451798704</v>
      </c>
      <c r="BH1075" s="458">
        <v>6.8001046725950198E-2</v>
      </c>
      <c r="BI1075" s="477">
        <v>13465362.606686739</v>
      </c>
      <c r="BJ1075" s="458">
        <v>0.10124524303084481</v>
      </c>
      <c r="BK1075" s="477">
        <v>93617112.517153949</v>
      </c>
      <c r="BL1075" s="458">
        <v>0.25472053892012148</v>
      </c>
      <c r="BM1075" s="468">
        <v>5.8492013266890943</v>
      </c>
    </row>
    <row r="1076" spans="12:65" x14ac:dyDescent="0.3">
      <c r="L1076" s="427">
        <v>-1581922.6281000001</v>
      </c>
      <c r="BE1076" s="477">
        <v>8281500.5179920355</v>
      </c>
      <c r="BF1076" s="458">
        <v>3.4682886589708195E-2</v>
      </c>
      <c r="BG1076" s="477">
        <v>9594791.629383212</v>
      </c>
      <c r="BH1076" s="458">
        <v>9.0452903116585714E-2</v>
      </c>
      <c r="BI1076" s="477">
        <v>18576746.670829207</v>
      </c>
      <c r="BJ1076" s="458">
        <v>9.1337963226569618E-2</v>
      </c>
      <c r="BK1076" s="477">
        <v>99409909.317360356</v>
      </c>
      <c r="BL1076" s="458">
        <v>0.26521190841206299</v>
      </c>
      <c r="BM1076" s="468">
        <v>3.248584769971437</v>
      </c>
    </row>
    <row r="1077" spans="12:65" x14ac:dyDescent="0.3">
      <c r="L1077" s="427">
        <v>1715824.9513999999</v>
      </c>
      <c r="BE1077" s="477">
        <v>775676.20920774841</v>
      </c>
      <c r="BF1077" s="458">
        <v>6.2496556007945347E-2</v>
      </c>
      <c r="BG1077" s="477">
        <v>10362545.251946939</v>
      </c>
      <c r="BH1077" s="458">
        <v>7.8430000882359963E-2</v>
      </c>
      <c r="BI1077" s="477">
        <v>20150774.040761054</v>
      </c>
      <c r="BJ1077" s="458">
        <v>0.10303455584348309</v>
      </c>
      <c r="BK1077" s="477">
        <v>103480367.90642303</v>
      </c>
      <c r="BL1077" s="458">
        <v>0.27108054617499322</v>
      </c>
      <c r="BM1077" s="468">
        <v>8.9472336019692076</v>
      </c>
    </row>
    <row r="1078" spans="12:65" x14ac:dyDescent="0.3">
      <c r="L1078" s="427">
        <v>11015507.766000001</v>
      </c>
      <c r="BE1078" s="477">
        <v>5789325.9333491595</v>
      </c>
      <c r="BF1078" s="458">
        <v>5.8636169748253586E-2</v>
      </c>
      <c r="BG1078" s="477">
        <v>6427086.115061448</v>
      </c>
      <c r="BH1078" s="458">
        <v>7.1871535461570435E-2</v>
      </c>
      <c r="BI1078" s="477">
        <v>15497770.605430605</v>
      </c>
      <c r="BJ1078" s="458">
        <v>0.1057946123785376</v>
      </c>
      <c r="BK1078" s="477">
        <v>86373978.631061375</v>
      </c>
      <c r="BL1078" s="458">
        <v>0.26194171715869952</v>
      </c>
      <c r="BM1078" s="468">
        <v>2.4531818201743585</v>
      </c>
    </row>
    <row r="1079" spans="12:65" x14ac:dyDescent="0.3">
      <c r="L1079" s="427">
        <v>24487590.368000001</v>
      </c>
      <c r="BE1079" s="477">
        <v>3809872.8922750847</v>
      </c>
      <c r="BF1079" s="458">
        <v>2.9766567976185376E-2</v>
      </c>
      <c r="BG1079" s="477">
        <v>6797785.6429043515</v>
      </c>
      <c r="BH1079" s="458">
        <v>6.5009862036336186E-2</v>
      </c>
      <c r="BI1079" s="477">
        <v>21160092.356845312</v>
      </c>
      <c r="BJ1079" s="458">
        <v>0.10126397084812244</v>
      </c>
      <c r="BK1079" s="477">
        <v>98065565.639328465</v>
      </c>
      <c r="BL1079" s="458">
        <v>0.27706661584834724</v>
      </c>
      <c r="BM1079" s="468">
        <v>7.7825434299866361</v>
      </c>
    </row>
    <row r="1080" spans="12:65" x14ac:dyDescent="0.3">
      <c r="L1080" s="427">
        <v>14399300.333699999</v>
      </c>
      <c r="BE1080" s="477">
        <v>5899270.0197435645</v>
      </c>
      <c r="BF1080" s="458">
        <v>3.2554364748183184E-2</v>
      </c>
      <c r="BG1080" s="477">
        <v>8440614.4801835939</v>
      </c>
      <c r="BH1080" s="458">
        <v>7.4469828384603698E-2</v>
      </c>
      <c r="BI1080" s="477">
        <v>13493966.376268223</v>
      </c>
      <c r="BJ1080" s="458">
        <v>0.10976512681063832</v>
      </c>
      <c r="BK1080" s="477">
        <v>88460060.715743989</v>
      </c>
      <c r="BL1080" s="458">
        <v>0.27998758131139012</v>
      </c>
      <c r="BM1080" s="468">
        <v>-2.0903251154869782</v>
      </c>
    </row>
    <row r="1081" spans="12:65" x14ac:dyDescent="0.3">
      <c r="L1081" s="427">
        <v>14821801.536599999</v>
      </c>
      <c r="BE1081" s="477">
        <v>7429623.4840319641</v>
      </c>
      <c r="BF1081" s="458">
        <v>5.223906305298498E-2</v>
      </c>
      <c r="BG1081" s="477">
        <v>12621393.592722379</v>
      </c>
      <c r="BH1081" s="458">
        <v>7.0252333986622784E-2</v>
      </c>
      <c r="BI1081" s="477">
        <v>12509897.512166757</v>
      </c>
      <c r="BJ1081" s="458">
        <v>0.12168024373742825</v>
      </c>
      <c r="BK1081" s="477">
        <v>86162694.03693682</v>
      </c>
      <c r="BL1081" s="458">
        <v>0.28710023691777864</v>
      </c>
      <c r="BM1081" s="468">
        <v>5.8301197354548986</v>
      </c>
    </row>
    <row r="1082" spans="12:65" x14ac:dyDescent="0.3">
      <c r="L1082" s="427">
        <v>9181916.5645000003</v>
      </c>
      <c r="BE1082" s="477">
        <v>10073840.436019901</v>
      </c>
      <c r="BF1082" s="458">
        <v>4.2917909249135189E-2</v>
      </c>
      <c r="BG1082" s="477">
        <v>10261746.812577287</v>
      </c>
      <c r="BH1082" s="458">
        <v>4.1055088873731105E-2</v>
      </c>
      <c r="BI1082" s="477">
        <v>14267727.166356968</v>
      </c>
      <c r="BJ1082" s="458">
        <v>0.12403649750696943</v>
      </c>
      <c r="BK1082" s="477">
        <v>79153007.438554183</v>
      </c>
      <c r="BL1082" s="458">
        <v>0.24222421679207007</v>
      </c>
      <c r="BM1082" s="468">
        <v>9.9746229565909452</v>
      </c>
    </row>
    <row r="1083" spans="12:65" x14ac:dyDescent="0.3">
      <c r="L1083" s="427">
        <v>-733632.37190000003</v>
      </c>
      <c r="BE1083" s="477">
        <v>7817592.6269018305</v>
      </c>
      <c r="BF1083" s="458">
        <v>4.7829737000079309E-2</v>
      </c>
      <c r="BG1083" s="477">
        <v>10977616.999526951</v>
      </c>
      <c r="BH1083" s="458">
        <v>8.0335434501811909E-2</v>
      </c>
      <c r="BI1083" s="477">
        <v>19397029.88383244</v>
      </c>
      <c r="BJ1083" s="458">
        <v>0.11226677205292646</v>
      </c>
      <c r="BK1083" s="477">
        <v>91713579.590573028</v>
      </c>
      <c r="BL1083" s="458">
        <v>0.24836541041661531</v>
      </c>
      <c r="BM1083" s="468">
        <v>8.1968893964002216</v>
      </c>
    </row>
    <row r="1084" spans="12:65" x14ac:dyDescent="0.3">
      <c r="L1084" s="427">
        <v>1184481.2101</v>
      </c>
      <c r="BE1084" s="477">
        <v>5880338.7136280397</v>
      </c>
      <c r="BF1084" s="458">
        <v>3.2800844013123776E-2</v>
      </c>
      <c r="BG1084" s="477">
        <v>4870045.4770379486</v>
      </c>
      <c r="BH1084" s="458">
        <v>5.5382720787027662E-2</v>
      </c>
      <c r="BI1084" s="477">
        <v>10935469.377290295</v>
      </c>
      <c r="BJ1084" s="458">
        <v>0.10786451391987506</v>
      </c>
      <c r="BK1084" s="477">
        <v>91919622.730241716</v>
      </c>
      <c r="BL1084" s="458">
        <v>0.27217973258489203</v>
      </c>
      <c r="BM1084" s="468">
        <v>10.586132901604881</v>
      </c>
    </row>
    <row r="1085" spans="12:65" x14ac:dyDescent="0.3">
      <c r="L1085" s="427">
        <v>3657579.9445000002</v>
      </c>
      <c r="BE1085" s="477">
        <v>4838632.0127444603</v>
      </c>
      <c r="BF1085" s="458">
        <v>3.9565607302831207E-2</v>
      </c>
      <c r="BG1085" s="477">
        <v>11014583.894182196</v>
      </c>
      <c r="BH1085" s="458">
        <v>7.5442684719169151E-2</v>
      </c>
      <c r="BI1085" s="477">
        <v>15528293.272510627</v>
      </c>
      <c r="BJ1085" s="458">
        <v>9.5359559095562929E-2</v>
      </c>
      <c r="BK1085" s="477">
        <v>93123718.025033996</v>
      </c>
      <c r="BL1085" s="458">
        <v>0.26235541874597201</v>
      </c>
      <c r="BM1085" s="468">
        <v>7.3032863831690538</v>
      </c>
    </row>
    <row r="1086" spans="12:65" x14ac:dyDescent="0.3">
      <c r="L1086" s="427">
        <v>6637059.7112999996</v>
      </c>
      <c r="BE1086" s="477">
        <v>11002044.504137695</v>
      </c>
      <c r="BF1086" s="458">
        <v>5.300462315029475E-2</v>
      </c>
      <c r="BG1086" s="477">
        <v>16993139.688216373</v>
      </c>
      <c r="BH1086" s="458">
        <v>6.7903607585710901E-2</v>
      </c>
      <c r="BI1086" s="477">
        <v>13442569.20167122</v>
      </c>
      <c r="BJ1086" s="458">
        <v>0.10640155030185028</v>
      </c>
      <c r="BK1086" s="477">
        <v>100906180.93066818</v>
      </c>
      <c r="BL1086" s="458">
        <v>0.28184213514789103</v>
      </c>
      <c r="BM1086" s="468">
        <v>17.025559174188949</v>
      </c>
    </row>
    <row r="1087" spans="12:65" x14ac:dyDescent="0.3">
      <c r="L1087" s="427">
        <v>15012601.528100001</v>
      </c>
      <c r="BE1087" s="477">
        <v>7594474.0126967886</v>
      </c>
      <c r="BF1087" s="458">
        <v>2.7024295549800126E-2</v>
      </c>
      <c r="BG1087" s="477">
        <v>5324377.5706486804</v>
      </c>
      <c r="BH1087" s="458">
        <v>8.033268640235125E-2</v>
      </c>
      <c r="BI1087" s="477">
        <v>21958317.449294798</v>
      </c>
      <c r="BJ1087" s="458">
        <v>0.10205671139379224</v>
      </c>
      <c r="BK1087" s="477">
        <v>88904524.6299977</v>
      </c>
      <c r="BL1087" s="458">
        <v>0.26909180935753518</v>
      </c>
      <c r="BM1087" s="468">
        <v>5.0665737111727136</v>
      </c>
    </row>
    <row r="1088" spans="12:65" x14ac:dyDescent="0.3">
      <c r="L1088" s="427">
        <v>11320997.2063</v>
      </c>
      <c r="BE1088" s="477">
        <v>2685757.2953745467</v>
      </c>
      <c r="BF1088" s="458">
        <v>3.4946130610437498E-2</v>
      </c>
      <c r="BG1088" s="477">
        <v>10310099.888936209</v>
      </c>
      <c r="BH1088" s="458">
        <v>6.3159368434141827E-2</v>
      </c>
      <c r="BI1088" s="477">
        <v>11181119.640188565</v>
      </c>
      <c r="BJ1088" s="458">
        <v>9.5260742359862594E-2</v>
      </c>
      <c r="BK1088" s="477">
        <v>57430073.345717922</v>
      </c>
      <c r="BL1088" s="458">
        <v>0.27961179499487177</v>
      </c>
      <c r="BM1088" s="468">
        <v>5.4992362672782473</v>
      </c>
    </row>
    <row r="1089" spans="12:65" x14ac:dyDescent="0.3">
      <c r="L1089" s="427">
        <v>541023.80579999997</v>
      </c>
      <c r="BE1089" s="477">
        <v>6880887.9661728004</v>
      </c>
      <c r="BF1089" s="458">
        <v>4.7015197356166993E-2</v>
      </c>
      <c r="BG1089" s="477">
        <v>5481688.5187551426</v>
      </c>
      <c r="BH1089" s="458">
        <v>3.0022365415579788E-2</v>
      </c>
      <c r="BI1089" s="477">
        <v>16315865.591193877</v>
      </c>
      <c r="BJ1089" s="458">
        <v>7.5684762783588599E-2</v>
      </c>
      <c r="BK1089" s="477">
        <v>82268656.658633634</v>
      </c>
      <c r="BL1089" s="458">
        <v>0.26749459694386979</v>
      </c>
      <c r="BM1089" s="468">
        <v>3.103276805747651</v>
      </c>
    </row>
    <row r="1090" spans="12:65" x14ac:dyDescent="0.3">
      <c r="L1090" s="427">
        <v>950996.69629999995</v>
      </c>
      <c r="BE1090" s="477">
        <v>6606169.4241651967</v>
      </c>
      <c r="BF1090" s="458">
        <v>3.5842972376663118E-2</v>
      </c>
      <c r="BG1090" s="477">
        <v>1284754.5432793957</v>
      </c>
      <c r="BH1090" s="458">
        <v>6.967652762382559E-2</v>
      </c>
      <c r="BI1090" s="477">
        <v>12583434.466023423</v>
      </c>
      <c r="BJ1090" s="458">
        <v>9.8372126507742186E-2</v>
      </c>
      <c r="BK1090" s="477">
        <v>94632174.402225852</v>
      </c>
      <c r="BL1090" s="458">
        <v>0.30388905960304191</v>
      </c>
      <c r="BM1090" s="468">
        <v>10.986584061224988</v>
      </c>
    </row>
    <row r="1091" spans="12:65" x14ac:dyDescent="0.3">
      <c r="L1091" s="427">
        <v>13920578.1701</v>
      </c>
      <c r="BE1091" s="477">
        <v>-221118.53685660727</v>
      </c>
      <c r="BF1091" s="458">
        <v>4.193216990906401E-2</v>
      </c>
      <c r="BG1091" s="477">
        <v>8228410.7473091921</v>
      </c>
      <c r="BH1091" s="458">
        <v>4.5327156750907927E-2</v>
      </c>
      <c r="BI1091" s="477">
        <v>14005745.563063946</v>
      </c>
      <c r="BJ1091" s="458">
        <v>0.11451263446542925</v>
      </c>
      <c r="BK1091" s="477">
        <v>108881274.18542036</v>
      </c>
      <c r="BL1091" s="458">
        <v>0.26564898168957241</v>
      </c>
      <c r="BM1091" s="468">
        <v>5.9279736450163227</v>
      </c>
    </row>
    <row r="1092" spans="12:65" x14ac:dyDescent="0.3">
      <c r="L1092" s="427">
        <v>13665764.3573</v>
      </c>
      <c r="BE1092" s="477">
        <v>2116997.3661091225</v>
      </c>
      <c r="BF1092" s="458">
        <v>3.3599829794374925E-2</v>
      </c>
      <c r="BG1092" s="477">
        <v>15916474.658521937</v>
      </c>
      <c r="BH1092" s="458">
        <v>7.0696087410657027E-2</v>
      </c>
      <c r="BI1092" s="477">
        <v>14883428.848249726</v>
      </c>
      <c r="BJ1092" s="458">
        <v>0.10931867049764077</v>
      </c>
      <c r="BK1092" s="477">
        <v>81886871.926699519</v>
      </c>
      <c r="BL1092" s="458">
        <v>0.26988637854249342</v>
      </c>
      <c r="BM1092" s="468">
        <v>2.1548849101909884</v>
      </c>
    </row>
    <row r="1093" spans="12:65" x14ac:dyDescent="0.3">
      <c r="L1093" s="427">
        <v>15519827.045399999</v>
      </c>
      <c r="BE1093" s="477">
        <v>4719667.489452038</v>
      </c>
      <c r="BF1093" s="458">
        <v>4.5255028941422415E-2</v>
      </c>
      <c r="BG1093" s="477">
        <v>10044928.01944528</v>
      </c>
      <c r="BH1093" s="458">
        <v>8.882321267496307E-2</v>
      </c>
      <c r="BI1093" s="477">
        <v>19456116.764874641</v>
      </c>
      <c r="BJ1093" s="458">
        <v>0.11295730120242831</v>
      </c>
      <c r="BK1093" s="477">
        <v>87856487.567806944</v>
      </c>
      <c r="BL1093" s="458">
        <v>0.27890970168820584</v>
      </c>
      <c r="BM1093" s="468">
        <v>11.800599631290654</v>
      </c>
    </row>
    <row r="1094" spans="12:65" x14ac:dyDescent="0.3">
      <c r="L1094" s="427">
        <v>11596877.0185</v>
      </c>
      <c r="BE1094" s="477">
        <v>-589466.70001660357</v>
      </c>
      <c r="BF1094" s="458">
        <v>5.4858518766909059E-2</v>
      </c>
      <c r="BG1094" s="477">
        <v>10290370.486651337</v>
      </c>
      <c r="BH1094" s="458">
        <v>3.8950183928506021E-2</v>
      </c>
      <c r="BI1094" s="477">
        <v>21536523.594179004</v>
      </c>
      <c r="BJ1094" s="458">
        <v>0.11496145740842278</v>
      </c>
      <c r="BK1094" s="477">
        <v>81788452.686079681</v>
      </c>
      <c r="BL1094" s="458">
        <v>0.26845601430321819</v>
      </c>
      <c r="BM1094" s="468">
        <v>0.69483140603709703</v>
      </c>
    </row>
    <row r="1095" spans="12:65" x14ac:dyDescent="0.3">
      <c r="L1095" s="427">
        <v>11596726.0041</v>
      </c>
      <c r="BE1095" s="477">
        <v>6997275.0473247133</v>
      </c>
      <c r="BF1095" s="458">
        <v>4.9326870988364746E-2</v>
      </c>
      <c r="BG1095" s="477">
        <v>14445206.556479286</v>
      </c>
      <c r="BH1095" s="458">
        <v>8.6239006929815787E-2</v>
      </c>
      <c r="BI1095" s="477">
        <v>12464249.264527237</v>
      </c>
      <c r="BJ1095" s="458">
        <v>0.11193273201383724</v>
      </c>
      <c r="BK1095" s="477">
        <v>81154577.170620546</v>
      </c>
      <c r="BL1095" s="458">
        <v>0.27571987095433581</v>
      </c>
      <c r="BM1095" s="468">
        <v>7.5018891162854686</v>
      </c>
    </row>
    <row r="1096" spans="12:65" x14ac:dyDescent="0.3">
      <c r="L1096" s="427">
        <v>-1239658.5023000001</v>
      </c>
      <c r="BE1096" s="477">
        <v>2531138.9760196372</v>
      </c>
      <c r="BF1096" s="458">
        <v>3.9566571559425556E-2</v>
      </c>
      <c r="BG1096" s="477">
        <v>10812963.285646793</v>
      </c>
      <c r="BH1096" s="458">
        <v>8.3079559630564015E-2</v>
      </c>
      <c r="BI1096" s="477">
        <v>15207330.95035886</v>
      </c>
      <c r="BJ1096" s="458">
        <v>0.11797927823586996</v>
      </c>
      <c r="BK1096" s="477">
        <v>95396357.582201794</v>
      </c>
      <c r="BL1096" s="458">
        <v>0.28140037437194487</v>
      </c>
      <c r="BM1096" s="468">
        <v>8.7354766351215805</v>
      </c>
    </row>
    <row r="1097" spans="12:65" x14ac:dyDescent="0.3">
      <c r="L1097" s="427">
        <v>-8391888.1088999994</v>
      </c>
      <c r="BE1097" s="477">
        <v>12309229.622181779</v>
      </c>
      <c r="BF1097" s="458">
        <v>4.69616622666571E-2</v>
      </c>
      <c r="BG1097" s="477">
        <v>17178901.855736211</v>
      </c>
      <c r="BH1097" s="458">
        <v>7.4251656777035491E-2</v>
      </c>
      <c r="BI1097" s="477">
        <v>13106476.719171811</v>
      </c>
      <c r="BJ1097" s="458">
        <v>0.12676270444980697</v>
      </c>
      <c r="BK1097" s="477">
        <v>95972137.968703285</v>
      </c>
      <c r="BL1097" s="458">
        <v>0.26560294631800319</v>
      </c>
      <c r="BM1097" s="468">
        <v>9.6377825944212852</v>
      </c>
    </row>
    <row r="1098" spans="12:65" x14ac:dyDescent="0.3">
      <c r="L1098" s="427">
        <v>-1529574.7956999999</v>
      </c>
      <c r="BE1098" s="477">
        <v>3313775.8582391823</v>
      </c>
      <c r="BF1098" s="458">
        <v>5.4328838172356564E-2</v>
      </c>
      <c r="BG1098" s="477">
        <v>6282702.8754898906</v>
      </c>
      <c r="BH1098" s="458">
        <v>7.8910674985718909E-2</v>
      </c>
      <c r="BI1098" s="477">
        <v>17869577.921147384</v>
      </c>
      <c r="BJ1098" s="458">
        <v>7.7019097078669274E-2</v>
      </c>
      <c r="BK1098" s="477">
        <v>99468661.963983446</v>
      </c>
      <c r="BL1098" s="458">
        <v>0.26141256559122406</v>
      </c>
      <c r="BM1098" s="468">
        <v>2.7021620347358057</v>
      </c>
    </row>
    <row r="1099" spans="12:65" x14ac:dyDescent="0.3">
      <c r="L1099" s="427">
        <v>12536559.6536</v>
      </c>
      <c r="BE1099" s="477">
        <v>1205586.4154116255</v>
      </c>
      <c r="BF1099" s="458">
        <v>3.098980012337571E-2</v>
      </c>
      <c r="BG1099" s="477">
        <v>10050832.220071299</v>
      </c>
      <c r="BH1099" s="458">
        <v>8.210569302079529E-2</v>
      </c>
      <c r="BI1099" s="477">
        <v>7983417.934566577</v>
      </c>
      <c r="BJ1099" s="458">
        <v>0.10989605961669247</v>
      </c>
      <c r="BK1099" s="477">
        <v>85181695.026484102</v>
      </c>
      <c r="BL1099" s="458">
        <v>0.27288363734587762</v>
      </c>
      <c r="BM1099" s="468">
        <v>3.1019181322208524</v>
      </c>
    </row>
    <row r="1100" spans="12:65" x14ac:dyDescent="0.3">
      <c r="L1100" s="427">
        <v>32910961.367199998</v>
      </c>
      <c r="BE1100" s="477">
        <v>6679463.2989056036</v>
      </c>
      <c r="BF1100" s="458">
        <v>2.9815555236462954E-2</v>
      </c>
      <c r="BG1100" s="477">
        <v>7254262.3061075853</v>
      </c>
      <c r="BH1100" s="458">
        <v>4.9793571007166637E-2</v>
      </c>
      <c r="BI1100" s="477">
        <v>23958423.568040233</v>
      </c>
      <c r="BJ1100" s="458">
        <v>9.4014472722700138E-2</v>
      </c>
      <c r="BK1100" s="477">
        <v>96293231.814777762</v>
      </c>
      <c r="BL1100" s="458">
        <v>0.29838497023432642</v>
      </c>
      <c r="BM1100" s="468">
        <v>12.247935164009604</v>
      </c>
    </row>
    <row r="1101" spans="12:65" x14ac:dyDescent="0.3">
      <c r="L1101" s="427">
        <v>-18226727.7557</v>
      </c>
      <c r="BE1101" s="477">
        <v>8304019.7505147541</v>
      </c>
      <c r="BF1101" s="458">
        <v>4.3015191915029893E-2</v>
      </c>
      <c r="BG1101" s="477">
        <v>1802975.6310892676</v>
      </c>
      <c r="BH1101" s="458">
        <v>6.8855057241536954E-2</v>
      </c>
      <c r="BI1101" s="477">
        <v>10799864.218536057</v>
      </c>
      <c r="BJ1101" s="458">
        <v>0.10905030626160128</v>
      </c>
      <c r="BK1101" s="477">
        <v>97263004.463500515</v>
      </c>
      <c r="BL1101" s="458">
        <v>0.24458700979584069</v>
      </c>
      <c r="BM1101" s="468">
        <v>10.516741197553904</v>
      </c>
    </row>
    <row r="1102" spans="12:65" x14ac:dyDescent="0.3">
      <c r="L1102" s="427">
        <v>9467785.7852999996</v>
      </c>
      <c r="BE1102" s="477">
        <v>3720846.8388493652</v>
      </c>
      <c r="BF1102" s="458">
        <v>5.4789780783667696E-2</v>
      </c>
      <c r="BG1102" s="477">
        <v>12458833.480886146</v>
      </c>
      <c r="BH1102" s="458">
        <v>8.2618414823409925E-2</v>
      </c>
      <c r="BI1102" s="477">
        <v>20080633.796348743</v>
      </c>
      <c r="BJ1102" s="458">
        <v>9.6380471672243395E-2</v>
      </c>
      <c r="BK1102" s="477">
        <v>104420765.67272851</v>
      </c>
      <c r="BL1102" s="458">
        <v>0.2805905014371215</v>
      </c>
      <c r="BM1102" s="468">
        <v>9.1659359418711457</v>
      </c>
    </row>
    <row r="1103" spans="12:65" x14ac:dyDescent="0.3">
      <c r="L1103" s="427">
        <v>4848394.1169999996</v>
      </c>
      <c r="BE1103" s="477">
        <v>8204855.2193630002</v>
      </c>
      <c r="BF1103" s="458">
        <v>3.9339764971305202E-2</v>
      </c>
      <c r="BG1103" s="477">
        <v>6984530.639228859</v>
      </c>
      <c r="BH1103" s="458">
        <v>5.751104889575287E-2</v>
      </c>
      <c r="BI1103" s="477">
        <v>10534168.088319173</v>
      </c>
      <c r="BJ1103" s="458">
        <v>0.12581325479791694</v>
      </c>
      <c r="BK1103" s="477">
        <v>79888249.216055691</v>
      </c>
      <c r="BL1103" s="458">
        <v>0.28064452654914018</v>
      </c>
      <c r="BM1103" s="468">
        <v>13.155383941434211</v>
      </c>
    </row>
    <row r="1104" spans="12:65" x14ac:dyDescent="0.3">
      <c r="L1104" s="427">
        <v>15910219.5295</v>
      </c>
      <c r="BE1104" s="477">
        <v>4894896.5046564033</v>
      </c>
      <c r="BF1104" s="458">
        <v>4.6262550612708564E-2</v>
      </c>
      <c r="BG1104" s="477">
        <v>6342172.9182057753</v>
      </c>
      <c r="BH1104" s="458">
        <v>7.07130387811159E-2</v>
      </c>
      <c r="BI1104" s="477">
        <v>11967483.474419853</v>
      </c>
      <c r="BJ1104" s="458">
        <v>8.2528564450734088E-2</v>
      </c>
      <c r="BK1104" s="477">
        <v>94938591.787407756</v>
      </c>
      <c r="BL1104" s="458">
        <v>0.27057443465706066</v>
      </c>
      <c r="BM1104" s="468">
        <v>5.6244535385393171</v>
      </c>
    </row>
    <row r="1105" spans="12:65" x14ac:dyDescent="0.3">
      <c r="L1105" s="427">
        <v>10633131.8331</v>
      </c>
      <c r="BE1105" s="477">
        <v>7726463.8073014366</v>
      </c>
      <c r="BF1105" s="458">
        <v>4.1691650157383631E-2</v>
      </c>
      <c r="BG1105" s="477">
        <v>2375328.3836982423</v>
      </c>
      <c r="BH1105" s="458">
        <v>4.7356717963468187E-2</v>
      </c>
      <c r="BI1105" s="477">
        <v>17863338.020967908</v>
      </c>
      <c r="BJ1105" s="458">
        <v>0.11850882526331508</v>
      </c>
      <c r="BK1105" s="477">
        <v>97845869.133578137</v>
      </c>
      <c r="BL1105" s="458">
        <v>0.29413852522490469</v>
      </c>
      <c r="BM1105" s="468">
        <v>13.029534850228185</v>
      </c>
    </row>
    <row r="1106" spans="12:65" x14ac:dyDescent="0.3">
      <c r="L1106" s="427">
        <v>-467423.78460000001</v>
      </c>
      <c r="BE1106" s="477">
        <v>3194135.9511808427</v>
      </c>
      <c r="BF1106" s="458">
        <v>4.6210604603575955E-2</v>
      </c>
      <c r="BG1106" s="477">
        <v>9448066.5648595132</v>
      </c>
      <c r="BH1106" s="458">
        <v>4.3351480778102358E-2</v>
      </c>
      <c r="BI1106" s="477">
        <v>16066967.741421634</v>
      </c>
      <c r="BJ1106" s="458">
        <v>0.11081884268370468</v>
      </c>
      <c r="BK1106" s="477">
        <v>89900149.100382015</v>
      </c>
      <c r="BL1106" s="458">
        <v>0.25470737644894226</v>
      </c>
      <c r="BM1106" s="468">
        <v>9.540351370766647</v>
      </c>
    </row>
    <row r="1107" spans="12:65" x14ac:dyDescent="0.3">
      <c r="L1107" s="427">
        <v>-8124548.6671000002</v>
      </c>
      <c r="BE1107" s="477">
        <v>9082732.2376748845</v>
      </c>
      <c r="BF1107" s="458">
        <v>2.6144562679530026E-2</v>
      </c>
      <c r="BG1107" s="477">
        <v>11972188.368457332</v>
      </c>
      <c r="BH1107" s="458">
        <v>7.0478535568658796E-2</v>
      </c>
      <c r="BI1107" s="477">
        <v>11105278.430681234</v>
      </c>
      <c r="BJ1107" s="458">
        <v>8.9506744829104701E-2</v>
      </c>
      <c r="BK1107" s="477">
        <v>95591201.232790112</v>
      </c>
      <c r="BL1107" s="458">
        <v>0.27466365276064786</v>
      </c>
      <c r="BM1107" s="468">
        <v>5.7949539152300087</v>
      </c>
    </row>
    <row r="1108" spans="12:65" x14ac:dyDescent="0.3">
      <c r="L1108" s="427">
        <v>1537225.0834999999</v>
      </c>
      <c r="BE1108" s="477">
        <v>5404776.6445710743</v>
      </c>
      <c r="BF1108" s="458">
        <v>5.537649496703323E-2</v>
      </c>
      <c r="BG1108" s="477">
        <v>12241140.493349943</v>
      </c>
      <c r="BH1108" s="458">
        <v>6.656279565378842E-2</v>
      </c>
      <c r="BI1108" s="477">
        <v>24062153.805879459</v>
      </c>
      <c r="BJ1108" s="458">
        <v>0.11911091605829593</v>
      </c>
      <c r="BK1108" s="477">
        <v>90920002.900160968</v>
      </c>
      <c r="BL1108" s="458">
        <v>0.28746556770422771</v>
      </c>
      <c r="BM1108" s="468">
        <v>20.478161094073709</v>
      </c>
    </row>
    <row r="1109" spans="12:65" x14ac:dyDescent="0.3">
      <c r="L1109" s="427">
        <v>20942112.942699999</v>
      </c>
      <c r="BE1109" s="477">
        <v>8269360.947974667</v>
      </c>
      <c r="BF1109" s="458">
        <v>3.1416448777922712E-2</v>
      </c>
      <c r="BG1109" s="477">
        <v>10692650.660393594</v>
      </c>
      <c r="BH1109" s="458">
        <v>6.9644099449656105E-2</v>
      </c>
      <c r="BI1109" s="477">
        <v>7758258.8731964724</v>
      </c>
      <c r="BJ1109" s="458">
        <v>0.12971456076066779</v>
      </c>
      <c r="BK1109" s="477">
        <v>97077840.161984533</v>
      </c>
      <c r="BL1109" s="458">
        <v>0.27612994009666991</v>
      </c>
      <c r="BM1109" s="468">
        <v>10.583137057565455</v>
      </c>
    </row>
    <row r="1110" spans="12:65" x14ac:dyDescent="0.3">
      <c r="L1110" s="427">
        <v>12431564.0732</v>
      </c>
      <c r="BE1110" s="477">
        <v>6073042.5413419921</v>
      </c>
      <c r="BF1110" s="458">
        <v>3.2867016164453311E-2</v>
      </c>
      <c r="BG1110" s="477">
        <v>10229221.037398752</v>
      </c>
      <c r="BH1110" s="458">
        <v>5.4714460171345847E-2</v>
      </c>
      <c r="BI1110" s="477">
        <v>16577098.132284209</v>
      </c>
      <c r="BJ1110" s="458">
        <v>0.14091204730511464</v>
      </c>
      <c r="BK1110" s="477">
        <v>89876511.669112504</v>
      </c>
      <c r="BL1110" s="458">
        <v>0.26894583938645389</v>
      </c>
      <c r="BM1110" s="468">
        <v>8.2213196503438564</v>
      </c>
    </row>
    <row r="1111" spans="12:65" x14ac:dyDescent="0.3">
      <c r="L1111" s="427">
        <v>21528784.178300001</v>
      </c>
      <c r="BE1111" s="477">
        <v>3039714.8156259274</v>
      </c>
      <c r="BF1111" s="458">
        <v>4.2973425951513544E-2</v>
      </c>
      <c r="BG1111" s="477">
        <v>12460277.373321619</v>
      </c>
      <c r="BH1111" s="458">
        <v>0.10395767720997973</v>
      </c>
      <c r="BI1111" s="477">
        <v>7587533.1574927261</v>
      </c>
      <c r="BJ1111" s="458">
        <v>9.6174075939643E-2</v>
      </c>
      <c r="BK1111" s="477">
        <v>79308132.180462942</v>
      </c>
      <c r="BL1111" s="458">
        <v>0.28206205722603306</v>
      </c>
      <c r="BM1111" s="468">
        <v>12.389534807595533</v>
      </c>
    </row>
    <row r="1112" spans="12:65" x14ac:dyDescent="0.3">
      <c r="L1112" s="427">
        <v>-1030098.6318</v>
      </c>
      <c r="BE1112" s="477">
        <v>8039539.3283335501</v>
      </c>
      <c r="BF1112" s="458">
        <v>1.67182595081381E-2</v>
      </c>
      <c r="BG1112" s="477">
        <v>14529249.385365821</v>
      </c>
      <c r="BH1112" s="458">
        <v>8.158482903100861E-2</v>
      </c>
      <c r="BI1112" s="477">
        <v>12512165.384085923</v>
      </c>
      <c r="BJ1112" s="458">
        <v>0.11515546556867973</v>
      </c>
      <c r="BK1112" s="477">
        <v>87724352.175082117</v>
      </c>
      <c r="BL1112" s="458">
        <v>0.27683120678254158</v>
      </c>
      <c r="BM1112" s="468">
        <v>10.859277979877074</v>
      </c>
    </row>
    <row r="1113" spans="12:65" x14ac:dyDescent="0.3">
      <c r="L1113" s="427">
        <v>2303492.9216999998</v>
      </c>
      <c r="BE1113" s="477">
        <v>4798167.1129067745</v>
      </c>
      <c r="BF1113" s="458">
        <v>3.3981349594393473E-2</v>
      </c>
      <c r="BG1113" s="477">
        <v>5910730.3498359993</v>
      </c>
      <c r="BH1113" s="458">
        <v>8.42960531750645E-2</v>
      </c>
      <c r="BI1113" s="477">
        <v>17265494.708450813</v>
      </c>
      <c r="BJ1113" s="458">
        <v>0.10269019966124082</v>
      </c>
      <c r="BK1113" s="477">
        <v>98514469.81382449</v>
      </c>
      <c r="BL1113" s="458">
        <v>0.2726099513340734</v>
      </c>
      <c r="BM1113" s="468">
        <v>9.2762138852439939</v>
      </c>
    </row>
    <row r="1114" spans="12:65" x14ac:dyDescent="0.3">
      <c r="L1114" s="427">
        <v>16004483.9092</v>
      </c>
      <c r="BE1114" s="477">
        <v>4322643.0893132407</v>
      </c>
      <c r="BF1114" s="458">
        <v>6.2224335231749084E-2</v>
      </c>
      <c r="BG1114" s="477">
        <v>4321662.5448696753</v>
      </c>
      <c r="BH1114" s="458">
        <v>6.8321961984756818E-2</v>
      </c>
      <c r="BI1114" s="477">
        <v>15472307.347395966</v>
      </c>
      <c r="BJ1114" s="458">
        <v>0.11167765827963838</v>
      </c>
      <c r="BK1114" s="477">
        <v>80873598.551604182</v>
      </c>
      <c r="BL1114" s="458">
        <v>0.25116765253777773</v>
      </c>
      <c r="BM1114" s="468">
        <v>3.8553944306264718</v>
      </c>
    </row>
    <row r="1115" spans="12:65" x14ac:dyDescent="0.3">
      <c r="L1115" s="427">
        <v>15195912.126800001</v>
      </c>
      <c r="BE1115" s="477">
        <v>4279331.1603316125</v>
      </c>
      <c r="BF1115" s="458">
        <v>4.052561889590045E-2</v>
      </c>
      <c r="BG1115" s="477">
        <v>13305435.935534801</v>
      </c>
      <c r="BH1115" s="458">
        <v>5.1191057635200599E-2</v>
      </c>
      <c r="BI1115" s="477">
        <v>11960871.044647796</v>
      </c>
      <c r="BJ1115" s="458">
        <v>0.11746122978888662</v>
      </c>
      <c r="BK1115" s="477">
        <v>82929349.972780928</v>
      </c>
      <c r="BL1115" s="458">
        <v>0.29353747141998299</v>
      </c>
      <c r="BM1115" s="468">
        <v>12.279550335184414</v>
      </c>
    </row>
    <row r="1116" spans="12:65" x14ac:dyDescent="0.3">
      <c r="L1116" s="427">
        <v>14124980.2664</v>
      </c>
      <c r="BE1116" s="477">
        <v>6611358.2129127486</v>
      </c>
      <c r="BF1116" s="458">
        <v>2.1866511947727929E-2</v>
      </c>
      <c r="BG1116" s="477">
        <v>6136112.9471998578</v>
      </c>
      <c r="BH1116" s="458">
        <v>5.80502012262607E-2</v>
      </c>
      <c r="BI1116" s="477">
        <v>21364118.829676978</v>
      </c>
      <c r="BJ1116" s="458">
        <v>0.1130412184419689</v>
      </c>
      <c r="BK1116" s="477">
        <v>93264876.392710835</v>
      </c>
      <c r="BL1116" s="458">
        <v>0.28273364331179129</v>
      </c>
      <c r="BM1116" s="468">
        <v>8.3280293062550825</v>
      </c>
    </row>
    <row r="1117" spans="12:65" x14ac:dyDescent="0.3">
      <c r="L1117" s="427">
        <v>12205324.0395</v>
      </c>
      <c r="BE1117" s="477">
        <v>1203979.9806968251</v>
      </c>
      <c r="BF1117" s="458">
        <v>3.2777992399475098E-2</v>
      </c>
      <c r="BG1117" s="477">
        <v>8583671.713075947</v>
      </c>
      <c r="BH1117" s="458">
        <v>6.1172795914297584E-2</v>
      </c>
      <c r="BI1117" s="477">
        <v>22471594.469722461</v>
      </c>
      <c r="BJ1117" s="458">
        <v>0.14478522196975918</v>
      </c>
      <c r="BK1117" s="477">
        <v>91683882.30205819</v>
      </c>
      <c r="BL1117" s="458">
        <v>0.26675946961975461</v>
      </c>
      <c r="BM1117" s="468">
        <v>17.395551021030418</v>
      </c>
    </row>
    <row r="1118" spans="12:65" x14ac:dyDescent="0.3">
      <c r="L1118" s="427">
        <v>-5506199.5182999996</v>
      </c>
      <c r="BE1118" s="477">
        <v>2913731.8507576101</v>
      </c>
      <c r="BF1118" s="458">
        <v>3.3993505187617234E-2</v>
      </c>
      <c r="BG1118" s="477">
        <v>5780591.7392581031</v>
      </c>
      <c r="BH1118" s="458">
        <v>8.130555308024956E-2</v>
      </c>
      <c r="BI1118" s="477">
        <v>10724397.988938672</v>
      </c>
      <c r="BJ1118" s="458">
        <v>9.583619503622165E-2</v>
      </c>
      <c r="BK1118" s="477">
        <v>84107358.742448747</v>
      </c>
      <c r="BL1118" s="458">
        <v>0.27176398977250171</v>
      </c>
      <c r="BM1118" s="468">
        <v>10.982947690516852</v>
      </c>
    </row>
    <row r="1119" spans="12:65" x14ac:dyDescent="0.3">
      <c r="L1119" s="427">
        <v>10802146.1577</v>
      </c>
      <c r="BE1119" s="477">
        <v>5971445.2315494465</v>
      </c>
      <c r="BF1119" s="458">
        <v>1.636232109904201E-2</v>
      </c>
      <c r="BG1119" s="477">
        <v>10237814.611509584</v>
      </c>
      <c r="BH1119" s="458">
        <v>7.5896036416298607E-2</v>
      </c>
      <c r="BI1119" s="477">
        <v>11653914.403737266</v>
      </c>
      <c r="BJ1119" s="458">
        <v>9.2585972725480303E-2</v>
      </c>
      <c r="BK1119" s="477">
        <v>91371491.323679581</v>
      </c>
      <c r="BL1119" s="458">
        <v>0.29138528635746264</v>
      </c>
      <c r="BM1119" s="468">
        <v>3.7093603283206749</v>
      </c>
    </row>
    <row r="1120" spans="12:65" x14ac:dyDescent="0.3">
      <c r="L1120" s="427">
        <v>225080.84909999999</v>
      </c>
      <c r="BE1120" s="477">
        <v>463959.92164655734</v>
      </c>
      <c r="BF1120" s="458">
        <v>3.7328839685480286E-2</v>
      </c>
      <c r="BG1120" s="477">
        <v>11203930.045768511</v>
      </c>
      <c r="BH1120" s="458">
        <v>6.7226163274222372E-2</v>
      </c>
      <c r="BI1120" s="477">
        <v>20351538.66558817</v>
      </c>
      <c r="BJ1120" s="458">
        <v>0.11651634304772052</v>
      </c>
      <c r="BK1120" s="477">
        <v>89748814.766342983</v>
      </c>
      <c r="BL1120" s="458">
        <v>0.25759576080862256</v>
      </c>
      <c r="BM1120" s="468">
        <v>5.9147507989043344</v>
      </c>
    </row>
    <row r="1121" spans="12:65" x14ac:dyDescent="0.3">
      <c r="L1121" s="427">
        <v>15752305.5066</v>
      </c>
      <c r="BE1121" s="477">
        <v>6157229.0684722895</v>
      </c>
      <c r="BF1121" s="458">
        <v>2.7390034884462455E-2</v>
      </c>
      <c r="BG1121" s="477">
        <v>7651665.3403914785</v>
      </c>
      <c r="BH1121" s="458">
        <v>6.805049469443758E-2</v>
      </c>
      <c r="BI1121" s="477">
        <v>8187603.6067378698</v>
      </c>
      <c r="BJ1121" s="458">
        <v>0.12017268818833471</v>
      </c>
      <c r="BK1121" s="477">
        <v>100984882.23449056</v>
      </c>
      <c r="BL1121" s="458">
        <v>0.26990404434223225</v>
      </c>
      <c r="BM1121" s="468">
        <v>6.9175233361755257</v>
      </c>
    </row>
    <row r="1122" spans="12:65" x14ac:dyDescent="0.3">
      <c r="L1122" s="427">
        <v>14576675.741900001</v>
      </c>
      <c r="BE1122" s="477">
        <v>7535557.8194763847</v>
      </c>
      <c r="BF1122" s="458">
        <v>3.2800352230002439E-2</v>
      </c>
      <c r="BG1122" s="477">
        <v>11231219.145714954</v>
      </c>
      <c r="BH1122" s="458">
        <v>3.7968527849848499E-2</v>
      </c>
      <c r="BI1122" s="477">
        <v>16365137.658668987</v>
      </c>
      <c r="BJ1122" s="458">
        <v>0.10493561691815478</v>
      </c>
      <c r="BK1122" s="477">
        <v>96856702.967414349</v>
      </c>
      <c r="BL1122" s="458">
        <v>0.30729375322231212</v>
      </c>
      <c r="BM1122" s="468">
        <v>-1.8704830722489252</v>
      </c>
    </row>
    <row r="1123" spans="12:65" x14ac:dyDescent="0.3">
      <c r="L1123" s="427">
        <v>16087399.1982</v>
      </c>
      <c r="BE1123" s="477">
        <v>3655678.0227525802</v>
      </c>
      <c r="BF1123" s="458">
        <v>3.7707927975018096E-2</v>
      </c>
      <c r="BG1123" s="477">
        <v>8070965.2144337278</v>
      </c>
      <c r="BH1123" s="458">
        <v>6.5237509774318747E-2</v>
      </c>
      <c r="BI1123" s="477">
        <v>15797108.836875474</v>
      </c>
      <c r="BJ1123" s="458">
        <v>0.13955035602932631</v>
      </c>
      <c r="BK1123" s="477">
        <v>78701068.597370967</v>
      </c>
      <c r="BL1123" s="458">
        <v>0.26130330831083404</v>
      </c>
      <c r="BM1123" s="468">
        <v>7.8738090856784746</v>
      </c>
    </row>
    <row r="1124" spans="12:65" x14ac:dyDescent="0.3">
      <c r="L1124" s="427">
        <v>23390333.905099999</v>
      </c>
      <c r="BE1124" s="477">
        <v>9391139.0033702292</v>
      </c>
      <c r="BF1124" s="458">
        <v>3.4114853639240383E-2</v>
      </c>
      <c r="BG1124" s="477">
        <v>7833839.9074738892</v>
      </c>
      <c r="BH1124" s="458">
        <v>4.581164488730205E-2</v>
      </c>
      <c r="BI1124" s="477">
        <v>16483009.983688604</v>
      </c>
      <c r="BJ1124" s="458">
        <v>0.12034352116611813</v>
      </c>
      <c r="BK1124" s="477">
        <v>91690737.329521537</v>
      </c>
      <c r="BL1124" s="458">
        <v>0.26111659581610414</v>
      </c>
      <c r="BM1124" s="468">
        <v>5.5987626842490812</v>
      </c>
    </row>
    <row r="1125" spans="12:65" x14ac:dyDescent="0.3">
      <c r="L1125" s="427">
        <v>-17118105.833099999</v>
      </c>
      <c r="BE1125" s="477">
        <v>4417973.4314588113</v>
      </c>
      <c r="BF1125" s="458">
        <v>2.5123202278231949E-2</v>
      </c>
      <c r="BG1125" s="477">
        <v>7491103.2703869203</v>
      </c>
      <c r="BH1125" s="458">
        <v>6.992307953453758E-2</v>
      </c>
      <c r="BI1125" s="477">
        <v>18413279.628262997</v>
      </c>
      <c r="BJ1125" s="458">
        <v>0.12711656837195928</v>
      </c>
      <c r="BK1125" s="477">
        <v>91833022.762933716</v>
      </c>
      <c r="BL1125" s="458">
        <v>0.25753635759834625</v>
      </c>
      <c r="BM1125" s="468">
        <v>6.9186839338218729</v>
      </c>
    </row>
    <row r="1126" spans="12:65" x14ac:dyDescent="0.3">
      <c r="L1126" s="427">
        <v>8552367.4530999996</v>
      </c>
      <c r="BE1126" s="477">
        <v>2167298.7906187428</v>
      </c>
      <c r="BF1126" s="458">
        <v>3.2068421428905758E-2</v>
      </c>
      <c r="BG1126" s="477">
        <v>10120294.956354039</v>
      </c>
      <c r="BH1126" s="458">
        <v>6.6853777540393899E-2</v>
      </c>
      <c r="BI1126" s="477">
        <v>18186848.095615577</v>
      </c>
      <c r="BJ1126" s="458">
        <v>0.10498040283803345</v>
      </c>
      <c r="BK1126" s="477">
        <v>93198905.487001836</v>
      </c>
      <c r="BL1126" s="458">
        <v>0.2579402906971684</v>
      </c>
      <c r="BM1126" s="468">
        <v>12.231175710509927</v>
      </c>
    </row>
    <row r="1127" spans="12:65" x14ac:dyDescent="0.3">
      <c r="L1127" s="427">
        <v>1089900.4157</v>
      </c>
      <c r="BE1127" s="477">
        <v>5186305.8494139602</v>
      </c>
      <c r="BF1127" s="458">
        <v>3.8937691461470303E-2</v>
      </c>
      <c r="BG1127" s="477">
        <v>10137005.041166067</v>
      </c>
      <c r="BH1127" s="458">
        <v>4.475161345093448E-2</v>
      </c>
      <c r="BI1127" s="477">
        <v>17381888.835213073</v>
      </c>
      <c r="BJ1127" s="458">
        <v>0.11062800908170245</v>
      </c>
      <c r="BK1127" s="477">
        <v>89680029.766862988</v>
      </c>
      <c r="BL1127" s="458">
        <v>0.28020113764368415</v>
      </c>
      <c r="BM1127" s="468">
        <v>11.811869996442322</v>
      </c>
    </row>
    <row r="1128" spans="12:65" x14ac:dyDescent="0.3">
      <c r="L1128" s="427">
        <v>-7527389.7439999999</v>
      </c>
      <c r="BE1128" s="477">
        <v>6068530.0504865451</v>
      </c>
      <c r="BF1128" s="458">
        <v>3.3939048605972522E-2</v>
      </c>
      <c r="BG1128" s="477">
        <v>10549354.530374287</v>
      </c>
      <c r="BH1128" s="458">
        <v>6.3699915043617716E-2</v>
      </c>
      <c r="BI1128" s="477">
        <v>12845991.638330685</v>
      </c>
      <c r="BJ1128" s="458">
        <v>9.6354438023472433E-2</v>
      </c>
      <c r="BK1128" s="477">
        <v>79979911.056044191</v>
      </c>
      <c r="BL1128" s="458">
        <v>0.25759949652141478</v>
      </c>
      <c r="BM1128" s="468">
        <v>6.79367922820368</v>
      </c>
    </row>
    <row r="1129" spans="12:65" x14ac:dyDescent="0.3">
      <c r="L1129" s="427">
        <v>3143102.9503000001</v>
      </c>
      <c r="BE1129" s="477">
        <v>4116504.8174850899</v>
      </c>
      <c r="BF1129" s="458">
        <v>6.6055947024463268E-2</v>
      </c>
      <c r="BG1129" s="477">
        <v>11948644.248569427</v>
      </c>
      <c r="BH1129" s="458">
        <v>6.8317971007491263E-2</v>
      </c>
      <c r="BI1129" s="477">
        <v>23789079.750470303</v>
      </c>
      <c r="BJ1129" s="458">
        <v>0.13905529149597218</v>
      </c>
      <c r="BK1129" s="477">
        <v>85123930.284550622</v>
      </c>
      <c r="BL1129" s="458">
        <v>0.25762778577676482</v>
      </c>
      <c r="BM1129" s="468">
        <v>7.2674002541258558</v>
      </c>
    </row>
    <row r="1130" spans="12:65" x14ac:dyDescent="0.3">
      <c r="L1130" s="427">
        <v>10087956.626599999</v>
      </c>
      <c r="BE1130" s="477">
        <v>3769718.4098109924</v>
      </c>
      <c r="BF1130" s="458">
        <v>5.8019028759460634E-2</v>
      </c>
      <c r="BG1130" s="477">
        <v>4057998.7548875203</v>
      </c>
      <c r="BH1130" s="458">
        <v>8.0294623614296956E-2</v>
      </c>
      <c r="BI1130" s="477">
        <v>23591477.441821653</v>
      </c>
      <c r="BJ1130" s="458">
        <v>0.11520025071140028</v>
      </c>
      <c r="BK1130" s="477">
        <v>94824413.356690228</v>
      </c>
      <c r="BL1130" s="458">
        <v>0.27925931970546669</v>
      </c>
      <c r="BM1130" s="468">
        <v>7.5149139591910208</v>
      </c>
    </row>
    <row r="1131" spans="12:65" x14ac:dyDescent="0.3">
      <c r="L1131" s="427">
        <v>640026.78810000001</v>
      </c>
      <c r="BE1131" s="477">
        <v>6089355.3418886168</v>
      </c>
      <c r="BF1131" s="458">
        <v>9.3160172789580775E-2</v>
      </c>
      <c r="BG1131" s="477">
        <v>6307455.6136586908</v>
      </c>
      <c r="BH1131" s="458">
        <v>5.6382152338641633E-2</v>
      </c>
      <c r="BI1131" s="477">
        <v>15308331.682387194</v>
      </c>
      <c r="BJ1131" s="458">
        <v>0.11656449451963824</v>
      </c>
      <c r="BK1131" s="477">
        <v>107655460.09603167</v>
      </c>
      <c r="BL1131" s="458">
        <v>0.2628007210739236</v>
      </c>
      <c r="BM1131" s="468">
        <v>3.9070232951622001</v>
      </c>
    </row>
    <row r="1132" spans="12:65" x14ac:dyDescent="0.3">
      <c r="L1132" s="427">
        <v>6979000.6432999996</v>
      </c>
      <c r="BE1132" s="477">
        <v>1819604.7582098532</v>
      </c>
      <c r="BF1132" s="458">
        <v>3.2257178144235565E-2</v>
      </c>
      <c r="BG1132" s="477">
        <v>15194263.563953398</v>
      </c>
      <c r="BH1132" s="458">
        <v>7.0704905489033187E-2</v>
      </c>
      <c r="BI1132" s="477">
        <v>14315987.807198478</v>
      </c>
      <c r="BJ1132" s="458">
        <v>0.15217242943587017</v>
      </c>
      <c r="BK1132" s="477">
        <v>85029416.75961633</v>
      </c>
      <c r="BL1132" s="458">
        <v>0.27491313214282198</v>
      </c>
      <c r="BM1132" s="468">
        <v>2.4969371402135794</v>
      </c>
    </row>
    <row r="1133" spans="12:65" x14ac:dyDescent="0.3">
      <c r="L1133" s="427">
        <v>-898262.27859999996</v>
      </c>
      <c r="BE1133" s="477">
        <v>2213295.7597765746</v>
      </c>
      <c r="BF1133" s="458">
        <v>4.1322217919089521E-2</v>
      </c>
      <c r="BG1133" s="477">
        <v>9212134.526820641</v>
      </c>
      <c r="BH1133" s="458">
        <v>5.1684053200341529E-2</v>
      </c>
      <c r="BI1133" s="477">
        <v>15309884.361419432</v>
      </c>
      <c r="BJ1133" s="458">
        <v>0.11270153267245075</v>
      </c>
      <c r="BK1133" s="477">
        <v>81729922.884700298</v>
      </c>
      <c r="BL1133" s="458">
        <v>0.25061728442097775</v>
      </c>
      <c r="BM1133" s="468">
        <v>0.13962926223754302</v>
      </c>
    </row>
    <row r="1134" spans="12:65" x14ac:dyDescent="0.3">
      <c r="L1134" s="427">
        <v>10212203.581900001</v>
      </c>
      <c r="BE1134" s="477">
        <v>4616573.7794163423</v>
      </c>
      <c r="BF1134" s="458">
        <v>5.6684334036996464E-2</v>
      </c>
      <c r="BG1134" s="477">
        <v>15364471.007006902</v>
      </c>
      <c r="BH1134" s="458">
        <v>7.987235805924997E-2</v>
      </c>
      <c r="BI1134" s="477">
        <v>18121800.283775337</v>
      </c>
      <c r="BJ1134" s="458">
        <v>0.11669752886690477</v>
      </c>
      <c r="BK1134" s="477">
        <v>78789789.060176924</v>
      </c>
      <c r="BL1134" s="458">
        <v>0.27486574799771568</v>
      </c>
      <c r="BM1134" s="468">
        <v>4.8580834598781166</v>
      </c>
    </row>
    <row r="1135" spans="12:65" x14ac:dyDescent="0.3">
      <c r="L1135" s="427">
        <v>3128320.8645000001</v>
      </c>
      <c r="BE1135" s="477">
        <v>7510207.5818170486</v>
      </c>
      <c r="BF1135" s="458">
        <v>3.0554683497816981E-2</v>
      </c>
      <c r="BG1135" s="477">
        <v>6799893.0481283115</v>
      </c>
      <c r="BH1135" s="458">
        <v>6.1074130206570487E-2</v>
      </c>
      <c r="BI1135" s="477">
        <v>19015662.965617456</v>
      </c>
      <c r="BJ1135" s="458">
        <v>0.10286716654522654</v>
      </c>
      <c r="BK1135" s="477">
        <v>98760751.438563108</v>
      </c>
      <c r="BL1135" s="458">
        <v>0.27233917986686174</v>
      </c>
      <c r="BM1135" s="468">
        <v>3.2205846287632696</v>
      </c>
    </row>
    <row r="1136" spans="12:65" x14ac:dyDescent="0.3">
      <c r="L1136" s="427">
        <v>4525722.9623999996</v>
      </c>
      <c r="BE1136" s="477">
        <v>1536166.006815519</v>
      </c>
      <c r="BF1136" s="458">
        <v>3.1915571305009438E-2</v>
      </c>
      <c r="BG1136" s="477">
        <v>7194903.9374903487</v>
      </c>
      <c r="BH1136" s="458">
        <v>6.3907744362022623E-2</v>
      </c>
      <c r="BI1136" s="477">
        <v>14209116.54950792</v>
      </c>
      <c r="BJ1136" s="458">
        <v>0.10284241609365319</v>
      </c>
      <c r="BK1136" s="477">
        <v>88440815.369585305</v>
      </c>
      <c r="BL1136" s="458">
        <v>0.26487139580534569</v>
      </c>
      <c r="BM1136" s="468">
        <v>14.367041016515635</v>
      </c>
    </row>
    <row r="1137" spans="12:65" x14ac:dyDescent="0.3">
      <c r="L1137" s="427">
        <v>4544037.8968000002</v>
      </c>
      <c r="BE1137" s="477">
        <v>7186986.4715510765</v>
      </c>
      <c r="BF1137" s="458">
        <v>3.5758288320825837E-2</v>
      </c>
      <c r="BG1137" s="477">
        <v>10335185.062301764</v>
      </c>
      <c r="BH1137" s="458">
        <v>9.6877976596150495E-2</v>
      </c>
      <c r="BI1137" s="477">
        <v>14806451.452822369</v>
      </c>
      <c r="BJ1137" s="458">
        <v>0.11579067084249095</v>
      </c>
      <c r="BK1137" s="477">
        <v>79840808.822915405</v>
      </c>
      <c r="BL1137" s="458">
        <v>0.2558560280749731</v>
      </c>
      <c r="BM1137" s="468">
        <v>7.2243267792120331</v>
      </c>
    </row>
    <row r="1138" spans="12:65" x14ac:dyDescent="0.3">
      <c r="L1138" s="427">
        <v>18342892.788899999</v>
      </c>
      <c r="BE1138" s="477">
        <v>7622082.490176741</v>
      </c>
      <c r="BF1138" s="458">
        <v>2.943761570102188E-2</v>
      </c>
      <c r="BG1138" s="477">
        <v>1575267.9540596574</v>
      </c>
      <c r="BH1138" s="458">
        <v>5.1761460967648887E-2</v>
      </c>
      <c r="BI1138" s="477">
        <v>16999686.281879935</v>
      </c>
      <c r="BJ1138" s="458">
        <v>9.3901510787063991E-2</v>
      </c>
      <c r="BK1138" s="477">
        <v>93248009.449644849</v>
      </c>
      <c r="BL1138" s="458">
        <v>0.28432112099446361</v>
      </c>
      <c r="BM1138" s="468">
        <v>2.3993419672115177</v>
      </c>
    </row>
    <row r="1139" spans="12:65" x14ac:dyDescent="0.3">
      <c r="L1139" s="427">
        <v>12363913.583799999</v>
      </c>
      <c r="BE1139" s="477">
        <v>2278984.9792177584</v>
      </c>
      <c r="BF1139" s="458">
        <v>3.8730676486505411E-2</v>
      </c>
      <c r="BG1139" s="477">
        <v>5908487.4225810887</v>
      </c>
      <c r="BH1139" s="458">
        <v>3.3305607870374621E-2</v>
      </c>
      <c r="BI1139" s="477">
        <v>25829238.193027295</v>
      </c>
      <c r="BJ1139" s="458">
        <v>0.11895129818730554</v>
      </c>
      <c r="BK1139" s="477">
        <v>96646722.518846571</v>
      </c>
      <c r="BL1139" s="458">
        <v>0.29592470015234995</v>
      </c>
      <c r="BM1139" s="468">
        <v>10.063949626092455</v>
      </c>
    </row>
    <row r="1140" spans="12:65" x14ac:dyDescent="0.3">
      <c r="L1140" s="427">
        <v>1338646.1004999999</v>
      </c>
      <c r="BE1140" s="477">
        <v>7110053.723160563</v>
      </c>
      <c r="BF1140" s="458">
        <v>3.6826096867250024E-2</v>
      </c>
      <c r="BG1140" s="477">
        <v>4672402.2298307931</v>
      </c>
      <c r="BH1140" s="458">
        <v>8.4127615310956694E-2</v>
      </c>
      <c r="BI1140" s="477">
        <v>17712538.944982022</v>
      </c>
      <c r="BJ1140" s="458">
        <v>0.11632952471382607</v>
      </c>
      <c r="BK1140" s="477">
        <v>82921540.333389029</v>
      </c>
      <c r="BL1140" s="458">
        <v>0.26214437199588403</v>
      </c>
      <c r="BM1140" s="468">
        <v>2.8641162561053717</v>
      </c>
    </row>
    <row r="1141" spans="12:65" x14ac:dyDescent="0.3">
      <c r="L1141" s="427">
        <v>25123140.877300002</v>
      </c>
      <c r="BE1141" s="477">
        <v>4005793.9908391312</v>
      </c>
      <c r="BF1141" s="458">
        <v>1.9439194240173263E-2</v>
      </c>
      <c r="BG1141" s="477">
        <v>9432321.2563515585</v>
      </c>
      <c r="BH1141" s="458">
        <v>4.8132177898774442E-2</v>
      </c>
      <c r="BI1141" s="477">
        <v>8699042.5319226068</v>
      </c>
      <c r="BJ1141" s="458">
        <v>0.10727404193132228</v>
      </c>
      <c r="BK1141" s="477">
        <v>97287021.727481648</v>
      </c>
      <c r="BL1141" s="458">
        <v>0.25834381396034956</v>
      </c>
      <c r="BM1141" s="468">
        <v>1.0372926398454902</v>
      </c>
    </row>
    <row r="1142" spans="12:65" x14ac:dyDescent="0.3">
      <c r="L1142" s="427">
        <v>23233426.051600002</v>
      </c>
      <c r="BE1142" s="477">
        <v>6139597.2668063678</v>
      </c>
      <c r="BF1142" s="458">
        <v>3.1469223901358978E-2</v>
      </c>
      <c r="BG1142" s="477">
        <v>10779915.147331594</v>
      </c>
      <c r="BH1142" s="458">
        <v>8.4495413115962092E-2</v>
      </c>
      <c r="BI1142" s="477">
        <v>3552694.5452180877</v>
      </c>
      <c r="BJ1142" s="458">
        <v>8.8076185515883587E-2</v>
      </c>
      <c r="BK1142" s="477">
        <v>105431531.6535024</v>
      </c>
      <c r="BL1142" s="458">
        <v>0.27830762270138343</v>
      </c>
      <c r="BM1142" s="468">
        <v>8.7029315256870419</v>
      </c>
    </row>
    <row r="1143" spans="12:65" x14ac:dyDescent="0.3">
      <c r="L1143" s="427">
        <v>2929639.9860999999</v>
      </c>
      <c r="BE1143" s="477">
        <v>6775659.5850932011</v>
      </c>
      <c r="BF1143" s="458">
        <v>4.8693032676788484E-2</v>
      </c>
      <c r="BG1143" s="477">
        <v>5951895.0966039142</v>
      </c>
      <c r="BH1143" s="458">
        <v>4.3368601278475305E-2</v>
      </c>
      <c r="BI1143" s="477">
        <v>16907207.476632427</v>
      </c>
      <c r="BJ1143" s="458">
        <v>9.9404835968924576E-2</v>
      </c>
      <c r="BK1143" s="477">
        <v>85908679.797428787</v>
      </c>
      <c r="BL1143" s="458">
        <v>0.28467893554902379</v>
      </c>
      <c r="BM1143" s="468">
        <v>9.9083742532308268</v>
      </c>
    </row>
    <row r="1144" spans="12:65" x14ac:dyDescent="0.3">
      <c r="L1144" s="427">
        <v>12057542.2258</v>
      </c>
      <c r="BE1144" s="477">
        <v>-394352.60649652453</v>
      </c>
      <c r="BF1144" s="458">
        <v>3.2181943193942963E-2</v>
      </c>
      <c r="BG1144" s="477">
        <v>10838292.289555866</v>
      </c>
      <c r="BH1144" s="458">
        <v>9.4289972405347866E-2</v>
      </c>
      <c r="BI1144" s="477">
        <v>9865514.3566918317</v>
      </c>
      <c r="BJ1144" s="458">
        <v>0.16860007026976342</v>
      </c>
      <c r="BK1144" s="477">
        <v>87500080.268046364</v>
      </c>
      <c r="BL1144" s="458">
        <v>0.2551911674557461</v>
      </c>
      <c r="BM1144" s="468">
        <v>8.8611852485451301</v>
      </c>
    </row>
    <row r="1145" spans="12:65" x14ac:dyDescent="0.3">
      <c r="L1145" s="427">
        <v>12975717.659700001</v>
      </c>
      <c r="BE1145" s="477">
        <v>4350476.6191786891</v>
      </c>
      <c r="BF1145" s="458">
        <v>4.4044832251225907E-2</v>
      </c>
      <c r="BG1145" s="477">
        <v>3904602.4492163584</v>
      </c>
      <c r="BH1145" s="458">
        <v>6.78076477478331E-2</v>
      </c>
      <c r="BI1145" s="477">
        <v>20892350.62617537</v>
      </c>
      <c r="BJ1145" s="458">
        <v>0.10687154504756835</v>
      </c>
      <c r="BK1145" s="477">
        <v>106409292.02002072</v>
      </c>
      <c r="BL1145" s="458">
        <v>0.27596639129929845</v>
      </c>
      <c r="BM1145" s="468">
        <v>5.9454039103414882</v>
      </c>
    </row>
    <row r="1146" spans="12:65" x14ac:dyDescent="0.3">
      <c r="L1146" s="427">
        <v>4011263.361</v>
      </c>
      <c r="BE1146" s="477">
        <v>215206.98433277215</v>
      </c>
      <c r="BF1146" s="458">
        <v>3.0683450041516958E-2</v>
      </c>
      <c r="BG1146" s="477">
        <v>11334785.717121527</v>
      </c>
      <c r="BH1146" s="458">
        <v>5.6296931770284164E-2</v>
      </c>
      <c r="BI1146" s="477">
        <v>17742004.309465997</v>
      </c>
      <c r="BJ1146" s="458">
        <v>0.11578968435297909</v>
      </c>
      <c r="BK1146" s="477">
        <v>91838277.810801193</v>
      </c>
      <c r="BL1146" s="458">
        <v>0.2588877587833307</v>
      </c>
      <c r="BM1146" s="468">
        <v>15.264053793016057</v>
      </c>
    </row>
    <row r="1147" spans="12:65" x14ac:dyDescent="0.3">
      <c r="L1147" s="427">
        <v>7516277.4621000001</v>
      </c>
      <c r="BE1147" s="477">
        <v>4434974.3406567927</v>
      </c>
      <c r="BF1147" s="458">
        <v>3.2760603045210557E-2</v>
      </c>
      <c r="BG1147" s="477">
        <v>5285566.5374203641</v>
      </c>
      <c r="BH1147" s="458">
        <v>7.1255937027332239E-2</v>
      </c>
      <c r="BI1147" s="477">
        <v>11482324.500616103</v>
      </c>
      <c r="BJ1147" s="458">
        <v>0.11267921426027971</v>
      </c>
      <c r="BK1147" s="477">
        <v>92035623.855665132</v>
      </c>
      <c r="BL1147" s="458">
        <v>0.28280722860210306</v>
      </c>
      <c r="BM1147" s="468">
        <v>11.632032327191322</v>
      </c>
    </row>
    <row r="1148" spans="12:65" x14ac:dyDescent="0.3">
      <c r="L1148" s="427">
        <v>3852469.9997</v>
      </c>
      <c r="BE1148" s="477">
        <v>3562861.3510131612</v>
      </c>
      <c r="BF1148" s="458">
        <v>2.4445800784076877E-2</v>
      </c>
      <c r="BG1148" s="477">
        <v>11410199.746550821</v>
      </c>
      <c r="BH1148" s="458">
        <v>4.6481190295826647E-2</v>
      </c>
      <c r="BI1148" s="477">
        <v>14096400.006330919</v>
      </c>
      <c r="BJ1148" s="458">
        <v>0.114079785347178</v>
      </c>
      <c r="BK1148" s="477">
        <v>76775167.277989268</v>
      </c>
      <c r="BL1148" s="458">
        <v>0.28839436570707178</v>
      </c>
      <c r="BM1148" s="468">
        <v>8.0553884300943448</v>
      </c>
    </row>
    <row r="1149" spans="12:65" x14ac:dyDescent="0.3">
      <c r="L1149" s="427">
        <v>7936669.3682000004</v>
      </c>
      <c r="BE1149" s="477">
        <v>8567717.4393470343</v>
      </c>
      <c r="BF1149" s="458">
        <v>3.2967563178609272E-2</v>
      </c>
      <c r="BG1149" s="477">
        <v>9767852.7711361665</v>
      </c>
      <c r="BH1149" s="458">
        <v>8.0896702248949071E-2</v>
      </c>
      <c r="BI1149" s="477">
        <v>17799986.873606604</v>
      </c>
      <c r="BJ1149" s="458">
        <v>9.7992964451357301E-2</v>
      </c>
      <c r="BK1149" s="477">
        <v>77221260.919882521</v>
      </c>
      <c r="BL1149" s="458">
        <v>0.27035354393791411</v>
      </c>
      <c r="BM1149" s="468">
        <v>10.541840491265257</v>
      </c>
    </row>
    <row r="1150" spans="12:65" x14ac:dyDescent="0.3">
      <c r="L1150" s="427">
        <v>14179040.9856</v>
      </c>
      <c r="BE1150" s="477">
        <v>2763185.2966134683</v>
      </c>
      <c r="BF1150" s="458">
        <v>3.6097609769892847E-2</v>
      </c>
      <c r="BG1150" s="477">
        <v>10579529.405671962</v>
      </c>
      <c r="BH1150" s="458">
        <v>6.827897761755608E-2</v>
      </c>
      <c r="BI1150" s="477">
        <v>18873589.535549834</v>
      </c>
      <c r="BJ1150" s="458">
        <v>0.10203559402085016</v>
      </c>
      <c r="BK1150" s="477">
        <v>87393249.646770552</v>
      </c>
      <c r="BL1150" s="458">
        <v>0.31140099511894692</v>
      </c>
      <c r="BM1150" s="468">
        <v>8.8185534807516355</v>
      </c>
    </row>
    <row r="1151" spans="12:65" x14ac:dyDescent="0.3">
      <c r="L1151" s="427">
        <v>-6351684.4863999998</v>
      </c>
      <c r="BE1151" s="477">
        <v>778532.8650959899</v>
      </c>
      <c r="BF1151" s="458">
        <v>2.7181324065066903E-2</v>
      </c>
      <c r="BG1151" s="477">
        <v>9168639.8394703176</v>
      </c>
      <c r="BH1151" s="458">
        <v>5.5468564285876987E-2</v>
      </c>
      <c r="BI1151" s="477">
        <v>10410198.30086319</v>
      </c>
      <c r="BJ1151" s="458">
        <v>0.10048037534145049</v>
      </c>
      <c r="BK1151" s="477">
        <v>84264108.526108503</v>
      </c>
      <c r="BL1151" s="458">
        <v>0.25075849808381756</v>
      </c>
      <c r="BM1151" s="468">
        <v>10.497670200329214</v>
      </c>
    </row>
    <row r="1152" spans="12:65" x14ac:dyDescent="0.3">
      <c r="L1152" s="427">
        <v>23464966.5568</v>
      </c>
      <c r="BE1152" s="477">
        <v>1248222.6184178742</v>
      </c>
      <c r="BF1152" s="458">
        <v>3.3465118755141354E-2</v>
      </c>
      <c r="BG1152" s="477">
        <v>4004462.920560936</v>
      </c>
      <c r="BH1152" s="458">
        <v>5.6261567212070762E-2</v>
      </c>
      <c r="BI1152" s="477">
        <v>17202906.41432317</v>
      </c>
      <c r="BJ1152" s="458">
        <v>0.11738785169469557</v>
      </c>
      <c r="BK1152" s="477">
        <v>94507712.222538978</v>
      </c>
      <c r="BL1152" s="458">
        <v>0.25389226146807098</v>
      </c>
      <c r="BM1152" s="468">
        <v>13.311824881356344</v>
      </c>
    </row>
    <row r="1153" spans="12:65" x14ac:dyDescent="0.3">
      <c r="L1153" s="427">
        <v>8499592.9912999999</v>
      </c>
      <c r="BE1153" s="477">
        <v>4693882.3305033492</v>
      </c>
      <c r="BF1153" s="458">
        <v>2.0505645476590839E-2</v>
      </c>
      <c r="BG1153" s="477">
        <v>7472499.4419566058</v>
      </c>
      <c r="BH1153" s="458">
        <v>5.9123363302001186E-2</v>
      </c>
      <c r="BI1153" s="477">
        <v>17339240.347618811</v>
      </c>
      <c r="BJ1153" s="458">
        <v>0.10824058115389223</v>
      </c>
      <c r="BK1153" s="477">
        <v>90389539.577432141</v>
      </c>
      <c r="BL1153" s="458">
        <v>0.27356668107388682</v>
      </c>
      <c r="BM1153" s="468">
        <v>13.772631538120459</v>
      </c>
    </row>
    <row r="1154" spans="12:65" x14ac:dyDescent="0.3">
      <c r="L1154" s="427">
        <v>23608677.474800002</v>
      </c>
      <c r="BE1154" s="477">
        <v>4412821.8917602571</v>
      </c>
      <c r="BF1154" s="458">
        <v>6.062076396882965E-2</v>
      </c>
      <c r="BG1154" s="477">
        <v>8028676.608212647</v>
      </c>
      <c r="BH1154" s="458">
        <v>6.3019539984260353E-2</v>
      </c>
      <c r="BI1154" s="477">
        <v>8090979.2445936324</v>
      </c>
      <c r="BJ1154" s="458">
        <v>0.10475272011246028</v>
      </c>
      <c r="BK1154" s="477">
        <v>81677487.552958906</v>
      </c>
      <c r="BL1154" s="458">
        <v>0.27229430811108424</v>
      </c>
      <c r="BM1154" s="468">
        <v>10.979339298825696</v>
      </c>
    </row>
    <row r="1155" spans="12:65" x14ac:dyDescent="0.3">
      <c r="L1155" s="427">
        <v>20378528.175900001</v>
      </c>
      <c r="BE1155" s="477">
        <v>9978441.0810168628</v>
      </c>
      <c r="BF1155" s="458">
        <v>4.3540903629570638E-2</v>
      </c>
      <c r="BG1155" s="477">
        <v>3263200.7343265619</v>
      </c>
      <c r="BH1155" s="458">
        <v>7.4494592994499342E-2</v>
      </c>
      <c r="BI1155" s="477">
        <v>20835676.107359789</v>
      </c>
      <c r="BJ1155" s="458">
        <v>8.6544886456505044E-2</v>
      </c>
      <c r="BK1155" s="477">
        <v>90801684.859224126</v>
      </c>
      <c r="BL1155" s="458">
        <v>0.27536354025655685</v>
      </c>
      <c r="BM1155" s="468">
        <v>5.1709543596353438</v>
      </c>
    </row>
    <row r="1156" spans="12:65" x14ac:dyDescent="0.3">
      <c r="L1156" s="427">
        <v>2666825.9783999999</v>
      </c>
      <c r="BE1156" s="477">
        <v>8169081.9679811578</v>
      </c>
      <c r="BF1156" s="458">
        <v>3.6135980103150889E-2</v>
      </c>
      <c r="BG1156" s="477">
        <v>7231605.4543262776</v>
      </c>
      <c r="BH1156" s="458">
        <v>6.0718689378085999E-2</v>
      </c>
      <c r="BI1156" s="477">
        <v>10580246.457821777</v>
      </c>
      <c r="BJ1156" s="458">
        <v>8.3725096874158744E-2</v>
      </c>
      <c r="BK1156" s="477">
        <v>77933821.833255336</v>
      </c>
      <c r="BL1156" s="458">
        <v>0.2770880479296578</v>
      </c>
      <c r="BM1156" s="468">
        <v>4.6542717483871741</v>
      </c>
    </row>
    <row r="1157" spans="12:65" x14ac:dyDescent="0.3">
      <c r="L1157" s="427">
        <v>9432397.4470000006</v>
      </c>
      <c r="BE1157" s="477">
        <v>-806980.24391396204</v>
      </c>
      <c r="BF1157" s="458">
        <v>3.2842576869445139E-2</v>
      </c>
      <c r="BG1157" s="477">
        <v>5868263.5355642941</v>
      </c>
      <c r="BH1157" s="458">
        <v>7.5046103287941701E-2</v>
      </c>
      <c r="BI1157" s="477">
        <v>20417312.079326704</v>
      </c>
      <c r="BJ1157" s="458">
        <v>0.12998775556595543</v>
      </c>
      <c r="BK1157" s="477">
        <v>88350533.37455821</v>
      </c>
      <c r="BL1157" s="458">
        <v>0.28056629966960633</v>
      </c>
      <c r="BM1157" s="468">
        <v>5.8637256984323427</v>
      </c>
    </row>
    <row r="1158" spans="12:65" x14ac:dyDescent="0.3">
      <c r="L1158" s="427">
        <v>15489394.5559</v>
      </c>
      <c r="BE1158" s="477">
        <v>8452574.814253835</v>
      </c>
      <c r="BF1158" s="458">
        <v>2.891823308440955E-2</v>
      </c>
      <c r="BG1158" s="477">
        <v>8465818.8830224816</v>
      </c>
      <c r="BH1158" s="458">
        <v>7.6214284972703883E-2</v>
      </c>
      <c r="BI1158" s="477">
        <v>10974570.861991934</v>
      </c>
      <c r="BJ1158" s="458">
        <v>0.13430696627229333</v>
      </c>
      <c r="BK1158" s="477">
        <v>101718127.71341243</v>
      </c>
      <c r="BL1158" s="458">
        <v>0.27934927497447593</v>
      </c>
      <c r="BM1158" s="468">
        <v>7.9397265673409443</v>
      </c>
    </row>
    <row r="1159" spans="12:65" x14ac:dyDescent="0.3">
      <c r="L1159" s="427">
        <v>10724789.932800001</v>
      </c>
      <c r="BE1159" s="477">
        <v>6025177.1517270226</v>
      </c>
      <c r="BF1159" s="458">
        <v>6.1603724103792334E-2</v>
      </c>
      <c r="BG1159" s="477">
        <v>12109115.049680248</v>
      </c>
      <c r="BH1159" s="458">
        <v>8.2179138124560236E-2</v>
      </c>
      <c r="BI1159" s="477">
        <v>7300737.6043920908</v>
      </c>
      <c r="BJ1159" s="458">
        <v>0.10345012798236342</v>
      </c>
      <c r="BK1159" s="477">
        <v>94580421.960737959</v>
      </c>
      <c r="BL1159" s="458">
        <v>0.27428449278142564</v>
      </c>
      <c r="BM1159" s="468">
        <v>6.7513392517710882</v>
      </c>
    </row>
    <row r="1160" spans="12:65" x14ac:dyDescent="0.3">
      <c r="L1160" s="427">
        <v>18550713.486900002</v>
      </c>
      <c r="BE1160" s="477">
        <v>2437833.1811181456</v>
      </c>
      <c r="BF1160" s="458">
        <v>1.8507354397628628E-2</v>
      </c>
      <c r="BG1160" s="477">
        <v>12426901.35560517</v>
      </c>
      <c r="BH1160" s="458">
        <v>6.580170377250627E-2</v>
      </c>
      <c r="BI1160" s="477">
        <v>15719227.12273041</v>
      </c>
      <c r="BJ1160" s="458">
        <v>9.5737612015879936E-2</v>
      </c>
      <c r="BK1160" s="477">
        <v>96629527.239690527</v>
      </c>
      <c r="BL1160" s="458">
        <v>0.25959707548387101</v>
      </c>
      <c r="BM1160" s="468">
        <v>5.6855741787901284</v>
      </c>
    </row>
    <row r="1161" spans="12:65" x14ac:dyDescent="0.3">
      <c r="L1161" s="427">
        <v>-5822003.9149000002</v>
      </c>
      <c r="BE1161" s="477">
        <v>4724261.9365233025</v>
      </c>
      <c r="BF1161" s="458">
        <v>2.8421778001051612E-2</v>
      </c>
      <c r="BG1161" s="477">
        <v>10209966.87916949</v>
      </c>
      <c r="BH1161" s="458">
        <v>7.147498802336294E-2</v>
      </c>
      <c r="BI1161" s="477">
        <v>20152530.870909359</v>
      </c>
      <c r="BJ1161" s="458">
        <v>0.11911603989290542</v>
      </c>
      <c r="BK1161" s="477">
        <v>81386483.841359898</v>
      </c>
      <c r="BL1161" s="458">
        <v>0.27337283033294857</v>
      </c>
      <c r="BM1161" s="468">
        <v>10.707726930133671</v>
      </c>
    </row>
    <row r="1162" spans="12:65" x14ac:dyDescent="0.3">
      <c r="L1162" s="427">
        <v>-105343.91559999999</v>
      </c>
      <c r="BE1162" s="477">
        <v>8713801.8971284609</v>
      </c>
      <c r="BF1162" s="458">
        <v>3.9697453171092079E-2</v>
      </c>
      <c r="BG1162" s="477">
        <v>11031555.979382975</v>
      </c>
      <c r="BH1162" s="458">
        <v>6.8924162060808536E-2</v>
      </c>
      <c r="BI1162" s="477">
        <v>20236950.503223654</v>
      </c>
      <c r="BJ1162" s="458">
        <v>9.6887014962272255E-2</v>
      </c>
      <c r="BK1162" s="477">
        <v>90596830.594666272</v>
      </c>
      <c r="BL1162" s="458">
        <v>0.3028411838469538</v>
      </c>
      <c r="BM1162" s="468">
        <v>4.736239053127302</v>
      </c>
    </row>
    <row r="1163" spans="12:65" x14ac:dyDescent="0.3">
      <c r="L1163" s="427">
        <v>16284975.6677</v>
      </c>
      <c r="BE1163" s="477">
        <v>5363524.5864988379</v>
      </c>
      <c r="BF1163" s="458">
        <v>3.1979657970019115E-2</v>
      </c>
      <c r="BG1163" s="477">
        <v>9945332.2861748096</v>
      </c>
      <c r="BH1163" s="458">
        <v>6.1920116856288177E-2</v>
      </c>
      <c r="BI1163" s="477">
        <v>22434409.111213505</v>
      </c>
      <c r="BJ1163" s="458">
        <v>8.235514369023389E-2</v>
      </c>
      <c r="BK1163" s="477">
        <v>88067086.291682601</v>
      </c>
      <c r="BL1163" s="458">
        <v>0.2753505238669236</v>
      </c>
      <c r="BM1163" s="468">
        <v>7.3696988399638732</v>
      </c>
    </row>
    <row r="1164" spans="12:65" x14ac:dyDescent="0.3">
      <c r="L1164" s="427">
        <v>4623722.1903999997</v>
      </c>
      <c r="BE1164" s="477">
        <v>2766668.7985492288</v>
      </c>
      <c r="BF1164" s="458">
        <v>6.126968252373044E-2</v>
      </c>
      <c r="BG1164" s="477">
        <v>10025772.520872679</v>
      </c>
      <c r="BH1164" s="458">
        <v>7.059655356027017E-2</v>
      </c>
      <c r="BI1164" s="477">
        <v>19013215.979792926</v>
      </c>
      <c r="BJ1164" s="458">
        <v>9.9942331111410265E-2</v>
      </c>
      <c r="BK1164" s="477">
        <v>100931838.7727021</v>
      </c>
      <c r="BL1164" s="458">
        <v>0.26472506994487599</v>
      </c>
      <c r="BM1164" s="468">
        <v>9.945396559087099</v>
      </c>
    </row>
    <row r="1165" spans="12:65" x14ac:dyDescent="0.3">
      <c r="L1165" s="427">
        <v>-9779691.1131999996</v>
      </c>
      <c r="BE1165" s="477">
        <v>7058302.5634968784</v>
      </c>
      <c r="BF1165" s="458">
        <v>3.5373360483624605E-2</v>
      </c>
      <c r="BG1165" s="477">
        <v>10212722.803328207</v>
      </c>
      <c r="BH1165" s="458">
        <v>7.2571017130530935E-2</v>
      </c>
      <c r="BI1165" s="477">
        <v>8615183.9346816149</v>
      </c>
      <c r="BJ1165" s="458">
        <v>0.11763594986017334</v>
      </c>
      <c r="BK1165" s="477">
        <v>86828636.373985186</v>
      </c>
      <c r="BL1165" s="458">
        <v>0.26770309244044532</v>
      </c>
      <c r="BM1165" s="468">
        <v>7.2311051311280581</v>
      </c>
    </row>
    <row r="1166" spans="12:65" x14ac:dyDescent="0.3">
      <c r="L1166" s="427">
        <v>5791025.5343000004</v>
      </c>
      <c r="BE1166" s="477">
        <v>4316744.1631462518</v>
      </c>
      <c r="BF1166" s="458">
        <v>2.283716988354656E-2</v>
      </c>
      <c r="BG1166" s="477">
        <v>11004193.74270946</v>
      </c>
      <c r="BH1166" s="458">
        <v>4.2242109557436569E-2</v>
      </c>
      <c r="BI1166" s="477">
        <v>13646443.054502608</v>
      </c>
      <c r="BJ1166" s="458">
        <v>0.12176542013468805</v>
      </c>
      <c r="BK1166" s="477">
        <v>99588930.166030824</v>
      </c>
      <c r="BL1166" s="458">
        <v>0.30045407421260628</v>
      </c>
      <c r="BM1166" s="468">
        <v>8.1775938824762004</v>
      </c>
    </row>
    <row r="1167" spans="12:65" x14ac:dyDescent="0.3">
      <c r="L1167" s="427">
        <v>32511028.098999999</v>
      </c>
      <c r="BE1167" s="477">
        <v>9231738.4569461066</v>
      </c>
      <c r="BF1167" s="458">
        <v>4.2094193532328461E-2</v>
      </c>
      <c r="BG1167" s="477">
        <v>6510093.5218669819</v>
      </c>
      <c r="BH1167" s="458">
        <v>7.275499645521144E-2</v>
      </c>
      <c r="BI1167" s="477">
        <v>13401636.242008194</v>
      </c>
      <c r="BJ1167" s="458">
        <v>0.12432494322932741</v>
      </c>
      <c r="BK1167" s="477">
        <v>100612061.33927768</v>
      </c>
      <c r="BL1167" s="458">
        <v>0.28001795003005858</v>
      </c>
      <c r="BM1167" s="468">
        <v>5.3334366506572994</v>
      </c>
    </row>
    <row r="1168" spans="12:65" x14ac:dyDescent="0.3">
      <c r="L1168" s="427">
        <v>6799950.0524000004</v>
      </c>
      <c r="BE1168" s="477">
        <v>3478765.5499763358</v>
      </c>
      <c r="BF1168" s="458">
        <v>4.6073159003287456E-2</v>
      </c>
      <c r="BG1168" s="477">
        <v>7095360.780903806</v>
      </c>
      <c r="BH1168" s="458">
        <v>8.9261371102326681E-2</v>
      </c>
      <c r="BI1168" s="477">
        <v>7730947.5946344575</v>
      </c>
      <c r="BJ1168" s="458">
        <v>7.9979068502003203E-2</v>
      </c>
      <c r="BK1168" s="477">
        <v>89750730.968437672</v>
      </c>
      <c r="BL1168" s="458">
        <v>0.26805191275702489</v>
      </c>
      <c r="BM1168" s="468">
        <v>3.398753811555185</v>
      </c>
    </row>
    <row r="1169" spans="12:65" x14ac:dyDescent="0.3">
      <c r="L1169" s="427">
        <v>-346757.05229999998</v>
      </c>
      <c r="BE1169" s="477">
        <v>6362928.1255304916</v>
      </c>
      <c r="BF1169" s="458">
        <v>4.7869599932767404E-2</v>
      </c>
      <c r="BG1169" s="477">
        <v>11245620.333264159</v>
      </c>
      <c r="BH1169" s="458">
        <v>7.4846416485998768E-2</v>
      </c>
      <c r="BI1169" s="477">
        <v>12291623.0999837</v>
      </c>
      <c r="BJ1169" s="458">
        <v>0.11350602382879571</v>
      </c>
      <c r="BK1169" s="477">
        <v>84088474.761529297</v>
      </c>
      <c r="BL1169" s="458">
        <v>0.30767871574000716</v>
      </c>
      <c r="BM1169" s="468">
        <v>11.373574751622282</v>
      </c>
    </row>
    <row r="1170" spans="12:65" x14ac:dyDescent="0.3">
      <c r="L1170" s="427">
        <v>-5382254.4247000003</v>
      </c>
      <c r="BE1170" s="477">
        <v>6485651.9268297106</v>
      </c>
      <c r="BF1170" s="458">
        <v>5.1439349938605217E-2</v>
      </c>
      <c r="BG1170" s="477">
        <v>12815848.694736939</v>
      </c>
      <c r="BH1170" s="458">
        <v>5.7534209217213084E-2</v>
      </c>
      <c r="BI1170" s="477">
        <v>19221146.223196041</v>
      </c>
      <c r="BJ1170" s="458">
        <v>9.2308774386406167E-2</v>
      </c>
      <c r="BK1170" s="477">
        <v>79074487.99703081</v>
      </c>
      <c r="BL1170" s="458">
        <v>0.25913111873047323</v>
      </c>
      <c r="BM1170" s="468">
        <v>7.8873462455191667</v>
      </c>
    </row>
    <row r="1171" spans="12:65" x14ac:dyDescent="0.3">
      <c r="L1171" s="427">
        <v>14114804.530099999</v>
      </c>
      <c r="BE1171" s="477">
        <v>4317746.2247105734</v>
      </c>
      <c r="BF1171" s="458">
        <v>4.4622482525749296E-2</v>
      </c>
      <c r="BG1171" s="477">
        <v>6523157.1312803095</v>
      </c>
      <c r="BH1171" s="458">
        <v>6.4279722779858162E-2</v>
      </c>
      <c r="BI1171" s="477">
        <v>16589878.171858868</v>
      </c>
      <c r="BJ1171" s="458">
        <v>0.11597574561240309</v>
      </c>
      <c r="BK1171" s="477">
        <v>70085805.616481096</v>
      </c>
      <c r="BL1171" s="458">
        <v>0.27823309870397162</v>
      </c>
      <c r="BM1171" s="468">
        <v>6.4741108886719791</v>
      </c>
    </row>
    <row r="1172" spans="12:65" x14ac:dyDescent="0.3">
      <c r="L1172" s="427">
        <v>8483263.9238000009</v>
      </c>
      <c r="BE1172" s="477">
        <v>2501403.766517675</v>
      </c>
      <c r="BF1172" s="458">
        <v>5.2711578468607412E-2</v>
      </c>
      <c r="BG1172" s="477">
        <v>7706729.7008056594</v>
      </c>
      <c r="BH1172" s="458">
        <v>6.6582218928676884E-2</v>
      </c>
      <c r="BI1172" s="477">
        <v>20252425.964216251</v>
      </c>
      <c r="BJ1172" s="458">
        <v>0.1201174835942922</v>
      </c>
      <c r="BK1172" s="477">
        <v>93567445.042285383</v>
      </c>
      <c r="BL1172" s="458">
        <v>0.28292211192797412</v>
      </c>
      <c r="BM1172" s="468">
        <v>8.3170820964531398</v>
      </c>
    </row>
    <row r="1173" spans="12:65" x14ac:dyDescent="0.3">
      <c r="L1173" s="427">
        <v>10945083.9091</v>
      </c>
      <c r="BE1173" s="477">
        <v>-2435324.4469657363</v>
      </c>
      <c r="BF1173" s="458">
        <v>4.1903899170101289E-2</v>
      </c>
      <c r="BG1173" s="477">
        <v>14053539.359779384</v>
      </c>
      <c r="BH1173" s="458">
        <v>7.2947331868258081E-2</v>
      </c>
      <c r="BI1173" s="477">
        <v>18148486.350468647</v>
      </c>
      <c r="BJ1173" s="458">
        <v>0.11470674776579326</v>
      </c>
      <c r="BK1173" s="477">
        <v>67902903.579489633</v>
      </c>
      <c r="BL1173" s="458">
        <v>0.27621013262929406</v>
      </c>
      <c r="BM1173" s="468">
        <v>7.1294666677498792</v>
      </c>
    </row>
    <row r="1174" spans="12:65" x14ac:dyDescent="0.3">
      <c r="L1174" s="427">
        <v>12045430.128</v>
      </c>
      <c r="BE1174" s="477">
        <v>2678062.6964985323</v>
      </c>
      <c r="BF1174" s="458">
        <v>2.1488537529946061E-2</v>
      </c>
      <c r="BG1174" s="477">
        <v>15078203.271890618</v>
      </c>
      <c r="BH1174" s="458">
        <v>5.4352177918621791E-2</v>
      </c>
      <c r="BI1174" s="477">
        <v>20339278.566184517</v>
      </c>
      <c r="BJ1174" s="458">
        <v>0.10429913007401281</v>
      </c>
      <c r="BK1174" s="477">
        <v>82344257.931186199</v>
      </c>
      <c r="BL1174" s="458">
        <v>0.25826109560434962</v>
      </c>
      <c r="BM1174" s="468">
        <v>12.323634019247262</v>
      </c>
    </row>
    <row r="1175" spans="12:65" x14ac:dyDescent="0.3">
      <c r="L1175" s="427">
        <v>13583487.6555</v>
      </c>
      <c r="BE1175" s="477">
        <v>3058351.5370192467</v>
      </c>
      <c r="BF1175" s="458">
        <v>1.5303694762039521E-2</v>
      </c>
      <c r="BG1175" s="477">
        <v>5935571.3365428541</v>
      </c>
      <c r="BH1175" s="458">
        <v>6.3800205259931353E-2</v>
      </c>
      <c r="BI1175" s="477">
        <v>13263903.745776465</v>
      </c>
      <c r="BJ1175" s="458">
        <v>9.7610269794009108E-2</v>
      </c>
      <c r="BK1175" s="477">
        <v>87118856.096719548</v>
      </c>
      <c r="BL1175" s="458">
        <v>0.25043723228572312</v>
      </c>
      <c r="BM1175" s="468">
        <v>8.2207795286484711</v>
      </c>
    </row>
    <row r="1176" spans="12:65" x14ac:dyDescent="0.3">
      <c r="L1176" s="427">
        <v>5507190.2465000004</v>
      </c>
      <c r="BE1176" s="477">
        <v>1463630.7315147389</v>
      </c>
      <c r="BF1176" s="458">
        <v>4.6805052470929365E-2</v>
      </c>
      <c r="BG1176" s="477">
        <v>8120816.7994293831</v>
      </c>
      <c r="BH1176" s="458">
        <v>6.7413780293328562E-2</v>
      </c>
      <c r="BI1176" s="477">
        <v>18535726.225248531</v>
      </c>
      <c r="BJ1176" s="458">
        <v>0.12290329869515926</v>
      </c>
      <c r="BK1176" s="477">
        <v>83014228.120118976</v>
      </c>
      <c r="BL1176" s="458">
        <v>0.27868957571403064</v>
      </c>
      <c r="BM1176" s="468">
        <v>3.6046736949817308</v>
      </c>
    </row>
    <row r="1177" spans="12:65" x14ac:dyDescent="0.3">
      <c r="L1177" s="427">
        <v>5835636.9826999996</v>
      </c>
      <c r="BE1177" s="477">
        <v>4465102.0324081136</v>
      </c>
      <c r="BF1177" s="458">
        <v>4.2585380101964665E-2</v>
      </c>
      <c r="BG1177" s="477">
        <v>13110364.210713403</v>
      </c>
      <c r="BH1177" s="458">
        <v>1.8830912852361159E-2</v>
      </c>
      <c r="BI1177" s="477">
        <v>19953740.147775479</v>
      </c>
      <c r="BJ1177" s="458">
        <v>0.10271264836621219</v>
      </c>
      <c r="BK1177" s="477">
        <v>83819182.671051577</v>
      </c>
      <c r="BL1177" s="458">
        <v>0.26689698828894226</v>
      </c>
      <c r="BM1177" s="468">
        <v>3.5747582080400955</v>
      </c>
    </row>
    <row r="1178" spans="12:65" x14ac:dyDescent="0.3">
      <c r="L1178" s="427">
        <v>18532505.041700002</v>
      </c>
      <c r="BE1178" s="477">
        <v>6506898.6223510541</v>
      </c>
      <c r="BF1178" s="458">
        <v>3.6414865542012675E-2</v>
      </c>
      <c r="BG1178" s="477">
        <v>12740940.634471944</v>
      </c>
      <c r="BH1178" s="458">
        <v>9.9351978444095934E-2</v>
      </c>
      <c r="BI1178" s="477">
        <v>23066418.926383648</v>
      </c>
      <c r="BJ1178" s="458">
        <v>0.10087532458563064</v>
      </c>
      <c r="BK1178" s="477">
        <v>86871389.828884363</v>
      </c>
      <c r="BL1178" s="458">
        <v>0.27973390200031645</v>
      </c>
      <c r="BM1178" s="468">
        <v>1.2911544356178259</v>
      </c>
    </row>
    <row r="1179" spans="12:65" x14ac:dyDescent="0.3">
      <c r="L1179" s="427">
        <v>14389571.0677</v>
      </c>
      <c r="BE1179" s="477">
        <v>9447973.2320199199</v>
      </c>
      <c r="BF1179" s="458">
        <v>4.5721329357584883E-2</v>
      </c>
      <c r="BG1179" s="477">
        <v>7425814.8812835356</v>
      </c>
      <c r="BH1179" s="458">
        <v>4.6377928995520401E-2</v>
      </c>
      <c r="BI1179" s="477">
        <v>25496098.639493696</v>
      </c>
      <c r="BJ1179" s="458">
        <v>0.11784081152876613</v>
      </c>
      <c r="BK1179" s="477">
        <v>94855227.855620861</v>
      </c>
      <c r="BL1179" s="458">
        <v>0.28260220553999127</v>
      </c>
      <c r="BM1179" s="468">
        <v>4.6938758706577097</v>
      </c>
    </row>
    <row r="1180" spans="12:65" x14ac:dyDescent="0.3">
      <c r="L1180" s="427">
        <v>-1493652.3983</v>
      </c>
      <c r="BE1180" s="477">
        <v>4025733.7260911316</v>
      </c>
      <c r="BF1180" s="458">
        <v>3.5353984634884705E-2</v>
      </c>
      <c r="BG1180" s="477">
        <v>8745205.9409703929</v>
      </c>
      <c r="BH1180" s="458">
        <v>6.3773635448654886E-2</v>
      </c>
      <c r="BI1180" s="477">
        <v>17604461.428724539</v>
      </c>
      <c r="BJ1180" s="458">
        <v>9.7317866834970124E-2</v>
      </c>
      <c r="BK1180" s="477">
        <v>89283372.484326243</v>
      </c>
      <c r="BL1180" s="458">
        <v>0.27570584794285424</v>
      </c>
      <c r="BM1180" s="468">
        <v>8.2118643530573152</v>
      </c>
    </row>
    <row r="1181" spans="12:65" x14ac:dyDescent="0.3">
      <c r="L1181" s="427">
        <v>763450.40060000005</v>
      </c>
      <c r="BE1181" s="477">
        <v>5138224.4536301848</v>
      </c>
      <c r="BF1181" s="458">
        <v>3.0557287741250549E-2</v>
      </c>
      <c r="BG1181" s="477">
        <v>11433123.479747435</v>
      </c>
      <c r="BH1181" s="458">
        <v>6.597231773951151E-2</v>
      </c>
      <c r="BI1181" s="477">
        <v>21084035.577926736</v>
      </c>
      <c r="BJ1181" s="458">
        <v>9.5294017051943625E-2</v>
      </c>
      <c r="BK1181" s="477">
        <v>97570404.930240363</v>
      </c>
      <c r="BL1181" s="458">
        <v>0.27866083321054602</v>
      </c>
      <c r="BM1181" s="468">
        <v>11.211145581338492</v>
      </c>
    </row>
    <row r="1182" spans="12:65" x14ac:dyDescent="0.3">
      <c r="L1182" s="427">
        <v>10953769.9647</v>
      </c>
      <c r="BE1182" s="477">
        <v>4875167.556445715</v>
      </c>
      <c r="BF1182" s="458">
        <v>2.577310251280629E-2</v>
      </c>
      <c r="BG1182" s="477">
        <v>8985069.306729801</v>
      </c>
      <c r="BH1182" s="458">
        <v>5.877837549543119E-2</v>
      </c>
      <c r="BI1182" s="477">
        <v>18315211.250584625</v>
      </c>
      <c r="BJ1182" s="458">
        <v>8.05849573660542E-2</v>
      </c>
      <c r="BK1182" s="477">
        <v>82870185.188601106</v>
      </c>
      <c r="BL1182" s="458">
        <v>0.2677188314983141</v>
      </c>
      <c r="BM1182" s="468">
        <v>2.3969857498741689</v>
      </c>
    </row>
    <row r="1183" spans="12:65" x14ac:dyDescent="0.3">
      <c r="L1183" s="427">
        <v>6524707.9188999999</v>
      </c>
      <c r="BE1183" s="477">
        <v>5813972.1882643281</v>
      </c>
      <c r="BF1183" s="458">
        <v>2.2719857770038931E-2</v>
      </c>
      <c r="BG1183" s="477">
        <v>11476893.368121548</v>
      </c>
      <c r="BH1183" s="458">
        <v>8.6243638805007183E-2</v>
      </c>
      <c r="BI1183" s="477">
        <v>12787484.906574558</v>
      </c>
      <c r="BJ1183" s="458">
        <v>9.3878047440205892E-2</v>
      </c>
      <c r="BK1183" s="477">
        <v>87585360.95541364</v>
      </c>
      <c r="BL1183" s="458">
        <v>0.26456746516156526</v>
      </c>
      <c r="BM1183" s="468">
        <v>10.005613689275455</v>
      </c>
    </row>
    <row r="1184" spans="12:65" x14ac:dyDescent="0.3">
      <c r="L1184" s="427">
        <v>-6088801.3391000004</v>
      </c>
      <c r="BE1184" s="477">
        <v>4592666.7469796417</v>
      </c>
      <c r="BF1184" s="458">
        <v>2.4647813989642442E-2</v>
      </c>
      <c r="BG1184" s="477">
        <v>15958350.379173651</v>
      </c>
      <c r="BH1184" s="458">
        <v>6.6663061057723461E-2</v>
      </c>
      <c r="BI1184" s="477">
        <v>10497275.26439484</v>
      </c>
      <c r="BJ1184" s="458">
        <v>0.1236526684025363</v>
      </c>
      <c r="BK1184" s="477">
        <v>84416517.386955395</v>
      </c>
      <c r="BL1184" s="458">
        <v>0.27735037654737038</v>
      </c>
      <c r="BM1184" s="468">
        <v>8.9583377641835469</v>
      </c>
    </row>
    <row r="1185" spans="12:65" x14ac:dyDescent="0.3">
      <c r="L1185" s="427">
        <v>6014954.8953</v>
      </c>
      <c r="BE1185" s="477">
        <v>9784741.6770820972</v>
      </c>
      <c r="BF1185" s="458">
        <v>2.9095710689350351E-2</v>
      </c>
      <c r="BG1185" s="477">
        <v>9362737.4535362944</v>
      </c>
      <c r="BH1185" s="458">
        <v>6.3011043558990565E-2</v>
      </c>
      <c r="BI1185" s="477">
        <v>18064618.605582856</v>
      </c>
      <c r="BJ1185" s="458">
        <v>0.10306088237122069</v>
      </c>
      <c r="BK1185" s="477">
        <v>91391300.999351189</v>
      </c>
      <c r="BL1185" s="458">
        <v>0.26748057137811854</v>
      </c>
      <c r="BM1185" s="468">
        <v>7.160798435643148</v>
      </c>
    </row>
    <row r="1186" spans="12:65" x14ac:dyDescent="0.3">
      <c r="L1186" s="427">
        <v>20969868.124899998</v>
      </c>
      <c r="BE1186" s="477">
        <v>4289784.3134178584</v>
      </c>
      <c r="BF1186" s="458">
        <v>5.4174426851278934E-2</v>
      </c>
      <c r="BG1186" s="477">
        <v>9171385.6355158389</v>
      </c>
      <c r="BH1186" s="458">
        <v>6.6260116870301644E-2</v>
      </c>
      <c r="BI1186" s="477">
        <v>20519627.17267447</v>
      </c>
      <c r="BJ1186" s="458">
        <v>0.13493437404864639</v>
      </c>
      <c r="BK1186" s="477">
        <v>103422704.99382667</v>
      </c>
      <c r="BL1186" s="458">
        <v>0.28308827178676532</v>
      </c>
      <c r="BM1186" s="468">
        <v>7.4389776453315894</v>
      </c>
    </row>
    <row r="1187" spans="12:65" x14ac:dyDescent="0.3">
      <c r="L1187" s="427">
        <v>5151786.7914000005</v>
      </c>
      <c r="BE1187" s="477">
        <v>7776932.626553732</v>
      </c>
      <c r="BF1187" s="458">
        <v>5.6370962745767361E-2</v>
      </c>
      <c r="BG1187" s="477">
        <v>5742583.9598809117</v>
      </c>
      <c r="BH1187" s="458">
        <v>4.5184044062471784E-2</v>
      </c>
      <c r="BI1187" s="477">
        <v>10248151.305589531</v>
      </c>
      <c r="BJ1187" s="458">
        <v>0.12586092833805451</v>
      </c>
      <c r="BK1187" s="477">
        <v>90418214.372476056</v>
      </c>
      <c r="BL1187" s="458">
        <v>0.26132010183922705</v>
      </c>
      <c r="BM1187" s="468">
        <v>3.3785261697378743</v>
      </c>
    </row>
    <row r="1188" spans="12:65" x14ac:dyDescent="0.3">
      <c r="L1188" s="427">
        <v>11565695.1328</v>
      </c>
      <c r="BE1188" s="477">
        <v>4954952.4667990739</v>
      </c>
      <c r="BF1188" s="458">
        <v>4.3394130412071741E-2</v>
      </c>
      <c r="BG1188" s="477">
        <v>8436064.79766424</v>
      </c>
      <c r="BH1188" s="458">
        <v>6.0519377408172703E-2</v>
      </c>
      <c r="BI1188" s="477">
        <v>16177671.740385296</v>
      </c>
      <c r="BJ1188" s="458">
        <v>0.16229096214555727</v>
      </c>
      <c r="BK1188" s="477">
        <v>95617112.5224538</v>
      </c>
      <c r="BL1188" s="458">
        <v>0.254716047453033</v>
      </c>
      <c r="BM1188" s="468">
        <v>10.665045605903742</v>
      </c>
    </row>
    <row r="1189" spans="12:65" x14ac:dyDescent="0.3">
      <c r="L1189" s="427">
        <v>14020938.7883</v>
      </c>
      <c r="BE1189" s="477">
        <v>4288673.2996410094</v>
      </c>
      <c r="BF1189" s="458">
        <v>3.184705903197349E-2</v>
      </c>
      <c r="BG1189" s="477">
        <v>5584007.2948812107</v>
      </c>
      <c r="BH1189" s="458">
        <v>6.1800241358162866E-2</v>
      </c>
      <c r="BI1189" s="477">
        <v>2861552.8973390236</v>
      </c>
      <c r="BJ1189" s="458">
        <v>7.5011368603076223E-2</v>
      </c>
      <c r="BK1189" s="477">
        <v>86614396.35245809</v>
      </c>
      <c r="BL1189" s="458">
        <v>0.28735943116437124</v>
      </c>
      <c r="BM1189" s="468">
        <v>3.9477079521880398</v>
      </c>
    </row>
    <row r="1190" spans="12:65" x14ac:dyDescent="0.3">
      <c r="L1190" s="427">
        <v>4506808.9078000002</v>
      </c>
      <c r="BE1190" s="477">
        <v>7771573.6013383884</v>
      </c>
      <c r="BF1190" s="458">
        <v>4.3967236267138832E-2</v>
      </c>
      <c r="BG1190" s="477">
        <v>7814201.0305997906</v>
      </c>
      <c r="BH1190" s="458">
        <v>5.2877830645078117E-2</v>
      </c>
      <c r="BI1190" s="477">
        <v>23094319.359007046</v>
      </c>
      <c r="BJ1190" s="458">
        <v>0.11898988166844648</v>
      </c>
      <c r="BK1190" s="477">
        <v>86605305.110716984</v>
      </c>
      <c r="BL1190" s="458">
        <v>0.2727772412866929</v>
      </c>
      <c r="BM1190" s="468">
        <v>6.3078337769658956</v>
      </c>
    </row>
    <row r="1191" spans="12:65" x14ac:dyDescent="0.3">
      <c r="L1191" s="427">
        <v>5242566.3367999997</v>
      </c>
      <c r="BE1191" s="477">
        <v>-1289083.1213058049</v>
      </c>
      <c r="BF1191" s="458">
        <v>2.5688280575516975E-2</v>
      </c>
      <c r="BG1191" s="477">
        <v>8398889.9051620848</v>
      </c>
      <c r="BH1191" s="458">
        <v>5.150323850505889E-2</v>
      </c>
      <c r="BI1191" s="477">
        <v>25094604.593481522</v>
      </c>
      <c r="BJ1191" s="458">
        <v>9.4962902226438661E-2</v>
      </c>
      <c r="BK1191" s="477">
        <v>85453509.180249065</v>
      </c>
      <c r="BL1191" s="458">
        <v>0.27869096740217625</v>
      </c>
      <c r="BM1191" s="468">
        <v>7.6622728116165142</v>
      </c>
    </row>
    <row r="1192" spans="12:65" x14ac:dyDescent="0.3">
      <c r="L1192" s="427">
        <v>4871268.3951000003</v>
      </c>
      <c r="BE1192" s="477">
        <v>3554588.5342657994</v>
      </c>
      <c r="BF1192" s="458">
        <v>1.7736091724416925E-2</v>
      </c>
      <c r="BG1192" s="477">
        <v>12094922.713424593</v>
      </c>
      <c r="BH1192" s="458">
        <v>5.730340563449321E-2</v>
      </c>
      <c r="BI1192" s="477">
        <v>17125988.183838371</v>
      </c>
      <c r="BJ1192" s="458">
        <v>0.11476553313664706</v>
      </c>
      <c r="BK1192" s="477">
        <v>91427679.083975166</v>
      </c>
      <c r="BL1192" s="458">
        <v>0.30679206430403294</v>
      </c>
      <c r="BM1192" s="468">
        <v>5.5072605297134309</v>
      </c>
    </row>
    <row r="1193" spans="12:65" x14ac:dyDescent="0.3">
      <c r="L1193" s="427">
        <v>1785083.1281999999</v>
      </c>
      <c r="BE1193" s="477">
        <v>2248407.1120605459</v>
      </c>
      <c r="BF1193" s="458">
        <v>3.5310280105126379E-2</v>
      </c>
      <c r="BG1193" s="477">
        <v>10313622.367969608</v>
      </c>
      <c r="BH1193" s="458">
        <v>7.2292988170491235E-2</v>
      </c>
      <c r="BI1193" s="477">
        <v>20464851.155502874</v>
      </c>
      <c r="BJ1193" s="458">
        <v>0.10991086749148504</v>
      </c>
      <c r="BK1193" s="477">
        <v>91551121.783407301</v>
      </c>
      <c r="BL1193" s="458">
        <v>0.28111692206236683</v>
      </c>
      <c r="BM1193" s="468">
        <v>9.1341886902481235</v>
      </c>
    </row>
    <row r="1194" spans="12:65" x14ac:dyDescent="0.3">
      <c r="L1194" s="427">
        <v>22266500.2205</v>
      </c>
      <c r="BE1194" s="477">
        <v>6965308.3302446082</v>
      </c>
      <c r="BF1194" s="458">
        <v>1.9891268494965031E-2</v>
      </c>
      <c r="BG1194" s="477">
        <v>7982658.0723989755</v>
      </c>
      <c r="BH1194" s="458">
        <v>5.7226701348066955E-2</v>
      </c>
      <c r="BI1194" s="477">
        <v>18391806.323584728</v>
      </c>
      <c r="BJ1194" s="458">
        <v>0.11544877812803556</v>
      </c>
      <c r="BK1194" s="477">
        <v>98668555.530101433</v>
      </c>
      <c r="BL1194" s="458">
        <v>0.25866127802997485</v>
      </c>
      <c r="BM1194" s="468">
        <v>6.2079988060646532</v>
      </c>
    </row>
    <row r="1195" spans="12:65" x14ac:dyDescent="0.3">
      <c r="L1195" s="427">
        <v>12325427.2666</v>
      </c>
      <c r="BE1195" s="477">
        <v>5403527.1555125611</v>
      </c>
      <c r="BF1195" s="458">
        <v>2.8013678958984212E-2</v>
      </c>
      <c r="BG1195" s="477">
        <v>7728330.8020665282</v>
      </c>
      <c r="BH1195" s="458">
        <v>6.9815776172711841E-2</v>
      </c>
      <c r="BI1195" s="477">
        <v>19263526.727793615</v>
      </c>
      <c r="BJ1195" s="458">
        <v>0.11815203554997922</v>
      </c>
      <c r="BK1195" s="477">
        <v>79106391.803970948</v>
      </c>
      <c r="BL1195" s="458">
        <v>0.28650374558669656</v>
      </c>
      <c r="BM1195" s="468">
        <v>8.266082131091709</v>
      </c>
    </row>
    <row r="1196" spans="12:65" x14ac:dyDescent="0.3">
      <c r="L1196" s="427">
        <v>4887693.7089999998</v>
      </c>
      <c r="BE1196" s="477">
        <v>8219940.3569553047</v>
      </c>
      <c r="BF1196" s="458">
        <v>4.549986744775536E-2</v>
      </c>
      <c r="BG1196" s="477">
        <v>9546642.2464495245</v>
      </c>
      <c r="BH1196" s="458">
        <v>8.5766701911840437E-2</v>
      </c>
      <c r="BI1196" s="477">
        <v>12975812.630091939</v>
      </c>
      <c r="BJ1196" s="458">
        <v>0.10092102125275892</v>
      </c>
      <c r="BK1196" s="477">
        <v>78250638.762665763</v>
      </c>
      <c r="BL1196" s="458">
        <v>0.26787458996757696</v>
      </c>
      <c r="BM1196" s="468">
        <v>6.0052612577782369</v>
      </c>
    </row>
    <row r="1197" spans="12:65" x14ac:dyDescent="0.3">
      <c r="L1197" s="427">
        <v>11173942.6175</v>
      </c>
      <c r="BE1197" s="477">
        <v>3895974.2629866572</v>
      </c>
      <c r="BF1197" s="458">
        <v>5.1922084988408335E-2</v>
      </c>
      <c r="BG1197" s="477">
        <v>9412765.7283634022</v>
      </c>
      <c r="BH1197" s="458">
        <v>6.98053180394691E-2</v>
      </c>
      <c r="BI1197" s="477">
        <v>9859010.0304668937</v>
      </c>
      <c r="BJ1197" s="458">
        <v>0.12141593824429542</v>
      </c>
      <c r="BK1197" s="477">
        <v>108623615.77320865</v>
      </c>
      <c r="BL1197" s="458">
        <v>0.26106814367532949</v>
      </c>
      <c r="BM1197" s="468">
        <v>1.5873871118395808</v>
      </c>
    </row>
    <row r="1198" spans="12:65" x14ac:dyDescent="0.3">
      <c r="L1198" s="427">
        <v>-6377478.5103000002</v>
      </c>
      <c r="BE1198" s="477">
        <v>9994585.747933168</v>
      </c>
      <c r="BF1198" s="458">
        <v>4.4091649288345636E-2</v>
      </c>
      <c r="BG1198" s="477">
        <v>6546705.8285500659</v>
      </c>
      <c r="BH1198" s="458">
        <v>7.3380459060458092E-2</v>
      </c>
      <c r="BI1198" s="477">
        <v>11460205.370159188</v>
      </c>
      <c r="BJ1198" s="458">
        <v>0.10065529781944615</v>
      </c>
      <c r="BK1198" s="477">
        <v>75808827.889621139</v>
      </c>
      <c r="BL1198" s="458">
        <v>0.26971385716676344</v>
      </c>
      <c r="BM1198" s="468">
        <v>11.513480519413163</v>
      </c>
    </row>
    <row r="1199" spans="12:65" x14ac:dyDescent="0.3">
      <c r="L1199" s="427">
        <v>10466388.1525</v>
      </c>
      <c r="BE1199" s="477">
        <v>5003265.85230962</v>
      </c>
      <c r="BF1199" s="458">
        <v>4.9146550358937002E-2</v>
      </c>
      <c r="BG1199" s="477">
        <v>10457920.6696184</v>
      </c>
      <c r="BH1199" s="458">
        <v>4.28936818943495E-2</v>
      </c>
      <c r="BI1199" s="477">
        <v>14259847.756114841</v>
      </c>
      <c r="BJ1199" s="458">
        <v>0.10416118350504022</v>
      </c>
      <c r="BK1199" s="477">
        <v>109025630.06670676</v>
      </c>
      <c r="BL1199" s="458">
        <v>0.25020262529134407</v>
      </c>
      <c r="BM1199" s="468">
        <v>6.4840668329486153</v>
      </c>
    </row>
    <row r="1200" spans="12:65" x14ac:dyDescent="0.3">
      <c r="L1200" s="427">
        <v>-2567418.9372</v>
      </c>
      <c r="BE1200" s="477">
        <v>7589592.5715033198</v>
      </c>
      <c r="BF1200" s="458">
        <v>4.1142111229970135E-2</v>
      </c>
      <c r="BG1200" s="477">
        <v>9541596.4610047247</v>
      </c>
      <c r="BH1200" s="458">
        <v>6.8152591376251959E-2</v>
      </c>
      <c r="BI1200" s="477">
        <v>21245131.357401539</v>
      </c>
      <c r="BJ1200" s="458">
        <v>0.11150282187357985</v>
      </c>
      <c r="BK1200" s="477">
        <v>101920311.15668015</v>
      </c>
      <c r="BL1200" s="458">
        <v>0.26592212158700379</v>
      </c>
      <c r="BM1200" s="468">
        <v>6.8472131948303687</v>
      </c>
    </row>
    <row r="1201" spans="12:65" x14ac:dyDescent="0.3">
      <c r="L1201" s="427">
        <v>9803233.3003000002</v>
      </c>
      <c r="BE1201" s="477">
        <v>9869165.3784351125</v>
      </c>
      <c r="BF1201" s="458">
        <v>2.9286895630974641E-2</v>
      </c>
      <c r="BG1201" s="477">
        <v>8719491.6327009294</v>
      </c>
      <c r="BH1201" s="458">
        <v>5.3391283508544163E-2</v>
      </c>
      <c r="BI1201" s="477">
        <v>18866958.480675846</v>
      </c>
      <c r="BJ1201" s="458">
        <v>0.10705068245642013</v>
      </c>
      <c r="BK1201" s="477">
        <v>87480719.628463209</v>
      </c>
      <c r="BL1201" s="458">
        <v>0.25928646825244694</v>
      </c>
      <c r="BM1201" s="468">
        <v>16.381795970457819</v>
      </c>
    </row>
    <row r="1202" spans="12:65" x14ac:dyDescent="0.3">
      <c r="L1202" s="427">
        <v>8543860.7327999994</v>
      </c>
      <c r="BE1202" s="477">
        <v>5646889.0534737213</v>
      </c>
      <c r="BF1202" s="458">
        <v>2.2383969984719254E-2</v>
      </c>
      <c r="BG1202" s="477">
        <v>10953617.715255192</v>
      </c>
      <c r="BH1202" s="458">
        <v>7.5215393641073991E-2</v>
      </c>
      <c r="BI1202" s="477">
        <v>17977940.764814511</v>
      </c>
      <c r="BJ1202" s="458">
        <v>9.9381099713227394E-2</v>
      </c>
      <c r="BK1202" s="477">
        <v>91957692.544476882</v>
      </c>
      <c r="BL1202" s="458">
        <v>0.28511097948567476</v>
      </c>
      <c r="BM1202" s="468">
        <v>3.6269797372565185</v>
      </c>
    </row>
    <row r="1203" spans="12:65" x14ac:dyDescent="0.3">
      <c r="L1203" s="427">
        <v>5311666.7233999996</v>
      </c>
      <c r="BE1203" s="477">
        <v>3155806.0318836751</v>
      </c>
      <c r="BF1203" s="458">
        <v>4.2957806024751521E-2</v>
      </c>
      <c r="BG1203" s="477">
        <v>8484469.1280809417</v>
      </c>
      <c r="BH1203" s="458">
        <v>5.269431858113327E-2</v>
      </c>
      <c r="BI1203" s="477">
        <v>18205507.756667387</v>
      </c>
      <c r="BJ1203" s="458">
        <v>7.7574055354539873E-2</v>
      </c>
      <c r="BK1203" s="477">
        <v>77018423.291622207</v>
      </c>
      <c r="BL1203" s="458">
        <v>0.29197514543428404</v>
      </c>
      <c r="BM1203" s="468">
        <v>3.3878091294100745</v>
      </c>
    </row>
    <row r="1204" spans="12:65" x14ac:dyDescent="0.3">
      <c r="L1204" s="427">
        <v>-667838.32129999995</v>
      </c>
      <c r="BE1204" s="477">
        <v>10591259.177102456</v>
      </c>
      <c r="BF1204" s="458">
        <v>6.48155370236978E-2</v>
      </c>
      <c r="BG1204" s="477">
        <v>1732158.4300166038</v>
      </c>
      <c r="BH1204" s="458">
        <v>6.1127702511817761E-2</v>
      </c>
      <c r="BI1204" s="477">
        <v>20342908.707563888</v>
      </c>
      <c r="BJ1204" s="458">
        <v>0.1083808881622117</v>
      </c>
      <c r="BK1204" s="477">
        <v>80531879.260520786</v>
      </c>
      <c r="BL1204" s="458">
        <v>0.28876319818299012</v>
      </c>
      <c r="BM1204" s="468">
        <v>9.6313848576436545</v>
      </c>
    </row>
    <row r="1205" spans="12:65" x14ac:dyDescent="0.3">
      <c r="L1205" s="427">
        <v>4346332.0268000001</v>
      </c>
      <c r="BE1205" s="477">
        <v>7465366.195556052</v>
      </c>
      <c r="BF1205" s="458">
        <v>4.4925050700185931E-2</v>
      </c>
      <c r="BG1205" s="477">
        <v>9136712.7041593306</v>
      </c>
      <c r="BH1205" s="458">
        <v>9.8954753851184574E-2</v>
      </c>
      <c r="BI1205" s="477">
        <v>21671103.85308573</v>
      </c>
      <c r="BJ1205" s="458">
        <v>0.10580357269669194</v>
      </c>
      <c r="BK1205" s="477">
        <v>91079149.16429764</v>
      </c>
      <c r="BL1205" s="458">
        <v>0.28035711216195214</v>
      </c>
      <c r="BM1205" s="468">
        <v>8.2557021624269158</v>
      </c>
    </row>
    <row r="1206" spans="12:65" x14ac:dyDescent="0.3">
      <c r="L1206" s="427">
        <v>1971026.7290000001</v>
      </c>
      <c r="BE1206" s="477">
        <v>5882032.1796220075</v>
      </c>
      <c r="BF1206" s="458">
        <v>4.3417027598249947E-2</v>
      </c>
      <c r="BG1206" s="477">
        <v>5462558.032820778</v>
      </c>
      <c r="BH1206" s="458">
        <v>8.9736749302123053E-2</v>
      </c>
      <c r="BI1206" s="477">
        <v>20990877.314627308</v>
      </c>
      <c r="BJ1206" s="458">
        <v>7.338304688361319E-2</v>
      </c>
      <c r="BK1206" s="477">
        <v>89818051.933687568</v>
      </c>
      <c r="BL1206" s="458">
        <v>0.26904586330484204</v>
      </c>
      <c r="BM1206" s="468">
        <v>5.5623910775402514</v>
      </c>
    </row>
    <row r="1207" spans="12:65" x14ac:dyDescent="0.3">
      <c r="L1207" s="427">
        <v>13443526.729</v>
      </c>
      <c r="BE1207" s="477">
        <v>923908.04461603763</v>
      </c>
      <c r="BF1207" s="458">
        <v>3.7740969463089025E-2</v>
      </c>
      <c r="BG1207" s="477">
        <v>5765464.7440335508</v>
      </c>
      <c r="BH1207" s="458">
        <v>7.0109022119355213E-2</v>
      </c>
      <c r="BI1207" s="477">
        <v>16419687.202766605</v>
      </c>
      <c r="BJ1207" s="458">
        <v>9.035482341972001E-2</v>
      </c>
      <c r="BK1207" s="477">
        <v>108759830.6676847</v>
      </c>
      <c r="BL1207" s="458">
        <v>0.27337863451979549</v>
      </c>
      <c r="BM1207" s="468">
        <v>5.5469637676547752</v>
      </c>
    </row>
    <row r="1208" spans="12:65" x14ac:dyDescent="0.3">
      <c r="L1208" s="427">
        <v>2421116.3837000001</v>
      </c>
      <c r="BE1208" s="477">
        <v>2372089.7110178955</v>
      </c>
      <c r="BF1208" s="458">
        <v>5.7054766974821813E-2</v>
      </c>
      <c r="BG1208" s="477">
        <v>9352747.2275055982</v>
      </c>
      <c r="BH1208" s="458">
        <v>8.8478987698956013E-2</v>
      </c>
      <c r="BI1208" s="477">
        <v>16775719.510065494</v>
      </c>
      <c r="BJ1208" s="458">
        <v>0.14638456153279122</v>
      </c>
      <c r="BK1208" s="477">
        <v>94051759.936423272</v>
      </c>
      <c r="BL1208" s="458">
        <v>0.26206168986308542</v>
      </c>
      <c r="BM1208" s="468">
        <v>7.7517295431568209</v>
      </c>
    </row>
    <row r="1209" spans="12:65" x14ac:dyDescent="0.3">
      <c r="L1209" s="427">
        <v>-20482043.6732</v>
      </c>
      <c r="BE1209" s="477">
        <v>1418112.9580052565</v>
      </c>
      <c r="BF1209" s="458">
        <v>3.2424570853804457E-2</v>
      </c>
      <c r="BG1209" s="477">
        <v>4305970.6781360097</v>
      </c>
      <c r="BH1209" s="458">
        <v>8.3605127038137717E-2</v>
      </c>
      <c r="BI1209" s="477">
        <v>20800951.981550809</v>
      </c>
      <c r="BJ1209" s="458">
        <v>0.13166409003031609</v>
      </c>
      <c r="BK1209" s="477">
        <v>92765628.134701163</v>
      </c>
      <c r="BL1209" s="458">
        <v>0.2520974238635405</v>
      </c>
      <c r="BM1209" s="468">
        <v>10.451422652104412</v>
      </c>
    </row>
    <row r="1210" spans="12:65" x14ac:dyDescent="0.3">
      <c r="L1210" s="427">
        <v>14040191.7075</v>
      </c>
      <c r="BE1210" s="477">
        <v>2762033.42192664</v>
      </c>
      <c r="BF1210" s="458">
        <v>2.8814214914966607E-2</v>
      </c>
      <c r="BG1210" s="477">
        <v>6586581.0131731639</v>
      </c>
      <c r="BH1210" s="458">
        <v>0.10712054548114169</v>
      </c>
      <c r="BI1210" s="477">
        <v>19477750.517910924</v>
      </c>
      <c r="BJ1210" s="458">
        <v>7.7847049302417703E-2</v>
      </c>
      <c r="BK1210" s="477">
        <v>87866551.724408776</v>
      </c>
      <c r="BL1210" s="458">
        <v>0.28967234671765651</v>
      </c>
      <c r="BM1210" s="468">
        <v>11.802786679560473</v>
      </c>
    </row>
    <row r="1211" spans="12:65" x14ac:dyDescent="0.3">
      <c r="L1211" s="427">
        <v>18343935.468199998</v>
      </c>
      <c r="BE1211" s="477">
        <v>6425815.1443365915</v>
      </c>
      <c r="BF1211" s="458">
        <v>7.0943125048396061E-2</v>
      </c>
      <c r="BG1211" s="477">
        <v>15467438.286808711</v>
      </c>
      <c r="BH1211" s="458">
        <v>6.4356066039123805E-2</v>
      </c>
      <c r="BI1211" s="477">
        <v>15609373.037612367</v>
      </c>
      <c r="BJ1211" s="458">
        <v>0.11748714349414713</v>
      </c>
      <c r="BK1211" s="477">
        <v>94827530.127847344</v>
      </c>
      <c r="BL1211" s="458">
        <v>0.28379561398371878</v>
      </c>
      <c r="BM1211" s="468">
        <v>4.991614496286819</v>
      </c>
    </row>
    <row r="1212" spans="12:65" x14ac:dyDescent="0.3">
      <c r="L1212" s="427">
        <v>25327591.019000001</v>
      </c>
      <c r="BE1212" s="477">
        <v>4552018.2436003722</v>
      </c>
      <c r="BF1212" s="458">
        <v>3.987956905905321E-2</v>
      </c>
      <c r="BG1212" s="477">
        <v>10895240.540794576</v>
      </c>
      <c r="BH1212" s="458">
        <v>5.2584120334240092E-2</v>
      </c>
      <c r="BI1212" s="477">
        <v>25524440.585721537</v>
      </c>
      <c r="BJ1212" s="458">
        <v>0.15926156686807857</v>
      </c>
      <c r="BK1212" s="477">
        <v>88629439.834715009</v>
      </c>
      <c r="BL1212" s="458">
        <v>0.28566195760588964</v>
      </c>
      <c r="BM1212" s="468">
        <v>4.6319240613797312</v>
      </c>
    </row>
    <row r="1213" spans="12:65" x14ac:dyDescent="0.3">
      <c r="L1213" s="427">
        <v>8777092.0781999994</v>
      </c>
      <c r="BE1213" s="477">
        <v>5391350.4645185191</v>
      </c>
      <c r="BF1213" s="458">
        <v>5.4382431227836925E-2</v>
      </c>
      <c r="BG1213" s="477">
        <v>5477732.3595673256</v>
      </c>
      <c r="BH1213" s="458">
        <v>9.3433126304743874E-2</v>
      </c>
      <c r="BI1213" s="477">
        <v>13544369.217697164</v>
      </c>
      <c r="BJ1213" s="458">
        <v>0.12070389513911239</v>
      </c>
      <c r="BK1213" s="477">
        <v>85814276.560905606</v>
      </c>
      <c r="BL1213" s="458">
        <v>0.27345106793994978</v>
      </c>
      <c r="BM1213" s="468">
        <v>10.236550185971346</v>
      </c>
    </row>
    <row r="1214" spans="12:65" x14ac:dyDescent="0.3">
      <c r="L1214" s="427">
        <v>-1579954.4295000001</v>
      </c>
      <c r="BE1214" s="477">
        <v>5282108.7027332373</v>
      </c>
      <c r="BF1214" s="458">
        <v>4.9267821587954508E-2</v>
      </c>
      <c r="BG1214" s="477">
        <v>13549578.720831206</v>
      </c>
      <c r="BH1214" s="458">
        <v>3.7451980175551292E-2</v>
      </c>
      <c r="BI1214" s="477">
        <v>17657449.382407598</v>
      </c>
      <c r="BJ1214" s="458">
        <v>9.1589310963980042E-2</v>
      </c>
      <c r="BK1214" s="477">
        <v>86319580.175166994</v>
      </c>
      <c r="BL1214" s="458">
        <v>0.27232814215607015</v>
      </c>
      <c r="BM1214" s="468">
        <v>4.7209833281182307</v>
      </c>
    </row>
    <row r="1215" spans="12:65" x14ac:dyDescent="0.3">
      <c r="L1215" s="427">
        <v>18982345.0955</v>
      </c>
      <c r="BE1215" s="477">
        <v>3983397.5721622193</v>
      </c>
      <c r="BF1215" s="458">
        <v>2.9559601760564158E-2</v>
      </c>
      <c r="BG1215" s="477">
        <v>12191191.088812253</v>
      </c>
      <c r="BH1215" s="458">
        <v>9.0698455552099988E-2</v>
      </c>
      <c r="BI1215" s="477">
        <v>13784066.744535914</v>
      </c>
      <c r="BJ1215" s="458">
        <v>9.745780613941446E-2</v>
      </c>
      <c r="BK1215" s="477">
        <v>84409503.195649266</v>
      </c>
      <c r="BL1215" s="458">
        <v>0.26458677067388003</v>
      </c>
      <c r="BM1215" s="468">
        <v>11.679331271128209</v>
      </c>
    </row>
    <row r="1216" spans="12:65" x14ac:dyDescent="0.3">
      <c r="L1216" s="427">
        <v>-47965.347900000001</v>
      </c>
      <c r="BE1216" s="477">
        <v>4573600.403472607</v>
      </c>
      <c r="BF1216" s="458">
        <v>3.328154726824506E-2</v>
      </c>
      <c r="BG1216" s="477">
        <v>5629516.190411414</v>
      </c>
      <c r="BH1216" s="458">
        <v>6.9177065093469103E-2</v>
      </c>
      <c r="BI1216" s="477">
        <v>25500660.658256564</v>
      </c>
      <c r="BJ1216" s="458">
        <v>9.801334310698584E-2</v>
      </c>
      <c r="BK1216" s="477">
        <v>98044358.77879262</v>
      </c>
      <c r="BL1216" s="458">
        <v>0.25897597514422044</v>
      </c>
      <c r="BM1216" s="468">
        <v>7.5278404557088514</v>
      </c>
    </row>
    <row r="1217" spans="12:65" x14ac:dyDescent="0.3">
      <c r="L1217" s="427">
        <v>10263626.8358</v>
      </c>
      <c r="BE1217" s="477">
        <v>3925037.7782932697</v>
      </c>
      <c r="BF1217" s="458">
        <v>5.6501764046570591E-2</v>
      </c>
      <c r="BG1217" s="477">
        <v>10738598.429766847</v>
      </c>
      <c r="BH1217" s="458">
        <v>6.3413395750886004E-2</v>
      </c>
      <c r="BI1217" s="477">
        <v>13163459.432494845</v>
      </c>
      <c r="BJ1217" s="458">
        <v>0.10421763509336479</v>
      </c>
      <c r="BK1217" s="477">
        <v>90590657.39040792</v>
      </c>
      <c r="BL1217" s="458">
        <v>0.26341897751417975</v>
      </c>
      <c r="BM1217" s="468">
        <v>5.211409561264519</v>
      </c>
    </row>
    <row r="1218" spans="12:65" x14ac:dyDescent="0.3">
      <c r="L1218" s="427">
        <v>25778635.138</v>
      </c>
      <c r="BE1218" s="477">
        <v>3352996.9252301701</v>
      </c>
      <c r="BF1218" s="458">
        <v>3.2221222614426948E-2</v>
      </c>
      <c r="BG1218" s="477">
        <v>5078781.4984245719</v>
      </c>
      <c r="BH1218" s="458">
        <v>8.8828079549289285E-2</v>
      </c>
      <c r="BI1218" s="477">
        <v>7933414.0985792177</v>
      </c>
      <c r="BJ1218" s="458">
        <v>0.14676180336536326</v>
      </c>
      <c r="BK1218" s="477">
        <v>99799894.971547708</v>
      </c>
      <c r="BL1218" s="458">
        <v>0.25683832299966269</v>
      </c>
      <c r="BM1218" s="468">
        <v>7.4851758671287891</v>
      </c>
    </row>
    <row r="1219" spans="12:65" x14ac:dyDescent="0.3">
      <c r="L1219" s="427">
        <v>7421521.8744999999</v>
      </c>
      <c r="BE1219" s="477">
        <v>8822491.0108790416</v>
      </c>
      <c r="BF1219" s="458">
        <v>4.2626096495018473E-2</v>
      </c>
      <c r="BG1219" s="477">
        <v>8699126.8836198822</v>
      </c>
      <c r="BH1219" s="458">
        <v>6.8557576696921307E-2</v>
      </c>
      <c r="BI1219" s="477">
        <v>23055348.396543954</v>
      </c>
      <c r="BJ1219" s="458">
        <v>9.1854945421494083E-2</v>
      </c>
      <c r="BK1219" s="477">
        <v>88023314.653249413</v>
      </c>
      <c r="BL1219" s="458">
        <v>0.27754138755822222</v>
      </c>
      <c r="BM1219" s="468">
        <v>5.8065093747624674</v>
      </c>
    </row>
    <row r="1220" spans="12:65" x14ac:dyDescent="0.3">
      <c r="L1220" s="427">
        <v>-3157339.6483999998</v>
      </c>
      <c r="BE1220" s="477">
        <v>9063266.6342681553</v>
      </c>
      <c r="BF1220" s="458">
        <v>4.6815616765983226E-2</v>
      </c>
      <c r="BG1220" s="477">
        <v>11035744.156088457</v>
      </c>
      <c r="BH1220" s="458">
        <v>6.7463016973786871E-2</v>
      </c>
      <c r="BI1220" s="477">
        <v>18558753.112945139</v>
      </c>
      <c r="BJ1220" s="458">
        <v>0.1187912056009004</v>
      </c>
      <c r="BK1220" s="477">
        <v>109188184.1672415</v>
      </c>
      <c r="BL1220" s="458">
        <v>0.26879570321396185</v>
      </c>
      <c r="BM1220" s="468">
        <v>5.6478469606843191</v>
      </c>
    </row>
    <row r="1221" spans="12:65" x14ac:dyDescent="0.3">
      <c r="L1221" s="427">
        <v>20409136.001800001</v>
      </c>
      <c r="BE1221" s="477">
        <v>6615767.9855331052</v>
      </c>
      <c r="BF1221" s="458">
        <v>6.3092312403937312E-2</v>
      </c>
      <c r="BG1221" s="477">
        <v>5940611.5372501425</v>
      </c>
      <c r="BH1221" s="458">
        <v>7.5969696383599405E-2</v>
      </c>
      <c r="BI1221" s="477">
        <v>10036570.701549267</v>
      </c>
      <c r="BJ1221" s="458">
        <v>0.12981044781432649</v>
      </c>
      <c r="BK1221" s="477">
        <v>90764677.926639348</v>
      </c>
      <c r="BL1221" s="458">
        <v>0.25768622762151483</v>
      </c>
      <c r="BM1221" s="468">
        <v>5.2392178901622568</v>
      </c>
    </row>
    <row r="1222" spans="12:65" x14ac:dyDescent="0.3">
      <c r="L1222" s="427">
        <v>28048047.318300001</v>
      </c>
      <c r="BE1222" s="477">
        <v>3595292.0026262538</v>
      </c>
      <c r="BF1222" s="458">
        <v>8.8266880568147021E-2</v>
      </c>
      <c r="BG1222" s="477">
        <v>14366766.624135789</v>
      </c>
      <c r="BH1222" s="458">
        <v>4.9943161306722716E-2</v>
      </c>
      <c r="BI1222" s="477">
        <v>20028113.118912704</v>
      </c>
      <c r="BJ1222" s="458">
        <v>0.11629526387062694</v>
      </c>
      <c r="BK1222" s="477">
        <v>93963143.204053149</v>
      </c>
      <c r="BL1222" s="458">
        <v>0.25103645879203573</v>
      </c>
      <c r="BM1222" s="468">
        <v>8.0013386326276166</v>
      </c>
    </row>
    <row r="1223" spans="12:65" x14ac:dyDescent="0.3">
      <c r="L1223" s="427">
        <v>15017518.1631</v>
      </c>
      <c r="BE1223" s="477">
        <v>2893552.8921815543</v>
      </c>
      <c r="BF1223" s="458">
        <v>3.9812435458354001E-2</v>
      </c>
      <c r="BG1223" s="477">
        <v>10947528.663961323</v>
      </c>
      <c r="BH1223" s="458">
        <v>6.9334577211660031E-2</v>
      </c>
      <c r="BI1223" s="477">
        <v>16301197.569875052</v>
      </c>
      <c r="BJ1223" s="458">
        <v>0.1024430453347831</v>
      </c>
      <c r="BK1223" s="477">
        <v>95309054.644790858</v>
      </c>
      <c r="BL1223" s="458">
        <v>0.27633748573152173</v>
      </c>
      <c r="BM1223" s="468">
        <v>7.3994720171140109</v>
      </c>
    </row>
    <row r="1224" spans="12:65" x14ac:dyDescent="0.3">
      <c r="L1224" s="427">
        <v>20127636.119199999</v>
      </c>
      <c r="BE1224" s="477">
        <v>2120225.5416704663</v>
      </c>
      <c r="BF1224" s="458">
        <v>2.9231360171442233E-2</v>
      </c>
      <c r="BG1224" s="477">
        <v>3790546.7139479467</v>
      </c>
      <c r="BH1224" s="458">
        <v>6.1070805138258244E-2</v>
      </c>
      <c r="BI1224" s="477">
        <v>19722091.833359368</v>
      </c>
      <c r="BJ1224" s="458">
        <v>0.10334288022839599</v>
      </c>
      <c r="BK1224" s="477">
        <v>95463432.549279541</v>
      </c>
      <c r="BL1224" s="458">
        <v>0.25620684887103851</v>
      </c>
      <c r="BM1224" s="468">
        <v>9.9176051135875269</v>
      </c>
    </row>
    <row r="1225" spans="12:65" x14ac:dyDescent="0.3">
      <c r="L1225" s="427">
        <v>12886303.0186</v>
      </c>
      <c r="BE1225" s="477">
        <v>2492797.8470116779</v>
      </c>
      <c r="BF1225" s="458">
        <v>3.7807498162578224E-2</v>
      </c>
      <c r="BG1225" s="477">
        <v>12013626.598805701</v>
      </c>
      <c r="BH1225" s="458">
        <v>6.9526786884723579E-2</v>
      </c>
      <c r="BI1225" s="477">
        <v>22353617.651748903</v>
      </c>
      <c r="BJ1225" s="458">
        <v>9.572468379011112E-2</v>
      </c>
      <c r="BK1225" s="477">
        <v>89746542.42665796</v>
      </c>
      <c r="BL1225" s="458">
        <v>0.25196930357283365</v>
      </c>
      <c r="BM1225" s="468">
        <v>1.3121921691475951</v>
      </c>
    </row>
    <row r="1226" spans="12:65" x14ac:dyDescent="0.3">
      <c r="L1226" s="427">
        <v>11657992.238299999</v>
      </c>
      <c r="BE1226" s="477">
        <v>1798372.3678084947</v>
      </c>
      <c r="BF1226" s="458">
        <v>3.216116538923508E-2</v>
      </c>
      <c r="BG1226" s="477">
        <v>7058983.8101731976</v>
      </c>
      <c r="BH1226" s="458">
        <v>6.4542091081229991E-2</v>
      </c>
      <c r="BI1226" s="477">
        <v>11719085.622072965</v>
      </c>
      <c r="BJ1226" s="458">
        <v>9.9136196733044857E-2</v>
      </c>
      <c r="BK1226" s="477">
        <v>101427578.9605705</v>
      </c>
      <c r="BL1226" s="458">
        <v>0.25145315148514125</v>
      </c>
      <c r="BM1226" s="468">
        <v>7.1378585558490633</v>
      </c>
    </row>
    <row r="1227" spans="12:65" x14ac:dyDescent="0.3">
      <c r="L1227" s="427">
        <v>-12061455.826199999</v>
      </c>
      <c r="BE1227" s="477">
        <v>5387803.2005575495</v>
      </c>
      <c r="BF1227" s="458">
        <v>1.5906718465928504E-2</v>
      </c>
      <c r="BG1227" s="477">
        <v>6785279.8895328315</v>
      </c>
      <c r="BH1227" s="458">
        <v>6.7689320284918919E-2</v>
      </c>
      <c r="BI1227" s="477">
        <v>22029859.658635937</v>
      </c>
      <c r="BJ1227" s="458">
        <v>0.1037354936133843</v>
      </c>
      <c r="BK1227" s="477">
        <v>78055277.276179656</v>
      </c>
      <c r="BL1227" s="458">
        <v>0.28137549170379872</v>
      </c>
      <c r="BM1227" s="468">
        <v>16.674101537775446</v>
      </c>
    </row>
    <row r="1228" spans="12:65" x14ac:dyDescent="0.3">
      <c r="L1228" s="427">
        <v>6314055.5415000003</v>
      </c>
      <c r="BE1228" s="477">
        <v>6213020.81341465</v>
      </c>
      <c r="BF1228" s="458">
        <v>7.4638056826478394E-2</v>
      </c>
      <c r="BG1228" s="477">
        <v>14090134.229372587</v>
      </c>
      <c r="BH1228" s="458">
        <v>7.6895876526224649E-2</v>
      </c>
      <c r="BI1228" s="477">
        <v>14459067.023672136</v>
      </c>
      <c r="BJ1228" s="458">
        <v>0.10455188550435035</v>
      </c>
      <c r="BK1228" s="477">
        <v>89966555.974158779</v>
      </c>
      <c r="BL1228" s="458">
        <v>0.26453009068556788</v>
      </c>
      <c r="BM1228" s="468">
        <v>8.8102075524137859</v>
      </c>
    </row>
    <row r="1229" spans="12:65" x14ac:dyDescent="0.3">
      <c r="L1229" s="427">
        <v>9663709.4743000008</v>
      </c>
      <c r="BE1229" s="477">
        <v>5423117.8729275847</v>
      </c>
      <c r="BF1229" s="458">
        <v>2.6936957956399388E-2</v>
      </c>
      <c r="BG1229" s="477">
        <v>11392249.965589585</v>
      </c>
      <c r="BH1229" s="458">
        <v>4.5371018803928242E-2</v>
      </c>
      <c r="BI1229" s="477">
        <v>11475289.97091864</v>
      </c>
      <c r="BJ1229" s="458">
        <v>9.8295188852456583E-2</v>
      </c>
      <c r="BK1229" s="477">
        <v>83786474.736799031</v>
      </c>
      <c r="BL1229" s="458">
        <v>0.25346395111215791</v>
      </c>
      <c r="BM1229" s="468">
        <v>6.8816757795902133</v>
      </c>
    </row>
    <row r="1230" spans="12:65" x14ac:dyDescent="0.3">
      <c r="L1230" s="427">
        <v>-1774948.1124</v>
      </c>
      <c r="BE1230" s="477">
        <v>6943651.1657372564</v>
      </c>
      <c r="BF1230" s="458">
        <v>5.1661517799119316E-2</v>
      </c>
      <c r="BG1230" s="477">
        <v>8048495.9809101308</v>
      </c>
      <c r="BH1230" s="458">
        <v>5.6432775605397723E-2</v>
      </c>
      <c r="BI1230" s="477">
        <v>11893604.239454888</v>
      </c>
      <c r="BJ1230" s="458">
        <v>0.10287816026039498</v>
      </c>
      <c r="BK1230" s="477">
        <v>98312950.183429286</v>
      </c>
      <c r="BL1230" s="458">
        <v>0.26850216852993691</v>
      </c>
      <c r="BM1230" s="468">
        <v>8.3115548300795439</v>
      </c>
    </row>
    <row r="1231" spans="12:65" x14ac:dyDescent="0.3">
      <c r="L1231" s="427">
        <v>-562843.84389999998</v>
      </c>
      <c r="BE1231" s="477">
        <v>2923709.3465213208</v>
      </c>
      <c r="BF1231" s="458">
        <v>3.5339507548675764E-2</v>
      </c>
      <c r="BG1231" s="477">
        <v>12350016.403693751</v>
      </c>
      <c r="BH1231" s="458">
        <v>5.1390053739317043E-2</v>
      </c>
      <c r="BI1231" s="477">
        <v>10819188.140679725</v>
      </c>
      <c r="BJ1231" s="458">
        <v>0.10618424647902036</v>
      </c>
      <c r="BK1231" s="477">
        <v>87588472.864832863</v>
      </c>
      <c r="BL1231" s="458">
        <v>0.29283927316031511</v>
      </c>
      <c r="BM1231" s="468">
        <v>12.691781795840946</v>
      </c>
    </row>
    <row r="1232" spans="12:65" x14ac:dyDescent="0.3">
      <c r="L1232" s="427">
        <v>3087741.5893999999</v>
      </c>
      <c r="BE1232" s="477">
        <v>4097594.1452340577</v>
      </c>
      <c r="BF1232" s="458">
        <v>4.5835569581052837E-2</v>
      </c>
      <c r="BG1232" s="477">
        <v>-306535.42865835963</v>
      </c>
      <c r="BH1232" s="458">
        <v>3.1964993872858338E-2</v>
      </c>
      <c r="BI1232" s="477">
        <v>18888672.905407026</v>
      </c>
      <c r="BJ1232" s="458">
        <v>0.10606276861774377</v>
      </c>
      <c r="BK1232" s="477">
        <v>96275722.407724336</v>
      </c>
      <c r="BL1232" s="458">
        <v>0.27338057799567572</v>
      </c>
      <c r="BM1232" s="468">
        <v>10.154803267895844</v>
      </c>
    </row>
    <row r="1233" spans="12:65" x14ac:dyDescent="0.3">
      <c r="L1233" s="427">
        <v>-3365310.4216</v>
      </c>
      <c r="BE1233" s="477">
        <v>3715778.8353865268</v>
      </c>
      <c r="BF1233" s="458">
        <v>4.2485204728585746E-2</v>
      </c>
      <c r="BG1233" s="477">
        <v>5996678.8242768422</v>
      </c>
      <c r="BH1233" s="458">
        <v>7.2509724570155809E-2</v>
      </c>
      <c r="BI1233" s="477">
        <v>22848747.172339141</v>
      </c>
      <c r="BJ1233" s="458">
        <v>0.10680512213136484</v>
      </c>
      <c r="BK1233" s="477">
        <v>93347213.322056815</v>
      </c>
      <c r="BL1233" s="458">
        <v>0.27375198406537327</v>
      </c>
      <c r="BM1233" s="468">
        <v>6.593923569836206</v>
      </c>
    </row>
    <row r="1234" spans="12:65" x14ac:dyDescent="0.3">
      <c r="L1234" s="427">
        <v>19269347.779399998</v>
      </c>
      <c r="BE1234" s="477">
        <v>7131577.6724510761</v>
      </c>
      <c r="BF1234" s="458">
        <v>3.6603879504303105E-2</v>
      </c>
      <c r="BG1234" s="477">
        <v>-1034101.7182007377</v>
      </c>
      <c r="BH1234" s="458">
        <v>7.2023313897091601E-2</v>
      </c>
      <c r="BI1234" s="477">
        <v>17033378.12897649</v>
      </c>
      <c r="BJ1234" s="458">
        <v>8.9768691710890414E-2</v>
      </c>
      <c r="BK1234" s="477">
        <v>78681840.195596546</v>
      </c>
      <c r="BL1234" s="458">
        <v>0.29410428724048199</v>
      </c>
      <c r="BM1234" s="468">
        <v>11.491520256066774</v>
      </c>
    </row>
    <row r="1235" spans="12:65" x14ac:dyDescent="0.3">
      <c r="L1235" s="427">
        <v>-1645355.1673000001</v>
      </c>
      <c r="BE1235" s="477">
        <v>6217478.4056118364</v>
      </c>
      <c r="BF1235" s="458">
        <v>2.9525267434465707E-2</v>
      </c>
      <c r="BG1235" s="477">
        <v>9399374.95980574</v>
      </c>
      <c r="BH1235" s="458">
        <v>6.5873041602205751E-2</v>
      </c>
      <c r="BI1235" s="477">
        <v>16954199.750150129</v>
      </c>
      <c r="BJ1235" s="458">
        <v>0.15691255534033921</v>
      </c>
      <c r="BK1235" s="477">
        <v>88753736.003825247</v>
      </c>
      <c r="BL1235" s="458">
        <v>0.28577321087966356</v>
      </c>
      <c r="BM1235" s="468">
        <v>11.079025900929974</v>
      </c>
    </row>
    <row r="1236" spans="12:65" x14ac:dyDescent="0.3">
      <c r="L1236" s="427">
        <v>16923348.533199999</v>
      </c>
      <c r="BE1236" s="477">
        <v>5575679.9487063466</v>
      </c>
      <c r="BF1236" s="458">
        <v>5.7063416059419669E-2</v>
      </c>
      <c r="BG1236" s="477">
        <v>7872189.2538626008</v>
      </c>
      <c r="BH1236" s="458">
        <v>8.2998721036343204E-2</v>
      </c>
      <c r="BI1236" s="477">
        <v>20557300.64848892</v>
      </c>
      <c r="BJ1236" s="458">
        <v>0.11671021572163576</v>
      </c>
      <c r="BK1236" s="477">
        <v>81888928.05721131</v>
      </c>
      <c r="BL1236" s="458">
        <v>0.26614413013161764</v>
      </c>
      <c r="BM1236" s="468">
        <v>5.0479655831264472</v>
      </c>
    </row>
    <row r="1237" spans="12:65" x14ac:dyDescent="0.3">
      <c r="L1237" s="427">
        <v>12083905.3816</v>
      </c>
      <c r="BE1237" s="477">
        <v>4734332.2352085197</v>
      </c>
      <c r="BF1237" s="458">
        <v>2.2970408692011945E-2</v>
      </c>
      <c r="BG1237" s="477">
        <v>7880083.5565537801</v>
      </c>
      <c r="BH1237" s="458">
        <v>8.0182966695681701E-2</v>
      </c>
      <c r="BI1237" s="477">
        <v>12153315.806776892</v>
      </c>
      <c r="BJ1237" s="458">
        <v>0.11132360208775038</v>
      </c>
      <c r="BK1237" s="477">
        <v>90039999.87387529</v>
      </c>
      <c r="BL1237" s="458">
        <v>0.26852908103991235</v>
      </c>
      <c r="BM1237" s="468">
        <v>14.714266326989282</v>
      </c>
    </row>
    <row r="1238" spans="12:65" x14ac:dyDescent="0.3">
      <c r="L1238" s="427">
        <v>-6269239.1749</v>
      </c>
      <c r="BE1238" s="477">
        <v>10255076.370220257</v>
      </c>
      <c r="BF1238" s="458">
        <v>2.7877926327819269E-2</v>
      </c>
      <c r="BG1238" s="477">
        <v>3222414.6923038107</v>
      </c>
      <c r="BH1238" s="458">
        <v>5.1790501980716996E-2</v>
      </c>
      <c r="BI1238" s="477">
        <v>7435262.5790419579</v>
      </c>
      <c r="BJ1238" s="458">
        <v>0.11874469694319068</v>
      </c>
      <c r="BK1238" s="477">
        <v>88456629.03150019</v>
      </c>
      <c r="BL1238" s="458">
        <v>0.27218279977241222</v>
      </c>
      <c r="BM1238" s="468">
        <v>2.9777582076878106</v>
      </c>
    </row>
    <row r="1239" spans="12:65" x14ac:dyDescent="0.3">
      <c r="L1239" s="427">
        <v>4856032.2657000003</v>
      </c>
      <c r="BE1239" s="477">
        <v>4300545.4546808479</v>
      </c>
      <c r="BF1239" s="458">
        <v>5.5443811005244203E-2</v>
      </c>
      <c r="BG1239" s="477">
        <v>9784180.5088092778</v>
      </c>
      <c r="BH1239" s="458">
        <v>7.6432978812244645E-2</v>
      </c>
      <c r="BI1239" s="477">
        <v>10013419.895686086</v>
      </c>
      <c r="BJ1239" s="458">
        <v>0.12270385408398132</v>
      </c>
      <c r="BK1239" s="477">
        <v>91295300.979099452</v>
      </c>
      <c r="BL1239" s="458">
        <v>0.27909664042576199</v>
      </c>
      <c r="BM1239" s="468">
        <v>8.0374290654972178</v>
      </c>
    </row>
    <row r="1240" spans="12:65" x14ac:dyDescent="0.3">
      <c r="L1240" s="427">
        <v>12718994.543500001</v>
      </c>
      <c r="BE1240" s="477">
        <v>4592168.3051713658</v>
      </c>
      <c r="BF1240" s="458">
        <v>3.6469073961106657E-2</v>
      </c>
      <c r="BG1240" s="477">
        <v>6104926.1416136753</v>
      </c>
      <c r="BH1240" s="458">
        <v>9.5539621363561089E-2</v>
      </c>
      <c r="BI1240" s="477">
        <v>13820458.173436038</v>
      </c>
      <c r="BJ1240" s="458">
        <v>0.12295053542620438</v>
      </c>
      <c r="BK1240" s="477">
        <v>82804026.222178087</v>
      </c>
      <c r="BL1240" s="458">
        <v>0.26712351063279516</v>
      </c>
      <c r="BM1240" s="468">
        <v>1.3397214703085254</v>
      </c>
    </row>
    <row r="1241" spans="12:65" x14ac:dyDescent="0.3">
      <c r="L1241" s="427">
        <v>1450697.7481</v>
      </c>
      <c r="BE1241" s="477">
        <v>2448066.2205196526</v>
      </c>
      <c r="BF1241" s="458">
        <v>1.9931583676838338E-2</v>
      </c>
      <c r="BG1241" s="477">
        <v>10356309.393384838</v>
      </c>
      <c r="BH1241" s="458">
        <v>4.9374733189655462E-2</v>
      </c>
      <c r="BI1241" s="477">
        <v>12443488.762919892</v>
      </c>
      <c r="BJ1241" s="458">
        <v>0.12646313656693331</v>
      </c>
      <c r="BK1241" s="477">
        <v>78136078.319671422</v>
      </c>
      <c r="BL1241" s="458">
        <v>0.26029720263644629</v>
      </c>
      <c r="BM1241" s="468">
        <v>2.9994169757605</v>
      </c>
    </row>
    <row r="1242" spans="12:65" x14ac:dyDescent="0.3">
      <c r="L1242" s="427">
        <v>12090553.6019</v>
      </c>
      <c r="BE1242" s="477">
        <v>3005592.2212478588</v>
      </c>
      <c r="BF1242" s="458">
        <v>3.9081299977778983E-2</v>
      </c>
      <c r="BG1242" s="477">
        <v>9888692.6559114009</v>
      </c>
      <c r="BH1242" s="458">
        <v>6.6955338758967642E-2</v>
      </c>
      <c r="BI1242" s="477">
        <v>11044537.063701687</v>
      </c>
      <c r="BJ1242" s="458">
        <v>9.9469153521584586E-2</v>
      </c>
      <c r="BK1242" s="477">
        <v>89365498.58283563</v>
      </c>
      <c r="BL1242" s="458">
        <v>0.2818866334210044</v>
      </c>
      <c r="BM1242" s="468">
        <v>7.1168013169915358</v>
      </c>
    </row>
    <row r="1243" spans="12:65" x14ac:dyDescent="0.3">
      <c r="L1243" s="427">
        <v>14832798.966</v>
      </c>
      <c r="BE1243" s="477">
        <v>2798417.9794936501</v>
      </c>
      <c r="BF1243" s="458">
        <v>3.0844370210722838E-2</v>
      </c>
      <c r="BG1243" s="477">
        <v>7193682.3211544119</v>
      </c>
      <c r="BH1243" s="458">
        <v>4.4169620957948075E-2</v>
      </c>
      <c r="BI1243" s="477">
        <v>13673680.629365372</v>
      </c>
      <c r="BJ1243" s="458">
        <v>0.11990868943658994</v>
      </c>
      <c r="BK1243" s="477">
        <v>92552143.458217815</v>
      </c>
      <c r="BL1243" s="458">
        <v>0.26657910878232127</v>
      </c>
      <c r="BM1243" s="468">
        <v>11.303291198847209</v>
      </c>
    </row>
    <row r="1244" spans="12:65" x14ac:dyDescent="0.3">
      <c r="L1244" s="427">
        <v>13200535.9158</v>
      </c>
      <c r="BE1244" s="477">
        <v>7839475.4445488183</v>
      </c>
      <c r="BF1244" s="458">
        <v>5.1490701383016146E-2</v>
      </c>
      <c r="BG1244" s="477">
        <v>5222854.0106395222</v>
      </c>
      <c r="BH1244" s="458">
        <v>3.6330731475642697E-2</v>
      </c>
      <c r="BI1244" s="477">
        <v>17039241.92351298</v>
      </c>
      <c r="BJ1244" s="458">
        <v>0.10720677023673986</v>
      </c>
      <c r="BK1244" s="477">
        <v>91629879.315837607</v>
      </c>
      <c r="BL1244" s="458">
        <v>0.24813816115626208</v>
      </c>
      <c r="BM1244" s="468">
        <v>7.7550637537743832</v>
      </c>
    </row>
    <row r="1245" spans="12:65" x14ac:dyDescent="0.3">
      <c r="L1245" s="427">
        <v>3751468.2867999999</v>
      </c>
      <c r="BE1245" s="477">
        <v>-2235413.0918578305</v>
      </c>
      <c r="BF1245" s="458">
        <v>3.1182515709353487E-2</v>
      </c>
      <c r="BG1245" s="477">
        <v>9163706.5723323766</v>
      </c>
      <c r="BH1245" s="458">
        <v>4.7941874636873161E-2</v>
      </c>
      <c r="BI1245" s="477">
        <v>16772286.729272399</v>
      </c>
      <c r="BJ1245" s="458">
        <v>0.11520776360615748</v>
      </c>
      <c r="BK1245" s="477">
        <v>93679526.278694347</v>
      </c>
      <c r="BL1245" s="458">
        <v>0.27730211615793099</v>
      </c>
      <c r="BM1245" s="468">
        <v>14.628286239198115</v>
      </c>
    </row>
    <row r="1246" spans="12:65" x14ac:dyDescent="0.3">
      <c r="L1246" s="427">
        <v>79453.684899999993</v>
      </c>
      <c r="BE1246" s="477">
        <v>2085209.6587208151</v>
      </c>
      <c r="BF1246" s="458">
        <v>4.2756220017308832E-2</v>
      </c>
      <c r="BG1246" s="477">
        <v>2674391.6659647566</v>
      </c>
      <c r="BH1246" s="458">
        <v>6.3958057517149003E-2</v>
      </c>
      <c r="BI1246" s="477">
        <v>13942896.045475993</v>
      </c>
      <c r="BJ1246" s="458">
        <v>0.11122737439620156</v>
      </c>
      <c r="BK1246" s="477">
        <v>83560472.800661713</v>
      </c>
      <c r="BL1246" s="458">
        <v>0.26516731424347006</v>
      </c>
      <c r="BM1246" s="468">
        <v>5.8124140704139933</v>
      </c>
    </row>
    <row r="1247" spans="12:65" x14ac:dyDescent="0.3">
      <c r="L1247" s="427">
        <v>7468901.3468000004</v>
      </c>
      <c r="BE1247" s="477">
        <v>2091437.6748690787</v>
      </c>
      <c r="BF1247" s="458">
        <v>3.7096379622368447E-2</v>
      </c>
      <c r="BG1247" s="477">
        <v>6029643.4301723149</v>
      </c>
      <c r="BH1247" s="458">
        <v>8.9072473623060366E-2</v>
      </c>
      <c r="BI1247" s="477">
        <v>16727135.699396852</v>
      </c>
      <c r="BJ1247" s="458">
        <v>9.9335852240127975E-2</v>
      </c>
      <c r="BK1247" s="477">
        <v>100326603.60685787</v>
      </c>
      <c r="BL1247" s="458">
        <v>0.26120515048676651</v>
      </c>
      <c r="BM1247" s="468">
        <v>7.0098782740765273</v>
      </c>
    </row>
    <row r="1248" spans="12:65" x14ac:dyDescent="0.3">
      <c r="L1248" s="427">
        <v>-3578707.3733000001</v>
      </c>
      <c r="BE1248" s="477">
        <v>6330320.7736313501</v>
      </c>
      <c r="BF1248" s="458">
        <v>5.7344683752180048E-2</v>
      </c>
      <c r="BG1248" s="477">
        <v>15100708.923909092</v>
      </c>
      <c r="BH1248" s="458">
        <v>8.2593138374853936E-2</v>
      </c>
      <c r="BI1248" s="477">
        <v>13857656.151144546</v>
      </c>
      <c r="BJ1248" s="458">
        <v>9.9215980511197621E-2</v>
      </c>
      <c r="BK1248" s="477">
        <v>80903447.615824744</v>
      </c>
      <c r="BL1248" s="458">
        <v>0.25896270833485335</v>
      </c>
      <c r="BM1248" s="468">
        <v>3.6700377594985971</v>
      </c>
    </row>
    <row r="1249" spans="12:65" x14ac:dyDescent="0.3">
      <c r="L1249" s="427">
        <v>3084583.2174</v>
      </c>
      <c r="BE1249" s="477">
        <v>2728852.249740182</v>
      </c>
      <c r="BF1249" s="458">
        <v>3.2151522161611545E-2</v>
      </c>
      <c r="BG1249" s="477">
        <v>12285026.997629384</v>
      </c>
      <c r="BH1249" s="458">
        <v>6.7067638295729592E-2</v>
      </c>
      <c r="BI1249" s="477">
        <v>22174575.022730134</v>
      </c>
      <c r="BJ1249" s="458">
        <v>0.13455315031073445</v>
      </c>
      <c r="BK1249" s="477">
        <v>100575504.01749855</v>
      </c>
      <c r="BL1249" s="458">
        <v>0.28313261252294386</v>
      </c>
      <c r="BM1249" s="468">
        <v>9.6139446980965158</v>
      </c>
    </row>
    <row r="1250" spans="12:65" x14ac:dyDescent="0.3">
      <c r="L1250" s="427">
        <v>-7625083.1005999995</v>
      </c>
      <c r="BE1250" s="477">
        <v>1968003.2169813602</v>
      </c>
      <c r="BF1250" s="458">
        <v>6.5533383907405929E-2</v>
      </c>
      <c r="BG1250" s="477">
        <v>10240915.286327461</v>
      </c>
      <c r="BH1250" s="458">
        <v>9.1512079828663495E-2</v>
      </c>
      <c r="BI1250" s="477">
        <v>25192768.421254922</v>
      </c>
      <c r="BJ1250" s="458">
        <v>0.10518475092249391</v>
      </c>
      <c r="BK1250" s="477">
        <v>83306396.810289606</v>
      </c>
      <c r="BL1250" s="458">
        <v>0.27782821438601912</v>
      </c>
      <c r="BM1250" s="468">
        <v>10.76427874499357</v>
      </c>
    </row>
    <row r="1251" spans="12:65" x14ac:dyDescent="0.3">
      <c r="L1251" s="427">
        <v>12413159.1291</v>
      </c>
      <c r="BE1251" s="477">
        <v>7802191.5388030848</v>
      </c>
      <c r="BF1251" s="458">
        <v>4.1216186511358721E-2</v>
      </c>
      <c r="BG1251" s="477">
        <v>2820817.5067631244</v>
      </c>
      <c r="BH1251" s="458">
        <v>4.2356088636404277E-2</v>
      </c>
      <c r="BI1251" s="477">
        <v>22650823.520624232</v>
      </c>
      <c r="BJ1251" s="458">
        <v>0.12464001656415946</v>
      </c>
      <c r="BK1251" s="477">
        <v>94064933.85580276</v>
      </c>
      <c r="BL1251" s="458">
        <v>0.26478190046232064</v>
      </c>
      <c r="BM1251" s="468">
        <v>5.8427481404301682</v>
      </c>
    </row>
    <row r="1252" spans="12:65" x14ac:dyDescent="0.3">
      <c r="L1252" s="427">
        <v>10457598.9255</v>
      </c>
      <c r="BE1252" s="477">
        <v>3704106.7380527332</v>
      </c>
      <c r="BF1252" s="458">
        <v>6.4715152179315227E-2</v>
      </c>
      <c r="BG1252" s="477">
        <v>13470023.411357898</v>
      </c>
      <c r="BH1252" s="458">
        <v>4.2869788220737171E-2</v>
      </c>
      <c r="BI1252" s="477">
        <v>11209597.678462788</v>
      </c>
      <c r="BJ1252" s="458">
        <v>0.10704936419862809</v>
      </c>
      <c r="BK1252" s="477">
        <v>97059083.320740178</v>
      </c>
      <c r="BL1252" s="458">
        <v>0.26908795294891807</v>
      </c>
      <c r="BM1252" s="468">
        <v>3.6576233893471111</v>
      </c>
    </row>
    <row r="1253" spans="12:65" x14ac:dyDescent="0.3">
      <c r="L1253" s="427">
        <v>14516644.2951</v>
      </c>
      <c r="BE1253" s="477">
        <v>6538147.7205523085</v>
      </c>
      <c r="BF1253" s="458">
        <v>3.4365582223360169E-2</v>
      </c>
      <c r="BG1253" s="477">
        <v>12389786.978816606</v>
      </c>
      <c r="BH1253" s="458">
        <v>7.9384054077889399E-2</v>
      </c>
      <c r="BI1253" s="477">
        <v>16199693.326418635</v>
      </c>
      <c r="BJ1253" s="458">
        <v>0.13193215110669709</v>
      </c>
      <c r="BK1253" s="477">
        <v>86996876.275888622</v>
      </c>
      <c r="BL1253" s="458">
        <v>0.27665045098636432</v>
      </c>
      <c r="BM1253" s="468">
        <v>6.898752390857628</v>
      </c>
    </row>
    <row r="1254" spans="12:65" x14ac:dyDescent="0.3">
      <c r="L1254" s="427">
        <v>10380407.4734</v>
      </c>
      <c r="BE1254" s="477">
        <v>2320974.5760923172</v>
      </c>
      <c r="BF1254" s="458">
        <v>4.0955729223117077E-2</v>
      </c>
      <c r="BG1254" s="477">
        <v>13248334.729702938</v>
      </c>
      <c r="BH1254" s="458">
        <v>7.1459910408342431E-2</v>
      </c>
      <c r="BI1254" s="477">
        <v>19757719.445774131</v>
      </c>
      <c r="BJ1254" s="458">
        <v>0.10392056905224956</v>
      </c>
      <c r="BK1254" s="477">
        <v>86030880.166593298</v>
      </c>
      <c r="BL1254" s="458">
        <v>0.29349614565938498</v>
      </c>
      <c r="BM1254" s="468">
        <v>14.150396726675554</v>
      </c>
    </row>
    <row r="1255" spans="12:65" x14ac:dyDescent="0.3">
      <c r="L1255" s="427">
        <v>11036523.3102</v>
      </c>
      <c r="BE1255" s="477">
        <v>3500375.5960715432</v>
      </c>
      <c r="BF1255" s="458">
        <v>4.692328407236146E-2</v>
      </c>
      <c r="BG1255" s="477">
        <v>11187707.390876969</v>
      </c>
      <c r="BH1255" s="458">
        <v>8.0012969614758012E-2</v>
      </c>
      <c r="BI1255" s="477">
        <v>22276114.070348665</v>
      </c>
      <c r="BJ1255" s="458">
        <v>0.11172370167500101</v>
      </c>
      <c r="BK1255" s="477">
        <v>84257390.010067731</v>
      </c>
      <c r="BL1255" s="458">
        <v>0.28196296971358747</v>
      </c>
      <c r="BM1255" s="468">
        <v>16.107695354989168</v>
      </c>
    </row>
    <row r="1256" spans="12:65" x14ac:dyDescent="0.3">
      <c r="L1256" s="427">
        <v>4621525.3250000002</v>
      </c>
      <c r="BE1256" s="477">
        <v>5492046.621945804</v>
      </c>
      <c r="BF1256" s="458">
        <v>2.8365220700048654E-2</v>
      </c>
      <c r="BG1256" s="477">
        <v>4959972.7357318467</v>
      </c>
      <c r="BH1256" s="458">
        <v>6.0674030186074202E-2</v>
      </c>
      <c r="BI1256" s="477">
        <v>27125624.664576232</v>
      </c>
      <c r="BJ1256" s="458">
        <v>0.10020203392148708</v>
      </c>
      <c r="BK1256" s="477">
        <v>90260552.828751102</v>
      </c>
      <c r="BL1256" s="458">
        <v>0.26713070098774105</v>
      </c>
      <c r="BM1256" s="468">
        <v>9.4722102494434175</v>
      </c>
    </row>
    <row r="1257" spans="12:65" x14ac:dyDescent="0.3">
      <c r="L1257" s="427">
        <v>15544290.848300001</v>
      </c>
      <c r="BE1257" s="477">
        <v>8850821.148309866</v>
      </c>
      <c r="BF1257" s="458">
        <v>3.1916442706157122E-2</v>
      </c>
      <c r="BG1257" s="477">
        <v>10535505.646876127</v>
      </c>
      <c r="BH1257" s="458">
        <v>6.7658484806782493E-2</v>
      </c>
      <c r="BI1257" s="477">
        <v>18072923.289283592</v>
      </c>
      <c r="BJ1257" s="458">
        <v>0.11805995872972419</v>
      </c>
      <c r="BK1257" s="477">
        <v>97353390.925900519</v>
      </c>
      <c r="BL1257" s="458">
        <v>0.26844449140779547</v>
      </c>
      <c r="BM1257" s="468">
        <v>3.9464860595323268</v>
      </c>
    </row>
    <row r="1258" spans="12:65" x14ac:dyDescent="0.3">
      <c r="L1258" s="427">
        <v>19477509.277600002</v>
      </c>
      <c r="BE1258" s="477">
        <v>6339736.424019048</v>
      </c>
      <c r="BF1258" s="458">
        <v>2.2912222070861521E-2</v>
      </c>
      <c r="BG1258" s="477">
        <v>1778999.1233464256</v>
      </c>
      <c r="BH1258" s="458">
        <v>6.5199758953699005E-2</v>
      </c>
      <c r="BI1258" s="477">
        <v>14853647.452132916</v>
      </c>
      <c r="BJ1258" s="458">
        <v>0.11428947128841194</v>
      </c>
      <c r="BK1258" s="477">
        <v>80174480.365256906</v>
      </c>
      <c r="BL1258" s="458">
        <v>0.27662319213441577</v>
      </c>
      <c r="BM1258" s="468">
        <v>3.3839445589665047</v>
      </c>
    </row>
    <row r="1259" spans="12:65" x14ac:dyDescent="0.3">
      <c r="L1259" s="427">
        <v>5518415.5701000001</v>
      </c>
      <c r="BE1259" s="477">
        <v>2933419.1396706435</v>
      </c>
      <c r="BF1259" s="458">
        <v>2.7741646592571056E-2</v>
      </c>
      <c r="BG1259" s="477">
        <v>6050343.4304852355</v>
      </c>
      <c r="BH1259" s="458">
        <v>4.8249302019485629E-2</v>
      </c>
      <c r="BI1259" s="477">
        <v>17279995.610955458</v>
      </c>
      <c r="BJ1259" s="458">
        <v>0.10414784768096297</v>
      </c>
      <c r="BK1259" s="477">
        <v>94955105.755021766</v>
      </c>
      <c r="BL1259" s="458">
        <v>0.28460674819607745</v>
      </c>
      <c r="BM1259" s="468">
        <v>3.6734844052187716</v>
      </c>
    </row>
    <row r="1260" spans="12:65" x14ac:dyDescent="0.3">
      <c r="L1260" s="427">
        <v>9637950.1643000003</v>
      </c>
      <c r="BE1260" s="477">
        <v>3909131.8662963035</v>
      </c>
      <c r="BF1260" s="458">
        <v>3.3957405922400596E-2</v>
      </c>
      <c r="BG1260" s="477">
        <v>8388802.7106548715</v>
      </c>
      <c r="BH1260" s="458">
        <v>7.3196311350095078E-2</v>
      </c>
      <c r="BI1260" s="477">
        <v>20042821.923923843</v>
      </c>
      <c r="BJ1260" s="458">
        <v>0.10525680267746762</v>
      </c>
      <c r="BK1260" s="477">
        <v>98026621.576945677</v>
      </c>
      <c r="BL1260" s="458">
        <v>0.26235727630850247</v>
      </c>
      <c r="BM1260" s="468">
        <v>8.7218894184947047</v>
      </c>
    </row>
    <row r="1261" spans="12:65" x14ac:dyDescent="0.3">
      <c r="L1261" s="427">
        <v>3025251.0247</v>
      </c>
      <c r="BE1261" s="477">
        <v>5393321.6859978121</v>
      </c>
      <c r="BF1261" s="458">
        <v>3.786991080535862E-2</v>
      </c>
      <c r="BG1261" s="477">
        <v>-8443423.8362834733</v>
      </c>
      <c r="BH1261" s="458">
        <v>5.6166354870285984E-2</v>
      </c>
      <c r="BI1261" s="477">
        <v>16109948.274523597</v>
      </c>
      <c r="BJ1261" s="458">
        <v>0.10258446096034435</v>
      </c>
      <c r="BK1261" s="477">
        <v>89609308.062567592</v>
      </c>
      <c r="BL1261" s="458">
        <v>0.2754290038214795</v>
      </c>
      <c r="BM1261" s="468">
        <v>11.837137222566529</v>
      </c>
    </row>
    <row r="1262" spans="12:65" x14ac:dyDescent="0.3">
      <c r="L1262" s="427">
        <v>11642642.7937</v>
      </c>
      <c r="BE1262" s="477">
        <v>-492993.4597146603</v>
      </c>
      <c r="BF1262" s="458">
        <v>2.3925774194267779E-2</v>
      </c>
      <c r="BG1262" s="477">
        <v>8708415.1618761532</v>
      </c>
      <c r="BH1262" s="458">
        <v>5.1314757100109576E-2</v>
      </c>
      <c r="BI1262" s="477">
        <v>11405382.846134411</v>
      </c>
      <c r="BJ1262" s="458">
        <v>8.8329498754304181E-2</v>
      </c>
      <c r="BK1262" s="477">
        <v>97910304.016906455</v>
      </c>
      <c r="BL1262" s="458">
        <v>0.2701760580994863</v>
      </c>
      <c r="BM1262" s="468">
        <v>11.283688038403472</v>
      </c>
    </row>
    <row r="1263" spans="12:65" x14ac:dyDescent="0.3">
      <c r="L1263" s="427">
        <v>11268818.2234</v>
      </c>
      <c r="BE1263" s="477">
        <v>4301292.0983825</v>
      </c>
      <c r="BF1263" s="458">
        <v>3.2724164550413937E-2</v>
      </c>
      <c r="BG1263" s="477">
        <v>9019284.133555878</v>
      </c>
      <c r="BH1263" s="458">
        <v>6.8648450813853179E-2</v>
      </c>
      <c r="BI1263" s="477">
        <v>24173081.033403646</v>
      </c>
      <c r="BJ1263" s="458">
        <v>9.1768960778461972E-2</v>
      </c>
      <c r="BK1263" s="477">
        <v>85296037.910405308</v>
      </c>
      <c r="BL1263" s="458">
        <v>0.25721072193968264</v>
      </c>
      <c r="BM1263" s="468">
        <v>12.920692358612769</v>
      </c>
    </row>
    <row r="1264" spans="12:65" x14ac:dyDescent="0.3">
      <c r="L1264" s="427">
        <v>13362553.682800001</v>
      </c>
      <c r="BE1264" s="477">
        <v>6289308.691479194</v>
      </c>
      <c r="BF1264" s="458">
        <v>2.4818861267627002E-2</v>
      </c>
      <c r="BG1264" s="477">
        <v>9117599.8736051843</v>
      </c>
      <c r="BH1264" s="458">
        <v>7.3812148449356796E-2</v>
      </c>
      <c r="BI1264" s="477">
        <v>21144110.526845593</v>
      </c>
      <c r="BJ1264" s="458">
        <v>0.13132879765244487</v>
      </c>
      <c r="BK1264" s="477">
        <v>84752562.189130157</v>
      </c>
      <c r="BL1264" s="458">
        <v>0.25934522219516043</v>
      </c>
      <c r="BM1264" s="468">
        <v>12.803541003756667</v>
      </c>
    </row>
    <row r="1265" spans="12:65" x14ac:dyDescent="0.3">
      <c r="L1265" s="427">
        <v>7493623.5164999999</v>
      </c>
      <c r="BE1265" s="477">
        <v>6404271.9623591229</v>
      </c>
      <c r="BF1265" s="458">
        <v>3.1124788366689193E-2</v>
      </c>
      <c r="BG1265" s="477">
        <v>8284446.6930511314</v>
      </c>
      <c r="BH1265" s="458">
        <v>7.4110704750357526E-2</v>
      </c>
      <c r="BI1265" s="477">
        <v>7792110.5234298101</v>
      </c>
      <c r="BJ1265" s="458">
        <v>9.4064480935613703E-2</v>
      </c>
      <c r="BK1265" s="477">
        <v>96091950.77343826</v>
      </c>
      <c r="BL1265" s="458">
        <v>0.28975272073803593</v>
      </c>
      <c r="BM1265" s="468">
        <v>11.759737303706641</v>
      </c>
    </row>
    <row r="1266" spans="12:65" x14ac:dyDescent="0.3">
      <c r="L1266" s="427">
        <v>-5147996.7675000001</v>
      </c>
      <c r="BE1266" s="477">
        <v>4177037.9300513859</v>
      </c>
      <c r="BF1266" s="458">
        <v>4.4412331720443454E-2</v>
      </c>
      <c r="BG1266" s="477">
        <v>8792712.8452538736</v>
      </c>
      <c r="BH1266" s="458">
        <v>6.984019206092662E-2</v>
      </c>
      <c r="BI1266" s="477">
        <v>23531538.762478676</v>
      </c>
      <c r="BJ1266" s="458">
        <v>0.14611425856146898</v>
      </c>
      <c r="BK1266" s="477">
        <v>102255841.60297427</v>
      </c>
      <c r="BL1266" s="458">
        <v>0.28292311772715606</v>
      </c>
      <c r="BM1266" s="468">
        <v>15.001441442694546</v>
      </c>
    </row>
    <row r="1267" spans="12:65" x14ac:dyDescent="0.3">
      <c r="L1267" s="427">
        <v>8806948.7737000007</v>
      </c>
      <c r="BE1267" s="477">
        <v>4214507.7655541264</v>
      </c>
      <c r="BF1267" s="458">
        <v>5.2181632619466622E-2</v>
      </c>
      <c r="BG1267" s="477">
        <v>10861284.083937475</v>
      </c>
      <c r="BH1267" s="458">
        <v>6.7395697221753315E-2</v>
      </c>
      <c r="BI1267" s="477">
        <v>16170060.393686257</v>
      </c>
      <c r="BJ1267" s="458">
        <v>0.11674628359605776</v>
      </c>
      <c r="BK1267" s="477">
        <v>91471872.943066478</v>
      </c>
      <c r="BL1267" s="458">
        <v>0.27096953355793163</v>
      </c>
      <c r="BM1267" s="468">
        <v>12.298460946003317</v>
      </c>
    </row>
    <row r="1268" spans="12:65" x14ac:dyDescent="0.3">
      <c r="L1268" s="427">
        <v>6944391.9732999997</v>
      </c>
      <c r="BE1268" s="477">
        <v>6323830.5698276451</v>
      </c>
      <c r="BF1268" s="458">
        <v>4.6606631455385683E-2</v>
      </c>
      <c r="BG1268" s="477">
        <v>13026119.889961986</v>
      </c>
      <c r="BH1268" s="458">
        <v>8.1917467141171763E-2</v>
      </c>
      <c r="BI1268" s="477">
        <v>10916591.952395495</v>
      </c>
      <c r="BJ1268" s="458">
        <v>0.11254128583792555</v>
      </c>
      <c r="BK1268" s="477">
        <v>95569838.018492639</v>
      </c>
      <c r="BL1268" s="458">
        <v>0.26768336788988734</v>
      </c>
      <c r="BM1268" s="468">
        <v>3.1341551332932909</v>
      </c>
    </row>
    <row r="1269" spans="12:65" x14ac:dyDescent="0.3">
      <c r="L1269" s="427">
        <v>3524432.0222999998</v>
      </c>
      <c r="BE1269" s="477">
        <v>2887586.783099704</v>
      </c>
      <c r="BF1269" s="458">
        <v>4.7197017418100007E-2</v>
      </c>
      <c r="BG1269" s="477">
        <v>6204434.9184688721</v>
      </c>
      <c r="BH1269" s="458">
        <v>5.3937785931494897E-2</v>
      </c>
      <c r="BI1269" s="477">
        <v>20114252.075064074</v>
      </c>
      <c r="BJ1269" s="458">
        <v>0.13284039144425619</v>
      </c>
      <c r="BK1269" s="477">
        <v>91292153.24812822</v>
      </c>
      <c r="BL1269" s="458">
        <v>0.25805784376791596</v>
      </c>
      <c r="BM1269" s="468">
        <v>9.7410939926663875</v>
      </c>
    </row>
    <row r="1270" spans="12:65" x14ac:dyDescent="0.3">
      <c r="L1270" s="427">
        <v>16203686.9651</v>
      </c>
      <c r="BE1270" s="477">
        <v>7601047.753275089</v>
      </c>
      <c r="BF1270" s="458">
        <v>1.8519290034977542E-2</v>
      </c>
      <c r="BG1270" s="477">
        <v>13136066.062244326</v>
      </c>
      <c r="BH1270" s="458">
        <v>7.1750218014209333E-2</v>
      </c>
      <c r="BI1270" s="477">
        <v>17140689.683621924</v>
      </c>
      <c r="BJ1270" s="458">
        <v>9.8214033530112488E-2</v>
      </c>
      <c r="BK1270" s="477">
        <v>89951523.983980328</v>
      </c>
      <c r="BL1270" s="458">
        <v>0.24663560772721782</v>
      </c>
      <c r="BM1270" s="468">
        <v>1.5617188412465639</v>
      </c>
    </row>
    <row r="1271" spans="12:65" x14ac:dyDescent="0.3">
      <c r="L1271" s="427">
        <v>9320642.2379000001</v>
      </c>
      <c r="BE1271" s="477">
        <v>1769159.3636833327</v>
      </c>
      <c r="BF1271" s="458">
        <v>7.1887584037376717E-2</v>
      </c>
      <c r="BG1271" s="477">
        <v>12664464.907478146</v>
      </c>
      <c r="BH1271" s="458">
        <v>9.6455924521363867E-2</v>
      </c>
      <c r="BI1271" s="477">
        <v>19224650.348486282</v>
      </c>
      <c r="BJ1271" s="458">
        <v>0.12081970658132746</v>
      </c>
      <c r="BK1271" s="477">
        <v>91023850.009255737</v>
      </c>
      <c r="BL1271" s="458">
        <v>0.27357897297044298</v>
      </c>
      <c r="BM1271" s="468">
        <v>9.6640633651141545</v>
      </c>
    </row>
    <row r="1272" spans="12:65" x14ac:dyDescent="0.3">
      <c r="L1272" s="427">
        <v>5231497.9966000002</v>
      </c>
      <c r="BE1272" s="477">
        <v>6410440.2884386685</v>
      </c>
      <c r="BF1272" s="458">
        <v>3.6574157842521382E-2</v>
      </c>
      <c r="BG1272" s="477">
        <v>2851023.3145435317</v>
      </c>
      <c r="BH1272" s="458">
        <v>7.4353776196107946E-2</v>
      </c>
      <c r="BI1272" s="477">
        <v>14059770.459149187</v>
      </c>
      <c r="BJ1272" s="458">
        <v>0.10583639976130854</v>
      </c>
      <c r="BK1272" s="477">
        <v>95091933.574768499</v>
      </c>
      <c r="BL1272" s="458">
        <v>0.26122313700037436</v>
      </c>
      <c r="BM1272" s="468">
        <v>14.195205830315107</v>
      </c>
    </row>
    <row r="1273" spans="12:65" x14ac:dyDescent="0.3">
      <c r="L1273" s="427">
        <v>3998652.0218000002</v>
      </c>
      <c r="BE1273" s="477">
        <v>3868524.826257661</v>
      </c>
      <c r="BF1273" s="458">
        <v>4.5714630042882787E-2</v>
      </c>
      <c r="BG1273" s="477">
        <v>10023414.49666163</v>
      </c>
      <c r="BH1273" s="458">
        <v>7.3977028408900081E-2</v>
      </c>
      <c r="BI1273" s="477">
        <v>16125386.935515039</v>
      </c>
      <c r="BJ1273" s="458">
        <v>0.1215985491875522</v>
      </c>
      <c r="BK1273" s="477">
        <v>96052985.476966113</v>
      </c>
      <c r="BL1273" s="458">
        <v>0.26957825865128826</v>
      </c>
      <c r="BM1273" s="468">
        <v>9.5094271222560049</v>
      </c>
    </row>
    <row r="1274" spans="12:65" x14ac:dyDescent="0.3">
      <c r="L1274" s="427">
        <v>-4981386.4058999997</v>
      </c>
      <c r="BE1274" s="477">
        <v>776676.060244711</v>
      </c>
      <c r="BF1274" s="458">
        <v>3.571851293453876E-2</v>
      </c>
      <c r="BG1274" s="477">
        <v>7863935.940362989</v>
      </c>
      <c r="BH1274" s="458">
        <v>8.1294838578918061E-2</v>
      </c>
      <c r="BI1274" s="477">
        <v>18884830.23969806</v>
      </c>
      <c r="BJ1274" s="458">
        <v>0.10549567054653552</v>
      </c>
      <c r="BK1274" s="477">
        <v>80078109.419410273</v>
      </c>
      <c r="BL1274" s="458">
        <v>0.2782462363012832</v>
      </c>
      <c r="BM1274" s="468">
        <v>10.196484783543426</v>
      </c>
    </row>
    <row r="1275" spans="12:65" x14ac:dyDescent="0.3">
      <c r="L1275" s="427">
        <v>4904845.3525</v>
      </c>
      <c r="BE1275" s="477">
        <v>2536133.3136344519</v>
      </c>
      <c r="BF1275" s="458">
        <v>3.9481346265995754E-2</v>
      </c>
      <c r="BG1275" s="477">
        <v>15329585.277252585</v>
      </c>
      <c r="BH1275" s="458">
        <v>8.3319866472248316E-2</v>
      </c>
      <c r="BI1275" s="477">
        <v>14940406.872136114</v>
      </c>
      <c r="BJ1275" s="458">
        <v>0.12650917658393879</v>
      </c>
      <c r="BK1275" s="477">
        <v>90051667.986762732</v>
      </c>
      <c r="BL1275" s="458">
        <v>0.29202192896442769</v>
      </c>
      <c r="BM1275" s="468">
        <v>7.2021540690271753</v>
      </c>
    </row>
    <row r="1276" spans="12:65" x14ac:dyDescent="0.3">
      <c r="L1276" s="427">
        <v>8022723.3271000003</v>
      </c>
      <c r="BE1276" s="477">
        <v>3736808.0476098042</v>
      </c>
      <c r="BF1276" s="458">
        <v>9.6846509418515359E-2</v>
      </c>
      <c r="BG1276" s="477">
        <v>8694631.1696268376</v>
      </c>
      <c r="BH1276" s="458">
        <v>5.4846069201822223E-2</v>
      </c>
      <c r="BI1276" s="477">
        <v>21493195.465352088</v>
      </c>
      <c r="BJ1276" s="458">
        <v>0.12852407998897308</v>
      </c>
      <c r="BK1276" s="477">
        <v>98844655.796809673</v>
      </c>
      <c r="BL1276" s="458">
        <v>0.27083146573829309</v>
      </c>
      <c r="BM1276" s="468">
        <v>7.8314536403033497</v>
      </c>
    </row>
    <row r="1277" spans="12:65" x14ac:dyDescent="0.3">
      <c r="L1277" s="427">
        <v>5626206.3728999998</v>
      </c>
      <c r="BE1277" s="477">
        <v>2731641.0142030707</v>
      </c>
      <c r="BF1277" s="458">
        <v>4.2695537176585585E-2</v>
      </c>
      <c r="BG1277" s="477">
        <v>6477162.0962150218</v>
      </c>
      <c r="BH1277" s="458">
        <v>6.5048680827295868E-2</v>
      </c>
      <c r="BI1277" s="477">
        <v>19322478.792669825</v>
      </c>
      <c r="BJ1277" s="458">
        <v>0.11306469527054963</v>
      </c>
      <c r="BK1277" s="477">
        <v>81756208.673767433</v>
      </c>
      <c r="BL1277" s="458">
        <v>0.2653279336084795</v>
      </c>
      <c r="BM1277" s="468">
        <v>11.248075267304218</v>
      </c>
    </row>
    <row r="1278" spans="12:65" x14ac:dyDescent="0.3">
      <c r="L1278" s="427">
        <v>-6008460.7001999998</v>
      </c>
      <c r="BE1278" s="477">
        <v>5566080.9374156771</v>
      </c>
      <c r="BF1278" s="458">
        <v>2.4176712118023191E-2</v>
      </c>
      <c r="BG1278" s="477">
        <v>10986236.930274939</v>
      </c>
      <c r="BH1278" s="458">
        <v>5.4308993107662573E-2</v>
      </c>
      <c r="BI1278" s="477">
        <v>18365866.375568252</v>
      </c>
      <c r="BJ1278" s="458">
        <v>0.16433984787606737</v>
      </c>
      <c r="BK1278" s="477">
        <v>72070018.654248819</v>
      </c>
      <c r="BL1278" s="458">
        <v>0.28748523146659677</v>
      </c>
      <c r="BM1278" s="468">
        <v>8.3779187865876157</v>
      </c>
    </row>
    <row r="1279" spans="12:65" x14ac:dyDescent="0.3">
      <c r="L1279" s="427">
        <v>14678859.7315</v>
      </c>
      <c r="BE1279" s="477">
        <v>4307472.2625740618</v>
      </c>
      <c r="BF1279" s="458">
        <v>4.9411746764570275E-2</v>
      </c>
      <c r="BG1279" s="477">
        <v>7653582.8409697814</v>
      </c>
      <c r="BH1279" s="458">
        <v>8.3494149578926757E-2</v>
      </c>
      <c r="BI1279" s="477">
        <v>18984950.823125519</v>
      </c>
      <c r="BJ1279" s="458">
        <v>0.11915691815493945</v>
      </c>
      <c r="BK1279" s="477">
        <v>76256795.263904631</v>
      </c>
      <c r="BL1279" s="458">
        <v>0.26978983986719762</v>
      </c>
      <c r="BM1279" s="468">
        <v>3.8827843242775772</v>
      </c>
    </row>
    <row r="1280" spans="12:65" x14ac:dyDescent="0.3">
      <c r="L1280" s="427">
        <v>13364727.654899999</v>
      </c>
      <c r="BE1280" s="477">
        <v>8049982.627577845</v>
      </c>
      <c r="BF1280" s="458">
        <v>4.26624169841201E-2</v>
      </c>
      <c r="BG1280" s="477">
        <v>3962075.202613615</v>
      </c>
      <c r="BH1280" s="458">
        <v>3.9503118551198479E-2</v>
      </c>
      <c r="BI1280" s="477">
        <v>24074246.163626749</v>
      </c>
      <c r="BJ1280" s="458">
        <v>0.10007121861745216</v>
      </c>
      <c r="BK1280" s="477">
        <v>82581555.141126454</v>
      </c>
      <c r="BL1280" s="458">
        <v>0.27655387381084684</v>
      </c>
      <c r="BM1280" s="468">
        <v>7.9657194816471932</v>
      </c>
    </row>
    <row r="1281" spans="12:65" x14ac:dyDescent="0.3">
      <c r="L1281" s="427">
        <v>17858467.2141</v>
      </c>
      <c r="BE1281" s="477">
        <v>6717935.1407778617</v>
      </c>
      <c r="BF1281" s="458">
        <v>6.8000202704730839E-2</v>
      </c>
      <c r="BG1281" s="477">
        <v>2809700.1202872894</v>
      </c>
      <c r="BH1281" s="458">
        <v>4.8062095096096158E-2</v>
      </c>
      <c r="BI1281" s="477">
        <v>17135448.895483516</v>
      </c>
      <c r="BJ1281" s="458">
        <v>8.7780577752599731E-2</v>
      </c>
      <c r="BK1281" s="477">
        <v>100749437.38668713</v>
      </c>
      <c r="BL1281" s="458">
        <v>0.26165183398637581</v>
      </c>
      <c r="BM1281" s="468">
        <v>6.670739346605159</v>
      </c>
    </row>
    <row r="1282" spans="12:65" x14ac:dyDescent="0.3">
      <c r="L1282" s="427">
        <v>3572597.8133999999</v>
      </c>
      <c r="BE1282" s="477">
        <v>3434285.4996568565</v>
      </c>
      <c r="BF1282" s="458">
        <v>3.0373208136966756E-2</v>
      </c>
      <c r="BG1282" s="477">
        <v>888366.24103922502</v>
      </c>
      <c r="BH1282" s="458">
        <v>5.4989533395967571E-2</v>
      </c>
      <c r="BI1282" s="477">
        <v>16594791.557467932</v>
      </c>
      <c r="BJ1282" s="458">
        <v>0.12878159299984882</v>
      </c>
      <c r="BK1282" s="477">
        <v>81244675.798300669</v>
      </c>
      <c r="BL1282" s="458">
        <v>0.27229486011014936</v>
      </c>
      <c r="BM1282" s="468">
        <v>1.3753464257183898</v>
      </c>
    </row>
    <row r="1283" spans="12:65" x14ac:dyDescent="0.3">
      <c r="L1283" s="427">
        <v>13822512.360099999</v>
      </c>
      <c r="BE1283" s="477">
        <v>7128867.8909853278</v>
      </c>
      <c r="BF1283" s="458">
        <v>6.8535180226476644E-2</v>
      </c>
      <c r="BG1283" s="477">
        <v>6790884.4260023963</v>
      </c>
      <c r="BH1283" s="458">
        <v>7.6980652172732311E-2</v>
      </c>
      <c r="BI1283" s="477">
        <v>21925183.170256674</v>
      </c>
      <c r="BJ1283" s="458">
        <v>7.6747505947292405E-2</v>
      </c>
      <c r="BK1283" s="477">
        <v>87849206.611684069</v>
      </c>
      <c r="BL1283" s="458">
        <v>0.26003554713390709</v>
      </c>
      <c r="BM1283" s="468">
        <v>8.0206680256732366</v>
      </c>
    </row>
    <row r="1284" spans="12:65" x14ac:dyDescent="0.3">
      <c r="L1284" s="427">
        <v>12822188.2798</v>
      </c>
      <c r="BE1284" s="477">
        <v>3292581.4139044448</v>
      </c>
      <c r="BF1284" s="458">
        <v>3.2530978577549829E-2</v>
      </c>
      <c r="BG1284" s="477">
        <v>2439180.8908920181</v>
      </c>
      <c r="BH1284" s="458">
        <v>9.4961217637790529E-2</v>
      </c>
      <c r="BI1284" s="477">
        <v>13661165.149537845</v>
      </c>
      <c r="BJ1284" s="458">
        <v>9.8246559897526842E-2</v>
      </c>
      <c r="BK1284" s="477">
        <v>93115741.529954791</v>
      </c>
      <c r="BL1284" s="458">
        <v>0.26585200954629751</v>
      </c>
      <c r="BM1284" s="468">
        <v>8.4105185566160969</v>
      </c>
    </row>
    <row r="1285" spans="12:65" x14ac:dyDescent="0.3">
      <c r="L1285" s="427">
        <v>14443230.6874</v>
      </c>
      <c r="BE1285" s="477">
        <v>3935711.8980629467</v>
      </c>
      <c r="BF1285" s="458">
        <v>3.7681494511272895E-2</v>
      </c>
      <c r="BG1285" s="477">
        <v>11673485.790860821</v>
      </c>
      <c r="BH1285" s="458">
        <v>7.4506502445014888E-2</v>
      </c>
      <c r="BI1285" s="477">
        <v>16940091.483336911</v>
      </c>
      <c r="BJ1285" s="458">
        <v>0.103351392014426</v>
      </c>
      <c r="BK1285" s="477">
        <v>101182935.94247591</v>
      </c>
      <c r="BL1285" s="458">
        <v>0.26615227527698448</v>
      </c>
      <c r="BM1285" s="468">
        <v>10.09095725077476</v>
      </c>
    </row>
    <row r="1286" spans="12:65" x14ac:dyDescent="0.3">
      <c r="L1286" s="427">
        <v>7032212.8521999996</v>
      </c>
      <c r="BE1286" s="477">
        <v>3386899.9768524789</v>
      </c>
      <c r="BF1286" s="458">
        <v>3.6340269211979415E-2</v>
      </c>
      <c r="BG1286" s="477">
        <v>10074013.139773935</v>
      </c>
      <c r="BH1286" s="458">
        <v>5.790268978093116E-2</v>
      </c>
      <c r="BI1286" s="477">
        <v>18449242.451833285</v>
      </c>
      <c r="BJ1286" s="458">
        <v>0.11501302377136602</v>
      </c>
      <c r="BK1286" s="477">
        <v>90852778.708884135</v>
      </c>
      <c r="BL1286" s="458">
        <v>0.28523132316618027</v>
      </c>
      <c r="BM1286" s="468">
        <v>14.384513394676327</v>
      </c>
    </row>
    <row r="1287" spans="12:65" x14ac:dyDescent="0.3">
      <c r="L1287" s="427">
        <v>1988005.317</v>
      </c>
      <c r="BE1287" s="477">
        <v>5795080.8719816003</v>
      </c>
      <c r="BF1287" s="458">
        <v>2.8598406804292376E-2</v>
      </c>
      <c r="BG1287" s="477">
        <v>5399030.8480551569</v>
      </c>
      <c r="BH1287" s="458">
        <v>4.3727724752458341E-2</v>
      </c>
      <c r="BI1287" s="477">
        <v>16495309.026666857</v>
      </c>
      <c r="BJ1287" s="458">
        <v>8.3084342238755049E-2</v>
      </c>
      <c r="BK1287" s="477">
        <v>93424368.512740001</v>
      </c>
      <c r="BL1287" s="458">
        <v>0.27126133986194567</v>
      </c>
      <c r="BM1287" s="468">
        <v>8.1628388177456817</v>
      </c>
    </row>
    <row r="1288" spans="12:65" x14ac:dyDescent="0.3">
      <c r="L1288" s="427">
        <v>13485933.7434</v>
      </c>
      <c r="BE1288" s="477">
        <v>2392768.258603056</v>
      </c>
      <c r="BF1288" s="458">
        <v>2.8534636813808856E-2</v>
      </c>
      <c r="BG1288" s="477">
        <v>12183879.876998728</v>
      </c>
      <c r="BH1288" s="458">
        <v>6.2481380824993771E-2</v>
      </c>
      <c r="BI1288" s="477">
        <v>13386798.075699406</v>
      </c>
      <c r="BJ1288" s="458">
        <v>0.13017584574630647</v>
      </c>
      <c r="BK1288" s="477">
        <v>95716369.182323441</v>
      </c>
      <c r="BL1288" s="458">
        <v>0.25200770940195083</v>
      </c>
      <c r="BM1288" s="468">
        <v>10.87823970052626</v>
      </c>
    </row>
    <row r="1289" spans="12:65" x14ac:dyDescent="0.3">
      <c r="L1289" s="427">
        <v>16895292.8783</v>
      </c>
      <c r="BE1289" s="477">
        <v>6074700.3552152216</v>
      </c>
      <c r="BF1289" s="458">
        <v>2.3660237965444919E-2</v>
      </c>
      <c r="BG1289" s="477">
        <v>8373010.3700426035</v>
      </c>
      <c r="BH1289" s="458">
        <v>3.5377239108747238E-2</v>
      </c>
      <c r="BI1289" s="477">
        <v>15534579.137281138</v>
      </c>
      <c r="BJ1289" s="458">
        <v>0.13331471243643822</v>
      </c>
      <c r="BK1289" s="477">
        <v>78070410.320578739</v>
      </c>
      <c r="BL1289" s="458">
        <v>0.26930753207051206</v>
      </c>
      <c r="BM1289" s="468">
        <v>4.0528811728653418</v>
      </c>
    </row>
    <row r="1290" spans="12:65" x14ac:dyDescent="0.3">
      <c r="L1290" s="427">
        <v>21636147.2293</v>
      </c>
      <c r="BE1290" s="477">
        <v>4706161.219848264</v>
      </c>
      <c r="BF1290" s="458">
        <v>4.6692570625041396E-2</v>
      </c>
      <c r="BG1290" s="477">
        <v>8151261.8511388851</v>
      </c>
      <c r="BH1290" s="458">
        <v>5.0585028795671505E-2</v>
      </c>
      <c r="BI1290" s="477">
        <v>11757729.925221464</v>
      </c>
      <c r="BJ1290" s="458">
        <v>0.12437634943916076</v>
      </c>
      <c r="BK1290" s="477">
        <v>75217705.021931604</v>
      </c>
      <c r="BL1290" s="458">
        <v>0.26862745951478484</v>
      </c>
      <c r="BM1290" s="468">
        <v>6.8510809515211486</v>
      </c>
    </row>
    <row r="1291" spans="12:65" x14ac:dyDescent="0.3">
      <c r="L1291" s="427">
        <v>15721638.4439</v>
      </c>
      <c r="BE1291" s="477">
        <v>8828730.2276531942</v>
      </c>
      <c r="BF1291" s="458">
        <v>4.4440807203140364E-2</v>
      </c>
      <c r="BG1291" s="477">
        <v>3646817.9375090348</v>
      </c>
      <c r="BH1291" s="458">
        <v>4.4562565793272446E-2</v>
      </c>
      <c r="BI1291" s="477">
        <v>22889799.10196818</v>
      </c>
      <c r="BJ1291" s="458">
        <v>0.13734324758992855</v>
      </c>
      <c r="BK1291" s="477">
        <v>100700014.21498065</v>
      </c>
      <c r="BL1291" s="458">
        <v>0.24080559211494057</v>
      </c>
      <c r="BM1291" s="468">
        <v>8.6118486246178421</v>
      </c>
    </row>
    <row r="1292" spans="12:65" x14ac:dyDescent="0.3">
      <c r="L1292" s="427">
        <v>10246883.888699999</v>
      </c>
      <c r="BE1292" s="477">
        <v>3542461.4678424639</v>
      </c>
      <c r="BF1292" s="458">
        <v>1.9418890654992138E-2</v>
      </c>
      <c r="BG1292" s="477">
        <v>6309950.5205060784</v>
      </c>
      <c r="BH1292" s="458">
        <v>8.7195269833340028E-3</v>
      </c>
      <c r="BI1292" s="477">
        <v>18883382.318786155</v>
      </c>
      <c r="BJ1292" s="458">
        <v>0.10717372756593546</v>
      </c>
      <c r="BK1292" s="477">
        <v>101482020.26288426</v>
      </c>
      <c r="BL1292" s="458">
        <v>0.29541758842150312</v>
      </c>
      <c r="BM1292" s="468">
        <v>10.170332400240076</v>
      </c>
    </row>
    <row r="1293" spans="12:65" x14ac:dyDescent="0.3">
      <c r="L1293" s="427">
        <v>18044758.754999999</v>
      </c>
      <c r="BE1293" s="477">
        <v>4859206.0172924735</v>
      </c>
      <c r="BF1293" s="458">
        <v>5.4038959666223185E-2</v>
      </c>
      <c r="BG1293" s="477">
        <v>10693649.431870628</v>
      </c>
      <c r="BH1293" s="458">
        <v>4.9588135261722011E-2</v>
      </c>
      <c r="BI1293" s="477">
        <v>16579103.162016025</v>
      </c>
      <c r="BJ1293" s="458">
        <v>0.11682546087857526</v>
      </c>
      <c r="BK1293" s="477">
        <v>105659572.49096926</v>
      </c>
      <c r="BL1293" s="458">
        <v>0.26370842638814729</v>
      </c>
      <c r="BM1293" s="468">
        <v>10.91960626816971</v>
      </c>
    </row>
    <row r="1294" spans="12:65" x14ac:dyDescent="0.3">
      <c r="L1294" s="427">
        <v>16028438.5021</v>
      </c>
      <c r="BE1294" s="477">
        <v>4534465.6342181535</v>
      </c>
      <c r="BF1294" s="458">
        <v>4.4230583728301021E-2</v>
      </c>
      <c r="BG1294" s="477">
        <v>9661683.3220948111</v>
      </c>
      <c r="BH1294" s="458">
        <v>7.9095476957620647E-2</v>
      </c>
      <c r="BI1294" s="477">
        <v>21338341.131428897</v>
      </c>
      <c r="BJ1294" s="458">
        <v>0.12535030350396492</v>
      </c>
      <c r="BK1294" s="477">
        <v>82183341.164073437</v>
      </c>
      <c r="BL1294" s="458">
        <v>0.28186729316162396</v>
      </c>
      <c r="BM1294" s="468">
        <v>8.0173803001951001</v>
      </c>
    </row>
    <row r="1295" spans="12:65" x14ac:dyDescent="0.3">
      <c r="L1295" s="427">
        <v>294146.41340000002</v>
      </c>
      <c r="BE1295" s="477">
        <v>9023788.5687718019</v>
      </c>
      <c r="BF1295" s="458">
        <v>3.8384078409027467E-2</v>
      </c>
      <c r="BG1295" s="477">
        <v>7193134.8489646399</v>
      </c>
      <c r="BH1295" s="458">
        <v>5.5529045185018333E-2</v>
      </c>
      <c r="BI1295" s="477">
        <v>14737922.019927476</v>
      </c>
      <c r="BJ1295" s="458">
        <v>0.11476758163390999</v>
      </c>
      <c r="BK1295" s="477">
        <v>88453421.45234482</v>
      </c>
      <c r="BL1295" s="458">
        <v>0.28183278917313115</v>
      </c>
      <c r="BM1295" s="468">
        <v>5.93220461527544</v>
      </c>
    </row>
    <row r="1296" spans="12:65" x14ac:dyDescent="0.3">
      <c r="L1296" s="427">
        <v>10863353.3474</v>
      </c>
      <c r="BE1296" s="477">
        <v>5519075.5342232911</v>
      </c>
      <c r="BF1296" s="458">
        <v>0.10812196148087883</v>
      </c>
      <c r="BG1296" s="477">
        <v>4417239.1759642251</v>
      </c>
      <c r="BH1296" s="458">
        <v>5.2159192591592518E-2</v>
      </c>
      <c r="BI1296" s="477">
        <v>18521479.587730493</v>
      </c>
      <c r="BJ1296" s="458">
        <v>8.1336589602151399E-2</v>
      </c>
      <c r="BK1296" s="477">
        <v>93395467.938518763</v>
      </c>
      <c r="BL1296" s="458">
        <v>0.27669001882338717</v>
      </c>
      <c r="BM1296" s="468">
        <v>8.1710601119646906</v>
      </c>
    </row>
    <row r="1297" spans="12:65" x14ac:dyDescent="0.3">
      <c r="L1297" s="427">
        <v>14877462.817</v>
      </c>
      <c r="BE1297" s="477">
        <v>4613254.0874723168</v>
      </c>
      <c r="BF1297" s="458">
        <v>4.8683736261008193E-2</v>
      </c>
      <c r="BG1297" s="477">
        <v>8918836.1582571063</v>
      </c>
      <c r="BH1297" s="458">
        <v>4.815873477256627E-2</v>
      </c>
      <c r="BI1297" s="477">
        <v>15313222.647278147</v>
      </c>
      <c r="BJ1297" s="458">
        <v>8.3947936241609344E-2</v>
      </c>
      <c r="BK1297" s="477">
        <v>96527669.961299449</v>
      </c>
      <c r="BL1297" s="458">
        <v>0.26735871005526879</v>
      </c>
      <c r="BM1297" s="468">
        <v>9.8590121813445304</v>
      </c>
    </row>
    <row r="1298" spans="12:65" x14ac:dyDescent="0.3">
      <c r="L1298" s="427">
        <v>3730173.1886999998</v>
      </c>
      <c r="BE1298" s="477">
        <v>3576252.1891819891</v>
      </c>
      <c r="BF1298" s="458">
        <v>2.7772668660341004E-2</v>
      </c>
      <c r="BG1298" s="477">
        <v>12381902.074566478</v>
      </c>
      <c r="BH1298" s="458">
        <v>2.2137902866756543E-2</v>
      </c>
      <c r="BI1298" s="477">
        <v>15996225.732028378</v>
      </c>
      <c r="BJ1298" s="458">
        <v>8.8932124292883996E-2</v>
      </c>
      <c r="BK1298" s="477">
        <v>89783005.531347483</v>
      </c>
      <c r="BL1298" s="458">
        <v>0.26934197618058886</v>
      </c>
      <c r="BM1298" s="468">
        <v>9.1018447245287444</v>
      </c>
    </row>
    <row r="1299" spans="12:65" x14ac:dyDescent="0.3">
      <c r="L1299" s="427">
        <v>20747387.8805</v>
      </c>
      <c r="BE1299" s="477">
        <v>4205136.2414625371</v>
      </c>
      <c r="BF1299" s="458">
        <v>6.4437249909077066E-2</v>
      </c>
      <c r="BG1299" s="477">
        <v>9835991.2354804892</v>
      </c>
      <c r="BH1299" s="458">
        <v>6.1048202312756983E-2</v>
      </c>
      <c r="BI1299" s="477">
        <v>17332756.626090251</v>
      </c>
      <c r="BJ1299" s="458">
        <v>0.10952557810988384</v>
      </c>
      <c r="BK1299" s="477">
        <v>90274051.613476396</v>
      </c>
      <c r="BL1299" s="458">
        <v>0.30956273505554344</v>
      </c>
      <c r="BM1299" s="468">
        <v>2.6496695274051119</v>
      </c>
    </row>
    <row r="1300" spans="12:65" x14ac:dyDescent="0.3">
      <c r="L1300" s="427">
        <v>12035676.2413</v>
      </c>
      <c r="BE1300" s="477">
        <v>8823757.5538847614</v>
      </c>
      <c r="BF1300" s="458">
        <v>1.4361985745682038E-2</v>
      </c>
      <c r="BG1300" s="477">
        <v>8246009.2381166751</v>
      </c>
      <c r="BH1300" s="458">
        <v>2.2369682789257439E-2</v>
      </c>
      <c r="BI1300" s="477">
        <v>19724400.016804285</v>
      </c>
      <c r="BJ1300" s="458">
        <v>0.10408135972141874</v>
      </c>
      <c r="BK1300" s="477">
        <v>83498608.294218302</v>
      </c>
      <c r="BL1300" s="458">
        <v>0.26392388247491327</v>
      </c>
      <c r="BM1300" s="468">
        <v>8.7910448489767177</v>
      </c>
    </row>
    <row r="1301" spans="12:65" x14ac:dyDescent="0.3">
      <c r="L1301" s="427">
        <v>15886567.426000001</v>
      </c>
      <c r="BE1301" s="477">
        <v>7461754.988635581</v>
      </c>
      <c r="BF1301" s="458">
        <v>3.9032500261819703E-2</v>
      </c>
      <c r="BG1301" s="477">
        <v>4988438.5768865431</v>
      </c>
      <c r="BH1301" s="458">
        <v>3.6809040584674602E-2</v>
      </c>
      <c r="BI1301" s="477">
        <v>14153695.525161158</v>
      </c>
      <c r="BJ1301" s="458">
        <v>0.11679007484025838</v>
      </c>
      <c r="BK1301" s="477">
        <v>100773762.26186138</v>
      </c>
      <c r="BL1301" s="458">
        <v>0.27383557924770674</v>
      </c>
      <c r="BM1301" s="468">
        <v>5.2513433769266191</v>
      </c>
    </row>
    <row r="1302" spans="12:65" x14ac:dyDescent="0.3">
      <c r="L1302" s="427">
        <v>4543806.9720000001</v>
      </c>
      <c r="BE1302" s="477">
        <v>2760345.9597431193</v>
      </c>
      <c r="BF1302" s="458">
        <v>7.0847491601180757E-2</v>
      </c>
      <c r="BG1302" s="477">
        <v>10135101.341396153</v>
      </c>
      <c r="BH1302" s="458">
        <v>6.7170636507990933E-2</v>
      </c>
      <c r="BI1302" s="477">
        <v>15447512.467992183</v>
      </c>
      <c r="BJ1302" s="458">
        <v>9.7160045013631846E-2</v>
      </c>
      <c r="BK1302" s="477">
        <v>80408231.808654875</v>
      </c>
      <c r="BL1302" s="458">
        <v>0.26165969164781755</v>
      </c>
      <c r="BM1302" s="468">
        <v>12.6474124197991</v>
      </c>
    </row>
    <row r="1303" spans="12:65" x14ac:dyDescent="0.3">
      <c r="L1303" s="427">
        <v>6679906.4974999996</v>
      </c>
      <c r="BE1303" s="477">
        <v>5611125.7477454618</v>
      </c>
      <c r="BF1303" s="458">
        <v>4.1351591694966272E-2</v>
      </c>
      <c r="BG1303" s="477">
        <v>5649054.7704815716</v>
      </c>
      <c r="BH1303" s="458">
        <v>4.8656181804305199E-2</v>
      </c>
      <c r="BI1303" s="477">
        <v>9729966.500302095</v>
      </c>
      <c r="BJ1303" s="458">
        <v>9.2116587723096943E-2</v>
      </c>
      <c r="BK1303" s="477">
        <v>94642032.659622207</v>
      </c>
      <c r="BL1303" s="458">
        <v>0.27634306047152335</v>
      </c>
      <c r="BM1303" s="468">
        <v>3.6410425126234722</v>
      </c>
    </row>
    <row r="1304" spans="12:65" x14ac:dyDescent="0.3">
      <c r="L1304" s="427">
        <v>8534614.7726000007</v>
      </c>
      <c r="BE1304" s="477">
        <v>5706603.1897693863</v>
      </c>
      <c r="BF1304" s="458">
        <v>2.6928238527340387E-2</v>
      </c>
      <c r="BG1304" s="477">
        <v>4239375.0963416798</v>
      </c>
      <c r="BH1304" s="458">
        <v>8.7201116407273238E-2</v>
      </c>
      <c r="BI1304" s="477">
        <v>13994693.811556891</v>
      </c>
      <c r="BJ1304" s="458">
        <v>0.10477627961709612</v>
      </c>
      <c r="BK1304" s="477">
        <v>87785994.422862113</v>
      </c>
      <c r="BL1304" s="458">
        <v>0.25312217617895594</v>
      </c>
      <c r="BM1304" s="468">
        <v>3.7181296198689049</v>
      </c>
    </row>
    <row r="1305" spans="12:65" x14ac:dyDescent="0.3">
      <c r="L1305" s="427">
        <v>19464271.778700002</v>
      </c>
      <c r="BE1305" s="477">
        <v>819670.222003081</v>
      </c>
      <c r="BF1305" s="458">
        <v>5.6522481644586842E-2</v>
      </c>
      <c r="BG1305" s="477">
        <v>14291015.582901431</v>
      </c>
      <c r="BH1305" s="458">
        <v>4.3596856547271301E-2</v>
      </c>
      <c r="BI1305" s="477">
        <v>13948914.663153956</v>
      </c>
      <c r="BJ1305" s="458">
        <v>0.10905260762533353</v>
      </c>
      <c r="BK1305" s="477">
        <v>95382555.184220105</v>
      </c>
      <c r="BL1305" s="458">
        <v>0.25242065734353281</v>
      </c>
      <c r="BM1305" s="468">
        <v>12.373492138568757</v>
      </c>
    </row>
    <row r="1306" spans="12:65" x14ac:dyDescent="0.3">
      <c r="L1306" s="427">
        <v>10228191.6051</v>
      </c>
      <c r="BE1306" s="477">
        <v>5416619.8715416258</v>
      </c>
      <c r="BF1306" s="458">
        <v>3.3825975541267983E-2</v>
      </c>
      <c r="BG1306" s="477">
        <v>9690480.2653611694</v>
      </c>
      <c r="BH1306" s="458">
        <v>6.6752422699535963E-2</v>
      </c>
      <c r="BI1306" s="477">
        <v>12395999.686293131</v>
      </c>
      <c r="BJ1306" s="458">
        <v>0.10968684463702827</v>
      </c>
      <c r="BK1306" s="477">
        <v>81728799.747296393</v>
      </c>
      <c r="BL1306" s="458">
        <v>0.24776821470827826</v>
      </c>
      <c r="BM1306" s="468">
        <v>4.4793409697430464</v>
      </c>
    </row>
    <row r="1307" spans="12:65" x14ac:dyDescent="0.3">
      <c r="L1307" s="427">
        <v>8372512.2336999997</v>
      </c>
      <c r="BE1307" s="477">
        <v>803994.80628476071</v>
      </c>
      <c r="BF1307" s="458">
        <v>3.6021027143706252E-2</v>
      </c>
      <c r="BG1307" s="477">
        <v>5294840.0791610824</v>
      </c>
      <c r="BH1307" s="458">
        <v>5.690053683238494E-2</v>
      </c>
      <c r="BI1307" s="477">
        <v>12224528.135492049</v>
      </c>
      <c r="BJ1307" s="458">
        <v>8.0855527049205067E-2</v>
      </c>
      <c r="BK1307" s="477">
        <v>95223677.405124605</v>
      </c>
      <c r="BL1307" s="458">
        <v>0.26569800052832648</v>
      </c>
      <c r="BM1307" s="468">
        <v>9.1941483635948344</v>
      </c>
    </row>
    <row r="1308" spans="12:65" x14ac:dyDescent="0.3">
      <c r="L1308" s="427">
        <v>17083957.560800001</v>
      </c>
      <c r="BE1308" s="477">
        <v>5388028.365681516</v>
      </c>
      <c r="BF1308" s="458">
        <v>2.9766451025520446E-2</v>
      </c>
      <c r="BG1308" s="477">
        <v>9905838.6504030395</v>
      </c>
      <c r="BH1308" s="458">
        <v>6.5955658123363126E-2</v>
      </c>
      <c r="BI1308" s="477">
        <v>13266617.461869495</v>
      </c>
      <c r="BJ1308" s="458">
        <v>9.7488738430154376E-2</v>
      </c>
      <c r="BK1308" s="477">
        <v>79674888.872480646</v>
      </c>
      <c r="BL1308" s="458">
        <v>0.2522653736291407</v>
      </c>
      <c r="BM1308" s="468">
        <v>6.8961622370683919</v>
      </c>
    </row>
    <row r="1309" spans="12:65" x14ac:dyDescent="0.3">
      <c r="L1309" s="427">
        <v>16647124.6555</v>
      </c>
      <c r="BE1309" s="477">
        <v>3752688.3618489038</v>
      </c>
      <c r="BF1309" s="458">
        <v>4.363573613830285E-2</v>
      </c>
      <c r="BG1309" s="477">
        <v>5787681.771129583</v>
      </c>
      <c r="BH1309" s="458">
        <v>7.5086990260946118E-2</v>
      </c>
      <c r="BI1309" s="477">
        <v>21065214.11666457</v>
      </c>
      <c r="BJ1309" s="458">
        <v>0.12674137367013594</v>
      </c>
      <c r="BK1309" s="477">
        <v>94284163.500056744</v>
      </c>
      <c r="BL1309" s="458">
        <v>0.26437707038851133</v>
      </c>
      <c r="BM1309" s="468">
        <v>8.6475137347401745</v>
      </c>
    </row>
    <row r="1310" spans="12:65" x14ac:dyDescent="0.3">
      <c r="L1310" s="427">
        <v>20264060.118299998</v>
      </c>
      <c r="BE1310" s="477">
        <v>4971098.5304207606</v>
      </c>
      <c r="BF1310" s="458">
        <v>5.8579781571594269E-2</v>
      </c>
      <c r="BG1310" s="477">
        <v>5763586.5026544323</v>
      </c>
      <c r="BH1310" s="458">
        <v>4.6656393751447478E-2</v>
      </c>
      <c r="BI1310" s="477">
        <v>16767795.18292216</v>
      </c>
      <c r="BJ1310" s="458">
        <v>9.9024254874127582E-2</v>
      </c>
      <c r="BK1310" s="477">
        <v>77239454.187273696</v>
      </c>
      <c r="BL1310" s="458">
        <v>0.28450842858253123</v>
      </c>
      <c r="BM1310" s="468">
        <v>8.9152379152263261</v>
      </c>
    </row>
    <row r="1311" spans="12:65" x14ac:dyDescent="0.3">
      <c r="L1311" s="427">
        <v>-4481159.4676000001</v>
      </c>
      <c r="BE1311" s="477">
        <v>3924984.8671531877</v>
      </c>
      <c r="BF1311" s="458">
        <v>4.2375819213897659E-2</v>
      </c>
      <c r="BG1311" s="477">
        <v>2493931.499092605</v>
      </c>
      <c r="BH1311" s="458">
        <v>4.73118773447323E-2</v>
      </c>
      <c r="BI1311" s="477">
        <v>21311562.081491131</v>
      </c>
      <c r="BJ1311" s="458">
        <v>9.4454158315057102E-2</v>
      </c>
      <c r="BK1311" s="477">
        <v>84805628.825048789</v>
      </c>
      <c r="BL1311" s="458">
        <v>0.2586196936933578</v>
      </c>
      <c r="BM1311" s="468">
        <v>11.015650734479234</v>
      </c>
    </row>
    <row r="1312" spans="12:65" x14ac:dyDescent="0.3">
      <c r="L1312" s="427">
        <v>12781242.7907</v>
      </c>
      <c r="BE1312" s="477">
        <v>3180675.1107950383</v>
      </c>
      <c r="BF1312" s="458">
        <v>5.9312294838360424E-2</v>
      </c>
      <c r="BG1312" s="477">
        <v>14506355.660517471</v>
      </c>
      <c r="BH1312" s="458">
        <v>6.1729693816948261E-2</v>
      </c>
      <c r="BI1312" s="477">
        <v>17072396.301172026</v>
      </c>
      <c r="BJ1312" s="458">
        <v>0.10737639113172648</v>
      </c>
      <c r="BK1312" s="477">
        <v>98167596.939934909</v>
      </c>
      <c r="BL1312" s="458">
        <v>0.2769975717941624</v>
      </c>
      <c r="BM1312" s="468">
        <v>13.882189961046656</v>
      </c>
    </row>
    <row r="1313" spans="12:65" x14ac:dyDescent="0.3">
      <c r="L1313" s="427">
        <v>5126220.1212999998</v>
      </c>
      <c r="BE1313" s="477">
        <v>3110646.7699269764</v>
      </c>
      <c r="BF1313" s="458">
        <v>3.7674744463640053E-2</v>
      </c>
      <c r="BG1313" s="477">
        <v>13054091.001338335</v>
      </c>
      <c r="BH1313" s="458">
        <v>6.8081251339211279E-2</v>
      </c>
      <c r="BI1313" s="477">
        <v>8680139.8413910735</v>
      </c>
      <c r="BJ1313" s="458">
        <v>0.12595926609396124</v>
      </c>
      <c r="BK1313" s="477">
        <v>88376876.347014442</v>
      </c>
      <c r="BL1313" s="458">
        <v>0.2556378271403752</v>
      </c>
      <c r="BM1313" s="468">
        <v>2.7788841462213876</v>
      </c>
    </row>
    <row r="1314" spans="12:65" x14ac:dyDescent="0.3">
      <c r="L1314" s="427">
        <v>682059.36930000002</v>
      </c>
      <c r="BE1314" s="477">
        <v>6980684.4128587972</v>
      </c>
      <c r="BF1314" s="458">
        <v>3.5098269380629432E-2</v>
      </c>
      <c r="BG1314" s="477">
        <v>11460954.675338959</v>
      </c>
      <c r="BH1314" s="458">
        <v>6.3446785379475124E-2</v>
      </c>
      <c r="BI1314" s="477">
        <v>13556286.986945009</v>
      </c>
      <c r="BJ1314" s="458">
        <v>7.7720438601239339E-2</v>
      </c>
      <c r="BK1314" s="477">
        <v>84858120.506344676</v>
      </c>
      <c r="BL1314" s="458">
        <v>0.26450401534296075</v>
      </c>
      <c r="BM1314" s="468">
        <v>9.03168016312598</v>
      </c>
    </row>
    <row r="1315" spans="12:65" x14ac:dyDescent="0.3">
      <c r="L1315" s="427">
        <v>14065617.142100001</v>
      </c>
      <c r="BE1315" s="477">
        <v>3753831.8252415066</v>
      </c>
      <c r="BF1315" s="458">
        <v>4.9979978897307209E-2</v>
      </c>
      <c r="BG1315" s="477">
        <v>12830557.597533975</v>
      </c>
      <c r="BH1315" s="458">
        <v>6.0388105802232195E-2</v>
      </c>
      <c r="BI1315" s="477">
        <v>18337500.163571876</v>
      </c>
      <c r="BJ1315" s="458">
        <v>0.11280650442961626</v>
      </c>
      <c r="BK1315" s="477">
        <v>91312697.240048036</v>
      </c>
      <c r="BL1315" s="458">
        <v>0.27183770480990832</v>
      </c>
      <c r="BM1315" s="468">
        <v>15.90023784709129</v>
      </c>
    </row>
    <row r="1316" spans="12:65" x14ac:dyDescent="0.3">
      <c r="L1316" s="427">
        <v>6735763.8132999996</v>
      </c>
      <c r="BE1316" s="477">
        <v>2502007.5835825242</v>
      </c>
      <c r="BF1316" s="458">
        <v>5.6513845167762256E-2</v>
      </c>
      <c r="BG1316" s="477">
        <v>9930067.3007022254</v>
      </c>
      <c r="BH1316" s="458">
        <v>7.8346059443205718E-2</v>
      </c>
      <c r="BI1316" s="477">
        <v>14688908.419182757</v>
      </c>
      <c r="BJ1316" s="458">
        <v>0.11741601491762221</v>
      </c>
      <c r="BK1316" s="477">
        <v>98945050.735323638</v>
      </c>
      <c r="BL1316" s="458">
        <v>0.26753582383872976</v>
      </c>
      <c r="BM1316" s="468">
        <v>7.0664164901102788</v>
      </c>
    </row>
    <row r="1317" spans="12:65" x14ac:dyDescent="0.3">
      <c r="L1317" s="427">
        <v>15898165.433499999</v>
      </c>
      <c r="BE1317" s="477">
        <v>3558456.0160197481</v>
      </c>
      <c r="BF1317" s="458">
        <v>4.6287209707652988E-2</v>
      </c>
      <c r="BG1317" s="477">
        <v>6626993.3778223908</v>
      </c>
      <c r="BH1317" s="458">
        <v>6.3762290032491009E-2</v>
      </c>
      <c r="BI1317" s="477">
        <v>21360598.129431661</v>
      </c>
      <c r="BJ1317" s="458">
        <v>7.9351496898482976E-2</v>
      </c>
      <c r="BK1317" s="477">
        <v>90923909.144034714</v>
      </c>
      <c r="BL1317" s="458">
        <v>0.27439635728219725</v>
      </c>
      <c r="BM1317" s="468">
        <v>9.0863144407310514</v>
      </c>
    </row>
    <row r="1318" spans="12:65" x14ac:dyDescent="0.3">
      <c r="L1318" s="427">
        <v>3489109.1483999998</v>
      </c>
      <c r="BE1318" s="477">
        <v>4841682.7263832064</v>
      </c>
      <c r="BF1318" s="458">
        <v>3.7333793761993528E-2</v>
      </c>
      <c r="BG1318" s="477">
        <v>7497665.3157058451</v>
      </c>
      <c r="BH1318" s="458">
        <v>7.9273787571607635E-2</v>
      </c>
      <c r="BI1318" s="477">
        <v>17001988.600397777</v>
      </c>
      <c r="BJ1318" s="458">
        <v>0.10736099739056937</v>
      </c>
      <c r="BK1318" s="477">
        <v>85321430.041142955</v>
      </c>
      <c r="BL1318" s="458">
        <v>0.26977544989917468</v>
      </c>
      <c r="BM1318" s="468">
        <v>6.7915238765585935</v>
      </c>
    </row>
    <row r="1319" spans="12:65" x14ac:dyDescent="0.3">
      <c r="L1319" s="427">
        <v>9907094.8595000003</v>
      </c>
      <c r="BE1319" s="477">
        <v>2804280.678050892</v>
      </c>
      <c r="BF1319" s="458">
        <v>4.2726742721189481E-2</v>
      </c>
      <c r="BG1319" s="477">
        <v>8634012.9622465204</v>
      </c>
      <c r="BH1319" s="458">
        <v>7.6214456676398035E-2</v>
      </c>
      <c r="BI1319" s="477">
        <v>19265050.172225345</v>
      </c>
      <c r="BJ1319" s="458">
        <v>0.12108208786960262</v>
      </c>
      <c r="BK1319" s="477">
        <v>99947090.305691898</v>
      </c>
      <c r="BL1319" s="458">
        <v>0.28655911244248222</v>
      </c>
      <c r="BM1319" s="468">
        <v>5.4548209321920691</v>
      </c>
    </row>
    <row r="1320" spans="12:65" x14ac:dyDescent="0.3">
      <c r="L1320" s="427">
        <v>15152554.068</v>
      </c>
      <c r="BE1320" s="477">
        <v>5311750.6436763853</v>
      </c>
      <c r="BF1320" s="458">
        <v>3.8751110807785816E-2</v>
      </c>
      <c r="BG1320" s="477">
        <v>10018944.075046504</v>
      </c>
      <c r="BH1320" s="458">
        <v>2.889964856894367E-2</v>
      </c>
      <c r="BI1320" s="477">
        <v>13698161.439289598</v>
      </c>
      <c r="BJ1320" s="458">
        <v>8.0799666119463209E-2</v>
      </c>
      <c r="BK1320" s="477">
        <v>99620511.342514753</v>
      </c>
      <c r="BL1320" s="458">
        <v>0.26728745080669292</v>
      </c>
      <c r="BM1320" s="468">
        <v>10.406557637965047</v>
      </c>
    </row>
    <row r="1321" spans="12:65" x14ac:dyDescent="0.3">
      <c r="L1321" s="427">
        <v>12489391.4713</v>
      </c>
      <c r="BE1321" s="477">
        <v>4583913.8603642425</v>
      </c>
      <c r="BF1321" s="458">
        <v>4.3237670959607621E-2</v>
      </c>
      <c r="BG1321" s="477">
        <v>10600432.267927127</v>
      </c>
      <c r="BH1321" s="458">
        <v>7.8549532394359467E-2</v>
      </c>
      <c r="BI1321" s="477">
        <v>10958567.433629088</v>
      </c>
      <c r="BJ1321" s="458">
        <v>0.1028584117500364</v>
      </c>
      <c r="BK1321" s="477">
        <v>80206658.224626362</v>
      </c>
      <c r="BL1321" s="458">
        <v>0.26594970725612255</v>
      </c>
      <c r="BM1321" s="468">
        <v>4.0585801247053599</v>
      </c>
    </row>
    <row r="1322" spans="12:65" x14ac:dyDescent="0.3">
      <c r="L1322" s="427">
        <v>13693515.3259</v>
      </c>
      <c r="BE1322" s="477">
        <v>4694904.1194627099</v>
      </c>
      <c r="BF1322" s="458">
        <v>4.7485881111982486E-2</v>
      </c>
      <c r="BG1322" s="477">
        <v>5525952.8110456048</v>
      </c>
      <c r="BH1322" s="458">
        <v>7.4417271677649444E-2</v>
      </c>
      <c r="BI1322" s="477">
        <v>19777984.081587866</v>
      </c>
      <c r="BJ1322" s="458">
        <v>0.13594435010079553</v>
      </c>
      <c r="BK1322" s="477">
        <v>84193197.033362985</v>
      </c>
      <c r="BL1322" s="458">
        <v>0.27634975976288878</v>
      </c>
      <c r="BM1322" s="468">
        <v>10.031267783014265</v>
      </c>
    </row>
    <row r="1323" spans="12:65" x14ac:dyDescent="0.3">
      <c r="L1323" s="427">
        <v>16259080.184900001</v>
      </c>
      <c r="BE1323" s="477">
        <v>5752046.1826500325</v>
      </c>
      <c r="BF1323" s="458">
        <v>2.8586873685397363E-2</v>
      </c>
      <c r="BG1323" s="477">
        <v>4150675.488017974</v>
      </c>
      <c r="BH1323" s="458">
        <v>7.432081080506836E-2</v>
      </c>
      <c r="BI1323" s="477">
        <v>25891254.455967516</v>
      </c>
      <c r="BJ1323" s="458">
        <v>0.10121222252485507</v>
      </c>
      <c r="BK1323" s="477">
        <v>65400802.197533898</v>
      </c>
      <c r="BL1323" s="458">
        <v>0.28647228263590985</v>
      </c>
      <c r="BM1323" s="468">
        <v>7.355475039450055</v>
      </c>
    </row>
    <row r="1324" spans="12:65" x14ac:dyDescent="0.3">
      <c r="L1324" s="427">
        <v>10219372.7575</v>
      </c>
      <c r="BE1324" s="477">
        <v>3975453.8574387822</v>
      </c>
      <c r="BF1324" s="458">
        <v>3.9695746288382905E-2</v>
      </c>
      <c r="BG1324" s="477">
        <v>14287068.607847448</v>
      </c>
      <c r="BH1324" s="458">
        <v>8.0771078732893908E-2</v>
      </c>
      <c r="BI1324" s="477">
        <v>6189163.1933247251</v>
      </c>
      <c r="BJ1324" s="458">
        <v>0.152110477116292</v>
      </c>
      <c r="BK1324" s="477">
        <v>93283948.596554041</v>
      </c>
      <c r="BL1324" s="458">
        <v>0.26779946192667725</v>
      </c>
      <c r="BM1324" s="468">
        <v>5.8947678987324394</v>
      </c>
    </row>
    <row r="1325" spans="12:65" x14ac:dyDescent="0.3">
      <c r="L1325" s="427">
        <v>6328105.5756999999</v>
      </c>
      <c r="BE1325" s="477">
        <v>5829444.9031087589</v>
      </c>
      <c r="BF1325" s="458">
        <v>3.6931492456025783E-2</v>
      </c>
      <c r="BG1325" s="477">
        <v>10729133.168557014</v>
      </c>
      <c r="BH1325" s="458">
        <v>8.9695540610032376E-2</v>
      </c>
      <c r="BI1325" s="477">
        <v>16769991.2502265</v>
      </c>
      <c r="BJ1325" s="458">
        <v>0.11524169363171288</v>
      </c>
      <c r="BK1325" s="477">
        <v>83233207.446836561</v>
      </c>
      <c r="BL1325" s="458">
        <v>0.2530734548810587</v>
      </c>
      <c r="BM1325" s="468">
        <v>2.5767930677964612</v>
      </c>
    </row>
    <row r="1326" spans="12:65" x14ac:dyDescent="0.3">
      <c r="L1326" s="427">
        <v>11804617.466499999</v>
      </c>
      <c r="BE1326" s="477">
        <v>7928511.9264043951</v>
      </c>
      <c r="BF1326" s="458">
        <v>3.2721409902560561E-2</v>
      </c>
      <c r="BG1326" s="477">
        <v>6940809.1382137034</v>
      </c>
      <c r="BH1326" s="458">
        <v>7.1337919322385313E-2</v>
      </c>
      <c r="BI1326" s="477">
        <v>14416974.246350745</v>
      </c>
      <c r="BJ1326" s="458">
        <v>0.10357256177544705</v>
      </c>
      <c r="BK1326" s="477">
        <v>87721817.562512517</v>
      </c>
      <c r="BL1326" s="458">
        <v>0.25726952170605966</v>
      </c>
      <c r="BM1326" s="468">
        <v>13.713549346463608</v>
      </c>
    </row>
    <row r="1327" spans="12:65" x14ac:dyDescent="0.3">
      <c r="L1327" s="427">
        <v>16633205.380100001</v>
      </c>
      <c r="BE1327" s="477">
        <v>3967757.1220070831</v>
      </c>
      <c r="BF1327" s="458">
        <v>5.2775254296123952E-2</v>
      </c>
      <c r="BG1327" s="477">
        <v>7705572.2252778215</v>
      </c>
      <c r="BH1327" s="458">
        <v>5.5346287663476268E-2</v>
      </c>
      <c r="BI1327" s="477">
        <v>10220038.344518393</v>
      </c>
      <c r="BJ1327" s="458">
        <v>0.12346150914044762</v>
      </c>
      <c r="BK1327" s="477">
        <v>92054080.444302708</v>
      </c>
      <c r="BL1327" s="458">
        <v>0.28104546331525637</v>
      </c>
      <c r="BM1327" s="468">
        <v>10.391169218452669</v>
      </c>
    </row>
    <row r="1328" spans="12:65" x14ac:dyDescent="0.3">
      <c r="L1328" s="427">
        <v>8397061.0353999995</v>
      </c>
      <c r="BE1328" s="477">
        <v>2895525.562444868</v>
      </c>
      <c r="BF1328" s="458">
        <v>3.2744053108291205E-2</v>
      </c>
      <c r="BG1328" s="477">
        <v>1383891.5301686421</v>
      </c>
      <c r="BH1328" s="458">
        <v>2.9760088837957444E-2</v>
      </c>
      <c r="BI1328" s="477">
        <v>18598374.888331022</v>
      </c>
      <c r="BJ1328" s="458">
        <v>0.10375530655090182</v>
      </c>
      <c r="BK1328" s="477">
        <v>83713667.663844779</v>
      </c>
      <c r="BL1328" s="458">
        <v>0.28971484766497735</v>
      </c>
      <c r="BM1328" s="468">
        <v>10.888240066736913</v>
      </c>
    </row>
    <row r="1329" spans="12:65" x14ac:dyDescent="0.3">
      <c r="L1329" s="427">
        <v>22316530.272799999</v>
      </c>
      <c r="BE1329" s="477">
        <v>6247566.313734699</v>
      </c>
      <c r="BF1329" s="458">
        <v>4.5809301529285751E-2</v>
      </c>
      <c r="BG1329" s="477">
        <v>3906995.2134137806</v>
      </c>
      <c r="BH1329" s="458">
        <v>0.10492802288536796</v>
      </c>
      <c r="BI1329" s="477">
        <v>16051885.055110481</v>
      </c>
      <c r="BJ1329" s="458">
        <v>0.13775342009526881</v>
      </c>
      <c r="BK1329" s="477">
        <v>86006257.572202027</v>
      </c>
      <c r="BL1329" s="458">
        <v>0.267449985211065</v>
      </c>
      <c r="BM1329" s="468">
        <v>9.4907102245123731</v>
      </c>
    </row>
    <row r="1330" spans="12:65" x14ac:dyDescent="0.3">
      <c r="L1330" s="427">
        <v>3498193.1022999999</v>
      </c>
      <c r="BE1330" s="477">
        <v>7508171.3486876898</v>
      </c>
      <c r="BF1330" s="458">
        <v>4.5686538171982205E-2</v>
      </c>
      <c r="BG1330" s="477">
        <v>7229380.7765066596</v>
      </c>
      <c r="BH1330" s="458">
        <v>8.4617052182177854E-2</v>
      </c>
      <c r="BI1330" s="477">
        <v>16432316.601117546</v>
      </c>
      <c r="BJ1330" s="458">
        <v>9.4410390217608331E-2</v>
      </c>
      <c r="BK1330" s="477">
        <v>91285322.112298578</v>
      </c>
      <c r="BL1330" s="458">
        <v>0.2593089743990391</v>
      </c>
      <c r="BM1330" s="468">
        <v>7.9957913035825312</v>
      </c>
    </row>
    <row r="1331" spans="12:65" x14ac:dyDescent="0.3">
      <c r="L1331" s="427">
        <v>11097689.379799999</v>
      </c>
      <c r="BE1331" s="477">
        <v>8460208.4204197079</v>
      </c>
      <c r="BF1331" s="458">
        <v>2.5884936709762885E-2</v>
      </c>
      <c r="BG1331" s="477">
        <v>9593012.1413009129</v>
      </c>
      <c r="BH1331" s="458">
        <v>6.0128423099131023E-2</v>
      </c>
      <c r="BI1331" s="477">
        <v>15857434.753657946</v>
      </c>
      <c r="BJ1331" s="458">
        <v>0.10954795621343405</v>
      </c>
      <c r="BK1331" s="477">
        <v>71763248.838251352</v>
      </c>
      <c r="BL1331" s="458">
        <v>0.27220121051948487</v>
      </c>
      <c r="BM1331" s="468">
        <v>8.2154579337143225</v>
      </c>
    </row>
    <row r="1332" spans="12:65" x14ac:dyDescent="0.3">
      <c r="L1332" s="427">
        <v>5373686.5542000001</v>
      </c>
      <c r="BE1332" s="477">
        <v>2846773.9823388988</v>
      </c>
      <c r="BF1332" s="458">
        <v>2.6524048439697134E-2</v>
      </c>
      <c r="BG1332" s="477">
        <v>4415160.4059091369</v>
      </c>
      <c r="BH1332" s="458">
        <v>5.0188854193277788E-2</v>
      </c>
      <c r="BI1332" s="477">
        <v>20594566.465053957</v>
      </c>
      <c r="BJ1332" s="458">
        <v>0.14043440393202711</v>
      </c>
      <c r="BK1332" s="477">
        <v>80895919.321304381</v>
      </c>
      <c r="BL1332" s="458">
        <v>0.29336694693493603</v>
      </c>
      <c r="BM1332" s="468">
        <v>6.0146138665745781</v>
      </c>
    </row>
    <row r="1333" spans="12:65" x14ac:dyDescent="0.3">
      <c r="L1333" s="427">
        <v>7823235.6102</v>
      </c>
      <c r="BE1333" s="477">
        <v>6173317.7930143522</v>
      </c>
      <c r="BF1333" s="458">
        <v>4.935788404655006E-2</v>
      </c>
      <c r="BG1333" s="477">
        <v>8742118.0165596921</v>
      </c>
      <c r="BH1333" s="458">
        <v>5.983074044174419E-2</v>
      </c>
      <c r="BI1333" s="477">
        <v>13720135.33616529</v>
      </c>
      <c r="BJ1333" s="458">
        <v>0.14477729423449515</v>
      </c>
      <c r="BK1333" s="477">
        <v>85784584.346409753</v>
      </c>
      <c r="BL1333" s="458">
        <v>0.27055598837830308</v>
      </c>
      <c r="BM1333" s="468">
        <v>12.036775093187556</v>
      </c>
    </row>
    <row r="1334" spans="12:65" x14ac:dyDescent="0.3">
      <c r="L1334" s="427">
        <v>-8779990.2116999999</v>
      </c>
      <c r="BE1334" s="477">
        <v>13034244.617071951</v>
      </c>
      <c r="BF1334" s="458">
        <v>3.5621914054792425E-2</v>
      </c>
      <c r="BG1334" s="477">
        <v>14735264.222898336</v>
      </c>
      <c r="BH1334" s="458">
        <v>7.2772095127832115E-2</v>
      </c>
      <c r="BI1334" s="477">
        <v>14496220.78275986</v>
      </c>
      <c r="BJ1334" s="458">
        <v>0.10352961801589822</v>
      </c>
      <c r="BK1334" s="477">
        <v>116477387.57205915</v>
      </c>
      <c r="BL1334" s="458">
        <v>0.26410081218196702</v>
      </c>
      <c r="BM1334" s="468">
        <v>9.9589178037478057</v>
      </c>
    </row>
    <row r="1335" spans="12:65" x14ac:dyDescent="0.3">
      <c r="L1335" s="427">
        <v>9314488.6291000005</v>
      </c>
      <c r="BE1335" s="477">
        <v>3997017.9197156243</v>
      </c>
      <c r="BF1335" s="458">
        <v>2.8280675310456083E-2</v>
      </c>
      <c r="BG1335" s="477">
        <v>7704247.6474559456</v>
      </c>
      <c r="BH1335" s="458">
        <v>7.4631290990599508E-2</v>
      </c>
      <c r="BI1335" s="477">
        <v>30966625.213314015</v>
      </c>
      <c r="BJ1335" s="458">
        <v>0.12933943892207744</v>
      </c>
      <c r="BK1335" s="477">
        <v>83354100.401488185</v>
      </c>
      <c r="BL1335" s="458">
        <v>0.25965023394388376</v>
      </c>
      <c r="BM1335" s="468">
        <v>10.992239908301165</v>
      </c>
    </row>
    <row r="1336" spans="12:65" x14ac:dyDescent="0.3">
      <c r="L1336" s="427">
        <v>-7565915.9331999999</v>
      </c>
      <c r="BE1336" s="477">
        <v>8322348.8635194208</v>
      </c>
      <c r="BF1336" s="458">
        <v>5.6303929646974282E-2</v>
      </c>
      <c r="BG1336" s="477">
        <v>7864416.3124984866</v>
      </c>
      <c r="BH1336" s="458">
        <v>3.2549137548993023E-2</v>
      </c>
      <c r="BI1336" s="477">
        <v>20698015.069751896</v>
      </c>
      <c r="BJ1336" s="458">
        <v>9.1064971540167905E-2</v>
      </c>
      <c r="BK1336" s="477">
        <v>102469017.12298687</v>
      </c>
      <c r="BL1336" s="458">
        <v>0.26979329983607347</v>
      </c>
      <c r="BM1336" s="468">
        <v>3.1408455975557397</v>
      </c>
    </row>
    <row r="1337" spans="12:65" x14ac:dyDescent="0.3">
      <c r="L1337" s="427">
        <v>-1552644.4367</v>
      </c>
      <c r="BE1337" s="477">
        <v>8623460.294349933</v>
      </c>
      <c r="BF1337" s="458">
        <v>3.4198236472561705E-2</v>
      </c>
      <c r="BG1337" s="477">
        <v>7170085.5491862856</v>
      </c>
      <c r="BH1337" s="458">
        <v>0.11740998030288519</v>
      </c>
      <c r="BI1337" s="477">
        <v>11629528.21014487</v>
      </c>
      <c r="BJ1337" s="458">
        <v>9.2354023244709316E-2</v>
      </c>
      <c r="BK1337" s="477">
        <v>76384154.112612233</v>
      </c>
      <c r="BL1337" s="458">
        <v>0.25200821013626307</v>
      </c>
      <c r="BM1337" s="468">
        <v>9.0923271631060842</v>
      </c>
    </row>
    <row r="1338" spans="12:65" x14ac:dyDescent="0.3">
      <c r="L1338" s="427">
        <v>8026567.1171000004</v>
      </c>
      <c r="BE1338" s="477">
        <v>3853603.3116153874</v>
      </c>
      <c r="BF1338" s="458">
        <v>2.6097605975930138E-2</v>
      </c>
      <c r="BG1338" s="477">
        <v>10467518.894622222</v>
      </c>
      <c r="BH1338" s="458">
        <v>4.6032001998208338E-2</v>
      </c>
      <c r="BI1338" s="477">
        <v>19100856.237691883</v>
      </c>
      <c r="BJ1338" s="458">
        <v>9.7035965826348214E-2</v>
      </c>
      <c r="BK1338" s="477">
        <v>107232369.11462675</v>
      </c>
      <c r="BL1338" s="458">
        <v>0.26864542993880991</v>
      </c>
      <c r="BM1338" s="468">
        <v>7.8738354532585424</v>
      </c>
    </row>
    <row r="1339" spans="12:65" x14ac:dyDescent="0.3">
      <c r="L1339" s="427">
        <v>19911620.3704</v>
      </c>
      <c r="BE1339" s="477">
        <v>-258362.81422574958</v>
      </c>
      <c r="BF1339" s="458">
        <v>3.7876119817737308E-2</v>
      </c>
      <c r="BG1339" s="477">
        <v>9111904.9535587337</v>
      </c>
      <c r="BH1339" s="458">
        <v>5.6203249018372148E-2</v>
      </c>
      <c r="BI1339" s="477">
        <v>16229422.165316125</v>
      </c>
      <c r="BJ1339" s="458">
        <v>0.10678686213460797</v>
      </c>
      <c r="BK1339" s="477">
        <v>90045930.121310517</v>
      </c>
      <c r="BL1339" s="458">
        <v>0.27764787180841166</v>
      </c>
      <c r="BM1339" s="468">
        <v>11.475150681425164</v>
      </c>
    </row>
    <row r="1340" spans="12:65" x14ac:dyDescent="0.3">
      <c r="L1340" s="427">
        <v>12620688.615800001</v>
      </c>
      <c r="BE1340" s="477">
        <v>9879256.9360923413</v>
      </c>
      <c r="BF1340" s="458">
        <v>1.9777938845618293E-2</v>
      </c>
      <c r="BG1340" s="477">
        <v>13396365.665261677</v>
      </c>
      <c r="BH1340" s="458">
        <v>8.4704539705742432E-2</v>
      </c>
      <c r="BI1340" s="477">
        <v>19305644.105189119</v>
      </c>
      <c r="BJ1340" s="458">
        <v>0.11059307307535127</v>
      </c>
      <c r="BK1340" s="477">
        <v>89753858.364501789</v>
      </c>
      <c r="BL1340" s="458">
        <v>0.26819505804104682</v>
      </c>
      <c r="BM1340" s="468">
        <v>15.228683409612522</v>
      </c>
    </row>
    <row r="1341" spans="12:65" x14ac:dyDescent="0.3">
      <c r="L1341" s="427">
        <v>20027097.170299999</v>
      </c>
      <c r="BE1341" s="477">
        <v>-562565.06266450428</v>
      </c>
      <c r="BF1341" s="458">
        <v>2.3038342844891257E-2</v>
      </c>
      <c r="BG1341" s="477">
        <v>8832688.9900590666</v>
      </c>
      <c r="BH1341" s="458">
        <v>6.7679943509412643E-2</v>
      </c>
      <c r="BI1341" s="477">
        <v>11505746.805330841</v>
      </c>
      <c r="BJ1341" s="458">
        <v>0.11301761082042083</v>
      </c>
      <c r="BK1341" s="477">
        <v>94036996.491634518</v>
      </c>
      <c r="BL1341" s="458">
        <v>0.24988044038055657</v>
      </c>
      <c r="BM1341" s="468">
        <v>5.6305818175020139</v>
      </c>
    </row>
    <row r="1342" spans="12:65" x14ac:dyDescent="0.3">
      <c r="L1342" s="427">
        <v>-5699554.1464999998</v>
      </c>
      <c r="BE1342" s="477">
        <v>6554215.1139542693</v>
      </c>
      <c r="BF1342" s="458">
        <v>5.0557957817261467E-2</v>
      </c>
      <c r="BG1342" s="477">
        <v>11242110.731311202</v>
      </c>
      <c r="BH1342" s="458">
        <v>4.9505977227037645E-2</v>
      </c>
      <c r="BI1342" s="477">
        <v>21415886.37429712</v>
      </c>
      <c r="BJ1342" s="458">
        <v>0.1112217871182446</v>
      </c>
      <c r="BK1342" s="477">
        <v>89220555.753825486</v>
      </c>
      <c r="BL1342" s="458">
        <v>0.26267697983069138</v>
      </c>
      <c r="BM1342" s="468">
        <v>13.467168960520516</v>
      </c>
    </row>
    <row r="1343" spans="12:65" x14ac:dyDescent="0.3">
      <c r="L1343" s="427">
        <v>7946422.3375000004</v>
      </c>
      <c r="BE1343" s="477">
        <v>3675498.7216110807</v>
      </c>
      <c r="BF1343" s="458">
        <v>3.8437389825847434E-2</v>
      </c>
      <c r="BG1343" s="477">
        <v>14598810.002738768</v>
      </c>
      <c r="BH1343" s="458">
        <v>5.0968844694819992E-2</v>
      </c>
      <c r="BI1343" s="477">
        <v>17752993.519928765</v>
      </c>
      <c r="BJ1343" s="458">
        <v>8.6226553558762298E-2</v>
      </c>
      <c r="BK1343" s="477">
        <v>86795447.343380302</v>
      </c>
      <c r="BL1343" s="458">
        <v>0.2760940550610631</v>
      </c>
      <c r="BM1343" s="468">
        <v>10.478620915654659</v>
      </c>
    </row>
    <row r="1344" spans="12:65" x14ac:dyDescent="0.3">
      <c r="L1344" s="427">
        <v>5644037.1162999999</v>
      </c>
      <c r="BE1344" s="477">
        <v>4971141.3979346268</v>
      </c>
      <c r="BF1344" s="458">
        <v>3.1101344332586933E-2</v>
      </c>
      <c r="BG1344" s="477">
        <v>6764428.2341782777</v>
      </c>
      <c r="BH1344" s="458">
        <v>7.3306731279005444E-2</v>
      </c>
      <c r="BI1344" s="477">
        <v>21809896.869334199</v>
      </c>
      <c r="BJ1344" s="458">
        <v>0.12515893815292634</v>
      </c>
      <c r="BK1344" s="477">
        <v>86608194.985781819</v>
      </c>
      <c r="BL1344" s="458">
        <v>0.28198990894883491</v>
      </c>
      <c r="BM1344" s="468">
        <v>3.8604372597283234</v>
      </c>
    </row>
    <row r="1345" spans="12:65" x14ac:dyDescent="0.3">
      <c r="L1345" s="427">
        <v>4987963.8855999997</v>
      </c>
      <c r="BE1345" s="477">
        <v>3252471.6926349513</v>
      </c>
      <c r="BF1345" s="458">
        <v>3.4118520607964609E-2</v>
      </c>
      <c r="BG1345" s="477">
        <v>-740926.90389954299</v>
      </c>
      <c r="BH1345" s="458">
        <v>6.0241412597808353E-2</v>
      </c>
      <c r="BI1345" s="477">
        <v>15756312.477346513</v>
      </c>
      <c r="BJ1345" s="458">
        <v>0.11346463717477673</v>
      </c>
      <c r="BK1345" s="477">
        <v>91294728.252281085</v>
      </c>
      <c r="BL1345" s="458">
        <v>0.2604379719829768</v>
      </c>
      <c r="BM1345" s="468">
        <v>10.999392539348996</v>
      </c>
    </row>
    <row r="1346" spans="12:65" x14ac:dyDescent="0.3">
      <c r="L1346" s="427">
        <v>14544481.701300001</v>
      </c>
      <c r="BE1346" s="477">
        <v>6557864.5826262711</v>
      </c>
      <c r="BF1346" s="458">
        <v>9.0216926383877682E-2</v>
      </c>
      <c r="BG1346" s="477">
        <v>6927090.0883506369</v>
      </c>
      <c r="BH1346" s="458">
        <v>0.10427662118462089</v>
      </c>
      <c r="BI1346" s="477">
        <v>16178718.766177939</v>
      </c>
      <c r="BJ1346" s="458">
        <v>0.101258059309693</v>
      </c>
      <c r="BK1346" s="477">
        <v>77400472.358182847</v>
      </c>
      <c r="BL1346" s="458">
        <v>0.26167636838236819</v>
      </c>
      <c r="BM1346" s="468">
        <v>16.768170999025756</v>
      </c>
    </row>
    <row r="1347" spans="12:65" x14ac:dyDescent="0.3">
      <c r="L1347" s="427">
        <v>17964218.865499999</v>
      </c>
      <c r="BE1347" s="477">
        <v>4446959.2056053011</v>
      </c>
      <c r="BF1347" s="458">
        <v>0.13519707683227145</v>
      </c>
      <c r="BG1347" s="477">
        <v>7942158.7917347122</v>
      </c>
      <c r="BH1347" s="458">
        <v>6.0960701982052612E-2</v>
      </c>
      <c r="BI1347" s="477">
        <v>12864482.090514055</v>
      </c>
      <c r="BJ1347" s="458">
        <v>9.2576957551376848E-2</v>
      </c>
      <c r="BK1347" s="477">
        <v>74627353.310153708</v>
      </c>
      <c r="BL1347" s="458">
        <v>0.28124689899306277</v>
      </c>
      <c r="BM1347" s="468">
        <v>7.4779218927397739</v>
      </c>
    </row>
    <row r="1348" spans="12:65" x14ac:dyDescent="0.3">
      <c r="L1348" s="427">
        <v>3712577.4948</v>
      </c>
      <c r="BE1348" s="477">
        <v>6920224.6846295772</v>
      </c>
      <c r="BF1348" s="458">
        <v>4.7834178857841803E-2</v>
      </c>
      <c r="BG1348" s="477">
        <v>10096603.522061655</v>
      </c>
      <c r="BH1348" s="458">
        <v>4.986298931055555E-2</v>
      </c>
      <c r="BI1348" s="477">
        <v>20427029.940856922</v>
      </c>
      <c r="BJ1348" s="458">
        <v>0.10770254300543924</v>
      </c>
      <c r="BK1348" s="477">
        <v>99382137.625484332</v>
      </c>
      <c r="BL1348" s="458">
        <v>0.26423873727789005</v>
      </c>
      <c r="BM1348" s="468">
        <v>2.2137728668398253</v>
      </c>
    </row>
    <row r="1349" spans="12:65" x14ac:dyDescent="0.3">
      <c r="L1349" s="427">
        <v>18566414.914299998</v>
      </c>
      <c r="BE1349" s="477">
        <v>7664464.927757618</v>
      </c>
      <c r="BF1349" s="458">
        <v>3.9877084147525999E-2</v>
      </c>
      <c r="BG1349" s="477">
        <v>6530566.4267943026</v>
      </c>
      <c r="BH1349" s="458">
        <v>6.6010958758536908E-2</v>
      </c>
      <c r="BI1349" s="477">
        <v>14308220.202138487</v>
      </c>
      <c r="BJ1349" s="458">
        <v>0.10645650996882106</v>
      </c>
      <c r="BK1349" s="477">
        <v>96238036.874810427</v>
      </c>
      <c r="BL1349" s="458">
        <v>0.26757172173524069</v>
      </c>
      <c r="BM1349" s="468">
        <v>1.4628678083250648</v>
      </c>
    </row>
    <row r="1350" spans="12:65" x14ac:dyDescent="0.3">
      <c r="L1350" s="427">
        <v>1293358.71</v>
      </c>
      <c r="BE1350" s="477">
        <v>9241489.8531122245</v>
      </c>
      <c r="BF1350" s="458">
        <v>4.55660985575983E-2</v>
      </c>
      <c r="BG1350" s="477">
        <v>1775930.2205638876</v>
      </c>
      <c r="BH1350" s="458">
        <v>5.4391284510644455E-2</v>
      </c>
      <c r="BI1350" s="477">
        <v>20220316.505592722</v>
      </c>
      <c r="BJ1350" s="458">
        <v>8.9292870519953826E-2</v>
      </c>
      <c r="BK1350" s="477">
        <v>90030575.382256091</v>
      </c>
      <c r="BL1350" s="458">
        <v>0.26685554496844932</v>
      </c>
      <c r="BM1350" s="468">
        <v>10.84380112158815</v>
      </c>
    </row>
    <row r="1351" spans="12:65" x14ac:dyDescent="0.3">
      <c r="L1351" s="427">
        <v>19951582.5262</v>
      </c>
      <c r="BE1351" s="477">
        <v>2153577.0871472931</v>
      </c>
      <c r="BF1351" s="458">
        <v>2.5338002314819752E-2</v>
      </c>
      <c r="BG1351" s="477">
        <v>10072874.481276685</v>
      </c>
      <c r="BH1351" s="458">
        <v>5.996445887972035E-2</v>
      </c>
      <c r="BI1351" s="477">
        <v>27643432.188533489</v>
      </c>
      <c r="BJ1351" s="458">
        <v>0.12607405227076773</v>
      </c>
      <c r="BK1351" s="477">
        <v>80477433.196096838</v>
      </c>
      <c r="BL1351" s="458">
        <v>0.29694133038015025</v>
      </c>
      <c r="BM1351" s="468">
        <v>8.9196402677611317</v>
      </c>
    </row>
    <row r="1352" spans="12:65" x14ac:dyDescent="0.3">
      <c r="L1352" s="427">
        <v>178343.95689999999</v>
      </c>
      <c r="BE1352" s="477">
        <v>6223376.5871368395</v>
      </c>
      <c r="BF1352" s="458">
        <v>4.4514353161922982E-2</v>
      </c>
      <c r="BG1352" s="477">
        <v>6694118.7487935014</v>
      </c>
      <c r="BH1352" s="458">
        <v>9.0613065220776168E-2</v>
      </c>
      <c r="BI1352" s="477">
        <v>16158002.097191058</v>
      </c>
      <c r="BJ1352" s="458">
        <v>0.10543691791510423</v>
      </c>
      <c r="BK1352" s="477">
        <v>86273699.867656693</v>
      </c>
      <c r="BL1352" s="458">
        <v>0.26611267522101745</v>
      </c>
      <c r="BM1352" s="468">
        <v>8.8340633641916959</v>
      </c>
    </row>
    <row r="1353" spans="12:65" x14ac:dyDescent="0.3">
      <c r="L1353" s="427">
        <v>-796323.85510000004</v>
      </c>
      <c r="BE1353" s="477">
        <v>9097073.933537947</v>
      </c>
      <c r="BF1353" s="458">
        <v>2.0610247658834124E-2</v>
      </c>
      <c r="BG1353" s="477">
        <v>17521135.346943136</v>
      </c>
      <c r="BH1353" s="458">
        <v>8.4151783799797819E-2</v>
      </c>
      <c r="BI1353" s="477">
        <v>16545421.615917204</v>
      </c>
      <c r="BJ1353" s="458">
        <v>9.1193712739538135E-2</v>
      </c>
      <c r="BK1353" s="477">
        <v>99090946.484943867</v>
      </c>
      <c r="BL1353" s="458">
        <v>0.27673769494372924</v>
      </c>
      <c r="BM1353" s="468">
        <v>11.378549115725772</v>
      </c>
    </row>
    <row r="1354" spans="12:65" x14ac:dyDescent="0.3">
      <c r="L1354" s="427">
        <v>7086543.6299999999</v>
      </c>
      <c r="BE1354" s="477">
        <v>5535947.7075796649</v>
      </c>
      <c r="BF1354" s="458">
        <v>5.5758588712182977E-2</v>
      </c>
      <c r="BG1354" s="477">
        <v>5696944.1435617041</v>
      </c>
      <c r="BH1354" s="458">
        <v>8.4666028203066013E-2</v>
      </c>
      <c r="BI1354" s="477">
        <v>19250924.482280564</v>
      </c>
      <c r="BJ1354" s="458">
        <v>0.10106159996214337</v>
      </c>
      <c r="BK1354" s="477">
        <v>90413436.317046389</v>
      </c>
      <c r="BL1354" s="458">
        <v>0.28399583889281566</v>
      </c>
      <c r="BM1354" s="468">
        <v>12.241115634828732</v>
      </c>
    </row>
    <row r="1355" spans="12:65" x14ac:dyDescent="0.3">
      <c r="L1355" s="427">
        <v>21733534.167800002</v>
      </c>
      <c r="BE1355" s="477">
        <v>6188629.4450074686</v>
      </c>
      <c r="BF1355" s="458">
        <v>3.1741246375533549E-2</v>
      </c>
      <c r="BG1355" s="477">
        <v>3186469.3713551611</v>
      </c>
      <c r="BH1355" s="458">
        <v>8.4753475135529888E-2</v>
      </c>
      <c r="BI1355" s="477">
        <v>16301647.510805316</v>
      </c>
      <c r="BJ1355" s="458">
        <v>9.6969003718736291E-2</v>
      </c>
      <c r="BK1355" s="477">
        <v>85765565.753145263</v>
      </c>
      <c r="BL1355" s="458">
        <v>0.25907772268318241</v>
      </c>
      <c r="BM1355" s="468">
        <v>5.6950366473318823</v>
      </c>
    </row>
    <row r="1356" spans="12:65" x14ac:dyDescent="0.3">
      <c r="L1356" s="427">
        <v>-4533591.9053999996</v>
      </c>
      <c r="BE1356" s="477">
        <v>3899380.6378481542</v>
      </c>
      <c r="BF1356" s="458">
        <v>3.2758207205624279E-2</v>
      </c>
      <c r="BG1356" s="477">
        <v>11118570.272416916</v>
      </c>
      <c r="BH1356" s="458">
        <v>6.6798419454367375E-2</v>
      </c>
      <c r="BI1356" s="477">
        <v>15404725.963407535</v>
      </c>
      <c r="BJ1356" s="458">
        <v>0.15239397031509228</v>
      </c>
      <c r="BK1356" s="477">
        <v>93405984.337025076</v>
      </c>
      <c r="BL1356" s="458">
        <v>0.28517194783326349</v>
      </c>
      <c r="BM1356" s="468">
        <v>7.978816160955434</v>
      </c>
    </row>
    <row r="1357" spans="12:65" x14ac:dyDescent="0.3">
      <c r="L1357" s="427">
        <v>7483267.0530000003</v>
      </c>
      <c r="BE1357" s="477">
        <v>4442506.0570043083</v>
      </c>
      <c r="BF1357" s="458">
        <v>2.4739285619390872E-2</v>
      </c>
      <c r="BG1357" s="477">
        <v>10768996.052993273</v>
      </c>
      <c r="BH1357" s="458">
        <v>5.6807406244825387E-2</v>
      </c>
      <c r="BI1357" s="477">
        <v>12368238.03159201</v>
      </c>
      <c r="BJ1357" s="458">
        <v>9.4626128909777618E-2</v>
      </c>
      <c r="BK1357" s="477">
        <v>92681492.510483116</v>
      </c>
      <c r="BL1357" s="458">
        <v>0.2699080573111563</v>
      </c>
      <c r="BM1357" s="468">
        <v>9.6514397421134284</v>
      </c>
    </row>
    <row r="1358" spans="12:65" x14ac:dyDescent="0.3">
      <c r="L1358" s="427">
        <v>6846577.3477999996</v>
      </c>
      <c r="BE1358" s="477">
        <v>3448793.3006414222</v>
      </c>
      <c r="BF1358" s="458">
        <v>2.7653013994221487E-2</v>
      </c>
      <c r="BG1358" s="477">
        <v>7055260.6572854286</v>
      </c>
      <c r="BH1358" s="458">
        <v>5.94183738361167E-2</v>
      </c>
      <c r="BI1358" s="477">
        <v>19055945.139257967</v>
      </c>
      <c r="BJ1358" s="458">
        <v>0.11294770867439863</v>
      </c>
      <c r="BK1358" s="477">
        <v>93906487.59781152</v>
      </c>
      <c r="BL1358" s="458">
        <v>0.26618200479998277</v>
      </c>
      <c r="BM1358" s="468">
        <v>2.4768731285866048</v>
      </c>
    </row>
    <row r="1359" spans="12:65" x14ac:dyDescent="0.3">
      <c r="L1359" s="427">
        <v>-8501591.8035000004</v>
      </c>
      <c r="BE1359" s="477">
        <v>4299962.3703112127</v>
      </c>
      <c r="BF1359" s="458">
        <v>4.578162701486721E-2</v>
      </c>
      <c r="BG1359" s="477">
        <v>3091245.0238504219</v>
      </c>
      <c r="BH1359" s="458">
        <v>6.5992983466078847E-2</v>
      </c>
      <c r="BI1359" s="477">
        <v>21836158.423326313</v>
      </c>
      <c r="BJ1359" s="458">
        <v>0.12150191896286655</v>
      </c>
      <c r="BK1359" s="477">
        <v>90253517.060515165</v>
      </c>
      <c r="BL1359" s="458">
        <v>0.28561645193227991</v>
      </c>
      <c r="BM1359" s="468">
        <v>3.2273278939585515</v>
      </c>
    </row>
    <row r="1360" spans="12:65" x14ac:dyDescent="0.3">
      <c r="L1360" s="427">
        <v>621092.20090000005</v>
      </c>
      <c r="BE1360" s="477">
        <v>5838576.0206403108</v>
      </c>
      <c r="BF1360" s="458">
        <v>5.0738600124041078E-2</v>
      </c>
      <c r="BG1360" s="477">
        <v>11313006.074125033</v>
      </c>
      <c r="BH1360" s="458">
        <v>7.8952626692640804E-2</v>
      </c>
      <c r="BI1360" s="477">
        <v>11949031.469236607</v>
      </c>
      <c r="BJ1360" s="458">
        <v>0.10908054013124224</v>
      </c>
      <c r="BK1360" s="477">
        <v>93964191.601055324</v>
      </c>
      <c r="BL1360" s="458">
        <v>0.27208532165847088</v>
      </c>
      <c r="BM1360" s="468">
        <v>12.585533745924277</v>
      </c>
    </row>
    <row r="1361" spans="12:65" x14ac:dyDescent="0.3">
      <c r="L1361" s="427">
        <v>-4969903.1086999997</v>
      </c>
      <c r="BE1361" s="477">
        <v>1795132.0021651324</v>
      </c>
      <c r="BF1361" s="458">
        <v>4.6279890120758171E-2</v>
      </c>
      <c r="BG1361" s="477">
        <v>620396.29583090171</v>
      </c>
      <c r="BH1361" s="458">
        <v>7.9390935740419222E-2</v>
      </c>
      <c r="BI1361" s="477">
        <v>18485135.161516085</v>
      </c>
      <c r="BJ1361" s="458">
        <v>0.10709714703657247</v>
      </c>
      <c r="BK1361" s="477">
        <v>78148605.609496757</v>
      </c>
      <c r="BL1361" s="458">
        <v>0.29761245580496731</v>
      </c>
      <c r="BM1361" s="468">
        <v>3.9332798027873901</v>
      </c>
    </row>
    <row r="1362" spans="12:65" x14ac:dyDescent="0.3">
      <c r="L1362" s="427">
        <v>10221920.8079</v>
      </c>
      <c r="BE1362" s="477">
        <v>3553528.6623098138</v>
      </c>
      <c r="BF1362" s="458">
        <v>4.311939312628188E-2</v>
      </c>
      <c r="BG1362" s="477">
        <v>9225332.7221324816</v>
      </c>
      <c r="BH1362" s="458">
        <v>4.1882923076978384E-2</v>
      </c>
      <c r="BI1362" s="477">
        <v>11891065.87486591</v>
      </c>
      <c r="BJ1362" s="458">
        <v>0.10982788624647721</v>
      </c>
      <c r="BK1362" s="477">
        <v>88030620.182356179</v>
      </c>
      <c r="BL1362" s="458">
        <v>0.26139439633085515</v>
      </c>
      <c r="BM1362" s="468">
        <v>7.1067989714094644</v>
      </c>
    </row>
    <row r="1363" spans="12:65" x14ac:dyDescent="0.3">
      <c r="L1363" s="427">
        <v>5739417.8912000004</v>
      </c>
      <c r="BE1363" s="477">
        <v>6762083.9379894715</v>
      </c>
      <c r="BF1363" s="458">
        <v>5.6970431585257497E-2</v>
      </c>
      <c r="BG1363" s="477">
        <v>13790499.538463451</v>
      </c>
      <c r="BH1363" s="458">
        <v>7.2602292264325019E-2</v>
      </c>
      <c r="BI1363" s="477">
        <v>15555187.835458288</v>
      </c>
      <c r="BJ1363" s="458">
        <v>0.1313299105566339</v>
      </c>
      <c r="BK1363" s="477">
        <v>77628845.040491611</v>
      </c>
      <c r="BL1363" s="458">
        <v>0.26549510188858094</v>
      </c>
      <c r="BM1363" s="468">
        <v>6.7005804577216352</v>
      </c>
    </row>
    <row r="1364" spans="12:65" x14ac:dyDescent="0.3">
      <c r="L1364" s="427">
        <v>19407008.628800001</v>
      </c>
      <c r="BE1364" s="477">
        <v>5462260.8597615669</v>
      </c>
      <c r="BF1364" s="458">
        <v>3.0037249187762072E-2</v>
      </c>
      <c r="BG1364" s="477">
        <v>5944839.0808783993</v>
      </c>
      <c r="BH1364" s="458">
        <v>6.0894301073455281E-2</v>
      </c>
      <c r="BI1364" s="477">
        <v>18406142.159659471</v>
      </c>
      <c r="BJ1364" s="458">
        <v>0.12584453165516929</v>
      </c>
      <c r="BK1364" s="477">
        <v>90767615.548669279</v>
      </c>
      <c r="BL1364" s="458">
        <v>0.26364027547934454</v>
      </c>
      <c r="BM1364" s="468">
        <v>5.9722464140034042</v>
      </c>
    </row>
    <row r="1365" spans="12:65" x14ac:dyDescent="0.3">
      <c r="L1365" s="427">
        <v>19865157.7905</v>
      </c>
      <c r="BE1365" s="477">
        <v>9537253.3862630874</v>
      </c>
      <c r="BF1365" s="458">
        <v>3.5316077277355973E-2</v>
      </c>
      <c r="BG1365" s="477">
        <v>2069078.2738829434</v>
      </c>
      <c r="BH1365" s="458">
        <v>6.5242886406152945E-2</v>
      </c>
      <c r="BI1365" s="477">
        <v>16201699.309198052</v>
      </c>
      <c r="BJ1365" s="458">
        <v>9.7902215125194703E-2</v>
      </c>
      <c r="BK1365" s="477">
        <v>79701474.534611359</v>
      </c>
      <c r="BL1365" s="458">
        <v>0.26342575315385619</v>
      </c>
      <c r="BM1365" s="468">
        <v>11.834851905466177</v>
      </c>
    </row>
    <row r="1366" spans="12:65" x14ac:dyDescent="0.3">
      <c r="L1366" s="427">
        <v>6207598.7905999999</v>
      </c>
      <c r="BE1366" s="477">
        <v>8349915.2617857084</v>
      </c>
      <c r="BF1366" s="458">
        <v>4.0042004180602442E-2</v>
      </c>
      <c r="BG1366" s="477">
        <v>10300858.360466698</v>
      </c>
      <c r="BH1366" s="458">
        <v>4.8496134275519465E-2</v>
      </c>
      <c r="BI1366" s="477">
        <v>16920218.651792236</v>
      </c>
      <c r="BJ1366" s="458">
        <v>0.13730602724407182</v>
      </c>
      <c r="BK1366" s="477">
        <v>96664765.956651524</v>
      </c>
      <c r="BL1366" s="458">
        <v>0.30114722828187612</v>
      </c>
      <c r="BM1366" s="468">
        <v>7.4602618187494274</v>
      </c>
    </row>
    <row r="1367" spans="12:65" x14ac:dyDescent="0.3">
      <c r="L1367" s="427">
        <v>10181426.4789</v>
      </c>
      <c r="BE1367" s="477">
        <v>5924918.118583763</v>
      </c>
      <c r="BF1367" s="458">
        <v>4.1895144598548484E-2</v>
      </c>
      <c r="BG1367" s="477">
        <v>10743227.118694559</v>
      </c>
      <c r="BH1367" s="458">
        <v>7.6987546341446444E-2</v>
      </c>
      <c r="BI1367" s="477">
        <v>12373643.198804585</v>
      </c>
      <c r="BJ1367" s="458">
        <v>8.4838326803984954E-2</v>
      </c>
      <c r="BK1367" s="477">
        <v>85299834.771281362</v>
      </c>
      <c r="BL1367" s="458">
        <v>0.27549499198840355</v>
      </c>
      <c r="BM1367" s="468">
        <v>12.063675288197476</v>
      </c>
    </row>
    <row r="1368" spans="12:65" x14ac:dyDescent="0.3">
      <c r="L1368" s="427">
        <v>4304877.7571999999</v>
      </c>
      <c r="BE1368" s="477">
        <v>7271057.4065803131</v>
      </c>
      <c r="BF1368" s="458">
        <v>4.1461809967137331E-2</v>
      </c>
      <c r="BG1368" s="477">
        <v>7157532.588842323</v>
      </c>
      <c r="BH1368" s="458">
        <v>4.5363424578148681E-2</v>
      </c>
      <c r="BI1368" s="477">
        <v>18728443.332050413</v>
      </c>
      <c r="BJ1368" s="458">
        <v>0.11492105814378095</v>
      </c>
      <c r="BK1368" s="477">
        <v>93324743.303843662</v>
      </c>
      <c r="BL1368" s="458">
        <v>0.27087553877357373</v>
      </c>
      <c r="BM1368" s="468">
        <v>15.89692034798183</v>
      </c>
    </row>
    <row r="1369" spans="12:65" x14ac:dyDescent="0.3">
      <c r="L1369" s="427">
        <v>-11577570.342499999</v>
      </c>
      <c r="BE1369" s="477">
        <v>7543490.8626771262</v>
      </c>
      <c r="BF1369" s="458">
        <v>5.0046576525504483E-2</v>
      </c>
      <c r="BG1369" s="477">
        <v>14558753.273697391</v>
      </c>
      <c r="BH1369" s="458">
        <v>5.7477805931898773E-2</v>
      </c>
      <c r="BI1369" s="477">
        <v>8860197.1415726002</v>
      </c>
      <c r="BJ1369" s="458">
        <v>9.2282568347470173E-2</v>
      </c>
      <c r="BK1369" s="477">
        <v>105758621.46886741</v>
      </c>
      <c r="BL1369" s="458">
        <v>0.23743534976673275</v>
      </c>
      <c r="BM1369" s="468">
        <v>6.5225581187878063</v>
      </c>
    </row>
    <row r="1370" spans="12:65" x14ac:dyDescent="0.3">
      <c r="L1370" s="427">
        <v>7319634.2120000003</v>
      </c>
      <c r="BE1370" s="477">
        <v>-564904.50685213541</v>
      </c>
      <c r="BF1370" s="458">
        <v>4.8040257800885167E-2</v>
      </c>
      <c r="BG1370" s="477">
        <v>3331742.5781108467</v>
      </c>
      <c r="BH1370" s="458">
        <v>5.7771479991108432E-2</v>
      </c>
      <c r="BI1370" s="477">
        <v>20986715.825869799</v>
      </c>
      <c r="BJ1370" s="458">
        <v>0.11726782028589966</v>
      </c>
      <c r="BK1370" s="477">
        <v>97362608.173032671</v>
      </c>
      <c r="BL1370" s="458">
        <v>0.25653485489313366</v>
      </c>
      <c r="BM1370" s="468">
        <v>10.599415811192605</v>
      </c>
    </row>
    <row r="1371" spans="12:65" x14ac:dyDescent="0.3">
      <c r="L1371" s="427">
        <v>12425598.623400001</v>
      </c>
      <c r="BE1371" s="477">
        <v>681330.27884078841</v>
      </c>
      <c r="BF1371" s="458">
        <v>3.6105248689075387E-2</v>
      </c>
      <c r="BG1371" s="477">
        <v>7767902.7218002211</v>
      </c>
      <c r="BH1371" s="458">
        <v>7.5140562216941209E-2</v>
      </c>
      <c r="BI1371" s="477">
        <v>11358430.884665586</v>
      </c>
      <c r="BJ1371" s="458">
        <v>0.1071623605765013</v>
      </c>
      <c r="BK1371" s="477">
        <v>96386276.913221553</v>
      </c>
      <c r="BL1371" s="458">
        <v>0.31280840423683354</v>
      </c>
      <c r="BM1371" s="468">
        <v>7.6784537973017812</v>
      </c>
    </row>
    <row r="1372" spans="12:65" x14ac:dyDescent="0.3">
      <c r="L1372" s="427">
        <v>-2904627.6475</v>
      </c>
      <c r="BE1372" s="477">
        <v>2953787.1008909568</v>
      </c>
      <c r="BF1372" s="458">
        <v>6.0825240011495474E-2</v>
      </c>
      <c r="BG1372" s="477">
        <v>5205529.2438190347</v>
      </c>
      <c r="BH1372" s="458">
        <v>5.4028873776641673E-2</v>
      </c>
      <c r="BI1372" s="477">
        <v>5745961.1335111102</v>
      </c>
      <c r="BJ1372" s="458">
        <v>0.10772702233246112</v>
      </c>
      <c r="BK1372" s="477">
        <v>92919139.574990571</v>
      </c>
      <c r="BL1372" s="458">
        <v>0.26389689288328699</v>
      </c>
      <c r="BM1372" s="468">
        <v>8.4582212905948655</v>
      </c>
    </row>
    <row r="1373" spans="12:65" x14ac:dyDescent="0.3">
      <c r="L1373" s="427">
        <v>6960708.5762999998</v>
      </c>
      <c r="BE1373" s="477">
        <v>14683219.354879681</v>
      </c>
      <c r="BF1373" s="458">
        <v>3.7533668807490539E-2</v>
      </c>
      <c r="BG1373" s="477">
        <v>10479055.952922124</v>
      </c>
      <c r="BH1373" s="458">
        <v>5.7495548304207889E-2</v>
      </c>
      <c r="BI1373" s="477">
        <v>12353948.967753284</v>
      </c>
      <c r="BJ1373" s="458">
        <v>0.1330927143266285</v>
      </c>
      <c r="BK1373" s="477">
        <v>84780028.344736233</v>
      </c>
      <c r="BL1373" s="458">
        <v>0.26344602545749907</v>
      </c>
      <c r="BM1373" s="468">
        <v>9.1578089032531338</v>
      </c>
    </row>
    <row r="1374" spans="12:65" x14ac:dyDescent="0.3">
      <c r="L1374" s="427">
        <v>3074294.895</v>
      </c>
      <c r="BE1374" s="477">
        <v>7598620.6909957919</v>
      </c>
      <c r="BF1374" s="458">
        <v>3.9020112615955727E-2</v>
      </c>
      <c r="BG1374" s="477">
        <v>11928365.934695415</v>
      </c>
      <c r="BH1374" s="458">
        <v>5.4167268196644303E-2</v>
      </c>
      <c r="BI1374" s="477">
        <v>13523936.693969963</v>
      </c>
      <c r="BJ1374" s="458">
        <v>0.10495885758716517</v>
      </c>
      <c r="BK1374" s="477">
        <v>100405259.24516676</v>
      </c>
      <c r="BL1374" s="458">
        <v>0.26044565320988977</v>
      </c>
      <c r="BM1374" s="468">
        <v>9.6929487392965861</v>
      </c>
    </row>
    <row r="1375" spans="12:65" x14ac:dyDescent="0.3">
      <c r="L1375" s="427">
        <v>15416055.8881</v>
      </c>
      <c r="BE1375" s="477">
        <v>4866126.5166939916</v>
      </c>
      <c r="BF1375" s="458">
        <v>3.6396037697246975E-2</v>
      </c>
      <c r="BG1375" s="477">
        <v>6357733.5685092136</v>
      </c>
      <c r="BH1375" s="458">
        <v>8.019193322395668E-2</v>
      </c>
      <c r="BI1375" s="477">
        <v>15110319.862391405</v>
      </c>
      <c r="BJ1375" s="458">
        <v>0.10419215854357944</v>
      </c>
      <c r="BK1375" s="477">
        <v>84449387.298755035</v>
      </c>
      <c r="BL1375" s="458">
        <v>0.26735521333916501</v>
      </c>
      <c r="BM1375" s="468">
        <v>7.5946798348798685</v>
      </c>
    </row>
    <row r="1376" spans="12:65" x14ac:dyDescent="0.3">
      <c r="L1376" s="427">
        <v>-5612477.4455000004</v>
      </c>
      <c r="BE1376" s="477">
        <v>5081765.4413121231</v>
      </c>
      <c r="BF1376" s="458">
        <v>3.7940719346422958E-2</v>
      </c>
      <c r="BG1376" s="477">
        <v>10440344.311808074</v>
      </c>
      <c r="BH1376" s="458">
        <v>3.7600037033798106E-2</v>
      </c>
      <c r="BI1376" s="477">
        <v>11398588.005657883</v>
      </c>
      <c r="BJ1376" s="458">
        <v>0.11855366204910878</v>
      </c>
      <c r="BK1376" s="477">
        <v>90692612.004206568</v>
      </c>
      <c r="BL1376" s="458">
        <v>0.29253014653298859</v>
      </c>
      <c r="BM1376" s="468">
        <v>13.255096706172113</v>
      </c>
    </row>
    <row r="1377" spans="12:65" x14ac:dyDescent="0.3">
      <c r="L1377" s="427">
        <v>7153252.8339</v>
      </c>
      <c r="BE1377" s="477">
        <v>4660678.4091673754</v>
      </c>
      <c r="BF1377" s="458">
        <v>7.4200633755024059E-2</v>
      </c>
      <c r="BG1377" s="477">
        <v>5169873.8092272552</v>
      </c>
      <c r="BH1377" s="458">
        <v>6.699842946363499E-2</v>
      </c>
      <c r="BI1377" s="477">
        <v>13813467.443063371</v>
      </c>
      <c r="BJ1377" s="458">
        <v>0.10190207665288464</v>
      </c>
      <c r="BK1377" s="477">
        <v>69822040.934796542</v>
      </c>
      <c r="BL1377" s="458">
        <v>0.25772835261005667</v>
      </c>
      <c r="BM1377" s="468">
        <v>6.0041570948502212</v>
      </c>
    </row>
    <row r="1378" spans="12:65" x14ac:dyDescent="0.3">
      <c r="L1378" s="427">
        <v>-51708.297100000003</v>
      </c>
      <c r="BE1378" s="477">
        <v>3194920.1063404754</v>
      </c>
      <c r="BF1378" s="458">
        <v>1.7335809469574803E-2</v>
      </c>
      <c r="BG1378" s="477">
        <v>13806651.864512248</v>
      </c>
      <c r="BH1378" s="458">
        <v>4.9450755782606937E-2</v>
      </c>
      <c r="BI1378" s="477">
        <v>9761556.1958809737</v>
      </c>
      <c r="BJ1378" s="458">
        <v>0.11324203891964957</v>
      </c>
      <c r="BK1378" s="477">
        <v>85068314.548721418</v>
      </c>
      <c r="BL1378" s="458">
        <v>0.25416527869430205</v>
      </c>
      <c r="BM1378" s="468">
        <v>14.558324794458166</v>
      </c>
    </row>
    <row r="1379" spans="12:65" x14ac:dyDescent="0.3">
      <c r="L1379" s="427">
        <v>12050835.7952</v>
      </c>
      <c r="BE1379" s="477">
        <v>3805416.5045481073</v>
      </c>
      <c r="BF1379" s="458">
        <v>3.9304339799075994E-2</v>
      </c>
      <c r="BG1379" s="477">
        <v>1953555.477735908</v>
      </c>
      <c r="BH1379" s="458">
        <v>6.8258470243044878E-2</v>
      </c>
      <c r="BI1379" s="477">
        <v>16285835.28791903</v>
      </c>
      <c r="BJ1379" s="458">
        <v>9.7758847810261784E-2</v>
      </c>
      <c r="BK1379" s="477">
        <v>83307288.690813363</v>
      </c>
      <c r="BL1379" s="458">
        <v>0.30063268861844938</v>
      </c>
      <c r="BM1379" s="468">
        <v>4.022760804383525</v>
      </c>
    </row>
    <row r="1380" spans="12:65" x14ac:dyDescent="0.3">
      <c r="L1380" s="427">
        <v>10836407.9585</v>
      </c>
      <c r="BE1380" s="477">
        <v>6322641.7587276381</v>
      </c>
      <c r="BF1380" s="458">
        <v>1.5665968983604284E-2</v>
      </c>
      <c r="BG1380" s="477">
        <v>11462336.219952796</v>
      </c>
      <c r="BH1380" s="458">
        <v>5.5071308563390486E-2</v>
      </c>
      <c r="BI1380" s="477">
        <v>19706437.962644551</v>
      </c>
      <c r="BJ1380" s="458">
        <v>0.10227310743290574</v>
      </c>
      <c r="BK1380" s="477">
        <v>90376678.757483989</v>
      </c>
      <c r="BL1380" s="458">
        <v>0.27867850318053411</v>
      </c>
      <c r="BM1380" s="468">
        <v>10.508884722656607</v>
      </c>
    </row>
    <row r="1381" spans="12:65" x14ac:dyDescent="0.3">
      <c r="L1381" s="427">
        <v>3444435.9624000001</v>
      </c>
      <c r="BE1381" s="477">
        <v>2497500.9137215749</v>
      </c>
      <c r="BF1381" s="458">
        <v>4.9834776960769656E-2</v>
      </c>
      <c r="BG1381" s="477">
        <v>7800555.0819345294</v>
      </c>
      <c r="BH1381" s="458">
        <v>6.9332643559390617E-2</v>
      </c>
      <c r="BI1381" s="477">
        <v>23288608.591130685</v>
      </c>
      <c r="BJ1381" s="458">
        <v>8.6049620489182299E-2</v>
      </c>
      <c r="BK1381" s="477">
        <v>90217159.886453688</v>
      </c>
      <c r="BL1381" s="458">
        <v>0.26516945493163568</v>
      </c>
      <c r="BM1381" s="468">
        <v>9.5731793421951572</v>
      </c>
    </row>
    <row r="1382" spans="12:65" x14ac:dyDescent="0.3">
      <c r="L1382" s="427">
        <v>35975051.924699999</v>
      </c>
      <c r="BE1382" s="477">
        <v>10644388.162964895</v>
      </c>
      <c r="BF1382" s="458">
        <v>3.7305525347187674E-2</v>
      </c>
      <c r="BG1382" s="477">
        <v>5568306.433845303</v>
      </c>
      <c r="BH1382" s="458">
        <v>7.511798827830618E-2</v>
      </c>
      <c r="BI1382" s="477">
        <v>9851014.0979043599</v>
      </c>
      <c r="BJ1382" s="458">
        <v>0.12787568389012627</v>
      </c>
      <c r="BK1382" s="477">
        <v>99801740.656480789</v>
      </c>
      <c r="BL1382" s="458">
        <v>0.26517345689174276</v>
      </c>
      <c r="BM1382" s="468">
        <v>16.422211761297177</v>
      </c>
    </row>
    <row r="1383" spans="12:65" x14ac:dyDescent="0.3">
      <c r="L1383" s="427">
        <v>22344787.886799999</v>
      </c>
      <c r="BE1383" s="477">
        <v>2087543.5004025795</v>
      </c>
      <c r="BF1383" s="458">
        <v>6.9504595077597431E-2</v>
      </c>
      <c r="BG1383" s="477">
        <v>9283352.6875391304</v>
      </c>
      <c r="BH1383" s="458">
        <v>5.2997629772060018E-2</v>
      </c>
      <c r="BI1383" s="477">
        <v>12292136.917069148</v>
      </c>
      <c r="BJ1383" s="458">
        <v>0.13825261680157697</v>
      </c>
      <c r="BK1383" s="477">
        <v>88328614.54259941</v>
      </c>
      <c r="BL1383" s="458">
        <v>0.27433100683388201</v>
      </c>
      <c r="BM1383" s="468">
        <v>8.4544337900959352</v>
      </c>
    </row>
    <row r="1384" spans="12:65" x14ac:dyDescent="0.3">
      <c r="L1384" s="427">
        <v>7954811.2258000001</v>
      </c>
      <c r="BE1384" s="477">
        <v>7584781.7140538329</v>
      </c>
      <c r="BF1384" s="458">
        <v>2.9019426375205049E-2</v>
      </c>
      <c r="BG1384" s="477">
        <v>8891853.4809848536</v>
      </c>
      <c r="BH1384" s="458">
        <v>9.9563521528288623E-2</v>
      </c>
      <c r="BI1384" s="477">
        <v>18621766.969780944</v>
      </c>
      <c r="BJ1384" s="458">
        <v>0.11463090337583881</v>
      </c>
      <c r="BK1384" s="477">
        <v>100578753.10809815</v>
      </c>
      <c r="BL1384" s="458">
        <v>0.24377119547921744</v>
      </c>
      <c r="BM1384" s="468">
        <v>3.3020185380294178</v>
      </c>
    </row>
    <row r="1385" spans="12:65" x14ac:dyDescent="0.3">
      <c r="L1385" s="427">
        <v>21032575.249400001</v>
      </c>
      <c r="BE1385" s="477">
        <v>955232.69917825644</v>
      </c>
      <c r="BF1385" s="458">
        <v>3.7821935973944454E-2</v>
      </c>
      <c r="BG1385" s="477">
        <v>9204838.2060596589</v>
      </c>
      <c r="BH1385" s="458">
        <v>5.7871733148643356E-2</v>
      </c>
      <c r="BI1385" s="477">
        <v>8604445.8966898788</v>
      </c>
      <c r="BJ1385" s="458">
        <v>0.13030548493624106</v>
      </c>
      <c r="BK1385" s="477">
        <v>81294002.717736796</v>
      </c>
      <c r="BL1385" s="458">
        <v>0.28560493910822893</v>
      </c>
      <c r="BM1385" s="468">
        <v>9.8549775489163025</v>
      </c>
    </row>
    <row r="1386" spans="12:65" x14ac:dyDescent="0.3">
      <c r="L1386" s="427">
        <v>14431287.6304</v>
      </c>
      <c r="BE1386" s="477">
        <v>10758942.817271439</v>
      </c>
      <c r="BF1386" s="458">
        <v>4.3242003291932951E-2</v>
      </c>
      <c r="BG1386" s="477">
        <v>10966394.132407248</v>
      </c>
      <c r="BH1386" s="458">
        <v>6.3720153673908042E-2</v>
      </c>
      <c r="BI1386" s="477">
        <v>14445217.427805478</v>
      </c>
      <c r="BJ1386" s="458">
        <v>0.10600222094280221</v>
      </c>
      <c r="BK1386" s="477">
        <v>91766399.684671208</v>
      </c>
      <c r="BL1386" s="458">
        <v>0.26252324457959464</v>
      </c>
      <c r="BM1386" s="468">
        <v>11.868802061332882</v>
      </c>
    </row>
    <row r="1387" spans="12:65" x14ac:dyDescent="0.3">
      <c r="L1387" s="427">
        <v>12824699.2601</v>
      </c>
      <c r="BE1387" s="477">
        <v>2001717.8735032994</v>
      </c>
      <c r="BF1387" s="458">
        <v>3.7378993835138763E-2</v>
      </c>
      <c r="BG1387" s="477">
        <v>15890596.97696981</v>
      </c>
      <c r="BH1387" s="458">
        <v>9.6923326419713351E-2</v>
      </c>
      <c r="BI1387" s="477">
        <v>19522408.238342788</v>
      </c>
      <c r="BJ1387" s="458">
        <v>0.12302765218987832</v>
      </c>
      <c r="BK1387" s="477">
        <v>87047762.446665466</v>
      </c>
      <c r="BL1387" s="458">
        <v>0.2675129550154951</v>
      </c>
      <c r="BM1387" s="468">
        <v>3.3600453994920398</v>
      </c>
    </row>
    <row r="1388" spans="12:65" x14ac:dyDescent="0.3">
      <c r="L1388" s="427">
        <v>8070130.4117000001</v>
      </c>
      <c r="BE1388" s="477">
        <v>520057.91111544147</v>
      </c>
      <c r="BF1388" s="458">
        <v>4.8284187423764724E-2</v>
      </c>
      <c r="BG1388" s="477">
        <v>11271210.932616506</v>
      </c>
      <c r="BH1388" s="458">
        <v>6.5419832113325027E-2</v>
      </c>
      <c r="BI1388" s="477">
        <v>14017807.868985385</v>
      </c>
      <c r="BJ1388" s="458">
        <v>0.12852715756501221</v>
      </c>
      <c r="BK1388" s="477">
        <v>107348144.70806773</v>
      </c>
      <c r="BL1388" s="458">
        <v>0.28224553053457835</v>
      </c>
      <c r="BM1388" s="468">
        <v>11.815970071328861</v>
      </c>
    </row>
    <row r="1389" spans="12:65" x14ac:dyDescent="0.3">
      <c r="L1389" s="427">
        <v>9846426.3230000008</v>
      </c>
      <c r="BE1389" s="477">
        <v>2699530.8884300753</v>
      </c>
      <c r="BF1389" s="458">
        <v>3.1265863016723072E-2</v>
      </c>
      <c r="BG1389" s="477">
        <v>7383748.5321033485</v>
      </c>
      <c r="BH1389" s="458">
        <v>6.8464772221926262E-2</v>
      </c>
      <c r="BI1389" s="477">
        <v>9118632.985616941</v>
      </c>
      <c r="BJ1389" s="458">
        <v>9.1777537547720778E-2</v>
      </c>
      <c r="BK1389" s="477">
        <v>93820803.16530624</v>
      </c>
      <c r="BL1389" s="458">
        <v>0.27425805290594329</v>
      </c>
      <c r="BM1389" s="468">
        <v>11.124331812566107</v>
      </c>
    </row>
    <row r="1390" spans="12:65" x14ac:dyDescent="0.3">
      <c r="L1390" s="427">
        <v>-5840554.4523</v>
      </c>
      <c r="BE1390" s="477">
        <v>1079534.9514571363</v>
      </c>
      <c r="BF1390" s="458">
        <v>7.2811879236868826E-2</v>
      </c>
      <c r="BG1390" s="477">
        <v>12175802.284269469</v>
      </c>
      <c r="BH1390" s="458">
        <v>9.5347250202445721E-2</v>
      </c>
      <c r="BI1390" s="477">
        <v>22740512.34074023</v>
      </c>
      <c r="BJ1390" s="458">
        <v>9.0951222917347252E-2</v>
      </c>
      <c r="BK1390" s="477">
        <v>78444327.763587266</v>
      </c>
      <c r="BL1390" s="458">
        <v>0.263376622645354</v>
      </c>
      <c r="BM1390" s="468">
        <v>6.7100217004617164</v>
      </c>
    </row>
    <row r="1391" spans="12:65" x14ac:dyDescent="0.3">
      <c r="L1391" s="427">
        <v>2962575.1699000001</v>
      </c>
      <c r="BE1391" s="477">
        <v>-385041.45458831399</v>
      </c>
      <c r="BF1391" s="458">
        <v>4.6249703253787411E-2</v>
      </c>
      <c r="BG1391" s="477">
        <v>15757402.833799507</v>
      </c>
      <c r="BH1391" s="458">
        <v>7.8837540559223429E-2</v>
      </c>
      <c r="BI1391" s="477">
        <v>14664448.778801564</v>
      </c>
      <c r="BJ1391" s="458">
        <v>0.12005775227531901</v>
      </c>
      <c r="BK1391" s="477">
        <v>101597635.52027199</v>
      </c>
      <c r="BL1391" s="458">
        <v>0.29634789380656557</v>
      </c>
      <c r="BM1391" s="468">
        <v>11.416587068694467</v>
      </c>
    </row>
    <row r="1392" spans="12:65" x14ac:dyDescent="0.3">
      <c r="L1392" s="427">
        <v>8281595.9397999998</v>
      </c>
      <c r="BE1392" s="477">
        <v>6598563.6915635262</v>
      </c>
      <c r="BF1392" s="458">
        <v>2.4034326043024468E-2</v>
      </c>
      <c r="BG1392" s="477">
        <v>7594299.5654474664</v>
      </c>
      <c r="BH1392" s="458">
        <v>6.5756879530757484E-2</v>
      </c>
      <c r="BI1392" s="477">
        <v>21437894.306741878</v>
      </c>
      <c r="BJ1392" s="458">
        <v>0.11727024203933589</v>
      </c>
      <c r="BK1392" s="477">
        <v>97711275.733363941</v>
      </c>
      <c r="BL1392" s="458">
        <v>0.26546881597703154</v>
      </c>
      <c r="BM1392" s="468">
        <v>17.104415591327875</v>
      </c>
    </row>
    <row r="1393" spans="12:65" x14ac:dyDescent="0.3">
      <c r="L1393" s="427">
        <v>2210566.1677000001</v>
      </c>
      <c r="BE1393" s="477">
        <v>3720910.5956312995</v>
      </c>
      <c r="BF1393" s="458">
        <v>6.1298958627715283E-2</v>
      </c>
      <c r="BG1393" s="477">
        <v>3084362.0256947628</v>
      </c>
      <c r="BH1393" s="458">
        <v>4.6123644455004387E-2</v>
      </c>
      <c r="BI1393" s="477">
        <v>26914982.94098042</v>
      </c>
      <c r="BJ1393" s="458">
        <v>9.1052199051291804E-2</v>
      </c>
      <c r="BK1393" s="477">
        <v>93878258.249034747</v>
      </c>
      <c r="BL1393" s="458">
        <v>0.28233490712204379</v>
      </c>
      <c r="BM1393" s="468">
        <v>8.1858416313424147</v>
      </c>
    </row>
    <row r="1394" spans="12:65" x14ac:dyDescent="0.3">
      <c r="L1394" s="427">
        <v>-1585812.4332999999</v>
      </c>
      <c r="BE1394" s="477">
        <v>6058416.42222529</v>
      </c>
      <c r="BF1394" s="458">
        <v>5.6491477893347408E-2</v>
      </c>
      <c r="BG1394" s="477">
        <v>10562475.092772748</v>
      </c>
      <c r="BH1394" s="458">
        <v>7.9063639979229716E-2</v>
      </c>
      <c r="BI1394" s="477">
        <v>14594247.571088372</v>
      </c>
      <c r="BJ1394" s="458">
        <v>0.11324102555981841</v>
      </c>
      <c r="BK1394" s="477">
        <v>89446144.560020179</v>
      </c>
      <c r="BL1394" s="458">
        <v>0.27431684241736898</v>
      </c>
      <c r="BM1394" s="468">
        <v>4.4599302189617109</v>
      </c>
    </row>
    <row r="1395" spans="12:65" x14ac:dyDescent="0.3">
      <c r="L1395" s="427">
        <v>17676536.013099998</v>
      </c>
      <c r="BE1395" s="477">
        <v>4493304.0984718651</v>
      </c>
      <c r="BF1395" s="458">
        <v>1.2990712494158174E-2</v>
      </c>
      <c r="BG1395" s="477">
        <v>14482175.998809079</v>
      </c>
      <c r="BH1395" s="458">
        <v>6.0050920375530392E-2</v>
      </c>
      <c r="BI1395" s="477">
        <v>10828701.789760912</v>
      </c>
      <c r="BJ1395" s="458">
        <v>0.10173066122742891</v>
      </c>
      <c r="BK1395" s="477">
        <v>91334012.432214141</v>
      </c>
      <c r="BL1395" s="458">
        <v>0.27826070254905799</v>
      </c>
      <c r="BM1395" s="468">
        <v>9.6312263333721049</v>
      </c>
    </row>
    <row r="1396" spans="12:65" x14ac:dyDescent="0.3">
      <c r="L1396" s="427">
        <v>13892262.9451</v>
      </c>
      <c r="BE1396" s="477">
        <v>2533335.0613702536</v>
      </c>
      <c r="BF1396" s="458">
        <v>3.8949758545081092E-2</v>
      </c>
      <c r="BG1396" s="477">
        <v>17273813.032165606</v>
      </c>
      <c r="BH1396" s="458">
        <v>8.7198714338276195E-2</v>
      </c>
      <c r="BI1396" s="477">
        <v>10698368.920982655</v>
      </c>
      <c r="BJ1396" s="458">
        <v>0.12963821154318644</v>
      </c>
      <c r="BK1396" s="477">
        <v>100978161.47652367</v>
      </c>
      <c r="BL1396" s="458">
        <v>0.25657136144643156</v>
      </c>
      <c r="BM1396" s="468">
        <v>6.5264130489046082</v>
      </c>
    </row>
    <row r="1397" spans="12:65" x14ac:dyDescent="0.3">
      <c r="L1397" s="427">
        <v>17040111.568500001</v>
      </c>
      <c r="BE1397" s="477">
        <v>6550476.633642124</v>
      </c>
      <c r="BF1397" s="458">
        <v>4.603558976166422E-2</v>
      </c>
      <c r="BG1397" s="477">
        <v>9031749.3726141248</v>
      </c>
      <c r="BH1397" s="458">
        <v>7.5274201449157641E-2</v>
      </c>
      <c r="BI1397" s="477">
        <v>11587595.883636104</v>
      </c>
      <c r="BJ1397" s="458">
        <v>9.3899446794091457E-2</v>
      </c>
      <c r="BK1397" s="477">
        <v>93168775.68129459</v>
      </c>
      <c r="BL1397" s="458">
        <v>0.27094942453316206</v>
      </c>
      <c r="BM1397" s="468">
        <v>1.6430416260841758</v>
      </c>
    </row>
    <row r="1398" spans="12:65" x14ac:dyDescent="0.3">
      <c r="L1398" s="427">
        <v>-4791896.1637000004</v>
      </c>
      <c r="BE1398" s="477">
        <v>3402242.8293107189</v>
      </c>
      <c r="BF1398" s="458">
        <v>4.0965557715942236E-2</v>
      </c>
      <c r="BG1398" s="477">
        <v>-1097988.852534723</v>
      </c>
      <c r="BH1398" s="458">
        <v>6.0348702762429873E-2</v>
      </c>
      <c r="BI1398" s="477">
        <v>15826625.183682624</v>
      </c>
      <c r="BJ1398" s="458">
        <v>0.1216732271767611</v>
      </c>
      <c r="BK1398" s="477">
        <v>91191157.90284501</v>
      </c>
      <c r="BL1398" s="458">
        <v>0.28787811327617363</v>
      </c>
      <c r="BM1398" s="468">
        <v>2.2925396158578693</v>
      </c>
    </row>
    <row r="1399" spans="12:65" x14ac:dyDescent="0.3">
      <c r="L1399" s="427">
        <v>24940825.438299999</v>
      </c>
      <c r="BE1399" s="477">
        <v>2347974.4894180545</v>
      </c>
      <c r="BF1399" s="458">
        <v>4.3378050817858949E-2</v>
      </c>
      <c r="BG1399" s="477">
        <v>9447428.7937512565</v>
      </c>
      <c r="BH1399" s="458">
        <v>7.1814130042879176E-2</v>
      </c>
      <c r="BI1399" s="477">
        <v>18800630.713930201</v>
      </c>
      <c r="BJ1399" s="458">
        <v>9.3957477871976947E-2</v>
      </c>
      <c r="BK1399" s="477">
        <v>94394245.252367273</v>
      </c>
      <c r="BL1399" s="458">
        <v>0.25965887815681321</v>
      </c>
      <c r="BM1399" s="468">
        <v>3.7795205504813199</v>
      </c>
    </row>
    <row r="1400" spans="12:65" x14ac:dyDescent="0.3">
      <c r="L1400" s="427">
        <v>-13834732.680400001</v>
      </c>
      <c r="BE1400" s="477">
        <v>5111639.6505347304</v>
      </c>
      <c r="BF1400" s="458">
        <v>3.7291329182740585E-2</v>
      </c>
      <c r="BG1400" s="477">
        <v>5687249.5123330988</v>
      </c>
      <c r="BH1400" s="458">
        <v>6.184297402854888E-2</v>
      </c>
      <c r="BI1400" s="477">
        <v>19256112.786489256</v>
      </c>
      <c r="BJ1400" s="458">
        <v>0.11566852172681164</v>
      </c>
      <c r="BK1400" s="477">
        <v>85011648.771229774</v>
      </c>
      <c r="BL1400" s="458">
        <v>0.27315345024390369</v>
      </c>
      <c r="BM1400" s="468">
        <v>2.9779311628022294</v>
      </c>
    </row>
    <row r="1401" spans="12:65" x14ac:dyDescent="0.3">
      <c r="L1401" s="427">
        <v>1554035.6095</v>
      </c>
      <c r="BE1401" s="477">
        <v>5852921.5727326563</v>
      </c>
      <c r="BF1401" s="458">
        <v>3.9221892418493276E-2</v>
      </c>
      <c r="BG1401" s="477">
        <v>8323155.4650672767</v>
      </c>
      <c r="BH1401" s="458">
        <v>8.4969704820125891E-2</v>
      </c>
      <c r="BI1401" s="477">
        <v>18380371.191927444</v>
      </c>
      <c r="BJ1401" s="458">
        <v>9.7155851891868261E-2</v>
      </c>
      <c r="BK1401" s="477">
        <v>96417360.630777583</v>
      </c>
      <c r="BL1401" s="458">
        <v>0.25624897096091082</v>
      </c>
      <c r="BM1401" s="468">
        <v>6.155188548993503</v>
      </c>
    </row>
    <row r="1402" spans="12:65" x14ac:dyDescent="0.3">
      <c r="L1402" s="427">
        <v>3594382.3986</v>
      </c>
      <c r="BE1402" s="477">
        <v>10719830.89513736</v>
      </c>
      <c r="BF1402" s="458">
        <v>4.1101990667142818E-2</v>
      </c>
      <c r="BG1402" s="477">
        <v>6069947.9704539897</v>
      </c>
      <c r="BH1402" s="458">
        <v>5.1406088272579753E-2</v>
      </c>
      <c r="BI1402" s="477">
        <v>17910504.532952882</v>
      </c>
      <c r="BJ1402" s="458">
        <v>9.2646136583906857E-2</v>
      </c>
      <c r="BK1402" s="477">
        <v>91062842.988910004</v>
      </c>
      <c r="BL1402" s="458">
        <v>0.30181613327953238</v>
      </c>
      <c r="BM1402" s="468">
        <v>9.8540951034865998</v>
      </c>
    </row>
    <row r="1403" spans="12:65" x14ac:dyDescent="0.3">
      <c r="L1403" s="427">
        <v>7263911.8444999997</v>
      </c>
      <c r="BE1403" s="477">
        <v>7671356.9301392911</v>
      </c>
      <c r="BF1403" s="458">
        <v>4.8495849652342882E-2</v>
      </c>
      <c r="BG1403" s="477">
        <v>10943898.355281889</v>
      </c>
      <c r="BH1403" s="458">
        <v>5.6643810630113478E-2</v>
      </c>
      <c r="BI1403" s="477">
        <v>19362457.69235833</v>
      </c>
      <c r="BJ1403" s="458">
        <v>0.12277460135493468</v>
      </c>
      <c r="BK1403" s="477">
        <v>97586378.232862532</v>
      </c>
      <c r="BL1403" s="458">
        <v>0.25859902400051871</v>
      </c>
      <c r="BM1403" s="468">
        <v>9.9037039623114378</v>
      </c>
    </row>
    <row r="1404" spans="12:65" x14ac:dyDescent="0.3">
      <c r="L1404" s="427">
        <v>11908915.927100001</v>
      </c>
      <c r="BE1404" s="477">
        <v>7288039.4557999698</v>
      </c>
      <c r="BF1404" s="458">
        <v>3.318478058072527E-2</v>
      </c>
      <c r="BG1404" s="477">
        <v>7054386.5985536184</v>
      </c>
      <c r="BH1404" s="458">
        <v>7.2778318016915255E-2</v>
      </c>
      <c r="BI1404" s="477">
        <v>21037643.895498671</v>
      </c>
      <c r="BJ1404" s="458">
        <v>0.10536113420619753</v>
      </c>
      <c r="BK1404" s="477">
        <v>85884118.317237586</v>
      </c>
      <c r="BL1404" s="458">
        <v>0.26770864552116946</v>
      </c>
      <c r="BM1404" s="468">
        <v>5.8627274810359591</v>
      </c>
    </row>
    <row r="1405" spans="12:65" x14ac:dyDescent="0.3">
      <c r="L1405" s="427">
        <v>28093668.592</v>
      </c>
      <c r="BE1405" s="477">
        <v>8131365.4774167482</v>
      </c>
      <c r="BF1405" s="458">
        <v>4.4078107293973545E-2</v>
      </c>
      <c r="BG1405" s="477">
        <v>6807497.2632949157</v>
      </c>
      <c r="BH1405" s="458">
        <v>7.4557725113758799E-2</v>
      </c>
      <c r="BI1405" s="477">
        <v>15785929.873697357</v>
      </c>
      <c r="BJ1405" s="458">
        <v>0.1242743443285097</v>
      </c>
      <c r="BK1405" s="477">
        <v>89925039.611438543</v>
      </c>
      <c r="BL1405" s="458">
        <v>0.33094179282247138</v>
      </c>
      <c r="BM1405" s="468">
        <v>5.1603138543129958</v>
      </c>
    </row>
    <row r="1406" spans="12:65" x14ac:dyDescent="0.3">
      <c r="L1406" s="427">
        <v>3380092.4235999999</v>
      </c>
      <c r="BE1406" s="477">
        <v>4346140.3883969625</v>
      </c>
      <c r="BF1406" s="458">
        <v>5.3833357209785992E-2</v>
      </c>
      <c r="BG1406" s="477">
        <v>11633367.472450335</v>
      </c>
      <c r="BH1406" s="458">
        <v>4.2456415508226542E-2</v>
      </c>
      <c r="BI1406" s="477">
        <v>16801613.815930415</v>
      </c>
      <c r="BJ1406" s="458">
        <v>0.12330073433148558</v>
      </c>
      <c r="BK1406" s="477">
        <v>92646639.508508518</v>
      </c>
      <c r="BL1406" s="458">
        <v>0.25989150552180851</v>
      </c>
      <c r="BM1406" s="468">
        <v>12.491305366419352</v>
      </c>
    </row>
    <row r="1407" spans="12:65" x14ac:dyDescent="0.3">
      <c r="L1407" s="427">
        <v>13019655.018100001</v>
      </c>
      <c r="BE1407" s="477">
        <v>5405640.5011998527</v>
      </c>
      <c r="BF1407" s="458">
        <v>4.1312684256458843E-2</v>
      </c>
      <c r="BG1407" s="477">
        <v>3261459.030037676</v>
      </c>
      <c r="BH1407" s="458">
        <v>4.7862085206914484E-2</v>
      </c>
      <c r="BI1407" s="477">
        <v>14242487.336677199</v>
      </c>
      <c r="BJ1407" s="458">
        <v>8.5922651383651294E-2</v>
      </c>
      <c r="BK1407" s="477">
        <v>95287412.968686208</v>
      </c>
      <c r="BL1407" s="458">
        <v>0.25559481066528633</v>
      </c>
      <c r="BM1407" s="468">
        <v>4.5331776161894535</v>
      </c>
    </row>
    <row r="1408" spans="12:65" x14ac:dyDescent="0.3">
      <c r="L1408" s="427">
        <v>14086730.8752</v>
      </c>
      <c r="BE1408" s="477">
        <v>4079649.54435169</v>
      </c>
      <c r="BF1408" s="458">
        <v>2.5555178427971281E-2</v>
      </c>
      <c r="BG1408" s="477">
        <v>7806873.9081406686</v>
      </c>
      <c r="BH1408" s="458">
        <v>6.6882697688886994E-2</v>
      </c>
      <c r="BI1408" s="477">
        <v>3148691.6371837794</v>
      </c>
      <c r="BJ1408" s="458">
        <v>0.10416185686014923</v>
      </c>
      <c r="BK1408" s="477">
        <v>90670464.604748651</v>
      </c>
      <c r="BL1408" s="458">
        <v>0.25505795958870436</v>
      </c>
      <c r="BM1408" s="468">
        <v>8.0352408123002714</v>
      </c>
    </row>
    <row r="1409" spans="12:65" x14ac:dyDescent="0.3">
      <c r="L1409" s="427">
        <v>-4163974.0608000001</v>
      </c>
      <c r="BE1409" s="477">
        <v>4010334.3753862563</v>
      </c>
      <c r="BF1409" s="458">
        <v>2.0992078313498697E-2</v>
      </c>
      <c r="BG1409" s="477">
        <v>3323408.0032350514</v>
      </c>
      <c r="BH1409" s="458">
        <v>6.5717273155192713E-2</v>
      </c>
      <c r="BI1409" s="477">
        <v>909131.6980183142</v>
      </c>
      <c r="BJ1409" s="458">
        <v>9.80496250159959E-2</v>
      </c>
      <c r="BK1409" s="477">
        <v>96482025.799436182</v>
      </c>
      <c r="BL1409" s="458">
        <v>0.27266910272484735</v>
      </c>
      <c r="BM1409" s="468">
        <v>5.403493493626117</v>
      </c>
    </row>
    <row r="1410" spans="12:65" x14ac:dyDescent="0.3">
      <c r="L1410" s="427">
        <v>-4910475.5354000004</v>
      </c>
      <c r="BE1410" s="477">
        <v>7856373.775873485</v>
      </c>
      <c r="BF1410" s="458">
        <v>4.4850459490010097E-2</v>
      </c>
      <c r="BG1410" s="477">
        <v>3567553.5616408722</v>
      </c>
      <c r="BH1410" s="458">
        <v>7.0141691530792638E-2</v>
      </c>
      <c r="BI1410" s="477">
        <v>17149664.533520602</v>
      </c>
      <c r="BJ1410" s="458">
        <v>9.7607434392871673E-2</v>
      </c>
      <c r="BK1410" s="477">
        <v>77026706.625009641</v>
      </c>
      <c r="BL1410" s="458">
        <v>0.26334310586846721</v>
      </c>
      <c r="BM1410" s="468">
        <v>4.8160960345701636</v>
      </c>
    </row>
    <row r="1411" spans="12:65" x14ac:dyDescent="0.3">
      <c r="L1411" s="427">
        <v>-12563879.8561</v>
      </c>
      <c r="BE1411" s="477">
        <v>6509743.3581146719</v>
      </c>
      <c r="BF1411" s="458">
        <v>5.2143782318628373E-2</v>
      </c>
      <c r="BG1411" s="477">
        <v>3254424.0227545006</v>
      </c>
      <c r="BH1411" s="458">
        <v>5.7161923637988332E-2</v>
      </c>
      <c r="BI1411" s="477">
        <v>12443578.352310522</v>
      </c>
      <c r="BJ1411" s="458">
        <v>0.10959681275083955</v>
      </c>
      <c r="BK1411" s="477">
        <v>78760735.194987193</v>
      </c>
      <c r="BL1411" s="458">
        <v>0.25135864128995866</v>
      </c>
      <c r="BM1411" s="468">
        <v>8.6700465750206419</v>
      </c>
    </row>
    <row r="1412" spans="12:65" x14ac:dyDescent="0.3">
      <c r="L1412" s="427">
        <v>6275012.2872000001</v>
      </c>
      <c r="BE1412" s="477">
        <v>5903306.0404604236</v>
      </c>
      <c r="BF1412" s="458">
        <v>3.8979585499301805E-2</v>
      </c>
      <c r="BG1412" s="477">
        <v>9568179.9299615826</v>
      </c>
      <c r="BH1412" s="458">
        <v>4.0187478687443878E-2</v>
      </c>
      <c r="BI1412" s="477">
        <v>11892128.393130433</v>
      </c>
      <c r="BJ1412" s="458">
        <v>0.13537230506173614</v>
      </c>
      <c r="BK1412" s="477">
        <v>86859368.403258517</v>
      </c>
      <c r="BL1412" s="458">
        <v>0.27311941935189998</v>
      </c>
      <c r="BM1412" s="468">
        <v>6.3044449064281638</v>
      </c>
    </row>
    <row r="1413" spans="12:65" x14ac:dyDescent="0.3">
      <c r="L1413" s="427">
        <v>-10090589.764699999</v>
      </c>
      <c r="BE1413" s="477">
        <v>6061060.3761693416</v>
      </c>
      <c r="BF1413" s="458">
        <v>3.6061450990069854E-2</v>
      </c>
      <c r="BG1413" s="477">
        <v>4022818.8844410088</v>
      </c>
      <c r="BH1413" s="458">
        <v>6.2999566984730748E-2</v>
      </c>
      <c r="BI1413" s="477">
        <v>20049753.635355361</v>
      </c>
      <c r="BJ1413" s="458">
        <v>0.10009655673849172</v>
      </c>
      <c r="BK1413" s="477">
        <v>84584375.692528605</v>
      </c>
      <c r="BL1413" s="458">
        <v>0.27741146652115001</v>
      </c>
      <c r="BM1413" s="468">
        <v>3.7960055507723105</v>
      </c>
    </row>
    <row r="1414" spans="12:65" x14ac:dyDescent="0.3">
      <c r="L1414" s="427">
        <v>15771038.849300001</v>
      </c>
      <c r="BE1414" s="477">
        <v>2234223.3852230734</v>
      </c>
      <c r="BF1414" s="458">
        <v>5.2150533992498804E-2</v>
      </c>
      <c r="BG1414" s="477">
        <v>2629029.0835981183</v>
      </c>
      <c r="BH1414" s="458">
        <v>6.8940492704432366E-2</v>
      </c>
      <c r="BI1414" s="477">
        <v>16642758.689243423</v>
      </c>
      <c r="BJ1414" s="458">
        <v>7.1774365297269327E-2</v>
      </c>
      <c r="BK1414" s="477">
        <v>97082571.988644361</v>
      </c>
      <c r="BL1414" s="458">
        <v>0.27508118223019196</v>
      </c>
      <c r="BM1414" s="468">
        <v>10.277119067888574</v>
      </c>
    </row>
    <row r="1415" spans="12:65" x14ac:dyDescent="0.3">
      <c r="L1415" s="427">
        <v>-781567.96869999997</v>
      </c>
      <c r="BE1415" s="477">
        <v>5064267.2885016091</v>
      </c>
      <c r="BF1415" s="458">
        <v>3.4713507276920019E-2</v>
      </c>
      <c r="BG1415" s="477">
        <v>6248582.8888077578</v>
      </c>
      <c r="BH1415" s="458">
        <v>8.5079021841986124E-2</v>
      </c>
      <c r="BI1415" s="477">
        <v>18529151.954492405</v>
      </c>
      <c r="BJ1415" s="458">
        <v>0.11248921597040229</v>
      </c>
      <c r="BK1415" s="477">
        <v>87907467.671756953</v>
      </c>
      <c r="BL1415" s="458">
        <v>0.27541082224839553</v>
      </c>
      <c r="BM1415" s="468">
        <v>8.5374516018868416</v>
      </c>
    </row>
    <row r="1416" spans="12:65" x14ac:dyDescent="0.3">
      <c r="L1416" s="427">
        <v>-4985472.7156999996</v>
      </c>
      <c r="BE1416" s="477">
        <v>2234048.7318202979</v>
      </c>
      <c r="BF1416" s="458">
        <v>3.4235960981532809E-2</v>
      </c>
      <c r="BG1416" s="477">
        <v>14463855.369598636</v>
      </c>
      <c r="BH1416" s="458">
        <v>6.7379892226785865E-2</v>
      </c>
      <c r="BI1416" s="477">
        <v>15200142.210077567</v>
      </c>
      <c r="BJ1416" s="458">
        <v>0.11548256290834646</v>
      </c>
      <c r="BK1416" s="477">
        <v>99403896.792409852</v>
      </c>
      <c r="BL1416" s="458">
        <v>0.27762766570430775</v>
      </c>
      <c r="BM1416" s="468">
        <v>5.7682207961723755</v>
      </c>
    </row>
    <row r="1417" spans="12:65" x14ac:dyDescent="0.3">
      <c r="L1417" s="427">
        <v>4620407.0944999997</v>
      </c>
      <c r="BE1417" s="477">
        <v>5224925.6689742366</v>
      </c>
      <c r="BF1417" s="458">
        <v>5.2255425344734263E-2</v>
      </c>
      <c r="BG1417" s="477">
        <v>9361737.7402464077</v>
      </c>
      <c r="BH1417" s="458">
        <v>6.2892041561062761E-2</v>
      </c>
      <c r="BI1417" s="477">
        <v>14058997.662942769</v>
      </c>
      <c r="BJ1417" s="458">
        <v>0.1214543322597581</v>
      </c>
      <c r="BK1417" s="477">
        <v>94868442.279333189</v>
      </c>
      <c r="BL1417" s="458">
        <v>0.27321113304855071</v>
      </c>
      <c r="BM1417" s="468">
        <v>6.5966127390045211</v>
      </c>
    </row>
    <row r="1418" spans="12:65" x14ac:dyDescent="0.3">
      <c r="L1418" s="427">
        <v>13665746.959799999</v>
      </c>
      <c r="BE1418" s="477">
        <v>1862258.2768376523</v>
      </c>
      <c r="BF1418" s="458">
        <v>4.159983493731767E-2</v>
      </c>
      <c r="BG1418" s="477">
        <v>7378696.8306436436</v>
      </c>
      <c r="BH1418" s="458">
        <v>5.42583981129241E-2</v>
      </c>
      <c r="BI1418" s="477">
        <v>10466417.797565216</v>
      </c>
      <c r="BJ1418" s="458">
        <v>0.10217320975403776</v>
      </c>
      <c r="BK1418" s="477">
        <v>84930297.399189085</v>
      </c>
      <c r="BL1418" s="458">
        <v>0.2753695562745857</v>
      </c>
      <c r="BM1418" s="468">
        <v>3.6927928045804057</v>
      </c>
    </row>
    <row r="1419" spans="12:65" x14ac:dyDescent="0.3">
      <c r="L1419" s="427">
        <v>7423137.6244000001</v>
      </c>
      <c r="BE1419" s="477">
        <v>2573602.592907574</v>
      </c>
      <c r="BF1419" s="458">
        <v>5.5635298342148198E-2</v>
      </c>
      <c r="BG1419" s="477">
        <v>8708505.5789446961</v>
      </c>
      <c r="BH1419" s="458">
        <v>6.98144093174764E-2</v>
      </c>
      <c r="BI1419" s="477">
        <v>16324299.458550489</v>
      </c>
      <c r="BJ1419" s="458">
        <v>0.10329040078706342</v>
      </c>
      <c r="BK1419" s="477">
        <v>83685627.023656324</v>
      </c>
      <c r="BL1419" s="458">
        <v>0.2684232984620103</v>
      </c>
      <c r="BM1419" s="468">
        <v>8.0137380685512269</v>
      </c>
    </row>
    <row r="1420" spans="12:65" x14ac:dyDescent="0.3">
      <c r="L1420" s="427">
        <v>5521956.3194000004</v>
      </c>
      <c r="BE1420" s="477">
        <v>2614606.7874463955</v>
      </c>
      <c r="BF1420" s="458">
        <v>3.8606019102945144E-2</v>
      </c>
      <c r="BG1420" s="477">
        <v>6844345.1617573267</v>
      </c>
      <c r="BH1420" s="458">
        <v>5.2521800542056685E-2</v>
      </c>
      <c r="BI1420" s="477">
        <v>14102977.971337724</v>
      </c>
      <c r="BJ1420" s="458">
        <v>0.12105876038145102</v>
      </c>
      <c r="BK1420" s="477">
        <v>88588335.214555472</v>
      </c>
      <c r="BL1420" s="458">
        <v>0.25287963666845914</v>
      </c>
      <c r="BM1420" s="468">
        <v>11.929174442461758</v>
      </c>
    </row>
    <row r="1421" spans="12:65" x14ac:dyDescent="0.3">
      <c r="L1421" s="427">
        <v>3351811.7996</v>
      </c>
      <c r="BE1421" s="477">
        <v>8059953.4581301324</v>
      </c>
      <c r="BF1421" s="458">
        <v>3.9381316438408254E-2</v>
      </c>
      <c r="BG1421" s="477">
        <v>9733862.5868038852</v>
      </c>
      <c r="BH1421" s="458">
        <v>6.9957865547496167E-2</v>
      </c>
      <c r="BI1421" s="477">
        <v>19440850.874754526</v>
      </c>
      <c r="BJ1421" s="458">
        <v>0.1299971174174992</v>
      </c>
      <c r="BK1421" s="477">
        <v>87396946.679446176</v>
      </c>
      <c r="BL1421" s="458">
        <v>0.26607631305430379</v>
      </c>
      <c r="BM1421" s="468">
        <v>4.3441186016129931</v>
      </c>
    </row>
    <row r="1422" spans="12:65" x14ac:dyDescent="0.3">
      <c r="L1422" s="427">
        <v>12214389.4255</v>
      </c>
      <c r="BE1422" s="477">
        <v>4889334.2020568568</v>
      </c>
      <c r="BF1422" s="458">
        <v>3.4866831192721159E-2</v>
      </c>
      <c r="BG1422" s="477">
        <v>5536579.0855450081</v>
      </c>
      <c r="BH1422" s="458">
        <v>7.7943638550376448E-2</v>
      </c>
      <c r="BI1422" s="477">
        <v>3793113.7278836109</v>
      </c>
      <c r="BJ1422" s="458">
        <v>0.12686524856221659</v>
      </c>
      <c r="BK1422" s="477">
        <v>87022218.67567876</v>
      </c>
      <c r="BL1422" s="458">
        <v>0.24885186388243574</v>
      </c>
      <c r="BM1422" s="468">
        <v>7.6464777502686205</v>
      </c>
    </row>
    <row r="1423" spans="12:65" x14ac:dyDescent="0.3">
      <c r="L1423" s="427">
        <v>15593762.377699999</v>
      </c>
      <c r="BE1423" s="477">
        <v>2958787.7396414345</v>
      </c>
      <c r="BF1423" s="458">
        <v>4.7092340996167215E-2</v>
      </c>
      <c r="BG1423" s="477">
        <v>3978077.3469694639</v>
      </c>
      <c r="BH1423" s="458">
        <v>6.9875014106345557E-2</v>
      </c>
      <c r="BI1423" s="477">
        <v>18561065.865985814</v>
      </c>
      <c r="BJ1423" s="458">
        <v>0.1203695373078062</v>
      </c>
      <c r="BK1423" s="477">
        <v>86127026.233646587</v>
      </c>
      <c r="BL1423" s="458">
        <v>0.27653832675645296</v>
      </c>
      <c r="BM1423" s="468">
        <v>10.041602212159182</v>
      </c>
    </row>
    <row r="1424" spans="12:65" x14ac:dyDescent="0.3">
      <c r="L1424" s="427">
        <v>740555.16610000003</v>
      </c>
      <c r="BE1424" s="477">
        <v>3689449.5349541181</v>
      </c>
      <c r="BF1424" s="458">
        <v>4.1736025712691305E-2</v>
      </c>
      <c r="BG1424" s="477">
        <v>12515938.572032524</v>
      </c>
      <c r="BH1424" s="458">
        <v>3.8146793495497322E-2</v>
      </c>
      <c r="BI1424" s="477">
        <v>15163216.723105749</v>
      </c>
      <c r="BJ1424" s="458">
        <v>8.831889729162512E-2</v>
      </c>
      <c r="BK1424" s="477">
        <v>98159617.680506349</v>
      </c>
      <c r="BL1424" s="458">
        <v>0.29306814511195411</v>
      </c>
      <c r="BM1424" s="468">
        <v>4.1690694125277314</v>
      </c>
    </row>
    <row r="1425" spans="12:65" x14ac:dyDescent="0.3">
      <c r="L1425" s="427">
        <v>5163533.1393999998</v>
      </c>
      <c r="BE1425" s="477">
        <v>4088530.8975193975</v>
      </c>
      <c r="BF1425" s="458">
        <v>7.1513642631445995E-2</v>
      </c>
      <c r="BG1425" s="477">
        <v>9025947.6848546565</v>
      </c>
      <c r="BH1425" s="458">
        <v>7.7218647957849162E-2</v>
      </c>
      <c r="BI1425" s="477">
        <v>16602273.327088347</v>
      </c>
      <c r="BJ1425" s="458">
        <v>9.5725005738643398E-2</v>
      </c>
      <c r="BK1425" s="477">
        <v>95558929.684983015</v>
      </c>
      <c r="BL1425" s="458">
        <v>0.25413528457285794</v>
      </c>
      <c r="BM1425" s="468">
        <v>16.565940599319106</v>
      </c>
    </row>
    <row r="1426" spans="12:65" x14ac:dyDescent="0.3">
      <c r="L1426" s="427">
        <v>11693705.997099999</v>
      </c>
      <c r="BE1426" s="477">
        <v>2491564.930813089</v>
      </c>
      <c r="BF1426" s="458">
        <v>3.6186869644397435E-2</v>
      </c>
      <c r="BG1426" s="477">
        <v>16711890.990195237</v>
      </c>
      <c r="BH1426" s="458">
        <v>5.6754651053069427E-2</v>
      </c>
      <c r="BI1426" s="477">
        <v>17544871.350846469</v>
      </c>
      <c r="BJ1426" s="458">
        <v>0.11937713261804106</v>
      </c>
      <c r="BK1426" s="477">
        <v>88602833.105074048</v>
      </c>
      <c r="BL1426" s="458">
        <v>0.26363011359923161</v>
      </c>
      <c r="BM1426" s="468">
        <v>4.3911977091799717</v>
      </c>
    </row>
    <row r="1427" spans="12:65" x14ac:dyDescent="0.3">
      <c r="L1427" s="427">
        <v>12702901.545600001</v>
      </c>
      <c r="BE1427" s="477">
        <v>3331681.4213100881</v>
      </c>
      <c r="BF1427" s="458">
        <v>4.1676627292031476E-2</v>
      </c>
      <c r="BG1427" s="477">
        <v>375625.6050982484</v>
      </c>
      <c r="BH1427" s="458">
        <v>7.7490662808773259E-2</v>
      </c>
      <c r="BI1427" s="477">
        <v>16791522.453654565</v>
      </c>
      <c r="BJ1427" s="458">
        <v>0.11257990136925611</v>
      </c>
      <c r="BK1427" s="477">
        <v>86644266.301924914</v>
      </c>
      <c r="BL1427" s="458">
        <v>0.28829831568451936</v>
      </c>
      <c r="BM1427" s="468">
        <v>2.7999780221950896</v>
      </c>
    </row>
    <row r="1428" spans="12:65" x14ac:dyDescent="0.3">
      <c r="L1428" s="427">
        <v>15533232.064999999</v>
      </c>
      <c r="BE1428" s="477">
        <v>2470697.9270885382</v>
      </c>
      <c r="BF1428" s="458">
        <v>3.7449984715515416E-2</v>
      </c>
      <c r="BG1428" s="477">
        <v>8229829.707515317</v>
      </c>
      <c r="BH1428" s="458">
        <v>6.1024784859530889E-2</v>
      </c>
      <c r="BI1428" s="477">
        <v>19299304.524480678</v>
      </c>
      <c r="BJ1428" s="458">
        <v>9.3707321100098051E-2</v>
      </c>
      <c r="BK1428" s="477">
        <v>95885536.880499542</v>
      </c>
      <c r="BL1428" s="458">
        <v>0.27330405815341074</v>
      </c>
      <c r="BM1428" s="468">
        <v>9.8064045871950487</v>
      </c>
    </row>
    <row r="1429" spans="12:65" x14ac:dyDescent="0.3">
      <c r="L1429" s="427">
        <v>-1747522.5615999999</v>
      </c>
      <c r="BE1429" s="477">
        <v>6830681.4733303785</v>
      </c>
      <c r="BF1429" s="458">
        <v>7.6978112647350105E-2</v>
      </c>
      <c r="BG1429" s="477">
        <v>11404275.946102131</v>
      </c>
      <c r="BH1429" s="458">
        <v>3.7723218967012029E-2</v>
      </c>
      <c r="BI1429" s="477">
        <v>19696036.961450152</v>
      </c>
      <c r="BJ1429" s="458">
        <v>0.10328194720784922</v>
      </c>
      <c r="BK1429" s="477">
        <v>87539893.858666733</v>
      </c>
      <c r="BL1429" s="458">
        <v>0.24902406845836333</v>
      </c>
      <c r="BM1429" s="468">
        <v>3.5349819265541624</v>
      </c>
    </row>
    <row r="1430" spans="12:65" x14ac:dyDescent="0.3">
      <c r="L1430" s="427">
        <v>3185729.2807</v>
      </c>
      <c r="BE1430" s="477">
        <v>4011536.5778859193</v>
      </c>
      <c r="BF1430" s="458">
        <v>4.4034115146162955E-2</v>
      </c>
      <c r="BG1430" s="477">
        <v>15262840.700568924</v>
      </c>
      <c r="BH1430" s="458">
        <v>7.3526734869265642E-2</v>
      </c>
      <c r="BI1430" s="477">
        <v>19108112.245473702</v>
      </c>
      <c r="BJ1430" s="458">
        <v>0.10634854580324404</v>
      </c>
      <c r="BK1430" s="477">
        <v>79627642.349195376</v>
      </c>
      <c r="BL1430" s="458">
        <v>0.26306601354256576</v>
      </c>
      <c r="BM1430" s="468">
        <v>11.297711085729064</v>
      </c>
    </row>
    <row r="1431" spans="12:65" x14ac:dyDescent="0.3">
      <c r="L1431" s="427">
        <v>10505598.410399999</v>
      </c>
      <c r="BE1431" s="477">
        <v>3591184.0918901777</v>
      </c>
      <c r="BF1431" s="458">
        <v>1.8982426031354915E-2</v>
      </c>
      <c r="BG1431" s="477">
        <v>6797181.3951602615</v>
      </c>
      <c r="BH1431" s="458">
        <v>7.160724495871662E-2</v>
      </c>
      <c r="BI1431" s="477">
        <v>24571108.994908698</v>
      </c>
      <c r="BJ1431" s="458">
        <v>0.11251457452150437</v>
      </c>
      <c r="BK1431" s="477">
        <v>85865442.803423122</v>
      </c>
      <c r="BL1431" s="458">
        <v>0.26466523256535779</v>
      </c>
      <c r="BM1431" s="468">
        <v>3.4270935692230911</v>
      </c>
    </row>
    <row r="1432" spans="12:65" x14ac:dyDescent="0.3">
      <c r="L1432" s="427">
        <v>9889857.1333000008</v>
      </c>
      <c r="BE1432" s="477">
        <v>2319223.5953831007</v>
      </c>
      <c r="BF1432" s="458">
        <v>5.9643314708611728E-2</v>
      </c>
      <c r="BG1432" s="477">
        <v>13173838.960495612</v>
      </c>
      <c r="BH1432" s="458">
        <v>7.884575386850301E-2</v>
      </c>
      <c r="BI1432" s="477">
        <v>11962227.97561782</v>
      </c>
      <c r="BJ1432" s="458">
        <v>0.12739450827333454</v>
      </c>
      <c r="BK1432" s="477">
        <v>65272635.197172321</v>
      </c>
      <c r="BL1432" s="458">
        <v>0.2610215151381543</v>
      </c>
      <c r="BM1432" s="468">
        <v>5.4614900462529423</v>
      </c>
    </row>
    <row r="1433" spans="12:65" x14ac:dyDescent="0.3">
      <c r="L1433" s="427">
        <v>-4244411.0277000004</v>
      </c>
      <c r="BE1433" s="477">
        <v>5236740.4292736538</v>
      </c>
      <c r="BF1433" s="458">
        <v>3.2602287393111551E-2</v>
      </c>
      <c r="BG1433" s="477">
        <v>8267232.6167450398</v>
      </c>
      <c r="BH1433" s="458">
        <v>5.5582964128133794E-2</v>
      </c>
      <c r="BI1433" s="477">
        <v>18727030.737986084</v>
      </c>
      <c r="BJ1433" s="458">
        <v>0.11160399420503597</v>
      </c>
      <c r="BK1433" s="477">
        <v>81252021.158878505</v>
      </c>
      <c r="BL1433" s="458">
        <v>0.27519250976382015</v>
      </c>
      <c r="BM1433" s="468">
        <v>5.7887959549895012</v>
      </c>
    </row>
    <row r="1434" spans="12:65" x14ac:dyDescent="0.3">
      <c r="L1434" s="427">
        <v>20598511.054299999</v>
      </c>
      <c r="BE1434" s="477">
        <v>6061569.5431264387</v>
      </c>
      <c r="BF1434" s="458">
        <v>2.4345359324706273E-2</v>
      </c>
      <c r="BG1434" s="477">
        <v>3327102.4182192143</v>
      </c>
      <c r="BH1434" s="458">
        <v>8.1368076205230011E-2</v>
      </c>
      <c r="BI1434" s="477">
        <v>21606654.247721203</v>
      </c>
      <c r="BJ1434" s="458">
        <v>0.12913547606859521</v>
      </c>
      <c r="BK1434" s="477">
        <v>84253228.932720333</v>
      </c>
      <c r="BL1434" s="458">
        <v>0.27065199893288217</v>
      </c>
      <c r="BM1434" s="468">
        <v>13.84752512976436</v>
      </c>
    </row>
    <row r="1435" spans="12:65" x14ac:dyDescent="0.3">
      <c r="L1435" s="427">
        <v>9108691.0731000006</v>
      </c>
      <c r="BE1435" s="477">
        <v>8516998.9986853711</v>
      </c>
      <c r="BF1435" s="458">
        <v>2.5935629948790284E-2</v>
      </c>
      <c r="BG1435" s="477">
        <v>11367872.200096549</v>
      </c>
      <c r="BH1435" s="458">
        <v>6.4941540700133693E-2</v>
      </c>
      <c r="BI1435" s="477">
        <v>8439298.5315046422</v>
      </c>
      <c r="BJ1435" s="458">
        <v>9.1511619971386349E-2</v>
      </c>
      <c r="BK1435" s="477">
        <v>96868133.41270411</v>
      </c>
      <c r="BL1435" s="458">
        <v>0.27045465879519437</v>
      </c>
      <c r="BM1435" s="468">
        <v>2.8083601717359707</v>
      </c>
    </row>
    <row r="1436" spans="12:65" x14ac:dyDescent="0.3">
      <c r="L1436" s="427">
        <v>16235414.6132</v>
      </c>
      <c r="BE1436" s="477">
        <v>3620357.4409197955</v>
      </c>
      <c r="BF1436" s="458">
        <v>5.7849100858000213E-2</v>
      </c>
      <c r="BG1436" s="477">
        <v>5990341.4617391462</v>
      </c>
      <c r="BH1436" s="458">
        <v>5.0891703285204093E-2</v>
      </c>
      <c r="BI1436" s="477">
        <v>8074449.6859904658</v>
      </c>
      <c r="BJ1436" s="458">
        <v>0.11588422496271522</v>
      </c>
      <c r="BK1436" s="477">
        <v>86685374.775587931</v>
      </c>
      <c r="BL1436" s="458">
        <v>0.25941359895726124</v>
      </c>
      <c r="BM1436" s="468">
        <v>10.606393792354032</v>
      </c>
    </row>
    <row r="1437" spans="12:65" x14ac:dyDescent="0.3">
      <c r="L1437" s="427">
        <v>18212852.633099999</v>
      </c>
      <c r="BE1437" s="477">
        <v>4059687.6719818339</v>
      </c>
      <c r="BF1437" s="458">
        <v>5.4451528530656157E-2</v>
      </c>
      <c r="BG1437" s="477">
        <v>10932026.959047509</v>
      </c>
      <c r="BH1437" s="458">
        <v>5.8126544917215694E-2</v>
      </c>
      <c r="BI1437" s="477">
        <v>9037552.8116669934</v>
      </c>
      <c r="BJ1437" s="458">
        <v>0.10680871113137602</v>
      </c>
      <c r="BK1437" s="477">
        <v>89974392.329911336</v>
      </c>
      <c r="BL1437" s="458">
        <v>0.27166962603518452</v>
      </c>
      <c r="BM1437" s="468">
        <v>9.3431776064143151</v>
      </c>
    </row>
    <row r="1438" spans="12:65" x14ac:dyDescent="0.3">
      <c r="L1438" s="427">
        <v>972846.40419999999</v>
      </c>
      <c r="BE1438" s="477">
        <v>1965425.3308027335</v>
      </c>
      <c r="BF1438" s="458">
        <v>3.2048026841515087E-2</v>
      </c>
      <c r="BG1438" s="477">
        <v>11742049.420712674</v>
      </c>
      <c r="BH1438" s="458">
        <v>5.4816932569207832E-2</v>
      </c>
      <c r="BI1438" s="477">
        <v>23632603.148600005</v>
      </c>
      <c r="BJ1438" s="458">
        <v>0.11046949503653747</v>
      </c>
      <c r="BK1438" s="477">
        <v>78359461.995076433</v>
      </c>
      <c r="BL1438" s="458">
        <v>0.26406420308612844</v>
      </c>
      <c r="BM1438" s="468">
        <v>7.6264529477535223</v>
      </c>
    </row>
    <row r="1439" spans="12:65" x14ac:dyDescent="0.3">
      <c r="L1439" s="427">
        <v>-6351490.4978</v>
      </c>
      <c r="BE1439" s="477">
        <v>6332464.6220761286</v>
      </c>
      <c r="BF1439" s="458">
        <v>3.6786280430759932E-2</v>
      </c>
      <c r="BG1439" s="477">
        <v>12973474.12986628</v>
      </c>
      <c r="BH1439" s="458">
        <v>6.3066081425428688E-2</v>
      </c>
      <c r="BI1439" s="477">
        <v>23549661.135348968</v>
      </c>
      <c r="BJ1439" s="458">
        <v>0.14221705243602778</v>
      </c>
      <c r="BK1439" s="477">
        <v>89142627.660444185</v>
      </c>
      <c r="BL1439" s="458">
        <v>0.26684563800290317</v>
      </c>
      <c r="BM1439" s="468">
        <v>9.3619472991826989</v>
      </c>
    </row>
    <row r="1440" spans="12:65" x14ac:dyDescent="0.3">
      <c r="L1440" s="427">
        <v>11364139.4882</v>
      </c>
      <c r="BE1440" s="477">
        <v>6676302.7710804539</v>
      </c>
      <c r="BF1440" s="458">
        <v>4.0529537417486772E-2</v>
      </c>
      <c r="BG1440" s="477">
        <v>6782728.4370983699</v>
      </c>
      <c r="BH1440" s="458">
        <v>6.7059573104807368E-2</v>
      </c>
      <c r="BI1440" s="477">
        <v>21258176.640955329</v>
      </c>
      <c r="BJ1440" s="458">
        <v>6.549973420167543E-2</v>
      </c>
      <c r="BK1440" s="477">
        <v>75931389.479375094</v>
      </c>
      <c r="BL1440" s="458">
        <v>0.27396582706198935</v>
      </c>
      <c r="BM1440" s="468">
        <v>9.0185169929401017</v>
      </c>
    </row>
    <row r="1441" spans="12:65" x14ac:dyDescent="0.3">
      <c r="L1441" s="427">
        <v>8171719.3311000001</v>
      </c>
      <c r="BE1441" s="477">
        <v>447847.8203298733</v>
      </c>
      <c r="BF1441" s="458">
        <v>3.0307712046735658E-2</v>
      </c>
      <c r="BG1441" s="477">
        <v>11846970.881883802</v>
      </c>
      <c r="BH1441" s="458">
        <v>4.1488949769678651E-2</v>
      </c>
      <c r="BI1441" s="477">
        <v>12400998.00992598</v>
      </c>
      <c r="BJ1441" s="458">
        <v>9.0359357474209867E-2</v>
      </c>
      <c r="BK1441" s="477">
        <v>84545335.173166215</v>
      </c>
      <c r="BL1441" s="458">
        <v>0.28621234679588348</v>
      </c>
      <c r="BM1441" s="468">
        <v>5.0073635560375473</v>
      </c>
    </row>
    <row r="1442" spans="12:65" x14ac:dyDescent="0.3">
      <c r="L1442" s="427">
        <v>8763204.3402999993</v>
      </c>
      <c r="BE1442" s="477">
        <v>5740164.3533535507</v>
      </c>
      <c r="BF1442" s="458">
        <v>4.6450180943149899E-2</v>
      </c>
      <c r="BG1442" s="477">
        <v>13990354.065875651</v>
      </c>
      <c r="BH1442" s="458">
        <v>3.9009672128617723E-2</v>
      </c>
      <c r="BI1442" s="477">
        <v>20046549.721514333</v>
      </c>
      <c r="BJ1442" s="458">
        <v>0.10789635046979629</v>
      </c>
      <c r="BK1442" s="477">
        <v>74430424.866493672</v>
      </c>
      <c r="BL1442" s="458">
        <v>0.27468187243615061</v>
      </c>
      <c r="BM1442" s="468">
        <v>11.624835916917746</v>
      </c>
    </row>
    <row r="1443" spans="12:65" x14ac:dyDescent="0.3">
      <c r="L1443" s="427">
        <v>20138949.9998</v>
      </c>
      <c r="BE1443" s="477">
        <v>2572570.4706432652</v>
      </c>
      <c r="BF1443" s="458">
        <v>3.9104028845036831E-2</v>
      </c>
      <c r="BG1443" s="477">
        <v>10801912.450981529</v>
      </c>
      <c r="BH1443" s="458">
        <v>6.4693696189263905E-2</v>
      </c>
      <c r="BI1443" s="477">
        <v>12557906.643736914</v>
      </c>
      <c r="BJ1443" s="458">
        <v>0.1155228334982068</v>
      </c>
      <c r="BK1443" s="477">
        <v>62907362.872035049</v>
      </c>
      <c r="BL1443" s="458">
        <v>0.27575532374335632</v>
      </c>
      <c r="BM1443" s="468">
        <v>7.1706818532584196</v>
      </c>
    </row>
    <row r="1444" spans="12:65" x14ac:dyDescent="0.3">
      <c r="L1444" s="427">
        <v>34901005.360299997</v>
      </c>
      <c r="BE1444" s="477">
        <v>-798611.93746464595</v>
      </c>
      <c r="BF1444" s="458">
        <v>4.006508291723998E-2</v>
      </c>
      <c r="BG1444" s="477">
        <v>10774928.410301562</v>
      </c>
      <c r="BH1444" s="458">
        <v>5.7702013406968566E-2</v>
      </c>
      <c r="BI1444" s="477">
        <v>20620081.997704744</v>
      </c>
      <c r="BJ1444" s="458">
        <v>0.12764704250521208</v>
      </c>
      <c r="BK1444" s="477">
        <v>90643358.113590524</v>
      </c>
      <c r="BL1444" s="458">
        <v>0.26493701350282772</v>
      </c>
      <c r="BM1444" s="468">
        <v>12.539390240451695</v>
      </c>
    </row>
    <row r="1445" spans="12:65" x14ac:dyDescent="0.3">
      <c r="L1445" s="427">
        <v>16630484.823899999</v>
      </c>
      <c r="BE1445" s="477">
        <v>6262508.2275722865</v>
      </c>
      <c r="BF1445" s="458">
        <v>3.8242354561702774E-2</v>
      </c>
      <c r="BG1445" s="477">
        <v>9904870.5770276487</v>
      </c>
      <c r="BH1445" s="458">
        <v>5.0640585396505067E-2</v>
      </c>
      <c r="BI1445" s="477">
        <v>16935325.937344581</v>
      </c>
      <c r="BJ1445" s="458">
        <v>0.12087973983379352</v>
      </c>
      <c r="BK1445" s="477">
        <v>89781835.797585875</v>
      </c>
      <c r="BL1445" s="458">
        <v>0.25792945338516327</v>
      </c>
      <c r="BM1445" s="468">
        <v>-5.7527867828568446E-2</v>
      </c>
    </row>
    <row r="1446" spans="12:65" x14ac:dyDescent="0.3">
      <c r="L1446" s="427">
        <v>3991726.6452000001</v>
      </c>
      <c r="BE1446" s="477">
        <v>249599.17197590441</v>
      </c>
      <c r="BF1446" s="458">
        <v>1.9110308082244787E-2</v>
      </c>
      <c r="BG1446" s="477">
        <v>7227543.2493439186</v>
      </c>
      <c r="BH1446" s="458">
        <v>5.3977338946799014E-2</v>
      </c>
      <c r="BI1446" s="477">
        <v>17147216.562234566</v>
      </c>
      <c r="BJ1446" s="458">
        <v>0.10621279523338356</v>
      </c>
      <c r="BK1446" s="477">
        <v>95268680.910887688</v>
      </c>
      <c r="BL1446" s="458">
        <v>0.25502036338661105</v>
      </c>
      <c r="BM1446" s="468">
        <v>8.8248392889828882</v>
      </c>
    </row>
    <row r="1447" spans="12:65" x14ac:dyDescent="0.3">
      <c r="L1447" s="427">
        <v>-182882.64670000001</v>
      </c>
      <c r="BE1447" s="477">
        <v>2777280.933297113</v>
      </c>
      <c r="BF1447" s="458">
        <v>3.7177360442891993E-2</v>
      </c>
      <c r="BG1447" s="477">
        <v>9964950.6311956383</v>
      </c>
      <c r="BH1447" s="458">
        <v>6.6451880552599762E-2</v>
      </c>
      <c r="BI1447" s="477">
        <v>14588055.283764251</v>
      </c>
      <c r="BJ1447" s="458">
        <v>0.13813434308928518</v>
      </c>
      <c r="BK1447" s="477">
        <v>84089458.899553299</v>
      </c>
      <c r="BL1447" s="458">
        <v>0.26875351097075928</v>
      </c>
      <c r="BM1447" s="468">
        <v>7.8531344655622535</v>
      </c>
    </row>
    <row r="1448" spans="12:65" x14ac:dyDescent="0.3">
      <c r="L1448" s="427">
        <v>29590.555100000001</v>
      </c>
      <c r="BE1448" s="477">
        <v>6671005.0917131547</v>
      </c>
      <c r="BF1448" s="458">
        <v>3.5791033708968856E-2</v>
      </c>
      <c r="BG1448" s="477">
        <v>9242138.1385160163</v>
      </c>
      <c r="BH1448" s="458">
        <v>7.7379170312357859E-2</v>
      </c>
      <c r="BI1448" s="477">
        <v>19655584.009527922</v>
      </c>
      <c r="BJ1448" s="458">
        <v>0.11912810892388759</v>
      </c>
      <c r="BK1448" s="477">
        <v>81267745.613634154</v>
      </c>
      <c r="BL1448" s="458">
        <v>0.26115218919058569</v>
      </c>
      <c r="BM1448" s="468">
        <v>6.1538235898129896</v>
      </c>
    </row>
    <row r="1449" spans="12:65" x14ac:dyDescent="0.3">
      <c r="L1449" s="427">
        <v>4283815.9248000002</v>
      </c>
      <c r="BE1449" s="477">
        <v>4940623.4612240205</v>
      </c>
      <c r="BF1449" s="458">
        <v>4.1791172513075736E-2</v>
      </c>
      <c r="BG1449" s="477">
        <v>6708452.374375768</v>
      </c>
      <c r="BH1449" s="458">
        <v>6.4305537911850008E-2</v>
      </c>
      <c r="BI1449" s="477">
        <v>22189977.974059213</v>
      </c>
      <c r="BJ1449" s="458">
        <v>0.11144450378070214</v>
      </c>
      <c r="BK1449" s="477">
        <v>89998881.653786853</v>
      </c>
      <c r="BL1449" s="458">
        <v>0.26967259889818007</v>
      </c>
      <c r="BM1449" s="468">
        <v>16.299298280229671</v>
      </c>
    </row>
    <row r="1450" spans="12:65" x14ac:dyDescent="0.3">
      <c r="L1450" s="427">
        <v>6984219.1398</v>
      </c>
      <c r="BE1450" s="477">
        <v>3983454.4243188058</v>
      </c>
      <c r="BF1450" s="458">
        <v>3.9009279581374567E-2</v>
      </c>
      <c r="BG1450" s="477">
        <v>8834567.3094355445</v>
      </c>
      <c r="BH1450" s="458">
        <v>4.8085747304202897E-2</v>
      </c>
      <c r="BI1450" s="477">
        <v>16104127.956406893</v>
      </c>
      <c r="BJ1450" s="458">
        <v>0.12002625313937321</v>
      </c>
      <c r="BK1450" s="477">
        <v>95232732.365904838</v>
      </c>
      <c r="BL1450" s="458">
        <v>0.26387767326086231</v>
      </c>
      <c r="BM1450" s="468">
        <v>9.8399672967263854</v>
      </c>
    </row>
    <row r="1451" spans="12:65" x14ac:dyDescent="0.3">
      <c r="L1451" s="427">
        <v>-2646248.8302000002</v>
      </c>
      <c r="BE1451" s="477">
        <v>8764353.8473904096</v>
      </c>
      <c r="BF1451" s="458">
        <v>4.0348226057871361E-2</v>
      </c>
      <c r="BG1451" s="477">
        <v>5913736.8443103032</v>
      </c>
      <c r="BH1451" s="458">
        <v>8.2715320550619698E-2</v>
      </c>
      <c r="BI1451" s="477">
        <v>11411925.018716641</v>
      </c>
      <c r="BJ1451" s="458">
        <v>0.10658251706718413</v>
      </c>
      <c r="BK1451" s="477">
        <v>95247716.12937586</v>
      </c>
      <c r="BL1451" s="458">
        <v>0.26064800944762445</v>
      </c>
      <c r="BM1451" s="468">
        <v>7.7484706672698129</v>
      </c>
    </row>
    <row r="1452" spans="12:65" x14ac:dyDescent="0.3">
      <c r="L1452" s="427">
        <v>6097937.2954000002</v>
      </c>
      <c r="BE1452" s="477">
        <v>5940605.7728365017</v>
      </c>
      <c r="BF1452" s="458">
        <v>3.0343589717326092E-2</v>
      </c>
      <c r="BG1452" s="477">
        <v>7614484.4346830789</v>
      </c>
      <c r="BH1452" s="458">
        <v>6.1768146833994342E-2</v>
      </c>
      <c r="BI1452" s="477">
        <v>18987088.469082069</v>
      </c>
      <c r="BJ1452" s="458">
        <v>0.1374327950855998</v>
      </c>
      <c r="BK1452" s="477">
        <v>90031112.362398311</v>
      </c>
      <c r="BL1452" s="458">
        <v>0.26055340905646895</v>
      </c>
      <c r="BM1452" s="468">
        <v>8.6443206519564146</v>
      </c>
    </row>
    <row r="1453" spans="12:65" x14ac:dyDescent="0.3">
      <c r="L1453" s="427">
        <v>-8108379.0876000002</v>
      </c>
      <c r="BE1453" s="477">
        <v>6607031.5983355455</v>
      </c>
      <c r="BF1453" s="458">
        <v>4.0912245860905694E-2</v>
      </c>
      <c r="BG1453" s="477">
        <v>11354468.679599946</v>
      </c>
      <c r="BH1453" s="458">
        <v>5.8570105812240092E-2</v>
      </c>
      <c r="BI1453" s="477">
        <v>8882380.263015246</v>
      </c>
      <c r="BJ1453" s="458">
        <v>0.1059427792706944</v>
      </c>
      <c r="BK1453" s="477">
        <v>87488836.002777189</v>
      </c>
      <c r="BL1453" s="458">
        <v>0.2525083407551123</v>
      </c>
      <c r="BM1453" s="468">
        <v>4.7451909001233279</v>
      </c>
    </row>
    <row r="1454" spans="12:65" x14ac:dyDescent="0.3">
      <c r="L1454" s="427">
        <v>13389918.671700001</v>
      </c>
      <c r="BE1454" s="477">
        <v>-779606.62753174466</v>
      </c>
      <c r="BF1454" s="458">
        <v>3.7133326771742636E-2</v>
      </c>
      <c r="BG1454" s="477">
        <v>12569120.571414195</v>
      </c>
      <c r="BH1454" s="458">
        <v>4.9999222782463493E-2</v>
      </c>
      <c r="BI1454" s="477">
        <v>18398678.854481257</v>
      </c>
      <c r="BJ1454" s="458">
        <v>0.11787321035248688</v>
      </c>
      <c r="BK1454" s="477">
        <v>90528808.571676195</v>
      </c>
      <c r="BL1454" s="458">
        <v>0.25798153485713859</v>
      </c>
      <c r="BM1454" s="468">
        <v>7.8169572252263784</v>
      </c>
    </row>
    <row r="1455" spans="12:65" x14ac:dyDescent="0.3">
      <c r="L1455" s="427">
        <v>-2208250.5663999999</v>
      </c>
      <c r="BE1455" s="477">
        <v>6301117.3771717045</v>
      </c>
      <c r="BF1455" s="458">
        <v>4.7155316929985425E-2</v>
      </c>
      <c r="BG1455" s="477">
        <v>3448681.5500526587</v>
      </c>
      <c r="BH1455" s="458">
        <v>0.10296321602478797</v>
      </c>
      <c r="BI1455" s="477">
        <v>11260042.887885982</v>
      </c>
      <c r="BJ1455" s="458">
        <v>0.10705998075163392</v>
      </c>
      <c r="BK1455" s="477">
        <v>91147574.841292828</v>
      </c>
      <c r="BL1455" s="458">
        <v>0.24799380234707091</v>
      </c>
      <c r="BM1455" s="468">
        <v>10.882006878549676</v>
      </c>
    </row>
    <row r="1456" spans="12:65" x14ac:dyDescent="0.3">
      <c r="L1456" s="427">
        <v>10500760.118899999</v>
      </c>
      <c r="BE1456" s="477">
        <v>7561234.4804146038</v>
      </c>
      <c r="BF1456" s="458">
        <v>5.7898495839889819E-2</v>
      </c>
      <c r="BG1456" s="477">
        <v>9751598.4434446413</v>
      </c>
      <c r="BH1456" s="458">
        <v>5.1111070953039572E-2</v>
      </c>
      <c r="BI1456" s="477">
        <v>14586368.78485103</v>
      </c>
      <c r="BJ1456" s="458">
        <v>0.11484726658761413</v>
      </c>
      <c r="BK1456" s="477">
        <v>89097101.124467343</v>
      </c>
      <c r="BL1456" s="458">
        <v>0.26233904303150402</v>
      </c>
      <c r="BM1456" s="468">
        <v>6.613622589885459</v>
      </c>
    </row>
    <row r="1457" spans="12:65" x14ac:dyDescent="0.3">
      <c r="L1457" s="427">
        <v>15435093.0393</v>
      </c>
      <c r="BE1457" s="477">
        <v>3797038.2169451588</v>
      </c>
      <c r="BF1457" s="458">
        <v>4.0222624092842052E-2</v>
      </c>
      <c r="BG1457" s="477">
        <v>6241966.7293758187</v>
      </c>
      <c r="BH1457" s="458">
        <v>6.7495523124635914E-2</v>
      </c>
      <c r="BI1457" s="477">
        <v>19367339.18474545</v>
      </c>
      <c r="BJ1457" s="458">
        <v>9.8811820770327685E-2</v>
      </c>
      <c r="BK1457" s="477">
        <v>75810901.299674675</v>
      </c>
      <c r="BL1457" s="458">
        <v>0.24186560416394021</v>
      </c>
      <c r="BM1457" s="468">
        <v>8.4149671891743196</v>
      </c>
    </row>
    <row r="1458" spans="12:65" x14ac:dyDescent="0.3">
      <c r="L1458" s="427">
        <v>3073264.8777999999</v>
      </c>
      <c r="BE1458" s="477">
        <v>4432071.5358695993</v>
      </c>
      <c r="BF1458" s="458">
        <v>2.8497014015018252E-2</v>
      </c>
      <c r="BG1458" s="477">
        <v>5155623.2297662972</v>
      </c>
      <c r="BH1458" s="458">
        <v>2.9809934567898377E-2</v>
      </c>
      <c r="BI1458" s="477">
        <v>15432769.226519132</v>
      </c>
      <c r="BJ1458" s="458">
        <v>0.10856111848729322</v>
      </c>
      <c r="BK1458" s="477">
        <v>81042376.320321709</v>
      </c>
      <c r="BL1458" s="458">
        <v>0.28648208874124159</v>
      </c>
      <c r="BM1458" s="468">
        <v>2.6059177164253997</v>
      </c>
    </row>
    <row r="1459" spans="12:65" x14ac:dyDescent="0.3">
      <c r="L1459" s="427">
        <v>7901425.8820000002</v>
      </c>
      <c r="BE1459" s="477">
        <v>4801330.2796004331</v>
      </c>
      <c r="BF1459" s="458">
        <v>4.731583637866521E-2</v>
      </c>
      <c r="BG1459" s="477">
        <v>8795684.7493442576</v>
      </c>
      <c r="BH1459" s="458">
        <v>7.6268088364192854E-2</v>
      </c>
      <c r="BI1459" s="477">
        <v>9696495.0399262253</v>
      </c>
      <c r="BJ1459" s="458">
        <v>0.10902062776359078</v>
      </c>
      <c r="BK1459" s="477">
        <v>76194412.001874328</v>
      </c>
      <c r="BL1459" s="458">
        <v>0.32669367839718233</v>
      </c>
      <c r="BM1459" s="468">
        <v>16.702555099692844</v>
      </c>
    </row>
    <row r="1460" spans="12:65" x14ac:dyDescent="0.3">
      <c r="L1460" s="427">
        <v>7871478.0358999996</v>
      </c>
      <c r="BE1460" s="477">
        <v>3080929.6266988479</v>
      </c>
      <c r="BF1460" s="458">
        <v>5.0597230367690038E-2</v>
      </c>
      <c r="BG1460" s="477">
        <v>5053672.7232465679</v>
      </c>
      <c r="BH1460" s="458">
        <v>6.7061097033639161E-2</v>
      </c>
      <c r="BI1460" s="477">
        <v>16579788.113654437</v>
      </c>
      <c r="BJ1460" s="458">
        <v>0.11755831412992501</v>
      </c>
      <c r="BK1460" s="477">
        <v>81858864.35943833</v>
      </c>
      <c r="BL1460" s="458">
        <v>0.26515318299083157</v>
      </c>
      <c r="BM1460" s="468">
        <v>5.9542687578901834</v>
      </c>
    </row>
    <row r="1461" spans="12:65" x14ac:dyDescent="0.3">
      <c r="L1461" s="427">
        <v>17775931.067600001</v>
      </c>
      <c r="BE1461" s="477">
        <v>6701148.5446803113</v>
      </c>
      <c r="BF1461" s="458">
        <v>2.9485144970721411E-2</v>
      </c>
      <c r="BG1461" s="477">
        <v>13467094.280322831</v>
      </c>
      <c r="BH1461" s="458">
        <v>5.9404329866382888E-2</v>
      </c>
      <c r="BI1461" s="477">
        <v>19933535.194815818</v>
      </c>
      <c r="BJ1461" s="458">
        <v>0.13942157859831017</v>
      </c>
      <c r="BK1461" s="477">
        <v>92017459.538484201</v>
      </c>
      <c r="BL1461" s="458">
        <v>0.27790577042659614</v>
      </c>
      <c r="BM1461" s="468">
        <v>9.8717824319698426</v>
      </c>
    </row>
    <row r="1462" spans="12:65" x14ac:dyDescent="0.3">
      <c r="L1462" s="427">
        <v>15163940.464600001</v>
      </c>
      <c r="BE1462" s="477">
        <v>6320931.6568121007</v>
      </c>
      <c r="BF1462" s="458">
        <v>3.1284574980569024E-2</v>
      </c>
      <c r="BG1462" s="477">
        <v>2021943.2302905195</v>
      </c>
      <c r="BH1462" s="458">
        <v>5.5528171189646702E-2</v>
      </c>
      <c r="BI1462" s="477">
        <v>15899147.684410742</v>
      </c>
      <c r="BJ1462" s="458">
        <v>0.11588778235652697</v>
      </c>
      <c r="BK1462" s="477">
        <v>90572978.1469087</v>
      </c>
      <c r="BL1462" s="458">
        <v>0.27585883181296933</v>
      </c>
      <c r="BM1462" s="468">
        <v>-0.47349185148675055</v>
      </c>
    </row>
    <row r="1463" spans="12:65" x14ac:dyDescent="0.3">
      <c r="L1463" s="427">
        <v>-1654791.1714999999</v>
      </c>
      <c r="BE1463" s="477">
        <v>6935521.3898856398</v>
      </c>
      <c r="BF1463" s="458">
        <v>7.872002029095726E-2</v>
      </c>
      <c r="BG1463" s="477">
        <v>6461484.7037981348</v>
      </c>
      <c r="BH1463" s="458">
        <v>6.8326380231693351E-2</v>
      </c>
      <c r="BI1463" s="477">
        <v>17637991.42983089</v>
      </c>
      <c r="BJ1463" s="458">
        <v>8.2076713314930938E-2</v>
      </c>
      <c r="BK1463" s="477">
        <v>76950826.888951212</v>
      </c>
      <c r="BL1463" s="458">
        <v>0.32856259504698149</v>
      </c>
      <c r="BM1463" s="468">
        <v>10.951200858758305</v>
      </c>
    </row>
    <row r="1464" spans="12:65" x14ac:dyDescent="0.3">
      <c r="L1464" s="427">
        <v>7488298.3169999998</v>
      </c>
      <c r="BE1464" s="477">
        <v>7006623.8664855175</v>
      </c>
      <c r="BF1464" s="458">
        <v>3.4828759712864477E-2</v>
      </c>
      <c r="BG1464" s="477">
        <v>1122661.1757561076</v>
      </c>
      <c r="BH1464" s="458">
        <v>5.7433161446015069E-2</v>
      </c>
      <c r="BI1464" s="477">
        <v>12980331.527417887</v>
      </c>
      <c r="BJ1464" s="458">
        <v>0.10601749534112104</v>
      </c>
      <c r="BK1464" s="477">
        <v>89007682.882170573</v>
      </c>
      <c r="BL1464" s="458">
        <v>0.28868161061603259</v>
      </c>
      <c r="BM1464" s="468">
        <v>7.6211995590123411</v>
      </c>
    </row>
    <row r="1465" spans="12:65" x14ac:dyDescent="0.3">
      <c r="L1465" s="427">
        <v>21926811.388900001</v>
      </c>
      <c r="BE1465" s="477">
        <v>1261702.7817828017</v>
      </c>
      <c r="BF1465" s="458">
        <v>3.5578320360079463E-2</v>
      </c>
      <c r="BG1465" s="477">
        <v>2828591.8485737862</v>
      </c>
      <c r="BH1465" s="458">
        <v>9.4553573502378363E-2</v>
      </c>
      <c r="BI1465" s="477">
        <v>18673923.870680228</v>
      </c>
      <c r="BJ1465" s="458">
        <v>9.414381664371918E-2</v>
      </c>
      <c r="BK1465" s="477">
        <v>75374847.15017277</v>
      </c>
      <c r="BL1465" s="458">
        <v>0.26492423437485701</v>
      </c>
      <c r="BM1465" s="468">
        <v>8.4998199541076236</v>
      </c>
    </row>
    <row r="1466" spans="12:65" x14ac:dyDescent="0.3">
      <c r="L1466" s="427">
        <v>3599460.0254000002</v>
      </c>
      <c r="BE1466" s="477">
        <v>4943625.9275512574</v>
      </c>
      <c r="BF1466" s="458">
        <v>4.3329536031308402E-2</v>
      </c>
      <c r="BG1466" s="477">
        <v>7749481.3377471538</v>
      </c>
      <c r="BH1466" s="458">
        <v>4.9001616917315749E-2</v>
      </c>
      <c r="BI1466" s="477">
        <v>12007509.594384955</v>
      </c>
      <c r="BJ1466" s="458">
        <v>0.10199238320950532</v>
      </c>
      <c r="BK1466" s="477">
        <v>88200525.742755592</v>
      </c>
      <c r="BL1466" s="458">
        <v>0.25830305955644062</v>
      </c>
      <c r="BM1466" s="468">
        <v>6.7211458787185254</v>
      </c>
    </row>
    <row r="1467" spans="12:65" x14ac:dyDescent="0.3">
      <c r="L1467" s="427">
        <v>18532922.7619</v>
      </c>
      <c r="BE1467" s="477">
        <v>8504944.5233016796</v>
      </c>
      <c r="BF1467" s="458">
        <v>4.3575679948572699E-2</v>
      </c>
      <c r="BG1467" s="477">
        <v>9570725.1783127356</v>
      </c>
      <c r="BH1467" s="458">
        <v>7.0552933906272486E-2</v>
      </c>
      <c r="BI1467" s="477">
        <v>15137739.536492219</v>
      </c>
      <c r="BJ1467" s="458">
        <v>0.1324590857363297</v>
      </c>
      <c r="BK1467" s="477">
        <v>83638120.189663649</v>
      </c>
      <c r="BL1467" s="458">
        <v>0.25889702382453228</v>
      </c>
      <c r="BM1467" s="468">
        <v>9.1868000029223182</v>
      </c>
    </row>
    <row r="1468" spans="12:65" x14ac:dyDescent="0.3">
      <c r="L1468" s="427">
        <v>11943531.846899999</v>
      </c>
      <c r="BE1468" s="477">
        <v>7441707.130694475</v>
      </c>
      <c r="BF1468" s="458">
        <v>4.9570361845126198E-2</v>
      </c>
      <c r="BG1468" s="477">
        <v>14389043.715667548</v>
      </c>
      <c r="BH1468" s="458">
        <v>6.8979567625094163E-2</v>
      </c>
      <c r="BI1468" s="477">
        <v>20518031.938890781</v>
      </c>
      <c r="BJ1468" s="458">
        <v>0.10164546979428168</v>
      </c>
      <c r="BK1468" s="477">
        <v>92214930.854717359</v>
      </c>
      <c r="BL1468" s="458">
        <v>0.26181493879789119</v>
      </c>
      <c r="BM1468" s="468">
        <v>3.5500770787208786</v>
      </c>
    </row>
    <row r="1469" spans="12:65" x14ac:dyDescent="0.3">
      <c r="L1469" s="427">
        <v>552207.17850000004</v>
      </c>
      <c r="BE1469" s="477">
        <v>6610771.9556594742</v>
      </c>
      <c r="BF1469" s="458">
        <v>4.0275257526636965E-2</v>
      </c>
      <c r="BG1469" s="477">
        <v>8930490.9026639462</v>
      </c>
      <c r="BH1469" s="458">
        <v>6.1715002962269505E-2</v>
      </c>
      <c r="BI1469" s="477">
        <v>19875204.340881404</v>
      </c>
      <c r="BJ1469" s="458">
        <v>0.12927620657989269</v>
      </c>
      <c r="BK1469" s="477">
        <v>93149854.645286292</v>
      </c>
      <c r="BL1469" s="458">
        <v>0.29482265497941751</v>
      </c>
      <c r="BM1469" s="468">
        <v>6.9592480549030018</v>
      </c>
    </row>
    <row r="1470" spans="12:65" x14ac:dyDescent="0.3">
      <c r="L1470" s="427">
        <v>12712302.263599999</v>
      </c>
      <c r="BE1470" s="477">
        <v>5115944.9477564404</v>
      </c>
      <c r="BF1470" s="458">
        <v>1.0225850281331939E-2</v>
      </c>
      <c r="BG1470" s="477">
        <v>5091613.4669311652</v>
      </c>
      <c r="BH1470" s="458">
        <v>8.2738841522556728E-2</v>
      </c>
      <c r="BI1470" s="477">
        <v>23342246.284148153</v>
      </c>
      <c r="BJ1470" s="458">
        <v>0.11306241280341589</v>
      </c>
      <c r="BK1470" s="477">
        <v>96043617.495995939</v>
      </c>
      <c r="BL1470" s="458">
        <v>0.2990457793215997</v>
      </c>
      <c r="BM1470" s="468">
        <v>1.755284841321477</v>
      </c>
    </row>
    <row r="1471" spans="12:65" x14ac:dyDescent="0.3">
      <c r="L1471" s="427">
        <v>-1517579.0234999999</v>
      </c>
      <c r="BE1471" s="477">
        <v>1889017.1503122197</v>
      </c>
      <c r="BF1471" s="458">
        <v>4.9762302968220151E-2</v>
      </c>
      <c r="BG1471" s="477">
        <v>5560108.7096413523</v>
      </c>
      <c r="BH1471" s="458">
        <v>6.3380714618813006E-2</v>
      </c>
      <c r="BI1471" s="477">
        <v>15924441.779678436</v>
      </c>
      <c r="BJ1471" s="458">
        <v>0.12591709121995298</v>
      </c>
      <c r="BK1471" s="477">
        <v>89362135.302326083</v>
      </c>
      <c r="BL1471" s="458">
        <v>0.26996319166957861</v>
      </c>
      <c r="BM1471" s="468">
        <v>0.48068999560440506</v>
      </c>
    </row>
    <row r="1472" spans="12:65" x14ac:dyDescent="0.3">
      <c r="L1472" s="427">
        <v>3251473.4731000001</v>
      </c>
      <c r="BE1472" s="477">
        <v>3822820.7522067977</v>
      </c>
      <c r="BF1472" s="458">
        <v>4.6423850972881375E-2</v>
      </c>
      <c r="BG1472" s="477">
        <v>1719047.1692940071</v>
      </c>
      <c r="BH1472" s="458">
        <v>4.9488392760663524E-2</v>
      </c>
      <c r="BI1472" s="477">
        <v>9759533.9361631554</v>
      </c>
      <c r="BJ1472" s="458">
        <v>0.10309131271353111</v>
      </c>
      <c r="BK1472" s="477">
        <v>81934752.851841807</v>
      </c>
      <c r="BL1472" s="458">
        <v>0.2650959869517413</v>
      </c>
      <c r="BM1472" s="468">
        <v>2.4753424498462131</v>
      </c>
    </row>
    <row r="1473" spans="12:65" x14ac:dyDescent="0.3">
      <c r="L1473" s="427">
        <v>20638524.0222</v>
      </c>
      <c r="BE1473" s="477">
        <v>5089821.3943802333</v>
      </c>
      <c r="BF1473" s="458">
        <v>5.1851984848001687E-2</v>
      </c>
      <c r="BG1473" s="477">
        <v>12365414.712616302</v>
      </c>
      <c r="BH1473" s="458">
        <v>6.3833473659245854E-2</v>
      </c>
      <c r="BI1473" s="477">
        <v>24772080.883562025</v>
      </c>
      <c r="BJ1473" s="458">
        <v>0.13849780087419017</v>
      </c>
      <c r="BK1473" s="477">
        <v>80637449.814125806</v>
      </c>
      <c r="BL1473" s="458">
        <v>0.27397600027376923</v>
      </c>
      <c r="BM1473" s="468">
        <v>11.493128890074271</v>
      </c>
    </row>
    <row r="1474" spans="12:65" x14ac:dyDescent="0.3">
      <c r="L1474" s="427">
        <v>1174000.3492999999</v>
      </c>
      <c r="BE1474" s="477">
        <v>5807427.3595024813</v>
      </c>
      <c r="BF1474" s="458">
        <v>2.314096340657068E-2</v>
      </c>
      <c r="BG1474" s="477">
        <v>6611526.473685707</v>
      </c>
      <c r="BH1474" s="458">
        <v>7.5784339257778388E-2</v>
      </c>
      <c r="BI1474" s="477">
        <v>13589576.420335375</v>
      </c>
      <c r="BJ1474" s="458">
        <v>0.11280935855180485</v>
      </c>
      <c r="BK1474" s="477">
        <v>97202585.772554085</v>
      </c>
      <c r="BL1474" s="458">
        <v>0.27341234200013487</v>
      </c>
      <c r="BM1474" s="468">
        <v>6.2958737270239205</v>
      </c>
    </row>
    <row r="1475" spans="12:65" x14ac:dyDescent="0.3">
      <c r="L1475" s="427">
        <v>12706073.2545</v>
      </c>
      <c r="BE1475" s="477">
        <v>9678789.587247178</v>
      </c>
      <c r="BF1475" s="458">
        <v>3.9563222367140272E-2</v>
      </c>
      <c r="BG1475" s="477">
        <v>8258851.0658917092</v>
      </c>
      <c r="BH1475" s="458">
        <v>5.253785474312167E-2</v>
      </c>
      <c r="BI1475" s="477">
        <v>12436126.807546679</v>
      </c>
      <c r="BJ1475" s="458">
        <v>0.117532423033605</v>
      </c>
      <c r="BK1475" s="477">
        <v>81520703.065185785</v>
      </c>
      <c r="BL1475" s="458">
        <v>0.27641269921933631</v>
      </c>
      <c r="BM1475" s="468">
        <v>10.641437127784174</v>
      </c>
    </row>
    <row r="1476" spans="12:65" x14ac:dyDescent="0.3">
      <c r="L1476" s="427">
        <v>13395822.9636</v>
      </c>
      <c r="BE1476" s="477">
        <v>7428276.8902083831</v>
      </c>
      <c r="BF1476" s="458">
        <v>5.2583239598710918E-2</v>
      </c>
      <c r="BG1476" s="477">
        <v>5073573.2524462612</v>
      </c>
      <c r="BH1476" s="458">
        <v>7.7290697104010375E-2</v>
      </c>
      <c r="BI1476" s="477">
        <v>19713576.381601289</v>
      </c>
      <c r="BJ1476" s="458">
        <v>0.11273617752668508</v>
      </c>
      <c r="BK1476" s="477">
        <v>100160131.15995726</v>
      </c>
      <c r="BL1476" s="458">
        <v>0.27345492000555649</v>
      </c>
      <c r="BM1476" s="468">
        <v>9.8337608252585316</v>
      </c>
    </row>
    <row r="1477" spans="12:65" x14ac:dyDescent="0.3">
      <c r="L1477" s="427">
        <v>3032650.1364000002</v>
      </c>
      <c r="BE1477" s="477">
        <v>6705265.3445845954</v>
      </c>
      <c r="BF1477" s="458">
        <v>4.346387495857118E-2</v>
      </c>
      <c r="BG1477" s="477">
        <v>2083444.4718059085</v>
      </c>
      <c r="BH1477" s="458">
        <v>6.0976383483928087E-2</v>
      </c>
      <c r="BI1477" s="477">
        <v>19188509.298775066</v>
      </c>
      <c r="BJ1477" s="458">
        <v>0.10557997430898247</v>
      </c>
      <c r="BK1477" s="477">
        <v>82069776.635234043</v>
      </c>
      <c r="BL1477" s="458">
        <v>0.26873543256379406</v>
      </c>
      <c r="BM1477" s="468">
        <v>10.108998963777916</v>
      </c>
    </row>
    <row r="1478" spans="12:65" x14ac:dyDescent="0.3">
      <c r="L1478" s="427">
        <v>1673465.3725999999</v>
      </c>
      <c r="BE1478" s="477">
        <v>4327511.0508701745</v>
      </c>
      <c r="BF1478" s="458">
        <v>5.3043138735750173E-2</v>
      </c>
      <c r="BG1478" s="477">
        <v>6890439.9980065413</v>
      </c>
      <c r="BH1478" s="458">
        <v>8.4897529697445684E-2</v>
      </c>
      <c r="BI1478" s="477">
        <v>19722029.322067507</v>
      </c>
      <c r="BJ1478" s="458">
        <v>0.12023077811163718</v>
      </c>
      <c r="BK1478" s="477">
        <v>85466608.62208882</v>
      </c>
      <c r="BL1478" s="458">
        <v>0.27936311749827647</v>
      </c>
      <c r="BM1478" s="468">
        <v>2.848612828581687</v>
      </c>
    </row>
    <row r="1479" spans="12:65" x14ac:dyDescent="0.3">
      <c r="L1479" s="427">
        <v>23706206.844099998</v>
      </c>
      <c r="BE1479" s="477">
        <v>10765300.561923586</v>
      </c>
      <c r="BF1479" s="458">
        <v>4.4483499390188141E-2</v>
      </c>
      <c r="BG1479" s="477">
        <v>6779979.3324426459</v>
      </c>
      <c r="BH1479" s="458">
        <v>5.5625094677924203E-2</v>
      </c>
      <c r="BI1479" s="477">
        <v>22450623.049226742</v>
      </c>
      <c r="BJ1479" s="458">
        <v>9.3427234358459899E-2</v>
      </c>
      <c r="BK1479" s="477">
        <v>87058701.415574342</v>
      </c>
      <c r="BL1479" s="458">
        <v>0.25466634555543299</v>
      </c>
      <c r="BM1479" s="468">
        <v>6.174977983540102</v>
      </c>
    </row>
    <row r="1480" spans="12:65" x14ac:dyDescent="0.3">
      <c r="L1480" s="427">
        <v>8053076.3394999998</v>
      </c>
      <c r="BE1480" s="477">
        <v>7069653.5528688766</v>
      </c>
      <c r="BF1480" s="458">
        <v>2.4645228931889251E-2</v>
      </c>
      <c r="BG1480" s="477">
        <v>15117040.244931316</v>
      </c>
      <c r="BH1480" s="458">
        <v>5.6566785963586552E-2</v>
      </c>
      <c r="BI1480" s="477">
        <v>17686425.503381282</v>
      </c>
      <c r="BJ1480" s="458">
        <v>0.10337519534356265</v>
      </c>
      <c r="BK1480" s="477">
        <v>85434255.662591413</v>
      </c>
      <c r="BL1480" s="458">
        <v>0.25693867792823921</v>
      </c>
      <c r="BM1480" s="468">
        <v>7.2929481547601291</v>
      </c>
    </row>
    <row r="1481" spans="12:65" x14ac:dyDescent="0.3">
      <c r="L1481" s="427">
        <v>4474778.3328999998</v>
      </c>
      <c r="BE1481" s="477">
        <v>3366696.40302506</v>
      </c>
      <c r="BF1481" s="458">
        <v>3.2369052299661583E-2</v>
      </c>
      <c r="BG1481" s="477">
        <v>10794857.523955246</v>
      </c>
      <c r="BH1481" s="458">
        <v>9.1164983245660025E-2</v>
      </c>
      <c r="BI1481" s="477">
        <v>17424300.800717104</v>
      </c>
      <c r="BJ1481" s="458">
        <v>0.12893991295519802</v>
      </c>
      <c r="BK1481" s="477">
        <v>90067258.15544191</v>
      </c>
      <c r="BL1481" s="458">
        <v>0.26423419024989125</v>
      </c>
      <c r="BM1481" s="468">
        <v>7.3847380021583575</v>
      </c>
    </row>
    <row r="1482" spans="12:65" x14ac:dyDescent="0.3">
      <c r="L1482" s="427">
        <v>19353071.854699999</v>
      </c>
      <c r="BE1482" s="477">
        <v>3346345.8619371774</v>
      </c>
      <c r="BF1482" s="458">
        <v>3.738624501135579E-2</v>
      </c>
      <c r="BG1482" s="477">
        <v>4910711.393512574</v>
      </c>
      <c r="BH1482" s="458">
        <v>7.1109947276688068E-2</v>
      </c>
      <c r="BI1482" s="477">
        <v>18792665.7200661</v>
      </c>
      <c r="BJ1482" s="458">
        <v>0.1135869294225138</v>
      </c>
      <c r="BK1482" s="477">
        <v>97128728.541028917</v>
      </c>
      <c r="BL1482" s="458">
        <v>0.26641620934108201</v>
      </c>
      <c r="BM1482" s="468">
        <v>9.7389162948042358</v>
      </c>
    </row>
    <row r="1483" spans="12:65" x14ac:dyDescent="0.3">
      <c r="L1483" s="427">
        <v>5704701.1649000002</v>
      </c>
      <c r="BE1483" s="477">
        <v>10563169.125358859</v>
      </c>
      <c r="BF1483" s="458">
        <v>6.7175124875979986E-2</v>
      </c>
      <c r="BG1483" s="477">
        <v>5990901.9718856169</v>
      </c>
      <c r="BH1483" s="458">
        <v>5.1221860638738459E-2</v>
      </c>
      <c r="BI1483" s="477">
        <v>8943569.7143984828</v>
      </c>
      <c r="BJ1483" s="458">
        <v>0.11823373304336116</v>
      </c>
      <c r="BK1483" s="477">
        <v>86400812.66340135</v>
      </c>
      <c r="BL1483" s="458">
        <v>0.26940321261302702</v>
      </c>
      <c r="BM1483" s="468">
        <v>9.8198958982125681</v>
      </c>
    </row>
    <row r="1484" spans="12:65" x14ac:dyDescent="0.3">
      <c r="L1484" s="427">
        <v>2127455.8637999999</v>
      </c>
      <c r="BE1484" s="477">
        <v>6523187.3845246425</v>
      </c>
      <c r="BF1484" s="458">
        <v>5.0168212537236023E-2</v>
      </c>
      <c r="BG1484" s="477">
        <v>8431834.972514879</v>
      </c>
      <c r="BH1484" s="458">
        <v>5.7405344529197322E-2</v>
      </c>
      <c r="BI1484" s="477">
        <v>18440025.359802563</v>
      </c>
      <c r="BJ1484" s="458">
        <v>8.4212793501354355E-2</v>
      </c>
      <c r="BK1484" s="477">
        <v>92815517.056457326</v>
      </c>
      <c r="BL1484" s="458">
        <v>0.27562333359416957</v>
      </c>
      <c r="BM1484" s="468">
        <v>14.016159568716672</v>
      </c>
    </row>
    <row r="1485" spans="12:65" x14ac:dyDescent="0.3">
      <c r="L1485" s="427">
        <v>8364126.5898000002</v>
      </c>
      <c r="BE1485" s="477">
        <v>4039134.4863368711</v>
      </c>
      <c r="BF1485" s="458">
        <v>4.0173389853633834E-2</v>
      </c>
      <c r="BG1485" s="477">
        <v>8084109.1779558314</v>
      </c>
      <c r="BH1485" s="458">
        <v>8.5106293845877312E-2</v>
      </c>
      <c r="BI1485" s="477">
        <v>12934015.016799087</v>
      </c>
      <c r="BJ1485" s="458">
        <v>8.8507533019478668E-2</v>
      </c>
      <c r="BK1485" s="477">
        <v>75386922.531082615</v>
      </c>
      <c r="BL1485" s="458">
        <v>0.28972613714403339</v>
      </c>
      <c r="BM1485" s="468">
        <v>10.778128682940697</v>
      </c>
    </row>
    <row r="1486" spans="12:65" x14ac:dyDescent="0.3">
      <c r="L1486" s="427">
        <v>13731837.5549</v>
      </c>
      <c r="BE1486" s="477">
        <v>9081269.5684075095</v>
      </c>
      <c r="BF1486" s="458">
        <v>2.2301758540184347E-2</v>
      </c>
      <c r="BG1486" s="477">
        <v>8655007.1947912257</v>
      </c>
      <c r="BH1486" s="458">
        <v>6.7677831641488551E-2</v>
      </c>
      <c r="BI1486" s="477">
        <v>19459258.403763171</v>
      </c>
      <c r="BJ1486" s="458">
        <v>7.6034015509243602E-2</v>
      </c>
      <c r="BK1486" s="477">
        <v>82743956.304858431</v>
      </c>
      <c r="BL1486" s="458">
        <v>0.26022424908568409</v>
      </c>
      <c r="BM1486" s="468">
        <v>11.238511790972</v>
      </c>
    </row>
    <row r="1487" spans="12:65" x14ac:dyDescent="0.3">
      <c r="L1487" s="427">
        <v>9345815.8039999995</v>
      </c>
      <c r="BE1487" s="477">
        <v>5571176.3288735701</v>
      </c>
      <c r="BF1487" s="458">
        <v>4.4351144969448031E-2</v>
      </c>
      <c r="BG1487" s="477">
        <v>6557540.4890371338</v>
      </c>
      <c r="BH1487" s="458">
        <v>6.3797010020616884E-2</v>
      </c>
      <c r="BI1487" s="477">
        <v>18938674.225403082</v>
      </c>
      <c r="BJ1487" s="458">
        <v>8.670996824763022E-2</v>
      </c>
      <c r="BK1487" s="477">
        <v>107990110.74740776</v>
      </c>
      <c r="BL1487" s="458">
        <v>0.26703441387037219</v>
      </c>
      <c r="BM1487" s="468">
        <v>9.4340859453741945</v>
      </c>
    </row>
    <row r="1488" spans="12:65" x14ac:dyDescent="0.3">
      <c r="L1488" s="427">
        <v>-2003051.1924999999</v>
      </c>
      <c r="BE1488" s="477">
        <v>5670454.357071409</v>
      </c>
      <c r="BF1488" s="458">
        <v>3.4692387261355817E-2</v>
      </c>
      <c r="BG1488" s="477">
        <v>5068235.9839869831</v>
      </c>
      <c r="BH1488" s="458">
        <v>5.9354164874076742E-2</v>
      </c>
      <c r="BI1488" s="477">
        <v>20395035.999432217</v>
      </c>
      <c r="BJ1488" s="458">
        <v>0.11368810693199483</v>
      </c>
      <c r="BK1488" s="477">
        <v>91298329.286704198</v>
      </c>
      <c r="BL1488" s="458">
        <v>0.27522555896736378</v>
      </c>
      <c r="BM1488" s="468">
        <v>9.0911734429790947</v>
      </c>
    </row>
    <row r="1489" spans="12:65" x14ac:dyDescent="0.3">
      <c r="L1489" s="427">
        <v>7298730.3636999996</v>
      </c>
      <c r="BE1489" s="477">
        <v>4930238.9771543182</v>
      </c>
      <c r="BF1489" s="458">
        <v>6.132261909651171E-2</v>
      </c>
      <c r="BG1489" s="477">
        <v>9167627.9791246392</v>
      </c>
      <c r="BH1489" s="458">
        <v>4.9026441089267347E-2</v>
      </c>
      <c r="BI1489" s="477">
        <v>16417715.668534342</v>
      </c>
      <c r="BJ1489" s="458">
        <v>0.12460053204836874</v>
      </c>
      <c r="BK1489" s="477">
        <v>96310150.421913624</v>
      </c>
      <c r="BL1489" s="458">
        <v>0.27340663954174649</v>
      </c>
      <c r="BM1489" s="468">
        <v>18.006716176981367</v>
      </c>
    </row>
    <row r="1490" spans="12:65" x14ac:dyDescent="0.3">
      <c r="L1490" s="427">
        <v>-391595.25339999999</v>
      </c>
      <c r="BE1490" s="477">
        <v>4294079.6871347874</v>
      </c>
      <c r="BF1490" s="458">
        <v>5.4721332874779094E-2</v>
      </c>
      <c r="BG1490" s="477">
        <v>13369628.207097836</v>
      </c>
      <c r="BH1490" s="458">
        <v>8.0240388946191343E-2</v>
      </c>
      <c r="BI1490" s="477">
        <v>17880203.547192398</v>
      </c>
      <c r="BJ1490" s="458">
        <v>0.12954499492102256</v>
      </c>
      <c r="BK1490" s="477">
        <v>93704581.300812781</v>
      </c>
      <c r="BL1490" s="458">
        <v>0.27277488849385279</v>
      </c>
      <c r="BM1490" s="468">
        <v>6.228541845755398</v>
      </c>
    </row>
    <row r="1491" spans="12:65" x14ac:dyDescent="0.3">
      <c r="L1491" s="427">
        <v>15861869.411</v>
      </c>
      <c r="BE1491" s="477">
        <v>7469109.5998472124</v>
      </c>
      <c r="BF1491" s="458">
        <v>3.2891003319484025E-2</v>
      </c>
      <c r="BG1491" s="477">
        <v>11360166.614504389</v>
      </c>
      <c r="BH1491" s="458">
        <v>4.9600752641110413E-2</v>
      </c>
      <c r="BI1491" s="477">
        <v>12445648.325628456</v>
      </c>
      <c r="BJ1491" s="458">
        <v>0.12727459970124744</v>
      </c>
      <c r="BK1491" s="477">
        <v>100111630.23963478</v>
      </c>
      <c r="BL1491" s="458">
        <v>0.26080259774281767</v>
      </c>
      <c r="BM1491" s="468">
        <v>5.3266048106034063</v>
      </c>
    </row>
    <row r="1492" spans="12:65" x14ac:dyDescent="0.3">
      <c r="L1492" s="427">
        <v>8925917.3541999999</v>
      </c>
      <c r="BE1492" s="477">
        <v>5025691.439531384</v>
      </c>
      <c r="BF1492" s="458">
        <v>1.9506465513870586E-2</v>
      </c>
      <c r="BG1492" s="477">
        <v>10186113.705537988</v>
      </c>
      <c r="BH1492" s="458">
        <v>7.4062869817422383E-2</v>
      </c>
      <c r="BI1492" s="477">
        <v>12714125.004286813</v>
      </c>
      <c r="BJ1492" s="458">
        <v>0.12389057781519552</v>
      </c>
      <c r="BK1492" s="477">
        <v>77566499.666850865</v>
      </c>
      <c r="BL1492" s="458">
        <v>0.28148116426019154</v>
      </c>
      <c r="BM1492" s="468">
        <v>13.405542376969569</v>
      </c>
    </row>
    <row r="1493" spans="12:65" x14ac:dyDescent="0.3">
      <c r="L1493" s="427">
        <v>-652590.17850000004</v>
      </c>
      <c r="BE1493" s="477">
        <v>-900269.98786094016</v>
      </c>
      <c r="BF1493" s="458">
        <v>3.7743851358925218E-2</v>
      </c>
      <c r="BG1493" s="477">
        <v>8176139.0877818447</v>
      </c>
      <c r="BH1493" s="458">
        <v>7.3785956890047633E-2</v>
      </c>
      <c r="BI1493" s="477">
        <v>7919159.9007224133</v>
      </c>
      <c r="BJ1493" s="458">
        <v>0.1218946024350871</v>
      </c>
      <c r="BK1493" s="477">
        <v>98587044.501929194</v>
      </c>
      <c r="BL1493" s="458">
        <v>0.27253866143555605</v>
      </c>
      <c r="BM1493" s="468">
        <v>1.3800078201778687</v>
      </c>
    </row>
    <row r="1494" spans="12:65" x14ac:dyDescent="0.3">
      <c r="L1494" s="427">
        <v>-7726040.0401999997</v>
      </c>
      <c r="BE1494" s="477">
        <v>3259474.7668061648</v>
      </c>
      <c r="BF1494" s="458">
        <v>5.2605769636621336E-2</v>
      </c>
      <c r="BG1494" s="477">
        <v>12524629.062780574</v>
      </c>
      <c r="BH1494" s="458">
        <v>8.8963573799792695E-2</v>
      </c>
      <c r="BI1494" s="477">
        <v>7927062.7250366732</v>
      </c>
      <c r="BJ1494" s="458">
        <v>0.13475626085783809</v>
      </c>
      <c r="BK1494" s="477">
        <v>86388793.925279304</v>
      </c>
      <c r="BL1494" s="458">
        <v>0.28074614519497154</v>
      </c>
      <c r="BM1494" s="468">
        <v>15.309237190209505</v>
      </c>
    </row>
    <row r="1495" spans="12:65" x14ac:dyDescent="0.3">
      <c r="L1495" s="427">
        <v>3932235.588</v>
      </c>
      <c r="BE1495" s="477">
        <v>4184778.7246116214</v>
      </c>
      <c r="BF1495" s="458">
        <v>3.2364945978067272E-2</v>
      </c>
      <c r="BG1495" s="477">
        <v>10647396.688020434</v>
      </c>
      <c r="BH1495" s="458">
        <v>7.3801715848414107E-2</v>
      </c>
      <c r="BI1495" s="477">
        <v>19700069.818083871</v>
      </c>
      <c r="BJ1495" s="458">
        <v>0.10077926074653476</v>
      </c>
      <c r="BK1495" s="477">
        <v>86576588.734189734</v>
      </c>
      <c r="BL1495" s="458">
        <v>0.25430380258492113</v>
      </c>
      <c r="BM1495" s="468">
        <v>8.4877883793432591</v>
      </c>
    </row>
    <row r="1496" spans="12:65" x14ac:dyDescent="0.3">
      <c r="L1496" s="427">
        <v>7477082.6113999998</v>
      </c>
      <c r="BE1496" s="477">
        <v>3270151.2621717439</v>
      </c>
      <c r="BF1496" s="458">
        <v>7.6133417740174014E-2</v>
      </c>
      <c r="BG1496" s="477">
        <v>2315975.1089783236</v>
      </c>
      <c r="BH1496" s="458">
        <v>5.7429267461190925E-2</v>
      </c>
      <c r="BI1496" s="477">
        <v>12822706.293365041</v>
      </c>
      <c r="BJ1496" s="458">
        <v>0.10672482424374552</v>
      </c>
      <c r="BK1496" s="477">
        <v>87548314.958800226</v>
      </c>
      <c r="BL1496" s="458">
        <v>0.26794391950696417</v>
      </c>
      <c r="BM1496" s="468">
        <v>7.3254157143114824</v>
      </c>
    </row>
    <row r="1497" spans="12:65" x14ac:dyDescent="0.3">
      <c r="L1497" s="427">
        <v>9834716.1009</v>
      </c>
      <c r="BE1497" s="477">
        <v>8218251.4445748124</v>
      </c>
      <c r="BF1497" s="458">
        <v>3.6243446736188289E-2</v>
      </c>
      <c r="BG1497" s="477">
        <v>6627812.3026878806</v>
      </c>
      <c r="BH1497" s="458">
        <v>8.8811150436461261E-2</v>
      </c>
      <c r="BI1497" s="477">
        <v>11989339.751461485</v>
      </c>
      <c r="BJ1497" s="458">
        <v>0.12182151968750121</v>
      </c>
      <c r="BK1497" s="477">
        <v>103731308.53393914</v>
      </c>
      <c r="BL1497" s="458">
        <v>0.27394947064055342</v>
      </c>
      <c r="BM1497" s="468">
        <v>8.7426042509894017</v>
      </c>
    </row>
    <row r="1498" spans="12:65" x14ac:dyDescent="0.3">
      <c r="L1498" s="427">
        <v>-799913.42099999997</v>
      </c>
      <c r="BE1498" s="477">
        <v>781519.12572516128</v>
      </c>
      <c r="BF1498" s="458">
        <v>3.7547236316186616E-2</v>
      </c>
      <c r="BG1498" s="477">
        <v>8702620.6566394456</v>
      </c>
      <c r="BH1498" s="458">
        <v>8.4178242220015242E-2</v>
      </c>
      <c r="BI1498" s="477">
        <v>12757569.101394391</v>
      </c>
      <c r="BJ1498" s="458">
        <v>0.12364181498773896</v>
      </c>
      <c r="BK1498" s="477">
        <v>94527210.430898726</v>
      </c>
      <c r="BL1498" s="458">
        <v>0.26126513242432003</v>
      </c>
      <c r="BM1498" s="468">
        <v>9.1256901204685814</v>
      </c>
    </row>
    <row r="1499" spans="12:65" x14ac:dyDescent="0.3">
      <c r="L1499" s="427">
        <v>8031439.4206999997</v>
      </c>
      <c r="BE1499" s="477">
        <v>-16016.042873613675</v>
      </c>
      <c r="BF1499" s="458">
        <v>2.0482974112267627E-2</v>
      </c>
      <c r="BG1499" s="477">
        <v>9407415.4077193066</v>
      </c>
      <c r="BH1499" s="458">
        <v>6.3386597759458985E-2</v>
      </c>
      <c r="BI1499" s="477">
        <v>22221362.583131619</v>
      </c>
      <c r="BJ1499" s="458">
        <v>0.11440339877825911</v>
      </c>
      <c r="BK1499" s="477">
        <v>91747766.035638541</v>
      </c>
      <c r="BL1499" s="458">
        <v>0.26905847691264362</v>
      </c>
      <c r="BM1499" s="468">
        <v>10.363534598871144</v>
      </c>
    </row>
    <row r="1500" spans="12:65" x14ac:dyDescent="0.3">
      <c r="L1500" s="427">
        <v>14891819.4922</v>
      </c>
      <c r="BE1500" s="477">
        <v>4222559.1083777947</v>
      </c>
      <c r="BF1500" s="458">
        <v>3.5855486056189267E-2</v>
      </c>
      <c r="BG1500" s="477">
        <v>9420237.1621254012</v>
      </c>
      <c r="BH1500" s="458">
        <v>6.9433999608804919E-2</v>
      </c>
      <c r="BI1500" s="477">
        <v>17798008.527203429</v>
      </c>
      <c r="BJ1500" s="458">
        <v>0.10948378201465192</v>
      </c>
      <c r="BK1500" s="477">
        <v>90537610.533828467</v>
      </c>
      <c r="BL1500" s="458">
        <v>0.26416910877263544</v>
      </c>
      <c r="BM1500" s="468">
        <v>8.0644800765895273</v>
      </c>
    </row>
    <row r="1501" spans="12:65" x14ac:dyDescent="0.3">
      <c r="L1501" s="427">
        <v>6590008.6660000002</v>
      </c>
      <c r="BE1501" s="477">
        <v>6637784.7807164872</v>
      </c>
      <c r="BF1501" s="458">
        <v>6.0336702430998423E-2</v>
      </c>
      <c r="BG1501" s="477">
        <v>-2971414.593806243</v>
      </c>
      <c r="BH1501" s="458">
        <v>7.1599327749272801E-2</v>
      </c>
      <c r="BI1501" s="477">
        <v>23669676.642726209</v>
      </c>
      <c r="BJ1501" s="458">
        <v>0.15092289330145747</v>
      </c>
      <c r="BK1501" s="477">
        <v>86337341.377943054</v>
      </c>
      <c r="BL1501" s="458">
        <v>0.28129779410247635</v>
      </c>
      <c r="BM1501" s="468">
        <v>12.345699438526765</v>
      </c>
    </row>
    <row r="1502" spans="12:65" x14ac:dyDescent="0.3">
      <c r="L1502" s="427">
        <v>5630763.1452000001</v>
      </c>
      <c r="BE1502" s="477">
        <v>3346289.905894734</v>
      </c>
      <c r="BF1502" s="458">
        <v>2.9747554934636433E-2</v>
      </c>
      <c r="BG1502" s="477">
        <v>6270533.4598217355</v>
      </c>
      <c r="BH1502" s="458">
        <v>5.7277381283648898E-2</v>
      </c>
      <c r="BI1502" s="477">
        <v>19527673.003983974</v>
      </c>
      <c r="BJ1502" s="458">
        <v>0.11904930668540192</v>
      </c>
      <c r="BK1502" s="477">
        <v>101904884.20793074</v>
      </c>
      <c r="BL1502" s="458">
        <v>0.26950321308546488</v>
      </c>
      <c r="BM1502" s="468">
        <v>4.6433630310713312</v>
      </c>
    </row>
    <row r="1503" spans="12:65" x14ac:dyDescent="0.3">
      <c r="L1503" s="427">
        <v>-1268374.6424</v>
      </c>
      <c r="BE1503" s="477">
        <v>6552306.1258461</v>
      </c>
      <c r="BF1503" s="458">
        <v>4.7362893889723034E-2</v>
      </c>
      <c r="BG1503" s="477">
        <v>6143984.5446061846</v>
      </c>
      <c r="BH1503" s="458">
        <v>3.9365070915565292E-2</v>
      </c>
      <c r="BI1503" s="477">
        <v>9217299.1826804653</v>
      </c>
      <c r="BJ1503" s="458">
        <v>0.10252446796602244</v>
      </c>
      <c r="BK1503" s="477">
        <v>94130827.016330898</v>
      </c>
      <c r="BL1503" s="458">
        <v>0.27231157549467033</v>
      </c>
      <c r="BM1503" s="468">
        <v>3.7891531743646096</v>
      </c>
    </row>
    <row r="1504" spans="12:65" x14ac:dyDescent="0.3">
      <c r="L1504" s="427">
        <v>12520471.5351</v>
      </c>
      <c r="BE1504" s="477">
        <v>3314426.1796163884</v>
      </c>
      <c r="BF1504" s="458">
        <v>4.1347832335325574E-2</v>
      </c>
      <c r="BG1504" s="477">
        <v>4984409.933909175</v>
      </c>
      <c r="BH1504" s="458">
        <v>8.5372354648512561E-2</v>
      </c>
      <c r="BI1504" s="477">
        <v>9692671.952833211</v>
      </c>
      <c r="BJ1504" s="458">
        <v>7.366050024870896E-2</v>
      </c>
      <c r="BK1504" s="477">
        <v>88469719.297688499</v>
      </c>
      <c r="BL1504" s="458">
        <v>0.27023242552891569</v>
      </c>
      <c r="BM1504" s="468">
        <v>12.170463612734913</v>
      </c>
    </row>
    <row r="1505" spans="12:65" x14ac:dyDescent="0.3">
      <c r="L1505" s="427">
        <v>11463210.8486</v>
      </c>
      <c r="BE1505" s="477">
        <v>2143856.7323092329</v>
      </c>
      <c r="BF1505" s="458">
        <v>6.4262246211960417E-2</v>
      </c>
      <c r="BG1505" s="477">
        <v>12136347.244971942</v>
      </c>
      <c r="BH1505" s="458">
        <v>8.4768279965300897E-2</v>
      </c>
      <c r="BI1505" s="477">
        <v>6877060.7627479145</v>
      </c>
      <c r="BJ1505" s="458">
        <v>0.11755080128366813</v>
      </c>
      <c r="BK1505" s="477">
        <v>81165383.262962118</v>
      </c>
      <c r="BL1505" s="458">
        <v>0.25335948124236674</v>
      </c>
      <c r="BM1505" s="468">
        <v>4.6494916200447616</v>
      </c>
    </row>
    <row r="1506" spans="12:65" x14ac:dyDescent="0.3">
      <c r="L1506" s="427">
        <v>-4563156.8254000004</v>
      </c>
      <c r="BE1506" s="477">
        <v>9051424.3591772653</v>
      </c>
      <c r="BF1506" s="458">
        <v>4.8887467019707476E-2</v>
      </c>
      <c r="BG1506" s="477">
        <v>-15335.876942539775</v>
      </c>
      <c r="BH1506" s="458">
        <v>4.5393205893254018E-2</v>
      </c>
      <c r="BI1506" s="477">
        <v>17762262.927133538</v>
      </c>
      <c r="BJ1506" s="458">
        <v>0.10743014127397865</v>
      </c>
      <c r="BK1506" s="477">
        <v>108561712.68523911</v>
      </c>
      <c r="BL1506" s="458">
        <v>0.24420394527553801</v>
      </c>
      <c r="BM1506" s="468">
        <v>13.005724416939467</v>
      </c>
    </row>
    <row r="1507" spans="12:65" x14ac:dyDescent="0.3">
      <c r="L1507" s="427">
        <v>13559331.625800001</v>
      </c>
      <c r="BE1507" s="477">
        <v>2110546.7018297995</v>
      </c>
      <c r="BF1507" s="458">
        <v>4.3704960365462231E-2</v>
      </c>
      <c r="BG1507" s="477">
        <v>13258831.924747301</v>
      </c>
      <c r="BH1507" s="458">
        <v>6.6530230783955702E-2</v>
      </c>
      <c r="BI1507" s="477">
        <v>19331916.605019022</v>
      </c>
      <c r="BJ1507" s="458">
        <v>8.2441798386068132E-2</v>
      </c>
      <c r="BK1507" s="477">
        <v>96505340.419631392</v>
      </c>
      <c r="BL1507" s="458">
        <v>0.27682311423898898</v>
      </c>
      <c r="BM1507" s="468">
        <v>12.848326507980655</v>
      </c>
    </row>
    <row r="1508" spans="12:65" x14ac:dyDescent="0.3">
      <c r="L1508" s="427">
        <v>7502679.0893999999</v>
      </c>
      <c r="BE1508" s="477">
        <v>9860598.9910738859</v>
      </c>
      <c r="BF1508" s="458">
        <v>3.1004298684157439E-2</v>
      </c>
      <c r="BG1508" s="477">
        <v>13469933.436417656</v>
      </c>
      <c r="BH1508" s="458">
        <v>8.1878537353177183E-2</v>
      </c>
      <c r="BI1508" s="477">
        <v>23221949.620273177</v>
      </c>
      <c r="BJ1508" s="458">
        <v>0.11434748161439101</v>
      </c>
      <c r="BK1508" s="477">
        <v>87909500.306905687</v>
      </c>
      <c r="BL1508" s="458">
        <v>0.25784977818122101</v>
      </c>
      <c r="BM1508" s="468">
        <v>8.7184659957221644</v>
      </c>
    </row>
    <row r="1509" spans="12:65" x14ac:dyDescent="0.3">
      <c r="L1509" s="427">
        <v>13256575.3521</v>
      </c>
      <c r="BE1509" s="477">
        <v>6122450.2604978103</v>
      </c>
      <c r="BF1509" s="458">
        <v>3.7731148360674149E-2</v>
      </c>
      <c r="BG1509" s="477">
        <v>11927589.839220027</v>
      </c>
      <c r="BH1509" s="458">
        <v>4.4941568752466132E-2</v>
      </c>
      <c r="BI1509" s="477">
        <v>14440664.042042477</v>
      </c>
      <c r="BJ1509" s="458">
        <v>0.10557695142467804</v>
      </c>
      <c r="BK1509" s="477">
        <v>94331171.128360793</v>
      </c>
      <c r="BL1509" s="458">
        <v>0.28128805630363352</v>
      </c>
      <c r="BM1509" s="468">
        <v>5.2095722100831985</v>
      </c>
    </row>
    <row r="1510" spans="12:65" x14ac:dyDescent="0.3">
      <c r="L1510" s="427">
        <v>19238226.0821</v>
      </c>
      <c r="BE1510" s="477">
        <v>7829507.8213291159</v>
      </c>
      <c r="BF1510" s="458">
        <v>1.9269016015569962E-2</v>
      </c>
      <c r="BG1510" s="477">
        <v>14161938.121735755</v>
      </c>
      <c r="BH1510" s="458">
        <v>7.1276899314413944E-2</v>
      </c>
      <c r="BI1510" s="477">
        <v>22988607.774873577</v>
      </c>
      <c r="BJ1510" s="458">
        <v>9.2742208995075126E-2</v>
      </c>
      <c r="BK1510" s="477">
        <v>74420124.494662315</v>
      </c>
      <c r="BL1510" s="458">
        <v>0.27680561014045657</v>
      </c>
      <c r="BM1510" s="468">
        <v>17.088601474045806</v>
      </c>
    </row>
    <row r="1511" spans="12:65" x14ac:dyDescent="0.3">
      <c r="L1511" s="427">
        <v>15141445.2906</v>
      </c>
      <c r="BE1511" s="477">
        <v>8060470.0683120601</v>
      </c>
      <c r="BF1511" s="458">
        <v>2.8907315712479287E-2</v>
      </c>
      <c r="BG1511" s="477">
        <v>16024736.021532198</v>
      </c>
      <c r="BH1511" s="458">
        <v>6.120320184460315E-2</v>
      </c>
      <c r="BI1511" s="477">
        <v>24146020.395487882</v>
      </c>
      <c r="BJ1511" s="458">
        <v>0.10576949236021438</v>
      </c>
      <c r="BK1511" s="477">
        <v>89593675.908254758</v>
      </c>
      <c r="BL1511" s="458">
        <v>0.27833912107530923</v>
      </c>
      <c r="BM1511" s="468">
        <v>5.4622602140578653</v>
      </c>
    </row>
    <row r="1512" spans="12:65" x14ac:dyDescent="0.3">
      <c r="L1512" s="427">
        <v>10033179.8872</v>
      </c>
      <c r="BE1512" s="477">
        <v>6699953.4548843736</v>
      </c>
      <c r="BF1512" s="458">
        <v>3.995410621316986E-2</v>
      </c>
      <c r="BG1512" s="477">
        <v>7177502.7842839528</v>
      </c>
      <c r="BH1512" s="458">
        <v>6.3426478379019713E-2</v>
      </c>
      <c r="BI1512" s="477">
        <v>9589395.1454309337</v>
      </c>
      <c r="BJ1512" s="458">
        <v>0.10767774161893229</v>
      </c>
      <c r="BK1512" s="477">
        <v>82832860.985271975</v>
      </c>
      <c r="BL1512" s="458">
        <v>0.26709634705302676</v>
      </c>
      <c r="BM1512" s="468">
        <v>12.443114482346395</v>
      </c>
    </row>
    <row r="1513" spans="12:65" x14ac:dyDescent="0.3">
      <c r="L1513" s="427">
        <v>2200780.3207</v>
      </c>
      <c r="BE1513" s="477">
        <v>4035620.0154519104</v>
      </c>
      <c r="BF1513" s="458">
        <v>6.7966722453673745E-2</v>
      </c>
      <c r="BG1513" s="477">
        <v>4890658.1982442923</v>
      </c>
      <c r="BH1513" s="458">
        <v>7.9693676961167803E-2</v>
      </c>
      <c r="BI1513" s="477">
        <v>18047391.240973219</v>
      </c>
      <c r="BJ1513" s="458">
        <v>0.10712045622946542</v>
      </c>
      <c r="BK1513" s="477">
        <v>87019170.120530739</v>
      </c>
      <c r="BL1513" s="458">
        <v>0.27445020767735806</v>
      </c>
      <c r="BM1513" s="468">
        <v>3.1479605017524221</v>
      </c>
    </row>
    <row r="1514" spans="12:65" x14ac:dyDescent="0.3">
      <c r="L1514" s="427">
        <v>6297538.6157</v>
      </c>
      <c r="BE1514" s="477">
        <v>8616493.3581697848</v>
      </c>
      <c r="BF1514" s="458">
        <v>5.4476519427851366E-2</v>
      </c>
      <c r="BG1514" s="477">
        <v>3523786.4440267724</v>
      </c>
      <c r="BH1514" s="458">
        <v>6.6219788263113921E-2</v>
      </c>
      <c r="BI1514" s="477">
        <v>11413208.309714833</v>
      </c>
      <c r="BJ1514" s="458">
        <v>8.2461551712225356E-2</v>
      </c>
      <c r="BK1514" s="477">
        <v>83257593.679292455</v>
      </c>
      <c r="BL1514" s="458">
        <v>0.28482843331463203</v>
      </c>
      <c r="BM1514" s="468">
        <v>3.9226394317442725</v>
      </c>
    </row>
    <row r="1515" spans="12:65" x14ac:dyDescent="0.3">
      <c r="L1515" s="427">
        <v>5387477.0005000001</v>
      </c>
      <c r="BE1515" s="477">
        <v>4591744.9668856077</v>
      </c>
      <c r="BF1515" s="458">
        <v>2.2934106365968709E-2</v>
      </c>
      <c r="BG1515" s="477">
        <v>10955465.158814143</v>
      </c>
      <c r="BH1515" s="458">
        <v>3.1086440889055877E-2</v>
      </c>
      <c r="BI1515" s="477">
        <v>13963128.376228925</v>
      </c>
      <c r="BJ1515" s="458">
        <v>9.8768226306013673E-2</v>
      </c>
      <c r="BK1515" s="477">
        <v>89273230.712911412</v>
      </c>
      <c r="BL1515" s="458">
        <v>0.30121955823801505</v>
      </c>
      <c r="BM1515" s="468">
        <v>11.454145532645976</v>
      </c>
    </row>
    <row r="1516" spans="12:65" x14ac:dyDescent="0.3">
      <c r="L1516" s="427">
        <v>18886877.646499999</v>
      </c>
      <c r="BE1516" s="477">
        <v>6793175.1188034145</v>
      </c>
      <c r="BF1516" s="458">
        <v>3.3874869957689846E-2</v>
      </c>
      <c r="BG1516" s="477">
        <v>4149507.833407212</v>
      </c>
      <c r="BH1516" s="458">
        <v>9.9434566717522488E-2</v>
      </c>
      <c r="BI1516" s="477">
        <v>14487177.838503057</v>
      </c>
      <c r="BJ1516" s="458">
        <v>8.536728818200312E-2</v>
      </c>
      <c r="BK1516" s="477">
        <v>83057496.134335935</v>
      </c>
      <c r="BL1516" s="458">
        <v>0.28429309295971694</v>
      </c>
      <c r="BM1516" s="468">
        <v>6.7910935824265799</v>
      </c>
    </row>
    <row r="1517" spans="12:65" x14ac:dyDescent="0.3">
      <c r="L1517" s="427">
        <v>7008128.8517000005</v>
      </c>
      <c r="BE1517" s="477">
        <v>5085167.6984035447</v>
      </c>
      <c r="BF1517" s="458">
        <v>3.3299838939676141E-2</v>
      </c>
      <c r="BG1517" s="477">
        <v>-991966.79280844377</v>
      </c>
      <c r="BH1517" s="458">
        <v>6.3531626263999774E-2</v>
      </c>
      <c r="BI1517" s="477">
        <v>15735865.356417434</v>
      </c>
      <c r="BJ1517" s="458">
        <v>0.1047974690509148</v>
      </c>
      <c r="BK1517" s="477">
        <v>95754679.194379821</v>
      </c>
      <c r="BL1517" s="458">
        <v>0.28010850383420927</v>
      </c>
      <c r="BM1517" s="468">
        <v>8.8167882846429642</v>
      </c>
    </row>
    <row r="1518" spans="12:65" x14ac:dyDescent="0.3">
      <c r="L1518" s="427">
        <v>17903250.1384</v>
      </c>
      <c r="BE1518" s="477">
        <v>11986666.907377021</v>
      </c>
      <c r="BF1518" s="458">
        <v>2.74815014270402E-2</v>
      </c>
      <c r="BG1518" s="477">
        <v>13559204.451805357</v>
      </c>
      <c r="BH1518" s="458">
        <v>6.0913270419870935E-2</v>
      </c>
      <c r="BI1518" s="477">
        <v>21169998.781853311</v>
      </c>
      <c r="BJ1518" s="458">
        <v>8.8390507298539145E-2</v>
      </c>
      <c r="BK1518" s="477">
        <v>89802356.314173356</v>
      </c>
      <c r="BL1518" s="458">
        <v>0.26761677710989962</v>
      </c>
      <c r="BM1518" s="468">
        <v>13.324012382538971</v>
      </c>
    </row>
    <row r="1519" spans="12:65" x14ac:dyDescent="0.3">
      <c r="L1519" s="427">
        <v>8275404.9732999997</v>
      </c>
      <c r="BE1519" s="477">
        <v>3437295.644951323</v>
      </c>
      <c r="BF1519" s="458">
        <v>4.7570434194868172E-2</v>
      </c>
      <c r="BG1519" s="477">
        <v>9250622.0446109623</v>
      </c>
      <c r="BH1519" s="458">
        <v>5.428452140426554E-2</v>
      </c>
      <c r="BI1519" s="477">
        <v>26248235.443722982</v>
      </c>
      <c r="BJ1519" s="458">
        <v>0.10924673496134818</v>
      </c>
      <c r="BK1519" s="477">
        <v>101485988.74976666</v>
      </c>
      <c r="BL1519" s="458">
        <v>0.25917573004866368</v>
      </c>
      <c r="BM1519" s="468">
        <v>6.5773595397663298</v>
      </c>
    </row>
    <row r="1520" spans="12:65" x14ac:dyDescent="0.3">
      <c r="L1520" s="427">
        <v>20080538.019400001</v>
      </c>
      <c r="BE1520" s="477">
        <v>5113539.3563266406</v>
      </c>
      <c r="BF1520" s="458">
        <v>5.2246435501869914E-2</v>
      </c>
      <c r="BG1520" s="477">
        <v>19010060.915392213</v>
      </c>
      <c r="BH1520" s="458">
        <v>5.5519401012161573E-2</v>
      </c>
      <c r="BI1520" s="477">
        <v>24399007.862188309</v>
      </c>
      <c r="BJ1520" s="458">
        <v>9.8160346366021889E-2</v>
      </c>
      <c r="BK1520" s="477">
        <v>99606716.562446177</v>
      </c>
      <c r="BL1520" s="458">
        <v>0.2489832172608768</v>
      </c>
      <c r="BM1520" s="468">
        <v>8.8694338926103526</v>
      </c>
    </row>
    <row r="1521" spans="12:65" x14ac:dyDescent="0.3">
      <c r="L1521" s="427">
        <v>973855.17169999995</v>
      </c>
      <c r="BE1521" s="477">
        <v>6011087.5624860907</v>
      </c>
      <c r="BF1521" s="458">
        <v>3.8947853590223458E-2</v>
      </c>
      <c r="BG1521" s="477">
        <v>6388922.0635763863</v>
      </c>
      <c r="BH1521" s="458">
        <v>5.2113177768621011E-2</v>
      </c>
      <c r="BI1521" s="477">
        <v>20355395.224585049</v>
      </c>
      <c r="BJ1521" s="458">
        <v>8.468804001535446E-2</v>
      </c>
      <c r="BK1521" s="477">
        <v>79705369.741873816</v>
      </c>
      <c r="BL1521" s="458">
        <v>0.26790830964681067</v>
      </c>
      <c r="BM1521" s="468">
        <v>7.0950590184028384</v>
      </c>
    </row>
    <row r="1522" spans="12:65" x14ac:dyDescent="0.3">
      <c r="L1522" s="427">
        <v>-1672602.2139999999</v>
      </c>
      <c r="BE1522" s="477">
        <v>4172639.887260634</v>
      </c>
      <c r="BF1522" s="458">
        <v>1.5580660683121028E-2</v>
      </c>
      <c r="BG1522" s="477">
        <v>7116077.6576126311</v>
      </c>
      <c r="BH1522" s="458">
        <v>8.3071775796058178E-2</v>
      </c>
      <c r="BI1522" s="477">
        <v>17833682.522924997</v>
      </c>
      <c r="BJ1522" s="458">
        <v>0.10963132078927451</v>
      </c>
      <c r="BK1522" s="477">
        <v>98812227.232624501</v>
      </c>
      <c r="BL1522" s="458">
        <v>0.28126207471145048</v>
      </c>
      <c r="BM1522" s="468">
        <v>11.085305720937136</v>
      </c>
    </row>
    <row r="1523" spans="12:65" x14ac:dyDescent="0.3">
      <c r="L1523" s="427">
        <v>21632807.157200001</v>
      </c>
      <c r="BE1523" s="477">
        <v>2271953.2551449351</v>
      </c>
      <c r="BF1523" s="458">
        <v>3.1234311867841758E-2</v>
      </c>
      <c r="BG1523" s="477">
        <v>6587400.8308023056</v>
      </c>
      <c r="BH1523" s="458">
        <v>8.5428514022876545E-2</v>
      </c>
      <c r="BI1523" s="477">
        <v>19781521.281854905</v>
      </c>
      <c r="BJ1523" s="458">
        <v>0.11193795337815637</v>
      </c>
      <c r="BK1523" s="477">
        <v>73871010.709843069</v>
      </c>
      <c r="BL1523" s="458">
        <v>0.28330396767004284</v>
      </c>
      <c r="BM1523" s="468">
        <v>4.3036190957443452</v>
      </c>
    </row>
    <row r="1524" spans="12:65" x14ac:dyDescent="0.3">
      <c r="L1524" s="427">
        <v>16959108.955800001</v>
      </c>
      <c r="BE1524" s="477">
        <v>9894394.1565848887</v>
      </c>
      <c r="BF1524" s="458">
        <v>2.4784033265465411E-2</v>
      </c>
      <c r="BG1524" s="477">
        <v>4820414.1191184353</v>
      </c>
      <c r="BH1524" s="458">
        <v>6.0956879063456926E-2</v>
      </c>
      <c r="BI1524" s="477">
        <v>20616095.027096238</v>
      </c>
      <c r="BJ1524" s="458">
        <v>0.10758283313389572</v>
      </c>
      <c r="BK1524" s="477">
        <v>93304383.509916708</v>
      </c>
      <c r="BL1524" s="458">
        <v>0.25642407879323592</v>
      </c>
      <c r="BM1524" s="468">
        <v>7.257702240219686</v>
      </c>
    </row>
    <row r="1525" spans="12:65" x14ac:dyDescent="0.3">
      <c r="L1525" s="427">
        <v>18830014.3814</v>
      </c>
      <c r="BE1525" s="477">
        <v>5257750.5988780791</v>
      </c>
      <c r="BF1525" s="458">
        <v>4.8462360125295145E-2</v>
      </c>
      <c r="BG1525" s="477">
        <v>8297858.6587250214</v>
      </c>
      <c r="BH1525" s="458">
        <v>7.5009616047252869E-2</v>
      </c>
      <c r="BI1525" s="477">
        <v>17884017.884619884</v>
      </c>
      <c r="BJ1525" s="458">
        <v>0.11192639742482857</v>
      </c>
      <c r="BK1525" s="477">
        <v>87411083.538992241</v>
      </c>
      <c r="BL1525" s="458">
        <v>0.25689077894173895</v>
      </c>
      <c r="BM1525" s="468">
        <v>5.1096135648660752</v>
      </c>
    </row>
    <row r="1526" spans="12:65" x14ac:dyDescent="0.3">
      <c r="L1526" s="427">
        <v>4871907.0955999997</v>
      </c>
      <c r="BE1526" s="477">
        <v>5598289.6381151909</v>
      </c>
      <c r="BF1526" s="458">
        <v>6.3500102970041716E-2</v>
      </c>
      <c r="BG1526" s="477">
        <v>3896289.8052143059</v>
      </c>
      <c r="BH1526" s="458">
        <v>5.9261802579887446E-2</v>
      </c>
      <c r="BI1526" s="477">
        <v>18192830.166135982</v>
      </c>
      <c r="BJ1526" s="458">
        <v>8.8139854709449184E-2</v>
      </c>
      <c r="BK1526" s="477">
        <v>102378403.34764984</v>
      </c>
      <c r="BL1526" s="458">
        <v>0.24836222735019087</v>
      </c>
      <c r="BM1526" s="468">
        <v>11.584628200833395</v>
      </c>
    </row>
    <row r="1527" spans="12:65" x14ac:dyDescent="0.3">
      <c r="L1527" s="427">
        <v>14901295.195</v>
      </c>
      <c r="BE1527" s="477">
        <v>7128130.5618590694</v>
      </c>
      <c r="BF1527" s="458">
        <v>2.9635608792622836E-2</v>
      </c>
      <c r="BG1527" s="477">
        <v>10363103.673309691</v>
      </c>
      <c r="BH1527" s="458">
        <v>2.4531557498283618E-2</v>
      </c>
      <c r="BI1527" s="477">
        <v>16059470.48935307</v>
      </c>
      <c r="BJ1527" s="458">
        <v>9.2901312518326229E-2</v>
      </c>
      <c r="BK1527" s="477">
        <v>94595229.087665185</v>
      </c>
      <c r="BL1527" s="458">
        <v>0.26329592346540887</v>
      </c>
      <c r="BM1527" s="468">
        <v>9.4263114077960228</v>
      </c>
    </row>
    <row r="1528" spans="12:65" x14ac:dyDescent="0.3">
      <c r="L1528" s="427">
        <v>19476882.727899998</v>
      </c>
      <c r="BE1528" s="477">
        <v>3489916.2912582844</v>
      </c>
      <c r="BF1528" s="458">
        <v>3.3480692929383382E-2</v>
      </c>
      <c r="BG1528" s="477">
        <v>8371984.7930943863</v>
      </c>
      <c r="BH1528" s="458">
        <v>9.0494703342379079E-2</v>
      </c>
      <c r="BI1528" s="477">
        <v>11850712.703699956</v>
      </c>
      <c r="BJ1528" s="458">
        <v>7.9905360546092652E-2</v>
      </c>
      <c r="BK1528" s="477">
        <v>94411451.074669331</v>
      </c>
      <c r="BL1528" s="458">
        <v>0.26815008051781342</v>
      </c>
      <c r="BM1528" s="468">
        <v>14.768956838427956</v>
      </c>
    </row>
    <row r="1529" spans="12:65" x14ac:dyDescent="0.3">
      <c r="L1529" s="427">
        <v>2169007.6858999999</v>
      </c>
      <c r="BE1529" s="477">
        <v>1719204.672461505</v>
      </c>
      <c r="BF1529" s="458">
        <v>5.6471815948599069E-2</v>
      </c>
      <c r="BG1529" s="477">
        <v>7746011.5873629842</v>
      </c>
      <c r="BH1529" s="458">
        <v>7.0569620351950357E-2</v>
      </c>
      <c r="BI1529" s="477">
        <v>18603498.817863755</v>
      </c>
      <c r="BJ1529" s="458">
        <v>0.10662947719113025</v>
      </c>
      <c r="BK1529" s="477">
        <v>82028542.322341979</v>
      </c>
      <c r="BL1529" s="458">
        <v>0.27192262414339896</v>
      </c>
      <c r="BM1529" s="468">
        <v>5.9063753355729638</v>
      </c>
    </row>
    <row r="1530" spans="12:65" x14ac:dyDescent="0.3">
      <c r="L1530" s="427">
        <v>-646231.7672</v>
      </c>
      <c r="BE1530" s="477">
        <v>5910357.3719944805</v>
      </c>
      <c r="BF1530" s="458">
        <v>4.6539233856581985E-2</v>
      </c>
      <c r="BG1530" s="477">
        <v>6134467.9785318999</v>
      </c>
      <c r="BH1530" s="458">
        <v>6.255290434636307E-2</v>
      </c>
      <c r="BI1530" s="477">
        <v>17883347.305474419</v>
      </c>
      <c r="BJ1530" s="458">
        <v>0.11357910792812231</v>
      </c>
      <c r="BK1530" s="477">
        <v>87732069.477342442</v>
      </c>
      <c r="BL1530" s="458">
        <v>0.25877377751825614</v>
      </c>
      <c r="BM1530" s="468">
        <v>12.095971813410671</v>
      </c>
    </row>
    <row r="1531" spans="12:65" x14ac:dyDescent="0.3">
      <c r="L1531" s="427">
        <v>17592474.470899999</v>
      </c>
      <c r="BE1531" s="477">
        <v>4144590.2451391728</v>
      </c>
      <c r="BF1531" s="458">
        <v>6.2942192175477807E-2</v>
      </c>
      <c r="BG1531" s="477">
        <v>6641415.9876438025</v>
      </c>
      <c r="BH1531" s="458">
        <v>5.4912385832748489E-2</v>
      </c>
      <c r="BI1531" s="477">
        <v>21103067.685899712</v>
      </c>
      <c r="BJ1531" s="458">
        <v>6.7551235960877642E-2</v>
      </c>
      <c r="BK1531" s="477">
        <v>91278194.520266905</v>
      </c>
      <c r="BL1531" s="458">
        <v>0.27576349513331677</v>
      </c>
      <c r="BM1531" s="468">
        <v>6.4441773119341903</v>
      </c>
    </row>
    <row r="1532" spans="12:65" x14ac:dyDescent="0.3">
      <c r="L1532" s="427">
        <v>8644720.7293999996</v>
      </c>
      <c r="BE1532" s="477">
        <v>3131095.6834025532</v>
      </c>
      <c r="BF1532" s="458">
        <v>5.6597696037419265E-2</v>
      </c>
      <c r="BG1532" s="477">
        <v>3055508.6216569245</v>
      </c>
      <c r="BH1532" s="458">
        <v>6.1622057345303904E-2</v>
      </c>
      <c r="BI1532" s="477">
        <v>867892.48186452582</v>
      </c>
      <c r="BJ1532" s="458">
        <v>9.5180276806240416E-2</v>
      </c>
      <c r="BK1532" s="477">
        <v>103645965.96888085</v>
      </c>
      <c r="BL1532" s="458">
        <v>0.26582272665826578</v>
      </c>
      <c r="BM1532" s="468">
        <v>4.4646558240129348</v>
      </c>
    </row>
    <row r="1533" spans="12:65" x14ac:dyDescent="0.3">
      <c r="L1533" s="427">
        <v>4647676.0773</v>
      </c>
      <c r="BE1533" s="477">
        <v>3392005.6621357077</v>
      </c>
      <c r="BF1533" s="458">
        <v>4.2916536985298182E-2</v>
      </c>
      <c r="BG1533" s="477">
        <v>17656358.106478203</v>
      </c>
      <c r="BH1533" s="458">
        <v>5.1818119028225418E-2</v>
      </c>
      <c r="BI1533" s="477">
        <v>20273102.998641562</v>
      </c>
      <c r="BJ1533" s="458">
        <v>0.10698688518469845</v>
      </c>
      <c r="BK1533" s="477">
        <v>90000925.618769035</v>
      </c>
      <c r="BL1533" s="458">
        <v>0.29452336381482236</v>
      </c>
      <c r="BM1533" s="468">
        <v>7.2849115194825131</v>
      </c>
    </row>
    <row r="1534" spans="12:65" x14ac:dyDescent="0.3">
      <c r="L1534" s="427">
        <v>11151029.220000001</v>
      </c>
      <c r="BE1534" s="477">
        <v>4799229.7937113428</v>
      </c>
      <c r="BF1534" s="458">
        <v>2.8983073656009495E-2</v>
      </c>
      <c r="BG1534" s="477">
        <v>1089207.4345169624</v>
      </c>
      <c r="BH1534" s="458">
        <v>7.4636761154066811E-2</v>
      </c>
      <c r="BI1534" s="477">
        <v>17289074.145667907</v>
      </c>
      <c r="BJ1534" s="458">
        <v>0.10604090894586493</v>
      </c>
      <c r="BK1534" s="477">
        <v>96251262.351580501</v>
      </c>
      <c r="BL1534" s="458">
        <v>0.25600402803046474</v>
      </c>
      <c r="BM1534" s="468">
        <v>5.48491731011881</v>
      </c>
    </row>
    <row r="1535" spans="12:65" x14ac:dyDescent="0.3">
      <c r="L1535" s="427">
        <v>-2956208.7692999998</v>
      </c>
      <c r="BE1535" s="477">
        <v>5615743.0136208003</v>
      </c>
      <c r="BF1535" s="458">
        <v>5.4801460211304054E-2</v>
      </c>
      <c r="BG1535" s="477">
        <v>12033570.703958271</v>
      </c>
      <c r="BH1535" s="458">
        <v>4.7879584941171283E-2</v>
      </c>
      <c r="BI1535" s="477">
        <v>18353787.867047362</v>
      </c>
      <c r="BJ1535" s="458">
        <v>0.10710250877741934</v>
      </c>
      <c r="BK1535" s="477">
        <v>72603358.140692279</v>
      </c>
      <c r="BL1535" s="458">
        <v>0.28824081526997847</v>
      </c>
      <c r="BM1535" s="468">
        <v>9.9511786513534268</v>
      </c>
    </row>
    <row r="1536" spans="12:65" x14ac:dyDescent="0.3">
      <c r="L1536" s="427">
        <v>6609466.2452999996</v>
      </c>
      <c r="BE1536" s="477">
        <v>7661781.1324961074</v>
      </c>
      <c r="BF1536" s="458">
        <v>4.0495704153524104E-2</v>
      </c>
      <c r="BG1536" s="477">
        <v>7617568.528680562</v>
      </c>
      <c r="BH1536" s="458">
        <v>5.5041157232310178E-2</v>
      </c>
      <c r="BI1536" s="477">
        <v>13409106.007555323</v>
      </c>
      <c r="BJ1536" s="458">
        <v>0.13074150352966152</v>
      </c>
      <c r="BK1536" s="477">
        <v>95594682.530862421</v>
      </c>
      <c r="BL1536" s="458">
        <v>0.26256257530859051</v>
      </c>
      <c r="BM1536" s="468">
        <v>4.0478305053303059</v>
      </c>
    </row>
    <row r="1537" spans="12:65" x14ac:dyDescent="0.3">
      <c r="L1537" s="427">
        <v>11078940.8958</v>
      </c>
      <c r="BE1537" s="477">
        <v>6960627.7425712319</v>
      </c>
      <c r="BF1537" s="458">
        <v>3.3286856907603468E-2</v>
      </c>
      <c r="BG1537" s="477">
        <v>5559478.1738082599</v>
      </c>
      <c r="BH1537" s="458">
        <v>5.8605896016924675E-2</v>
      </c>
      <c r="BI1537" s="477">
        <v>19799925.225560747</v>
      </c>
      <c r="BJ1537" s="458">
        <v>0.12193665881136906</v>
      </c>
      <c r="BK1537" s="477">
        <v>79187091.692847565</v>
      </c>
      <c r="BL1537" s="458">
        <v>0.2811624182406196</v>
      </c>
      <c r="BM1537" s="468">
        <v>15.044797861425973</v>
      </c>
    </row>
    <row r="1538" spans="12:65" x14ac:dyDescent="0.3">
      <c r="L1538" s="427">
        <v>9841131.1182000004</v>
      </c>
      <c r="BE1538" s="477">
        <v>5579478.5454134662</v>
      </c>
      <c r="BF1538" s="458">
        <v>3.2392208294663494E-2</v>
      </c>
      <c r="BG1538" s="477">
        <v>5823257.0589964855</v>
      </c>
      <c r="BH1538" s="458">
        <v>0.11000198789385784</v>
      </c>
      <c r="BI1538" s="477">
        <v>5587165.076634801</v>
      </c>
      <c r="BJ1538" s="458">
        <v>0.10631007371472778</v>
      </c>
      <c r="BK1538" s="477">
        <v>97739214.197744608</v>
      </c>
      <c r="BL1538" s="458">
        <v>0.28601069355293629</v>
      </c>
      <c r="BM1538" s="468">
        <v>4.6157772292613082</v>
      </c>
    </row>
    <row r="1539" spans="12:65" x14ac:dyDescent="0.3">
      <c r="L1539" s="427">
        <v>17743058.415100001</v>
      </c>
      <c r="BE1539" s="477">
        <v>4995566.8696213355</v>
      </c>
      <c r="BF1539" s="458">
        <v>4.7586652186164979E-2</v>
      </c>
      <c r="BG1539" s="477">
        <v>12292792.469883701</v>
      </c>
      <c r="BH1539" s="458">
        <v>6.5495216080649898E-2</v>
      </c>
      <c r="BI1539" s="477">
        <v>16585473.488176756</v>
      </c>
      <c r="BJ1539" s="458">
        <v>0.10726303378674551</v>
      </c>
      <c r="BK1539" s="477">
        <v>74721311.125982985</v>
      </c>
      <c r="BL1539" s="458">
        <v>0.241267899283097</v>
      </c>
      <c r="BM1539" s="468">
        <v>7.8222019951467434</v>
      </c>
    </row>
    <row r="1540" spans="12:65" x14ac:dyDescent="0.3">
      <c r="L1540" s="427">
        <v>17046162.348200001</v>
      </c>
      <c r="BE1540" s="477">
        <v>7123454.8504366307</v>
      </c>
      <c r="BF1540" s="458">
        <v>3.636084991753763E-2</v>
      </c>
      <c r="BG1540" s="477">
        <v>10277267.627013713</v>
      </c>
      <c r="BH1540" s="458">
        <v>8.0450924528042034E-2</v>
      </c>
      <c r="BI1540" s="477">
        <v>18575595.100462317</v>
      </c>
      <c r="BJ1540" s="458">
        <v>0.1151046881914044</v>
      </c>
      <c r="BK1540" s="477">
        <v>83599743.744327173</v>
      </c>
      <c r="BL1540" s="458">
        <v>0.27190552058491524</v>
      </c>
      <c r="BM1540" s="468">
        <v>5.3703889154418025</v>
      </c>
    </row>
    <row r="1541" spans="12:65" x14ac:dyDescent="0.3">
      <c r="L1541" s="427">
        <v>14066754.562899999</v>
      </c>
      <c r="BE1541" s="477">
        <v>2192859.4468430984</v>
      </c>
      <c r="BF1541" s="458">
        <v>3.6577423411416898E-2</v>
      </c>
      <c r="BG1541" s="477">
        <v>7266616.4740488911</v>
      </c>
      <c r="BH1541" s="458">
        <v>7.8879783593700292E-2</v>
      </c>
      <c r="BI1541" s="477">
        <v>24763805.388206549</v>
      </c>
      <c r="BJ1541" s="458">
        <v>0.11870520192571421</v>
      </c>
      <c r="BK1541" s="477">
        <v>85344885.276021838</v>
      </c>
      <c r="BL1541" s="458">
        <v>0.26271749074769324</v>
      </c>
      <c r="BM1541" s="468">
        <v>8.1955860864616241</v>
      </c>
    </row>
    <row r="1542" spans="12:65" x14ac:dyDescent="0.3">
      <c r="L1542" s="427">
        <v>17147608.559999999</v>
      </c>
      <c r="BE1542" s="477">
        <v>4863035.3308032434</v>
      </c>
      <c r="BF1542" s="458">
        <v>3.2995752866737504E-2</v>
      </c>
      <c r="BG1542" s="477">
        <v>12692919.72500908</v>
      </c>
      <c r="BH1542" s="458">
        <v>7.5574632318891943E-2</v>
      </c>
      <c r="BI1542" s="477">
        <v>13973989.026002804</v>
      </c>
      <c r="BJ1542" s="458">
        <v>0.12124355750705562</v>
      </c>
      <c r="BK1542" s="477">
        <v>90246565.0625</v>
      </c>
      <c r="BL1542" s="458">
        <v>0.25524761054060829</v>
      </c>
      <c r="BM1542" s="468">
        <v>7.539112253759618</v>
      </c>
    </row>
    <row r="1543" spans="12:65" x14ac:dyDescent="0.3">
      <c r="L1543" s="427">
        <v>12123267.950099999</v>
      </c>
      <c r="BE1543" s="477">
        <v>4610893.5445204582</v>
      </c>
      <c r="BF1543" s="458">
        <v>6.3857263975153566E-2</v>
      </c>
      <c r="BG1543" s="477">
        <v>7814094.2924347091</v>
      </c>
      <c r="BH1543" s="458">
        <v>8.4943349125406575E-2</v>
      </c>
      <c r="BI1543" s="477">
        <v>10977401.75272404</v>
      </c>
      <c r="BJ1543" s="458">
        <v>0.1162179160499095</v>
      </c>
      <c r="BK1543" s="477">
        <v>99412457.910225004</v>
      </c>
      <c r="BL1543" s="458">
        <v>0.2896102988307081</v>
      </c>
      <c r="BM1543" s="468">
        <v>12.607009055233409</v>
      </c>
    </row>
    <row r="1544" spans="12:65" x14ac:dyDescent="0.3">
      <c r="L1544" s="427">
        <v>6666714.3295</v>
      </c>
      <c r="BE1544" s="477">
        <v>8658781.6049703173</v>
      </c>
      <c r="BF1544" s="458">
        <v>4.8873917328728478E-2</v>
      </c>
      <c r="BG1544" s="477">
        <v>6858582.7942173593</v>
      </c>
      <c r="BH1544" s="458">
        <v>6.3808599700637014E-2</v>
      </c>
      <c r="BI1544" s="477">
        <v>22012115.172639903</v>
      </c>
      <c r="BJ1544" s="458">
        <v>0.1120504020395694</v>
      </c>
      <c r="BK1544" s="477">
        <v>87070024.061310545</v>
      </c>
      <c r="BL1544" s="458">
        <v>0.25587486890117495</v>
      </c>
      <c r="BM1544" s="468">
        <v>12.102952030848201</v>
      </c>
    </row>
    <row r="1545" spans="12:65" x14ac:dyDescent="0.3">
      <c r="L1545" s="427">
        <v>-1142251.6503999999</v>
      </c>
      <c r="BE1545" s="477">
        <v>9962438.4749031924</v>
      </c>
      <c r="BF1545" s="458">
        <v>4.0035219108305986E-2</v>
      </c>
      <c r="BG1545" s="477">
        <v>14571691.689932037</v>
      </c>
      <c r="BH1545" s="458">
        <v>7.6469340359387461E-2</v>
      </c>
      <c r="BI1545" s="477">
        <v>13791288.556904564</v>
      </c>
      <c r="BJ1545" s="458">
        <v>7.8609153988811409E-2</v>
      </c>
      <c r="BK1545" s="477">
        <v>81701896.945318058</v>
      </c>
      <c r="BL1545" s="458">
        <v>0.26117005614485245</v>
      </c>
      <c r="BM1545" s="468">
        <v>11.36545532982889</v>
      </c>
    </row>
    <row r="1546" spans="12:65" x14ac:dyDescent="0.3">
      <c r="L1546" s="427">
        <v>-6715880.0455</v>
      </c>
      <c r="BE1546" s="477">
        <v>7050587.8638051637</v>
      </c>
      <c r="BF1546" s="458">
        <v>3.3936500601408515E-2</v>
      </c>
      <c r="BG1546" s="477">
        <v>9420765.3355820272</v>
      </c>
      <c r="BH1546" s="458">
        <v>6.2883316201227668E-2</v>
      </c>
      <c r="BI1546" s="477">
        <v>14711883.066827422</v>
      </c>
      <c r="BJ1546" s="458">
        <v>0.10649571294766291</v>
      </c>
      <c r="BK1546" s="477">
        <v>78019503.816143155</v>
      </c>
      <c r="BL1546" s="458">
        <v>0.26107326074902537</v>
      </c>
      <c r="BM1546" s="468">
        <v>10.366585691392586</v>
      </c>
    </row>
    <row r="1547" spans="12:65" x14ac:dyDescent="0.3">
      <c r="L1547" s="427">
        <v>19137784.5984</v>
      </c>
      <c r="BE1547" s="477">
        <v>6925994.1869576927</v>
      </c>
      <c r="BF1547" s="458">
        <v>2.1869779762965225E-2</v>
      </c>
      <c r="BG1547" s="477">
        <v>10295407.879551083</v>
      </c>
      <c r="BH1547" s="458">
        <v>9.1012384478412534E-2</v>
      </c>
      <c r="BI1547" s="477">
        <v>22546911.140598126</v>
      </c>
      <c r="BJ1547" s="458">
        <v>9.1669774844420848E-2</v>
      </c>
      <c r="BK1547" s="477">
        <v>83006755.565965682</v>
      </c>
      <c r="BL1547" s="458">
        <v>0.26597525157151347</v>
      </c>
      <c r="BM1547" s="468">
        <v>10.152635645371388</v>
      </c>
    </row>
    <row r="1548" spans="12:65" x14ac:dyDescent="0.3">
      <c r="L1548" s="427">
        <v>-602623.5013</v>
      </c>
      <c r="BE1548" s="477">
        <v>605956.46772780642</v>
      </c>
      <c r="BF1548" s="458">
        <v>5.3990422690776585E-2</v>
      </c>
      <c r="BG1548" s="477">
        <v>5589231.4645228134</v>
      </c>
      <c r="BH1548" s="458">
        <v>5.0064526301520695E-2</v>
      </c>
      <c r="BI1548" s="477">
        <v>17648763.162542202</v>
      </c>
      <c r="BJ1548" s="458">
        <v>0.11727275453961483</v>
      </c>
      <c r="BK1548" s="477">
        <v>84417558.63868624</v>
      </c>
      <c r="BL1548" s="458">
        <v>0.28049225079409523</v>
      </c>
      <c r="BM1548" s="468">
        <v>8.8941345506887366</v>
      </c>
    </row>
    <row r="1549" spans="12:65" x14ac:dyDescent="0.3">
      <c r="L1549" s="427">
        <v>14565482.6293</v>
      </c>
      <c r="BE1549" s="477">
        <v>5805484.1755131623</v>
      </c>
      <c r="BF1549" s="458">
        <v>3.7880601998113272E-2</v>
      </c>
      <c r="BG1549" s="477">
        <v>6173736.192131388</v>
      </c>
      <c r="BH1549" s="458">
        <v>6.4151412787703865E-2</v>
      </c>
      <c r="BI1549" s="477">
        <v>16368397.852221191</v>
      </c>
      <c r="BJ1549" s="458">
        <v>0.10523986721003986</v>
      </c>
      <c r="BK1549" s="477">
        <v>102357782.26767236</v>
      </c>
      <c r="BL1549" s="458">
        <v>0.27843170425512387</v>
      </c>
      <c r="BM1549" s="468">
        <v>6.4477864193040286</v>
      </c>
    </row>
    <row r="1550" spans="12:65" x14ac:dyDescent="0.3">
      <c r="L1550" s="427">
        <v>18503158.440099999</v>
      </c>
      <c r="BE1550" s="477">
        <v>6623925.5182619467</v>
      </c>
      <c r="BF1550" s="458">
        <v>3.0471949069786231E-2</v>
      </c>
      <c r="BG1550" s="477">
        <v>10118816.324486453</v>
      </c>
      <c r="BH1550" s="458">
        <v>4.6080922396151136E-2</v>
      </c>
      <c r="BI1550" s="477">
        <v>7698584.9639622942</v>
      </c>
      <c r="BJ1550" s="458">
        <v>9.5436494330330524E-2</v>
      </c>
      <c r="BK1550" s="477">
        <v>99491623.375383437</v>
      </c>
      <c r="BL1550" s="458">
        <v>0.26877303621119575</v>
      </c>
      <c r="BM1550" s="468">
        <v>6.2110705224959446</v>
      </c>
    </row>
    <row r="1551" spans="12:65" x14ac:dyDescent="0.3">
      <c r="L1551" s="427">
        <v>-494687.37150000001</v>
      </c>
      <c r="BE1551" s="477">
        <v>6986225.824865588</v>
      </c>
      <c r="BF1551" s="458">
        <v>3.918010095111657E-2</v>
      </c>
      <c r="BG1551" s="477">
        <v>5995962.0372484876</v>
      </c>
      <c r="BH1551" s="458">
        <v>5.4886220421512588E-2</v>
      </c>
      <c r="BI1551" s="477">
        <v>19597407.569791585</v>
      </c>
      <c r="BJ1551" s="458">
        <v>0.11443793949467196</v>
      </c>
      <c r="BK1551" s="477">
        <v>85394500.810217857</v>
      </c>
      <c r="BL1551" s="458">
        <v>0.26123970991601175</v>
      </c>
      <c r="BM1551" s="468">
        <v>7.5368024921469772</v>
      </c>
    </row>
    <row r="1552" spans="12:65" x14ac:dyDescent="0.3">
      <c r="L1552" s="427">
        <v>17403461.429099999</v>
      </c>
      <c r="BE1552" s="477">
        <v>3910327.6220177533</v>
      </c>
      <c r="BF1552" s="458">
        <v>3.7683534467331192E-2</v>
      </c>
      <c r="BG1552" s="477">
        <v>9921773.5576020218</v>
      </c>
      <c r="BH1552" s="458">
        <v>6.8838386229369108E-2</v>
      </c>
      <c r="BI1552" s="477">
        <v>20334668.091945827</v>
      </c>
      <c r="BJ1552" s="458">
        <v>0.11508644031115622</v>
      </c>
      <c r="BK1552" s="477">
        <v>92167916.421395093</v>
      </c>
      <c r="BL1552" s="458">
        <v>0.28558092032662818</v>
      </c>
      <c r="BM1552" s="468">
        <v>4.9497745630698757</v>
      </c>
    </row>
    <row r="1553" spans="12:65" x14ac:dyDescent="0.3">
      <c r="L1553" s="427">
        <v>17584438.0821</v>
      </c>
      <c r="BE1553" s="477">
        <v>5104017.4123954885</v>
      </c>
      <c r="BF1553" s="458">
        <v>4.1415208846959262E-2</v>
      </c>
      <c r="BG1553" s="477">
        <v>5221199.1844967632</v>
      </c>
      <c r="BH1553" s="458">
        <v>5.09736346253713E-2</v>
      </c>
      <c r="BI1553" s="477">
        <v>18818258.174863212</v>
      </c>
      <c r="BJ1553" s="458">
        <v>9.9387089483414348E-2</v>
      </c>
      <c r="BK1553" s="477">
        <v>96244179.834173962</v>
      </c>
      <c r="BL1553" s="458">
        <v>0.260864988958174</v>
      </c>
      <c r="BM1553" s="468">
        <v>4.0943676287131288</v>
      </c>
    </row>
    <row r="1554" spans="12:65" x14ac:dyDescent="0.3">
      <c r="L1554" s="427">
        <v>11828703.425100001</v>
      </c>
      <c r="BE1554" s="477">
        <v>4165227.6435412564</v>
      </c>
      <c r="BF1554" s="458">
        <v>5.2680550503682255E-2</v>
      </c>
      <c r="BG1554" s="477">
        <v>4996666.187246047</v>
      </c>
      <c r="BH1554" s="458">
        <v>7.7548183087678968E-2</v>
      </c>
      <c r="BI1554" s="477">
        <v>11718325.832892254</v>
      </c>
      <c r="BJ1554" s="458">
        <v>0.115456631465501</v>
      </c>
      <c r="BK1554" s="477">
        <v>99473566.629589602</v>
      </c>
      <c r="BL1554" s="458">
        <v>0.27179188565086077</v>
      </c>
      <c r="BM1554" s="468">
        <v>8.2432531322597171</v>
      </c>
    </row>
    <row r="1555" spans="12:65" x14ac:dyDescent="0.3">
      <c r="L1555" s="427">
        <v>17511851.590300001</v>
      </c>
      <c r="BE1555" s="477">
        <v>5582586.4517645389</v>
      </c>
      <c r="BF1555" s="458">
        <v>7.8850130207157587E-3</v>
      </c>
      <c r="BG1555" s="477">
        <v>8896927.5889402293</v>
      </c>
      <c r="BH1555" s="458">
        <v>7.9137848763253915E-2</v>
      </c>
      <c r="BI1555" s="477">
        <v>18614207.053006705</v>
      </c>
      <c r="BJ1555" s="458">
        <v>7.6707366460692317E-2</v>
      </c>
      <c r="BK1555" s="477">
        <v>77712189.72494629</v>
      </c>
      <c r="BL1555" s="458">
        <v>0.26331358506158886</v>
      </c>
      <c r="BM1555" s="468">
        <v>10.495317073206078</v>
      </c>
    </row>
    <row r="1556" spans="12:65" x14ac:dyDescent="0.3">
      <c r="L1556" s="427">
        <v>5042884.4578999998</v>
      </c>
      <c r="BE1556" s="477">
        <v>4484497.167629079</v>
      </c>
      <c r="BF1556" s="458">
        <v>4.1133884453802727E-2</v>
      </c>
      <c r="BG1556" s="477">
        <v>6423012.087774232</v>
      </c>
      <c r="BH1556" s="458">
        <v>6.3683379845713706E-2</v>
      </c>
      <c r="BI1556" s="477">
        <v>19511080.79926141</v>
      </c>
      <c r="BJ1556" s="458">
        <v>0.11500935827691428</v>
      </c>
      <c r="BK1556" s="477">
        <v>82177139.862035394</v>
      </c>
      <c r="BL1556" s="458">
        <v>0.288646367342829</v>
      </c>
      <c r="BM1556" s="468">
        <v>2.8573708550531496</v>
      </c>
    </row>
    <row r="1557" spans="12:65" x14ac:dyDescent="0.3">
      <c r="L1557" s="427">
        <v>4619425.5378999999</v>
      </c>
      <c r="BE1557" s="477">
        <v>5087186.308503747</v>
      </c>
      <c r="BF1557" s="458">
        <v>3.4275610852426253E-2</v>
      </c>
      <c r="BG1557" s="477">
        <v>8828590.1779526249</v>
      </c>
      <c r="BH1557" s="458">
        <v>6.6490663796445748E-2</v>
      </c>
      <c r="BI1557" s="477">
        <v>22511954.603603277</v>
      </c>
      <c r="BJ1557" s="458">
        <v>0.11274900973222701</v>
      </c>
      <c r="BK1557" s="477">
        <v>88979344.689480543</v>
      </c>
      <c r="BL1557" s="458">
        <v>0.26767262652975576</v>
      </c>
      <c r="BM1557" s="468">
        <v>8.0339379918258587</v>
      </c>
    </row>
    <row r="1558" spans="12:65" x14ac:dyDescent="0.3">
      <c r="L1558" s="427">
        <v>13004804.911699999</v>
      </c>
      <c r="BE1558" s="477">
        <v>5913279.5148417167</v>
      </c>
      <c r="BF1558" s="458">
        <v>4.4988541823751893E-2</v>
      </c>
      <c r="BG1558" s="477">
        <v>9372347.6268082093</v>
      </c>
      <c r="BH1558" s="458">
        <v>7.4415711213570601E-2</v>
      </c>
      <c r="BI1558" s="477">
        <v>12189669.198692333</v>
      </c>
      <c r="BJ1558" s="458">
        <v>0.1099876233758792</v>
      </c>
      <c r="BK1558" s="477">
        <v>88403241.893186271</v>
      </c>
      <c r="BL1558" s="458">
        <v>0.2990888810362049</v>
      </c>
      <c r="BM1558" s="468">
        <v>12.103757363723119</v>
      </c>
    </row>
    <row r="1559" spans="12:65" x14ac:dyDescent="0.3">
      <c r="L1559" s="427">
        <v>19511698.181299999</v>
      </c>
      <c r="BE1559" s="477">
        <v>1593012.564392522</v>
      </c>
      <c r="BF1559" s="458">
        <v>3.6395366488435998E-2</v>
      </c>
      <c r="BG1559" s="477">
        <v>5843303.3604970202</v>
      </c>
      <c r="BH1559" s="458">
        <v>9.2784699838397877E-2</v>
      </c>
      <c r="BI1559" s="477">
        <v>11055022.761963515</v>
      </c>
      <c r="BJ1559" s="458">
        <v>0.11840234397189153</v>
      </c>
      <c r="BK1559" s="477">
        <v>83549201.038792804</v>
      </c>
      <c r="BL1559" s="458">
        <v>0.2936022447709028</v>
      </c>
      <c r="BM1559" s="468">
        <v>5.24985054577032</v>
      </c>
    </row>
    <row r="1560" spans="12:65" x14ac:dyDescent="0.3">
      <c r="L1560" s="427">
        <v>1577360.8796000001</v>
      </c>
      <c r="BE1560" s="477">
        <v>4470038.4261210654</v>
      </c>
      <c r="BF1560" s="458">
        <v>3.7139097422262068E-2</v>
      </c>
      <c r="BG1560" s="477">
        <v>7411789.789526633</v>
      </c>
      <c r="BH1560" s="458">
        <v>7.1230706514145314E-2</v>
      </c>
      <c r="BI1560" s="477">
        <v>19988267.552355643</v>
      </c>
      <c r="BJ1560" s="458">
        <v>7.6968983569100313E-2</v>
      </c>
      <c r="BK1560" s="477">
        <v>92981702.989225298</v>
      </c>
      <c r="BL1560" s="458">
        <v>0.26854538832817965</v>
      </c>
      <c r="BM1560" s="468">
        <v>4.5016169310189458</v>
      </c>
    </row>
    <row r="1561" spans="12:65" x14ac:dyDescent="0.3">
      <c r="L1561" s="427">
        <v>9317332.7224000003</v>
      </c>
      <c r="BE1561" s="477">
        <v>4994174.4202480139</v>
      </c>
      <c r="BF1561" s="458">
        <v>2.1437581186239285E-2</v>
      </c>
      <c r="BG1561" s="477">
        <v>8422352.3870580085</v>
      </c>
      <c r="BH1561" s="458">
        <v>5.5744490452855233E-2</v>
      </c>
      <c r="BI1561" s="477">
        <v>16904080.354494102</v>
      </c>
      <c r="BJ1561" s="458">
        <v>0.10694257568222998</v>
      </c>
      <c r="BK1561" s="477">
        <v>85996807.955189213</v>
      </c>
      <c r="BL1561" s="458">
        <v>0.26264083361863699</v>
      </c>
      <c r="BM1561" s="468">
        <v>10.372487801039306</v>
      </c>
    </row>
    <row r="1562" spans="12:65" x14ac:dyDescent="0.3">
      <c r="L1562" s="427">
        <v>8209464.8194000004</v>
      </c>
      <c r="BE1562" s="477">
        <v>7844018.3923270525</v>
      </c>
      <c r="BF1562" s="458">
        <v>3.2807632195949177E-2</v>
      </c>
      <c r="BG1562" s="477">
        <v>9558692.4013922829</v>
      </c>
      <c r="BH1562" s="458">
        <v>5.0336490874458573E-2</v>
      </c>
      <c r="BI1562" s="477">
        <v>16569075.734503219</v>
      </c>
      <c r="BJ1562" s="458">
        <v>0.11414452207831349</v>
      </c>
      <c r="BK1562" s="477">
        <v>75536002.244445875</v>
      </c>
      <c r="BL1562" s="458">
        <v>0.27447288709775375</v>
      </c>
      <c r="BM1562" s="468">
        <v>8.2097500912527543</v>
      </c>
    </row>
    <row r="1563" spans="12:65" x14ac:dyDescent="0.3">
      <c r="L1563" s="427">
        <v>17252815.1019</v>
      </c>
      <c r="BE1563" s="477">
        <v>3001998.1996574351</v>
      </c>
      <c r="BF1563" s="458">
        <v>4.3111934642577676E-2</v>
      </c>
      <c r="BG1563" s="477">
        <v>5879795.9659737479</v>
      </c>
      <c r="BH1563" s="458">
        <v>8.3871634762240577E-2</v>
      </c>
      <c r="BI1563" s="477">
        <v>13125781.776207399</v>
      </c>
      <c r="BJ1563" s="458">
        <v>0.11793154770180325</v>
      </c>
      <c r="BK1563" s="477">
        <v>77372501.755586386</v>
      </c>
      <c r="BL1563" s="458">
        <v>0.29270183849306619</v>
      </c>
      <c r="BM1563" s="468">
        <v>4.9733240873174731</v>
      </c>
    </row>
    <row r="1564" spans="12:65" x14ac:dyDescent="0.3">
      <c r="L1564" s="427">
        <v>9668280.2927999999</v>
      </c>
      <c r="BE1564" s="477">
        <v>4440943.6868512733</v>
      </c>
      <c r="BF1564" s="458">
        <v>2.6597158159788137E-2</v>
      </c>
      <c r="BG1564" s="477">
        <v>9281470.6345317699</v>
      </c>
      <c r="BH1564" s="458">
        <v>6.0739634905176532E-2</v>
      </c>
      <c r="BI1564" s="477">
        <v>19441702.4591722</v>
      </c>
      <c r="BJ1564" s="458">
        <v>9.5228181271147738E-2</v>
      </c>
      <c r="BK1564" s="477">
        <v>86934591.049620688</v>
      </c>
      <c r="BL1564" s="458">
        <v>0.26296961836092492</v>
      </c>
      <c r="BM1564" s="468">
        <v>-1.5653701455581981E-2</v>
      </c>
    </row>
    <row r="1565" spans="12:65" x14ac:dyDescent="0.3">
      <c r="L1565" s="427">
        <v>24431512.583500002</v>
      </c>
      <c r="BE1565" s="477">
        <v>4558841.9165479243</v>
      </c>
      <c r="BF1565" s="458">
        <v>3.3796272050398812E-2</v>
      </c>
      <c r="BG1565" s="477">
        <v>6792161.7296178052</v>
      </c>
      <c r="BH1565" s="458">
        <v>6.1492513453177855E-2</v>
      </c>
      <c r="BI1565" s="477">
        <v>19509242.578770146</v>
      </c>
      <c r="BJ1565" s="458">
        <v>0.10379069084196302</v>
      </c>
      <c r="BK1565" s="477">
        <v>75206784.350056842</v>
      </c>
      <c r="BL1565" s="458">
        <v>0.24867665094298297</v>
      </c>
      <c r="BM1565" s="468">
        <v>10.152058488289674</v>
      </c>
    </row>
    <row r="1566" spans="12:65" x14ac:dyDescent="0.3">
      <c r="L1566" s="427">
        <v>-2392508.5263999999</v>
      </c>
      <c r="BE1566" s="477">
        <v>4187139.6087651951</v>
      </c>
      <c r="BF1566" s="458">
        <v>5.313371538385514E-2</v>
      </c>
      <c r="BG1566" s="477">
        <v>10814041.323510645</v>
      </c>
      <c r="BH1566" s="458">
        <v>6.7050178856514764E-2</v>
      </c>
      <c r="BI1566" s="477">
        <v>21569799.018545456</v>
      </c>
      <c r="BJ1566" s="458">
        <v>0.11255349536265769</v>
      </c>
      <c r="BK1566" s="477">
        <v>84892780.891981646</v>
      </c>
      <c r="BL1566" s="458">
        <v>0.28483945359779783</v>
      </c>
      <c r="BM1566" s="468">
        <v>8.5278147616828743</v>
      </c>
    </row>
    <row r="1567" spans="12:65" x14ac:dyDescent="0.3">
      <c r="L1567" s="427">
        <v>19474187.232299998</v>
      </c>
      <c r="BE1567" s="477">
        <v>8647367.1112174504</v>
      </c>
      <c r="BF1567" s="458">
        <v>5.98617850650216E-2</v>
      </c>
      <c r="BG1567" s="477">
        <v>10314764.524185738</v>
      </c>
      <c r="BH1567" s="458">
        <v>5.4766011051879282E-2</v>
      </c>
      <c r="BI1567" s="477">
        <v>17707624.476022784</v>
      </c>
      <c r="BJ1567" s="458">
        <v>0.10612306057935017</v>
      </c>
      <c r="BK1567" s="477">
        <v>100921562.05147435</v>
      </c>
      <c r="BL1567" s="458">
        <v>0.29157293022799013</v>
      </c>
      <c r="BM1567" s="468">
        <v>2.7503786229334848</v>
      </c>
    </row>
    <row r="1568" spans="12:65" x14ac:dyDescent="0.3">
      <c r="L1568" s="427">
        <v>4707212.9939999999</v>
      </c>
      <c r="BE1568" s="477">
        <v>4719603.9267965704</v>
      </c>
      <c r="BF1568" s="458">
        <v>8.0367054668419424E-2</v>
      </c>
      <c r="BG1568" s="477">
        <v>1752150.1227037245</v>
      </c>
      <c r="BH1568" s="458">
        <v>6.4872466035264864E-2</v>
      </c>
      <c r="BI1568" s="477">
        <v>12830604.180083171</v>
      </c>
      <c r="BJ1568" s="458">
        <v>0.12545612728889632</v>
      </c>
      <c r="BK1568" s="477">
        <v>81805763.620694295</v>
      </c>
      <c r="BL1568" s="458">
        <v>0.27731245408012573</v>
      </c>
      <c r="BM1568" s="468">
        <v>11.937306051543141</v>
      </c>
    </row>
    <row r="1569" spans="12:65" x14ac:dyDescent="0.3">
      <c r="L1569" s="427">
        <v>12134411.063999999</v>
      </c>
      <c r="BE1569" s="477">
        <v>7142668.6189097222</v>
      </c>
      <c r="BF1569" s="458">
        <v>5.128958064296385E-2</v>
      </c>
      <c r="BG1569" s="477">
        <v>12091004.845524855</v>
      </c>
      <c r="BH1569" s="458">
        <v>6.3660081918287315E-2</v>
      </c>
      <c r="BI1569" s="477">
        <v>17519977.483086552</v>
      </c>
      <c r="BJ1569" s="458">
        <v>9.0886716105549548E-2</v>
      </c>
      <c r="BK1569" s="477">
        <v>89530411.88750276</v>
      </c>
      <c r="BL1569" s="458">
        <v>0.27204239815411069</v>
      </c>
      <c r="BM1569" s="468">
        <v>7.0190523581534485</v>
      </c>
    </row>
    <row r="1570" spans="12:65" x14ac:dyDescent="0.3">
      <c r="L1570" s="427">
        <v>17292567.897399999</v>
      </c>
      <c r="BE1570" s="477">
        <v>8484871.3116756529</v>
      </c>
      <c r="BF1570" s="458">
        <v>4.0017328138798547E-2</v>
      </c>
      <c r="BG1570" s="477">
        <v>7420417.6758215306</v>
      </c>
      <c r="BH1570" s="458">
        <v>4.0356657504161397E-2</v>
      </c>
      <c r="BI1570" s="477">
        <v>15733616.589874143</v>
      </c>
      <c r="BJ1570" s="458">
        <v>0.12489713025860438</v>
      </c>
      <c r="BK1570" s="477">
        <v>82858372.212652668</v>
      </c>
      <c r="BL1570" s="458">
        <v>0.26235846679274322</v>
      </c>
      <c r="BM1570" s="468">
        <v>5.9549932969709607</v>
      </c>
    </row>
    <row r="1571" spans="12:65" x14ac:dyDescent="0.3">
      <c r="L1571" s="427">
        <v>8138832.4703000002</v>
      </c>
      <c r="BE1571" s="477">
        <v>7893005.0441345368</v>
      </c>
      <c r="BF1571" s="458">
        <v>4.4411637145063798E-2</v>
      </c>
      <c r="BG1571" s="477">
        <v>5873102.3472556788</v>
      </c>
      <c r="BH1571" s="458">
        <v>8.0151168119815708E-2</v>
      </c>
      <c r="BI1571" s="477">
        <v>21765880.07865648</v>
      </c>
      <c r="BJ1571" s="458">
        <v>7.825705748343359E-2</v>
      </c>
      <c r="BK1571" s="477">
        <v>91058542.917687193</v>
      </c>
      <c r="BL1571" s="458">
        <v>0.25134096539093753</v>
      </c>
      <c r="BM1571" s="468">
        <v>9.0679620311608691</v>
      </c>
    </row>
    <row r="1572" spans="12:65" x14ac:dyDescent="0.3">
      <c r="L1572" s="427">
        <v>-11554433.990900001</v>
      </c>
      <c r="BE1572" s="477">
        <v>4021062.0884920964</v>
      </c>
      <c r="BF1572" s="458">
        <v>3.7280103507309592E-2</v>
      </c>
      <c r="BG1572" s="477">
        <v>6251730.2405625917</v>
      </c>
      <c r="BH1572" s="458">
        <v>6.0010223037387789E-2</v>
      </c>
      <c r="BI1572" s="477">
        <v>14333930.732366575</v>
      </c>
      <c r="BJ1572" s="458">
        <v>0.13095617148303118</v>
      </c>
      <c r="BK1572" s="477">
        <v>99203335.53563264</v>
      </c>
      <c r="BL1572" s="458">
        <v>0.28820995801754989</v>
      </c>
      <c r="BM1572" s="468">
        <v>8.9705433605888842</v>
      </c>
    </row>
    <row r="1573" spans="12:65" x14ac:dyDescent="0.3">
      <c r="L1573" s="427">
        <v>1313474.5011</v>
      </c>
      <c r="BE1573" s="477">
        <v>6971641.0218467228</v>
      </c>
      <c r="BF1573" s="458">
        <v>4.4191592349359654E-2</v>
      </c>
      <c r="BG1573" s="477">
        <v>9963160.5931868851</v>
      </c>
      <c r="BH1573" s="458">
        <v>5.6838152510361617E-2</v>
      </c>
      <c r="BI1573" s="477">
        <v>19197732.991983283</v>
      </c>
      <c r="BJ1573" s="458">
        <v>0.11422813663238407</v>
      </c>
      <c r="BK1573" s="477">
        <v>102006109.80923803</v>
      </c>
      <c r="BL1573" s="458">
        <v>0.27419949866186277</v>
      </c>
      <c r="BM1573" s="468">
        <v>8.2058932176924042</v>
      </c>
    </row>
    <row r="1574" spans="12:65" x14ac:dyDescent="0.3">
      <c r="L1574" s="427">
        <v>-4820603.3435000004</v>
      </c>
      <c r="BE1574" s="477">
        <v>4495737.273836677</v>
      </c>
      <c r="BF1574" s="458">
        <v>4.0412571212787629E-2</v>
      </c>
      <c r="BG1574" s="477">
        <v>10338606.492179133</v>
      </c>
      <c r="BH1574" s="458">
        <v>5.7041341000633183E-2</v>
      </c>
      <c r="BI1574" s="477">
        <v>15502284.259871241</v>
      </c>
      <c r="BJ1574" s="458">
        <v>7.9937556686098921E-2</v>
      </c>
      <c r="BK1574" s="477">
        <v>91872277.802958861</v>
      </c>
      <c r="BL1574" s="458">
        <v>0.26592643691766704</v>
      </c>
      <c r="BM1574" s="468">
        <v>6.0852430728194182</v>
      </c>
    </row>
    <row r="1575" spans="12:65" x14ac:dyDescent="0.3">
      <c r="L1575" s="427">
        <v>15805305.275599999</v>
      </c>
      <c r="BE1575" s="477">
        <v>6644499.4628527071</v>
      </c>
      <c r="BF1575" s="458">
        <v>4.4946684649687763E-2</v>
      </c>
      <c r="BG1575" s="477">
        <v>1130489.8640729224</v>
      </c>
      <c r="BH1575" s="458">
        <v>6.5892216332794851E-2</v>
      </c>
      <c r="BI1575" s="477">
        <v>17890208.287316434</v>
      </c>
      <c r="BJ1575" s="458">
        <v>0.13121645289569761</v>
      </c>
      <c r="BK1575" s="477">
        <v>88487664.972065911</v>
      </c>
      <c r="BL1575" s="458">
        <v>0.24982323739236478</v>
      </c>
      <c r="BM1575" s="468">
        <v>11.627391096207642</v>
      </c>
    </row>
    <row r="1576" spans="12:65" x14ac:dyDescent="0.3">
      <c r="L1576" s="427">
        <v>10476395.766799999</v>
      </c>
      <c r="BE1576" s="477">
        <v>7859333.9821227957</v>
      </c>
      <c r="BF1576" s="458">
        <v>6.8391738289479642E-2</v>
      </c>
      <c r="BG1576" s="477">
        <v>12181144.607217588</v>
      </c>
      <c r="BH1576" s="458">
        <v>4.7842853791389972E-2</v>
      </c>
      <c r="BI1576" s="477">
        <v>15469730.397498945</v>
      </c>
      <c r="BJ1576" s="458">
        <v>8.6923921832214646E-2</v>
      </c>
      <c r="BK1576" s="477">
        <v>83634535.392819285</v>
      </c>
      <c r="BL1576" s="458">
        <v>0.30033340015629739</v>
      </c>
      <c r="BM1576" s="468">
        <v>2.1871894620277939</v>
      </c>
    </row>
    <row r="1577" spans="12:65" x14ac:dyDescent="0.3">
      <c r="L1577" s="427">
        <v>18670590.191199999</v>
      </c>
      <c r="BE1577" s="477">
        <v>128559.81398772301</v>
      </c>
      <c r="BF1577" s="458">
        <v>3.1761430603195029E-2</v>
      </c>
      <c r="BG1577" s="477">
        <v>12992070.305850044</v>
      </c>
      <c r="BH1577" s="458">
        <v>8.5331982350648206E-2</v>
      </c>
      <c r="BI1577" s="477">
        <v>20093142.650614943</v>
      </c>
      <c r="BJ1577" s="458">
        <v>0.11238982115978668</v>
      </c>
      <c r="BK1577" s="477">
        <v>90626671.394634277</v>
      </c>
      <c r="BL1577" s="458">
        <v>0.28080838920823425</v>
      </c>
      <c r="BM1577" s="468">
        <v>9.9133138276842026</v>
      </c>
    </row>
    <row r="1578" spans="12:65" x14ac:dyDescent="0.3">
      <c r="L1578" s="427">
        <v>17699809.844099998</v>
      </c>
      <c r="BE1578" s="477">
        <v>2907536.6600473267</v>
      </c>
      <c r="BF1578" s="458">
        <v>4.1550479354050429E-2</v>
      </c>
      <c r="BG1578" s="477">
        <v>7082303.2443652907</v>
      </c>
      <c r="BH1578" s="458">
        <v>9.7343092968909417E-2</v>
      </c>
      <c r="BI1578" s="477">
        <v>13777044.141954632</v>
      </c>
      <c r="BJ1578" s="458">
        <v>0.10900543484331338</v>
      </c>
      <c r="BK1578" s="477">
        <v>103744559.85532951</v>
      </c>
      <c r="BL1578" s="458">
        <v>0.26743012191483673</v>
      </c>
      <c r="BM1578" s="468">
        <v>3.7508886637746954</v>
      </c>
    </row>
    <row r="1579" spans="12:65" x14ac:dyDescent="0.3">
      <c r="L1579" s="427">
        <v>23812746.229800001</v>
      </c>
      <c r="BE1579" s="477">
        <v>3869163.4436226194</v>
      </c>
      <c r="BF1579" s="458">
        <v>4.1667196008436491E-2</v>
      </c>
      <c r="BG1579" s="477">
        <v>5411226.4006771632</v>
      </c>
      <c r="BH1579" s="458">
        <v>5.3992930140832618E-2</v>
      </c>
      <c r="BI1579" s="477">
        <v>12813201.554888317</v>
      </c>
      <c r="BJ1579" s="458">
        <v>0.11970642550610111</v>
      </c>
      <c r="BK1579" s="477">
        <v>94720236.084921017</v>
      </c>
      <c r="BL1579" s="458">
        <v>0.27271488454163095</v>
      </c>
      <c r="BM1579" s="468">
        <v>3.9504322897032145</v>
      </c>
    </row>
    <row r="1580" spans="12:65" x14ac:dyDescent="0.3">
      <c r="L1580" s="427">
        <v>5080947.4550999999</v>
      </c>
      <c r="BE1580" s="477">
        <v>1433138.6187545566</v>
      </c>
      <c r="BF1580" s="458">
        <v>2.5944121430125922E-2</v>
      </c>
      <c r="BG1580" s="477">
        <v>4459484.8893712135</v>
      </c>
      <c r="BH1580" s="458">
        <v>8.2620250327655631E-2</v>
      </c>
      <c r="BI1580" s="477">
        <v>6220142.5722397864</v>
      </c>
      <c r="BJ1580" s="458">
        <v>0.11977153846872524</v>
      </c>
      <c r="BK1580" s="477">
        <v>109787639.35590759</v>
      </c>
      <c r="BL1580" s="458">
        <v>0.26818787887603124</v>
      </c>
      <c r="BM1580" s="468">
        <v>7.431163768555443</v>
      </c>
    </row>
    <row r="1581" spans="12:65" x14ac:dyDescent="0.3">
      <c r="L1581" s="427">
        <v>-705548.99459999998</v>
      </c>
      <c r="BE1581" s="477">
        <v>5671463.3778663892</v>
      </c>
      <c r="BF1581" s="458">
        <v>5.8095464294104948E-2</v>
      </c>
      <c r="BG1581" s="477">
        <v>8865519.1725623328</v>
      </c>
      <c r="BH1581" s="458">
        <v>6.441730183845884E-2</v>
      </c>
      <c r="BI1581" s="477">
        <v>12603449.511118425</v>
      </c>
      <c r="BJ1581" s="458">
        <v>0.1070278697945215</v>
      </c>
      <c r="BK1581" s="477">
        <v>85838160.347324133</v>
      </c>
      <c r="BL1581" s="458">
        <v>0.25572809142486275</v>
      </c>
      <c r="BM1581" s="468">
        <v>4.6861155518588431</v>
      </c>
    </row>
    <row r="1582" spans="12:65" x14ac:dyDescent="0.3">
      <c r="L1582" s="427">
        <v>-4736701.0685999999</v>
      </c>
      <c r="BE1582" s="477">
        <v>5770938.2942385543</v>
      </c>
      <c r="BF1582" s="458">
        <v>3.185828322877704E-2</v>
      </c>
      <c r="BG1582" s="477">
        <v>6050886.0454428913</v>
      </c>
      <c r="BH1582" s="458">
        <v>5.2603096908828251E-2</v>
      </c>
      <c r="BI1582" s="477">
        <v>22645152.294749755</v>
      </c>
      <c r="BJ1582" s="458">
        <v>0.10180548158036884</v>
      </c>
      <c r="BK1582" s="477">
        <v>89187413.399035603</v>
      </c>
      <c r="BL1582" s="458">
        <v>0.26517493505634393</v>
      </c>
      <c r="BM1582" s="468">
        <v>10.964127389562131</v>
      </c>
    </row>
    <row r="1583" spans="12:65" x14ac:dyDescent="0.3">
      <c r="L1583" s="427">
        <v>4320340.0526999999</v>
      </c>
      <c r="BE1583" s="477">
        <v>1140386.4287106434</v>
      </c>
      <c r="BF1583" s="458">
        <v>3.9134753342427109E-2</v>
      </c>
      <c r="BG1583" s="477">
        <v>2087685.1031570178</v>
      </c>
      <c r="BH1583" s="458">
        <v>7.986613085272487E-2</v>
      </c>
      <c r="BI1583" s="477">
        <v>12690242.214398129</v>
      </c>
      <c r="BJ1583" s="458">
        <v>9.0764200425838659E-2</v>
      </c>
      <c r="BK1583" s="477">
        <v>84001359.663075998</v>
      </c>
      <c r="BL1583" s="458">
        <v>0.30040163375114948</v>
      </c>
      <c r="BM1583" s="468">
        <v>2.8294833302015299</v>
      </c>
    </row>
    <row r="1584" spans="12:65" x14ac:dyDescent="0.3">
      <c r="L1584" s="427">
        <v>16712570.722899999</v>
      </c>
      <c r="BE1584" s="477">
        <v>3137270.6220204015</v>
      </c>
      <c r="BF1584" s="458">
        <v>2.2843877362937137E-2</v>
      </c>
      <c r="BG1584" s="477">
        <v>9843873.046508098</v>
      </c>
      <c r="BH1584" s="458">
        <v>5.6895011369830994E-2</v>
      </c>
      <c r="BI1584" s="477">
        <v>13080099.441509284</v>
      </c>
      <c r="BJ1584" s="458">
        <v>0.11323901695191174</v>
      </c>
      <c r="BK1584" s="477">
        <v>90930933.586524278</v>
      </c>
      <c r="BL1584" s="458">
        <v>0.28093986820981764</v>
      </c>
      <c r="BM1584" s="468">
        <v>11.186578978325885</v>
      </c>
    </row>
    <row r="1585" spans="12:65" x14ac:dyDescent="0.3">
      <c r="L1585" s="427">
        <v>16187969.9802</v>
      </c>
      <c r="BE1585" s="477">
        <v>3504815.9067883226</v>
      </c>
      <c r="BF1585" s="458">
        <v>4.6304100128676362E-2</v>
      </c>
      <c r="BG1585" s="477">
        <v>8476779.5625482854</v>
      </c>
      <c r="BH1585" s="458">
        <v>5.2019233729017511E-2</v>
      </c>
      <c r="BI1585" s="477">
        <v>11163238.538626306</v>
      </c>
      <c r="BJ1585" s="458">
        <v>9.0476788743709013E-2</v>
      </c>
      <c r="BK1585" s="477">
        <v>97157019.528865695</v>
      </c>
      <c r="BL1585" s="458">
        <v>0.25395612032219561</v>
      </c>
      <c r="BM1585" s="468">
        <v>0.29944648967221088</v>
      </c>
    </row>
    <row r="1586" spans="12:65" x14ac:dyDescent="0.3">
      <c r="L1586" s="427">
        <v>3772905.8835</v>
      </c>
      <c r="BE1586" s="477">
        <v>7831527.1424034741</v>
      </c>
      <c r="BF1586" s="458">
        <v>7.8097598263743073E-2</v>
      </c>
      <c r="BG1586" s="477">
        <v>8910227.6916447114</v>
      </c>
      <c r="BH1586" s="458">
        <v>0.10432526493153849</v>
      </c>
      <c r="BI1586" s="477">
        <v>17707921.314693704</v>
      </c>
      <c r="BJ1586" s="458">
        <v>0.11034093620499141</v>
      </c>
      <c r="BK1586" s="477">
        <v>74969357.233446956</v>
      </c>
      <c r="BL1586" s="458">
        <v>0.25861249034249933</v>
      </c>
      <c r="BM1586" s="468">
        <v>5.5007036631437458</v>
      </c>
    </row>
    <row r="1587" spans="12:65" x14ac:dyDescent="0.3">
      <c r="L1587" s="427">
        <v>3881526.4539000001</v>
      </c>
      <c r="BE1587" s="477">
        <v>5572645.3280977234</v>
      </c>
      <c r="BF1587" s="458">
        <v>4.5868834878602049E-2</v>
      </c>
      <c r="BG1587" s="477">
        <v>11977484.247962639</v>
      </c>
      <c r="BH1587" s="458">
        <v>1.0882299757103864E-2</v>
      </c>
      <c r="BI1587" s="477">
        <v>12197334.602734216</v>
      </c>
      <c r="BJ1587" s="458">
        <v>0.1096599390841515</v>
      </c>
      <c r="BK1587" s="477">
        <v>94828810.216409191</v>
      </c>
      <c r="BL1587" s="458">
        <v>0.28676098904241831</v>
      </c>
      <c r="BM1587" s="468">
        <v>5.9492314500758781</v>
      </c>
    </row>
    <row r="1588" spans="12:65" x14ac:dyDescent="0.3">
      <c r="L1588" s="427">
        <v>7310732.5549999997</v>
      </c>
      <c r="BE1588" s="477">
        <v>1324853.6212330903</v>
      </c>
      <c r="BF1588" s="458">
        <v>4.2030056681751304E-2</v>
      </c>
      <c r="BG1588" s="477">
        <v>13322683.707563374</v>
      </c>
      <c r="BH1588" s="458">
        <v>3.0906824950544864E-2</v>
      </c>
      <c r="BI1588" s="477">
        <v>11160099.777237425</v>
      </c>
      <c r="BJ1588" s="458">
        <v>0.11469474366312582</v>
      </c>
      <c r="BK1588" s="477">
        <v>92731053.225236222</v>
      </c>
      <c r="BL1588" s="458">
        <v>0.26525352046892992</v>
      </c>
      <c r="BM1588" s="468">
        <v>4.3274795426148387</v>
      </c>
    </row>
    <row r="1589" spans="12:65" x14ac:dyDescent="0.3">
      <c r="L1589" s="427">
        <v>4645643.6898999996</v>
      </c>
      <c r="BE1589" s="477">
        <v>3528680.5827625217</v>
      </c>
      <c r="BF1589" s="458">
        <v>3.2601191938541829E-2</v>
      </c>
      <c r="BG1589" s="477">
        <v>11756853.347304121</v>
      </c>
      <c r="BH1589" s="458">
        <v>5.5070395710401066E-2</v>
      </c>
      <c r="BI1589" s="477">
        <v>15645487.292174861</v>
      </c>
      <c r="BJ1589" s="458">
        <v>0.11598999082447792</v>
      </c>
      <c r="BK1589" s="477">
        <v>89994564.19685775</v>
      </c>
      <c r="BL1589" s="458">
        <v>0.25021855437710783</v>
      </c>
      <c r="BM1589" s="468">
        <v>9.3583686051721369</v>
      </c>
    </row>
    <row r="1590" spans="12:65" x14ac:dyDescent="0.3">
      <c r="L1590" s="427">
        <v>9716223.3232000005</v>
      </c>
      <c r="BE1590" s="477">
        <v>2431612.6265794151</v>
      </c>
      <c r="BF1590" s="458">
        <v>3.2491286890710125E-2</v>
      </c>
      <c r="BG1590" s="477">
        <v>12078616.430562435</v>
      </c>
      <c r="BH1590" s="458">
        <v>7.7262957071464466E-2</v>
      </c>
      <c r="BI1590" s="477">
        <v>16158908.537486723</v>
      </c>
      <c r="BJ1590" s="458">
        <v>9.2021432618603294E-2</v>
      </c>
      <c r="BK1590" s="477">
        <v>69766321.139156371</v>
      </c>
      <c r="BL1590" s="458">
        <v>0.27309816412049859</v>
      </c>
      <c r="BM1590" s="468">
        <v>11.919047106489213</v>
      </c>
    </row>
    <row r="1591" spans="12:65" x14ac:dyDescent="0.3">
      <c r="L1591" s="427">
        <v>-10289934.8511</v>
      </c>
      <c r="BE1591" s="477">
        <v>1914293.3137540487</v>
      </c>
      <c r="BF1591" s="458">
        <v>4.0148595906099427E-2</v>
      </c>
      <c r="BG1591" s="477">
        <v>8085817.4823019076</v>
      </c>
      <c r="BH1591" s="458">
        <v>7.7507673089828089E-2</v>
      </c>
      <c r="BI1591" s="477">
        <v>14354149.528170632</v>
      </c>
      <c r="BJ1591" s="458">
        <v>0.10955010274357391</v>
      </c>
      <c r="BK1591" s="477">
        <v>99985270.441636726</v>
      </c>
      <c r="BL1591" s="458">
        <v>0.26757613208922404</v>
      </c>
      <c r="BM1591" s="468">
        <v>1.7018964654171693</v>
      </c>
    </row>
    <row r="1592" spans="12:65" x14ac:dyDescent="0.3">
      <c r="L1592" s="427">
        <v>275891.93030000001</v>
      </c>
      <c r="BE1592" s="477">
        <v>5445528.9796528658</v>
      </c>
      <c r="BF1592" s="458">
        <v>6.3183566781101597E-2</v>
      </c>
      <c r="BG1592" s="477">
        <v>4761391.6275322698</v>
      </c>
      <c r="BH1592" s="458">
        <v>5.7073126958487652E-2</v>
      </c>
      <c r="BI1592" s="477">
        <v>22903576.906286381</v>
      </c>
      <c r="BJ1592" s="458">
        <v>9.8450812551180711E-2</v>
      </c>
      <c r="BK1592" s="477">
        <v>99594655.761428252</v>
      </c>
      <c r="BL1592" s="458">
        <v>0.26510529193601462</v>
      </c>
      <c r="BM1592" s="468">
        <v>6.9315340931972198</v>
      </c>
    </row>
    <row r="1593" spans="12:65" x14ac:dyDescent="0.3">
      <c r="L1593" s="427">
        <v>9383829.1581999995</v>
      </c>
      <c r="BE1593" s="477">
        <v>7073525.5014049485</v>
      </c>
      <c r="BF1593" s="458">
        <v>2.9523724647413818E-2</v>
      </c>
      <c r="BG1593" s="477">
        <v>8706919.7227743957</v>
      </c>
      <c r="BH1593" s="458">
        <v>6.0267584696344523E-2</v>
      </c>
      <c r="BI1593" s="477">
        <v>18687729.672097702</v>
      </c>
      <c r="BJ1593" s="458">
        <v>0.14631110129771185</v>
      </c>
      <c r="BK1593" s="477">
        <v>72034247.407108381</v>
      </c>
      <c r="BL1593" s="458">
        <v>0.26202131111968785</v>
      </c>
      <c r="BM1593" s="468">
        <v>10.301389023630033</v>
      </c>
    </row>
    <row r="1594" spans="12:65" x14ac:dyDescent="0.3">
      <c r="L1594" s="427">
        <v>-5593530.4716999996</v>
      </c>
      <c r="BE1594" s="477">
        <v>1644112.4792305916</v>
      </c>
      <c r="BF1594" s="458">
        <v>2.931007221842008E-2</v>
      </c>
      <c r="BG1594" s="477">
        <v>7338892.4370002858</v>
      </c>
      <c r="BH1594" s="458">
        <v>7.9684192412510901E-2</v>
      </c>
      <c r="BI1594" s="477">
        <v>11210049.224188065</v>
      </c>
      <c r="BJ1594" s="458">
        <v>0.12597334680133043</v>
      </c>
      <c r="BK1594" s="477">
        <v>86399582.11093466</v>
      </c>
      <c r="BL1594" s="458">
        <v>0.2620594201637223</v>
      </c>
      <c r="BM1594" s="468">
        <v>8.5103210945188508</v>
      </c>
    </row>
    <row r="1595" spans="12:65" x14ac:dyDescent="0.3">
      <c r="L1595" s="427">
        <v>-4194388.2770999996</v>
      </c>
      <c r="BE1595" s="477">
        <v>2997695.090495639</v>
      </c>
      <c r="BF1595" s="458">
        <v>1.5529980567863255E-2</v>
      </c>
      <c r="BG1595" s="477">
        <v>8995573.9778959118</v>
      </c>
      <c r="BH1595" s="458">
        <v>7.841571213116949E-2</v>
      </c>
      <c r="BI1595" s="477">
        <v>13218973.05354527</v>
      </c>
      <c r="BJ1595" s="458">
        <v>0.11540171122302478</v>
      </c>
      <c r="BK1595" s="477">
        <v>94487561.92032516</v>
      </c>
      <c r="BL1595" s="458">
        <v>0.27380116233493657</v>
      </c>
      <c r="BM1595" s="468">
        <v>10.519493578878837</v>
      </c>
    </row>
    <row r="1596" spans="12:65" x14ac:dyDescent="0.3">
      <c r="L1596" s="427">
        <v>11251278.615</v>
      </c>
      <c r="BE1596" s="477">
        <v>5668191.7112178355</v>
      </c>
      <c r="BF1596" s="458">
        <v>4.3683310649018647E-2</v>
      </c>
      <c r="BG1596" s="477">
        <v>7194009.3645022595</v>
      </c>
      <c r="BH1596" s="458">
        <v>5.9211210795549807E-2</v>
      </c>
      <c r="BI1596" s="477">
        <v>15963842.026946591</v>
      </c>
      <c r="BJ1596" s="458">
        <v>0.11929358365929676</v>
      </c>
      <c r="BK1596" s="477">
        <v>98391691.068507001</v>
      </c>
      <c r="BL1596" s="458">
        <v>0.26286024409596709</v>
      </c>
      <c r="BM1596" s="468">
        <v>10.196959724629924</v>
      </c>
    </row>
    <row r="1597" spans="12:65" x14ac:dyDescent="0.3">
      <c r="L1597" s="427">
        <v>21835867.600900002</v>
      </c>
      <c r="BE1597" s="477">
        <v>5091410.4155885465</v>
      </c>
      <c r="BF1597" s="458">
        <v>2.8598988053827323E-2</v>
      </c>
      <c r="BG1597" s="477">
        <v>5122283.8354487037</v>
      </c>
      <c r="BH1597" s="458">
        <v>5.4557608284702352E-2</v>
      </c>
      <c r="BI1597" s="477">
        <v>14341251.370752152</v>
      </c>
      <c r="BJ1597" s="458">
        <v>0.12295829228495636</v>
      </c>
      <c r="BK1597" s="477">
        <v>100376235.32304032</v>
      </c>
      <c r="BL1597" s="458">
        <v>0.26105655041049336</v>
      </c>
      <c r="BM1597" s="468">
        <v>6.3996788508089422</v>
      </c>
    </row>
    <row r="1598" spans="12:65" x14ac:dyDescent="0.3">
      <c r="L1598" s="427">
        <v>19485832.193399999</v>
      </c>
      <c r="BE1598" s="477">
        <v>4655586.450846999</v>
      </c>
      <c r="BF1598" s="458">
        <v>6.1896966826962219E-2</v>
      </c>
      <c r="BG1598" s="477">
        <v>7630380.4241749449</v>
      </c>
      <c r="BH1598" s="458">
        <v>5.8333469236506952E-2</v>
      </c>
      <c r="BI1598" s="477">
        <v>10109014.094192516</v>
      </c>
      <c r="BJ1598" s="458">
        <v>0.11673336071806784</v>
      </c>
      <c r="BK1598" s="477">
        <v>88830907.065903232</v>
      </c>
      <c r="BL1598" s="458">
        <v>0.26775492190501993</v>
      </c>
      <c r="BM1598" s="468">
        <v>5.6027034206046311</v>
      </c>
    </row>
    <row r="1599" spans="12:65" x14ac:dyDescent="0.3">
      <c r="L1599" s="427">
        <v>-6204720.8805</v>
      </c>
      <c r="BE1599" s="477">
        <v>3963853.7788944431</v>
      </c>
      <c r="BF1599" s="458">
        <v>4.9967531333562798E-2</v>
      </c>
      <c r="BG1599" s="477">
        <v>1221413.4887349708</v>
      </c>
      <c r="BH1599" s="458">
        <v>5.7024510834814635E-2</v>
      </c>
      <c r="BI1599" s="477">
        <v>10326252.060988097</v>
      </c>
      <c r="BJ1599" s="458">
        <v>0.11907061664181917</v>
      </c>
      <c r="BK1599" s="477">
        <v>94543545.859396055</v>
      </c>
      <c r="BL1599" s="458">
        <v>0.2795500691614885</v>
      </c>
      <c r="BM1599" s="468">
        <v>8.2661765601050874</v>
      </c>
    </row>
    <row r="1600" spans="12:65" x14ac:dyDescent="0.3">
      <c r="L1600" s="427">
        <v>10786246.137599999</v>
      </c>
      <c r="BE1600" s="477">
        <v>4690954.4963554032</v>
      </c>
      <c r="BF1600" s="458">
        <v>2.7491902072147356E-2</v>
      </c>
      <c r="BG1600" s="477">
        <v>15175871.417797904</v>
      </c>
      <c r="BH1600" s="458">
        <v>6.2175589407416743E-2</v>
      </c>
      <c r="BI1600" s="477">
        <v>21610481.339457035</v>
      </c>
      <c r="BJ1600" s="458">
        <v>0.10963427986154328</v>
      </c>
      <c r="BK1600" s="477">
        <v>90214625.811913207</v>
      </c>
      <c r="BL1600" s="458">
        <v>0.26491223672002517</v>
      </c>
      <c r="BM1600" s="468">
        <v>14.596819241658281</v>
      </c>
    </row>
    <row r="1601" spans="12:65" x14ac:dyDescent="0.3">
      <c r="L1601" s="427">
        <v>9241373.9997000005</v>
      </c>
      <c r="BE1601" s="477">
        <v>3191279.0274830875</v>
      </c>
      <c r="BF1601" s="458">
        <v>3.4224826811713349E-2</v>
      </c>
      <c r="BG1601" s="477">
        <v>3450245.7805127739</v>
      </c>
      <c r="BH1601" s="458">
        <v>4.7690899010034649E-2</v>
      </c>
      <c r="BI1601" s="477">
        <v>20095349.977316912</v>
      </c>
      <c r="BJ1601" s="458">
        <v>9.0358960451456971E-2</v>
      </c>
      <c r="BK1601" s="477">
        <v>90727019.323701069</v>
      </c>
      <c r="BL1601" s="458">
        <v>0.27733459364140201</v>
      </c>
      <c r="BM1601" s="468">
        <v>8.1964031800332187</v>
      </c>
    </row>
    <row r="1602" spans="12:65" x14ac:dyDescent="0.3">
      <c r="L1602" s="427">
        <v>-317699.16019999998</v>
      </c>
      <c r="BE1602" s="477">
        <v>1302767.6065769508</v>
      </c>
      <c r="BF1602" s="458">
        <v>1.0219809398275492E-2</v>
      </c>
      <c r="BG1602" s="477">
        <v>5514744.7745915186</v>
      </c>
      <c r="BH1602" s="458">
        <v>7.7265279776212115E-2</v>
      </c>
      <c r="BI1602" s="477">
        <v>24955859.4940181</v>
      </c>
      <c r="BJ1602" s="458">
        <v>0.12837338434273993</v>
      </c>
      <c r="BK1602" s="477">
        <v>98907710.544986442</v>
      </c>
      <c r="BL1602" s="458">
        <v>0.29496127900717628</v>
      </c>
      <c r="BM1602" s="468">
        <v>-0.52446036528367657</v>
      </c>
    </row>
    <row r="1603" spans="12:65" x14ac:dyDescent="0.3">
      <c r="L1603" s="427">
        <v>13248986.8605</v>
      </c>
      <c r="BE1603" s="477">
        <v>6907088.7269581789</v>
      </c>
      <c r="BF1603" s="458">
        <v>3.0743089742254481E-2</v>
      </c>
      <c r="BG1603" s="477">
        <v>12088662.079069577</v>
      </c>
      <c r="BH1603" s="458">
        <v>4.1292193124963017E-2</v>
      </c>
      <c r="BI1603" s="477">
        <v>14231203.074626392</v>
      </c>
      <c r="BJ1603" s="458">
        <v>0.11191108653270554</v>
      </c>
      <c r="BK1603" s="477">
        <v>92841775.043116674</v>
      </c>
      <c r="BL1603" s="458">
        <v>0.28846319172840729</v>
      </c>
      <c r="BM1603" s="468">
        <v>9.2366264273431256</v>
      </c>
    </row>
    <row r="1604" spans="12:65" x14ac:dyDescent="0.3">
      <c r="L1604" s="427">
        <v>4888236.085</v>
      </c>
      <c r="BE1604" s="477">
        <v>9106946.3784192055</v>
      </c>
      <c r="BF1604" s="458">
        <v>4.0674178146510531E-2</v>
      </c>
      <c r="BG1604" s="477">
        <v>13258740.073305588</v>
      </c>
      <c r="BH1604" s="458">
        <v>5.9665573968658903E-2</v>
      </c>
      <c r="BI1604" s="477">
        <v>11832667.149506453</v>
      </c>
      <c r="BJ1604" s="458">
        <v>0.11118186871645164</v>
      </c>
      <c r="BK1604" s="477">
        <v>82898797.877584785</v>
      </c>
      <c r="BL1604" s="458">
        <v>0.28834606500115711</v>
      </c>
      <c r="BM1604" s="468">
        <v>4.0290462834798335</v>
      </c>
    </row>
    <row r="1605" spans="12:65" x14ac:dyDescent="0.3">
      <c r="L1605" s="427">
        <v>11900247.8101</v>
      </c>
      <c r="BE1605" s="477">
        <v>3866975.9782777382</v>
      </c>
      <c r="BF1605" s="458">
        <v>5.7456645782860694E-2</v>
      </c>
      <c r="BG1605" s="477">
        <v>11384957.01129722</v>
      </c>
      <c r="BH1605" s="458">
        <v>8.2140909637080206E-2</v>
      </c>
      <c r="BI1605" s="477">
        <v>19545827.843915895</v>
      </c>
      <c r="BJ1605" s="458">
        <v>0.1143803070833207</v>
      </c>
      <c r="BK1605" s="477">
        <v>88005589.186995834</v>
      </c>
      <c r="BL1605" s="458">
        <v>0.26524188144064298</v>
      </c>
      <c r="BM1605" s="468">
        <v>8.1391203642991865</v>
      </c>
    </row>
    <row r="1606" spans="12:65" x14ac:dyDescent="0.3">
      <c r="L1606" s="427">
        <v>6754808.7147000004</v>
      </c>
      <c r="BE1606" s="477">
        <v>4018425.3097959477</v>
      </c>
      <c r="BF1606" s="458">
        <v>3.6478390186885923E-2</v>
      </c>
      <c r="BG1606" s="477">
        <v>13609125.99038426</v>
      </c>
      <c r="BH1606" s="458">
        <v>7.791439151617463E-2</v>
      </c>
      <c r="BI1606" s="477">
        <v>23675712.618530229</v>
      </c>
      <c r="BJ1606" s="458">
        <v>0.12941297060011614</v>
      </c>
      <c r="BK1606" s="477">
        <v>76824536.8534863</v>
      </c>
      <c r="BL1606" s="458">
        <v>0.26733636562754604</v>
      </c>
      <c r="BM1606" s="468">
        <v>10.002940928436201</v>
      </c>
    </row>
    <row r="1607" spans="12:65" x14ac:dyDescent="0.3">
      <c r="L1607" s="427">
        <v>12637297.0101</v>
      </c>
      <c r="BE1607" s="477">
        <v>5130528.406378028</v>
      </c>
      <c r="BF1607" s="458">
        <v>3.9718717913588497E-2</v>
      </c>
      <c r="BG1607" s="477">
        <v>390152.51800207194</v>
      </c>
      <c r="BH1607" s="458">
        <v>7.2934968861755989E-2</v>
      </c>
      <c r="BI1607" s="477">
        <v>22202872.795405995</v>
      </c>
      <c r="BJ1607" s="458">
        <v>0.11927661762614661</v>
      </c>
      <c r="BK1607" s="477">
        <v>81605831.180607617</v>
      </c>
      <c r="BL1607" s="458">
        <v>0.32397644390668789</v>
      </c>
      <c r="BM1607" s="468">
        <v>9.016982534139748</v>
      </c>
    </row>
    <row r="1608" spans="12:65" x14ac:dyDescent="0.3">
      <c r="L1608" s="427">
        <v>9918105.7569999993</v>
      </c>
      <c r="BE1608" s="477">
        <v>5276474.0433367258</v>
      </c>
      <c r="BF1608" s="458">
        <v>6.8647529931499029E-2</v>
      </c>
      <c r="BG1608" s="477">
        <v>2218566.420956464</v>
      </c>
      <c r="BH1608" s="458">
        <v>6.7028352946184366E-2</v>
      </c>
      <c r="BI1608" s="477">
        <v>19136590.19573611</v>
      </c>
      <c r="BJ1608" s="458">
        <v>0.15573737316111824</v>
      </c>
      <c r="BK1608" s="477">
        <v>89444409.916611686</v>
      </c>
      <c r="BL1608" s="458">
        <v>0.25273983335275396</v>
      </c>
      <c r="BM1608" s="468">
        <v>4.9038442826689419</v>
      </c>
    </row>
    <row r="1609" spans="12:65" x14ac:dyDescent="0.3">
      <c r="L1609" s="427">
        <v>8259142.3119999999</v>
      </c>
      <c r="BE1609" s="477">
        <v>1034260.6283981735</v>
      </c>
      <c r="BF1609" s="458">
        <v>2.6642195290745851E-2</v>
      </c>
      <c r="BG1609" s="477">
        <v>8565227.857936129</v>
      </c>
      <c r="BH1609" s="458">
        <v>8.5526601020779136E-2</v>
      </c>
      <c r="BI1609" s="477">
        <v>16363915.91249611</v>
      </c>
      <c r="BJ1609" s="458">
        <v>9.6667978051494297E-2</v>
      </c>
      <c r="BK1609" s="477">
        <v>76381463.712862715</v>
      </c>
      <c r="BL1609" s="458">
        <v>0.27300224167397191</v>
      </c>
      <c r="BM1609" s="468">
        <v>10.159489186967768</v>
      </c>
    </row>
    <row r="1610" spans="12:65" x14ac:dyDescent="0.3">
      <c r="L1610" s="427">
        <v>7084039.3037</v>
      </c>
      <c r="BE1610" s="477">
        <v>3899785.0949875051</v>
      </c>
      <c r="BF1610" s="458">
        <v>4.0130508939579368E-2</v>
      </c>
      <c r="BG1610" s="477">
        <v>11627500.122199131</v>
      </c>
      <c r="BH1610" s="458">
        <v>5.9138067456109278E-2</v>
      </c>
      <c r="BI1610" s="477">
        <v>22502742.113383066</v>
      </c>
      <c r="BJ1610" s="458">
        <v>0.10560534397795496</v>
      </c>
      <c r="BK1610" s="477">
        <v>95539028.372170419</v>
      </c>
      <c r="BL1610" s="458">
        <v>0.2668832223189721</v>
      </c>
      <c r="BM1610" s="468">
        <v>14.026095426037278</v>
      </c>
    </row>
    <row r="1611" spans="12:65" x14ac:dyDescent="0.3">
      <c r="L1611" s="427">
        <v>-7735349.3381000003</v>
      </c>
      <c r="BE1611" s="477">
        <v>5742772.8796478696</v>
      </c>
      <c r="BF1611" s="458">
        <v>4.0051224270027719E-2</v>
      </c>
      <c r="BG1611" s="477">
        <v>6650045.8702713996</v>
      </c>
      <c r="BH1611" s="458">
        <v>8.7386817860868327E-2</v>
      </c>
      <c r="BI1611" s="477">
        <v>11017456.877255078</v>
      </c>
      <c r="BJ1611" s="458">
        <v>0.10346184246953261</v>
      </c>
      <c r="BK1611" s="477">
        <v>87072919.105133697</v>
      </c>
      <c r="BL1611" s="458">
        <v>0.26590640812850053</v>
      </c>
      <c r="BM1611" s="468">
        <v>13.090644579099706</v>
      </c>
    </row>
    <row r="1612" spans="12:65" x14ac:dyDescent="0.3">
      <c r="L1612" s="427">
        <v>-3852295.5454000002</v>
      </c>
      <c r="BE1612" s="477">
        <v>6524522.7293986501</v>
      </c>
      <c r="BF1612" s="458">
        <v>4.7586154569835726E-2</v>
      </c>
      <c r="BG1612" s="477">
        <v>4242031.2888913322</v>
      </c>
      <c r="BH1612" s="458">
        <v>9.8348725830026629E-2</v>
      </c>
      <c r="BI1612" s="477">
        <v>18559907.371295884</v>
      </c>
      <c r="BJ1612" s="458">
        <v>0.10838853459785258</v>
      </c>
      <c r="BK1612" s="477">
        <v>76740917.17285201</v>
      </c>
      <c r="BL1612" s="458">
        <v>0.26744088283473455</v>
      </c>
      <c r="BM1612" s="468">
        <v>9.6307270749230653</v>
      </c>
    </row>
    <row r="1613" spans="12:65" x14ac:dyDescent="0.3">
      <c r="L1613" s="427">
        <v>-2969212.9569999999</v>
      </c>
      <c r="BE1613" s="477">
        <v>8998528.4519345574</v>
      </c>
      <c r="BF1613" s="458">
        <v>3.0470667186728306E-2</v>
      </c>
      <c r="BG1613" s="477">
        <v>11091898.874610428</v>
      </c>
      <c r="BH1613" s="458">
        <v>6.759697022317801E-2</v>
      </c>
      <c r="BI1613" s="477">
        <v>15977610.854502285</v>
      </c>
      <c r="BJ1613" s="458">
        <v>0.12213079381383429</v>
      </c>
      <c r="BK1613" s="477">
        <v>90009533.691977218</v>
      </c>
      <c r="BL1613" s="458">
        <v>0.29386308638246028</v>
      </c>
      <c r="BM1613" s="468">
        <v>6.1866765764737375</v>
      </c>
    </row>
    <row r="1614" spans="12:65" x14ac:dyDescent="0.3">
      <c r="L1614" s="427">
        <v>5817792.4484000001</v>
      </c>
      <c r="BE1614" s="477">
        <v>7006133.2230496975</v>
      </c>
      <c r="BF1614" s="458">
        <v>3.7720370281215443E-2</v>
      </c>
      <c r="BG1614" s="477">
        <v>6237478.1917352043</v>
      </c>
      <c r="BH1614" s="458">
        <v>4.1512709720568752E-2</v>
      </c>
      <c r="BI1614" s="477">
        <v>12511077.504550049</v>
      </c>
      <c r="BJ1614" s="458">
        <v>8.2723898796052575E-2</v>
      </c>
      <c r="BK1614" s="477">
        <v>84533477.501623914</v>
      </c>
      <c r="BL1614" s="458">
        <v>0.29491473587184802</v>
      </c>
      <c r="BM1614" s="468">
        <v>12.26008683901712</v>
      </c>
    </row>
    <row r="1615" spans="12:65" x14ac:dyDescent="0.3">
      <c r="L1615" s="427">
        <v>8931285.2415999994</v>
      </c>
      <c r="BE1615" s="477">
        <v>997575.63920707779</v>
      </c>
      <c r="BF1615" s="458">
        <v>5.930820053357988E-2</v>
      </c>
      <c r="BG1615" s="477">
        <v>8287159.9839508552</v>
      </c>
      <c r="BH1615" s="458">
        <v>3.4949238202032662E-2</v>
      </c>
      <c r="BI1615" s="477">
        <v>17291477.615844823</v>
      </c>
      <c r="BJ1615" s="458">
        <v>0.10775535507351219</v>
      </c>
      <c r="BK1615" s="477">
        <v>85839630.150930852</v>
      </c>
      <c r="BL1615" s="458">
        <v>0.26070678232486211</v>
      </c>
      <c r="BM1615" s="468">
        <v>13.973607301771825</v>
      </c>
    </row>
    <row r="1616" spans="12:65" x14ac:dyDescent="0.3">
      <c r="L1616" s="427">
        <v>18095352.294100001</v>
      </c>
      <c r="BE1616" s="477">
        <v>6091534.6738026924</v>
      </c>
      <c r="BF1616" s="458">
        <v>3.2545307596371087E-2</v>
      </c>
      <c r="BG1616" s="477">
        <v>7181374.2741615903</v>
      </c>
      <c r="BH1616" s="458">
        <v>6.0683687578961809E-2</v>
      </c>
      <c r="BI1616" s="477">
        <v>7570232.6858847048</v>
      </c>
      <c r="BJ1616" s="458">
        <v>9.8643277076825076E-2</v>
      </c>
      <c r="BK1616" s="477">
        <v>91722824.47322157</v>
      </c>
      <c r="BL1616" s="458">
        <v>0.24649859337950075</v>
      </c>
      <c r="BM1616" s="468">
        <v>5.8049317017465114</v>
      </c>
    </row>
    <row r="1617" spans="12:65" x14ac:dyDescent="0.3">
      <c r="L1617" s="427">
        <v>14604576.0781</v>
      </c>
      <c r="BE1617" s="477">
        <v>4989408.6404684102</v>
      </c>
      <c r="BF1617" s="458">
        <v>3.9722174472660576E-2</v>
      </c>
      <c r="BG1617" s="477">
        <v>5238051.0993955983</v>
      </c>
      <c r="BH1617" s="458">
        <v>4.520125114778617E-2</v>
      </c>
      <c r="BI1617" s="477">
        <v>15862335.874968551</v>
      </c>
      <c r="BJ1617" s="458">
        <v>0.10777017806831068</v>
      </c>
      <c r="BK1617" s="477">
        <v>92709797.71637629</v>
      </c>
      <c r="BL1617" s="458">
        <v>0.25362454871086992</v>
      </c>
      <c r="BM1617" s="468">
        <v>10.08592680890526</v>
      </c>
    </row>
    <row r="1618" spans="12:65" x14ac:dyDescent="0.3">
      <c r="L1618" s="427">
        <v>11371595.573000001</v>
      </c>
      <c r="BE1618" s="477">
        <v>5275924.6231978489</v>
      </c>
      <c r="BF1618" s="458">
        <v>1.9572942968756335E-2</v>
      </c>
      <c r="BG1618" s="477">
        <v>11318475.144718019</v>
      </c>
      <c r="BH1618" s="458">
        <v>2.6117846646120491E-2</v>
      </c>
      <c r="BI1618" s="477">
        <v>14592861.579330478</v>
      </c>
      <c r="BJ1618" s="458">
        <v>8.725730798161857E-2</v>
      </c>
      <c r="BK1618" s="477">
        <v>89125220.295745358</v>
      </c>
      <c r="BL1618" s="458">
        <v>0.27550513331981241</v>
      </c>
      <c r="BM1618" s="468">
        <v>6.5400731856465812</v>
      </c>
    </row>
    <row r="1619" spans="12:65" x14ac:dyDescent="0.3">
      <c r="L1619" s="427">
        <v>2969516.8788999999</v>
      </c>
      <c r="BE1619" s="477">
        <v>9431548.6625869535</v>
      </c>
      <c r="BF1619" s="458">
        <v>4.0936685694040076E-2</v>
      </c>
      <c r="BG1619" s="477">
        <v>10729729.137594072</v>
      </c>
      <c r="BH1619" s="458">
        <v>6.2219242078926706E-2</v>
      </c>
      <c r="BI1619" s="477">
        <v>11670662.877222406</v>
      </c>
      <c r="BJ1619" s="458">
        <v>0.10308998608065867</v>
      </c>
      <c r="BK1619" s="477">
        <v>95433804.789164051</v>
      </c>
      <c r="BL1619" s="458">
        <v>0.26273852431822031</v>
      </c>
      <c r="BM1619" s="468">
        <v>7.5175811393627878</v>
      </c>
    </row>
    <row r="1620" spans="12:65" x14ac:dyDescent="0.3">
      <c r="L1620" s="427">
        <v>26325299.019699998</v>
      </c>
      <c r="BE1620" s="477">
        <v>6043303.3128242576</v>
      </c>
      <c r="BF1620" s="458">
        <v>3.918922098650035E-2</v>
      </c>
      <c r="BG1620" s="477">
        <v>9236868.0238468591</v>
      </c>
      <c r="BH1620" s="458">
        <v>2.6529519415519731E-2</v>
      </c>
      <c r="BI1620" s="477">
        <v>17504452.213992752</v>
      </c>
      <c r="BJ1620" s="458">
        <v>0.12743917927421045</v>
      </c>
      <c r="BK1620" s="477">
        <v>92242422.425763488</v>
      </c>
      <c r="BL1620" s="458">
        <v>0.25932053985852432</v>
      </c>
      <c r="BM1620" s="468">
        <v>17.522001790044797</v>
      </c>
    </row>
    <row r="1621" spans="12:65" x14ac:dyDescent="0.3">
      <c r="L1621" s="427">
        <v>30084373.981699999</v>
      </c>
      <c r="BE1621" s="477">
        <v>1944139.8619372039</v>
      </c>
      <c r="BF1621" s="458">
        <v>4.9858985083018004E-2</v>
      </c>
      <c r="BG1621" s="477">
        <v>5252863.7434511492</v>
      </c>
      <c r="BH1621" s="458">
        <v>7.1919051167787185E-2</v>
      </c>
      <c r="BI1621" s="477">
        <v>24293654.242822457</v>
      </c>
      <c r="BJ1621" s="458">
        <v>0.10590569414730555</v>
      </c>
      <c r="BK1621" s="477">
        <v>104997607.39885612</v>
      </c>
      <c r="BL1621" s="458">
        <v>0.2824341656963425</v>
      </c>
      <c r="BM1621" s="468">
        <v>10.569326744651494</v>
      </c>
    </row>
    <row r="1622" spans="12:65" x14ac:dyDescent="0.3">
      <c r="L1622" s="427">
        <v>14733021.267999999</v>
      </c>
      <c r="BE1622" s="477">
        <v>11266504.480344001</v>
      </c>
      <c r="BF1622" s="458">
        <v>6.4290818872414501E-2</v>
      </c>
      <c r="BG1622" s="477">
        <v>-1337827.0478350301</v>
      </c>
      <c r="BH1622" s="458">
        <v>4.9744064026274737E-2</v>
      </c>
      <c r="BI1622" s="477">
        <v>21510775.938184232</v>
      </c>
      <c r="BJ1622" s="458">
        <v>0.1390281779321576</v>
      </c>
      <c r="BK1622" s="477">
        <v>81812175.849187672</v>
      </c>
      <c r="BL1622" s="458">
        <v>0.2627263323508362</v>
      </c>
      <c r="BM1622" s="468">
        <v>11.747275030885483</v>
      </c>
    </row>
    <row r="1623" spans="12:65" x14ac:dyDescent="0.3">
      <c r="L1623" s="427">
        <v>22608734.295400001</v>
      </c>
      <c r="BE1623" s="477">
        <v>3051537.5261903098</v>
      </c>
      <c r="BF1623" s="458">
        <v>6.3973299858004928E-2</v>
      </c>
      <c r="BG1623" s="477">
        <v>8448855.8303991687</v>
      </c>
      <c r="BH1623" s="458">
        <v>5.0038990256633831E-2</v>
      </c>
      <c r="BI1623" s="477">
        <v>14117310.287677111</v>
      </c>
      <c r="BJ1623" s="458">
        <v>8.5963446739456995E-2</v>
      </c>
      <c r="BK1623" s="477">
        <v>94483782.11043027</v>
      </c>
      <c r="BL1623" s="458">
        <v>0.26855065526438038</v>
      </c>
      <c r="BM1623" s="468">
        <v>10.314708953399371</v>
      </c>
    </row>
    <row r="1624" spans="12:65" x14ac:dyDescent="0.3">
      <c r="L1624" s="427">
        <v>19351473.102400001</v>
      </c>
      <c r="BE1624" s="477">
        <v>1003899.4553362094</v>
      </c>
      <c r="BF1624" s="458">
        <v>3.2128335805521102E-2</v>
      </c>
      <c r="BG1624" s="477">
        <v>8943482.9675475154</v>
      </c>
      <c r="BH1624" s="458">
        <v>5.8346794808165292E-2</v>
      </c>
      <c r="BI1624" s="477">
        <v>18693048.946445871</v>
      </c>
      <c r="BJ1624" s="458">
        <v>0.10048834243009619</v>
      </c>
      <c r="BK1624" s="477">
        <v>83750047.061516613</v>
      </c>
      <c r="BL1624" s="458">
        <v>0.26949464784903054</v>
      </c>
      <c r="BM1624" s="468">
        <v>5.0047999978958337</v>
      </c>
    </row>
    <row r="1625" spans="12:65" x14ac:dyDescent="0.3">
      <c r="L1625" s="427">
        <v>12062501.417199999</v>
      </c>
      <c r="BE1625" s="477">
        <v>4796700.628891632</v>
      </c>
      <c r="BF1625" s="458">
        <v>3.9419558218276585E-2</v>
      </c>
      <c r="BG1625" s="477">
        <v>3445511.2849466442</v>
      </c>
      <c r="BH1625" s="458">
        <v>7.2350812279291965E-2</v>
      </c>
      <c r="BI1625" s="477">
        <v>15172705.378747884</v>
      </c>
      <c r="BJ1625" s="458">
        <v>0.1000093584951891</v>
      </c>
      <c r="BK1625" s="477">
        <v>91207094.9350425</v>
      </c>
      <c r="BL1625" s="458">
        <v>0.28952995390899372</v>
      </c>
      <c r="BM1625" s="468">
        <v>11.117987250471167</v>
      </c>
    </row>
    <row r="1626" spans="12:65" x14ac:dyDescent="0.3">
      <c r="L1626" s="427">
        <v>7098316.5088999998</v>
      </c>
      <c r="BE1626" s="477">
        <v>6273340.0839508362</v>
      </c>
      <c r="BF1626" s="458">
        <v>5.5342155854609443E-2</v>
      </c>
      <c r="BG1626" s="477">
        <v>11565840.289723555</v>
      </c>
      <c r="BH1626" s="458">
        <v>5.2098245886087025E-2</v>
      </c>
      <c r="BI1626" s="477">
        <v>25894654.58859466</v>
      </c>
      <c r="BJ1626" s="458">
        <v>0.10404523468551208</v>
      </c>
      <c r="BK1626" s="477">
        <v>100667277.68642706</v>
      </c>
      <c r="BL1626" s="458">
        <v>0.25262996390114378</v>
      </c>
      <c r="BM1626" s="468">
        <v>10.526811656480238</v>
      </c>
    </row>
    <row r="1627" spans="12:65" x14ac:dyDescent="0.3">
      <c r="L1627" s="427">
        <v>11279026.679099999</v>
      </c>
      <c r="BE1627" s="477">
        <v>7664586.0415958539</v>
      </c>
      <c r="BF1627" s="458">
        <v>4.6406309106660881E-2</v>
      </c>
      <c r="BG1627" s="477">
        <v>8098615.5513828294</v>
      </c>
      <c r="BH1627" s="458">
        <v>8.2992213520946212E-2</v>
      </c>
      <c r="BI1627" s="477">
        <v>13912875.914733341</v>
      </c>
      <c r="BJ1627" s="458">
        <v>0.11125856247928367</v>
      </c>
      <c r="BK1627" s="477">
        <v>86649703.43120487</v>
      </c>
      <c r="BL1627" s="458">
        <v>0.29967442222422824</v>
      </c>
      <c r="BM1627" s="468">
        <v>6.8497789468440784</v>
      </c>
    </row>
    <row r="1628" spans="12:65" x14ac:dyDescent="0.3">
      <c r="L1628" s="427">
        <v>12353030.317</v>
      </c>
      <c r="BE1628" s="477">
        <v>5150306.9692768231</v>
      </c>
      <c r="BF1628" s="458">
        <v>5.4924670628069494E-2</v>
      </c>
      <c r="BG1628" s="477">
        <v>13736666.932013188</v>
      </c>
      <c r="BH1628" s="458">
        <v>6.007729213184132E-2</v>
      </c>
      <c r="BI1628" s="477">
        <v>28440151.026996858</v>
      </c>
      <c r="BJ1628" s="458">
        <v>8.1310720283679361E-2</v>
      </c>
      <c r="BK1628" s="477">
        <v>92518829.722364381</v>
      </c>
      <c r="BL1628" s="458">
        <v>0.26167829767620532</v>
      </c>
      <c r="BM1628" s="468">
        <v>5.767894371524644</v>
      </c>
    </row>
    <row r="1629" spans="12:65" x14ac:dyDescent="0.3">
      <c r="L1629" s="427">
        <v>5223705.6281000003</v>
      </c>
      <c r="BE1629" s="477">
        <v>8598952.1117702294</v>
      </c>
      <c r="BF1629" s="458">
        <v>4.1611676470918679E-2</v>
      </c>
      <c r="BG1629" s="477">
        <v>11950590.396263853</v>
      </c>
      <c r="BH1629" s="458">
        <v>9.8129455154343015E-2</v>
      </c>
      <c r="BI1629" s="477">
        <v>14544349.0119291</v>
      </c>
      <c r="BJ1629" s="458">
        <v>0.12267910753520495</v>
      </c>
      <c r="BK1629" s="477">
        <v>86316053.781564042</v>
      </c>
      <c r="BL1629" s="458">
        <v>0.29516377493112222</v>
      </c>
      <c r="BM1629" s="468">
        <v>5.6283138113251168</v>
      </c>
    </row>
    <row r="1630" spans="12:65" x14ac:dyDescent="0.3">
      <c r="L1630" s="427">
        <v>15128457.1954</v>
      </c>
      <c r="BE1630" s="477">
        <v>4150462.5213708673</v>
      </c>
      <c r="BF1630" s="458">
        <v>2.363938063310167E-2</v>
      </c>
      <c r="BG1630" s="477">
        <v>6991049.7236253023</v>
      </c>
      <c r="BH1630" s="458">
        <v>6.2121217073512147E-2</v>
      </c>
      <c r="BI1630" s="477">
        <v>23279282.806973785</v>
      </c>
      <c r="BJ1630" s="458">
        <v>0.12342504353761141</v>
      </c>
      <c r="BK1630" s="477">
        <v>92720420.023223981</v>
      </c>
      <c r="BL1630" s="458">
        <v>0.27979520591549778</v>
      </c>
      <c r="BM1630" s="468">
        <v>5.5844510758162311</v>
      </c>
    </row>
    <row r="1631" spans="12:65" x14ac:dyDescent="0.3">
      <c r="L1631" s="427">
        <v>6954052.4424000001</v>
      </c>
      <c r="BE1631" s="477">
        <v>-516941.57299179718</v>
      </c>
      <c r="BF1631" s="458">
        <v>6.6769988602943364E-2</v>
      </c>
      <c r="BG1631" s="477">
        <v>7388809.0401385101</v>
      </c>
      <c r="BH1631" s="458">
        <v>3.8340121230708846E-2</v>
      </c>
      <c r="BI1631" s="477">
        <v>18326894.920594413</v>
      </c>
      <c r="BJ1631" s="458">
        <v>0.10406788622602803</v>
      </c>
      <c r="BK1631" s="477">
        <v>92873491.244805157</v>
      </c>
      <c r="BL1631" s="458">
        <v>0.27538211743377294</v>
      </c>
      <c r="BM1631" s="468">
        <v>5.9222857509124909</v>
      </c>
    </row>
    <row r="1632" spans="12:65" x14ac:dyDescent="0.3">
      <c r="L1632" s="427">
        <v>10078439.614399999</v>
      </c>
      <c r="BE1632" s="477">
        <v>4228912.8517779652</v>
      </c>
      <c r="BF1632" s="458">
        <v>3.8500750430872754E-2</v>
      </c>
      <c r="BG1632" s="477">
        <v>8707017.7507409733</v>
      </c>
      <c r="BH1632" s="458">
        <v>6.6817620127724409E-2</v>
      </c>
      <c r="BI1632" s="477">
        <v>11796463.30995534</v>
      </c>
      <c r="BJ1632" s="458">
        <v>0.10089201117486968</v>
      </c>
      <c r="BK1632" s="477">
        <v>109920290.04237206</v>
      </c>
      <c r="BL1632" s="458">
        <v>0.27734502545046791</v>
      </c>
      <c r="BM1632" s="468">
        <v>12.079218302220884</v>
      </c>
    </row>
    <row r="1633" spans="12:65" x14ac:dyDescent="0.3">
      <c r="L1633" s="427">
        <v>-1805679.1555000001</v>
      </c>
      <c r="BE1633" s="477">
        <v>5287652.5302028824</v>
      </c>
      <c r="BF1633" s="458">
        <v>1.7628829660196521E-2</v>
      </c>
      <c r="BG1633" s="477">
        <v>17065326.298057232</v>
      </c>
      <c r="BH1633" s="458">
        <v>6.3629517301607708E-2</v>
      </c>
      <c r="BI1633" s="477">
        <v>15274203.853206376</v>
      </c>
      <c r="BJ1633" s="458">
        <v>0.10088891939111533</v>
      </c>
      <c r="BK1633" s="477">
        <v>97944986.901393101</v>
      </c>
      <c r="BL1633" s="458">
        <v>0.26826952056855369</v>
      </c>
      <c r="BM1633" s="468">
        <v>10.177664037533068</v>
      </c>
    </row>
    <row r="1634" spans="12:65" x14ac:dyDescent="0.3">
      <c r="L1634" s="427">
        <v>-8117497.4424000001</v>
      </c>
      <c r="BE1634" s="477">
        <v>6414311.0299558332</v>
      </c>
      <c r="BF1634" s="458">
        <v>4.2237988306177199E-2</v>
      </c>
      <c r="BG1634" s="477">
        <v>15949240.410091573</v>
      </c>
      <c r="BH1634" s="458">
        <v>8.8693256646931617E-2</v>
      </c>
      <c r="BI1634" s="477">
        <v>19972808.145202547</v>
      </c>
      <c r="BJ1634" s="458">
        <v>9.4288567641093168E-2</v>
      </c>
      <c r="BK1634" s="477">
        <v>76810265.077844381</v>
      </c>
      <c r="BL1634" s="458">
        <v>0.26025890269860774</v>
      </c>
      <c r="BM1634" s="468">
        <v>14.568158716561552</v>
      </c>
    </row>
    <row r="1635" spans="12:65" x14ac:dyDescent="0.3">
      <c r="L1635" s="427">
        <v>1547869.8884999999</v>
      </c>
      <c r="BE1635" s="477">
        <v>7946917.327801845</v>
      </c>
      <c r="BF1635" s="458">
        <v>4.9276766968654906E-2</v>
      </c>
      <c r="BG1635" s="477">
        <v>11653804.613119027</v>
      </c>
      <c r="BH1635" s="458">
        <v>8.1889632024545245E-2</v>
      </c>
      <c r="BI1635" s="477">
        <v>22217987.290819213</v>
      </c>
      <c r="BJ1635" s="458">
        <v>0.11930225751725487</v>
      </c>
      <c r="BK1635" s="477">
        <v>104265664.04856257</v>
      </c>
      <c r="BL1635" s="458">
        <v>0.27391584909852162</v>
      </c>
      <c r="BM1635" s="468">
        <v>7.1025647881164122</v>
      </c>
    </row>
    <row r="1636" spans="12:65" x14ac:dyDescent="0.3">
      <c r="L1636" s="427">
        <v>13265328.0207</v>
      </c>
      <c r="BE1636" s="477">
        <v>2215826.1615722845</v>
      </c>
      <c r="BF1636" s="458">
        <v>4.348036229151897E-2</v>
      </c>
      <c r="BG1636" s="477">
        <v>12631787.761146737</v>
      </c>
      <c r="BH1636" s="458">
        <v>5.6810066994459119E-2</v>
      </c>
      <c r="BI1636" s="477">
        <v>18472478.936888773</v>
      </c>
      <c r="BJ1636" s="458">
        <v>0.10212121439575106</v>
      </c>
      <c r="BK1636" s="477">
        <v>92871682.696961239</v>
      </c>
      <c r="BL1636" s="458">
        <v>0.26385843399114339</v>
      </c>
      <c r="BM1636" s="468">
        <v>8.2586254342532843</v>
      </c>
    </row>
    <row r="1637" spans="12:65" x14ac:dyDescent="0.3">
      <c r="L1637" s="427">
        <v>9934974.9671999998</v>
      </c>
      <c r="BE1637" s="477">
        <v>6492823.9154379759</v>
      </c>
      <c r="BF1637" s="458">
        <v>3.1401839873180348E-2</v>
      </c>
      <c r="BG1637" s="477">
        <v>3418618.9236628632</v>
      </c>
      <c r="BH1637" s="458">
        <v>6.3161261032782301E-2</v>
      </c>
      <c r="BI1637" s="477">
        <v>9269381.1118129734</v>
      </c>
      <c r="BJ1637" s="458">
        <v>0.11501572740165678</v>
      </c>
      <c r="BK1637" s="477">
        <v>89380785.238903463</v>
      </c>
      <c r="BL1637" s="458">
        <v>0.253809727574966</v>
      </c>
      <c r="BM1637" s="468">
        <v>14.520003154130436</v>
      </c>
    </row>
    <row r="1638" spans="12:65" x14ac:dyDescent="0.3">
      <c r="L1638" s="427">
        <v>5877643.9855000004</v>
      </c>
      <c r="BE1638" s="477">
        <v>2461644.0029397625</v>
      </c>
      <c r="BF1638" s="458">
        <v>5.135515790133538E-2</v>
      </c>
      <c r="BG1638" s="477">
        <v>16503014.401375143</v>
      </c>
      <c r="BH1638" s="458">
        <v>5.4409148238161453E-2</v>
      </c>
      <c r="BI1638" s="477">
        <v>4479405.153967062</v>
      </c>
      <c r="BJ1638" s="458">
        <v>9.1618796423314386E-2</v>
      </c>
      <c r="BK1638" s="477">
        <v>70633192.835610718</v>
      </c>
      <c r="BL1638" s="458">
        <v>0.26029004123491584</v>
      </c>
      <c r="BM1638" s="468">
        <v>8.7126859659776166</v>
      </c>
    </row>
    <row r="1639" spans="12:65" x14ac:dyDescent="0.3">
      <c r="L1639" s="427">
        <v>6859617.1111000003</v>
      </c>
      <c r="BE1639" s="477">
        <v>5185695.7287270389</v>
      </c>
      <c r="BF1639" s="458">
        <v>3.9495312513934122E-2</v>
      </c>
      <c r="BG1639" s="477">
        <v>11005249.814212617</v>
      </c>
      <c r="BH1639" s="458">
        <v>5.7666802275455176E-2</v>
      </c>
      <c r="BI1639" s="477">
        <v>16400892.031894431</v>
      </c>
      <c r="BJ1639" s="458">
        <v>0.10933909355105387</v>
      </c>
      <c r="BK1639" s="477">
        <v>83195280.103954211</v>
      </c>
      <c r="BL1639" s="458">
        <v>0.28140584047536676</v>
      </c>
      <c r="BM1639" s="468">
        <v>4.2373185870112406</v>
      </c>
    </row>
    <row r="1640" spans="12:65" x14ac:dyDescent="0.3">
      <c r="L1640" s="427">
        <v>9195615.5464999992</v>
      </c>
      <c r="BE1640" s="477">
        <v>6222076.0466200067</v>
      </c>
      <c r="BF1640" s="458">
        <v>5.685665644298199E-2</v>
      </c>
      <c r="BG1640" s="477">
        <v>8558055.3809055816</v>
      </c>
      <c r="BH1640" s="458">
        <v>6.149889564308797E-2</v>
      </c>
      <c r="BI1640" s="477">
        <v>18806803.739372592</v>
      </c>
      <c r="BJ1640" s="458">
        <v>9.6386540441793844E-2</v>
      </c>
      <c r="BK1640" s="477">
        <v>108503571.55150488</v>
      </c>
      <c r="BL1640" s="458">
        <v>0.25486054352717469</v>
      </c>
      <c r="BM1640" s="468">
        <v>5.9159118669360451</v>
      </c>
    </row>
    <row r="1641" spans="12:65" x14ac:dyDescent="0.3">
      <c r="L1641" s="427">
        <v>-4376538.3483999996</v>
      </c>
      <c r="BE1641" s="477">
        <v>2738402.7332396386</v>
      </c>
      <c r="BF1641" s="458">
        <v>6.3185316902059974E-2</v>
      </c>
      <c r="BG1641" s="477">
        <v>3115498.8132803398</v>
      </c>
      <c r="BH1641" s="458">
        <v>2.5810627761634564E-2</v>
      </c>
      <c r="BI1641" s="477">
        <v>7958535.433950969</v>
      </c>
      <c r="BJ1641" s="458">
        <v>0.11233242121695985</v>
      </c>
      <c r="BK1641" s="477">
        <v>93110899.013897941</v>
      </c>
      <c r="BL1641" s="458">
        <v>0.27342814319954845</v>
      </c>
      <c r="BM1641" s="468">
        <v>11.775856004278975</v>
      </c>
    </row>
    <row r="1642" spans="12:65" x14ac:dyDescent="0.3">
      <c r="L1642" s="427">
        <v>6021253.7648</v>
      </c>
      <c r="BE1642" s="477">
        <v>7730809.7248858055</v>
      </c>
      <c r="BF1642" s="458">
        <v>4.4453171239092315E-2</v>
      </c>
      <c r="BG1642" s="477">
        <v>10993116.302480849</v>
      </c>
      <c r="BH1642" s="458">
        <v>7.2097911495889289E-2</v>
      </c>
      <c r="BI1642" s="477">
        <v>19601523.504143249</v>
      </c>
      <c r="BJ1642" s="458">
        <v>0.10877550601182229</v>
      </c>
      <c r="BK1642" s="477">
        <v>96723060.397098422</v>
      </c>
      <c r="BL1642" s="458">
        <v>0.25857161931698203</v>
      </c>
      <c r="BM1642" s="468">
        <v>9.9445988834956136</v>
      </c>
    </row>
    <row r="1643" spans="12:65" x14ac:dyDescent="0.3">
      <c r="L1643" s="427">
        <v>6779873.8232000005</v>
      </c>
      <c r="BE1643" s="477">
        <v>6339812.4988365481</v>
      </c>
      <c r="BF1643" s="458">
        <v>2.2458034004626093E-2</v>
      </c>
      <c r="BG1643" s="477">
        <v>5691013.0899228994</v>
      </c>
      <c r="BH1643" s="458">
        <v>6.8317760782783621E-2</v>
      </c>
      <c r="BI1643" s="477">
        <v>20848968.289611615</v>
      </c>
      <c r="BJ1643" s="458">
        <v>0.10427882788862575</v>
      </c>
      <c r="BK1643" s="477">
        <v>84097288.208757117</v>
      </c>
      <c r="BL1643" s="458">
        <v>0.27448998271856739</v>
      </c>
      <c r="BM1643" s="468">
        <v>5.6550780043172972</v>
      </c>
    </row>
    <row r="1644" spans="12:65" x14ac:dyDescent="0.3">
      <c r="L1644" s="427">
        <v>5225454.2451999998</v>
      </c>
      <c r="BE1644" s="477">
        <v>4725315.2361866841</v>
      </c>
      <c r="BF1644" s="458">
        <v>6.8784596335328185E-2</v>
      </c>
      <c r="BG1644" s="477">
        <v>7810961.0159640815</v>
      </c>
      <c r="BH1644" s="458">
        <v>6.2491966628325235E-2</v>
      </c>
      <c r="BI1644" s="477">
        <v>15145643.753107758</v>
      </c>
      <c r="BJ1644" s="458">
        <v>8.3655500085872969E-2</v>
      </c>
      <c r="BK1644" s="477">
        <v>94718375.627199113</v>
      </c>
      <c r="BL1644" s="458">
        <v>0.27891936327217115</v>
      </c>
      <c r="BM1644" s="468">
        <v>8.513115377093623</v>
      </c>
    </row>
    <row r="1645" spans="12:65" x14ac:dyDescent="0.3">
      <c r="L1645" s="427">
        <v>12595548.2026</v>
      </c>
      <c r="BE1645" s="477">
        <v>4178305.728085679</v>
      </c>
      <c r="BF1645" s="458">
        <v>4.2118941228619144E-2</v>
      </c>
      <c r="BG1645" s="477">
        <v>12503954.334387176</v>
      </c>
      <c r="BH1645" s="458">
        <v>4.9524656596708461E-2</v>
      </c>
      <c r="BI1645" s="477">
        <v>10669283.714216301</v>
      </c>
      <c r="BJ1645" s="458">
        <v>9.525398694666154E-2</v>
      </c>
      <c r="BK1645" s="477">
        <v>81624042.723054409</v>
      </c>
      <c r="BL1645" s="458">
        <v>0.27212239228248469</v>
      </c>
      <c r="BM1645" s="468">
        <v>7.7141452925215708</v>
      </c>
    </row>
    <row r="1646" spans="12:65" x14ac:dyDescent="0.3">
      <c r="L1646" s="427">
        <v>14277549.196599999</v>
      </c>
      <c r="BE1646" s="477">
        <v>1148621.4859291918</v>
      </c>
      <c r="BF1646" s="458">
        <v>3.6443394765976578E-2</v>
      </c>
      <c r="BG1646" s="477">
        <v>10962464.689489795</v>
      </c>
      <c r="BH1646" s="458">
        <v>5.746931361054175E-2</v>
      </c>
      <c r="BI1646" s="477">
        <v>19065490.316983476</v>
      </c>
      <c r="BJ1646" s="458">
        <v>8.809917488087371E-2</v>
      </c>
      <c r="BK1646" s="477">
        <v>90254224.193509623</v>
      </c>
      <c r="BL1646" s="458">
        <v>0.26632821216721414</v>
      </c>
      <c r="BM1646" s="468">
        <v>13.326753691202196</v>
      </c>
    </row>
    <row r="1647" spans="12:65" x14ac:dyDescent="0.3">
      <c r="L1647" s="427">
        <v>2874590.3783999998</v>
      </c>
      <c r="BE1647" s="477">
        <v>7542948.4810147909</v>
      </c>
      <c r="BF1647" s="458">
        <v>4.7227848467039202E-2</v>
      </c>
      <c r="BG1647" s="477">
        <v>10453370.03748728</v>
      </c>
      <c r="BH1647" s="458">
        <v>1.4813952701921984E-2</v>
      </c>
      <c r="BI1647" s="477">
        <v>19680311.152048752</v>
      </c>
      <c r="BJ1647" s="458">
        <v>0.13313199644289053</v>
      </c>
      <c r="BK1647" s="477">
        <v>96066626.060749531</v>
      </c>
      <c r="BL1647" s="458">
        <v>0.29492590082617443</v>
      </c>
      <c r="BM1647" s="468">
        <v>10.895052230266868</v>
      </c>
    </row>
    <row r="1648" spans="12:65" x14ac:dyDescent="0.3">
      <c r="L1648" s="427">
        <v>3508360.6798999999</v>
      </c>
      <c r="BE1648" s="477">
        <v>6509803.6508450834</v>
      </c>
      <c r="BF1648" s="458">
        <v>3.8749177608272678E-2</v>
      </c>
      <c r="BG1648" s="477">
        <v>9089566.4923895597</v>
      </c>
      <c r="BH1648" s="458">
        <v>7.242244776328266E-2</v>
      </c>
      <c r="BI1648" s="477">
        <v>15202051.878055274</v>
      </c>
      <c r="BJ1648" s="458">
        <v>9.8105036404206869E-2</v>
      </c>
      <c r="BK1648" s="477">
        <v>77942757.470693618</v>
      </c>
      <c r="BL1648" s="458">
        <v>0.25947600424048711</v>
      </c>
      <c r="BM1648" s="468">
        <v>9.4779010262697909</v>
      </c>
    </row>
    <row r="1649" spans="12:65" x14ac:dyDescent="0.3">
      <c r="L1649" s="427">
        <v>14332247.435799999</v>
      </c>
      <c r="BE1649" s="477">
        <v>4979938.685983723</v>
      </c>
      <c r="BF1649" s="458">
        <v>4.0902695532415656E-2</v>
      </c>
      <c r="BG1649" s="477">
        <v>4089066.8546201154</v>
      </c>
      <c r="BH1649" s="458">
        <v>7.1749088819732965E-2</v>
      </c>
      <c r="BI1649" s="477">
        <v>12120165.841669809</v>
      </c>
      <c r="BJ1649" s="458">
        <v>0.13217290199192933</v>
      </c>
      <c r="BK1649" s="477">
        <v>98994571.799608856</v>
      </c>
      <c r="BL1649" s="458">
        <v>0.26368480634947944</v>
      </c>
      <c r="BM1649" s="468">
        <v>4.7779706301014286</v>
      </c>
    </row>
    <row r="1650" spans="12:65" x14ac:dyDescent="0.3">
      <c r="L1650" s="427">
        <v>26258034.875700001</v>
      </c>
      <c r="BE1650" s="477">
        <v>2468641.6926340517</v>
      </c>
      <c r="BF1650" s="458">
        <v>2.4989556885535169E-2</v>
      </c>
      <c r="BG1650" s="477">
        <v>7537154.9858576851</v>
      </c>
      <c r="BH1650" s="458">
        <v>7.4605320775274597E-2</v>
      </c>
      <c r="BI1650" s="477">
        <v>13038407.289017119</v>
      </c>
      <c r="BJ1650" s="458">
        <v>8.5199667733182327E-2</v>
      </c>
      <c r="BK1650" s="477">
        <v>89936776.371588379</v>
      </c>
      <c r="BL1650" s="458">
        <v>0.26725642983201703</v>
      </c>
      <c r="BM1650" s="468">
        <v>14.287000640254139</v>
      </c>
    </row>
    <row r="1651" spans="12:65" x14ac:dyDescent="0.3">
      <c r="L1651" s="427">
        <v>19571211.851199999</v>
      </c>
      <c r="BE1651" s="477">
        <v>6015220.6928971261</v>
      </c>
      <c r="BF1651" s="458">
        <v>5.0190881100957263E-2</v>
      </c>
      <c r="BG1651" s="477">
        <v>3977114.8072273401</v>
      </c>
      <c r="BH1651" s="458">
        <v>6.9301597973852935E-2</v>
      </c>
      <c r="BI1651" s="477">
        <v>17170220.489471655</v>
      </c>
      <c r="BJ1651" s="458">
        <v>0.10812815833613998</v>
      </c>
      <c r="BK1651" s="477">
        <v>92831511.258707866</v>
      </c>
      <c r="BL1651" s="458">
        <v>0.26159719453115415</v>
      </c>
      <c r="BM1651" s="468">
        <v>14.575666777725534</v>
      </c>
    </row>
    <row r="1652" spans="12:65" x14ac:dyDescent="0.3">
      <c r="L1652" s="427">
        <v>8862387.4626000002</v>
      </c>
      <c r="BE1652" s="477">
        <v>6292332.7499148799</v>
      </c>
      <c r="BF1652" s="458">
        <v>3.0701021815670249E-2</v>
      </c>
      <c r="BG1652" s="477">
        <v>7271175.9674584195</v>
      </c>
      <c r="BH1652" s="458">
        <v>4.2964262328922587E-2</v>
      </c>
      <c r="BI1652" s="477">
        <v>23865283.56232293</v>
      </c>
      <c r="BJ1652" s="458">
        <v>0.11585030767871651</v>
      </c>
      <c r="BK1652" s="477">
        <v>70354996.400059849</v>
      </c>
      <c r="BL1652" s="458">
        <v>0.28199677647971977</v>
      </c>
      <c r="BM1652" s="468">
        <v>10.940249702106183</v>
      </c>
    </row>
    <row r="1653" spans="12:65" x14ac:dyDescent="0.3">
      <c r="L1653" s="427">
        <v>7629204.3104999997</v>
      </c>
      <c r="BE1653" s="477">
        <v>6378423.9676597044</v>
      </c>
      <c r="BF1653" s="458">
        <v>4.0075484197817923E-2</v>
      </c>
      <c r="BG1653" s="477">
        <v>6661408.4233213337</v>
      </c>
      <c r="BH1653" s="458">
        <v>7.192828644756033E-2</v>
      </c>
      <c r="BI1653" s="477">
        <v>8529625.8762315027</v>
      </c>
      <c r="BJ1653" s="458">
        <v>8.1895000414041963E-2</v>
      </c>
      <c r="BK1653" s="477">
        <v>98258452.220390826</v>
      </c>
      <c r="BL1653" s="458">
        <v>0.26317159309059268</v>
      </c>
      <c r="BM1653" s="468">
        <v>5.8972877421930168</v>
      </c>
    </row>
    <row r="1654" spans="12:65" x14ac:dyDescent="0.3">
      <c r="L1654" s="427">
        <v>-3476263.4353999998</v>
      </c>
      <c r="BE1654" s="477">
        <v>4424649.8291558241</v>
      </c>
      <c r="BF1654" s="458">
        <v>3.4884081655076615E-2</v>
      </c>
      <c r="BG1654" s="477">
        <v>9057353.9866992738</v>
      </c>
      <c r="BH1654" s="458">
        <v>6.4821014486361683E-2</v>
      </c>
      <c r="BI1654" s="477">
        <v>17997652.564309433</v>
      </c>
      <c r="BJ1654" s="458">
        <v>0.11324892250137286</v>
      </c>
      <c r="BK1654" s="477">
        <v>104223995.83147885</v>
      </c>
      <c r="BL1654" s="458">
        <v>0.2866463915663171</v>
      </c>
      <c r="BM1654" s="468">
        <v>6.3206873302612365</v>
      </c>
    </row>
    <row r="1655" spans="12:65" x14ac:dyDescent="0.3">
      <c r="L1655" s="427">
        <v>-4963135.6721999999</v>
      </c>
      <c r="BE1655" s="477">
        <v>4893560.0658865608</v>
      </c>
      <c r="BF1655" s="458">
        <v>2.5180379885144655E-2</v>
      </c>
      <c r="BG1655" s="477">
        <v>-3179066.2110650223</v>
      </c>
      <c r="BH1655" s="458">
        <v>7.3259170430996834E-2</v>
      </c>
      <c r="BI1655" s="477">
        <v>18945978.609602857</v>
      </c>
      <c r="BJ1655" s="458">
        <v>0.12585950315203975</v>
      </c>
      <c r="BK1655" s="477">
        <v>89823554.055541217</v>
      </c>
      <c r="BL1655" s="458">
        <v>0.26580597220712399</v>
      </c>
      <c r="BM1655" s="468">
        <v>1.0589028885636074</v>
      </c>
    </row>
    <row r="1656" spans="12:65" x14ac:dyDescent="0.3">
      <c r="L1656" s="427">
        <v>6171118.0996000003</v>
      </c>
      <c r="BE1656" s="477">
        <v>8950071.753868049</v>
      </c>
      <c r="BF1656" s="458">
        <v>2.2362770870345106E-2</v>
      </c>
      <c r="BG1656" s="477">
        <v>14582538.790565725</v>
      </c>
      <c r="BH1656" s="458">
        <v>8.3149957327500523E-2</v>
      </c>
      <c r="BI1656" s="477">
        <v>17692896.763342429</v>
      </c>
      <c r="BJ1656" s="458">
        <v>9.703340475943123E-2</v>
      </c>
      <c r="BK1656" s="477">
        <v>90110183.64663969</v>
      </c>
      <c r="BL1656" s="458">
        <v>0.25814250851016007</v>
      </c>
      <c r="BM1656" s="468">
        <v>8.7762139562557699</v>
      </c>
    </row>
    <row r="1657" spans="12:65" x14ac:dyDescent="0.3">
      <c r="L1657" s="427">
        <v>27919450.773400001</v>
      </c>
      <c r="BE1657" s="477">
        <v>53248.874209906935</v>
      </c>
      <c r="BF1657" s="458">
        <v>5.0273757961537102E-2</v>
      </c>
      <c r="BG1657" s="477">
        <v>7534738.1146809841</v>
      </c>
      <c r="BH1657" s="458">
        <v>5.9681310474413829E-2</v>
      </c>
      <c r="BI1657" s="477">
        <v>26176960.963235337</v>
      </c>
      <c r="BJ1657" s="458">
        <v>0.10437910719517207</v>
      </c>
      <c r="BK1657" s="477">
        <v>86165999.345966712</v>
      </c>
      <c r="BL1657" s="458">
        <v>0.26850105782745604</v>
      </c>
      <c r="BM1657" s="468">
        <v>12.191171157653127</v>
      </c>
    </row>
    <row r="1658" spans="12:65" x14ac:dyDescent="0.3">
      <c r="L1658" s="427">
        <v>8168718.1073000003</v>
      </c>
      <c r="BE1658" s="477">
        <v>6808943.3267413732</v>
      </c>
      <c r="BF1658" s="458">
        <v>4.0540763420291004E-2</v>
      </c>
      <c r="BG1658" s="477">
        <v>12506180.080810536</v>
      </c>
      <c r="BH1658" s="458">
        <v>6.9686467783022898E-2</v>
      </c>
      <c r="BI1658" s="477">
        <v>18342167.269100592</v>
      </c>
      <c r="BJ1658" s="458">
        <v>8.274745011786977E-2</v>
      </c>
      <c r="BK1658" s="477">
        <v>90734011.378628045</v>
      </c>
      <c r="BL1658" s="458">
        <v>0.28700827665732054</v>
      </c>
      <c r="BM1658" s="468">
        <v>11.109520266053588</v>
      </c>
    </row>
    <row r="1659" spans="12:65" x14ac:dyDescent="0.3">
      <c r="L1659" s="427">
        <v>1822870.3452000001</v>
      </c>
      <c r="BE1659" s="477">
        <v>5336576.794578271</v>
      </c>
      <c r="BF1659" s="458">
        <v>7.0101715378483309E-2</v>
      </c>
      <c r="BG1659" s="477">
        <v>9778459.7335074376</v>
      </c>
      <c r="BH1659" s="458">
        <v>6.4781917776107312E-2</v>
      </c>
      <c r="BI1659" s="477">
        <v>21449490.66954254</v>
      </c>
      <c r="BJ1659" s="458">
        <v>0.11908052606633568</v>
      </c>
      <c r="BK1659" s="477">
        <v>77219462.028723449</v>
      </c>
      <c r="BL1659" s="458">
        <v>0.29820721568666952</v>
      </c>
      <c r="BM1659" s="468">
        <v>10.998163726462437</v>
      </c>
    </row>
    <row r="1660" spans="12:65" x14ac:dyDescent="0.3">
      <c r="L1660" s="427">
        <v>-10388031.5217</v>
      </c>
      <c r="BE1660" s="477">
        <v>4878394.3141683899</v>
      </c>
      <c r="BF1660" s="458">
        <v>3.7767231941661761E-2</v>
      </c>
      <c r="BG1660" s="477">
        <v>7447439.1371886767</v>
      </c>
      <c r="BH1660" s="458">
        <v>7.9427299946390084E-2</v>
      </c>
      <c r="BI1660" s="477">
        <v>13605923.941395143</v>
      </c>
      <c r="BJ1660" s="458">
        <v>0.11766181427077504</v>
      </c>
      <c r="BK1660" s="477">
        <v>83809019.97759144</v>
      </c>
      <c r="BL1660" s="458">
        <v>0.27654730232995051</v>
      </c>
      <c r="BM1660" s="468">
        <v>11.317228981933631</v>
      </c>
    </row>
    <row r="1661" spans="12:65" x14ac:dyDescent="0.3">
      <c r="L1661" s="427">
        <v>20179217.4003</v>
      </c>
      <c r="BE1661" s="477">
        <v>8719991.6542996988</v>
      </c>
      <c r="BF1661" s="458">
        <v>4.6291012920511854E-2</v>
      </c>
      <c r="BG1661" s="477">
        <v>8738362.0818780642</v>
      </c>
      <c r="BH1661" s="458">
        <v>5.3166555119462E-2</v>
      </c>
      <c r="BI1661" s="477">
        <v>10289194.26249893</v>
      </c>
      <c r="BJ1661" s="458">
        <v>0.12283665900867158</v>
      </c>
      <c r="BK1661" s="477">
        <v>77644288.080129623</v>
      </c>
      <c r="BL1661" s="458">
        <v>0.26735347332389692</v>
      </c>
      <c r="BM1661" s="468">
        <v>11.844079439471905</v>
      </c>
    </row>
    <row r="1662" spans="12:65" x14ac:dyDescent="0.3">
      <c r="L1662" s="427">
        <v>19571308.3552</v>
      </c>
      <c r="BE1662" s="477">
        <v>5313626.3544028532</v>
      </c>
      <c r="BF1662" s="458">
        <v>4.6820984037021951E-2</v>
      </c>
      <c r="BG1662" s="477">
        <v>8745552.5728044827</v>
      </c>
      <c r="BH1662" s="458">
        <v>8.809475166403602E-2</v>
      </c>
      <c r="BI1662" s="477">
        <v>16216762.308423772</v>
      </c>
      <c r="BJ1662" s="458">
        <v>0.11777918667575915</v>
      </c>
      <c r="BK1662" s="477">
        <v>79882453.552860171</v>
      </c>
      <c r="BL1662" s="458">
        <v>0.27531824580788289</v>
      </c>
      <c r="BM1662" s="468">
        <v>14.16117346242563</v>
      </c>
    </row>
    <row r="1663" spans="12:65" x14ac:dyDescent="0.3">
      <c r="L1663" s="427">
        <v>-363550.41320000001</v>
      </c>
      <c r="BE1663" s="477">
        <v>-742087.25459967763</v>
      </c>
      <c r="BF1663" s="458">
        <v>5.1359241335182881E-2</v>
      </c>
      <c r="BG1663" s="477">
        <v>14981015.186809128</v>
      </c>
      <c r="BH1663" s="458">
        <v>4.7993508530349116E-2</v>
      </c>
      <c r="BI1663" s="477">
        <v>13917568.068834567</v>
      </c>
      <c r="BJ1663" s="458">
        <v>0.12444942664214498</v>
      </c>
      <c r="BK1663" s="477">
        <v>96404840.214579523</v>
      </c>
      <c r="BL1663" s="458">
        <v>0.25114148781487367</v>
      </c>
      <c r="BM1663" s="468">
        <v>10.288356225695205</v>
      </c>
    </row>
    <row r="1664" spans="12:65" x14ac:dyDescent="0.3">
      <c r="L1664" s="427">
        <v>12607362.037900001</v>
      </c>
      <c r="BE1664" s="477">
        <v>6508629.1033789963</v>
      </c>
      <c r="BF1664" s="458">
        <v>3.6696930155095897E-2</v>
      </c>
      <c r="BG1664" s="477">
        <v>8994882.1662308518</v>
      </c>
      <c r="BH1664" s="458">
        <v>5.6408003725312961E-2</v>
      </c>
      <c r="BI1664" s="477">
        <v>16308718.639464593</v>
      </c>
      <c r="BJ1664" s="458">
        <v>9.7789963148623871E-2</v>
      </c>
      <c r="BK1664" s="477">
        <v>96933425.39734295</v>
      </c>
      <c r="BL1664" s="458">
        <v>0.26574069846765824</v>
      </c>
      <c r="BM1664" s="468">
        <v>8.5111621549406333</v>
      </c>
    </row>
    <row r="1665" spans="12:65" x14ac:dyDescent="0.3">
      <c r="L1665" s="427">
        <v>3247517.8051</v>
      </c>
      <c r="BE1665" s="477">
        <v>2916050.4132685279</v>
      </c>
      <c r="BF1665" s="458">
        <v>1.3538839973568972E-2</v>
      </c>
      <c r="BG1665" s="477">
        <v>11423199.169608185</v>
      </c>
      <c r="BH1665" s="458">
        <v>4.0012629629280649E-2</v>
      </c>
      <c r="BI1665" s="477">
        <v>15535825.434946187</v>
      </c>
      <c r="BJ1665" s="458">
        <v>0.10525853566766785</v>
      </c>
      <c r="BK1665" s="477">
        <v>98250723.574963257</v>
      </c>
      <c r="BL1665" s="458">
        <v>0.25842520126292889</v>
      </c>
      <c r="BM1665" s="468">
        <v>5.3954131674166197</v>
      </c>
    </row>
    <row r="1666" spans="12:65" x14ac:dyDescent="0.3">
      <c r="L1666" s="427">
        <v>16933723.285599999</v>
      </c>
      <c r="BE1666" s="477">
        <v>5019276.1600443413</v>
      </c>
      <c r="BF1666" s="458">
        <v>5.7000397680005754E-2</v>
      </c>
      <c r="BG1666" s="477">
        <v>15526001.966732852</v>
      </c>
      <c r="BH1666" s="458">
        <v>6.8162580508306148E-2</v>
      </c>
      <c r="BI1666" s="477">
        <v>22592592.417813394</v>
      </c>
      <c r="BJ1666" s="458">
        <v>0.10587587934244747</v>
      </c>
      <c r="BK1666" s="477">
        <v>84889652.064837277</v>
      </c>
      <c r="BL1666" s="458">
        <v>0.26221532423174265</v>
      </c>
      <c r="BM1666" s="468">
        <v>17.619651347561437</v>
      </c>
    </row>
    <row r="1667" spans="12:65" x14ac:dyDescent="0.3">
      <c r="L1667" s="427">
        <v>18885948.315099999</v>
      </c>
      <c r="BE1667" s="477">
        <v>5409044.8173708459</v>
      </c>
      <c r="BF1667" s="458">
        <v>3.5510053291303967E-2</v>
      </c>
      <c r="BG1667" s="477">
        <v>10334786.492295511</v>
      </c>
      <c r="BH1667" s="458">
        <v>9.889927661396869E-2</v>
      </c>
      <c r="BI1667" s="477">
        <v>15203706.294566603</v>
      </c>
      <c r="BJ1667" s="458">
        <v>0.11503531654576737</v>
      </c>
      <c r="BK1667" s="477">
        <v>86046982.8353329</v>
      </c>
      <c r="BL1667" s="458">
        <v>0.26813773859368983</v>
      </c>
      <c r="BM1667" s="468">
        <v>3.7874740232090947</v>
      </c>
    </row>
    <row r="1668" spans="12:65" x14ac:dyDescent="0.3">
      <c r="L1668" s="427">
        <v>15643893.906099999</v>
      </c>
      <c r="BE1668" s="477">
        <v>2306239.1503778826</v>
      </c>
      <c r="BF1668" s="458">
        <v>2.0100755866566233E-2</v>
      </c>
      <c r="BG1668" s="477">
        <v>15011678.556803742</v>
      </c>
      <c r="BH1668" s="458">
        <v>5.2860761505346243E-2</v>
      </c>
      <c r="BI1668" s="477">
        <v>12009033.650059594</v>
      </c>
      <c r="BJ1668" s="458">
        <v>9.7466951670858837E-2</v>
      </c>
      <c r="BK1668" s="477">
        <v>94191511.667172432</v>
      </c>
      <c r="BL1668" s="458">
        <v>0.25911238869340369</v>
      </c>
      <c r="BM1668" s="468">
        <v>8.7937460621092605</v>
      </c>
    </row>
    <row r="1669" spans="12:65" x14ac:dyDescent="0.3">
      <c r="L1669" s="427">
        <v>9192385.6173</v>
      </c>
      <c r="BE1669" s="477">
        <v>-347127.29644003924</v>
      </c>
      <c r="BF1669" s="458">
        <v>3.6075213039234111E-2</v>
      </c>
      <c r="BG1669" s="477">
        <v>10522304.067544853</v>
      </c>
      <c r="BH1669" s="458">
        <v>4.2794116715904718E-2</v>
      </c>
      <c r="BI1669" s="477">
        <v>18283324.154496569</v>
      </c>
      <c r="BJ1669" s="458">
        <v>0.11364744407169503</v>
      </c>
      <c r="BK1669" s="477">
        <v>86894217.325595826</v>
      </c>
      <c r="BL1669" s="458">
        <v>0.28320173001829341</v>
      </c>
      <c r="BM1669" s="468">
        <v>11.042033016754626</v>
      </c>
    </row>
    <row r="1670" spans="12:65" x14ac:dyDescent="0.3">
      <c r="L1670" s="427">
        <v>12871601.324999999</v>
      </c>
      <c r="BE1670" s="477">
        <v>6595290.9850490885</v>
      </c>
      <c r="BF1670" s="458">
        <v>4.9824088644193187E-2</v>
      </c>
      <c r="BG1670" s="477">
        <v>8944133.1688392274</v>
      </c>
      <c r="BH1670" s="458">
        <v>4.638193961435344E-2</v>
      </c>
      <c r="BI1670" s="477">
        <v>19078696.725063533</v>
      </c>
      <c r="BJ1670" s="458">
        <v>9.6476885642586385E-2</v>
      </c>
      <c r="BK1670" s="477">
        <v>97075015.022065371</v>
      </c>
      <c r="BL1670" s="458">
        <v>0.29505989278097888</v>
      </c>
      <c r="BM1670" s="468">
        <v>10.525598715800747</v>
      </c>
    </row>
    <row r="1671" spans="12:65" x14ac:dyDescent="0.3">
      <c r="L1671" s="427">
        <v>6559759.0563000003</v>
      </c>
      <c r="BE1671" s="477">
        <v>4213290.0514066759</v>
      </c>
      <c r="BF1671" s="458">
        <v>3.2511264614258684E-2</v>
      </c>
      <c r="BG1671" s="477">
        <v>12106529.769082243</v>
      </c>
      <c r="BH1671" s="458">
        <v>9.3027474877254157E-2</v>
      </c>
      <c r="BI1671" s="477">
        <v>17096627.506114021</v>
      </c>
      <c r="BJ1671" s="458">
        <v>0.10669423810060885</v>
      </c>
      <c r="BK1671" s="477">
        <v>96247697.704043642</v>
      </c>
      <c r="BL1671" s="458">
        <v>0.25626234277057236</v>
      </c>
      <c r="BM1671" s="468">
        <v>10.493950734800139</v>
      </c>
    </row>
    <row r="1672" spans="12:65" x14ac:dyDescent="0.3">
      <c r="L1672" s="427">
        <v>12642500.090500001</v>
      </c>
      <c r="BE1672" s="477">
        <v>13414017.458905969</v>
      </c>
      <c r="BF1672" s="458">
        <v>2.6265017072511387E-2</v>
      </c>
      <c r="BG1672" s="477">
        <v>10551978.295043735</v>
      </c>
      <c r="BH1672" s="458">
        <v>6.6504009752890836E-2</v>
      </c>
      <c r="BI1672" s="477">
        <v>9991861.4694795106</v>
      </c>
      <c r="BJ1672" s="458">
        <v>0.12378744518352369</v>
      </c>
      <c r="BK1672" s="477">
        <v>84224626.481065139</v>
      </c>
      <c r="BL1672" s="458">
        <v>0.27466209952229459</v>
      </c>
      <c r="BM1672" s="468">
        <v>7.2179701212901852</v>
      </c>
    </row>
    <row r="1673" spans="12:65" x14ac:dyDescent="0.3">
      <c r="L1673" s="427">
        <v>14378397.8367</v>
      </c>
      <c r="BE1673" s="477">
        <v>7391394.7564160749</v>
      </c>
      <c r="BF1673" s="458">
        <v>5.2082044834134145E-2</v>
      </c>
      <c r="BG1673" s="477">
        <v>14745530.61652521</v>
      </c>
      <c r="BH1673" s="458">
        <v>7.5665048414600644E-2</v>
      </c>
      <c r="BI1673" s="477">
        <v>13442331.064876435</v>
      </c>
      <c r="BJ1673" s="458">
        <v>0.1043372465712582</v>
      </c>
      <c r="BK1673" s="477">
        <v>95052681.68681173</v>
      </c>
      <c r="BL1673" s="458">
        <v>0.26802022434115846</v>
      </c>
      <c r="BM1673" s="468">
        <v>9.7960537199590263</v>
      </c>
    </row>
    <row r="1674" spans="12:65" x14ac:dyDescent="0.3">
      <c r="L1674" s="427">
        <v>5317291.6969999997</v>
      </c>
      <c r="BE1674" s="477">
        <v>5292855.501431549</v>
      </c>
      <c r="BF1674" s="458">
        <v>6.8413349473772866E-2</v>
      </c>
      <c r="BG1674" s="477">
        <v>8905738.9959158339</v>
      </c>
      <c r="BH1674" s="458">
        <v>3.4020647471333154E-2</v>
      </c>
      <c r="BI1674" s="477">
        <v>18378344.847512275</v>
      </c>
      <c r="BJ1674" s="458">
        <v>7.4131855538952296E-2</v>
      </c>
      <c r="BK1674" s="477">
        <v>95155851.326907814</v>
      </c>
      <c r="BL1674" s="458">
        <v>0.257990766785958</v>
      </c>
      <c r="BM1674" s="468">
        <v>16.09477415150144</v>
      </c>
    </row>
    <row r="1675" spans="12:65" x14ac:dyDescent="0.3">
      <c r="L1675" s="427">
        <v>11300892.136399999</v>
      </c>
      <c r="BE1675" s="477">
        <v>2865706.7206276478</v>
      </c>
      <c r="BF1675" s="458">
        <v>5.0578750666710359E-2</v>
      </c>
      <c r="BG1675" s="477">
        <v>5540268.4314336041</v>
      </c>
      <c r="BH1675" s="458">
        <v>6.7825996311755121E-2</v>
      </c>
      <c r="BI1675" s="477">
        <v>9979099.7607147153</v>
      </c>
      <c r="BJ1675" s="458">
        <v>0.12455142822305043</v>
      </c>
      <c r="BK1675" s="477">
        <v>92516041.764767766</v>
      </c>
      <c r="BL1675" s="458">
        <v>0.29071328662512119</v>
      </c>
      <c r="BM1675" s="468">
        <v>7.6959934075653882</v>
      </c>
    </row>
    <row r="1676" spans="12:65" x14ac:dyDescent="0.3">
      <c r="L1676" s="427">
        <v>12731837.6873</v>
      </c>
      <c r="BE1676" s="477">
        <v>5138176.0816228939</v>
      </c>
      <c r="BF1676" s="458">
        <v>2.6065017229465415E-2</v>
      </c>
      <c r="BG1676" s="477">
        <v>11864294.069575235</v>
      </c>
      <c r="BH1676" s="458">
        <v>8.4025130936658421E-2</v>
      </c>
      <c r="BI1676" s="477">
        <v>22051356.146762263</v>
      </c>
      <c r="BJ1676" s="458">
        <v>9.4902030806548465E-2</v>
      </c>
      <c r="BK1676" s="477">
        <v>95347012.797791526</v>
      </c>
      <c r="BL1676" s="458">
        <v>0.25781053589047054</v>
      </c>
      <c r="BM1676" s="468">
        <v>11.473033629557651</v>
      </c>
    </row>
    <row r="1677" spans="12:65" x14ac:dyDescent="0.3">
      <c r="L1677" s="427">
        <v>8510406.9759</v>
      </c>
      <c r="BE1677" s="477">
        <v>4071386.760924614</v>
      </c>
      <c r="BF1677" s="458">
        <v>1.3861887718641164E-2</v>
      </c>
      <c r="BG1677" s="477">
        <v>4832282.2820802405</v>
      </c>
      <c r="BH1677" s="458">
        <v>5.0716036666265785E-2</v>
      </c>
      <c r="BI1677" s="477">
        <v>19127400.289722115</v>
      </c>
      <c r="BJ1677" s="458">
        <v>8.8123163367392454E-2</v>
      </c>
      <c r="BK1677" s="477">
        <v>84465892.46689263</v>
      </c>
      <c r="BL1677" s="458">
        <v>0.28561892539114409</v>
      </c>
      <c r="BM1677" s="468">
        <v>2.2046177969688232</v>
      </c>
    </row>
    <row r="1678" spans="12:65" x14ac:dyDescent="0.3">
      <c r="L1678" s="427">
        <v>17955388.208700001</v>
      </c>
      <c r="BE1678" s="477">
        <v>5044234.1077884734</v>
      </c>
      <c r="BF1678" s="458">
        <v>4.4164550899405075E-2</v>
      </c>
      <c r="BG1678" s="477">
        <v>8977403.451572381</v>
      </c>
      <c r="BH1678" s="458">
        <v>5.3047233796641446E-2</v>
      </c>
      <c r="BI1678" s="477">
        <v>20114258.202776644</v>
      </c>
      <c r="BJ1678" s="458">
        <v>0.11645609109442323</v>
      </c>
      <c r="BK1678" s="477">
        <v>91336141.445801839</v>
      </c>
      <c r="BL1678" s="458">
        <v>0.25076761015746518</v>
      </c>
      <c r="BM1678" s="468">
        <v>7.7892872571285308</v>
      </c>
    </row>
    <row r="1679" spans="12:65" x14ac:dyDescent="0.3">
      <c r="L1679" s="427">
        <v>-4829214.9241000004</v>
      </c>
      <c r="BE1679" s="477">
        <v>7195904.0269838758</v>
      </c>
      <c r="BF1679" s="458">
        <v>3.8582687031109675E-2</v>
      </c>
      <c r="BG1679" s="477">
        <v>7226375.4358921964</v>
      </c>
      <c r="BH1679" s="458">
        <v>6.8324248218835093E-2</v>
      </c>
      <c r="BI1679" s="477">
        <v>16144767.431283439</v>
      </c>
      <c r="BJ1679" s="458">
        <v>0.10493300246072956</v>
      </c>
      <c r="BK1679" s="477">
        <v>84001537.133979306</v>
      </c>
      <c r="BL1679" s="458">
        <v>0.26156551983616172</v>
      </c>
      <c r="BM1679" s="468">
        <v>5.7489831722920339</v>
      </c>
    </row>
    <row r="1680" spans="12:65" x14ac:dyDescent="0.3">
      <c r="L1680" s="427">
        <v>865594.61140000005</v>
      </c>
      <c r="BE1680" s="477">
        <v>7755819.3192183394</v>
      </c>
      <c r="BF1680" s="458">
        <v>4.8355218621041196E-2</v>
      </c>
      <c r="BG1680" s="477">
        <v>10893586.605876118</v>
      </c>
      <c r="BH1680" s="458">
        <v>6.6738908921390783E-2</v>
      </c>
      <c r="BI1680" s="477">
        <v>23162308.463912606</v>
      </c>
      <c r="BJ1680" s="458">
        <v>0.1137870045630911</v>
      </c>
      <c r="BK1680" s="477">
        <v>93422578.952737466</v>
      </c>
      <c r="BL1680" s="458">
        <v>0.27600497238265276</v>
      </c>
      <c r="BM1680" s="468">
        <v>8.0386758930721545</v>
      </c>
    </row>
    <row r="1681" spans="12:65" x14ac:dyDescent="0.3">
      <c r="L1681" s="427">
        <v>3014367.6184999999</v>
      </c>
      <c r="BE1681" s="477">
        <v>6821589.0516235465</v>
      </c>
      <c r="BF1681" s="458">
        <v>3.6057327937030426E-2</v>
      </c>
      <c r="BG1681" s="477">
        <v>7032958.3956383178</v>
      </c>
      <c r="BH1681" s="458">
        <v>8.3047473749897849E-2</v>
      </c>
      <c r="BI1681" s="477">
        <v>21438435.507981516</v>
      </c>
      <c r="BJ1681" s="458">
        <v>0.11651279102798417</v>
      </c>
      <c r="BK1681" s="477">
        <v>91492344.977295741</v>
      </c>
      <c r="BL1681" s="458">
        <v>0.29011206349615759</v>
      </c>
      <c r="BM1681" s="468">
        <v>5.4086496974476752</v>
      </c>
    </row>
    <row r="1682" spans="12:65" x14ac:dyDescent="0.3">
      <c r="L1682" s="427">
        <v>21331221.383699998</v>
      </c>
      <c r="BE1682" s="477">
        <v>2669131.6394971348</v>
      </c>
      <c r="BF1682" s="458">
        <v>7.2773043453868702E-2</v>
      </c>
      <c r="BG1682" s="477">
        <v>11710005.632995931</v>
      </c>
      <c r="BH1682" s="458">
        <v>4.2135080298376204E-2</v>
      </c>
      <c r="BI1682" s="477">
        <v>12374461.609890129</v>
      </c>
      <c r="BJ1682" s="458">
        <v>8.7824619395816983E-2</v>
      </c>
      <c r="BK1682" s="477">
        <v>75226404.531290799</v>
      </c>
      <c r="BL1682" s="458">
        <v>0.24768714747895237</v>
      </c>
      <c r="BM1682" s="468">
        <v>7.6039921907997465</v>
      </c>
    </row>
    <row r="1683" spans="12:65" x14ac:dyDescent="0.3">
      <c r="L1683" s="427">
        <v>32352603.394499999</v>
      </c>
      <c r="BE1683" s="477">
        <v>2429572.2736961665</v>
      </c>
      <c r="BF1683" s="458">
        <v>2.3468185725997515E-2</v>
      </c>
      <c r="BG1683" s="477">
        <v>10105231.238603517</v>
      </c>
      <c r="BH1683" s="458">
        <v>5.0388175724735751E-2</v>
      </c>
      <c r="BI1683" s="477">
        <v>13514409.454145029</v>
      </c>
      <c r="BJ1683" s="458">
        <v>0.11148326786724194</v>
      </c>
      <c r="BK1683" s="477">
        <v>81799631.291041419</v>
      </c>
      <c r="BL1683" s="458">
        <v>0.25917682202312808</v>
      </c>
      <c r="BM1683" s="468">
        <v>7.5033495450548067</v>
      </c>
    </row>
    <row r="1684" spans="12:65" x14ac:dyDescent="0.3">
      <c r="L1684" s="427">
        <v>20047626.657400001</v>
      </c>
      <c r="BE1684" s="477">
        <v>7301743.4959658226</v>
      </c>
      <c r="BF1684" s="458">
        <v>6.5826932289640983E-3</v>
      </c>
      <c r="BG1684" s="477">
        <v>8272847.1434479915</v>
      </c>
      <c r="BH1684" s="458">
        <v>6.7784989720632405E-2</v>
      </c>
      <c r="BI1684" s="477">
        <v>19786871.749233488</v>
      </c>
      <c r="BJ1684" s="458">
        <v>0.1264177977769565</v>
      </c>
      <c r="BK1684" s="477">
        <v>99941562.12546888</v>
      </c>
      <c r="BL1684" s="458">
        <v>0.25003590941188669</v>
      </c>
      <c r="BM1684" s="468">
        <v>1.6062725069212043</v>
      </c>
    </row>
    <row r="1685" spans="12:65" x14ac:dyDescent="0.3">
      <c r="L1685" s="427">
        <v>11302718.688999999</v>
      </c>
      <c r="BE1685" s="477">
        <v>11523423.432280106</v>
      </c>
      <c r="BF1685" s="458">
        <v>4.0793542462749244E-2</v>
      </c>
      <c r="BG1685" s="477">
        <v>10592438.414404018</v>
      </c>
      <c r="BH1685" s="458">
        <v>7.8566530065286022E-2</v>
      </c>
      <c r="BI1685" s="477">
        <v>20484582.717666518</v>
      </c>
      <c r="BJ1685" s="458">
        <v>0.11671255294336746</v>
      </c>
      <c r="BK1685" s="477">
        <v>93364291.751433954</v>
      </c>
      <c r="BL1685" s="458">
        <v>0.2651011160821386</v>
      </c>
      <c r="BM1685" s="468">
        <v>6.038640662688417</v>
      </c>
    </row>
    <row r="1686" spans="12:65" x14ac:dyDescent="0.3">
      <c r="L1686" s="427">
        <v>8138049.2604</v>
      </c>
      <c r="BE1686" s="477">
        <v>6775183.2405639477</v>
      </c>
      <c r="BF1686" s="458">
        <v>5.6008068685125423E-2</v>
      </c>
      <c r="BG1686" s="477">
        <v>6649992.7516038222</v>
      </c>
      <c r="BH1686" s="458">
        <v>4.2450449155210457E-2</v>
      </c>
      <c r="BI1686" s="477">
        <v>17505798.227718372</v>
      </c>
      <c r="BJ1686" s="458">
        <v>0.11730892316740782</v>
      </c>
      <c r="BK1686" s="477">
        <v>91782144.403183773</v>
      </c>
      <c r="BL1686" s="458">
        <v>0.25493695033049013</v>
      </c>
      <c r="BM1686" s="468">
        <v>4.2994443233509108</v>
      </c>
    </row>
    <row r="1687" spans="12:65" x14ac:dyDescent="0.3">
      <c r="L1687" s="427">
        <v>5102117.1933000004</v>
      </c>
      <c r="BE1687" s="477">
        <v>6326031.7453630781</v>
      </c>
      <c r="BF1687" s="458">
        <v>2.7974798286155345E-2</v>
      </c>
      <c r="BG1687" s="477">
        <v>13356402.823284011</v>
      </c>
      <c r="BH1687" s="458">
        <v>8.3243763236479529E-2</v>
      </c>
      <c r="BI1687" s="477">
        <v>20082870.534548659</v>
      </c>
      <c r="BJ1687" s="458">
        <v>0.11270060799763959</v>
      </c>
      <c r="BK1687" s="477">
        <v>100074017.37410785</v>
      </c>
      <c r="BL1687" s="458">
        <v>0.26475163248333677</v>
      </c>
      <c r="BM1687" s="468">
        <v>9.3054106214922729</v>
      </c>
    </row>
    <row r="1688" spans="12:65" x14ac:dyDescent="0.3">
      <c r="L1688" s="427">
        <v>13471548.314999999</v>
      </c>
      <c r="BE1688" s="477">
        <v>-2141085.2814328508</v>
      </c>
      <c r="BF1688" s="458">
        <v>4.027207906854624E-2</v>
      </c>
      <c r="BG1688" s="477">
        <v>3188516.5835741246</v>
      </c>
      <c r="BH1688" s="458">
        <v>5.6210197117493532E-2</v>
      </c>
      <c r="BI1688" s="477">
        <v>17735604.077544946</v>
      </c>
      <c r="BJ1688" s="458">
        <v>0.10084329655327218</v>
      </c>
      <c r="BK1688" s="477">
        <v>77950098.777875632</v>
      </c>
      <c r="BL1688" s="458">
        <v>0.25867953620085515</v>
      </c>
      <c r="BM1688" s="468">
        <v>7.4255830741253437</v>
      </c>
    </row>
    <row r="1689" spans="12:65" x14ac:dyDescent="0.3">
      <c r="L1689" s="427">
        <v>-2456829.1710000001</v>
      </c>
      <c r="BE1689" s="477">
        <v>4733818.7751861876</v>
      </c>
      <c r="BF1689" s="458">
        <v>2.9856279849473477E-2</v>
      </c>
      <c r="BG1689" s="477">
        <v>6924567.897357936</v>
      </c>
      <c r="BH1689" s="458">
        <v>6.3359246635992683E-2</v>
      </c>
      <c r="BI1689" s="477">
        <v>8613363.5375931971</v>
      </c>
      <c r="BJ1689" s="458">
        <v>0.12260329578833629</v>
      </c>
      <c r="BK1689" s="477">
        <v>95157135.236808568</v>
      </c>
      <c r="BL1689" s="458">
        <v>0.26977908102979775</v>
      </c>
      <c r="BM1689" s="468">
        <v>4.3251370878316919</v>
      </c>
    </row>
    <row r="1690" spans="12:65" x14ac:dyDescent="0.3">
      <c r="L1690" s="427">
        <v>10345516.0644</v>
      </c>
      <c r="BE1690" s="477">
        <v>4063130.2557651517</v>
      </c>
      <c r="BF1690" s="458">
        <v>4.989190126044929E-2</v>
      </c>
      <c r="BG1690" s="477">
        <v>8403632.2073830776</v>
      </c>
      <c r="BH1690" s="458">
        <v>6.3191322193914212E-2</v>
      </c>
      <c r="BI1690" s="477">
        <v>12628490.141485969</v>
      </c>
      <c r="BJ1690" s="458">
        <v>0.1003911760272973</v>
      </c>
      <c r="BK1690" s="477">
        <v>86258651.965874404</v>
      </c>
      <c r="BL1690" s="458">
        <v>0.25868559296287219</v>
      </c>
      <c r="BM1690" s="468">
        <v>9.8477769286798864</v>
      </c>
    </row>
    <row r="1691" spans="12:65" x14ac:dyDescent="0.3">
      <c r="L1691" s="427">
        <v>1636690.12</v>
      </c>
      <c r="BE1691" s="477">
        <v>5023921.576825182</v>
      </c>
      <c r="BF1691" s="458">
        <v>4.8865673476248483E-2</v>
      </c>
      <c r="BG1691" s="477">
        <v>12259092.002469053</v>
      </c>
      <c r="BH1691" s="458">
        <v>9.5859990585033916E-2</v>
      </c>
      <c r="BI1691" s="477">
        <v>7534086.9849236421</v>
      </c>
      <c r="BJ1691" s="458">
        <v>9.658574438908496E-2</v>
      </c>
      <c r="BK1691" s="477">
        <v>98816672.679840073</v>
      </c>
      <c r="BL1691" s="458">
        <v>0.26495049904737744</v>
      </c>
      <c r="BM1691" s="468">
        <v>8.4415222019355749</v>
      </c>
    </row>
    <row r="1692" spans="12:65" x14ac:dyDescent="0.3">
      <c r="L1692" s="427">
        <v>-2943967.8613</v>
      </c>
      <c r="BE1692" s="477">
        <v>6637423.6791675249</v>
      </c>
      <c r="BF1692" s="458">
        <v>4.0506542562513959E-2</v>
      </c>
      <c r="BG1692" s="477">
        <v>13337524.161306743</v>
      </c>
      <c r="BH1692" s="458">
        <v>6.5872926882714955E-2</v>
      </c>
      <c r="BI1692" s="477">
        <v>17211670.215671368</v>
      </c>
      <c r="BJ1692" s="458">
        <v>7.7605938666589047E-2</v>
      </c>
      <c r="BK1692" s="477">
        <v>81850232.790691227</v>
      </c>
      <c r="BL1692" s="458">
        <v>0.28165812001659662</v>
      </c>
      <c r="BM1692" s="468">
        <v>12.497465436944605</v>
      </c>
    </row>
    <row r="1693" spans="12:65" x14ac:dyDescent="0.3">
      <c r="L1693" s="427">
        <v>17443099.4947</v>
      </c>
      <c r="BE1693" s="477">
        <v>8322796.6848556576</v>
      </c>
      <c r="BF1693" s="458">
        <v>5.8016906849636118E-2</v>
      </c>
      <c r="BG1693" s="477">
        <v>9494055.9995807651</v>
      </c>
      <c r="BH1693" s="458">
        <v>0.11954184792269906</v>
      </c>
      <c r="BI1693" s="477">
        <v>13508034.626022262</v>
      </c>
      <c r="BJ1693" s="458">
        <v>0.1109193031252258</v>
      </c>
      <c r="BK1693" s="477">
        <v>90618169.698206648</v>
      </c>
      <c r="BL1693" s="458">
        <v>0.26541537706648555</v>
      </c>
      <c r="BM1693" s="468">
        <v>9.5957400840266178</v>
      </c>
    </row>
    <row r="1694" spans="12:65" x14ac:dyDescent="0.3">
      <c r="L1694" s="427">
        <v>6908407.5357999997</v>
      </c>
      <c r="BE1694" s="477">
        <v>3318529.8468958801</v>
      </c>
      <c r="BF1694" s="458">
        <v>3.179346027726071E-2</v>
      </c>
      <c r="BG1694" s="477">
        <v>8685134.068551071</v>
      </c>
      <c r="BH1694" s="458">
        <v>6.9135498618076774E-2</v>
      </c>
      <c r="BI1694" s="477">
        <v>14721009.256908167</v>
      </c>
      <c r="BJ1694" s="458">
        <v>0.11819776365575074</v>
      </c>
      <c r="BK1694" s="477">
        <v>82979449.866122842</v>
      </c>
      <c r="BL1694" s="458">
        <v>0.27400535573701856</v>
      </c>
      <c r="BM1694" s="468">
        <v>10.257925001714959</v>
      </c>
    </row>
    <row r="1695" spans="12:65" x14ac:dyDescent="0.3">
      <c r="L1695" s="427">
        <v>9633454.4090999998</v>
      </c>
      <c r="BE1695" s="477">
        <v>3744244.9541489417</v>
      </c>
      <c r="BF1695" s="458">
        <v>3.9032869962383421E-2</v>
      </c>
      <c r="BG1695" s="477">
        <v>10719850.074616911</v>
      </c>
      <c r="BH1695" s="458">
        <v>7.704978004988372E-2</v>
      </c>
      <c r="BI1695" s="477">
        <v>12587856.304308079</v>
      </c>
      <c r="BJ1695" s="458">
        <v>0.12779734519385388</v>
      </c>
      <c r="BK1695" s="477">
        <v>92432281.002734616</v>
      </c>
      <c r="BL1695" s="458">
        <v>0.26373156158865751</v>
      </c>
      <c r="BM1695" s="468">
        <v>12.699437327208424</v>
      </c>
    </row>
    <row r="1696" spans="12:65" x14ac:dyDescent="0.3">
      <c r="L1696" s="427">
        <v>16869676.211300001</v>
      </c>
      <c r="BE1696" s="477">
        <v>4270124.5176851051</v>
      </c>
      <c r="BF1696" s="458">
        <v>5.8045356505157741E-2</v>
      </c>
      <c r="BG1696" s="477">
        <v>8904560.5322311353</v>
      </c>
      <c r="BH1696" s="458">
        <v>5.5912254576149234E-2</v>
      </c>
      <c r="BI1696" s="477">
        <v>17668088.167760909</v>
      </c>
      <c r="BJ1696" s="458">
        <v>0.12757752812155254</v>
      </c>
      <c r="BK1696" s="477">
        <v>86257608.689038932</v>
      </c>
      <c r="BL1696" s="458">
        <v>0.27410744970291701</v>
      </c>
      <c r="BM1696" s="468">
        <v>1.361091660535009</v>
      </c>
    </row>
    <row r="1697" spans="12:65" x14ac:dyDescent="0.3">
      <c r="L1697" s="427">
        <v>9715199.5833000001</v>
      </c>
      <c r="BE1697" s="477">
        <v>6093633.0333478115</v>
      </c>
      <c r="BF1697" s="458">
        <v>4.6477077004634104E-2</v>
      </c>
      <c r="BG1697" s="477">
        <v>-346634.21080457087</v>
      </c>
      <c r="BH1697" s="458">
        <v>4.7928052532028254E-2</v>
      </c>
      <c r="BI1697" s="477">
        <v>14347847.111675965</v>
      </c>
      <c r="BJ1697" s="458">
        <v>0.10339260319968879</v>
      </c>
      <c r="BK1697" s="477">
        <v>103048006.92434305</v>
      </c>
      <c r="BL1697" s="458">
        <v>0.25447682704010166</v>
      </c>
      <c r="BM1697" s="468">
        <v>5.9313324302538462</v>
      </c>
    </row>
    <row r="1698" spans="12:65" x14ac:dyDescent="0.3">
      <c r="L1698" s="427">
        <v>12490753.176899999</v>
      </c>
      <c r="BE1698" s="477">
        <v>7441484.9233818743</v>
      </c>
      <c r="BF1698" s="458">
        <v>3.7754961523000397E-2</v>
      </c>
      <c r="BG1698" s="477">
        <v>5603670.4231840465</v>
      </c>
      <c r="BH1698" s="458">
        <v>7.968527044671081E-2</v>
      </c>
      <c r="BI1698" s="477">
        <v>23829795.225835282</v>
      </c>
      <c r="BJ1698" s="458">
        <v>0.10311836784299255</v>
      </c>
      <c r="BK1698" s="477">
        <v>88636799.867460132</v>
      </c>
      <c r="BL1698" s="458">
        <v>0.29240079028330701</v>
      </c>
      <c r="BM1698" s="468">
        <v>8.4542795591548305</v>
      </c>
    </row>
    <row r="1699" spans="12:65" x14ac:dyDescent="0.3">
      <c r="L1699" s="427">
        <v>-5183930.8784999996</v>
      </c>
      <c r="BE1699" s="477">
        <v>4645061.0959497774</v>
      </c>
      <c r="BF1699" s="458">
        <v>3.7934587995732016E-2</v>
      </c>
      <c r="BG1699" s="477">
        <v>13578537.53838329</v>
      </c>
      <c r="BH1699" s="458">
        <v>5.0770633927375686E-2</v>
      </c>
      <c r="BI1699" s="477">
        <v>10186698.710350825</v>
      </c>
      <c r="BJ1699" s="458">
        <v>0.11945720261427484</v>
      </c>
      <c r="BK1699" s="477">
        <v>84577961.415989861</v>
      </c>
      <c r="BL1699" s="458">
        <v>0.28830941113826691</v>
      </c>
      <c r="BM1699" s="468">
        <v>11.189549240294522</v>
      </c>
    </row>
    <row r="1700" spans="12:65" x14ac:dyDescent="0.3">
      <c r="L1700" s="427">
        <v>3982762.1231999998</v>
      </c>
      <c r="BE1700" s="477">
        <v>7807958.1543709645</v>
      </c>
      <c r="BF1700" s="458">
        <v>3.0298137630011768E-2</v>
      </c>
      <c r="BG1700" s="477">
        <v>9280075.8670458999</v>
      </c>
      <c r="BH1700" s="458">
        <v>7.8533446186242584E-2</v>
      </c>
      <c r="BI1700" s="477">
        <v>5192652.9155182708</v>
      </c>
      <c r="BJ1700" s="458">
        <v>0.10170111667435422</v>
      </c>
      <c r="BK1700" s="477">
        <v>92144789.123448059</v>
      </c>
      <c r="BL1700" s="458">
        <v>0.26086888043381373</v>
      </c>
      <c r="BM1700" s="468">
        <v>10.673335320705469</v>
      </c>
    </row>
    <row r="1701" spans="12:65" x14ac:dyDescent="0.3">
      <c r="L1701" s="427">
        <v>13725497.416300001</v>
      </c>
      <c r="BE1701" s="477">
        <v>4742857.9568049004</v>
      </c>
      <c r="BF1701" s="458">
        <v>3.2397513465716399E-2</v>
      </c>
      <c r="BG1701" s="477">
        <v>11461708.38450042</v>
      </c>
      <c r="BH1701" s="458">
        <v>5.2091611818793293E-2</v>
      </c>
      <c r="BI1701" s="477">
        <v>23889544.118557487</v>
      </c>
      <c r="BJ1701" s="458">
        <v>0.13306211182611882</v>
      </c>
      <c r="BK1701" s="477">
        <v>97079561.977300882</v>
      </c>
      <c r="BL1701" s="458">
        <v>0.27071091927876623</v>
      </c>
      <c r="BM1701" s="468">
        <v>13.269673382486596</v>
      </c>
    </row>
    <row r="1702" spans="12:65" x14ac:dyDescent="0.3">
      <c r="L1702" s="427">
        <v>6716378.0263999999</v>
      </c>
      <c r="BE1702" s="477">
        <v>8569513.9973581508</v>
      </c>
      <c r="BF1702" s="458">
        <v>5.2555697495950682E-2</v>
      </c>
      <c r="BG1702" s="477">
        <v>8698281.626227105</v>
      </c>
      <c r="BH1702" s="458">
        <v>6.2376760871977632E-2</v>
      </c>
      <c r="BI1702" s="477">
        <v>21292184.340423796</v>
      </c>
      <c r="BJ1702" s="458">
        <v>0.1110991559298371</v>
      </c>
      <c r="BK1702" s="477">
        <v>93975958.056868926</v>
      </c>
      <c r="BL1702" s="458">
        <v>0.2660444791589025</v>
      </c>
      <c r="BM1702" s="468">
        <v>6.8742210743849483</v>
      </c>
    </row>
    <row r="1703" spans="12:65" x14ac:dyDescent="0.3">
      <c r="L1703" s="427">
        <v>13657608.1633</v>
      </c>
      <c r="BE1703" s="477">
        <v>4225118.5003214367</v>
      </c>
      <c r="BF1703" s="458">
        <v>3.9698151260608494E-2</v>
      </c>
      <c r="BG1703" s="477">
        <v>16370220.503524484</v>
      </c>
      <c r="BH1703" s="458">
        <v>7.961442418411746E-2</v>
      </c>
      <c r="BI1703" s="477">
        <v>14203369.767414765</v>
      </c>
      <c r="BJ1703" s="458">
        <v>0.11356435182070324</v>
      </c>
      <c r="BK1703" s="477">
        <v>77663452.554726437</v>
      </c>
      <c r="BL1703" s="458">
        <v>0.2612420162571143</v>
      </c>
      <c r="BM1703" s="468">
        <v>6.8989278002522578</v>
      </c>
    </row>
    <row r="1704" spans="12:65" x14ac:dyDescent="0.3">
      <c r="L1704" s="427">
        <v>2895340.5359999998</v>
      </c>
      <c r="BE1704" s="477">
        <v>2930926.3527616072</v>
      </c>
      <c r="BF1704" s="458">
        <v>5.4386120924147408E-2</v>
      </c>
      <c r="BG1704" s="477">
        <v>7701583.1171642356</v>
      </c>
      <c r="BH1704" s="458">
        <v>8.5830105756355524E-2</v>
      </c>
      <c r="BI1704" s="477">
        <v>22072676.83850776</v>
      </c>
      <c r="BJ1704" s="458">
        <v>0.13034614512616605</v>
      </c>
      <c r="BK1704" s="477">
        <v>91412076.231102869</v>
      </c>
      <c r="BL1704" s="458">
        <v>0.26535087882926889</v>
      </c>
      <c r="BM1704" s="468">
        <v>6.6013456434874644</v>
      </c>
    </row>
    <row r="1705" spans="12:65" x14ac:dyDescent="0.3">
      <c r="L1705" s="427">
        <v>10505453.224099999</v>
      </c>
      <c r="BE1705" s="477">
        <v>1150248.4340731471</v>
      </c>
      <c r="BF1705" s="458">
        <v>5.4699858373310706E-2</v>
      </c>
      <c r="BG1705" s="477">
        <v>16360468.225623898</v>
      </c>
      <c r="BH1705" s="458">
        <v>5.7378008539000547E-2</v>
      </c>
      <c r="BI1705" s="477">
        <v>17545227.678022835</v>
      </c>
      <c r="BJ1705" s="458">
        <v>0.1059930373754896</v>
      </c>
      <c r="BK1705" s="477">
        <v>81974622.338502884</v>
      </c>
      <c r="BL1705" s="458">
        <v>0.27085165750081397</v>
      </c>
      <c r="BM1705" s="468">
        <v>9.5104814920860949</v>
      </c>
    </row>
    <row r="1706" spans="12:65" x14ac:dyDescent="0.3">
      <c r="L1706" s="427">
        <v>6400039.7302000001</v>
      </c>
      <c r="BE1706" s="477">
        <v>5744297.7368038772</v>
      </c>
      <c r="BF1706" s="458">
        <v>3.2007813779102223E-2</v>
      </c>
      <c r="BG1706" s="477">
        <v>9805529.3043136131</v>
      </c>
      <c r="BH1706" s="458">
        <v>7.6363338383588442E-2</v>
      </c>
      <c r="BI1706" s="477">
        <v>20751902.603596702</v>
      </c>
      <c r="BJ1706" s="458">
        <v>0.11624307068807638</v>
      </c>
      <c r="BK1706" s="477">
        <v>87597734.261142135</v>
      </c>
      <c r="BL1706" s="458">
        <v>0.28814388258013435</v>
      </c>
      <c r="BM1706" s="468">
        <v>1.3923095832247485</v>
      </c>
    </row>
    <row r="1707" spans="12:65" x14ac:dyDescent="0.3">
      <c r="L1707" s="427">
        <v>3947484.3001999999</v>
      </c>
      <c r="BE1707" s="477">
        <v>2076521.2929634422</v>
      </c>
      <c r="BF1707" s="458">
        <v>4.7789999673738537E-2</v>
      </c>
      <c r="BG1707" s="477">
        <v>12569856.11412864</v>
      </c>
      <c r="BH1707" s="458">
        <v>5.2401427048138105E-2</v>
      </c>
      <c r="BI1707" s="477">
        <v>15506808.196235232</v>
      </c>
      <c r="BJ1707" s="458">
        <v>0.10821507755950743</v>
      </c>
      <c r="BK1707" s="477">
        <v>95851962.736043274</v>
      </c>
      <c r="BL1707" s="458">
        <v>0.26849675814348362</v>
      </c>
      <c r="BM1707" s="468">
        <v>6.7171736598140592</v>
      </c>
    </row>
    <row r="1708" spans="12:65" x14ac:dyDescent="0.3">
      <c r="L1708" s="427">
        <v>220481.9204</v>
      </c>
      <c r="BE1708" s="477">
        <v>3797396.5658191955</v>
      </c>
      <c r="BF1708" s="458">
        <v>5.2494617131442212E-2</v>
      </c>
      <c r="BG1708" s="477">
        <v>8751482.8929176852</v>
      </c>
      <c r="BH1708" s="458">
        <v>6.4908063413303019E-2</v>
      </c>
      <c r="BI1708" s="477">
        <v>19390447.656978149</v>
      </c>
      <c r="BJ1708" s="458">
        <v>0.10103951929101518</v>
      </c>
      <c r="BK1708" s="477">
        <v>85335479.340534016</v>
      </c>
      <c r="BL1708" s="458">
        <v>0.26509673038070591</v>
      </c>
      <c r="BM1708" s="468">
        <v>8.3141844560676308</v>
      </c>
    </row>
    <row r="1709" spans="12:65" x14ac:dyDescent="0.3">
      <c r="L1709" s="427">
        <v>12701892.9158</v>
      </c>
      <c r="BE1709" s="477">
        <v>714631.9429382768</v>
      </c>
      <c r="BF1709" s="458">
        <v>4.2362118832792284E-2</v>
      </c>
      <c r="BG1709" s="477">
        <v>7273313.6516988231</v>
      </c>
      <c r="BH1709" s="458">
        <v>3.1202694917432439E-2</v>
      </c>
      <c r="BI1709" s="477">
        <v>22470441.562484454</v>
      </c>
      <c r="BJ1709" s="458">
        <v>9.1360971832981308E-2</v>
      </c>
      <c r="BK1709" s="477">
        <v>83145068.18905133</v>
      </c>
      <c r="BL1709" s="458">
        <v>0.25401490349348954</v>
      </c>
      <c r="BM1709" s="468">
        <v>4.2041778469555897</v>
      </c>
    </row>
    <row r="1710" spans="12:65" x14ac:dyDescent="0.3">
      <c r="L1710" s="427">
        <v>17265940.067000002</v>
      </c>
      <c r="BE1710" s="477">
        <v>3451699.9184365273</v>
      </c>
      <c r="BF1710" s="458">
        <v>1.8801165701445299E-2</v>
      </c>
      <c r="BG1710" s="477">
        <v>13026243.989626627</v>
      </c>
      <c r="BH1710" s="458">
        <v>5.2909551919794406E-2</v>
      </c>
      <c r="BI1710" s="477">
        <v>18118887.273193281</v>
      </c>
      <c r="BJ1710" s="458">
        <v>0.10010653781651291</v>
      </c>
      <c r="BK1710" s="477">
        <v>84267628.845237941</v>
      </c>
      <c r="BL1710" s="458">
        <v>0.26155605368324286</v>
      </c>
      <c r="BM1710" s="468">
        <v>11.14540923264784</v>
      </c>
    </row>
    <row r="1711" spans="12:65" x14ac:dyDescent="0.3">
      <c r="L1711" s="427">
        <v>10860064.3039</v>
      </c>
      <c r="BE1711" s="477">
        <v>4852230.6632915633</v>
      </c>
      <c r="BF1711" s="458">
        <v>6.0089942479318204E-2</v>
      </c>
      <c r="BG1711" s="477">
        <v>8311603.243296992</v>
      </c>
      <c r="BH1711" s="458">
        <v>6.8186544974311536E-2</v>
      </c>
      <c r="BI1711" s="477">
        <v>18340654.62068915</v>
      </c>
      <c r="BJ1711" s="458">
        <v>0.10652113664490703</v>
      </c>
      <c r="BK1711" s="477">
        <v>81765543.136458665</v>
      </c>
      <c r="BL1711" s="458">
        <v>0.30658755705796947</v>
      </c>
      <c r="BM1711" s="468">
        <v>8.9536729474268189</v>
      </c>
    </row>
    <row r="1712" spans="12:65" x14ac:dyDescent="0.3">
      <c r="L1712" s="427">
        <v>14975547.740700001</v>
      </c>
      <c r="BE1712" s="477">
        <v>9755792.5346213449</v>
      </c>
      <c r="BF1712" s="458">
        <v>4.2064709262299438E-2</v>
      </c>
      <c r="BG1712" s="477">
        <v>7036868.9348579505</v>
      </c>
      <c r="BH1712" s="458">
        <v>6.7356558303100167E-2</v>
      </c>
      <c r="BI1712" s="477">
        <v>19583981.92298875</v>
      </c>
      <c r="BJ1712" s="458">
        <v>0.11060625621716813</v>
      </c>
      <c r="BK1712" s="477">
        <v>100238226.27901331</v>
      </c>
      <c r="BL1712" s="458">
        <v>0.26558881802202716</v>
      </c>
      <c r="BM1712" s="468">
        <v>2.3397929059132014</v>
      </c>
    </row>
    <row r="1713" spans="12:65" x14ac:dyDescent="0.3">
      <c r="L1713" s="427">
        <v>-7352967.9362000003</v>
      </c>
      <c r="BE1713" s="477">
        <v>6589562.7809975585</v>
      </c>
      <c r="BF1713" s="458">
        <v>5.6339099952022131E-2</v>
      </c>
      <c r="BG1713" s="477">
        <v>15128935.165079618</v>
      </c>
      <c r="BH1713" s="458">
        <v>5.9308924396414664E-2</v>
      </c>
      <c r="BI1713" s="477">
        <v>9611558.1976500303</v>
      </c>
      <c r="BJ1713" s="458">
        <v>9.8844771418715949E-2</v>
      </c>
      <c r="BK1713" s="477">
        <v>91004498.710134536</v>
      </c>
      <c r="BL1713" s="458">
        <v>0.25071618508045557</v>
      </c>
      <c r="BM1713" s="468">
        <v>4.1695887866644767</v>
      </c>
    </row>
    <row r="1714" spans="12:65" x14ac:dyDescent="0.3">
      <c r="L1714" s="427">
        <v>13746094.2158</v>
      </c>
      <c r="BE1714" s="477">
        <v>6450571.9836147549</v>
      </c>
      <c r="BF1714" s="458">
        <v>3.4325290318515611E-2</v>
      </c>
      <c r="BG1714" s="477">
        <v>9476569.1835159492</v>
      </c>
      <c r="BH1714" s="458">
        <v>5.6483474474070761E-2</v>
      </c>
      <c r="BI1714" s="477">
        <v>16442993.071727393</v>
      </c>
      <c r="BJ1714" s="458">
        <v>0.12647960797347646</v>
      </c>
      <c r="BK1714" s="477">
        <v>76005905.694100559</v>
      </c>
      <c r="BL1714" s="458">
        <v>0.25618705320588475</v>
      </c>
      <c r="BM1714" s="468">
        <v>15.395297291690046</v>
      </c>
    </row>
    <row r="1715" spans="12:65" x14ac:dyDescent="0.3">
      <c r="L1715" s="427">
        <v>-350460.50189999997</v>
      </c>
      <c r="BE1715" s="477">
        <v>8721424.6558573544</v>
      </c>
      <c r="BF1715" s="458">
        <v>3.1348734291891445E-2</v>
      </c>
      <c r="BG1715" s="477">
        <v>7606604.5832742956</v>
      </c>
      <c r="BH1715" s="458">
        <v>4.3644649219775511E-2</v>
      </c>
      <c r="BI1715" s="477">
        <v>17488210.920589454</v>
      </c>
      <c r="BJ1715" s="458">
        <v>0.10931073273249914</v>
      </c>
      <c r="BK1715" s="477">
        <v>86515570.779480591</v>
      </c>
      <c r="BL1715" s="458">
        <v>0.2639320072109792</v>
      </c>
      <c r="BM1715" s="468">
        <v>5.8791272238290517</v>
      </c>
    </row>
    <row r="1716" spans="12:65" x14ac:dyDescent="0.3">
      <c r="L1716" s="427">
        <v>16894522.9956</v>
      </c>
      <c r="BE1716" s="477">
        <v>4270412.9190541701</v>
      </c>
      <c r="BF1716" s="458">
        <v>4.7753899890733198E-2</v>
      </c>
      <c r="BG1716" s="477">
        <v>9782635.0201488063</v>
      </c>
      <c r="BH1716" s="458">
        <v>5.9889555273456851E-2</v>
      </c>
      <c r="BI1716" s="477">
        <v>23466013.404079676</v>
      </c>
      <c r="BJ1716" s="458">
        <v>9.8790286384319526E-2</v>
      </c>
      <c r="BK1716" s="477">
        <v>86681312.728325129</v>
      </c>
      <c r="BL1716" s="458">
        <v>0.28246696766333113</v>
      </c>
      <c r="BM1716" s="468">
        <v>2.352442743912051</v>
      </c>
    </row>
    <row r="1717" spans="12:65" x14ac:dyDescent="0.3">
      <c r="L1717" s="427">
        <v>13925454.7141</v>
      </c>
      <c r="BE1717" s="477">
        <v>3778457.2573822835</v>
      </c>
      <c r="BF1717" s="458">
        <v>3.3518298583270711E-2</v>
      </c>
      <c r="BG1717" s="477">
        <v>8299606.1041694088</v>
      </c>
      <c r="BH1717" s="458">
        <v>8.1137505180490344E-2</v>
      </c>
      <c r="BI1717" s="477">
        <v>23540794.534127973</v>
      </c>
      <c r="BJ1717" s="458">
        <v>0.10039914191355193</v>
      </c>
      <c r="BK1717" s="477">
        <v>86247841.804528147</v>
      </c>
      <c r="BL1717" s="458">
        <v>0.24917932134294873</v>
      </c>
      <c r="BM1717" s="468">
        <v>8.989466313977081</v>
      </c>
    </row>
    <row r="1718" spans="12:65" x14ac:dyDescent="0.3">
      <c r="L1718" s="427">
        <v>13066095.0813</v>
      </c>
      <c r="BE1718" s="477">
        <v>3621073.4345822055</v>
      </c>
      <c r="BF1718" s="458">
        <v>4.0843730293691705E-2</v>
      </c>
      <c r="BG1718" s="477">
        <v>5850150.1884653326</v>
      </c>
      <c r="BH1718" s="458">
        <v>4.6563518056454534E-2</v>
      </c>
      <c r="BI1718" s="477">
        <v>12958373.889462342</v>
      </c>
      <c r="BJ1718" s="458">
        <v>9.2562367599192008E-2</v>
      </c>
      <c r="BK1718" s="477">
        <v>95083049.227778748</v>
      </c>
      <c r="BL1718" s="458">
        <v>0.27358148103616453</v>
      </c>
      <c r="BM1718" s="468">
        <v>8.6530876040906683</v>
      </c>
    </row>
    <row r="1719" spans="12:65" x14ac:dyDescent="0.3">
      <c r="L1719" s="427">
        <v>19196370.050799999</v>
      </c>
      <c r="BE1719" s="477">
        <v>5315924.2709112316</v>
      </c>
      <c r="BF1719" s="458">
        <v>5.0078366708888211E-2</v>
      </c>
      <c r="BG1719" s="477">
        <v>9608648.4722430725</v>
      </c>
      <c r="BH1719" s="458">
        <v>6.5195768102292995E-2</v>
      </c>
      <c r="BI1719" s="477">
        <v>17128023.968992926</v>
      </c>
      <c r="BJ1719" s="458">
        <v>0.11371986892810448</v>
      </c>
      <c r="BK1719" s="477">
        <v>90936479.966202632</v>
      </c>
      <c r="BL1719" s="458">
        <v>0.28272460699612645</v>
      </c>
      <c r="BM1719" s="468">
        <v>13.297102106777126</v>
      </c>
    </row>
    <row r="1720" spans="12:65" x14ac:dyDescent="0.3">
      <c r="L1720" s="427">
        <v>7734699.3723999998</v>
      </c>
      <c r="BE1720" s="477">
        <v>6363325.2909103902</v>
      </c>
      <c r="BF1720" s="458">
        <v>4.5828820562422212E-2</v>
      </c>
      <c r="BG1720" s="477">
        <v>6593163.8367996756</v>
      </c>
      <c r="BH1720" s="458">
        <v>8.102332702622328E-2</v>
      </c>
      <c r="BI1720" s="477">
        <v>16570582.603476828</v>
      </c>
      <c r="BJ1720" s="458">
        <v>8.2740203329823458E-2</v>
      </c>
      <c r="BK1720" s="477">
        <v>80747162.625914812</v>
      </c>
      <c r="BL1720" s="458">
        <v>0.29250039405545358</v>
      </c>
      <c r="BM1720" s="468">
        <v>7.5633324784814873</v>
      </c>
    </row>
    <row r="1721" spans="12:65" x14ac:dyDescent="0.3">
      <c r="L1721" s="427">
        <v>1443445.7996</v>
      </c>
      <c r="BE1721" s="477">
        <v>2723856.9386065467</v>
      </c>
      <c r="BF1721" s="458">
        <v>2.6806943146858053E-2</v>
      </c>
      <c r="BG1721" s="477">
        <v>11045403.063308623</v>
      </c>
      <c r="BH1721" s="458">
        <v>6.798504046882714E-2</v>
      </c>
      <c r="BI1721" s="477">
        <v>22459119.261718716</v>
      </c>
      <c r="BJ1721" s="458">
        <v>0.13258776231709568</v>
      </c>
      <c r="BK1721" s="477">
        <v>99851102.686220959</v>
      </c>
      <c r="BL1721" s="458">
        <v>0.26730559971917689</v>
      </c>
      <c r="BM1721" s="468">
        <v>9.3976475420975909</v>
      </c>
    </row>
    <row r="1722" spans="12:65" x14ac:dyDescent="0.3">
      <c r="L1722" s="427">
        <v>-10662907.9595</v>
      </c>
      <c r="BE1722" s="477">
        <v>4811721.0280958842</v>
      </c>
      <c r="BF1722" s="458">
        <v>3.5729614148257927E-2</v>
      </c>
      <c r="BG1722" s="477">
        <v>6548248.5154328123</v>
      </c>
      <c r="BH1722" s="458">
        <v>4.5506362441809722E-2</v>
      </c>
      <c r="BI1722" s="477">
        <v>24759109.354388028</v>
      </c>
      <c r="BJ1722" s="458">
        <v>0.11350253042426206</v>
      </c>
      <c r="BK1722" s="477">
        <v>70505253.520233631</v>
      </c>
      <c r="BL1722" s="458">
        <v>0.28659325910631717</v>
      </c>
      <c r="BM1722" s="468">
        <v>10.606687961157309</v>
      </c>
    </row>
    <row r="1723" spans="12:65" x14ac:dyDescent="0.3">
      <c r="L1723" s="427">
        <v>9896684.0855</v>
      </c>
      <c r="BE1723" s="477">
        <v>7649055.1120616365</v>
      </c>
      <c r="BF1723" s="458">
        <v>1.9288377510909172E-2</v>
      </c>
      <c r="BG1723" s="477">
        <v>11642854.197778514</v>
      </c>
      <c r="BH1723" s="458">
        <v>0.10776619452570069</v>
      </c>
      <c r="BI1723" s="477">
        <v>14342875.303852959</v>
      </c>
      <c r="BJ1723" s="458">
        <v>0.12968615784463267</v>
      </c>
      <c r="BK1723" s="477">
        <v>91729229.194397032</v>
      </c>
      <c r="BL1723" s="458">
        <v>0.27314462393435401</v>
      </c>
      <c r="BM1723" s="468">
        <v>11.336614492898409</v>
      </c>
    </row>
    <row r="1724" spans="12:65" x14ac:dyDescent="0.3">
      <c r="L1724" s="427">
        <v>15514284.3861</v>
      </c>
      <c r="BE1724" s="477">
        <v>4848435.5286789639</v>
      </c>
      <c r="BF1724" s="458">
        <v>3.2354734008434916E-2</v>
      </c>
      <c r="BG1724" s="477">
        <v>17727657.974091187</v>
      </c>
      <c r="BH1724" s="458">
        <v>7.4992358173199491E-2</v>
      </c>
      <c r="BI1724" s="477">
        <v>20560895.12810728</v>
      </c>
      <c r="BJ1724" s="458">
        <v>0.1088560681668822</v>
      </c>
      <c r="BK1724" s="477">
        <v>97532323.838473588</v>
      </c>
      <c r="BL1724" s="458">
        <v>0.25446671349238237</v>
      </c>
      <c r="BM1724" s="468">
        <v>5.9752552494441042</v>
      </c>
    </row>
    <row r="1725" spans="12:65" x14ac:dyDescent="0.3">
      <c r="L1725" s="427">
        <v>22692923.484200001</v>
      </c>
      <c r="BE1725" s="477">
        <v>7815210.6512556728</v>
      </c>
      <c r="BF1725" s="458">
        <v>6.1380627074077543E-2</v>
      </c>
      <c r="BG1725" s="477">
        <v>13025918.957129637</v>
      </c>
      <c r="BH1725" s="458">
        <v>7.4955901480471709E-2</v>
      </c>
      <c r="BI1725" s="477">
        <v>3495736.8593998728</v>
      </c>
      <c r="BJ1725" s="458">
        <v>0.11569683250581897</v>
      </c>
      <c r="BK1725" s="477">
        <v>85763721.712688595</v>
      </c>
      <c r="BL1725" s="458">
        <v>0.26174357126194892</v>
      </c>
      <c r="BM1725" s="468">
        <v>3.9833952061915765</v>
      </c>
    </row>
    <row r="1726" spans="12:65" x14ac:dyDescent="0.3">
      <c r="L1726" s="427">
        <v>6453505.9227</v>
      </c>
      <c r="BE1726" s="477">
        <v>1765241.8454499331</v>
      </c>
      <c r="BF1726" s="458">
        <v>2.9449314037720997E-2</v>
      </c>
      <c r="BG1726" s="477">
        <v>2259519.5856234115</v>
      </c>
      <c r="BH1726" s="458">
        <v>5.9951502106504018E-2</v>
      </c>
      <c r="BI1726" s="477">
        <v>19244301.215259943</v>
      </c>
      <c r="BJ1726" s="458">
        <v>0.1129296755924647</v>
      </c>
      <c r="BK1726" s="477">
        <v>88137175.075685382</v>
      </c>
      <c r="BL1726" s="458">
        <v>0.25837709737746395</v>
      </c>
      <c r="BM1726" s="468">
        <v>2.413393417350715</v>
      </c>
    </row>
    <row r="1727" spans="12:65" x14ac:dyDescent="0.3">
      <c r="L1727" s="427">
        <v>8666352.0600000005</v>
      </c>
      <c r="BE1727" s="477">
        <v>6303596.7733681444</v>
      </c>
      <c r="BF1727" s="458">
        <v>1.2157166754377613E-2</v>
      </c>
      <c r="BG1727" s="477">
        <v>3121694.7287480137</v>
      </c>
      <c r="BH1727" s="458">
        <v>8.1828137804902834E-2</v>
      </c>
      <c r="BI1727" s="477">
        <v>25803947.149640784</v>
      </c>
      <c r="BJ1727" s="458">
        <v>8.7511941986803787E-2</v>
      </c>
      <c r="BK1727" s="477">
        <v>83464233.721677423</v>
      </c>
      <c r="BL1727" s="458">
        <v>0.25630951665005464</v>
      </c>
      <c r="BM1727" s="468">
        <v>10.573299729278343</v>
      </c>
    </row>
    <row r="1728" spans="12:65" x14ac:dyDescent="0.3">
      <c r="L1728" s="427">
        <v>17645661.4472</v>
      </c>
      <c r="BE1728" s="477">
        <v>6378345.6525660791</v>
      </c>
      <c r="BF1728" s="458">
        <v>5.0163882129148574E-2</v>
      </c>
      <c r="BG1728" s="477">
        <v>-2780547.2590542766</v>
      </c>
      <c r="BH1728" s="458">
        <v>8.4454303991468693E-2</v>
      </c>
      <c r="BI1728" s="477">
        <v>10473973.538868949</v>
      </c>
      <c r="BJ1728" s="458">
        <v>6.9972346489347581E-2</v>
      </c>
      <c r="BK1728" s="477">
        <v>97133566.630540401</v>
      </c>
      <c r="BL1728" s="458">
        <v>0.27928172006023755</v>
      </c>
      <c r="BM1728" s="468">
        <v>13.085139782380729</v>
      </c>
    </row>
    <row r="1729" spans="12:65" x14ac:dyDescent="0.3">
      <c r="L1729" s="427">
        <v>15459616.3749</v>
      </c>
      <c r="BE1729" s="477">
        <v>10261175.872489471</v>
      </c>
      <c r="BF1729" s="458">
        <v>4.3331847644979993E-2</v>
      </c>
      <c r="BG1729" s="477">
        <v>5372208.8336198302</v>
      </c>
      <c r="BH1729" s="458">
        <v>7.1721258519454656E-2</v>
      </c>
      <c r="BI1729" s="477">
        <v>25504985.13849625</v>
      </c>
      <c r="BJ1729" s="458">
        <v>0.13573288478412637</v>
      </c>
      <c r="BK1729" s="477">
        <v>93942253.408032686</v>
      </c>
      <c r="BL1729" s="458">
        <v>0.25928071934681718</v>
      </c>
      <c r="BM1729" s="468">
        <v>5.8938318675580561</v>
      </c>
    </row>
    <row r="1730" spans="12:65" x14ac:dyDescent="0.3">
      <c r="L1730" s="427">
        <v>10060942.1841</v>
      </c>
      <c r="BE1730" s="477">
        <v>2785624.0193971409</v>
      </c>
      <c r="BF1730" s="458">
        <v>3.0596080809865978E-3</v>
      </c>
      <c r="BG1730" s="477">
        <v>12800282.515525222</v>
      </c>
      <c r="BH1730" s="458">
        <v>7.2314564614295307E-2</v>
      </c>
      <c r="BI1730" s="477">
        <v>19367723.679240175</v>
      </c>
      <c r="BJ1730" s="458">
        <v>9.9424067776127556E-2</v>
      </c>
      <c r="BK1730" s="477">
        <v>90840778.087548673</v>
      </c>
      <c r="BL1730" s="458">
        <v>0.28412610759537316</v>
      </c>
      <c r="BM1730" s="468">
        <v>3.5887178807702789</v>
      </c>
    </row>
    <row r="1731" spans="12:65" x14ac:dyDescent="0.3">
      <c r="L1731" s="427">
        <v>1729265.0612999999</v>
      </c>
      <c r="BE1731" s="477">
        <v>2197411.6990396394</v>
      </c>
      <c r="BF1731" s="458">
        <v>2.6138466206434785E-2</v>
      </c>
      <c r="BG1731" s="477">
        <v>6360373.1347408593</v>
      </c>
      <c r="BH1731" s="458">
        <v>8.2084094868221991E-2</v>
      </c>
      <c r="BI1731" s="477">
        <v>10597602.228466844</v>
      </c>
      <c r="BJ1731" s="458">
        <v>0.11755508429136396</v>
      </c>
      <c r="BK1731" s="477">
        <v>90225105.730738491</v>
      </c>
      <c r="BL1731" s="458">
        <v>0.27072539201460577</v>
      </c>
      <c r="BM1731" s="468">
        <v>3.4645363762241974</v>
      </c>
    </row>
    <row r="1732" spans="12:65" x14ac:dyDescent="0.3">
      <c r="L1732" s="427">
        <v>8110093.4226000002</v>
      </c>
      <c r="BE1732" s="477">
        <v>9770857.481105933</v>
      </c>
      <c r="BF1732" s="458">
        <v>3.4903263824765496E-2</v>
      </c>
      <c r="BG1732" s="477">
        <v>5818345.6442833552</v>
      </c>
      <c r="BH1732" s="458">
        <v>4.8287196452829306E-2</v>
      </c>
      <c r="BI1732" s="477">
        <v>11639718.606665803</v>
      </c>
      <c r="BJ1732" s="458">
        <v>0.11330417079108535</v>
      </c>
      <c r="BK1732" s="477">
        <v>98945737.977426529</v>
      </c>
      <c r="BL1732" s="458">
        <v>0.25671626029085881</v>
      </c>
      <c r="BM1732" s="468">
        <v>6.2770778058287284</v>
      </c>
    </row>
    <row r="1733" spans="12:65" x14ac:dyDescent="0.3">
      <c r="L1733" s="427">
        <v>7132669.5482999999</v>
      </c>
      <c r="BE1733" s="477">
        <v>3702293.8747269083</v>
      </c>
      <c r="BF1733" s="458">
        <v>1.2233679605652581E-2</v>
      </c>
      <c r="BG1733" s="477">
        <v>10721850.968445409</v>
      </c>
      <c r="BH1733" s="458">
        <v>5.4971848573410087E-2</v>
      </c>
      <c r="BI1733" s="477">
        <v>10396712.922362119</v>
      </c>
      <c r="BJ1733" s="458">
        <v>0.10069533347095661</v>
      </c>
      <c r="BK1733" s="477">
        <v>93533241.089059442</v>
      </c>
      <c r="BL1733" s="458">
        <v>0.27390119994091622</v>
      </c>
      <c r="BM1733" s="468">
        <v>9.0123605327424219</v>
      </c>
    </row>
    <row r="1734" spans="12:65" x14ac:dyDescent="0.3">
      <c r="L1734" s="427">
        <v>7499466.2663000003</v>
      </c>
      <c r="BE1734" s="477">
        <v>5298913.5022367705</v>
      </c>
      <c r="BF1734" s="458">
        <v>4.2101172739853476E-2</v>
      </c>
      <c r="BG1734" s="477">
        <v>1830124.0449066244</v>
      </c>
      <c r="BH1734" s="458">
        <v>7.0769276873771325E-2</v>
      </c>
      <c r="BI1734" s="477">
        <v>16535094.738547111</v>
      </c>
      <c r="BJ1734" s="458">
        <v>9.7399767761792377E-2</v>
      </c>
      <c r="BK1734" s="477">
        <v>81996254.598554283</v>
      </c>
      <c r="BL1734" s="458">
        <v>0.26042983448576851</v>
      </c>
      <c r="BM1734" s="468">
        <v>9.7096036249648048</v>
      </c>
    </row>
    <row r="1735" spans="12:65" x14ac:dyDescent="0.3">
      <c r="L1735" s="427">
        <v>17487613.7148</v>
      </c>
      <c r="BE1735" s="477">
        <v>7082968.2308159266</v>
      </c>
      <c r="BF1735" s="458">
        <v>4.5371661048260625E-2</v>
      </c>
      <c r="BG1735" s="477">
        <v>9453599.8115567546</v>
      </c>
      <c r="BH1735" s="458">
        <v>6.3333158288437108E-2</v>
      </c>
      <c r="BI1735" s="477">
        <v>19169022.043609191</v>
      </c>
      <c r="BJ1735" s="458">
        <v>0.13148261652382742</v>
      </c>
      <c r="BK1735" s="477">
        <v>88010283.368984863</v>
      </c>
      <c r="BL1735" s="458">
        <v>0.27400595274622286</v>
      </c>
      <c r="BM1735" s="468">
        <v>9.2618131990058608</v>
      </c>
    </row>
    <row r="1736" spans="12:65" x14ac:dyDescent="0.3">
      <c r="L1736" s="427">
        <v>11070229.042099999</v>
      </c>
      <c r="BE1736" s="477">
        <v>9549334.1572867446</v>
      </c>
      <c r="BF1736" s="458">
        <v>2.5082843891294004E-2</v>
      </c>
      <c r="BG1736" s="477">
        <v>13978756.377388272</v>
      </c>
      <c r="BH1736" s="458">
        <v>6.953624634299338E-2</v>
      </c>
      <c r="BI1736" s="477">
        <v>21282222.360157639</v>
      </c>
      <c r="BJ1736" s="458">
        <v>0.10829218321716017</v>
      </c>
      <c r="BK1736" s="477">
        <v>80140134.173801899</v>
      </c>
      <c r="BL1736" s="458">
        <v>0.27838128878494839</v>
      </c>
      <c r="BM1736" s="468">
        <v>7.9698171967335991</v>
      </c>
    </row>
    <row r="1737" spans="12:65" x14ac:dyDescent="0.3">
      <c r="L1737" s="427">
        <v>16809521.5447</v>
      </c>
      <c r="BE1737" s="477">
        <v>2328968.9604499848</v>
      </c>
      <c r="BF1737" s="458">
        <v>4.2979500773198565E-2</v>
      </c>
      <c r="BG1737" s="477">
        <v>15133207.399830803</v>
      </c>
      <c r="BH1737" s="458">
        <v>6.8166890508667421E-2</v>
      </c>
      <c r="BI1737" s="477">
        <v>17862935.586780455</v>
      </c>
      <c r="BJ1737" s="458">
        <v>0.12227520590220164</v>
      </c>
      <c r="BK1737" s="477">
        <v>92359805.113181919</v>
      </c>
      <c r="BL1737" s="458">
        <v>0.25882287095182299</v>
      </c>
      <c r="BM1737" s="468">
        <v>2.9879119014649875</v>
      </c>
    </row>
    <row r="1738" spans="12:65" x14ac:dyDescent="0.3">
      <c r="L1738" s="427">
        <v>25755271.954</v>
      </c>
      <c r="BE1738" s="477">
        <v>7479154.6449141772</v>
      </c>
      <c r="BF1738" s="458">
        <v>2.2666102971241164E-2</v>
      </c>
      <c r="BG1738" s="477">
        <v>6911728.2400019094</v>
      </c>
      <c r="BH1738" s="458">
        <v>8.4239193085185793E-2</v>
      </c>
      <c r="BI1738" s="477">
        <v>18513744.161193445</v>
      </c>
      <c r="BJ1738" s="458">
        <v>0.12583974242098361</v>
      </c>
      <c r="BK1738" s="477">
        <v>83091339.866207972</v>
      </c>
      <c r="BL1738" s="458">
        <v>0.28640779089866086</v>
      </c>
      <c r="BM1738" s="468">
        <v>7.3060576705446971</v>
      </c>
    </row>
    <row r="1739" spans="12:65" x14ac:dyDescent="0.3">
      <c r="L1739" s="427">
        <v>-7372467.5111999996</v>
      </c>
      <c r="BE1739" s="477">
        <v>5200107.4381859126</v>
      </c>
      <c r="BF1739" s="458">
        <v>5.4472843320213737E-2</v>
      </c>
      <c r="BG1739" s="477">
        <v>5619621.02293579</v>
      </c>
      <c r="BH1739" s="458">
        <v>6.2348603302450512E-2</v>
      </c>
      <c r="BI1739" s="477">
        <v>11763265.715344869</v>
      </c>
      <c r="BJ1739" s="458">
        <v>0.12885397002323806</v>
      </c>
      <c r="BK1739" s="477">
        <v>91035129.394179359</v>
      </c>
      <c r="BL1739" s="458">
        <v>0.25356448204208548</v>
      </c>
      <c r="BM1739" s="468">
        <v>11.597259041845266</v>
      </c>
    </row>
    <row r="1740" spans="12:65" x14ac:dyDescent="0.3">
      <c r="L1740" s="427">
        <v>8137552.9923</v>
      </c>
      <c r="BE1740" s="477">
        <v>3697598.2655176311</v>
      </c>
      <c r="BF1740" s="458">
        <v>3.2151814376205179E-2</v>
      </c>
      <c r="BG1740" s="477">
        <v>5593954.8643132998</v>
      </c>
      <c r="BH1740" s="458">
        <v>5.8584887133713348E-2</v>
      </c>
      <c r="BI1740" s="477">
        <v>15456992.833564192</v>
      </c>
      <c r="BJ1740" s="458">
        <v>0.12313397829978778</v>
      </c>
      <c r="BK1740" s="477">
        <v>89930144.35845086</v>
      </c>
      <c r="BL1740" s="458">
        <v>0.28183044030948912</v>
      </c>
      <c r="BM1740" s="468">
        <v>2.2549353188042724</v>
      </c>
    </row>
    <row r="1741" spans="12:65" x14ac:dyDescent="0.3">
      <c r="L1741" s="427">
        <v>-3167180.1636000001</v>
      </c>
      <c r="BE1741" s="477">
        <v>4580097.0741213383</v>
      </c>
      <c r="BF1741" s="458">
        <v>3.4825116644505938E-2</v>
      </c>
      <c r="BG1741" s="477">
        <v>5532077.976704861</v>
      </c>
      <c r="BH1741" s="458">
        <v>6.8078506766962699E-2</v>
      </c>
      <c r="BI1741" s="477">
        <v>13654121.509376651</v>
      </c>
      <c r="BJ1741" s="458">
        <v>0.10236218300316069</v>
      </c>
      <c r="BK1741" s="477">
        <v>86635740.448722333</v>
      </c>
      <c r="BL1741" s="458">
        <v>0.26235062998332936</v>
      </c>
      <c r="BM1741" s="468">
        <v>12.825465150658045</v>
      </c>
    </row>
    <row r="1742" spans="12:65" x14ac:dyDescent="0.3">
      <c r="L1742" s="427">
        <v>20065850.701000001</v>
      </c>
      <c r="BE1742" s="477">
        <v>4888265.6128444578</v>
      </c>
      <c r="BF1742" s="458">
        <v>2.1422840513420027E-2</v>
      </c>
      <c r="BG1742" s="477">
        <v>5261431.0467464775</v>
      </c>
      <c r="BH1742" s="458">
        <v>9.101649609244955E-2</v>
      </c>
      <c r="BI1742" s="477">
        <v>16236873.242400359</v>
      </c>
      <c r="BJ1742" s="458">
        <v>0.1132029843187099</v>
      </c>
      <c r="BK1742" s="477">
        <v>85478207.101697281</v>
      </c>
      <c r="BL1742" s="458">
        <v>0.29032947367022621</v>
      </c>
      <c r="BM1742" s="468">
        <v>8.4091445739815232</v>
      </c>
    </row>
    <row r="1743" spans="12:65" x14ac:dyDescent="0.3">
      <c r="L1743" s="427">
        <v>14860927.468900001</v>
      </c>
      <c r="BE1743" s="477">
        <v>4420876.5895461002</v>
      </c>
      <c r="BF1743" s="458">
        <v>4.027397307659597E-2</v>
      </c>
      <c r="BG1743" s="477">
        <v>14112364.607981153</v>
      </c>
      <c r="BH1743" s="458">
        <v>5.6129518026422742E-2</v>
      </c>
      <c r="BI1743" s="477">
        <v>9350289.2142364495</v>
      </c>
      <c r="BJ1743" s="458">
        <v>0.10209399144883058</v>
      </c>
      <c r="BK1743" s="477">
        <v>74016797.008152664</v>
      </c>
      <c r="BL1743" s="458">
        <v>0.28095490407705248</v>
      </c>
      <c r="BM1743" s="468">
        <v>2.7576550843958891</v>
      </c>
    </row>
    <row r="1744" spans="12:65" x14ac:dyDescent="0.3">
      <c r="L1744" s="427">
        <v>16707906.1609</v>
      </c>
      <c r="BE1744" s="477">
        <v>3797380.4943297287</v>
      </c>
      <c r="BF1744" s="458">
        <v>6.1886035598189393E-2</v>
      </c>
      <c r="BG1744" s="477">
        <v>5819927.3915030351</v>
      </c>
      <c r="BH1744" s="458">
        <v>2.558941413209137E-2</v>
      </c>
      <c r="BI1744" s="477">
        <v>13133253.395763874</v>
      </c>
      <c r="BJ1744" s="458">
        <v>0.122327449874303</v>
      </c>
      <c r="BK1744" s="477">
        <v>95486916.191885129</v>
      </c>
      <c r="BL1744" s="458">
        <v>0.27606752946906532</v>
      </c>
      <c r="BM1744" s="468">
        <v>12.055267228144483</v>
      </c>
    </row>
    <row r="1745" spans="12:65" x14ac:dyDescent="0.3">
      <c r="L1745" s="427">
        <v>8411386.1272999998</v>
      </c>
      <c r="BE1745" s="477">
        <v>8832216.8824757244</v>
      </c>
      <c r="BF1745" s="458">
        <v>1.6406092313441034E-2</v>
      </c>
      <c r="BG1745" s="477">
        <v>6284496.3779991753</v>
      </c>
      <c r="BH1745" s="458">
        <v>6.2052672689969279E-2</v>
      </c>
      <c r="BI1745" s="477">
        <v>14193553.423483087</v>
      </c>
      <c r="BJ1745" s="458">
        <v>0.11310389185028247</v>
      </c>
      <c r="BK1745" s="477">
        <v>100311761.93622857</v>
      </c>
      <c r="BL1745" s="458">
        <v>0.25694445827106649</v>
      </c>
      <c r="BM1745" s="468">
        <v>12.034246819255689</v>
      </c>
    </row>
    <row r="1746" spans="12:65" x14ac:dyDescent="0.3">
      <c r="L1746" s="427">
        <v>21179437.717599999</v>
      </c>
      <c r="BE1746" s="477">
        <v>4560481.8294791151</v>
      </c>
      <c r="BF1746" s="458">
        <v>4.0571317411391083E-2</v>
      </c>
      <c r="BG1746" s="477">
        <v>11478192.395237882</v>
      </c>
      <c r="BH1746" s="458">
        <v>4.8236189198846313E-2</v>
      </c>
      <c r="BI1746" s="477">
        <v>12914267.820166672</v>
      </c>
      <c r="BJ1746" s="458">
        <v>0.12066012636118817</v>
      </c>
      <c r="BK1746" s="477">
        <v>94613334.089550123</v>
      </c>
      <c r="BL1746" s="458">
        <v>0.25098855279838106</v>
      </c>
      <c r="BM1746" s="468">
        <v>13.235989280768937</v>
      </c>
    </row>
    <row r="1747" spans="12:65" x14ac:dyDescent="0.3">
      <c r="L1747" s="427">
        <v>-6905531.8503999999</v>
      </c>
      <c r="BE1747" s="477">
        <v>1512235.0439721979</v>
      </c>
      <c r="BF1747" s="458">
        <v>4.2682663841236756E-2</v>
      </c>
      <c r="BG1747" s="477">
        <v>13007930.204872802</v>
      </c>
      <c r="BH1747" s="458">
        <v>4.8143411645134471E-2</v>
      </c>
      <c r="BI1747" s="477">
        <v>17285863.815916382</v>
      </c>
      <c r="BJ1747" s="458">
        <v>0.12258248405807604</v>
      </c>
      <c r="BK1747" s="477">
        <v>75709030.774130106</v>
      </c>
      <c r="BL1747" s="458">
        <v>0.2627734932675454</v>
      </c>
      <c r="BM1747" s="468">
        <v>3.9004487140619277</v>
      </c>
    </row>
    <row r="1748" spans="12:65" x14ac:dyDescent="0.3">
      <c r="L1748" s="427">
        <v>14276160.805500001</v>
      </c>
      <c r="BE1748" s="477">
        <v>12098200.615357833</v>
      </c>
      <c r="BF1748" s="458">
        <v>4.1193213252473937E-2</v>
      </c>
      <c r="BG1748" s="477">
        <v>5382596.8267273335</v>
      </c>
      <c r="BH1748" s="458">
        <v>8.034636229055736E-2</v>
      </c>
      <c r="BI1748" s="477">
        <v>18479750.560005397</v>
      </c>
      <c r="BJ1748" s="458">
        <v>0.11252695316753858</v>
      </c>
      <c r="BK1748" s="477">
        <v>81162780.63576363</v>
      </c>
      <c r="BL1748" s="458">
        <v>0.2651899323290039</v>
      </c>
      <c r="BM1748" s="468">
        <v>4.4080842713691011</v>
      </c>
    </row>
    <row r="1749" spans="12:65" x14ac:dyDescent="0.3">
      <c r="L1749" s="427">
        <v>2836023.2467</v>
      </c>
      <c r="BE1749" s="477">
        <v>5240565.5162847843</v>
      </c>
      <c r="BF1749" s="458">
        <v>3.5134855118998054E-2</v>
      </c>
      <c r="BG1749" s="477">
        <v>14270638.060425909</v>
      </c>
      <c r="BH1749" s="458">
        <v>7.1238921634904973E-2</v>
      </c>
      <c r="BI1749" s="477">
        <v>13736374.312650042</v>
      </c>
      <c r="BJ1749" s="458">
        <v>9.3023055688989054E-2</v>
      </c>
      <c r="BK1749" s="477">
        <v>85889228.1238949</v>
      </c>
      <c r="BL1749" s="458">
        <v>0.27498696186328075</v>
      </c>
      <c r="BM1749" s="468">
        <v>12.964704200428161</v>
      </c>
    </row>
    <row r="1750" spans="12:65" x14ac:dyDescent="0.3">
      <c r="L1750" s="427">
        <v>-14647958.92</v>
      </c>
      <c r="BE1750" s="477">
        <v>4425900.5914675919</v>
      </c>
      <c r="BF1750" s="458">
        <v>3.5228533514927385E-2</v>
      </c>
      <c r="BG1750" s="477">
        <v>9830530.1530029066</v>
      </c>
      <c r="BH1750" s="458">
        <v>6.2134130190726999E-2</v>
      </c>
      <c r="BI1750" s="477">
        <v>17184160.906196512</v>
      </c>
      <c r="BJ1750" s="458">
        <v>0.1018576941680005</v>
      </c>
      <c r="BK1750" s="477">
        <v>88312247.978111729</v>
      </c>
      <c r="BL1750" s="458">
        <v>0.2582435675550554</v>
      </c>
      <c r="BM1750" s="468">
        <v>7.2505866670919517E-2</v>
      </c>
    </row>
    <row r="1751" spans="12:65" x14ac:dyDescent="0.3">
      <c r="L1751" s="427">
        <v>6936098.0405999999</v>
      </c>
      <c r="BE1751" s="477">
        <v>6855294.0114164855</v>
      </c>
      <c r="BF1751" s="458">
        <v>2.9682195710987402E-2</v>
      </c>
      <c r="BG1751" s="477">
        <v>6997974.7320712125</v>
      </c>
      <c r="BH1751" s="458">
        <v>5.2504933255716146E-2</v>
      </c>
      <c r="BI1751" s="477">
        <v>15794541.29027543</v>
      </c>
      <c r="BJ1751" s="458">
        <v>0.11572352904304206</v>
      </c>
      <c r="BK1751" s="477">
        <v>81918414.683548898</v>
      </c>
      <c r="BL1751" s="458">
        <v>0.26466591424469454</v>
      </c>
      <c r="BM1751" s="468">
        <v>10.436327970456617</v>
      </c>
    </row>
    <row r="1752" spans="12:65" x14ac:dyDescent="0.3">
      <c r="L1752" s="427">
        <v>-1009684.2871</v>
      </c>
      <c r="BE1752" s="477">
        <v>4759170.7707534563</v>
      </c>
      <c r="BF1752" s="458">
        <v>2.6456146166021766E-2</v>
      </c>
      <c r="BG1752" s="477">
        <v>13289769.391308494</v>
      </c>
      <c r="BH1752" s="458">
        <v>8.5215553452173021E-2</v>
      </c>
      <c r="BI1752" s="477">
        <v>15425982.171460297</v>
      </c>
      <c r="BJ1752" s="458">
        <v>0.10737548339640646</v>
      </c>
      <c r="BK1752" s="477">
        <v>81349373.696919367</v>
      </c>
      <c r="BL1752" s="458">
        <v>0.26551937717452989</v>
      </c>
      <c r="BM1752" s="468">
        <v>11.687160665074405</v>
      </c>
    </row>
    <row r="1753" spans="12:65" x14ac:dyDescent="0.3">
      <c r="L1753" s="427">
        <v>12303671.799799999</v>
      </c>
      <c r="BE1753" s="477">
        <v>-811927.43966611999</v>
      </c>
      <c r="BF1753" s="458">
        <v>3.2056896838820403E-2</v>
      </c>
      <c r="BG1753" s="477">
        <v>11683532.261694863</v>
      </c>
      <c r="BH1753" s="458">
        <v>4.1150171196400631E-2</v>
      </c>
      <c r="BI1753" s="477">
        <v>15494097.286512176</v>
      </c>
      <c r="BJ1753" s="458">
        <v>0.12262798196759284</v>
      </c>
      <c r="BK1753" s="477">
        <v>101463151.17002928</v>
      </c>
      <c r="BL1753" s="458">
        <v>0.26046271812808763</v>
      </c>
      <c r="BM1753" s="468">
        <v>5.7546945279684021</v>
      </c>
    </row>
    <row r="1754" spans="12:65" x14ac:dyDescent="0.3">
      <c r="L1754" s="427">
        <v>972097.99140000006</v>
      </c>
      <c r="BE1754" s="477">
        <v>6163687.9817700684</v>
      </c>
      <c r="BF1754" s="458">
        <v>4.9970543236563136E-2</v>
      </c>
      <c r="BG1754" s="477">
        <v>12779572.077697203</v>
      </c>
      <c r="BH1754" s="458">
        <v>7.638998709284639E-2</v>
      </c>
      <c r="BI1754" s="477">
        <v>16909998.705578223</v>
      </c>
      <c r="BJ1754" s="458">
        <v>0.11792735105024788</v>
      </c>
      <c r="BK1754" s="477">
        <v>83887997.886541173</v>
      </c>
      <c r="BL1754" s="458">
        <v>0.23800714411619128</v>
      </c>
      <c r="BM1754" s="468">
        <v>10.466234540314241</v>
      </c>
    </row>
    <row r="1755" spans="12:65" x14ac:dyDescent="0.3">
      <c r="L1755" s="427">
        <v>19404515.443599999</v>
      </c>
      <c r="BE1755" s="477">
        <v>3480640.2426052704</v>
      </c>
      <c r="BF1755" s="458">
        <v>9.6458871561620807E-2</v>
      </c>
      <c r="BG1755" s="477">
        <v>7802757.2127550188</v>
      </c>
      <c r="BH1755" s="458">
        <v>6.6184053459112713E-2</v>
      </c>
      <c r="BI1755" s="477">
        <v>14405302.468515519</v>
      </c>
      <c r="BJ1755" s="458">
        <v>8.88055393103937E-2</v>
      </c>
      <c r="BK1755" s="477">
        <v>84782584.595735729</v>
      </c>
      <c r="BL1755" s="458">
        <v>0.26513140463737828</v>
      </c>
      <c r="BM1755" s="468">
        <v>14.111797044562962</v>
      </c>
    </row>
    <row r="1756" spans="12:65" x14ac:dyDescent="0.3">
      <c r="L1756" s="427">
        <v>2059009.3606</v>
      </c>
      <c r="BE1756" s="477">
        <v>7252550.9610411534</v>
      </c>
      <c r="BF1756" s="458">
        <v>6.540740700713199E-2</v>
      </c>
      <c r="BG1756" s="477">
        <v>12228271.551123291</v>
      </c>
      <c r="BH1756" s="458">
        <v>7.4260666174711609E-2</v>
      </c>
      <c r="BI1756" s="477">
        <v>20586220.863347519</v>
      </c>
      <c r="BJ1756" s="458">
        <v>9.8436072042447753E-2</v>
      </c>
      <c r="BK1756" s="477">
        <v>106537625.27977557</v>
      </c>
      <c r="BL1756" s="458">
        <v>0.25909965554422643</v>
      </c>
      <c r="BM1756" s="468">
        <v>15.2476898347557</v>
      </c>
    </row>
    <row r="1757" spans="12:65" x14ac:dyDescent="0.3">
      <c r="L1757" s="427">
        <v>-191761.27009999999</v>
      </c>
      <c r="BE1757" s="477">
        <v>2073797.816054882</v>
      </c>
      <c r="BF1757" s="458">
        <v>4.3727429337542034E-2</v>
      </c>
      <c r="BG1757" s="477">
        <v>8620362.0047158636</v>
      </c>
      <c r="BH1757" s="458">
        <v>7.7118228936038369E-2</v>
      </c>
      <c r="BI1757" s="477">
        <v>24754969.534701716</v>
      </c>
      <c r="BJ1757" s="458">
        <v>0.15922761341808433</v>
      </c>
      <c r="BK1757" s="477">
        <v>83552701.768935144</v>
      </c>
      <c r="BL1757" s="458">
        <v>0.27317829014758499</v>
      </c>
      <c r="BM1757" s="468">
        <v>8.7002383777719885</v>
      </c>
    </row>
    <row r="1758" spans="12:65" x14ac:dyDescent="0.3">
      <c r="L1758" s="427">
        <v>6416386.5663000001</v>
      </c>
      <c r="BE1758" s="477">
        <v>1558339.7130300298</v>
      </c>
      <c r="BF1758" s="458">
        <v>4.5649579344485325E-2</v>
      </c>
      <c r="BG1758" s="477">
        <v>12448807.134305945</v>
      </c>
      <c r="BH1758" s="458">
        <v>5.8206066023332337E-2</v>
      </c>
      <c r="BI1758" s="477">
        <v>21038886.049214482</v>
      </c>
      <c r="BJ1758" s="458">
        <v>0.12789680774631207</v>
      </c>
      <c r="BK1758" s="477">
        <v>91774598.054411069</v>
      </c>
      <c r="BL1758" s="458">
        <v>0.26933345311748091</v>
      </c>
      <c r="BM1758" s="468">
        <v>5.4450455360861181</v>
      </c>
    </row>
    <row r="1759" spans="12:65" x14ac:dyDescent="0.3">
      <c r="L1759" s="427">
        <v>8183831.0557000004</v>
      </c>
      <c r="BE1759" s="477">
        <v>6118962.6413521171</v>
      </c>
      <c r="BF1759" s="458">
        <v>4.5714222330084375E-2</v>
      </c>
      <c r="BG1759" s="477">
        <v>6721045.7471859194</v>
      </c>
      <c r="BH1759" s="458">
        <v>5.3433045348442842E-2</v>
      </c>
      <c r="BI1759" s="477">
        <v>18573412.38423619</v>
      </c>
      <c r="BJ1759" s="458">
        <v>0.10060239172720831</v>
      </c>
      <c r="BK1759" s="477">
        <v>95391948.041978672</v>
      </c>
      <c r="BL1759" s="458">
        <v>0.288370723957039</v>
      </c>
      <c r="BM1759" s="468">
        <v>13.295593071422147</v>
      </c>
    </row>
    <row r="1760" spans="12:65" x14ac:dyDescent="0.3">
      <c r="L1760" s="427">
        <v>12473098.7118</v>
      </c>
      <c r="BE1760" s="477">
        <v>6575263.9260909241</v>
      </c>
      <c r="BF1760" s="458">
        <v>4.1363743692649946E-2</v>
      </c>
      <c r="BG1760" s="477">
        <v>7773764.3644722905</v>
      </c>
      <c r="BH1760" s="458">
        <v>3.7462144095970373E-2</v>
      </c>
      <c r="BI1760" s="477">
        <v>16984893.839762576</v>
      </c>
      <c r="BJ1760" s="458">
        <v>0.10495116106604896</v>
      </c>
      <c r="BK1760" s="477">
        <v>89675152.414830342</v>
      </c>
      <c r="BL1760" s="458">
        <v>0.27900551006477237</v>
      </c>
      <c r="BM1760" s="468">
        <v>0.23930363762412288</v>
      </c>
    </row>
    <row r="1761" spans="12:65" x14ac:dyDescent="0.3">
      <c r="L1761" s="427">
        <v>-13405246.672900001</v>
      </c>
      <c r="BE1761" s="477">
        <v>5964330.88839918</v>
      </c>
      <c r="BF1761" s="458">
        <v>3.3463207131974704E-2</v>
      </c>
      <c r="BG1761" s="477">
        <v>3166570.8154165023</v>
      </c>
      <c r="BH1761" s="458">
        <v>4.2185082738140922E-2</v>
      </c>
      <c r="BI1761" s="477">
        <v>13644553.930518143</v>
      </c>
      <c r="BJ1761" s="458">
        <v>9.5878621157593935E-2</v>
      </c>
      <c r="BK1761" s="477">
        <v>95278424.884494275</v>
      </c>
      <c r="BL1761" s="458">
        <v>0.2653847490876402</v>
      </c>
      <c r="BM1761" s="468">
        <v>7.9795303252955083</v>
      </c>
    </row>
    <row r="1762" spans="12:65" x14ac:dyDescent="0.3">
      <c r="L1762" s="427">
        <v>5702718.2533</v>
      </c>
      <c r="BE1762" s="477">
        <v>5611315.7222372759</v>
      </c>
      <c r="BF1762" s="458">
        <v>3.8606136066101637E-2</v>
      </c>
      <c r="BG1762" s="477">
        <v>12503166.248096861</v>
      </c>
      <c r="BH1762" s="458">
        <v>5.8036742948656128E-2</v>
      </c>
      <c r="BI1762" s="477">
        <v>13114966.214955496</v>
      </c>
      <c r="BJ1762" s="458">
        <v>9.8656148309071101E-2</v>
      </c>
      <c r="BK1762" s="477">
        <v>90188493.795253754</v>
      </c>
      <c r="BL1762" s="458">
        <v>0.27685685079253819</v>
      </c>
      <c r="BM1762" s="468">
        <v>8.7502943432638371</v>
      </c>
    </row>
    <row r="1763" spans="12:65" x14ac:dyDescent="0.3">
      <c r="L1763" s="427">
        <v>6735501.0942000002</v>
      </c>
      <c r="BE1763" s="477">
        <v>5139526.5788931167</v>
      </c>
      <c r="BF1763" s="458">
        <v>2.8864449798027048E-2</v>
      </c>
      <c r="BG1763" s="477">
        <v>1981587.9216620983</v>
      </c>
      <c r="BH1763" s="458">
        <v>5.3207276017914751E-2</v>
      </c>
      <c r="BI1763" s="477">
        <v>19635510.758196831</v>
      </c>
      <c r="BJ1763" s="458">
        <v>0.1255697446248718</v>
      </c>
      <c r="BK1763" s="477">
        <v>84392344.72440733</v>
      </c>
      <c r="BL1763" s="458">
        <v>0.27447687689592426</v>
      </c>
      <c r="BM1763" s="468">
        <v>4.706988759868743</v>
      </c>
    </row>
    <row r="1764" spans="12:65" x14ac:dyDescent="0.3">
      <c r="L1764" s="427">
        <v>10669063.367799999</v>
      </c>
      <c r="BE1764" s="477">
        <v>4416448.6793705681</v>
      </c>
      <c r="BF1764" s="458">
        <v>7.3845237000419228E-2</v>
      </c>
      <c r="BG1764" s="477">
        <v>13203352.795431545</v>
      </c>
      <c r="BH1764" s="458">
        <v>6.3467789351576931E-2</v>
      </c>
      <c r="BI1764" s="477">
        <v>17605575.383065119</v>
      </c>
      <c r="BJ1764" s="458">
        <v>9.3840426159920609E-2</v>
      </c>
      <c r="BK1764" s="477">
        <v>94634404.972491071</v>
      </c>
      <c r="BL1764" s="458">
        <v>0.26428324766272859</v>
      </c>
      <c r="BM1764" s="468">
        <v>0.94196541634560482</v>
      </c>
    </row>
    <row r="1765" spans="12:65" x14ac:dyDescent="0.3">
      <c r="L1765" s="427">
        <v>-2600434.5617999998</v>
      </c>
      <c r="BE1765" s="477">
        <v>1583972.9550400241</v>
      </c>
      <c r="BF1765" s="458">
        <v>4.9792758663981029E-2</v>
      </c>
      <c r="BG1765" s="477">
        <v>13502378.44202641</v>
      </c>
      <c r="BH1765" s="458">
        <v>6.1769182734472405E-2</v>
      </c>
      <c r="BI1765" s="477">
        <v>23231979.394763213</v>
      </c>
      <c r="BJ1765" s="458">
        <v>0.13153312703884623</v>
      </c>
      <c r="BK1765" s="477">
        <v>85395214.055853575</v>
      </c>
      <c r="BL1765" s="458">
        <v>0.25650181221292767</v>
      </c>
      <c r="BM1765" s="468">
        <v>8.1597007021563783</v>
      </c>
    </row>
    <row r="1766" spans="12:65" x14ac:dyDescent="0.3">
      <c r="L1766" s="427">
        <v>-4688710.1694999998</v>
      </c>
      <c r="BE1766" s="477">
        <v>604658.45859503304</v>
      </c>
      <c r="BF1766" s="458">
        <v>1.242135727390048E-2</v>
      </c>
      <c r="BG1766" s="477">
        <v>10412003.299286807</v>
      </c>
      <c r="BH1766" s="458">
        <v>5.8348326288120367E-2</v>
      </c>
      <c r="BI1766" s="477">
        <v>16372872.844471786</v>
      </c>
      <c r="BJ1766" s="458">
        <v>0.11386839188448183</v>
      </c>
      <c r="BK1766" s="477">
        <v>102754507.29139648</v>
      </c>
      <c r="BL1766" s="458">
        <v>0.28346792450045366</v>
      </c>
      <c r="BM1766" s="468">
        <v>13.043131273553364</v>
      </c>
    </row>
    <row r="1767" spans="12:65" x14ac:dyDescent="0.3">
      <c r="L1767" s="427">
        <v>16514871.347999999</v>
      </c>
      <c r="BE1767" s="477">
        <v>7092426.486442701</v>
      </c>
      <c r="BF1767" s="458">
        <v>3.9231125202815686E-2</v>
      </c>
      <c r="BG1767" s="477">
        <v>5612469.5941480687</v>
      </c>
      <c r="BH1767" s="458">
        <v>6.8930798915482816E-2</v>
      </c>
      <c r="BI1767" s="477">
        <v>18499160.078873139</v>
      </c>
      <c r="BJ1767" s="458">
        <v>0.11357216871130338</v>
      </c>
      <c r="BK1767" s="477">
        <v>87249699.251704335</v>
      </c>
      <c r="BL1767" s="458">
        <v>0.25344212887610151</v>
      </c>
      <c r="BM1767" s="468">
        <v>4.6905585316041218</v>
      </c>
    </row>
    <row r="1768" spans="12:65" x14ac:dyDescent="0.3">
      <c r="L1768" s="427">
        <v>1807857.7039000001</v>
      </c>
      <c r="BE1768" s="477">
        <v>2215409.0807770276</v>
      </c>
      <c r="BF1768" s="458">
        <v>5.1818615503453458E-2</v>
      </c>
      <c r="BG1768" s="477">
        <v>7512599.9972781986</v>
      </c>
      <c r="BH1768" s="458">
        <v>6.091611481154624E-2</v>
      </c>
      <c r="BI1768" s="477">
        <v>24463255.388640236</v>
      </c>
      <c r="BJ1768" s="458">
        <v>0.13186044865795177</v>
      </c>
      <c r="BK1768" s="477">
        <v>77681909.176697463</v>
      </c>
      <c r="BL1768" s="458">
        <v>0.25989613751046559</v>
      </c>
      <c r="BM1768" s="468">
        <v>9.7211175566773065</v>
      </c>
    </row>
    <row r="1769" spans="12:65" x14ac:dyDescent="0.3">
      <c r="L1769" s="427">
        <v>2551509.3516000002</v>
      </c>
      <c r="BE1769" s="477">
        <v>6492825.4295921605</v>
      </c>
      <c r="BF1769" s="458">
        <v>2.540075344017878E-2</v>
      </c>
      <c r="BG1769" s="477">
        <v>6696334.9523535063</v>
      </c>
      <c r="BH1769" s="458">
        <v>8.4683400874302039E-2</v>
      </c>
      <c r="BI1769" s="477">
        <v>25768169.971877236</v>
      </c>
      <c r="BJ1769" s="458">
        <v>0.13180110497446762</v>
      </c>
      <c r="BK1769" s="477">
        <v>91546717.202888325</v>
      </c>
      <c r="BL1769" s="458">
        <v>0.24982579104566827</v>
      </c>
      <c r="BM1769" s="468">
        <v>10.987859708702656</v>
      </c>
    </row>
    <row r="1770" spans="12:65" x14ac:dyDescent="0.3">
      <c r="L1770" s="427">
        <v>17127727.602499999</v>
      </c>
      <c r="BE1770" s="477">
        <v>7861561.8411903707</v>
      </c>
      <c r="BF1770" s="458">
        <v>4.9287758054771924E-2</v>
      </c>
      <c r="BG1770" s="477">
        <v>10038493.800272601</v>
      </c>
      <c r="BH1770" s="458">
        <v>3.8916354459840319E-2</v>
      </c>
      <c r="BI1770" s="477">
        <v>16580437.203262294</v>
      </c>
      <c r="BJ1770" s="458">
        <v>9.3132533431254272E-2</v>
      </c>
      <c r="BK1770" s="477">
        <v>82501336.928890258</v>
      </c>
      <c r="BL1770" s="458">
        <v>0.27860998293173167</v>
      </c>
      <c r="BM1770" s="468">
        <v>6.2732821367181213</v>
      </c>
    </row>
    <row r="1771" spans="12:65" x14ac:dyDescent="0.3">
      <c r="L1771" s="427">
        <v>19395508.608600002</v>
      </c>
      <c r="BE1771" s="477">
        <v>6271595.2685973328</v>
      </c>
      <c r="BF1771" s="458">
        <v>2.0722366850421725E-2</v>
      </c>
      <c r="BG1771" s="477">
        <v>6235284.4987040916</v>
      </c>
      <c r="BH1771" s="458">
        <v>4.3903491200879552E-2</v>
      </c>
      <c r="BI1771" s="477">
        <v>13430049.823390407</v>
      </c>
      <c r="BJ1771" s="458">
        <v>0.10281861298969264</v>
      </c>
      <c r="BK1771" s="477">
        <v>96817349.186411425</v>
      </c>
      <c r="BL1771" s="458">
        <v>0.28547587000343544</v>
      </c>
      <c r="BM1771" s="468">
        <v>11.805700389249992</v>
      </c>
    </row>
    <row r="1772" spans="12:65" x14ac:dyDescent="0.3">
      <c r="L1772" s="427">
        <v>3561163.9733000002</v>
      </c>
      <c r="BE1772" s="477">
        <v>-768464.15455347102</v>
      </c>
      <c r="BF1772" s="458">
        <v>3.8446343390117654E-2</v>
      </c>
      <c r="BG1772" s="477">
        <v>8617699.9497430548</v>
      </c>
      <c r="BH1772" s="458">
        <v>5.7726679636814549E-2</v>
      </c>
      <c r="BI1772" s="477">
        <v>24394517.605792101</v>
      </c>
      <c r="BJ1772" s="458">
        <v>0.11470465776555927</v>
      </c>
      <c r="BK1772" s="477">
        <v>89882157.568241686</v>
      </c>
      <c r="BL1772" s="458">
        <v>0.25192801032518086</v>
      </c>
      <c r="BM1772" s="468">
        <v>1.4954139940688576</v>
      </c>
    </row>
    <row r="1773" spans="12:65" x14ac:dyDescent="0.3">
      <c r="L1773" s="427">
        <v>6693492.2098000003</v>
      </c>
      <c r="BE1773" s="477">
        <v>7012401.9323306875</v>
      </c>
      <c r="BF1773" s="458">
        <v>4.6258923698495158E-2</v>
      </c>
      <c r="BG1773" s="477">
        <v>6997370.5189078925</v>
      </c>
      <c r="BH1773" s="458">
        <v>7.6995045268552165E-2</v>
      </c>
      <c r="BI1773" s="477">
        <v>5736787.7785774088</v>
      </c>
      <c r="BJ1773" s="458">
        <v>0.12270448923310218</v>
      </c>
      <c r="BK1773" s="477">
        <v>85968080.659908131</v>
      </c>
      <c r="BL1773" s="458">
        <v>0.28341350304321811</v>
      </c>
      <c r="BM1773" s="468">
        <v>12.959361512065534</v>
      </c>
    </row>
    <row r="1774" spans="12:65" x14ac:dyDescent="0.3">
      <c r="L1774" s="427">
        <v>5343046.3377</v>
      </c>
      <c r="BE1774" s="477">
        <v>8463297.7993370946</v>
      </c>
      <c r="BF1774" s="458">
        <v>3.6597559900386711E-2</v>
      </c>
      <c r="BG1774" s="477">
        <v>13579259.152142916</v>
      </c>
      <c r="BH1774" s="458">
        <v>7.2229311559659726E-2</v>
      </c>
      <c r="BI1774" s="477">
        <v>14885204.567761015</v>
      </c>
      <c r="BJ1774" s="458">
        <v>0.11656480504860256</v>
      </c>
      <c r="BK1774" s="477">
        <v>105525012.44784378</v>
      </c>
      <c r="BL1774" s="458">
        <v>0.25619043959214016</v>
      </c>
      <c r="BM1774" s="468">
        <v>10.384103142692563</v>
      </c>
    </row>
    <row r="1775" spans="12:65" x14ac:dyDescent="0.3">
      <c r="L1775" s="427">
        <v>16361296.613700001</v>
      </c>
      <c r="BE1775" s="477">
        <v>2689837.9686957947</v>
      </c>
      <c r="BF1775" s="458">
        <v>4.7284356674772043E-2</v>
      </c>
      <c r="BG1775" s="477">
        <v>2088594.0536535601</v>
      </c>
      <c r="BH1775" s="458">
        <v>5.3533895743319793E-2</v>
      </c>
      <c r="BI1775" s="477">
        <v>26030963.852042243</v>
      </c>
      <c r="BJ1775" s="458">
        <v>0.10404734010203898</v>
      </c>
      <c r="BK1775" s="477">
        <v>86714339.968482226</v>
      </c>
      <c r="BL1775" s="458">
        <v>0.27187114138156421</v>
      </c>
      <c r="BM1775" s="468">
        <v>5.9140713132790363</v>
      </c>
    </row>
    <row r="1776" spans="12:65" x14ac:dyDescent="0.3">
      <c r="L1776" s="427">
        <v>23210672.312899999</v>
      </c>
      <c r="BE1776" s="477">
        <v>6814371.8191860681</v>
      </c>
      <c r="BF1776" s="458">
        <v>5.408187346795934E-2</v>
      </c>
      <c r="BG1776" s="477">
        <v>1608780.1113689323</v>
      </c>
      <c r="BH1776" s="458">
        <v>7.0557081171340519E-2</v>
      </c>
      <c r="BI1776" s="477">
        <v>15140191.444245493</v>
      </c>
      <c r="BJ1776" s="458">
        <v>9.7121613550273711E-2</v>
      </c>
      <c r="BK1776" s="477">
        <v>91763246.886779845</v>
      </c>
      <c r="BL1776" s="458">
        <v>0.25567406696967931</v>
      </c>
      <c r="BM1776" s="468">
        <v>4.5786702992281265</v>
      </c>
    </row>
    <row r="1777" spans="12:65" x14ac:dyDescent="0.3">
      <c r="L1777" s="427">
        <v>3792538.6576999999</v>
      </c>
      <c r="BE1777" s="477">
        <v>6233978.7793450663</v>
      </c>
      <c r="BF1777" s="458">
        <v>4.0095820049684372E-2</v>
      </c>
      <c r="BG1777" s="477">
        <v>8899760.249663569</v>
      </c>
      <c r="BH1777" s="458">
        <v>6.5601025711892635E-2</v>
      </c>
      <c r="BI1777" s="477">
        <v>13386793.101878282</v>
      </c>
      <c r="BJ1777" s="458">
        <v>0.10788124828199575</v>
      </c>
      <c r="BK1777" s="477">
        <v>85506297.287822604</v>
      </c>
      <c r="BL1777" s="458">
        <v>0.25534888934724775</v>
      </c>
      <c r="BM1777" s="468">
        <v>6.7163039128555644</v>
      </c>
    </row>
    <row r="1778" spans="12:65" x14ac:dyDescent="0.3">
      <c r="L1778" s="427">
        <v>-35216.322</v>
      </c>
      <c r="BE1778" s="477">
        <v>6563447.6780669969</v>
      </c>
      <c r="BF1778" s="458">
        <v>5.6597125253931901E-2</v>
      </c>
      <c r="BG1778" s="477">
        <v>5656644.152134995</v>
      </c>
      <c r="BH1778" s="458">
        <v>6.457032192566059E-2</v>
      </c>
      <c r="BI1778" s="477">
        <v>18725703.871343672</v>
      </c>
      <c r="BJ1778" s="458">
        <v>0.11259642689788274</v>
      </c>
      <c r="BK1778" s="477">
        <v>90216250.004570052</v>
      </c>
      <c r="BL1778" s="458">
        <v>0.30506593945300819</v>
      </c>
      <c r="BM1778" s="468">
        <v>5.7466967468004349</v>
      </c>
    </row>
    <row r="1779" spans="12:65" x14ac:dyDescent="0.3">
      <c r="L1779" s="427">
        <v>-7625211.5339000002</v>
      </c>
      <c r="BE1779" s="477">
        <v>4122367.2636027099</v>
      </c>
      <c r="BF1779" s="458">
        <v>4.6001113369535496E-2</v>
      </c>
      <c r="BG1779" s="477">
        <v>12649964.415600773</v>
      </c>
      <c r="BH1779" s="458">
        <v>6.263746297021644E-2</v>
      </c>
      <c r="BI1779" s="477">
        <v>15511019.876346093</v>
      </c>
      <c r="BJ1779" s="458">
        <v>0.12638106439689278</v>
      </c>
      <c r="BK1779" s="477">
        <v>81304576.928587765</v>
      </c>
      <c r="BL1779" s="458">
        <v>0.28436721261475606</v>
      </c>
      <c r="BM1779" s="468">
        <v>12.268426278825325</v>
      </c>
    </row>
    <row r="1780" spans="12:65" x14ac:dyDescent="0.3">
      <c r="L1780" s="427">
        <v>12896044.7327</v>
      </c>
      <c r="BE1780" s="477">
        <v>5750119.3812962798</v>
      </c>
      <c r="BF1780" s="458">
        <v>3.9056375352446437E-2</v>
      </c>
      <c r="BG1780" s="477">
        <v>5484094.3384519964</v>
      </c>
      <c r="BH1780" s="458">
        <v>4.3215938459434833E-2</v>
      </c>
      <c r="BI1780" s="477">
        <v>8937161.3793503027</v>
      </c>
      <c r="BJ1780" s="458">
        <v>9.1635823151704709E-2</v>
      </c>
      <c r="BK1780" s="477">
        <v>93386253.629251122</v>
      </c>
      <c r="BL1780" s="458">
        <v>0.27062590514283325</v>
      </c>
      <c r="BM1780" s="468">
        <v>9.7252196520242684</v>
      </c>
    </row>
    <row r="1781" spans="12:65" x14ac:dyDescent="0.3">
      <c r="L1781" s="427">
        <v>6393134.2920000004</v>
      </c>
      <c r="BE1781" s="477">
        <v>1215723.9256307646</v>
      </c>
      <c r="BF1781" s="458">
        <v>2.6972320517496318E-2</v>
      </c>
      <c r="BG1781" s="477">
        <v>2107958.0911125974</v>
      </c>
      <c r="BH1781" s="458">
        <v>4.7307218329483147E-2</v>
      </c>
      <c r="BI1781" s="477">
        <v>21019381.539178252</v>
      </c>
      <c r="BJ1781" s="458">
        <v>0.1123278409700823</v>
      </c>
      <c r="BK1781" s="477">
        <v>98853539.678687289</v>
      </c>
      <c r="BL1781" s="458">
        <v>0.2562927356682374</v>
      </c>
      <c r="BM1781" s="468">
        <v>7.2648458319078895</v>
      </c>
    </row>
    <row r="1782" spans="12:65" x14ac:dyDescent="0.3">
      <c r="L1782" s="427">
        <v>19631287.604200002</v>
      </c>
      <c r="BE1782" s="477">
        <v>7432617.7611540528</v>
      </c>
      <c r="BF1782" s="458">
        <v>2.5784721854174686E-2</v>
      </c>
      <c r="BG1782" s="477">
        <v>2996162.9784065876</v>
      </c>
      <c r="BH1782" s="458">
        <v>8.3995405936178491E-2</v>
      </c>
      <c r="BI1782" s="477">
        <v>14713870.363476349</v>
      </c>
      <c r="BJ1782" s="458">
        <v>9.5147216860677286E-2</v>
      </c>
      <c r="BK1782" s="477">
        <v>91120642.558647275</v>
      </c>
      <c r="BL1782" s="458">
        <v>0.28125817114974505</v>
      </c>
      <c r="BM1782" s="468">
        <v>11.259734130816136</v>
      </c>
    </row>
    <row r="1783" spans="12:65" x14ac:dyDescent="0.3">
      <c r="L1783" s="427">
        <v>-5264762.2494000001</v>
      </c>
      <c r="BE1783" s="477">
        <v>8991175.7634295654</v>
      </c>
      <c r="BF1783" s="458">
        <v>4.6744972985523381E-2</v>
      </c>
      <c r="BG1783" s="477">
        <v>12409544.185798295</v>
      </c>
      <c r="BH1783" s="458">
        <v>8.4468143240378435E-2</v>
      </c>
      <c r="BI1783" s="477">
        <v>19953685.132708102</v>
      </c>
      <c r="BJ1783" s="458">
        <v>9.1847692520663715E-2</v>
      </c>
      <c r="BK1783" s="477">
        <v>97343722.080058426</v>
      </c>
      <c r="BL1783" s="458">
        <v>0.25821790693741953</v>
      </c>
      <c r="BM1783" s="468">
        <v>11.301137124289047</v>
      </c>
    </row>
    <row r="1784" spans="12:65" x14ac:dyDescent="0.3">
      <c r="L1784" s="427">
        <v>9259728.7352000009</v>
      </c>
      <c r="BE1784" s="477">
        <v>1032580.0157468878</v>
      </c>
      <c r="BF1784" s="458">
        <v>3.5669826392721982E-2</v>
      </c>
      <c r="BG1784" s="477">
        <v>10833714.519936224</v>
      </c>
      <c r="BH1784" s="458">
        <v>5.8539690054389526E-2</v>
      </c>
      <c r="BI1784" s="477">
        <v>15062749.716605496</v>
      </c>
      <c r="BJ1784" s="458">
        <v>0.10498464415316966</v>
      </c>
      <c r="BK1784" s="477">
        <v>85225411.792584643</v>
      </c>
      <c r="BL1784" s="458">
        <v>0.25424834887317105</v>
      </c>
      <c r="BM1784" s="468">
        <v>3.0962208368511286</v>
      </c>
    </row>
    <row r="1785" spans="12:65" x14ac:dyDescent="0.3">
      <c r="L1785" s="427">
        <v>14163909.2556</v>
      </c>
      <c r="BE1785" s="477">
        <v>2997691.8369613928</v>
      </c>
      <c r="BF1785" s="458">
        <v>5.4603295579982003E-2</v>
      </c>
      <c r="BG1785" s="477">
        <v>11480831.675256541</v>
      </c>
      <c r="BH1785" s="458">
        <v>6.1497357517398266E-2</v>
      </c>
      <c r="BI1785" s="477">
        <v>17134812.758856721</v>
      </c>
      <c r="BJ1785" s="458">
        <v>9.7495937376041342E-2</v>
      </c>
      <c r="BK1785" s="477">
        <v>98927539.254451931</v>
      </c>
      <c r="BL1785" s="458">
        <v>0.26072504747868641</v>
      </c>
      <c r="BM1785" s="468">
        <v>7.6329498517413965</v>
      </c>
    </row>
    <row r="1786" spans="12:65" x14ac:dyDescent="0.3">
      <c r="L1786" s="427">
        <v>14417237.720100001</v>
      </c>
      <c r="BE1786" s="477">
        <v>5559268.1820684709</v>
      </c>
      <c r="BF1786" s="458">
        <v>2.8101916701574803E-2</v>
      </c>
      <c r="BG1786" s="477">
        <v>11003854.204604996</v>
      </c>
      <c r="BH1786" s="458">
        <v>5.9722307252216167E-2</v>
      </c>
      <c r="BI1786" s="477">
        <v>11167992.832699282</v>
      </c>
      <c r="BJ1786" s="458">
        <v>0.1003363660652119</v>
      </c>
      <c r="BK1786" s="477">
        <v>88508739.998036236</v>
      </c>
      <c r="BL1786" s="458">
        <v>0.26577077532055915</v>
      </c>
      <c r="BM1786" s="468">
        <v>6.621041947242678</v>
      </c>
    </row>
    <row r="1787" spans="12:65" x14ac:dyDescent="0.3">
      <c r="L1787" s="427">
        <v>-509894.76449999999</v>
      </c>
      <c r="BE1787" s="477">
        <v>4659843.7885190006</v>
      </c>
      <c r="BF1787" s="458">
        <v>3.0338881370808757E-2</v>
      </c>
      <c r="BG1787" s="477">
        <v>10391587.69585151</v>
      </c>
      <c r="BH1787" s="458">
        <v>6.570596873060075E-2</v>
      </c>
      <c r="BI1787" s="477">
        <v>17783437.28680364</v>
      </c>
      <c r="BJ1787" s="458">
        <v>0.11031869495993218</v>
      </c>
      <c r="BK1787" s="477">
        <v>79749813.241224796</v>
      </c>
      <c r="BL1787" s="458">
        <v>0.25494818056960877</v>
      </c>
      <c r="BM1787" s="468">
        <v>13.390238344668752</v>
      </c>
    </row>
    <row r="1788" spans="12:65" x14ac:dyDescent="0.3">
      <c r="L1788" s="427">
        <v>2743369.2982000001</v>
      </c>
      <c r="BE1788" s="477">
        <v>3710602.0902198944</v>
      </c>
      <c r="BF1788" s="458">
        <v>2.3735305429590126E-2</v>
      </c>
      <c r="BG1788" s="477">
        <v>14888550.021801699</v>
      </c>
      <c r="BH1788" s="458">
        <v>4.343554265946703E-2</v>
      </c>
      <c r="BI1788" s="477">
        <v>26074141.18973349</v>
      </c>
      <c r="BJ1788" s="458">
        <v>0.12289726702613923</v>
      </c>
      <c r="BK1788" s="477">
        <v>97177395.714548141</v>
      </c>
      <c r="BL1788" s="458">
        <v>0.2685027293637563</v>
      </c>
      <c r="BM1788" s="468">
        <v>4.2310763548303409</v>
      </c>
    </row>
    <row r="1789" spans="12:65" x14ac:dyDescent="0.3">
      <c r="L1789" s="427">
        <v>14404513.822000001</v>
      </c>
      <c r="BE1789" s="477">
        <v>4295548.9621283365</v>
      </c>
      <c r="BF1789" s="458">
        <v>2.9327308673539276E-2</v>
      </c>
      <c r="BG1789" s="477">
        <v>15378950.77548027</v>
      </c>
      <c r="BH1789" s="458">
        <v>5.7382396957974091E-2</v>
      </c>
      <c r="BI1789" s="477">
        <v>13488384.675695213</v>
      </c>
      <c r="BJ1789" s="458">
        <v>9.2795127088534768E-2</v>
      </c>
      <c r="BK1789" s="477">
        <v>72321934.645080805</v>
      </c>
      <c r="BL1789" s="458">
        <v>0.29606820829687597</v>
      </c>
      <c r="BM1789" s="468">
        <v>9.3383006068549914</v>
      </c>
    </row>
    <row r="1790" spans="12:65" x14ac:dyDescent="0.3">
      <c r="L1790" s="427">
        <v>22418158.240600001</v>
      </c>
      <c r="BE1790" s="477">
        <v>7189130.3396880459</v>
      </c>
      <c r="BF1790" s="458">
        <v>3.5206080622047553E-2</v>
      </c>
      <c r="BG1790" s="477">
        <v>7800193.6678414922</v>
      </c>
      <c r="BH1790" s="458">
        <v>5.6822497549341655E-2</v>
      </c>
      <c r="BI1790" s="477">
        <v>15636504.438017882</v>
      </c>
      <c r="BJ1790" s="458">
        <v>0.12537001827322869</v>
      </c>
      <c r="BK1790" s="477">
        <v>92061897.92439504</v>
      </c>
      <c r="BL1790" s="458">
        <v>0.24129142049087826</v>
      </c>
      <c r="BM1790" s="468">
        <v>3.9433727117482222</v>
      </c>
    </row>
    <row r="1791" spans="12:65" x14ac:dyDescent="0.3">
      <c r="L1791" s="427">
        <v>22108137.281399999</v>
      </c>
      <c r="BE1791" s="477">
        <v>4170575.4774046731</v>
      </c>
      <c r="BF1791" s="458">
        <v>4.076045467185696E-2</v>
      </c>
      <c r="BG1791" s="477">
        <v>9816560.7698951233</v>
      </c>
      <c r="BH1791" s="458">
        <v>4.7704697954890518E-2</v>
      </c>
      <c r="BI1791" s="477">
        <v>21069216.200215515</v>
      </c>
      <c r="BJ1791" s="458">
        <v>8.5482444291444359E-2</v>
      </c>
      <c r="BK1791" s="477">
        <v>95639732.040713549</v>
      </c>
      <c r="BL1791" s="458">
        <v>0.26745152622769264</v>
      </c>
      <c r="BM1791" s="468">
        <v>6.8850853826067606</v>
      </c>
    </row>
    <row r="1792" spans="12:65" x14ac:dyDescent="0.3">
      <c r="L1792" s="427">
        <v>-1530477.7179</v>
      </c>
      <c r="BE1792" s="477">
        <v>4244334.9840270486</v>
      </c>
      <c r="BF1792" s="458">
        <v>3.5891193884443284E-2</v>
      </c>
      <c r="BG1792" s="477">
        <v>8533994.3834347259</v>
      </c>
      <c r="BH1792" s="458">
        <v>8.0551002261076032E-2</v>
      </c>
      <c r="BI1792" s="477">
        <v>22140133.065546393</v>
      </c>
      <c r="BJ1792" s="458">
        <v>0.11251826899811679</v>
      </c>
      <c r="BK1792" s="477">
        <v>78731889.606648505</v>
      </c>
      <c r="BL1792" s="458">
        <v>0.24878882186703155</v>
      </c>
      <c r="BM1792" s="468">
        <v>10.794507314562917</v>
      </c>
    </row>
    <row r="1793" spans="12:65" x14ac:dyDescent="0.3">
      <c r="L1793" s="427">
        <v>10015022.543</v>
      </c>
      <c r="BE1793" s="477">
        <v>5974563.454963157</v>
      </c>
      <c r="BF1793" s="458">
        <v>2.5500182478451983E-2</v>
      </c>
      <c r="BG1793" s="477">
        <v>5016068.2236182233</v>
      </c>
      <c r="BH1793" s="458">
        <v>5.5654669196017581E-2</v>
      </c>
      <c r="BI1793" s="477">
        <v>20086854.258407403</v>
      </c>
      <c r="BJ1793" s="458">
        <v>0.1064997579334237</v>
      </c>
      <c r="BK1793" s="477">
        <v>90697689.989689529</v>
      </c>
      <c r="BL1793" s="458">
        <v>0.25459207676020901</v>
      </c>
      <c r="BM1793" s="468">
        <v>10.465101593846271</v>
      </c>
    </row>
    <row r="1794" spans="12:65" x14ac:dyDescent="0.3">
      <c r="L1794" s="427">
        <v>13656948.0405</v>
      </c>
      <c r="BE1794" s="477">
        <v>9833956.6358282175</v>
      </c>
      <c r="BF1794" s="458">
        <v>2.4687193793496487E-2</v>
      </c>
      <c r="BG1794" s="477">
        <v>9083882.3515169807</v>
      </c>
      <c r="BH1794" s="458">
        <v>6.5135047832961313E-2</v>
      </c>
      <c r="BI1794" s="477">
        <v>21195876.43441838</v>
      </c>
      <c r="BJ1794" s="458">
        <v>0.12565840069613499</v>
      </c>
      <c r="BK1794" s="477">
        <v>95927762.532919154</v>
      </c>
      <c r="BL1794" s="458">
        <v>0.25990504388217239</v>
      </c>
      <c r="BM1794" s="468">
        <v>11.652387722424404</v>
      </c>
    </row>
    <row r="1795" spans="12:65" x14ac:dyDescent="0.3">
      <c r="L1795" s="427">
        <v>11323582.8462</v>
      </c>
      <c r="BE1795" s="477">
        <v>3158863.2847981174</v>
      </c>
      <c r="BF1795" s="458">
        <v>3.0445412523211646E-2</v>
      </c>
      <c r="BG1795" s="477">
        <v>9412292.0922741257</v>
      </c>
      <c r="BH1795" s="458">
        <v>5.6934008609498932E-2</v>
      </c>
      <c r="BI1795" s="477">
        <v>18998715.183550164</v>
      </c>
      <c r="BJ1795" s="458">
        <v>9.5110122495223326E-2</v>
      </c>
      <c r="BK1795" s="477">
        <v>93812241.846808761</v>
      </c>
      <c r="BL1795" s="458">
        <v>0.26716135603650937</v>
      </c>
      <c r="BM1795" s="468">
        <v>8.7694525937132468</v>
      </c>
    </row>
    <row r="1796" spans="12:65" x14ac:dyDescent="0.3">
      <c r="L1796" s="427">
        <v>23312647.464299999</v>
      </c>
      <c r="BE1796" s="477">
        <v>5619050.1356574455</v>
      </c>
      <c r="BF1796" s="458">
        <v>3.5871994574337318E-2</v>
      </c>
      <c r="BG1796" s="477">
        <v>8177536.253526045</v>
      </c>
      <c r="BH1796" s="458">
        <v>6.8070956612534816E-2</v>
      </c>
      <c r="BI1796" s="477">
        <v>17676378.748834163</v>
      </c>
      <c r="BJ1796" s="458">
        <v>8.6124473788629752E-2</v>
      </c>
      <c r="BK1796" s="477">
        <v>71975364.405641586</v>
      </c>
      <c r="BL1796" s="458">
        <v>0.26100784499433072</v>
      </c>
      <c r="BM1796" s="468">
        <v>10.758451371143448</v>
      </c>
    </row>
    <row r="1797" spans="12:65" x14ac:dyDescent="0.3">
      <c r="L1797" s="427">
        <v>15684932.8237</v>
      </c>
      <c r="BE1797" s="477">
        <v>6831623.8123816419</v>
      </c>
      <c r="BF1797" s="458">
        <v>1.7500962239305196E-2</v>
      </c>
      <c r="BG1797" s="477">
        <v>9954789.0140713472</v>
      </c>
      <c r="BH1797" s="458">
        <v>7.8395977294751784E-2</v>
      </c>
      <c r="BI1797" s="477">
        <v>12924086.718195297</v>
      </c>
      <c r="BJ1797" s="458">
        <v>0.10902064878629614</v>
      </c>
      <c r="BK1797" s="477">
        <v>85386192.537279069</v>
      </c>
      <c r="BL1797" s="458">
        <v>0.27533701448960435</v>
      </c>
      <c r="BM1797" s="468">
        <v>9.2344181567349164</v>
      </c>
    </row>
    <row r="1798" spans="12:65" x14ac:dyDescent="0.3">
      <c r="L1798" s="427">
        <v>20321212.003699999</v>
      </c>
      <c r="BE1798" s="477">
        <v>6827072.422602783</v>
      </c>
      <c r="BF1798" s="458">
        <v>3.1020769575472062E-2</v>
      </c>
      <c r="BG1798" s="477">
        <v>7273422.9774482623</v>
      </c>
      <c r="BH1798" s="458">
        <v>6.6148469809711008E-2</v>
      </c>
      <c r="BI1798" s="477">
        <v>21308522.911479156</v>
      </c>
      <c r="BJ1798" s="458">
        <v>0.10144825701355709</v>
      </c>
      <c r="BK1798" s="477">
        <v>96943804.770618469</v>
      </c>
      <c r="BL1798" s="458">
        <v>0.26067932214567957</v>
      </c>
      <c r="BM1798" s="468">
        <v>3.1292010366452088</v>
      </c>
    </row>
    <row r="1799" spans="12:65" x14ac:dyDescent="0.3">
      <c r="L1799" s="427">
        <v>19247190.615400001</v>
      </c>
      <c r="BE1799" s="477">
        <v>5003509.5462538199</v>
      </c>
      <c r="BF1799" s="458">
        <v>3.9405646298031005E-2</v>
      </c>
      <c r="BG1799" s="477">
        <v>10487485.037786532</v>
      </c>
      <c r="BH1799" s="458">
        <v>8.6121428943325196E-2</v>
      </c>
      <c r="BI1799" s="477">
        <v>13000403.551324176</v>
      </c>
      <c r="BJ1799" s="458">
        <v>0.1070206878853559</v>
      </c>
      <c r="BK1799" s="477">
        <v>92853707.454243451</v>
      </c>
      <c r="BL1799" s="458">
        <v>0.26625290270254909</v>
      </c>
      <c r="BM1799" s="468">
        <v>5.328762077399392</v>
      </c>
    </row>
    <row r="1800" spans="12:65" x14ac:dyDescent="0.3">
      <c r="L1800" s="427">
        <v>-8325851.3569999998</v>
      </c>
      <c r="BE1800" s="477">
        <v>5219851.1979907844</v>
      </c>
      <c r="BF1800" s="458">
        <v>4.5582884570009474E-2</v>
      </c>
      <c r="BG1800" s="477">
        <v>10979555.259503849</v>
      </c>
      <c r="BH1800" s="458">
        <v>5.4141516739688811E-2</v>
      </c>
      <c r="BI1800" s="477">
        <v>11934589.977721144</v>
      </c>
      <c r="BJ1800" s="458">
        <v>9.9088524186869087E-2</v>
      </c>
      <c r="BK1800" s="477">
        <v>86056070.316931829</v>
      </c>
      <c r="BL1800" s="458">
        <v>0.25620649816869268</v>
      </c>
      <c r="BM1800" s="468">
        <v>4.3771022556593158</v>
      </c>
    </row>
    <row r="1801" spans="12:65" x14ac:dyDescent="0.3">
      <c r="L1801" s="427">
        <v>11424958.1207</v>
      </c>
      <c r="BE1801" s="477">
        <v>907826.72320119827</v>
      </c>
      <c r="BF1801" s="458">
        <v>3.2823900302586972E-2</v>
      </c>
      <c r="BG1801" s="477">
        <v>14664172.775407784</v>
      </c>
      <c r="BH1801" s="458">
        <v>7.8304190238170479E-2</v>
      </c>
      <c r="BI1801" s="477">
        <v>16210424.617840283</v>
      </c>
      <c r="BJ1801" s="458">
        <v>8.9613256810875397E-2</v>
      </c>
      <c r="BK1801" s="477">
        <v>83813064.504165769</v>
      </c>
      <c r="BL1801" s="458">
        <v>0.2715660364998036</v>
      </c>
      <c r="BM1801" s="468">
        <v>8.9387589282965276</v>
      </c>
    </row>
    <row r="1802" spans="12:65" x14ac:dyDescent="0.3">
      <c r="L1802" s="427">
        <v>11859003.698100001</v>
      </c>
      <c r="BE1802" s="477">
        <v>4770488.2451521261</v>
      </c>
      <c r="BF1802" s="458">
        <v>7.5559812869756549E-2</v>
      </c>
      <c r="BG1802" s="477">
        <v>8782321.5811872333</v>
      </c>
      <c r="BH1802" s="458">
        <v>6.5001662090901746E-2</v>
      </c>
      <c r="BI1802" s="477">
        <v>26244826.51161132</v>
      </c>
      <c r="BJ1802" s="458">
        <v>9.9915026604444179E-2</v>
      </c>
      <c r="BK1802" s="477">
        <v>86769568.611348867</v>
      </c>
      <c r="BL1802" s="458">
        <v>0.26167103547585646</v>
      </c>
      <c r="BM1802" s="468">
        <v>0.28857831852192195</v>
      </c>
    </row>
    <row r="1803" spans="12:65" x14ac:dyDescent="0.3">
      <c r="L1803" s="427">
        <v>4699612.2626</v>
      </c>
      <c r="BE1803" s="477">
        <v>2661776.24228389</v>
      </c>
      <c r="BF1803" s="458">
        <v>5.1879154261412097E-2</v>
      </c>
      <c r="BG1803" s="477">
        <v>280108.65447980486</v>
      </c>
      <c r="BH1803" s="458">
        <v>7.4550596415982273E-2</v>
      </c>
      <c r="BI1803" s="477">
        <v>21166231.74327904</v>
      </c>
      <c r="BJ1803" s="458">
        <v>9.474786173075378E-2</v>
      </c>
      <c r="BK1803" s="477">
        <v>98714259.247031063</v>
      </c>
      <c r="BL1803" s="458">
        <v>0.26887259743429226</v>
      </c>
      <c r="BM1803" s="468">
        <v>5.0658684468225132</v>
      </c>
    </row>
    <row r="1804" spans="12:65" x14ac:dyDescent="0.3">
      <c r="L1804" s="427">
        <v>7398397.8212000001</v>
      </c>
      <c r="BE1804" s="477">
        <v>2654945.4425269538</v>
      </c>
      <c r="BF1804" s="458">
        <v>4.2452661590755003E-2</v>
      </c>
      <c r="BG1804" s="477">
        <v>9884115.2724508774</v>
      </c>
      <c r="BH1804" s="458">
        <v>5.7099300530999653E-2</v>
      </c>
      <c r="BI1804" s="477">
        <v>20598913.729824416</v>
      </c>
      <c r="BJ1804" s="458">
        <v>0.12179763997650195</v>
      </c>
      <c r="BK1804" s="477">
        <v>92129721.713160247</v>
      </c>
      <c r="BL1804" s="458">
        <v>0.27205951196867018</v>
      </c>
      <c r="BM1804" s="468">
        <v>5.9565917524543757</v>
      </c>
    </row>
    <row r="1805" spans="12:65" x14ac:dyDescent="0.3">
      <c r="L1805" s="427">
        <v>9525091.3442000002</v>
      </c>
      <c r="BE1805" s="477">
        <v>4625222.3435169309</v>
      </c>
      <c r="BF1805" s="458">
        <v>2.6855109552464729E-2</v>
      </c>
      <c r="BG1805" s="477">
        <v>4866307.9973658575</v>
      </c>
      <c r="BH1805" s="458">
        <v>8.2630896834550605E-2</v>
      </c>
      <c r="BI1805" s="477">
        <v>13739353.001304915</v>
      </c>
      <c r="BJ1805" s="458">
        <v>0.10093453369375815</v>
      </c>
      <c r="BK1805" s="477">
        <v>81913340.066121653</v>
      </c>
      <c r="BL1805" s="458">
        <v>0.27214565555431558</v>
      </c>
      <c r="BM1805" s="468">
        <v>10.966692336362271</v>
      </c>
    </row>
    <row r="1806" spans="12:65" x14ac:dyDescent="0.3">
      <c r="L1806" s="427">
        <v>-7673913.4751000004</v>
      </c>
      <c r="BE1806" s="477">
        <v>6985408.3420668114</v>
      </c>
      <c r="BF1806" s="458">
        <v>5.0524508324673034E-2</v>
      </c>
      <c r="BG1806" s="477">
        <v>4064485.4004406291</v>
      </c>
      <c r="BH1806" s="458">
        <v>5.6366650128030216E-2</v>
      </c>
      <c r="BI1806" s="477">
        <v>17605775.067125197</v>
      </c>
      <c r="BJ1806" s="458">
        <v>0.10272334848246789</v>
      </c>
      <c r="BK1806" s="477">
        <v>91830781.721387029</v>
      </c>
      <c r="BL1806" s="458">
        <v>0.28677594978796361</v>
      </c>
      <c r="BM1806" s="468">
        <v>7.8699899986487729</v>
      </c>
    </row>
    <row r="1807" spans="12:65" x14ac:dyDescent="0.3">
      <c r="L1807" s="427">
        <v>-5376440.2122</v>
      </c>
      <c r="BE1807" s="477">
        <v>1048155.5045835614</v>
      </c>
      <c r="BF1807" s="458">
        <v>3.0428108170941881E-2</v>
      </c>
      <c r="BG1807" s="477">
        <v>5980745.8021482164</v>
      </c>
      <c r="BH1807" s="458">
        <v>3.9860243111031091E-2</v>
      </c>
      <c r="BI1807" s="477">
        <v>16240613.498100702</v>
      </c>
      <c r="BJ1807" s="458">
        <v>0.12665710071971348</v>
      </c>
      <c r="BK1807" s="477">
        <v>73351814.109379381</v>
      </c>
      <c r="BL1807" s="458">
        <v>0.29156809565660646</v>
      </c>
      <c r="BM1807" s="468">
        <v>6.513192612559159</v>
      </c>
    </row>
    <row r="1808" spans="12:65" x14ac:dyDescent="0.3">
      <c r="L1808" s="427">
        <v>5365079.4392999997</v>
      </c>
      <c r="BE1808" s="477">
        <v>5867465.8351464821</v>
      </c>
      <c r="BF1808" s="458">
        <v>2.756596848928794E-2</v>
      </c>
      <c r="BG1808" s="477">
        <v>10947140.50141966</v>
      </c>
      <c r="BH1808" s="458">
        <v>8.0118213020954787E-2</v>
      </c>
      <c r="BI1808" s="477">
        <v>21565974.072149724</v>
      </c>
      <c r="BJ1808" s="458">
        <v>8.948436851625563E-2</v>
      </c>
      <c r="BK1808" s="477">
        <v>95343680.110080585</v>
      </c>
      <c r="BL1808" s="458">
        <v>0.27362680237214154</v>
      </c>
      <c r="BM1808" s="468">
        <v>12.378761681572902</v>
      </c>
    </row>
    <row r="1809" spans="12:65" x14ac:dyDescent="0.3">
      <c r="L1809" s="427">
        <v>27121829.084199999</v>
      </c>
      <c r="BE1809" s="477">
        <v>2462640.6435959293</v>
      </c>
      <c r="BF1809" s="458">
        <v>3.3338658930382126E-2</v>
      </c>
      <c r="BG1809" s="477">
        <v>4396967.6294589648</v>
      </c>
      <c r="BH1809" s="458">
        <v>8.3765953143215111E-2</v>
      </c>
      <c r="BI1809" s="477">
        <v>15045430.415173111</v>
      </c>
      <c r="BJ1809" s="458">
        <v>0.13990865178826439</v>
      </c>
      <c r="BK1809" s="477">
        <v>93348638.574085906</v>
      </c>
      <c r="BL1809" s="458">
        <v>0.26696649659225202</v>
      </c>
      <c r="BM1809" s="468">
        <v>8.3198276309943076</v>
      </c>
    </row>
    <row r="1810" spans="12:65" x14ac:dyDescent="0.3">
      <c r="L1810" s="427">
        <v>-9355541.0671999995</v>
      </c>
      <c r="BE1810" s="477">
        <v>7692994.137492043</v>
      </c>
      <c r="BF1810" s="458">
        <v>2.1213090928030143E-2</v>
      </c>
      <c r="BG1810" s="477">
        <v>9232387.6655053422</v>
      </c>
      <c r="BH1810" s="458">
        <v>5.4455516732469178E-2</v>
      </c>
      <c r="BI1810" s="477">
        <v>14364592.231375923</v>
      </c>
      <c r="BJ1810" s="458">
        <v>0.11345067707516931</v>
      </c>
      <c r="BK1810" s="477">
        <v>91593918.68895255</v>
      </c>
      <c r="BL1810" s="458">
        <v>0.26471779804677653</v>
      </c>
      <c r="BM1810" s="468">
        <v>10.715375218299165</v>
      </c>
    </row>
    <row r="1811" spans="12:65" x14ac:dyDescent="0.3">
      <c r="L1811" s="427">
        <v>3218051.6667999998</v>
      </c>
      <c r="BE1811" s="477">
        <v>7206904.9832946332</v>
      </c>
      <c r="BF1811" s="458">
        <v>3.8049821408526308E-2</v>
      </c>
      <c r="BG1811" s="477">
        <v>14444815.588926191</v>
      </c>
      <c r="BH1811" s="458">
        <v>4.7982987017178624E-2</v>
      </c>
      <c r="BI1811" s="477">
        <v>24301798.904797547</v>
      </c>
      <c r="BJ1811" s="458">
        <v>0.10356572182847734</v>
      </c>
      <c r="BK1811" s="477">
        <v>73340776.725722939</v>
      </c>
      <c r="BL1811" s="458">
        <v>0.27192625547946481</v>
      </c>
      <c r="BM1811" s="468">
        <v>7.675405878563585</v>
      </c>
    </row>
    <row r="1812" spans="12:65" x14ac:dyDescent="0.3">
      <c r="L1812" s="427">
        <v>-10156051.093599999</v>
      </c>
      <c r="BE1812" s="477">
        <v>5690640.0598139288</v>
      </c>
      <c r="BF1812" s="458">
        <v>4.0320001282777573E-2</v>
      </c>
      <c r="BG1812" s="477">
        <v>7315797.6431467207</v>
      </c>
      <c r="BH1812" s="458">
        <v>9.9088749445605195E-2</v>
      </c>
      <c r="BI1812" s="477">
        <v>16633352.80141354</v>
      </c>
      <c r="BJ1812" s="458">
        <v>0.13279805375491538</v>
      </c>
      <c r="BK1812" s="477">
        <v>87611484.02828382</v>
      </c>
      <c r="BL1812" s="458">
        <v>0.2849284085374697</v>
      </c>
      <c r="BM1812" s="468">
        <v>8.8344962575768751</v>
      </c>
    </row>
    <row r="1813" spans="12:65" x14ac:dyDescent="0.3">
      <c r="L1813" s="427">
        <v>13509555.4981</v>
      </c>
      <c r="BE1813" s="477">
        <v>4614242.3723679809</v>
      </c>
      <c r="BF1813" s="458">
        <v>3.8122727346922458E-2</v>
      </c>
      <c r="BG1813" s="477">
        <v>3785999.3973318073</v>
      </c>
      <c r="BH1813" s="458">
        <v>7.6704944624702565E-2</v>
      </c>
      <c r="BI1813" s="477">
        <v>14161839.746176468</v>
      </c>
      <c r="BJ1813" s="458">
        <v>0.11477744164806558</v>
      </c>
      <c r="BK1813" s="477">
        <v>97828546.397934377</v>
      </c>
      <c r="BL1813" s="458">
        <v>0.27417356647011548</v>
      </c>
      <c r="BM1813" s="468">
        <v>8.6530072304578542</v>
      </c>
    </row>
    <row r="1814" spans="12:65" x14ac:dyDescent="0.3">
      <c r="L1814" s="427">
        <v>19030754.945500001</v>
      </c>
      <c r="BE1814" s="477">
        <v>5144362.1355033666</v>
      </c>
      <c r="BF1814" s="458">
        <v>8.7794984471943005E-2</v>
      </c>
      <c r="BG1814" s="477">
        <v>10480668.764207307</v>
      </c>
      <c r="BH1814" s="458">
        <v>7.1143323779610634E-2</v>
      </c>
      <c r="BI1814" s="477">
        <v>20618125.63569827</v>
      </c>
      <c r="BJ1814" s="458">
        <v>0.12428159131573469</v>
      </c>
      <c r="BK1814" s="477">
        <v>82913438.861532286</v>
      </c>
      <c r="BL1814" s="458">
        <v>0.27926164766348416</v>
      </c>
      <c r="BM1814" s="468">
        <v>7.3179775007341989</v>
      </c>
    </row>
    <row r="1815" spans="12:65" x14ac:dyDescent="0.3">
      <c r="L1815" s="427">
        <v>11530882.3024</v>
      </c>
      <c r="BE1815" s="477">
        <v>1890099.4154992653</v>
      </c>
      <c r="BF1815" s="458">
        <v>5.964484630118938E-2</v>
      </c>
      <c r="BG1815" s="477">
        <v>14665106.626682667</v>
      </c>
      <c r="BH1815" s="458">
        <v>6.0618169010317358E-2</v>
      </c>
      <c r="BI1815" s="477">
        <v>19763380.798735391</v>
      </c>
      <c r="BJ1815" s="458">
        <v>0.11111271148952984</v>
      </c>
      <c r="BK1815" s="477">
        <v>88238296.111689299</v>
      </c>
      <c r="BL1815" s="458">
        <v>0.25427982763466606</v>
      </c>
      <c r="BM1815" s="468">
        <v>5.5300464526681239</v>
      </c>
    </row>
    <row r="1816" spans="12:65" x14ac:dyDescent="0.3">
      <c r="L1816" s="427">
        <v>16694960.001499999</v>
      </c>
      <c r="BE1816" s="477">
        <v>8563393.2488820814</v>
      </c>
      <c r="BF1816" s="458">
        <v>5.3114328098142094E-2</v>
      </c>
      <c r="BG1816" s="477">
        <v>9572775.2795552798</v>
      </c>
      <c r="BH1816" s="458">
        <v>7.7757749783356811E-2</v>
      </c>
      <c r="BI1816" s="477">
        <v>16088948.372432655</v>
      </c>
      <c r="BJ1816" s="458">
        <v>0.10667215110891526</v>
      </c>
      <c r="BK1816" s="477">
        <v>87477553.700501204</v>
      </c>
      <c r="BL1816" s="458">
        <v>0.27782999432875988</v>
      </c>
      <c r="BM1816" s="468">
        <v>12.237987029111727</v>
      </c>
    </row>
    <row r="1817" spans="12:65" x14ac:dyDescent="0.3">
      <c r="L1817" s="427">
        <v>15170501.3698</v>
      </c>
      <c r="BE1817" s="477">
        <v>7626275.3774223411</v>
      </c>
      <c r="BF1817" s="458">
        <v>2.4488870554772557E-2</v>
      </c>
      <c r="BG1817" s="477">
        <v>9376090.8384912983</v>
      </c>
      <c r="BH1817" s="458">
        <v>3.7984814678976297E-2</v>
      </c>
      <c r="BI1817" s="477">
        <v>14253405.981492044</v>
      </c>
      <c r="BJ1817" s="458">
        <v>0.13527139573049474</v>
      </c>
      <c r="BK1817" s="477">
        <v>106972102.29475532</v>
      </c>
      <c r="BL1817" s="458">
        <v>0.2643680744177499</v>
      </c>
      <c r="BM1817" s="468">
        <v>4.2347964263973008</v>
      </c>
    </row>
    <row r="1818" spans="12:65" x14ac:dyDescent="0.3">
      <c r="L1818" s="427">
        <v>5449345.0250000004</v>
      </c>
      <c r="BE1818" s="477">
        <v>1666276.4798400754</v>
      </c>
      <c r="BF1818" s="458">
        <v>5.543716434730106E-2</v>
      </c>
      <c r="BG1818" s="477">
        <v>10771854.90502131</v>
      </c>
      <c r="BH1818" s="458">
        <v>9.7922214347448744E-2</v>
      </c>
      <c r="BI1818" s="477">
        <v>18567943.860910885</v>
      </c>
      <c r="BJ1818" s="458">
        <v>9.8904032893890603E-2</v>
      </c>
      <c r="BK1818" s="477">
        <v>76635038.737436697</v>
      </c>
      <c r="BL1818" s="458">
        <v>0.27931250751809089</v>
      </c>
      <c r="BM1818" s="468">
        <v>9.2903262172798371</v>
      </c>
    </row>
    <row r="1819" spans="12:65" x14ac:dyDescent="0.3">
      <c r="L1819" s="427">
        <v>659861.20140000002</v>
      </c>
      <c r="BE1819" s="477">
        <v>6055244.4983511195</v>
      </c>
      <c r="BF1819" s="458">
        <v>6.3496361515428035E-2</v>
      </c>
      <c r="BG1819" s="477">
        <v>6542864.058406435</v>
      </c>
      <c r="BH1819" s="458">
        <v>3.9334050729759706E-2</v>
      </c>
      <c r="BI1819" s="477">
        <v>17439727.346072603</v>
      </c>
      <c r="BJ1819" s="458">
        <v>0.10867402923360836</v>
      </c>
      <c r="BK1819" s="477">
        <v>85038737.949624345</v>
      </c>
      <c r="BL1819" s="458">
        <v>0.28153128882197009</v>
      </c>
      <c r="BM1819" s="468">
        <v>8.1973610634794927</v>
      </c>
    </row>
    <row r="1820" spans="12:65" x14ac:dyDescent="0.3">
      <c r="L1820" s="427">
        <v>12336827.4036</v>
      </c>
      <c r="BE1820" s="477">
        <v>-144546.86459729113</v>
      </c>
      <c r="BF1820" s="458">
        <v>2.7676981670931244E-2</v>
      </c>
      <c r="BG1820" s="477">
        <v>12112403.0959996</v>
      </c>
      <c r="BH1820" s="458">
        <v>3.5833302414568946E-2</v>
      </c>
      <c r="BI1820" s="477">
        <v>14846033.447292615</v>
      </c>
      <c r="BJ1820" s="458">
        <v>0.11086611236737243</v>
      </c>
      <c r="BK1820" s="477">
        <v>78448934.706291243</v>
      </c>
      <c r="BL1820" s="458">
        <v>0.2653059131839095</v>
      </c>
      <c r="BM1820" s="468">
        <v>7.3060038115871766</v>
      </c>
    </row>
    <row r="1821" spans="12:65" x14ac:dyDescent="0.3">
      <c r="L1821" s="427">
        <v>3794122.2050000001</v>
      </c>
      <c r="BE1821" s="477">
        <v>5994203.6844422147</v>
      </c>
      <c r="BF1821" s="458">
        <v>4.403227927099751E-2</v>
      </c>
      <c r="BG1821" s="477">
        <v>8179165.0133320168</v>
      </c>
      <c r="BH1821" s="458">
        <v>6.8011448497408589E-2</v>
      </c>
      <c r="BI1821" s="477">
        <v>10481380.854776384</v>
      </c>
      <c r="BJ1821" s="458">
        <v>0.12347556700811069</v>
      </c>
      <c r="BK1821" s="477">
        <v>91600165.167565107</v>
      </c>
      <c r="BL1821" s="458">
        <v>0.26633355907763612</v>
      </c>
      <c r="BM1821" s="468">
        <v>2.8915083271395705</v>
      </c>
    </row>
    <row r="1822" spans="12:65" x14ac:dyDescent="0.3">
      <c r="L1822" s="427">
        <v>395340.03610000003</v>
      </c>
      <c r="BE1822" s="477">
        <v>3797230.9435446621</v>
      </c>
      <c r="BF1822" s="458">
        <v>5.0537362478865644E-2</v>
      </c>
      <c r="BG1822" s="477">
        <v>12585668.776811335</v>
      </c>
      <c r="BH1822" s="458">
        <v>9.0564847960275641E-2</v>
      </c>
      <c r="BI1822" s="477">
        <v>15602921.717908772</v>
      </c>
      <c r="BJ1822" s="458">
        <v>0.11030943782479041</v>
      </c>
      <c r="BK1822" s="477">
        <v>81076275.496958151</v>
      </c>
      <c r="BL1822" s="458">
        <v>0.29901280532971541</v>
      </c>
      <c r="BM1822" s="468">
        <v>8.3258374673965836</v>
      </c>
    </row>
    <row r="1823" spans="12:65" x14ac:dyDescent="0.3">
      <c r="L1823" s="427">
        <v>15169152.9366</v>
      </c>
      <c r="BE1823" s="477">
        <v>4505264.5338164447</v>
      </c>
      <c r="BF1823" s="458">
        <v>6.4744980092642068E-2</v>
      </c>
      <c r="BG1823" s="477">
        <v>3089076.1143466895</v>
      </c>
      <c r="BH1823" s="458">
        <v>8.6227308142557524E-2</v>
      </c>
      <c r="BI1823" s="477">
        <v>16927706.324115466</v>
      </c>
      <c r="BJ1823" s="458">
        <v>8.5187196965957224E-2</v>
      </c>
      <c r="BK1823" s="477">
        <v>95339107.727339089</v>
      </c>
      <c r="BL1823" s="458">
        <v>0.26383231130891804</v>
      </c>
      <c r="BM1823" s="468">
        <v>9.4092527752663173</v>
      </c>
    </row>
    <row r="1824" spans="12:65" x14ac:dyDescent="0.3">
      <c r="L1824" s="427">
        <v>-5747458.2089999998</v>
      </c>
      <c r="BE1824" s="477">
        <v>7197266.7148701083</v>
      </c>
      <c r="BF1824" s="458">
        <v>4.7017237986582527E-2</v>
      </c>
      <c r="BG1824" s="477">
        <v>9765930.7554408479</v>
      </c>
      <c r="BH1824" s="458">
        <v>7.9139211804279297E-2</v>
      </c>
      <c r="BI1824" s="477">
        <v>13836253.192711055</v>
      </c>
      <c r="BJ1824" s="458">
        <v>0.11224947146813258</v>
      </c>
      <c r="BK1824" s="477">
        <v>80245552.019187644</v>
      </c>
      <c r="BL1824" s="458">
        <v>0.2491581761521986</v>
      </c>
      <c r="BM1824" s="468">
        <v>11.626724226914432</v>
      </c>
    </row>
    <row r="1825" spans="12:65" x14ac:dyDescent="0.3">
      <c r="L1825" s="427">
        <v>17760417.9212</v>
      </c>
      <c r="BE1825" s="477">
        <v>2938236.6406108937</v>
      </c>
      <c r="BF1825" s="458">
        <v>3.1937923740416263E-2</v>
      </c>
      <c r="BG1825" s="477">
        <v>10414574.992419718</v>
      </c>
      <c r="BH1825" s="458">
        <v>5.9004215600419796E-2</v>
      </c>
      <c r="BI1825" s="477">
        <v>17597882.214941937</v>
      </c>
      <c r="BJ1825" s="458">
        <v>0.11482436360204917</v>
      </c>
      <c r="BK1825" s="477">
        <v>83473098.150355265</v>
      </c>
      <c r="BL1825" s="458">
        <v>0.26454457487551175</v>
      </c>
      <c r="BM1825" s="468">
        <v>3.6653166727333986</v>
      </c>
    </row>
    <row r="1826" spans="12:65" x14ac:dyDescent="0.3">
      <c r="L1826" s="427">
        <v>28406394.439399999</v>
      </c>
      <c r="BE1826" s="477">
        <v>6118211.1339403698</v>
      </c>
      <c r="BF1826" s="458">
        <v>3.9836992078769562E-2</v>
      </c>
      <c r="BG1826" s="477">
        <v>9319038.2569379378</v>
      </c>
      <c r="BH1826" s="458">
        <v>8.4585229166217024E-2</v>
      </c>
      <c r="BI1826" s="477">
        <v>16354873.256159244</v>
      </c>
      <c r="BJ1826" s="458">
        <v>0.11796459335224152</v>
      </c>
      <c r="BK1826" s="477">
        <v>82635060.835750967</v>
      </c>
      <c r="BL1826" s="458">
        <v>0.27735562540820058</v>
      </c>
      <c r="BM1826" s="468">
        <v>7.6440406394810569</v>
      </c>
    </row>
    <row r="1827" spans="12:65" x14ac:dyDescent="0.3">
      <c r="L1827" s="427">
        <v>-1526378.6403999999</v>
      </c>
      <c r="BE1827" s="477">
        <v>6242283.867965919</v>
      </c>
      <c r="BF1827" s="458">
        <v>3.5148895814238301E-2</v>
      </c>
      <c r="BG1827" s="477">
        <v>10907938.313546138</v>
      </c>
      <c r="BH1827" s="458">
        <v>2.7597860100691429E-2</v>
      </c>
      <c r="BI1827" s="477">
        <v>18415588.227050405</v>
      </c>
      <c r="BJ1827" s="458">
        <v>0.12985741916283433</v>
      </c>
      <c r="BK1827" s="477">
        <v>89105555.423790947</v>
      </c>
      <c r="BL1827" s="458">
        <v>0.26092099381952338</v>
      </c>
      <c r="BM1827" s="468">
        <v>0.81526896071259447</v>
      </c>
    </row>
    <row r="1828" spans="12:65" x14ac:dyDescent="0.3">
      <c r="L1828" s="427">
        <v>-3099046.5348999999</v>
      </c>
      <c r="BE1828" s="477">
        <v>3393533.3084323048</v>
      </c>
      <c r="BF1828" s="458">
        <v>3.876221806374347E-2</v>
      </c>
      <c r="BG1828" s="477">
        <v>11222453.529668726</v>
      </c>
      <c r="BH1828" s="458">
        <v>4.568495183137089E-2</v>
      </c>
      <c r="BI1828" s="477">
        <v>18489945.181758232</v>
      </c>
      <c r="BJ1828" s="458">
        <v>0.18946399106646394</v>
      </c>
      <c r="BK1828" s="477">
        <v>79449844.522976175</v>
      </c>
      <c r="BL1828" s="458">
        <v>0.25785507905449134</v>
      </c>
      <c r="BM1828" s="468">
        <v>3.8189601791597667</v>
      </c>
    </row>
    <row r="1829" spans="12:65" x14ac:dyDescent="0.3">
      <c r="L1829" s="427">
        <v>11025591.190099999</v>
      </c>
      <c r="BE1829" s="477">
        <v>4439479.286145702</v>
      </c>
      <c r="BF1829" s="458">
        <v>2.1339536677463355E-2</v>
      </c>
      <c r="BG1829" s="477">
        <v>16518042.986048099</v>
      </c>
      <c r="BH1829" s="458">
        <v>2.8634262682045719E-2</v>
      </c>
      <c r="BI1829" s="477">
        <v>22092287.138483994</v>
      </c>
      <c r="BJ1829" s="458">
        <v>0.11631231873979631</v>
      </c>
      <c r="BK1829" s="477">
        <v>88508591.079876661</v>
      </c>
      <c r="BL1829" s="458">
        <v>0.26131862642702308</v>
      </c>
      <c r="BM1829" s="468">
        <v>7.9848317371983182</v>
      </c>
    </row>
    <row r="1830" spans="12:65" x14ac:dyDescent="0.3">
      <c r="L1830" s="427">
        <v>9444121.3080000002</v>
      </c>
      <c r="BE1830" s="477">
        <v>2849055.8603740693</v>
      </c>
      <c r="BF1830" s="458">
        <v>1.9726690966435534E-2</v>
      </c>
      <c r="BG1830" s="477">
        <v>7519173.2108730171</v>
      </c>
      <c r="BH1830" s="458">
        <v>5.108861036239154E-2</v>
      </c>
      <c r="BI1830" s="477">
        <v>19496521.658243857</v>
      </c>
      <c r="BJ1830" s="458">
        <v>0.11831039418707134</v>
      </c>
      <c r="BK1830" s="477">
        <v>84952036.387335941</v>
      </c>
      <c r="BL1830" s="458">
        <v>0.27754572232021002</v>
      </c>
      <c r="BM1830" s="468">
        <v>11.298010515080703</v>
      </c>
    </row>
    <row r="1831" spans="12:65" x14ac:dyDescent="0.3">
      <c r="L1831" s="427">
        <v>4189515.2130999998</v>
      </c>
      <c r="BE1831" s="477">
        <v>7236372.4997387109</v>
      </c>
      <c r="BF1831" s="458">
        <v>3.4820439653010959E-2</v>
      </c>
      <c r="BG1831" s="477">
        <v>7983021.1781205283</v>
      </c>
      <c r="BH1831" s="458">
        <v>4.8119752744860023E-2</v>
      </c>
      <c r="BI1831" s="477">
        <v>26140592.954108119</v>
      </c>
      <c r="BJ1831" s="458">
        <v>0.11236385003693616</v>
      </c>
      <c r="BK1831" s="477">
        <v>98497382.633401632</v>
      </c>
      <c r="BL1831" s="458">
        <v>0.29291734941627934</v>
      </c>
      <c r="BM1831" s="468">
        <v>2.981501535625724</v>
      </c>
    </row>
    <row r="1832" spans="12:65" x14ac:dyDescent="0.3">
      <c r="L1832" s="427">
        <v>-5043325.4345000004</v>
      </c>
      <c r="BE1832" s="477">
        <v>-2006398.2979571314</v>
      </c>
      <c r="BF1832" s="458">
        <v>4.9709903727544136E-2</v>
      </c>
      <c r="BG1832" s="477">
        <v>2906379.2661095154</v>
      </c>
      <c r="BH1832" s="458">
        <v>5.8130161667246938E-2</v>
      </c>
      <c r="BI1832" s="477">
        <v>13838635.428562969</v>
      </c>
      <c r="BJ1832" s="458">
        <v>0.10542820943664122</v>
      </c>
      <c r="BK1832" s="477">
        <v>101646105.45558757</v>
      </c>
      <c r="BL1832" s="458">
        <v>0.26509012298231327</v>
      </c>
      <c r="BM1832" s="468">
        <v>8.5746929967070606</v>
      </c>
    </row>
    <row r="1833" spans="12:65" x14ac:dyDescent="0.3">
      <c r="L1833" s="427">
        <v>-18500417.316300001</v>
      </c>
      <c r="BE1833" s="477">
        <v>8730578.3758718763</v>
      </c>
      <c r="BF1833" s="458">
        <v>5.9323495057125974E-2</v>
      </c>
      <c r="BG1833" s="477">
        <v>13443247.934968961</v>
      </c>
      <c r="BH1833" s="458">
        <v>4.9539614690913281E-2</v>
      </c>
      <c r="BI1833" s="477">
        <v>15303389.029622262</v>
      </c>
      <c r="BJ1833" s="458">
        <v>0.10963288171202423</v>
      </c>
      <c r="BK1833" s="477">
        <v>84264535.697866768</v>
      </c>
      <c r="BL1833" s="458">
        <v>0.2518812926633629</v>
      </c>
      <c r="BM1833" s="468">
        <v>5.8450398052561621</v>
      </c>
    </row>
    <row r="1834" spans="12:65" x14ac:dyDescent="0.3">
      <c r="L1834" s="427">
        <v>8311643.9227</v>
      </c>
      <c r="BE1834" s="477">
        <v>2410939.5592849692</v>
      </c>
      <c r="BF1834" s="458">
        <v>5.1859938610593126E-2</v>
      </c>
      <c r="BG1834" s="477">
        <v>6580150.6891068537</v>
      </c>
      <c r="BH1834" s="458">
        <v>7.162076527390826E-2</v>
      </c>
      <c r="BI1834" s="477">
        <v>8384406.9015439302</v>
      </c>
      <c r="BJ1834" s="458">
        <v>0.10206578114438503</v>
      </c>
      <c r="BK1834" s="477">
        <v>99137427.098666936</v>
      </c>
      <c r="BL1834" s="458">
        <v>0.26660664784237564</v>
      </c>
      <c r="BM1834" s="468">
        <v>6.16223924938053</v>
      </c>
    </row>
    <row r="1835" spans="12:65" x14ac:dyDescent="0.3">
      <c r="L1835" s="427">
        <v>29268443.335299999</v>
      </c>
      <c r="BE1835" s="477">
        <v>2847163.444250586</v>
      </c>
      <c r="BF1835" s="458">
        <v>4.6559279471407145E-2</v>
      </c>
      <c r="BG1835" s="477">
        <v>2982735.4353959691</v>
      </c>
      <c r="BH1835" s="458">
        <v>5.2792956696527504E-2</v>
      </c>
      <c r="BI1835" s="477">
        <v>7799053.9732440785</v>
      </c>
      <c r="BJ1835" s="458">
        <v>0.10396037049976714</v>
      </c>
      <c r="BK1835" s="477">
        <v>100430759.9061763</v>
      </c>
      <c r="BL1835" s="458">
        <v>0.2570088288357868</v>
      </c>
      <c r="BM1835" s="468">
        <v>9.888119828611007</v>
      </c>
    </row>
    <row r="1836" spans="12:65" x14ac:dyDescent="0.3">
      <c r="L1836" s="427">
        <v>-1819881.9475</v>
      </c>
      <c r="BE1836" s="477">
        <v>498251.90724073758</v>
      </c>
      <c r="BF1836" s="458">
        <v>4.1361846972445271E-2</v>
      </c>
      <c r="BG1836" s="477">
        <v>9523505.0947596096</v>
      </c>
      <c r="BH1836" s="458">
        <v>3.9316022164403552E-2</v>
      </c>
      <c r="BI1836" s="477">
        <v>21774506.196830928</v>
      </c>
      <c r="BJ1836" s="458">
        <v>0.11035540645861563</v>
      </c>
      <c r="BK1836" s="477">
        <v>93652504.048637599</v>
      </c>
      <c r="BL1836" s="458">
        <v>0.28061956283530964</v>
      </c>
      <c r="BM1836" s="468">
        <v>6.7162717437926158</v>
      </c>
    </row>
    <row r="1837" spans="12:65" x14ac:dyDescent="0.3">
      <c r="L1837" s="427">
        <v>8939705.2346000001</v>
      </c>
      <c r="BE1837" s="477">
        <v>8288489.0081302607</v>
      </c>
      <c r="BF1837" s="458">
        <v>4.137982258301709E-2</v>
      </c>
      <c r="BG1837" s="477">
        <v>4455324.7298624674</v>
      </c>
      <c r="BH1837" s="458">
        <v>5.6289811471847528E-2</v>
      </c>
      <c r="BI1837" s="477">
        <v>20760874.653402515</v>
      </c>
      <c r="BJ1837" s="458">
        <v>0.1169932405634706</v>
      </c>
      <c r="BK1837" s="477">
        <v>100903202.5322817</v>
      </c>
      <c r="BL1837" s="458">
        <v>0.27017712773460034</v>
      </c>
      <c r="BM1837" s="468">
        <v>9.3196331129958825</v>
      </c>
    </row>
    <row r="1838" spans="12:65" x14ac:dyDescent="0.3">
      <c r="L1838" s="427">
        <v>11557022.8748</v>
      </c>
      <c r="BE1838" s="477">
        <v>1054726.0919903736</v>
      </c>
      <c r="BF1838" s="458">
        <v>4.0825315968769926E-2</v>
      </c>
      <c r="BG1838" s="477">
        <v>6485941.4552714089</v>
      </c>
      <c r="BH1838" s="458">
        <v>5.7156575247693464E-2</v>
      </c>
      <c r="BI1838" s="477">
        <v>23774566.468304932</v>
      </c>
      <c r="BJ1838" s="458">
        <v>0.12773797383843788</v>
      </c>
      <c r="BK1838" s="477">
        <v>83849068.310167298</v>
      </c>
      <c r="BL1838" s="458">
        <v>0.28792601544884211</v>
      </c>
      <c r="BM1838" s="468">
        <v>7.3059372684676216</v>
      </c>
    </row>
    <row r="1839" spans="12:65" x14ac:dyDescent="0.3">
      <c r="L1839" s="427">
        <v>3410681.6217</v>
      </c>
      <c r="BE1839" s="477">
        <v>7802783.9465371156</v>
      </c>
      <c r="BF1839" s="458">
        <v>4.0119987857593076E-2</v>
      </c>
      <c r="BG1839" s="477">
        <v>5350305.761636815</v>
      </c>
      <c r="BH1839" s="458">
        <v>5.3138974181945908E-2</v>
      </c>
      <c r="BI1839" s="477">
        <v>23564796.877890363</v>
      </c>
      <c r="BJ1839" s="458">
        <v>0.11290280424992405</v>
      </c>
      <c r="BK1839" s="477">
        <v>105437715.97203986</v>
      </c>
      <c r="BL1839" s="458">
        <v>0.26211114572699534</v>
      </c>
      <c r="BM1839" s="468">
        <v>9.9582552715544992</v>
      </c>
    </row>
    <row r="1840" spans="12:65" x14ac:dyDescent="0.3">
      <c r="L1840" s="427">
        <v>13613222.179400001</v>
      </c>
      <c r="BE1840" s="477">
        <v>7805744.2764239982</v>
      </c>
      <c r="BF1840" s="458">
        <v>5.8217006583655584E-2</v>
      </c>
      <c r="BG1840" s="477">
        <v>9602207.239271285</v>
      </c>
      <c r="BH1840" s="458">
        <v>5.7751725872473347E-2</v>
      </c>
      <c r="BI1840" s="477">
        <v>17726892.921066802</v>
      </c>
      <c r="BJ1840" s="458">
        <v>0.11158095223247999</v>
      </c>
      <c r="BK1840" s="477">
        <v>89535174.590633735</v>
      </c>
      <c r="BL1840" s="458">
        <v>0.26799954179275831</v>
      </c>
      <c r="BM1840" s="468">
        <v>5.6132888542855337</v>
      </c>
    </row>
    <row r="1841" spans="12:65" x14ac:dyDescent="0.3">
      <c r="L1841" s="427">
        <v>-13020648.9442</v>
      </c>
      <c r="BE1841" s="477">
        <v>9047558.7000120562</v>
      </c>
      <c r="BF1841" s="458">
        <v>3.5680864648578892E-2</v>
      </c>
      <c r="BG1841" s="477">
        <v>11698879.37683665</v>
      </c>
      <c r="BH1841" s="458">
        <v>6.2372881773858246E-2</v>
      </c>
      <c r="BI1841" s="477">
        <v>11271532.377955601</v>
      </c>
      <c r="BJ1841" s="458">
        <v>0.14233245998423882</v>
      </c>
      <c r="BK1841" s="477">
        <v>96378980.680003181</v>
      </c>
      <c r="BL1841" s="458">
        <v>0.26767771368205873</v>
      </c>
      <c r="BM1841" s="468">
        <v>10.480476050219977</v>
      </c>
    </row>
    <row r="1842" spans="12:65" x14ac:dyDescent="0.3">
      <c r="L1842" s="427">
        <v>2420024.8815000001</v>
      </c>
      <c r="BE1842" s="477">
        <v>4781810.2878947835</v>
      </c>
      <c r="BF1842" s="458">
        <v>3.9864276238227303E-2</v>
      </c>
      <c r="BG1842" s="477">
        <v>10115548.572556818</v>
      </c>
      <c r="BH1842" s="458">
        <v>6.2386859196895239E-2</v>
      </c>
      <c r="BI1842" s="477">
        <v>20001572.615762234</v>
      </c>
      <c r="BJ1842" s="458">
        <v>0.1251334042891612</v>
      </c>
      <c r="BK1842" s="477">
        <v>95831258.95200114</v>
      </c>
      <c r="BL1842" s="458">
        <v>0.27022705546725945</v>
      </c>
      <c r="BM1842" s="468">
        <v>4.9359735990538223</v>
      </c>
    </row>
    <row r="1843" spans="12:65" x14ac:dyDescent="0.3">
      <c r="L1843" s="427">
        <v>13584873.3299</v>
      </c>
      <c r="BE1843" s="477">
        <v>5560908.4096273566</v>
      </c>
      <c r="BF1843" s="458">
        <v>5.4974421359911041E-2</v>
      </c>
      <c r="BG1843" s="477">
        <v>3435117.5307404604</v>
      </c>
      <c r="BH1843" s="458">
        <v>6.4923765324228944E-2</v>
      </c>
      <c r="BI1843" s="477">
        <v>18261443.345867686</v>
      </c>
      <c r="BJ1843" s="458">
        <v>9.5709899233792584E-2</v>
      </c>
      <c r="BK1843" s="477">
        <v>79696367.12301828</v>
      </c>
      <c r="BL1843" s="458">
        <v>0.26665252131920614</v>
      </c>
      <c r="BM1843" s="468">
        <v>7.6975363979963376</v>
      </c>
    </row>
    <row r="1844" spans="12:65" x14ac:dyDescent="0.3">
      <c r="L1844" s="427">
        <v>24836289.406599998</v>
      </c>
      <c r="BE1844" s="477">
        <v>2947478.7581214346</v>
      </c>
      <c r="BF1844" s="458">
        <v>4.7197968319200756E-2</v>
      </c>
      <c r="BG1844" s="477">
        <v>3513126.1494019297</v>
      </c>
      <c r="BH1844" s="458">
        <v>7.7702435984028595E-2</v>
      </c>
      <c r="BI1844" s="477">
        <v>17135106.639744524</v>
      </c>
      <c r="BJ1844" s="458">
        <v>0.11984764885910426</v>
      </c>
      <c r="BK1844" s="477">
        <v>103040128.42792431</v>
      </c>
      <c r="BL1844" s="458">
        <v>0.26664633882429212</v>
      </c>
      <c r="BM1844" s="468">
        <v>11.231240493494159</v>
      </c>
    </row>
    <row r="1845" spans="12:65" x14ac:dyDescent="0.3">
      <c r="L1845" s="427">
        <v>11171509.6054</v>
      </c>
      <c r="BE1845" s="477">
        <v>2293463.4747356325</v>
      </c>
      <c r="BF1845" s="458">
        <v>6.318750833527309E-2</v>
      </c>
      <c r="BG1845" s="477">
        <v>16542618.341947367</v>
      </c>
      <c r="BH1845" s="458">
        <v>4.553912868869614E-2</v>
      </c>
      <c r="BI1845" s="477">
        <v>15777985.051596338</v>
      </c>
      <c r="BJ1845" s="458">
        <v>0.11975912524547816</v>
      </c>
      <c r="BK1845" s="477">
        <v>106276328.36843424</v>
      </c>
      <c r="BL1845" s="458">
        <v>0.28250985623506764</v>
      </c>
      <c r="BM1845" s="468">
        <v>9.5453226857475322</v>
      </c>
    </row>
    <row r="1846" spans="12:65" x14ac:dyDescent="0.3">
      <c r="L1846" s="427">
        <v>27810973.297400001</v>
      </c>
      <c r="BE1846" s="477">
        <v>3992985.6841048189</v>
      </c>
      <c r="BF1846" s="458">
        <v>3.7790214810793366E-2</v>
      </c>
      <c r="BG1846" s="477">
        <v>9557125.677603282</v>
      </c>
      <c r="BH1846" s="458">
        <v>6.0022539964744048E-2</v>
      </c>
      <c r="BI1846" s="477">
        <v>10915538.374165975</v>
      </c>
      <c r="BJ1846" s="458">
        <v>0.13609039542482093</v>
      </c>
      <c r="BK1846" s="477">
        <v>99090495.339185938</v>
      </c>
      <c r="BL1846" s="458">
        <v>0.2516365379492933</v>
      </c>
      <c r="BM1846" s="468">
        <v>7.0021065787412295</v>
      </c>
    </row>
    <row r="1847" spans="12:65" x14ac:dyDescent="0.3">
      <c r="L1847" s="427">
        <v>3805909.2130999998</v>
      </c>
      <c r="BE1847" s="477">
        <v>3842920.3195610931</v>
      </c>
      <c r="BF1847" s="458">
        <v>3.5020394677802269E-2</v>
      </c>
      <c r="BG1847" s="477">
        <v>14716708.85132472</v>
      </c>
      <c r="BH1847" s="458">
        <v>5.499064060251535E-2</v>
      </c>
      <c r="BI1847" s="477">
        <v>16068035.717997339</v>
      </c>
      <c r="BJ1847" s="458">
        <v>0.11302415893472162</v>
      </c>
      <c r="BK1847" s="477">
        <v>92842262.691794291</v>
      </c>
      <c r="BL1847" s="458">
        <v>0.26640089625043761</v>
      </c>
      <c r="BM1847" s="468">
        <v>7.6962960588119778</v>
      </c>
    </row>
    <row r="1848" spans="12:65" x14ac:dyDescent="0.3">
      <c r="L1848" s="427">
        <v>3378085.3813999998</v>
      </c>
      <c r="BE1848" s="477">
        <v>7133870.9658064246</v>
      </c>
      <c r="BF1848" s="458">
        <v>4.0533780613313475E-2</v>
      </c>
      <c r="BG1848" s="477">
        <v>5976521.711076919</v>
      </c>
      <c r="BH1848" s="458">
        <v>8.487545507318961E-2</v>
      </c>
      <c r="BI1848" s="477">
        <v>18789274.303047493</v>
      </c>
      <c r="BJ1848" s="458">
        <v>0.10400979947523159</v>
      </c>
      <c r="BK1848" s="477">
        <v>97226187.413908854</v>
      </c>
      <c r="BL1848" s="458">
        <v>0.26298213557350092</v>
      </c>
      <c r="BM1848" s="468">
        <v>5.0961733725136673</v>
      </c>
    </row>
    <row r="1849" spans="12:65" x14ac:dyDescent="0.3">
      <c r="L1849" s="427">
        <v>11988440.2906</v>
      </c>
      <c r="BE1849" s="477">
        <v>7094253.943024544</v>
      </c>
      <c r="BF1849" s="458">
        <v>3.8341839285282786E-2</v>
      </c>
      <c r="BG1849" s="477">
        <v>14716816.014955763</v>
      </c>
      <c r="BH1849" s="458">
        <v>4.8624088200726057E-2</v>
      </c>
      <c r="BI1849" s="477">
        <v>14960191.584812604</v>
      </c>
      <c r="BJ1849" s="458">
        <v>0.10970532022062351</v>
      </c>
      <c r="BK1849" s="477">
        <v>100233371.86951047</v>
      </c>
      <c r="BL1849" s="458">
        <v>0.25629023605042245</v>
      </c>
      <c r="BM1849" s="468">
        <v>6.5867985004696239</v>
      </c>
    </row>
    <row r="1850" spans="12:65" x14ac:dyDescent="0.3">
      <c r="L1850" s="427">
        <v>-2688697.8177</v>
      </c>
      <c r="BE1850" s="477">
        <v>3299331.3073975812</v>
      </c>
      <c r="BF1850" s="458">
        <v>4.1382242529482971E-2</v>
      </c>
      <c r="BG1850" s="477">
        <v>5539934.4597886661</v>
      </c>
      <c r="BH1850" s="458">
        <v>8.3865782229293639E-2</v>
      </c>
      <c r="BI1850" s="477">
        <v>16598131.700338466</v>
      </c>
      <c r="BJ1850" s="458">
        <v>8.2720725464216383E-2</v>
      </c>
      <c r="BK1850" s="477">
        <v>90906708.933932573</v>
      </c>
      <c r="BL1850" s="458">
        <v>0.27755709281960139</v>
      </c>
      <c r="BM1850" s="468">
        <v>6.0459520349012417</v>
      </c>
    </row>
    <row r="1851" spans="12:65" x14ac:dyDescent="0.3">
      <c r="L1851" s="427">
        <v>14098815.522</v>
      </c>
      <c r="BE1851" s="477">
        <v>1897965.964316857</v>
      </c>
      <c r="BF1851" s="458">
        <v>4.499768842948626E-2</v>
      </c>
      <c r="BG1851" s="477">
        <v>14087987.362442261</v>
      </c>
      <c r="BH1851" s="458">
        <v>6.1054973864620221E-2</v>
      </c>
      <c r="BI1851" s="477">
        <v>21617240.3438759</v>
      </c>
      <c r="BJ1851" s="458">
        <v>0.11727955773773036</v>
      </c>
      <c r="BK1851" s="477">
        <v>97554449.730266005</v>
      </c>
      <c r="BL1851" s="458">
        <v>0.24055639656648031</v>
      </c>
      <c r="BM1851" s="468">
        <v>9.0353339093135201</v>
      </c>
    </row>
    <row r="1852" spans="12:65" x14ac:dyDescent="0.3">
      <c r="L1852" s="427">
        <v>-14484391.1105</v>
      </c>
      <c r="BE1852" s="477">
        <v>-1196486.2756882533</v>
      </c>
      <c r="BF1852" s="458">
        <v>5.1356777141830179E-2</v>
      </c>
      <c r="BG1852" s="477">
        <v>6776218.9799965927</v>
      </c>
      <c r="BH1852" s="458">
        <v>5.3886628912732881E-2</v>
      </c>
      <c r="BI1852" s="477">
        <v>13108561.56885639</v>
      </c>
      <c r="BJ1852" s="458">
        <v>7.9867947347697532E-2</v>
      </c>
      <c r="BK1852" s="477">
        <v>98923381.665043294</v>
      </c>
      <c r="BL1852" s="458">
        <v>0.2676907271096276</v>
      </c>
      <c r="BM1852" s="468">
        <v>5.5596133971227566</v>
      </c>
    </row>
    <row r="1853" spans="12:65" x14ac:dyDescent="0.3">
      <c r="L1853" s="427">
        <v>18235088.9243</v>
      </c>
      <c r="BE1853" s="477">
        <v>4358781.2096132403</v>
      </c>
      <c r="BF1853" s="458">
        <v>6.9627398032623189E-2</v>
      </c>
      <c r="BG1853" s="477">
        <v>11767622.051001605</v>
      </c>
      <c r="BH1853" s="458">
        <v>9.3680322477390998E-2</v>
      </c>
      <c r="BI1853" s="477">
        <v>14976475.257705379</v>
      </c>
      <c r="BJ1853" s="458">
        <v>0.10995281719776862</v>
      </c>
      <c r="BK1853" s="477">
        <v>100103413.5008626</v>
      </c>
      <c r="BL1853" s="458">
        <v>0.26579192694046649</v>
      </c>
      <c r="BM1853" s="468">
        <v>10.531081808040122</v>
      </c>
    </row>
    <row r="1854" spans="12:65" x14ac:dyDescent="0.3">
      <c r="L1854" s="427">
        <v>8835605.8436999992</v>
      </c>
      <c r="BE1854" s="477">
        <v>2995044.3153717807</v>
      </c>
      <c r="BF1854" s="458">
        <v>3.2740187944460875E-2</v>
      </c>
      <c r="BG1854" s="477">
        <v>12564413.882123832</v>
      </c>
      <c r="BH1854" s="458">
        <v>7.8463682672031521E-2</v>
      </c>
      <c r="BI1854" s="477">
        <v>19339940.014754482</v>
      </c>
      <c r="BJ1854" s="458">
        <v>0.11459347378321061</v>
      </c>
      <c r="BK1854" s="477">
        <v>98115272.596550629</v>
      </c>
      <c r="BL1854" s="458">
        <v>0.27380862396534722</v>
      </c>
      <c r="BM1854" s="468">
        <v>6.2108419093936131</v>
      </c>
    </row>
    <row r="1855" spans="12:65" x14ac:dyDescent="0.3">
      <c r="L1855" s="427">
        <v>18887811.126699999</v>
      </c>
      <c r="BE1855" s="477">
        <v>6739231.4846984884</v>
      </c>
      <c r="BF1855" s="458">
        <v>4.0476972018773205E-2</v>
      </c>
      <c r="BG1855" s="477">
        <v>12513077.601083007</v>
      </c>
      <c r="BH1855" s="458">
        <v>3.9556182307332044E-2</v>
      </c>
      <c r="BI1855" s="477">
        <v>23438863.401348878</v>
      </c>
      <c r="BJ1855" s="458">
        <v>0.11778901493698068</v>
      </c>
      <c r="BK1855" s="477">
        <v>103326699.51585408</v>
      </c>
      <c r="BL1855" s="458">
        <v>0.27296963467741042</v>
      </c>
      <c r="BM1855" s="468">
        <v>3.3581579107054536</v>
      </c>
    </row>
    <row r="1856" spans="12:65" x14ac:dyDescent="0.3">
      <c r="L1856" s="427">
        <v>15926794.958799999</v>
      </c>
      <c r="BE1856" s="477">
        <v>3656042.0348843466</v>
      </c>
      <c r="BF1856" s="458">
        <v>3.6472844613887334E-2</v>
      </c>
      <c r="BG1856" s="477">
        <v>8291296.0669704247</v>
      </c>
      <c r="BH1856" s="458">
        <v>7.3812669289362809E-2</v>
      </c>
      <c r="BI1856" s="477">
        <v>18312542.483545698</v>
      </c>
      <c r="BJ1856" s="458">
        <v>0.10932897342598347</v>
      </c>
      <c r="BK1856" s="477">
        <v>87449662.869882852</v>
      </c>
      <c r="BL1856" s="458">
        <v>0.27385257141023156</v>
      </c>
      <c r="BM1856" s="468">
        <v>7.8566080906236557</v>
      </c>
    </row>
    <row r="1857" spans="12:65" x14ac:dyDescent="0.3">
      <c r="L1857" s="427">
        <v>12723517.7796</v>
      </c>
      <c r="BE1857" s="477">
        <v>9597834.9232593141</v>
      </c>
      <c r="BF1857" s="458">
        <v>6.8657916989135925E-2</v>
      </c>
      <c r="BG1857" s="477">
        <v>10578685.849430712</v>
      </c>
      <c r="BH1857" s="458">
        <v>6.6501829144361979E-2</v>
      </c>
      <c r="BI1857" s="477">
        <v>20767767.616131306</v>
      </c>
      <c r="BJ1857" s="458">
        <v>0.11940113534128205</v>
      </c>
      <c r="BK1857" s="477">
        <v>95503292.472467497</v>
      </c>
      <c r="BL1857" s="458">
        <v>0.26923986612636175</v>
      </c>
      <c r="BM1857" s="468">
        <v>3.4953922581231627</v>
      </c>
    </row>
    <row r="1858" spans="12:65" x14ac:dyDescent="0.3">
      <c r="L1858" s="427">
        <v>15235727.887</v>
      </c>
      <c r="BE1858" s="477">
        <v>8538479.5315314326</v>
      </c>
      <c r="BF1858" s="458">
        <v>4.063360657694437E-2</v>
      </c>
      <c r="BG1858" s="477">
        <v>12240958.635721371</v>
      </c>
      <c r="BH1858" s="458">
        <v>3.1976519363420497E-2</v>
      </c>
      <c r="BI1858" s="477">
        <v>22255086.689535704</v>
      </c>
      <c r="BJ1858" s="458">
        <v>0.10896262890058916</v>
      </c>
      <c r="BK1858" s="477">
        <v>79346506.623129129</v>
      </c>
      <c r="BL1858" s="458">
        <v>0.25729454416906217</v>
      </c>
      <c r="BM1858" s="468">
        <v>9.6452488735561364</v>
      </c>
    </row>
    <row r="1859" spans="12:65" x14ac:dyDescent="0.3">
      <c r="L1859" s="427">
        <v>2789164.1357</v>
      </c>
      <c r="BE1859" s="477">
        <v>11668102.787287025</v>
      </c>
      <c r="BF1859" s="458">
        <v>3.4024658857755519E-2</v>
      </c>
      <c r="BG1859" s="477">
        <v>8505741.1269156877</v>
      </c>
      <c r="BH1859" s="458">
        <v>6.2669953545080093E-2</v>
      </c>
      <c r="BI1859" s="477">
        <v>20583363.103046946</v>
      </c>
      <c r="BJ1859" s="458">
        <v>0.12035525561547278</v>
      </c>
      <c r="BK1859" s="477">
        <v>87259656.365722179</v>
      </c>
      <c r="BL1859" s="458">
        <v>0.28517064718212048</v>
      </c>
      <c r="BM1859" s="468">
        <v>6.3334873250029862</v>
      </c>
    </row>
    <row r="1860" spans="12:65" x14ac:dyDescent="0.3">
      <c r="L1860" s="427">
        <v>1237946.034</v>
      </c>
      <c r="BE1860" s="477">
        <v>6675827.1187411919</v>
      </c>
      <c r="BF1860" s="458">
        <v>3.6545787499914439E-2</v>
      </c>
      <c r="BG1860" s="477">
        <v>6956000.7025493477</v>
      </c>
      <c r="BH1860" s="458">
        <v>5.5774784007208922E-2</v>
      </c>
      <c r="BI1860" s="477">
        <v>12270939.890078465</v>
      </c>
      <c r="BJ1860" s="458">
        <v>0.1213419967714684</v>
      </c>
      <c r="BK1860" s="477">
        <v>79090850.511137903</v>
      </c>
      <c r="BL1860" s="458">
        <v>0.28253469465712056</v>
      </c>
      <c r="BM1860" s="468">
        <v>14.056912759243621</v>
      </c>
    </row>
    <row r="1861" spans="12:65" x14ac:dyDescent="0.3">
      <c r="L1861" s="427">
        <v>-2195291.6809999999</v>
      </c>
      <c r="BE1861" s="477">
        <v>1955003.0274410439</v>
      </c>
      <c r="BF1861" s="458">
        <v>4.6947793394487514E-2</v>
      </c>
      <c r="BG1861" s="477">
        <v>10290423.322207641</v>
      </c>
      <c r="BH1861" s="458">
        <v>8.9637575784516033E-2</v>
      </c>
      <c r="BI1861" s="477">
        <v>12450462.375849241</v>
      </c>
      <c r="BJ1861" s="458">
        <v>0.11564931316502269</v>
      </c>
      <c r="BK1861" s="477">
        <v>86647287.481766477</v>
      </c>
      <c r="BL1861" s="458">
        <v>0.25203735743601574</v>
      </c>
      <c r="BM1861" s="468">
        <v>7.7513372872267183</v>
      </c>
    </row>
    <row r="1862" spans="12:65" x14ac:dyDescent="0.3">
      <c r="L1862" s="427">
        <v>4610876.1489000004</v>
      </c>
      <c r="BE1862" s="477">
        <v>6590513.461425473</v>
      </c>
      <c r="BF1862" s="458">
        <v>6.3884761508525179E-2</v>
      </c>
      <c r="BG1862" s="477">
        <v>7919804.6445285119</v>
      </c>
      <c r="BH1862" s="458">
        <v>5.4814106790363581E-2</v>
      </c>
      <c r="BI1862" s="477">
        <v>18069371.975074161</v>
      </c>
      <c r="BJ1862" s="458">
        <v>7.8422590595131014E-2</v>
      </c>
      <c r="BK1862" s="477">
        <v>75388862.776505068</v>
      </c>
      <c r="BL1862" s="458">
        <v>0.24618656585787613</v>
      </c>
      <c r="BM1862" s="468">
        <v>5.1637378436019388</v>
      </c>
    </row>
    <row r="1863" spans="12:65" x14ac:dyDescent="0.3">
      <c r="L1863" s="427">
        <v>1740876.0554</v>
      </c>
      <c r="BE1863" s="477">
        <v>5708589.1317553194</v>
      </c>
      <c r="BF1863" s="458">
        <v>3.3814932776030426E-2</v>
      </c>
      <c r="BG1863" s="477">
        <v>7897298.8292847052</v>
      </c>
      <c r="BH1863" s="458">
        <v>9.3031924968550284E-2</v>
      </c>
      <c r="BI1863" s="477">
        <v>13918929.94961419</v>
      </c>
      <c r="BJ1863" s="458">
        <v>0.11091952158942586</v>
      </c>
      <c r="BK1863" s="477">
        <v>88995240.04009971</v>
      </c>
      <c r="BL1863" s="458">
        <v>0.26116773023898743</v>
      </c>
      <c r="BM1863" s="468">
        <v>11.777300872878893</v>
      </c>
    </row>
    <row r="1864" spans="12:65" x14ac:dyDescent="0.3">
      <c r="L1864" s="427">
        <v>32975700.511999998</v>
      </c>
      <c r="BE1864" s="477">
        <v>7609322.382199307</v>
      </c>
      <c r="BF1864" s="458">
        <v>3.034550606099784E-2</v>
      </c>
      <c r="BG1864" s="477">
        <v>9042827.7038244009</v>
      </c>
      <c r="BH1864" s="458">
        <v>7.9392531510869002E-2</v>
      </c>
      <c r="BI1864" s="477">
        <v>13655183.269509584</v>
      </c>
      <c r="BJ1864" s="458">
        <v>0.19329828604686394</v>
      </c>
      <c r="BK1864" s="477">
        <v>93088860.57414256</v>
      </c>
      <c r="BL1864" s="458">
        <v>0.26509561587686892</v>
      </c>
      <c r="BM1864" s="468">
        <v>5.7805495126459219</v>
      </c>
    </row>
    <row r="1865" spans="12:65" x14ac:dyDescent="0.3">
      <c r="L1865" s="427">
        <v>19872365.2969</v>
      </c>
      <c r="BE1865" s="477">
        <v>1639652.606657105</v>
      </c>
      <c r="BF1865" s="458">
        <v>5.0538524720626476E-2</v>
      </c>
      <c r="BG1865" s="477">
        <v>14027368.119172012</v>
      </c>
      <c r="BH1865" s="458">
        <v>5.0512433591713313E-2</v>
      </c>
      <c r="BI1865" s="477">
        <v>11119024.404566456</v>
      </c>
      <c r="BJ1865" s="458">
        <v>0.1022061873923481</v>
      </c>
      <c r="BK1865" s="477">
        <v>89492966.693971843</v>
      </c>
      <c r="BL1865" s="458">
        <v>0.26308787732125527</v>
      </c>
      <c r="BM1865" s="468">
        <v>4.1262695069346229</v>
      </c>
    </row>
    <row r="1866" spans="12:65" x14ac:dyDescent="0.3">
      <c r="L1866" s="427">
        <v>4040203.4752000002</v>
      </c>
      <c r="BE1866" s="477">
        <v>6361037.8423225628</v>
      </c>
      <c r="BF1866" s="458">
        <v>5.1998955484651388E-2</v>
      </c>
      <c r="BG1866" s="477">
        <v>7004373.8258773601</v>
      </c>
      <c r="BH1866" s="458">
        <v>6.0021728602583702E-2</v>
      </c>
      <c r="BI1866" s="477">
        <v>18353990.771094818</v>
      </c>
      <c r="BJ1866" s="458">
        <v>0.11820886252554841</v>
      </c>
      <c r="BK1866" s="477">
        <v>81069483.141433239</v>
      </c>
      <c r="BL1866" s="458">
        <v>0.2863337610888903</v>
      </c>
      <c r="BM1866" s="468">
        <v>7.7489279763308536</v>
      </c>
    </row>
    <row r="1867" spans="12:65" x14ac:dyDescent="0.3">
      <c r="L1867" s="427">
        <v>17807853.855</v>
      </c>
      <c r="BE1867" s="477">
        <v>3606744.0320467255</v>
      </c>
      <c r="BF1867" s="458">
        <v>5.5513424350425389E-2</v>
      </c>
      <c r="BG1867" s="477">
        <v>12256046.902183853</v>
      </c>
      <c r="BH1867" s="458">
        <v>5.5799021429663309E-2</v>
      </c>
      <c r="BI1867" s="477">
        <v>14897438.179060621</v>
      </c>
      <c r="BJ1867" s="458">
        <v>0.19753857742050407</v>
      </c>
      <c r="BK1867" s="477">
        <v>79305488.228185415</v>
      </c>
      <c r="BL1867" s="458">
        <v>0.28777173292736502</v>
      </c>
      <c r="BM1867" s="468">
        <v>6.5823696356281625</v>
      </c>
    </row>
    <row r="1868" spans="12:65" x14ac:dyDescent="0.3">
      <c r="L1868" s="427">
        <v>5903357.0882999999</v>
      </c>
      <c r="BE1868" s="477">
        <v>5203028.7422489431</v>
      </c>
      <c r="BF1868" s="458">
        <v>3.1964744941220813E-2</v>
      </c>
      <c r="BG1868" s="477">
        <v>7577381.1740825642</v>
      </c>
      <c r="BH1868" s="458">
        <v>5.4703476847455024E-2</v>
      </c>
      <c r="BI1868" s="477">
        <v>15342590.908189641</v>
      </c>
      <c r="BJ1868" s="458">
        <v>0.11423723037051614</v>
      </c>
      <c r="BK1868" s="477">
        <v>70594429.105641842</v>
      </c>
      <c r="BL1868" s="458">
        <v>0.28006942330615048</v>
      </c>
      <c r="BM1868" s="468">
        <v>6.6517124623512824</v>
      </c>
    </row>
    <row r="1869" spans="12:65" x14ac:dyDescent="0.3">
      <c r="L1869" s="427">
        <v>-14658056.3967</v>
      </c>
      <c r="BE1869" s="477">
        <v>5140148.9119098904</v>
      </c>
      <c r="BF1869" s="458">
        <v>5.7301093349779286E-2</v>
      </c>
      <c r="BG1869" s="477">
        <v>6854717.4575950801</v>
      </c>
      <c r="BH1869" s="458">
        <v>5.8811218297095236E-2</v>
      </c>
      <c r="BI1869" s="477">
        <v>14702331.757091403</v>
      </c>
      <c r="BJ1869" s="458">
        <v>0.12838566434679821</v>
      </c>
      <c r="BK1869" s="477">
        <v>92341606.287629902</v>
      </c>
      <c r="BL1869" s="458">
        <v>0.26695271427832012</v>
      </c>
      <c r="BM1869" s="468">
        <v>9.3105417011885336</v>
      </c>
    </row>
    <row r="1870" spans="12:65" x14ac:dyDescent="0.3">
      <c r="L1870" s="427">
        <v>-3370176.9753999999</v>
      </c>
      <c r="BE1870" s="477">
        <v>8488128.5692031849</v>
      </c>
      <c r="BF1870" s="458">
        <v>3.8365033529098147E-2</v>
      </c>
      <c r="BG1870" s="477">
        <v>7662250.6376124183</v>
      </c>
      <c r="BH1870" s="458">
        <v>7.5425692973810854E-2</v>
      </c>
      <c r="BI1870" s="477">
        <v>18959223.992793106</v>
      </c>
      <c r="BJ1870" s="458">
        <v>0.12019307031029514</v>
      </c>
      <c r="BK1870" s="477">
        <v>94563771.511358202</v>
      </c>
      <c r="BL1870" s="458">
        <v>0.27023060931840903</v>
      </c>
      <c r="BM1870" s="468">
        <v>8.0734730161562887</v>
      </c>
    </row>
    <row r="1871" spans="12:65" x14ac:dyDescent="0.3">
      <c r="L1871" s="427">
        <v>-2830730.5731000002</v>
      </c>
      <c r="BE1871" s="477">
        <v>6497588.6255444065</v>
      </c>
      <c r="BF1871" s="458">
        <v>2.859171368665403E-2</v>
      </c>
      <c r="BG1871" s="477">
        <v>8699085.737711696</v>
      </c>
      <c r="BH1871" s="458">
        <v>5.7072249081451254E-2</v>
      </c>
      <c r="BI1871" s="477">
        <v>15788491.698173871</v>
      </c>
      <c r="BJ1871" s="458">
        <v>0.1083783213781031</v>
      </c>
      <c r="BK1871" s="477">
        <v>83587070.209228694</v>
      </c>
      <c r="BL1871" s="458">
        <v>0.29502820380669914</v>
      </c>
      <c r="BM1871" s="468">
        <v>3.957787927115632</v>
      </c>
    </row>
    <row r="1872" spans="12:65" x14ac:dyDescent="0.3">
      <c r="L1872" s="427">
        <v>8294925.6190999998</v>
      </c>
      <c r="BE1872" s="477">
        <v>6950831.4895819705</v>
      </c>
      <c r="BF1872" s="458">
        <v>5.3745199061077331E-2</v>
      </c>
      <c r="BG1872" s="477">
        <v>6123713.9761247123</v>
      </c>
      <c r="BH1872" s="458">
        <v>5.0409557975247488E-2</v>
      </c>
      <c r="BI1872" s="477">
        <v>10932464.848873867</v>
      </c>
      <c r="BJ1872" s="458">
        <v>0.12979196550028682</v>
      </c>
      <c r="BK1872" s="477">
        <v>76028283.624079645</v>
      </c>
      <c r="BL1872" s="458">
        <v>0.28146082319115751</v>
      </c>
      <c r="BM1872" s="468">
        <v>5.593058291744514</v>
      </c>
    </row>
    <row r="1873" spans="12:65" x14ac:dyDescent="0.3">
      <c r="L1873" s="427">
        <v>5444627.1837999998</v>
      </c>
      <c r="BE1873" s="477">
        <v>6729142.2008452909</v>
      </c>
      <c r="BF1873" s="458">
        <v>5.3630473076361707E-2</v>
      </c>
      <c r="BG1873" s="477">
        <v>8347292.2477210658</v>
      </c>
      <c r="BH1873" s="458">
        <v>6.8137518460999136E-2</v>
      </c>
      <c r="BI1873" s="477">
        <v>13045868.55412457</v>
      </c>
      <c r="BJ1873" s="458">
        <v>0.10748485818795528</v>
      </c>
      <c r="BK1873" s="477">
        <v>88079903.289041594</v>
      </c>
      <c r="BL1873" s="458">
        <v>0.26657031993301206</v>
      </c>
      <c r="BM1873" s="468">
        <v>8.5819815770622849</v>
      </c>
    </row>
    <row r="1874" spans="12:65" x14ac:dyDescent="0.3">
      <c r="L1874" s="427">
        <v>14790882.548599999</v>
      </c>
      <c r="BE1874" s="477">
        <v>-116628.41195619317</v>
      </c>
      <c r="BF1874" s="458">
        <v>4.5927849351784733E-2</v>
      </c>
      <c r="BG1874" s="477">
        <v>11474339.358701546</v>
      </c>
      <c r="BH1874" s="458">
        <v>9.2691990338418462E-2</v>
      </c>
      <c r="BI1874" s="477">
        <v>15140850.655304415</v>
      </c>
      <c r="BJ1874" s="458">
        <v>9.5754545940397673E-2</v>
      </c>
      <c r="BK1874" s="477">
        <v>89432440.264908001</v>
      </c>
      <c r="BL1874" s="458">
        <v>0.27194529175640136</v>
      </c>
      <c r="BM1874" s="468">
        <v>8.3888300310469646</v>
      </c>
    </row>
    <row r="1875" spans="12:65" x14ac:dyDescent="0.3">
      <c r="L1875" s="427">
        <v>-380888.24129999999</v>
      </c>
      <c r="BE1875" s="477">
        <v>11482308.057410873</v>
      </c>
      <c r="BF1875" s="458">
        <v>5.8672666331919476E-2</v>
      </c>
      <c r="BG1875" s="477">
        <v>3879277.2982688281</v>
      </c>
      <c r="BH1875" s="458">
        <v>6.6503197558946292E-2</v>
      </c>
      <c r="BI1875" s="477">
        <v>21324386.740724321</v>
      </c>
      <c r="BJ1875" s="458">
        <v>0.11585262346890945</v>
      </c>
      <c r="BK1875" s="477">
        <v>91905812.433709994</v>
      </c>
      <c r="BL1875" s="458">
        <v>0.26911930104826198</v>
      </c>
      <c r="BM1875" s="468">
        <v>3.9051484123175717</v>
      </c>
    </row>
    <row r="1876" spans="12:65" x14ac:dyDescent="0.3">
      <c r="L1876" s="427">
        <v>1350030.2548</v>
      </c>
      <c r="BE1876" s="477">
        <v>4370007.5737039493</v>
      </c>
      <c r="BF1876" s="458">
        <v>2.7368982360264749E-2</v>
      </c>
      <c r="BG1876" s="477">
        <v>4469867.4980921475</v>
      </c>
      <c r="BH1876" s="458">
        <v>5.3656407684583129E-2</v>
      </c>
      <c r="BI1876" s="477">
        <v>14501123.282589456</v>
      </c>
      <c r="BJ1876" s="458">
        <v>0.11282634222236454</v>
      </c>
      <c r="BK1876" s="477">
        <v>83087147.68818751</v>
      </c>
      <c r="BL1876" s="458">
        <v>0.27173119575484406</v>
      </c>
      <c r="BM1876" s="468">
        <v>13.529390966919241</v>
      </c>
    </row>
    <row r="1877" spans="12:65" x14ac:dyDescent="0.3">
      <c r="L1877" s="427">
        <v>4138595.2407999998</v>
      </c>
      <c r="BE1877" s="477">
        <v>10968868.872464016</v>
      </c>
      <c r="BF1877" s="458">
        <v>6.5201916824895401E-2</v>
      </c>
      <c r="BG1877" s="477">
        <v>1674718.9589304859</v>
      </c>
      <c r="BH1877" s="458">
        <v>5.2685993897838346E-2</v>
      </c>
      <c r="BI1877" s="477">
        <v>19755014.507018436</v>
      </c>
      <c r="BJ1877" s="458">
        <v>0.11957117606898571</v>
      </c>
      <c r="BK1877" s="477">
        <v>89144710.905732512</v>
      </c>
      <c r="BL1877" s="458">
        <v>0.26391865308528284</v>
      </c>
      <c r="BM1877" s="468">
        <v>6.6183199651208646</v>
      </c>
    </row>
    <row r="1878" spans="12:65" x14ac:dyDescent="0.3">
      <c r="L1878" s="427">
        <v>8593095.1063000001</v>
      </c>
      <c r="BE1878" s="477">
        <v>5895406.5002788249</v>
      </c>
      <c r="BF1878" s="458">
        <v>3.7963277984250698E-2</v>
      </c>
      <c r="BG1878" s="477">
        <v>2429905.724421131</v>
      </c>
      <c r="BH1878" s="458">
        <v>8.2338824710204372E-2</v>
      </c>
      <c r="BI1878" s="477">
        <v>13454054.841687361</v>
      </c>
      <c r="BJ1878" s="458">
        <v>0.11522927245512804</v>
      </c>
      <c r="BK1878" s="477">
        <v>86505762.828154594</v>
      </c>
      <c r="BL1878" s="458">
        <v>0.28897434791575027</v>
      </c>
      <c r="BM1878" s="468">
        <v>-0.73552068727132713</v>
      </c>
    </row>
    <row r="1879" spans="12:65" x14ac:dyDescent="0.3">
      <c r="L1879" s="427">
        <v>26562284.4496</v>
      </c>
      <c r="BE1879" s="477">
        <v>5102978.8599465443</v>
      </c>
      <c r="BF1879" s="458">
        <v>3.3144267212944056E-2</v>
      </c>
      <c r="BG1879" s="477">
        <v>10001387.19995781</v>
      </c>
      <c r="BH1879" s="458">
        <v>8.1416512643410988E-2</v>
      </c>
      <c r="BI1879" s="477">
        <v>19010608.969607595</v>
      </c>
      <c r="BJ1879" s="458">
        <v>0.13299108296651951</v>
      </c>
      <c r="BK1879" s="477">
        <v>98790578.743355796</v>
      </c>
      <c r="BL1879" s="458">
        <v>0.2616128023640556</v>
      </c>
      <c r="BM1879" s="468">
        <v>7.1531048413969609</v>
      </c>
    </row>
    <row r="1880" spans="12:65" x14ac:dyDescent="0.3">
      <c r="L1880" s="427">
        <v>12150167.024</v>
      </c>
      <c r="BE1880" s="477">
        <v>3524822.5848068637</v>
      </c>
      <c r="BF1880" s="458">
        <v>3.0289854252519843E-2</v>
      </c>
      <c r="BG1880" s="477">
        <v>10320119.542840768</v>
      </c>
      <c r="BH1880" s="458">
        <v>6.3630941004144015E-2</v>
      </c>
      <c r="BI1880" s="477">
        <v>23235507.397288602</v>
      </c>
      <c r="BJ1880" s="458">
        <v>0.12681973695367543</v>
      </c>
      <c r="BK1880" s="477">
        <v>90619239.304592744</v>
      </c>
      <c r="BL1880" s="458">
        <v>0.27919756860424383</v>
      </c>
      <c r="BM1880" s="468">
        <v>8.9934929399072079</v>
      </c>
    </row>
    <row r="1881" spans="12:65" x14ac:dyDescent="0.3">
      <c r="L1881" s="427">
        <v>20992579.1631</v>
      </c>
      <c r="BE1881" s="477">
        <v>6351201.823005395</v>
      </c>
      <c r="BF1881" s="458">
        <v>5.2405474577824185E-2</v>
      </c>
      <c r="BG1881" s="477">
        <v>15058920.950138682</v>
      </c>
      <c r="BH1881" s="458">
        <v>8.964934091089316E-2</v>
      </c>
      <c r="BI1881" s="477">
        <v>17124721.924212907</v>
      </c>
      <c r="BJ1881" s="458">
        <v>0.10654816368860387</v>
      </c>
      <c r="BK1881" s="477">
        <v>81303360.871196657</v>
      </c>
      <c r="BL1881" s="458">
        <v>0.29537174821937429</v>
      </c>
      <c r="BM1881" s="468">
        <v>11.8295909605327</v>
      </c>
    </row>
    <row r="1882" spans="12:65" x14ac:dyDescent="0.3">
      <c r="L1882" s="427">
        <v>-3667278.9356999998</v>
      </c>
      <c r="BE1882" s="477">
        <v>4103200.9709500475</v>
      </c>
      <c r="BF1882" s="458">
        <v>2.0960147838070986E-2</v>
      </c>
      <c r="BG1882" s="477">
        <v>9330805.3978728484</v>
      </c>
      <c r="BH1882" s="458">
        <v>6.4941760493464118E-2</v>
      </c>
      <c r="BI1882" s="477">
        <v>17493465.323395908</v>
      </c>
      <c r="BJ1882" s="458">
        <v>8.9209466757672384E-2</v>
      </c>
      <c r="BK1882" s="477">
        <v>98340944.299883276</v>
      </c>
      <c r="BL1882" s="458">
        <v>0.26987617402157338</v>
      </c>
      <c r="BM1882" s="468">
        <v>7.2364198713811083</v>
      </c>
    </row>
    <row r="1883" spans="12:65" x14ac:dyDescent="0.3">
      <c r="L1883" s="427">
        <v>16511514.121099999</v>
      </c>
      <c r="BE1883" s="477">
        <v>4699324.0490945876</v>
      </c>
      <c r="BF1883" s="458">
        <v>3.1681660162633962E-2</v>
      </c>
      <c r="BG1883" s="477">
        <v>5983227.0387863908</v>
      </c>
      <c r="BH1883" s="458">
        <v>7.2892108924300425E-2</v>
      </c>
      <c r="BI1883" s="477">
        <v>12148678.380998841</v>
      </c>
      <c r="BJ1883" s="458">
        <v>0.1161052435728287</v>
      </c>
      <c r="BK1883" s="477">
        <v>94468099.433016151</v>
      </c>
      <c r="BL1883" s="458">
        <v>0.28877994877707436</v>
      </c>
      <c r="BM1883" s="468">
        <v>6.6798731262135718</v>
      </c>
    </row>
    <row r="1884" spans="12:65" x14ac:dyDescent="0.3">
      <c r="L1884" s="427">
        <v>25316032.911499999</v>
      </c>
      <c r="BE1884" s="477">
        <v>6314291.4339886308</v>
      </c>
      <c r="BF1884" s="458">
        <v>8.6390236264109799E-2</v>
      </c>
      <c r="BG1884" s="477">
        <v>9978113.0541886259</v>
      </c>
      <c r="BH1884" s="458">
        <v>3.1018514400144248E-2</v>
      </c>
      <c r="BI1884" s="477">
        <v>14435304.876956487</v>
      </c>
      <c r="BJ1884" s="458">
        <v>0.12785604585223287</v>
      </c>
      <c r="BK1884" s="477">
        <v>91585425.258220434</v>
      </c>
      <c r="BL1884" s="458">
        <v>0.27851000631386791</v>
      </c>
      <c r="BM1884" s="468">
        <v>8.4352657168276171</v>
      </c>
    </row>
    <row r="1885" spans="12:65" x14ac:dyDescent="0.3">
      <c r="L1885" s="427">
        <v>23879431.110300001</v>
      </c>
      <c r="BE1885" s="477">
        <v>4062721.6819563317</v>
      </c>
      <c r="BF1885" s="458">
        <v>3.5357435188836384E-2</v>
      </c>
      <c r="BG1885" s="477">
        <v>12952870.535526395</v>
      </c>
      <c r="BH1885" s="458">
        <v>6.0153146651722667E-2</v>
      </c>
      <c r="BI1885" s="477">
        <v>20712677.225375805</v>
      </c>
      <c r="BJ1885" s="458">
        <v>0.10356421146338435</v>
      </c>
      <c r="BK1885" s="477">
        <v>86334580.746568531</v>
      </c>
      <c r="BL1885" s="458">
        <v>0.26746329703430693</v>
      </c>
      <c r="BM1885" s="468">
        <v>3.6420591625941832</v>
      </c>
    </row>
    <row r="1886" spans="12:65" x14ac:dyDescent="0.3">
      <c r="L1886" s="427">
        <v>1526650.7398000001</v>
      </c>
      <c r="BE1886" s="477">
        <v>12719663.837998062</v>
      </c>
      <c r="BF1886" s="458">
        <v>2.9133290228100517E-2</v>
      </c>
      <c r="BG1886" s="477">
        <v>9323321.6146695726</v>
      </c>
      <c r="BH1886" s="458">
        <v>7.3774966152940546E-2</v>
      </c>
      <c r="BI1886" s="477">
        <v>18330953.291665588</v>
      </c>
      <c r="BJ1886" s="458">
        <v>0.10923240925133237</v>
      </c>
      <c r="BK1886" s="477">
        <v>87863833.345752746</v>
      </c>
      <c r="BL1886" s="458">
        <v>0.28177751957130237</v>
      </c>
      <c r="BM1886" s="468">
        <v>5.2594853022478434</v>
      </c>
    </row>
    <row r="1887" spans="12:65" x14ac:dyDescent="0.3">
      <c r="L1887" s="427">
        <v>5452582.6235999996</v>
      </c>
      <c r="BE1887" s="477">
        <v>3815515.2440850008</v>
      </c>
      <c r="BF1887" s="458">
        <v>3.7855253292320423E-2</v>
      </c>
      <c r="BG1887" s="477">
        <v>6219964.944114686</v>
      </c>
      <c r="BH1887" s="458">
        <v>0.1019751434902918</v>
      </c>
      <c r="BI1887" s="477">
        <v>18523406.73509831</v>
      </c>
      <c r="BJ1887" s="458">
        <v>0.11766426989908152</v>
      </c>
      <c r="BK1887" s="477">
        <v>91761473.407805607</v>
      </c>
      <c r="BL1887" s="458">
        <v>0.25503993736808606</v>
      </c>
      <c r="BM1887" s="468">
        <v>8.6870183210495906</v>
      </c>
    </row>
    <row r="1888" spans="12:65" x14ac:dyDescent="0.3">
      <c r="L1888" s="427">
        <v>-15252191.5339</v>
      </c>
      <c r="BE1888" s="477">
        <v>2696666.8994089616</v>
      </c>
      <c r="BF1888" s="458">
        <v>3.0209241544774112E-2</v>
      </c>
      <c r="BG1888" s="477">
        <v>7101249.0568656791</v>
      </c>
      <c r="BH1888" s="458">
        <v>7.4779363330823578E-2</v>
      </c>
      <c r="BI1888" s="477">
        <v>17413659.335515317</v>
      </c>
      <c r="BJ1888" s="458">
        <v>0.10052152626167099</v>
      </c>
      <c r="BK1888" s="477">
        <v>87782660.300974444</v>
      </c>
      <c r="BL1888" s="458">
        <v>0.26777376604220127</v>
      </c>
      <c r="BM1888" s="468">
        <v>7.0232329479320201</v>
      </c>
    </row>
    <row r="1889" spans="12:65" x14ac:dyDescent="0.3">
      <c r="L1889" s="427">
        <v>5610090.3373999996</v>
      </c>
      <c r="BE1889" s="477">
        <v>3886296.5098433555</v>
      </c>
      <c r="BF1889" s="458">
        <v>4.4862594866031502E-2</v>
      </c>
      <c r="BG1889" s="477">
        <v>16015293.545872033</v>
      </c>
      <c r="BH1889" s="458">
        <v>6.5686144404555558E-2</v>
      </c>
      <c r="BI1889" s="477">
        <v>26292972.533172041</v>
      </c>
      <c r="BJ1889" s="458">
        <v>9.978002183876078E-2</v>
      </c>
      <c r="BK1889" s="477">
        <v>91928701.960130304</v>
      </c>
      <c r="BL1889" s="458">
        <v>0.2740312197998902</v>
      </c>
      <c r="BM1889" s="468">
        <v>9.5691307240935011</v>
      </c>
    </row>
    <row r="1890" spans="12:65" x14ac:dyDescent="0.3">
      <c r="L1890" s="427">
        <v>1069941.1417</v>
      </c>
      <c r="BE1890" s="477">
        <v>3511721.5625030892</v>
      </c>
      <c r="BF1890" s="458">
        <v>5.9259578959919734E-2</v>
      </c>
      <c r="BG1890" s="477">
        <v>13279806.299198164</v>
      </c>
      <c r="BH1890" s="458">
        <v>6.355498030208806E-2</v>
      </c>
      <c r="BI1890" s="477">
        <v>18159853.411187984</v>
      </c>
      <c r="BJ1890" s="458">
        <v>0.12095649859983348</v>
      </c>
      <c r="BK1890" s="477">
        <v>94539401.712966129</v>
      </c>
      <c r="BL1890" s="458">
        <v>0.27031189192380967</v>
      </c>
      <c r="BM1890" s="468">
        <v>-0.91590393087142452</v>
      </c>
    </row>
    <row r="1891" spans="12:65" x14ac:dyDescent="0.3">
      <c r="L1891" s="427">
        <v>30294866.3259</v>
      </c>
      <c r="BE1891" s="477">
        <v>7410803.2864336055</v>
      </c>
      <c r="BF1891" s="458">
        <v>3.9773364406981315E-2</v>
      </c>
      <c r="BG1891" s="477">
        <v>8460677.0642880239</v>
      </c>
      <c r="BH1891" s="458">
        <v>8.089354201409571E-2</v>
      </c>
      <c r="BI1891" s="477">
        <v>17449211.440147337</v>
      </c>
      <c r="BJ1891" s="458">
        <v>9.7058552301450884E-2</v>
      </c>
      <c r="BK1891" s="477">
        <v>96115258.502769947</v>
      </c>
      <c r="BL1891" s="458">
        <v>0.26489163272642302</v>
      </c>
      <c r="BM1891" s="468">
        <v>11.339061356331749</v>
      </c>
    </row>
    <row r="1892" spans="12:65" x14ac:dyDescent="0.3">
      <c r="L1892" s="427">
        <v>11317965.722200001</v>
      </c>
      <c r="BE1892" s="477">
        <v>4154739.7288342593</v>
      </c>
      <c r="BF1892" s="458">
        <v>3.1185427185968839E-2</v>
      </c>
      <c r="BG1892" s="477">
        <v>8795900.6261535715</v>
      </c>
      <c r="BH1892" s="458">
        <v>6.7852332151930206E-2</v>
      </c>
      <c r="BI1892" s="477">
        <v>9310420.6675623693</v>
      </c>
      <c r="BJ1892" s="458">
        <v>9.9551214811222977E-2</v>
      </c>
      <c r="BK1892" s="477">
        <v>81789897.754678756</v>
      </c>
      <c r="BL1892" s="458">
        <v>0.25573700104114394</v>
      </c>
      <c r="BM1892" s="468">
        <v>8.4092058154897824</v>
      </c>
    </row>
    <row r="1893" spans="12:65" x14ac:dyDescent="0.3">
      <c r="L1893" s="427">
        <v>-7517259.6602999996</v>
      </c>
      <c r="BE1893" s="477">
        <v>9245581.6540347803</v>
      </c>
      <c r="BF1893" s="458">
        <v>2.3095282483989399E-2</v>
      </c>
      <c r="BG1893" s="477">
        <v>8340463.6911022533</v>
      </c>
      <c r="BH1893" s="458">
        <v>9.5753080056570461E-2</v>
      </c>
      <c r="BI1893" s="477">
        <v>11141188.574201996</v>
      </c>
      <c r="BJ1893" s="458">
        <v>0.11260582456699053</v>
      </c>
      <c r="BK1893" s="477">
        <v>82980669.573519424</v>
      </c>
      <c r="BL1893" s="458">
        <v>0.26932092655978468</v>
      </c>
      <c r="BM1893" s="468">
        <v>11.860656404815431</v>
      </c>
    </row>
    <row r="1894" spans="12:65" x14ac:dyDescent="0.3">
      <c r="L1894" s="427">
        <v>11596749.1985</v>
      </c>
      <c r="BE1894" s="477">
        <v>7166102.5395612931</v>
      </c>
      <c r="BF1894" s="458">
        <v>4.988793230458799E-2</v>
      </c>
      <c r="BG1894" s="477">
        <v>15162445.546191668</v>
      </c>
      <c r="BH1894" s="458">
        <v>6.5056315427813205E-2</v>
      </c>
      <c r="BI1894" s="477">
        <v>10824559.478611963</v>
      </c>
      <c r="BJ1894" s="458">
        <v>0.11477959192062404</v>
      </c>
      <c r="BK1894" s="477">
        <v>89348653.806563348</v>
      </c>
      <c r="BL1894" s="458">
        <v>0.26417393252761068</v>
      </c>
      <c r="BM1894" s="468">
        <v>7.8469715589956186</v>
      </c>
    </row>
    <row r="1895" spans="12:65" x14ac:dyDescent="0.3">
      <c r="L1895" s="427">
        <v>14363344.7261</v>
      </c>
      <c r="BE1895" s="477">
        <v>768164.05858144094</v>
      </c>
      <c r="BF1895" s="458">
        <v>3.004750035028092E-2</v>
      </c>
      <c r="BG1895" s="477">
        <v>8071386.2264407584</v>
      </c>
      <c r="BH1895" s="458">
        <v>7.6403861524561245E-2</v>
      </c>
      <c r="BI1895" s="477">
        <v>9653965.2924510781</v>
      </c>
      <c r="BJ1895" s="458">
        <v>0.11743277702825172</v>
      </c>
      <c r="BK1895" s="477">
        <v>89250029.219066635</v>
      </c>
      <c r="BL1895" s="458">
        <v>0.26311061338747344</v>
      </c>
      <c r="BM1895" s="468">
        <v>12.612061308708046</v>
      </c>
    </row>
    <row r="1896" spans="12:65" x14ac:dyDescent="0.3">
      <c r="L1896" s="427">
        <v>22999706.132300001</v>
      </c>
      <c r="BE1896" s="477">
        <v>4438182.2666162811</v>
      </c>
      <c r="BF1896" s="458">
        <v>2.9631744571746665E-2</v>
      </c>
      <c r="BG1896" s="477">
        <v>3621735.9911761601</v>
      </c>
      <c r="BH1896" s="458">
        <v>4.0789449519365251E-2</v>
      </c>
      <c r="BI1896" s="477">
        <v>17581523.332702596</v>
      </c>
      <c r="BJ1896" s="458">
        <v>9.2287534942809391E-2</v>
      </c>
      <c r="BK1896" s="477">
        <v>95338411.930499315</v>
      </c>
      <c r="BL1896" s="458">
        <v>0.26346635503656946</v>
      </c>
      <c r="BM1896" s="468">
        <v>4.6110374774273772</v>
      </c>
    </row>
    <row r="1897" spans="12:65" x14ac:dyDescent="0.3">
      <c r="L1897" s="427">
        <v>10757119.226199999</v>
      </c>
      <c r="BE1897" s="477">
        <v>6007762.8824690981</v>
      </c>
      <c r="BF1897" s="458">
        <v>3.7250598007022573E-2</v>
      </c>
      <c r="BG1897" s="477">
        <v>10344111.195945015</v>
      </c>
      <c r="BH1897" s="458">
        <v>4.5482318973515845E-2</v>
      </c>
      <c r="BI1897" s="477">
        <v>19748901.635266177</v>
      </c>
      <c r="BJ1897" s="458">
        <v>0.11332672246578079</v>
      </c>
      <c r="BK1897" s="477">
        <v>87122312.297208011</v>
      </c>
      <c r="BL1897" s="458">
        <v>0.27380701123848983</v>
      </c>
      <c r="BM1897" s="468">
        <v>5.8006472226310901</v>
      </c>
    </row>
    <row r="1898" spans="12:65" x14ac:dyDescent="0.3">
      <c r="L1898" s="427">
        <v>-9119921.9640999995</v>
      </c>
      <c r="BE1898" s="477">
        <v>4420061.0082693771</v>
      </c>
      <c r="BF1898" s="458">
        <v>4.8099823261980701E-2</v>
      </c>
      <c r="BG1898" s="477">
        <v>12615126.488731602</v>
      </c>
      <c r="BH1898" s="458">
        <v>6.4938741365524244E-2</v>
      </c>
      <c r="BI1898" s="477">
        <v>21414999.079697352</v>
      </c>
      <c r="BJ1898" s="458">
        <v>0.10972520301862576</v>
      </c>
      <c r="BK1898" s="477">
        <v>90414507.358128205</v>
      </c>
      <c r="BL1898" s="458">
        <v>0.26001247413822592</v>
      </c>
      <c r="BM1898" s="468">
        <v>4.7115855043768562</v>
      </c>
    </row>
    <row r="1899" spans="12:65" x14ac:dyDescent="0.3">
      <c r="L1899" s="427">
        <v>9573475.9870999996</v>
      </c>
      <c r="BE1899" s="477">
        <v>4036507.0315724867</v>
      </c>
      <c r="BF1899" s="458">
        <v>4.3165881737709633E-2</v>
      </c>
      <c r="BG1899" s="477">
        <v>5483342.217401607</v>
      </c>
      <c r="BH1899" s="458">
        <v>6.162737984864175E-2</v>
      </c>
      <c r="BI1899" s="477">
        <v>15469648.226488139</v>
      </c>
      <c r="BJ1899" s="458">
        <v>0.10530344936065239</v>
      </c>
      <c r="BK1899" s="477">
        <v>76758341.842095003</v>
      </c>
      <c r="BL1899" s="458">
        <v>0.26030471289264545</v>
      </c>
      <c r="BM1899" s="468">
        <v>12.810398546602517</v>
      </c>
    </row>
    <row r="1900" spans="12:65" x14ac:dyDescent="0.3">
      <c r="L1900" s="427">
        <v>-20822176.799199998</v>
      </c>
      <c r="BE1900" s="477">
        <v>3867757.101531527</v>
      </c>
      <c r="BF1900" s="458">
        <v>3.8434573403069328E-2</v>
      </c>
      <c r="BG1900" s="477">
        <v>3006526.1330483039</v>
      </c>
      <c r="BH1900" s="458">
        <v>5.9175055518458697E-2</v>
      </c>
      <c r="BI1900" s="477">
        <v>19199872.61689578</v>
      </c>
      <c r="BJ1900" s="458">
        <v>0.1258207142343799</v>
      </c>
      <c r="BK1900" s="477">
        <v>98960584.94943063</v>
      </c>
      <c r="BL1900" s="458">
        <v>0.29167690175210392</v>
      </c>
      <c r="BM1900" s="468">
        <v>6.1406377116019932</v>
      </c>
    </row>
    <row r="1901" spans="12:65" x14ac:dyDescent="0.3">
      <c r="L1901" s="427">
        <v>3272815.8572</v>
      </c>
      <c r="BE1901" s="477">
        <v>3726044.3499465771</v>
      </c>
      <c r="BF1901" s="458">
        <v>5.693545404659095E-2</v>
      </c>
      <c r="BG1901" s="477">
        <v>16244381.738929374</v>
      </c>
      <c r="BH1901" s="458">
        <v>4.3277103924588944E-2</v>
      </c>
      <c r="BI1901" s="477">
        <v>13203248.339045199</v>
      </c>
      <c r="BJ1901" s="458">
        <v>7.4170086594415707E-2</v>
      </c>
      <c r="BK1901" s="477">
        <v>95735891.50205332</v>
      </c>
      <c r="BL1901" s="458">
        <v>0.26184417508664226</v>
      </c>
      <c r="BM1901" s="468">
        <v>8.0618409223108625</v>
      </c>
    </row>
    <row r="1902" spans="12:65" x14ac:dyDescent="0.3">
      <c r="L1902" s="427">
        <v>2522704.9870000002</v>
      </c>
      <c r="BE1902" s="477">
        <v>582162.41092326923</v>
      </c>
      <c r="BF1902" s="458">
        <v>4.3728489124261971E-2</v>
      </c>
      <c r="BG1902" s="477">
        <v>10763413.97066815</v>
      </c>
      <c r="BH1902" s="458">
        <v>8.2032158542005407E-2</v>
      </c>
      <c r="BI1902" s="477">
        <v>15745175.597040093</v>
      </c>
      <c r="BJ1902" s="458">
        <v>9.6013498436782196E-2</v>
      </c>
      <c r="BK1902" s="477">
        <v>83722630.707720518</v>
      </c>
      <c r="BL1902" s="458">
        <v>0.26842754941153069</v>
      </c>
      <c r="BM1902" s="468">
        <v>6.3302608316511915</v>
      </c>
    </row>
    <row r="1903" spans="12:65" x14ac:dyDescent="0.3">
      <c r="L1903" s="427">
        <v>2841537.196</v>
      </c>
      <c r="BE1903" s="477">
        <v>5660492.7019034382</v>
      </c>
      <c r="BF1903" s="458">
        <v>4.1845555728116102E-2</v>
      </c>
      <c r="BG1903" s="477">
        <v>5004182.0603600498</v>
      </c>
      <c r="BH1903" s="458">
        <v>6.4517608505060497E-2</v>
      </c>
      <c r="BI1903" s="477">
        <v>10125175.27295864</v>
      </c>
      <c r="BJ1903" s="458">
        <v>0.11623789460958611</v>
      </c>
      <c r="BK1903" s="477">
        <v>94765496.052215099</v>
      </c>
      <c r="BL1903" s="458">
        <v>0.25487563186380524</v>
      </c>
      <c r="BM1903" s="468">
        <v>10.643299268437199</v>
      </c>
    </row>
    <row r="1904" spans="12:65" x14ac:dyDescent="0.3">
      <c r="L1904" s="427">
        <v>-8551863.9682</v>
      </c>
      <c r="BE1904" s="477">
        <v>3097357.1786788329</v>
      </c>
      <c r="BF1904" s="458">
        <v>2.6810492510349393E-2</v>
      </c>
      <c r="BG1904" s="477">
        <v>14197546.798127174</v>
      </c>
      <c r="BH1904" s="458">
        <v>5.344649238065502E-2</v>
      </c>
      <c r="BI1904" s="477">
        <v>21296153.363785047</v>
      </c>
      <c r="BJ1904" s="458">
        <v>0.11096134004222291</v>
      </c>
      <c r="BK1904" s="477">
        <v>73901238.682624862</v>
      </c>
      <c r="BL1904" s="458">
        <v>0.25636644261977426</v>
      </c>
      <c r="BM1904" s="468">
        <v>9.1702228501115997</v>
      </c>
    </row>
    <row r="1905" spans="12:65" x14ac:dyDescent="0.3">
      <c r="L1905" s="427">
        <v>6486514.5694000004</v>
      </c>
      <c r="BE1905" s="477">
        <v>7364078.5203454634</v>
      </c>
      <c r="BF1905" s="458">
        <v>4.9227409359637209E-2</v>
      </c>
      <c r="BG1905" s="477">
        <v>10747888.151724903</v>
      </c>
      <c r="BH1905" s="458">
        <v>3.1569511934717465E-2</v>
      </c>
      <c r="BI1905" s="477">
        <v>8804120.833980361</v>
      </c>
      <c r="BJ1905" s="458">
        <v>9.6786946086756309E-2</v>
      </c>
      <c r="BK1905" s="477">
        <v>73232792.001474321</v>
      </c>
      <c r="BL1905" s="458">
        <v>0.2509848071260985</v>
      </c>
      <c r="BM1905" s="468">
        <v>10.512524420527354</v>
      </c>
    </row>
    <row r="1906" spans="12:65" x14ac:dyDescent="0.3">
      <c r="L1906" s="427">
        <v>535220.07019999996</v>
      </c>
      <c r="BE1906" s="477">
        <v>1367400.0999175401</v>
      </c>
      <c r="BF1906" s="458">
        <v>5.38105199387513E-2</v>
      </c>
      <c r="BG1906" s="477">
        <v>6000766.3736253828</v>
      </c>
      <c r="BH1906" s="458">
        <v>5.9996389469572753E-2</v>
      </c>
      <c r="BI1906" s="477">
        <v>13644587.747766841</v>
      </c>
      <c r="BJ1906" s="458">
        <v>9.9770932918083366E-2</v>
      </c>
      <c r="BK1906" s="477">
        <v>93385198.823411226</v>
      </c>
      <c r="BL1906" s="458">
        <v>0.25901477602824929</v>
      </c>
      <c r="BM1906" s="468">
        <v>3.991994593617159</v>
      </c>
    </row>
    <row r="1907" spans="12:65" x14ac:dyDescent="0.3">
      <c r="L1907" s="427">
        <v>19318905.290100001</v>
      </c>
      <c r="BE1907" s="477">
        <v>6475642.1238353122</v>
      </c>
      <c r="BF1907" s="458">
        <v>6.3217991764493053E-2</v>
      </c>
      <c r="BG1907" s="477">
        <v>7026010.3964240924</v>
      </c>
      <c r="BH1907" s="458">
        <v>0.10383544438587178</v>
      </c>
      <c r="BI1907" s="477">
        <v>23510328.79596426</v>
      </c>
      <c r="BJ1907" s="458">
        <v>0.12755596423818316</v>
      </c>
      <c r="BK1907" s="477">
        <v>89550546.144203424</v>
      </c>
      <c r="BL1907" s="458">
        <v>0.25318035445661313</v>
      </c>
      <c r="BM1907" s="468">
        <v>8.0119433951045806</v>
      </c>
    </row>
    <row r="1908" spans="12:65" x14ac:dyDescent="0.3">
      <c r="L1908" s="427">
        <v>16557653.965600001</v>
      </c>
      <c r="BE1908" s="477">
        <v>5415731.7064277241</v>
      </c>
      <c r="BF1908" s="458">
        <v>4.3501965402427567E-2</v>
      </c>
      <c r="BG1908" s="477">
        <v>11133225.350249058</v>
      </c>
      <c r="BH1908" s="458">
        <v>7.1923024898560728E-2</v>
      </c>
      <c r="BI1908" s="477">
        <v>17191451.931529678</v>
      </c>
      <c r="BJ1908" s="458">
        <v>9.9755781954507627E-2</v>
      </c>
      <c r="BK1908" s="477">
        <v>83609621.384356871</v>
      </c>
      <c r="BL1908" s="458">
        <v>0.26351837246808918</v>
      </c>
      <c r="BM1908" s="468">
        <v>3.6573823906686007</v>
      </c>
    </row>
    <row r="1909" spans="12:65" x14ac:dyDescent="0.3">
      <c r="L1909" s="427">
        <v>13687081.5745</v>
      </c>
      <c r="BE1909" s="477">
        <v>5618273.6715052547</v>
      </c>
      <c r="BF1909" s="458">
        <v>5.4613973834406915E-2</v>
      </c>
      <c r="BG1909" s="477">
        <v>9549084.9732803628</v>
      </c>
      <c r="BH1909" s="458">
        <v>7.8290064372785961E-2</v>
      </c>
      <c r="BI1909" s="477">
        <v>18567076.460968629</v>
      </c>
      <c r="BJ1909" s="458">
        <v>0.12034712421351701</v>
      </c>
      <c r="BK1909" s="477">
        <v>95526156.152544305</v>
      </c>
      <c r="BL1909" s="458">
        <v>0.26075627740519081</v>
      </c>
      <c r="BM1909" s="468">
        <v>11.660340283839343</v>
      </c>
    </row>
    <row r="1910" spans="12:65" x14ac:dyDescent="0.3">
      <c r="L1910" s="427">
        <v>-1482958.3398</v>
      </c>
      <c r="BE1910" s="477">
        <v>-517514.61570627912</v>
      </c>
      <c r="BF1910" s="458">
        <v>6.0533213092723859E-3</v>
      </c>
      <c r="BG1910" s="477">
        <v>9876764.4025113061</v>
      </c>
      <c r="BH1910" s="458">
        <v>2.8347850828482235E-2</v>
      </c>
      <c r="BI1910" s="477">
        <v>18792967.744502317</v>
      </c>
      <c r="BJ1910" s="458">
        <v>9.2700241477963186E-2</v>
      </c>
      <c r="BK1910" s="477">
        <v>97070181.684258193</v>
      </c>
      <c r="BL1910" s="458">
        <v>0.27469631500720881</v>
      </c>
      <c r="BM1910" s="468">
        <v>6.8597832320353156</v>
      </c>
    </row>
    <row r="1911" spans="12:65" x14ac:dyDescent="0.3">
      <c r="L1911" s="427">
        <v>14980873.174900001</v>
      </c>
      <c r="BE1911" s="477">
        <v>4130220.6896218951</v>
      </c>
      <c r="BF1911" s="458">
        <v>1.8849101445298944E-2</v>
      </c>
      <c r="BG1911" s="477">
        <v>3122615.4217979484</v>
      </c>
      <c r="BH1911" s="458">
        <v>6.9348497976464252E-2</v>
      </c>
      <c r="BI1911" s="477">
        <v>26442048.596074171</v>
      </c>
      <c r="BJ1911" s="458">
        <v>0.12046602280375618</v>
      </c>
      <c r="BK1911" s="477">
        <v>110264797.91552421</v>
      </c>
      <c r="BL1911" s="458">
        <v>0.26598375211496217</v>
      </c>
      <c r="BM1911" s="468">
        <v>3.9008136836436069</v>
      </c>
    </row>
    <row r="1912" spans="12:65" x14ac:dyDescent="0.3">
      <c r="L1912" s="427">
        <v>-279300.47779999999</v>
      </c>
      <c r="BE1912" s="477">
        <v>946653.24933045777</v>
      </c>
      <c r="BF1912" s="458">
        <v>5.8688068753232514E-2</v>
      </c>
      <c r="BG1912" s="477">
        <v>11557979.058253247</v>
      </c>
      <c r="BH1912" s="458">
        <v>8.1196109917149872E-2</v>
      </c>
      <c r="BI1912" s="477">
        <v>20231421.152812175</v>
      </c>
      <c r="BJ1912" s="458">
        <v>9.2985985442332719E-2</v>
      </c>
      <c r="BK1912" s="477">
        <v>80000516.898715556</v>
      </c>
      <c r="BL1912" s="458">
        <v>0.27260305560662812</v>
      </c>
      <c r="BM1912" s="468">
        <v>10.68275256255294</v>
      </c>
    </row>
    <row r="1913" spans="12:65" x14ac:dyDescent="0.3">
      <c r="L1913" s="427">
        <v>39372.768900000003</v>
      </c>
      <c r="BE1913" s="477">
        <v>4949539.1099400297</v>
      </c>
      <c r="BF1913" s="458">
        <v>4.9569877870755841E-2</v>
      </c>
      <c r="BG1913" s="477">
        <v>11850345.153390436</v>
      </c>
      <c r="BH1913" s="458">
        <v>8.4158801008996198E-2</v>
      </c>
      <c r="BI1913" s="477">
        <v>17689838.608749777</v>
      </c>
      <c r="BJ1913" s="458">
        <v>0.12540650057222913</v>
      </c>
      <c r="BK1913" s="477">
        <v>93351387.452930078</v>
      </c>
      <c r="BL1913" s="458">
        <v>0.28744881168499803</v>
      </c>
      <c r="BM1913" s="468">
        <v>6.3288929562517406</v>
      </c>
    </row>
    <row r="1914" spans="12:65" x14ac:dyDescent="0.3">
      <c r="L1914" s="427">
        <v>9470767.4759999998</v>
      </c>
      <c r="BE1914" s="477">
        <v>9376086.4174914211</v>
      </c>
      <c r="BF1914" s="458">
        <v>5.7473507144178981E-2</v>
      </c>
      <c r="BG1914" s="477">
        <v>10992501.646026552</v>
      </c>
      <c r="BH1914" s="458">
        <v>6.5291562238506629E-2</v>
      </c>
      <c r="BI1914" s="477">
        <v>12228845.920906032</v>
      </c>
      <c r="BJ1914" s="458">
        <v>0.10639234187698254</v>
      </c>
      <c r="BK1914" s="477">
        <v>86567634.122035265</v>
      </c>
      <c r="BL1914" s="458">
        <v>0.29492158792703504</v>
      </c>
      <c r="BM1914" s="468">
        <v>3.2367517913018702</v>
      </c>
    </row>
    <row r="1915" spans="12:65" x14ac:dyDescent="0.3">
      <c r="L1915" s="427">
        <v>-2743484.6249000002</v>
      </c>
      <c r="BE1915" s="477">
        <v>2609815.602942335</v>
      </c>
      <c r="BF1915" s="458">
        <v>4.4541474535133574E-2</v>
      </c>
      <c r="BG1915" s="477">
        <v>7150377.3034756621</v>
      </c>
      <c r="BH1915" s="458">
        <v>7.0483066962385044E-2</v>
      </c>
      <c r="BI1915" s="477">
        <v>19763267.014931615</v>
      </c>
      <c r="BJ1915" s="458">
        <v>0.11715346438786933</v>
      </c>
      <c r="BK1915" s="477">
        <v>77043863.626529843</v>
      </c>
      <c r="BL1915" s="458">
        <v>0.24039847396481262</v>
      </c>
      <c r="BM1915" s="468">
        <v>8.9845466648173264</v>
      </c>
    </row>
    <row r="1916" spans="12:65" x14ac:dyDescent="0.3">
      <c r="L1916" s="427">
        <v>14593224.510500001</v>
      </c>
      <c r="BE1916" s="477">
        <v>8521956.2048974708</v>
      </c>
      <c r="BF1916" s="458">
        <v>3.1939301514843033E-2</v>
      </c>
      <c r="BG1916" s="477">
        <v>8358096.0744454712</v>
      </c>
      <c r="BH1916" s="458">
        <v>7.2786402622508461E-2</v>
      </c>
      <c r="BI1916" s="477">
        <v>21351219.054308757</v>
      </c>
      <c r="BJ1916" s="458">
        <v>8.4199450255962871E-2</v>
      </c>
      <c r="BK1916" s="477">
        <v>84211359.967659101</v>
      </c>
      <c r="BL1916" s="458">
        <v>0.28469191955605755</v>
      </c>
      <c r="BM1916" s="468">
        <v>15.41928639850569</v>
      </c>
    </row>
    <row r="1917" spans="12:65" x14ac:dyDescent="0.3">
      <c r="L1917" s="427">
        <v>14813948.2071</v>
      </c>
      <c r="BE1917" s="477">
        <v>4954836.348747164</v>
      </c>
      <c r="BF1917" s="458">
        <v>4.3056417240849632E-2</v>
      </c>
      <c r="BG1917" s="477">
        <v>7014641.4468148183</v>
      </c>
      <c r="BH1917" s="458">
        <v>7.0661573688683754E-2</v>
      </c>
      <c r="BI1917" s="477">
        <v>17022725.19264229</v>
      </c>
      <c r="BJ1917" s="458">
        <v>0.10857593308418934</v>
      </c>
      <c r="BK1917" s="477">
        <v>92694438.761808857</v>
      </c>
      <c r="BL1917" s="458">
        <v>0.26146405679530638</v>
      </c>
      <c r="BM1917" s="468">
        <v>10.178970747292553</v>
      </c>
    </row>
    <row r="1918" spans="12:65" x14ac:dyDescent="0.3">
      <c r="L1918" s="427">
        <v>16369029.1786</v>
      </c>
      <c r="BE1918" s="477">
        <v>2922006.6078001307</v>
      </c>
      <c r="BF1918" s="458">
        <v>3.4290232177177193E-2</v>
      </c>
      <c r="BG1918" s="477">
        <v>9546694.4754285328</v>
      </c>
      <c r="BH1918" s="458">
        <v>5.8042258640692568E-2</v>
      </c>
      <c r="BI1918" s="477">
        <v>12246217.246847667</v>
      </c>
      <c r="BJ1918" s="458">
        <v>0.10568871794993129</v>
      </c>
      <c r="BK1918" s="477">
        <v>87547919.916603997</v>
      </c>
      <c r="BL1918" s="458">
        <v>0.25303388414692418</v>
      </c>
      <c r="BM1918" s="468">
        <v>4.5302706593927002</v>
      </c>
    </row>
    <row r="1919" spans="12:65" x14ac:dyDescent="0.3">
      <c r="L1919" s="427">
        <v>2337030.8665999998</v>
      </c>
      <c r="BE1919" s="477">
        <v>11525887.140571412</v>
      </c>
      <c r="BF1919" s="458">
        <v>2.8832928691374438E-2</v>
      </c>
      <c r="BG1919" s="477">
        <v>4158827.8890101756</v>
      </c>
      <c r="BH1919" s="458">
        <v>8.0782746582745535E-2</v>
      </c>
      <c r="BI1919" s="477">
        <v>4823565.3681407804</v>
      </c>
      <c r="BJ1919" s="458">
        <v>0.1215082646887482</v>
      </c>
      <c r="BK1919" s="477">
        <v>95631267.517573521</v>
      </c>
      <c r="BL1919" s="458">
        <v>0.26863922128666129</v>
      </c>
      <c r="BM1919" s="468">
        <v>13.53348488905727</v>
      </c>
    </row>
    <row r="1920" spans="12:65" x14ac:dyDescent="0.3">
      <c r="L1920" s="427">
        <v>-6590651.4474999998</v>
      </c>
      <c r="BE1920" s="477">
        <v>5318018.8326846603</v>
      </c>
      <c r="BF1920" s="458">
        <v>4.0898170030677861E-2</v>
      </c>
      <c r="BG1920" s="477">
        <v>7054599.5173988007</v>
      </c>
      <c r="BH1920" s="458">
        <v>4.9807426790340781E-2</v>
      </c>
      <c r="BI1920" s="477">
        <v>10265439.163153159</v>
      </c>
      <c r="BJ1920" s="458">
        <v>0.11204158687534149</v>
      </c>
      <c r="BK1920" s="477">
        <v>103019214.99041648</v>
      </c>
      <c r="BL1920" s="458">
        <v>0.27624032069957605</v>
      </c>
      <c r="BM1920" s="468">
        <v>8.742101005285507</v>
      </c>
    </row>
    <row r="1921" spans="12:65" x14ac:dyDescent="0.3">
      <c r="L1921" s="427">
        <v>-12108375.298900001</v>
      </c>
      <c r="BE1921" s="477">
        <v>9323225.9274728689</v>
      </c>
      <c r="BF1921" s="458">
        <v>3.1151663262282803E-2</v>
      </c>
      <c r="BG1921" s="477">
        <v>6936687.2817982398</v>
      </c>
      <c r="BH1921" s="458">
        <v>6.6240837630109795E-2</v>
      </c>
      <c r="BI1921" s="477">
        <v>22231141.179096885</v>
      </c>
      <c r="BJ1921" s="458">
        <v>0.12456177731680929</v>
      </c>
      <c r="BK1921" s="477">
        <v>85844081.022866175</v>
      </c>
      <c r="BL1921" s="458">
        <v>0.2713389468652796</v>
      </c>
      <c r="BM1921" s="468">
        <v>1.2389808540036036</v>
      </c>
    </row>
    <row r="1922" spans="12:65" x14ac:dyDescent="0.3">
      <c r="L1922" s="427">
        <v>17227832.501200002</v>
      </c>
      <c r="BE1922" s="477">
        <v>130693.16044596731</v>
      </c>
      <c r="BF1922" s="458">
        <v>5.3918115076516226E-2</v>
      </c>
      <c r="BG1922" s="477">
        <v>8093590.5712478627</v>
      </c>
      <c r="BH1922" s="458">
        <v>6.8288580371605345E-2</v>
      </c>
      <c r="BI1922" s="477">
        <v>22404320.334632698</v>
      </c>
      <c r="BJ1922" s="458">
        <v>9.6134115881093329E-2</v>
      </c>
      <c r="BK1922" s="477">
        <v>92292398.045528382</v>
      </c>
      <c r="BL1922" s="458">
        <v>0.26940055863219547</v>
      </c>
      <c r="BM1922" s="468">
        <v>4.608812355498614</v>
      </c>
    </row>
    <row r="1923" spans="12:65" x14ac:dyDescent="0.3">
      <c r="L1923" s="427">
        <v>13365795.5529</v>
      </c>
      <c r="BE1923" s="477">
        <v>5700189.8643253278</v>
      </c>
      <c r="BF1923" s="458">
        <v>2.4878344590923973E-2</v>
      </c>
      <c r="BG1923" s="477">
        <v>10114625.419943914</v>
      </c>
      <c r="BH1923" s="458">
        <v>4.988890989018735E-2</v>
      </c>
      <c r="BI1923" s="477">
        <v>17939351.429885861</v>
      </c>
      <c r="BJ1923" s="458">
        <v>0.12055156135465417</v>
      </c>
      <c r="BK1923" s="477">
        <v>98430625.606239513</v>
      </c>
      <c r="BL1923" s="458">
        <v>0.26426795921550128</v>
      </c>
      <c r="BM1923" s="468">
        <v>3.9875967915536439</v>
      </c>
    </row>
    <row r="1924" spans="12:65" x14ac:dyDescent="0.3">
      <c r="L1924" s="427">
        <v>8514706.3277000003</v>
      </c>
      <c r="BE1924" s="477">
        <v>5891076.4298964869</v>
      </c>
      <c r="BF1924" s="458">
        <v>1.5831673029967019E-2</v>
      </c>
      <c r="BG1924" s="477">
        <v>10640993.367181132</v>
      </c>
      <c r="BH1924" s="458">
        <v>6.7874115279893177E-2</v>
      </c>
      <c r="BI1924" s="477">
        <v>9473206.1265185494</v>
      </c>
      <c r="BJ1924" s="458">
        <v>8.8205313491161785E-2</v>
      </c>
      <c r="BK1924" s="477">
        <v>76342640.891205639</v>
      </c>
      <c r="BL1924" s="458">
        <v>0.27917961875273134</v>
      </c>
      <c r="BM1924" s="468">
        <v>10.046833612480905</v>
      </c>
    </row>
    <row r="1925" spans="12:65" x14ac:dyDescent="0.3">
      <c r="L1925" s="427">
        <v>-1337738.2634999999</v>
      </c>
      <c r="BE1925" s="477">
        <v>5343925.345195082</v>
      </c>
      <c r="BF1925" s="458">
        <v>3.5263537276438939E-2</v>
      </c>
      <c r="BG1925" s="477">
        <v>8756702.5734962132</v>
      </c>
      <c r="BH1925" s="458">
        <v>0.10030093456791578</v>
      </c>
      <c r="BI1925" s="477">
        <v>12325001.755185414</v>
      </c>
      <c r="BJ1925" s="458">
        <v>9.945493965843144E-2</v>
      </c>
      <c r="BK1925" s="477">
        <v>91093349.370842814</v>
      </c>
      <c r="BL1925" s="458">
        <v>0.27773658372835075</v>
      </c>
      <c r="BM1925" s="468">
        <v>6.5612040326209389</v>
      </c>
    </row>
    <row r="1926" spans="12:65" x14ac:dyDescent="0.3">
      <c r="L1926" s="427">
        <v>16429021.3884</v>
      </c>
      <c r="BE1926" s="477">
        <v>5342106.1375358794</v>
      </c>
      <c r="BF1926" s="458">
        <v>5.7015812660403675E-2</v>
      </c>
      <c r="BG1926" s="477">
        <v>4861278.4354650602</v>
      </c>
      <c r="BH1926" s="458">
        <v>8.7973334763635114E-2</v>
      </c>
      <c r="BI1926" s="477">
        <v>13836159.868845863</v>
      </c>
      <c r="BJ1926" s="458">
        <v>0.10064825188178417</v>
      </c>
      <c r="BK1926" s="477">
        <v>88512194.980073139</v>
      </c>
      <c r="BL1926" s="458">
        <v>0.27412526860177211</v>
      </c>
      <c r="BM1926" s="468">
        <v>7.2400950343468509</v>
      </c>
    </row>
    <row r="1927" spans="12:65" x14ac:dyDescent="0.3">
      <c r="L1927" s="427">
        <v>15363099.9749</v>
      </c>
      <c r="BE1927" s="477">
        <v>5925819.6178900478</v>
      </c>
      <c r="BF1927" s="458">
        <v>3.7042997190563476E-2</v>
      </c>
      <c r="BG1927" s="477">
        <v>9714801.753320707</v>
      </c>
      <c r="BH1927" s="458">
        <v>6.5976480670465909E-2</v>
      </c>
      <c r="BI1927" s="477">
        <v>12320990.655616455</v>
      </c>
      <c r="BJ1927" s="458">
        <v>0.11431006212925188</v>
      </c>
      <c r="BK1927" s="477">
        <v>77798300.344543412</v>
      </c>
      <c r="BL1927" s="458">
        <v>0.29351857324395358</v>
      </c>
      <c r="BM1927" s="468">
        <v>10.448137599447847</v>
      </c>
    </row>
    <row r="1928" spans="12:65" x14ac:dyDescent="0.3">
      <c r="L1928" s="427">
        <v>17103956.5222</v>
      </c>
      <c r="BE1928" s="477">
        <v>5442876.6720642541</v>
      </c>
      <c r="BF1928" s="458">
        <v>2.9101385934363178E-2</v>
      </c>
      <c r="BG1928" s="477">
        <v>13297152.47313148</v>
      </c>
      <c r="BH1928" s="458">
        <v>7.551004474922518E-2</v>
      </c>
      <c r="BI1928" s="477">
        <v>10247952.688035266</v>
      </c>
      <c r="BJ1928" s="458">
        <v>8.6868664256840811E-2</v>
      </c>
      <c r="BK1928" s="477">
        <v>72038948.411045998</v>
      </c>
      <c r="BL1928" s="458">
        <v>0.27743907864537465</v>
      </c>
      <c r="BM1928" s="468">
        <v>10.736468432471185</v>
      </c>
    </row>
    <row r="1929" spans="12:65" x14ac:dyDescent="0.3">
      <c r="L1929" s="427">
        <v>19667212.799400002</v>
      </c>
      <c r="BE1929" s="477">
        <v>9550017.6269503515</v>
      </c>
      <c r="BF1929" s="458">
        <v>3.6246384401889653E-2</v>
      </c>
      <c r="BG1929" s="477">
        <v>3182204.3434748831</v>
      </c>
      <c r="BH1929" s="458">
        <v>6.9591352498471926E-2</v>
      </c>
      <c r="BI1929" s="477">
        <v>14487575.809228119</v>
      </c>
      <c r="BJ1929" s="458">
        <v>0.11196667521094317</v>
      </c>
      <c r="BK1929" s="477">
        <v>92563620.077074155</v>
      </c>
      <c r="BL1929" s="458">
        <v>0.25929474936648744</v>
      </c>
      <c r="BM1929" s="468">
        <v>11.937519800761219</v>
      </c>
    </row>
    <row r="1930" spans="12:65" x14ac:dyDescent="0.3">
      <c r="L1930" s="427">
        <v>-5356412.3844999997</v>
      </c>
      <c r="BE1930" s="477">
        <v>9491442.4705714472</v>
      </c>
      <c r="BF1930" s="458">
        <v>2.8119764944982473E-2</v>
      </c>
      <c r="BG1930" s="477">
        <v>9156171.9255227111</v>
      </c>
      <c r="BH1930" s="458">
        <v>6.0052911412430188E-2</v>
      </c>
      <c r="BI1930" s="477">
        <v>12720240.808447599</v>
      </c>
      <c r="BJ1930" s="458">
        <v>0.11780662599321667</v>
      </c>
      <c r="BK1930" s="477">
        <v>94094782.388970584</v>
      </c>
      <c r="BL1930" s="458">
        <v>0.25779855728089207</v>
      </c>
      <c r="BM1930" s="468">
        <v>1.6077654193918356</v>
      </c>
    </row>
    <row r="1931" spans="12:65" x14ac:dyDescent="0.3">
      <c r="L1931" s="427">
        <v>21525103.2401</v>
      </c>
      <c r="BE1931" s="477">
        <v>4755624.7888055807</v>
      </c>
      <c r="BF1931" s="458">
        <v>1.3310077557836308E-2</v>
      </c>
      <c r="BG1931" s="477">
        <v>11205955.195581518</v>
      </c>
      <c r="BH1931" s="458">
        <v>9.0585817539788227E-2</v>
      </c>
      <c r="BI1931" s="477">
        <v>26296809.543152459</v>
      </c>
      <c r="BJ1931" s="458">
        <v>0.10473288851544682</v>
      </c>
      <c r="BK1931" s="477">
        <v>84371562.840964302</v>
      </c>
      <c r="BL1931" s="458">
        <v>0.27035984145068359</v>
      </c>
      <c r="BM1931" s="468">
        <v>0.91955797575653531</v>
      </c>
    </row>
    <row r="1932" spans="12:65" x14ac:dyDescent="0.3">
      <c r="L1932" s="427">
        <v>-3855126.9426000002</v>
      </c>
      <c r="BE1932" s="477">
        <v>7062652.8742827438</v>
      </c>
      <c r="BF1932" s="458">
        <v>5.3563039306282034E-2</v>
      </c>
      <c r="BG1932" s="477">
        <v>4160282.8269075854</v>
      </c>
      <c r="BH1932" s="458">
        <v>9.0202403177957358E-2</v>
      </c>
      <c r="BI1932" s="477">
        <v>19732015.155974437</v>
      </c>
      <c r="BJ1932" s="458">
        <v>9.7053038658423851E-2</v>
      </c>
      <c r="BK1932" s="477">
        <v>93353453.307509914</v>
      </c>
      <c r="BL1932" s="458">
        <v>0.25893218056281597</v>
      </c>
      <c r="BM1932" s="468">
        <v>7.9330656775862334</v>
      </c>
    </row>
    <row r="1933" spans="12:65" x14ac:dyDescent="0.3">
      <c r="L1933" s="427">
        <v>4793525.8365000002</v>
      </c>
      <c r="BE1933" s="477">
        <v>3721810.6918594693</v>
      </c>
      <c r="BF1933" s="458">
        <v>1.7529985047797014E-2</v>
      </c>
      <c r="BG1933" s="477">
        <v>16113340.233428935</v>
      </c>
      <c r="BH1933" s="458">
        <v>5.7913034789331297E-2</v>
      </c>
      <c r="BI1933" s="477">
        <v>21863203.330729015</v>
      </c>
      <c r="BJ1933" s="458">
        <v>0.10209896221999015</v>
      </c>
      <c r="BK1933" s="477">
        <v>84727124.878639877</v>
      </c>
      <c r="BL1933" s="458">
        <v>0.25330364113617354</v>
      </c>
      <c r="BM1933" s="468">
        <v>9.5584610206691298</v>
      </c>
    </row>
    <row r="1934" spans="12:65" x14ac:dyDescent="0.3">
      <c r="L1934" s="427">
        <v>11554062.215700001</v>
      </c>
      <c r="BE1934" s="477">
        <v>4345635.0065196464</v>
      </c>
      <c r="BF1934" s="458">
        <v>4.0210115290512993E-2</v>
      </c>
      <c r="BG1934" s="477">
        <v>5430930.7575558033</v>
      </c>
      <c r="BH1934" s="458">
        <v>5.4768324090380238E-2</v>
      </c>
      <c r="BI1934" s="477">
        <v>11517831.583798084</v>
      </c>
      <c r="BJ1934" s="458">
        <v>0.11594478460116364</v>
      </c>
      <c r="BK1934" s="477">
        <v>92629409.319494963</v>
      </c>
      <c r="BL1934" s="458">
        <v>0.28368926213458678</v>
      </c>
      <c r="BM1934" s="468">
        <v>1.789200192546498</v>
      </c>
    </row>
    <row r="1935" spans="12:65" x14ac:dyDescent="0.3">
      <c r="L1935" s="427">
        <v>133423.9964</v>
      </c>
      <c r="BE1935" s="477">
        <v>6171297.2816586867</v>
      </c>
      <c r="BF1935" s="458">
        <v>3.4702889893386768E-2</v>
      </c>
      <c r="BG1935" s="477">
        <v>7986930.8193785129</v>
      </c>
      <c r="BH1935" s="458">
        <v>4.7465820682289106E-2</v>
      </c>
      <c r="BI1935" s="477">
        <v>7762438.2916672807</v>
      </c>
      <c r="BJ1935" s="458">
        <v>0.10744416913242749</v>
      </c>
      <c r="BK1935" s="477">
        <v>74839030.18292594</v>
      </c>
      <c r="BL1935" s="458">
        <v>0.26376534808289764</v>
      </c>
      <c r="BM1935" s="468">
        <v>15.831318273574571</v>
      </c>
    </row>
    <row r="1936" spans="12:65" x14ac:dyDescent="0.3">
      <c r="L1936" s="427">
        <v>8298311.6195999999</v>
      </c>
      <c r="BE1936" s="477">
        <v>8517440.243983658</v>
      </c>
      <c r="BF1936" s="458">
        <v>3.0358641123587882E-2</v>
      </c>
      <c r="BG1936" s="477">
        <v>6351097.6918957829</v>
      </c>
      <c r="BH1936" s="458">
        <v>7.3058063280706964E-2</v>
      </c>
      <c r="BI1936" s="477">
        <v>12263509.185681179</v>
      </c>
      <c r="BJ1936" s="458">
        <v>0.10526750464354673</v>
      </c>
      <c r="BK1936" s="477">
        <v>94492689.751385957</v>
      </c>
      <c r="BL1936" s="458">
        <v>0.27247970676553157</v>
      </c>
      <c r="BM1936" s="468">
        <v>9.1855552713883242</v>
      </c>
    </row>
    <row r="1937" spans="12:65" x14ac:dyDescent="0.3">
      <c r="L1937" s="427">
        <v>1272629.1797</v>
      </c>
      <c r="BE1937" s="477">
        <v>5544244.5988300946</v>
      </c>
      <c r="BF1937" s="458">
        <v>3.9655275532709977E-2</v>
      </c>
      <c r="BG1937" s="477">
        <v>8057043.4814687707</v>
      </c>
      <c r="BH1937" s="458">
        <v>6.2364181227942073E-2</v>
      </c>
      <c r="BI1937" s="477">
        <v>19148771.295884077</v>
      </c>
      <c r="BJ1937" s="458">
        <v>0.11157244850630632</v>
      </c>
      <c r="BK1937" s="477">
        <v>87579166.125036761</v>
      </c>
      <c r="BL1937" s="458">
        <v>0.27248304001415136</v>
      </c>
      <c r="BM1937" s="468">
        <v>5.6074848724030613</v>
      </c>
    </row>
    <row r="1938" spans="12:65" x14ac:dyDescent="0.3">
      <c r="L1938" s="427">
        <v>-4270765.6349999998</v>
      </c>
      <c r="BE1938" s="477">
        <v>-591759.83802067873</v>
      </c>
      <c r="BF1938" s="458">
        <v>5.0776171843878171E-2</v>
      </c>
      <c r="BG1938" s="477">
        <v>3569323.6546616429</v>
      </c>
      <c r="BH1938" s="458">
        <v>6.2703650169500191E-2</v>
      </c>
      <c r="BI1938" s="477">
        <v>20981187.258339059</v>
      </c>
      <c r="BJ1938" s="458">
        <v>8.7042038670089195E-2</v>
      </c>
      <c r="BK1938" s="477">
        <v>96736629.555541039</v>
      </c>
      <c r="BL1938" s="458">
        <v>0.27614140126393139</v>
      </c>
      <c r="BM1938" s="468">
        <v>10.179981163029332</v>
      </c>
    </row>
    <row r="1939" spans="12:65" x14ac:dyDescent="0.3">
      <c r="L1939" s="427">
        <v>10370682.4937</v>
      </c>
      <c r="BE1939" s="477">
        <v>2611195.6224440839</v>
      </c>
      <c r="BF1939" s="458">
        <v>4.0991311400434105E-2</v>
      </c>
      <c r="BG1939" s="477">
        <v>6730665.9101166474</v>
      </c>
      <c r="BH1939" s="458">
        <v>6.6798384481862483E-2</v>
      </c>
      <c r="BI1939" s="477">
        <v>17839897.704845656</v>
      </c>
      <c r="BJ1939" s="458">
        <v>9.0100005489165413E-2</v>
      </c>
      <c r="BK1939" s="477">
        <v>95452069.916865319</v>
      </c>
      <c r="BL1939" s="458">
        <v>0.30221137740376469</v>
      </c>
      <c r="BM1939" s="468">
        <v>8.1032246493621045</v>
      </c>
    </row>
    <row r="1940" spans="12:65" x14ac:dyDescent="0.3">
      <c r="L1940" s="427">
        <v>1577931.6179</v>
      </c>
      <c r="BE1940" s="477">
        <v>1510029.9850258974</v>
      </c>
      <c r="BF1940" s="458">
        <v>3.9355265941016793E-2</v>
      </c>
      <c r="BG1940" s="477">
        <v>8644209.438303588</v>
      </c>
      <c r="BH1940" s="458">
        <v>6.3985996560801839E-2</v>
      </c>
      <c r="BI1940" s="477">
        <v>18252811.829918627</v>
      </c>
      <c r="BJ1940" s="458">
        <v>9.4485891976816783E-2</v>
      </c>
      <c r="BK1940" s="477">
        <v>84982072.762028858</v>
      </c>
      <c r="BL1940" s="458">
        <v>0.24583351675615628</v>
      </c>
      <c r="BM1940" s="468">
        <v>13.483061109642543</v>
      </c>
    </row>
    <row r="1941" spans="12:65" x14ac:dyDescent="0.3">
      <c r="L1941" s="427">
        <v>5611925.017</v>
      </c>
      <c r="BE1941" s="477">
        <v>6443857.0784719009</v>
      </c>
      <c r="BF1941" s="458">
        <v>3.8416362943623605E-2</v>
      </c>
      <c r="BG1941" s="477">
        <v>19229789.457136091</v>
      </c>
      <c r="BH1941" s="458">
        <v>6.2008264117376699E-2</v>
      </c>
      <c r="BI1941" s="477">
        <v>5542220.911558426</v>
      </c>
      <c r="BJ1941" s="458">
        <v>0.10530634394113481</v>
      </c>
      <c r="BK1941" s="477">
        <v>96971577.682403117</v>
      </c>
      <c r="BL1941" s="458">
        <v>0.28759219468487318</v>
      </c>
      <c r="BM1941" s="468">
        <v>5.916711002063157</v>
      </c>
    </row>
    <row r="1942" spans="12:65" x14ac:dyDescent="0.3">
      <c r="L1942" s="427">
        <v>6902297.7364999996</v>
      </c>
      <c r="BE1942" s="477">
        <v>2628197.3231500289</v>
      </c>
      <c r="BF1942" s="458">
        <v>5.7237130660730218E-2</v>
      </c>
      <c r="BG1942" s="477">
        <v>8955686.8131804951</v>
      </c>
      <c r="BH1942" s="458">
        <v>8.0315515578782026E-2</v>
      </c>
      <c r="BI1942" s="477">
        <v>19979262.05823186</v>
      </c>
      <c r="BJ1942" s="458">
        <v>0.10325987126878777</v>
      </c>
      <c r="BK1942" s="477">
        <v>91760558.59281677</v>
      </c>
      <c r="BL1942" s="458">
        <v>0.26340570642590166</v>
      </c>
      <c r="BM1942" s="468">
        <v>10.132024915094023</v>
      </c>
    </row>
    <row r="1943" spans="12:65" x14ac:dyDescent="0.3">
      <c r="L1943" s="427">
        <v>-2119058.4391000001</v>
      </c>
      <c r="BE1943" s="477">
        <v>-849977.41885508213</v>
      </c>
      <c r="BF1943" s="458">
        <v>3.4488277929162869E-2</v>
      </c>
      <c r="BG1943" s="477">
        <v>9589884.9779712521</v>
      </c>
      <c r="BH1943" s="458">
        <v>7.1269237830524856E-2</v>
      </c>
      <c r="BI1943" s="477">
        <v>11938727.907712568</v>
      </c>
      <c r="BJ1943" s="458">
        <v>0.11708801639835054</v>
      </c>
      <c r="BK1943" s="477">
        <v>91878321.562202007</v>
      </c>
      <c r="BL1943" s="458">
        <v>0.27121319056467774</v>
      </c>
      <c r="BM1943" s="468">
        <v>10.097311308111671</v>
      </c>
    </row>
    <row r="1944" spans="12:65" x14ac:dyDescent="0.3">
      <c r="L1944" s="427">
        <v>13308218.8948</v>
      </c>
      <c r="BE1944" s="477">
        <v>4422451.3363910019</v>
      </c>
      <c r="BF1944" s="458">
        <v>4.984070158469045E-2</v>
      </c>
      <c r="BG1944" s="477">
        <v>2462988.5558892032</v>
      </c>
      <c r="BH1944" s="458">
        <v>0.11562279997031233</v>
      </c>
      <c r="BI1944" s="477">
        <v>13299644.548523603</v>
      </c>
      <c r="BJ1944" s="458">
        <v>0.10374314169134546</v>
      </c>
      <c r="BK1944" s="477">
        <v>95776741.53197141</v>
      </c>
      <c r="BL1944" s="458">
        <v>0.27744137203319941</v>
      </c>
      <c r="BM1944" s="468">
        <v>6.6193115765828487</v>
      </c>
    </row>
    <row r="1945" spans="12:65" x14ac:dyDescent="0.3">
      <c r="L1945" s="427">
        <v>15014376.706800001</v>
      </c>
      <c r="BE1945" s="477">
        <v>5039250.389374529</v>
      </c>
      <c r="BF1945" s="458">
        <v>4.5977244197298761E-2</v>
      </c>
      <c r="BG1945" s="477">
        <v>7053041.3563725818</v>
      </c>
      <c r="BH1945" s="458">
        <v>7.1589205070138773E-2</v>
      </c>
      <c r="BI1945" s="477">
        <v>18321196.233802725</v>
      </c>
      <c r="BJ1945" s="458">
        <v>0.12543328298037126</v>
      </c>
      <c r="BK1945" s="477">
        <v>87197658.32967639</v>
      </c>
      <c r="BL1945" s="458">
        <v>0.29579691619659232</v>
      </c>
      <c r="BM1945" s="468">
        <v>3.9612370671598871</v>
      </c>
    </row>
    <row r="1946" spans="12:65" x14ac:dyDescent="0.3">
      <c r="L1946" s="427">
        <v>7025162.7384000001</v>
      </c>
      <c r="BE1946" s="477">
        <v>719700.43255521148</v>
      </c>
      <c r="BF1946" s="458">
        <v>6.0601701606165514E-2</v>
      </c>
      <c r="BG1946" s="477">
        <v>5450263.2973920694</v>
      </c>
      <c r="BH1946" s="458">
        <v>6.7590967056692097E-2</v>
      </c>
      <c r="BI1946" s="477">
        <v>-2803753.5579941953</v>
      </c>
      <c r="BJ1946" s="458">
        <v>0.12757954630010571</v>
      </c>
      <c r="BK1946" s="477">
        <v>91151815.952834785</v>
      </c>
      <c r="BL1946" s="458">
        <v>0.26881983588940539</v>
      </c>
      <c r="BM1946" s="468">
        <v>11.472014371939082</v>
      </c>
    </row>
    <row r="1947" spans="12:65" x14ac:dyDescent="0.3">
      <c r="L1947" s="427">
        <v>8351897.3539000005</v>
      </c>
      <c r="BE1947" s="477">
        <v>5128318.3331312966</v>
      </c>
      <c r="BF1947" s="458">
        <v>5.1321899087225731E-2</v>
      </c>
      <c r="BG1947" s="477">
        <v>10645912.315738248</v>
      </c>
      <c r="BH1947" s="458">
        <v>0.10277012570907007</v>
      </c>
      <c r="BI1947" s="477">
        <v>19093795.065325037</v>
      </c>
      <c r="BJ1947" s="458">
        <v>7.0746694556150569E-2</v>
      </c>
      <c r="BK1947" s="477">
        <v>84729918.839244589</v>
      </c>
      <c r="BL1947" s="458">
        <v>0.26860750770431707</v>
      </c>
      <c r="BM1947" s="468">
        <v>8.1466596235791648</v>
      </c>
    </row>
    <row r="1948" spans="12:65" x14ac:dyDescent="0.3">
      <c r="L1948" s="427">
        <v>-961907.95140000002</v>
      </c>
      <c r="BE1948" s="477">
        <v>7046034.3550688084</v>
      </c>
      <c r="BF1948" s="458">
        <v>4.2865366171289221E-2</v>
      </c>
      <c r="BG1948" s="477">
        <v>10640606.359173549</v>
      </c>
      <c r="BH1948" s="458">
        <v>7.1363581309204394E-2</v>
      </c>
      <c r="BI1948" s="477">
        <v>15532715.931974774</v>
      </c>
      <c r="BJ1948" s="458">
        <v>0.11558084045507266</v>
      </c>
      <c r="BK1948" s="477">
        <v>89517180.593979597</v>
      </c>
      <c r="BL1948" s="458">
        <v>0.26579784446830135</v>
      </c>
      <c r="BM1948" s="468">
        <v>1.680021365066529</v>
      </c>
    </row>
    <row r="1949" spans="12:65" x14ac:dyDescent="0.3">
      <c r="L1949" s="427">
        <v>5970961.7438000003</v>
      </c>
      <c r="BE1949" s="477">
        <v>2125074.3081921944</v>
      </c>
      <c r="BF1949" s="458">
        <v>6.3156651543301301E-2</v>
      </c>
      <c r="BG1949" s="477">
        <v>7512197.9644120065</v>
      </c>
      <c r="BH1949" s="458">
        <v>6.8209811832910416E-2</v>
      </c>
      <c r="BI1949" s="477">
        <v>24826285.582804058</v>
      </c>
      <c r="BJ1949" s="458">
        <v>0.11868146129043255</v>
      </c>
      <c r="BK1949" s="477">
        <v>76595407.896935791</v>
      </c>
      <c r="BL1949" s="458">
        <v>0.25264557961495049</v>
      </c>
      <c r="BM1949" s="468">
        <v>2.8961051293995785</v>
      </c>
    </row>
    <row r="1950" spans="12:65" x14ac:dyDescent="0.3">
      <c r="L1950" s="427">
        <v>21007386.354699999</v>
      </c>
      <c r="BE1950" s="477">
        <v>4673408.7425685367</v>
      </c>
      <c r="BF1950" s="458">
        <v>4.2929127196302153E-2</v>
      </c>
      <c r="BG1950" s="477">
        <v>8168576.4371053306</v>
      </c>
      <c r="BH1950" s="458">
        <v>9.2899990535459498E-2</v>
      </c>
      <c r="BI1950" s="477">
        <v>17094396.018011965</v>
      </c>
      <c r="BJ1950" s="458">
        <v>8.9513525897485957E-2</v>
      </c>
      <c r="BK1950" s="477">
        <v>99350636.678777948</v>
      </c>
      <c r="BL1950" s="458">
        <v>0.26881471069620022</v>
      </c>
      <c r="BM1950" s="468">
        <v>4.4728694441595191</v>
      </c>
    </row>
    <row r="1951" spans="12:65" x14ac:dyDescent="0.3">
      <c r="L1951" s="427">
        <v>6978296.6732999999</v>
      </c>
      <c r="BE1951" s="477">
        <v>131573.96478023726</v>
      </c>
      <c r="BF1951" s="458">
        <v>3.8258410967086487E-2</v>
      </c>
      <c r="BG1951" s="477">
        <v>11044130.203645142</v>
      </c>
      <c r="BH1951" s="458">
        <v>5.1809318921685055E-2</v>
      </c>
      <c r="BI1951" s="477">
        <v>18439051.417183112</v>
      </c>
      <c r="BJ1951" s="458">
        <v>0.11722781147687389</v>
      </c>
      <c r="BK1951" s="477">
        <v>84364589.632614031</v>
      </c>
      <c r="BL1951" s="458">
        <v>0.27749714791525348</v>
      </c>
      <c r="BM1951" s="468">
        <v>6.7573778142993142</v>
      </c>
    </row>
    <row r="1952" spans="12:65" x14ac:dyDescent="0.3">
      <c r="L1952" s="427">
        <v>-11177526.1149</v>
      </c>
      <c r="BE1952" s="477">
        <v>8640032.140674118</v>
      </c>
      <c r="BF1952" s="458">
        <v>3.1165655842900319E-2</v>
      </c>
      <c r="BG1952" s="477">
        <v>10624712.764231673</v>
      </c>
      <c r="BH1952" s="458">
        <v>8.8246179080463172E-2</v>
      </c>
      <c r="BI1952" s="477">
        <v>18982231.048258331</v>
      </c>
      <c r="BJ1952" s="458">
        <v>9.5324370048824214E-2</v>
      </c>
      <c r="BK1952" s="477">
        <v>85668807.9073091</v>
      </c>
      <c r="BL1952" s="458">
        <v>0.2680760957472077</v>
      </c>
      <c r="BM1952" s="468">
        <v>14.870029820133997</v>
      </c>
    </row>
    <row r="1953" spans="12:65" x14ac:dyDescent="0.3">
      <c r="L1953" s="427">
        <v>9318801.6623999998</v>
      </c>
      <c r="BE1953" s="477">
        <v>5470031.4556443924</v>
      </c>
      <c r="BF1953" s="458">
        <v>5.3434488128504265E-2</v>
      </c>
      <c r="BG1953" s="477">
        <v>5443322.4301987858</v>
      </c>
      <c r="BH1953" s="458">
        <v>6.9353796094888676E-2</v>
      </c>
      <c r="BI1953" s="477">
        <v>15291308.019408405</v>
      </c>
      <c r="BJ1953" s="458">
        <v>0.10979623097357494</v>
      </c>
      <c r="BK1953" s="477">
        <v>74854564.357072756</v>
      </c>
      <c r="BL1953" s="458">
        <v>0.2597351204060292</v>
      </c>
      <c r="BM1953" s="468">
        <v>13.275027758999098</v>
      </c>
    </row>
    <row r="1954" spans="12:65" x14ac:dyDescent="0.3">
      <c r="L1954" s="427">
        <v>-21030655.2152</v>
      </c>
      <c r="BE1954" s="477">
        <v>6747484.5797239114</v>
      </c>
      <c r="BF1954" s="458">
        <v>4.4526580485714229E-2</v>
      </c>
      <c r="BG1954" s="477">
        <v>12468350.829691142</v>
      </c>
      <c r="BH1954" s="458">
        <v>3.2686036304840682E-2</v>
      </c>
      <c r="BI1954" s="477">
        <v>20249607.195784084</v>
      </c>
      <c r="BJ1954" s="458">
        <v>9.4310457908193923E-2</v>
      </c>
      <c r="BK1954" s="477">
        <v>91954284.969253868</v>
      </c>
      <c r="BL1954" s="458">
        <v>0.28069255318497799</v>
      </c>
      <c r="BM1954" s="468">
        <v>12.104163319648501</v>
      </c>
    </row>
    <row r="1955" spans="12:65" x14ac:dyDescent="0.3">
      <c r="L1955" s="427">
        <v>5360460.8753000004</v>
      </c>
      <c r="BE1955" s="477">
        <v>10202688.49560526</v>
      </c>
      <c r="BF1955" s="458">
        <v>3.8471448917088091E-2</v>
      </c>
      <c r="BG1955" s="477">
        <v>5890768.0433153743</v>
      </c>
      <c r="BH1955" s="458">
        <v>9.7949064698610533E-2</v>
      </c>
      <c r="BI1955" s="477">
        <v>14625981.171373127</v>
      </c>
      <c r="BJ1955" s="458">
        <v>6.8277165456441136E-2</v>
      </c>
      <c r="BK1955" s="477">
        <v>90509834.824994549</v>
      </c>
      <c r="BL1955" s="458">
        <v>0.26860612577372844</v>
      </c>
      <c r="BM1955" s="468">
        <v>5.6208726397414583</v>
      </c>
    </row>
    <row r="1956" spans="12:65" x14ac:dyDescent="0.3">
      <c r="L1956" s="427">
        <v>9765581.6680999994</v>
      </c>
      <c r="BE1956" s="477">
        <v>5392537.6850761073</v>
      </c>
      <c r="BF1956" s="458">
        <v>5.6338139935069531E-2</v>
      </c>
      <c r="BG1956" s="477">
        <v>4444857.2076692116</v>
      </c>
      <c r="BH1956" s="458">
        <v>5.5479330578038777E-2</v>
      </c>
      <c r="BI1956" s="477">
        <v>17838918.235702161</v>
      </c>
      <c r="BJ1956" s="458">
        <v>0.11624109228626778</v>
      </c>
      <c r="BK1956" s="477">
        <v>80531363.163941532</v>
      </c>
      <c r="BL1956" s="458">
        <v>0.26586955798132128</v>
      </c>
      <c r="BM1956" s="468">
        <v>6.4022215894041441</v>
      </c>
    </row>
    <row r="1957" spans="12:65" x14ac:dyDescent="0.3">
      <c r="L1957" s="427">
        <v>-9845841.5431999993</v>
      </c>
      <c r="BE1957" s="477">
        <v>6806883.3467602991</v>
      </c>
      <c r="BF1957" s="458">
        <v>4.1987125099941736E-2</v>
      </c>
      <c r="BG1957" s="477">
        <v>6460424.9125058064</v>
      </c>
      <c r="BH1957" s="458">
        <v>4.8657481600780317E-2</v>
      </c>
      <c r="BI1957" s="477">
        <v>21556621.196886908</v>
      </c>
      <c r="BJ1957" s="458">
        <v>0.11325587342409582</v>
      </c>
      <c r="BK1957" s="477">
        <v>90047071.183591828</v>
      </c>
      <c r="BL1957" s="458">
        <v>0.28766916933045472</v>
      </c>
      <c r="BM1957" s="468">
        <v>9.850457808534129</v>
      </c>
    </row>
    <row r="1958" spans="12:65" x14ac:dyDescent="0.3">
      <c r="L1958" s="427">
        <v>9465410.3961999994</v>
      </c>
      <c r="BE1958" s="477">
        <v>5493397.1861625956</v>
      </c>
      <c r="BF1958" s="458">
        <v>2.3924435895113616E-2</v>
      </c>
      <c r="BG1958" s="477">
        <v>13888300.253503066</v>
      </c>
      <c r="BH1958" s="458">
        <v>4.7170668091205847E-2</v>
      </c>
      <c r="BI1958" s="477">
        <v>14108853.78608289</v>
      </c>
      <c r="BJ1958" s="458">
        <v>0.10722179985679969</v>
      </c>
      <c r="BK1958" s="477">
        <v>91015642.422864139</v>
      </c>
      <c r="BL1958" s="458">
        <v>0.28910283656819447</v>
      </c>
      <c r="BM1958" s="468">
        <v>8.5843272916497888</v>
      </c>
    </row>
    <row r="1959" spans="12:65" x14ac:dyDescent="0.3">
      <c r="L1959" s="427">
        <v>1018087.1755</v>
      </c>
      <c r="BE1959" s="477">
        <v>601571.99366123381</v>
      </c>
      <c r="BF1959" s="458">
        <v>4.4207470684071382E-2</v>
      </c>
      <c r="BG1959" s="477">
        <v>13378693.238551864</v>
      </c>
      <c r="BH1959" s="458">
        <v>7.5083258844036438E-2</v>
      </c>
      <c r="BI1959" s="477">
        <v>13396088.855090879</v>
      </c>
      <c r="BJ1959" s="458">
        <v>8.6581142234949171E-2</v>
      </c>
      <c r="BK1959" s="477">
        <v>82628785.481372237</v>
      </c>
      <c r="BL1959" s="458">
        <v>0.27483590191649787</v>
      </c>
      <c r="BM1959" s="468">
        <v>8.3820476018548558</v>
      </c>
    </row>
    <row r="1960" spans="12:65" x14ac:dyDescent="0.3">
      <c r="L1960" s="427">
        <v>6711206.7925000004</v>
      </c>
      <c r="BE1960" s="477">
        <v>3348761.8268700303</v>
      </c>
      <c r="BF1960" s="458">
        <v>4.0427257757406077E-2</v>
      </c>
      <c r="BG1960" s="477">
        <v>11936849.372390268</v>
      </c>
      <c r="BH1960" s="458">
        <v>7.4734933521700686E-2</v>
      </c>
      <c r="BI1960" s="477">
        <v>16790806.35315115</v>
      </c>
      <c r="BJ1960" s="458">
        <v>0.12147835918163774</v>
      </c>
      <c r="BK1960" s="477">
        <v>101155996.70898961</v>
      </c>
      <c r="BL1960" s="458">
        <v>0.2751442263251751</v>
      </c>
      <c r="BM1960" s="468">
        <v>7.2992746172019487</v>
      </c>
    </row>
    <row r="1961" spans="12:65" x14ac:dyDescent="0.3">
      <c r="L1961" s="427">
        <v>18770703.258200001</v>
      </c>
      <c r="BE1961" s="477">
        <v>8450360.7061501723</v>
      </c>
      <c r="BF1961" s="458">
        <v>3.412375748169505E-2</v>
      </c>
      <c r="BG1961" s="477">
        <v>9452554.0096836332</v>
      </c>
      <c r="BH1961" s="458">
        <v>8.0226336055150727E-2</v>
      </c>
      <c r="BI1961" s="477">
        <v>11722817.847184101</v>
      </c>
      <c r="BJ1961" s="458">
        <v>0.1120827044355619</v>
      </c>
      <c r="BK1961" s="477">
        <v>89090387.051731974</v>
      </c>
      <c r="BL1961" s="458">
        <v>0.27886702046861545</v>
      </c>
      <c r="BM1961" s="468">
        <v>13.540356240139861</v>
      </c>
    </row>
    <row r="1962" spans="12:65" x14ac:dyDescent="0.3">
      <c r="L1962" s="427">
        <v>-1944531.0732</v>
      </c>
      <c r="BE1962" s="477">
        <v>4823139.2919014804</v>
      </c>
      <c r="BF1962" s="458">
        <v>4.2948713656341564E-2</v>
      </c>
      <c r="BG1962" s="477">
        <v>9775044.2429298908</v>
      </c>
      <c r="BH1962" s="458">
        <v>7.9751452214524399E-2</v>
      </c>
      <c r="BI1962" s="477">
        <v>18064811.076528408</v>
      </c>
      <c r="BJ1962" s="458">
        <v>0.11555138863561987</v>
      </c>
      <c r="BK1962" s="477">
        <v>81765895.393067107</v>
      </c>
      <c r="BL1962" s="458">
        <v>0.28203710246200187</v>
      </c>
      <c r="BM1962" s="468">
        <v>4.9326966021969501</v>
      </c>
    </row>
    <row r="1963" spans="12:65" x14ac:dyDescent="0.3">
      <c r="L1963" s="427">
        <v>6928399.1677999999</v>
      </c>
      <c r="BE1963" s="477">
        <v>10628511.729834687</v>
      </c>
      <c r="BF1963" s="458">
        <v>3.8018822069328273E-2</v>
      </c>
      <c r="BG1963" s="477">
        <v>8897673.7975481767</v>
      </c>
      <c r="BH1963" s="458">
        <v>6.5469762648630025E-2</v>
      </c>
      <c r="BI1963" s="477">
        <v>7420030.5463242643</v>
      </c>
      <c r="BJ1963" s="458">
        <v>0.13139193656106674</v>
      </c>
      <c r="BK1963" s="477">
        <v>102881514.1615822</v>
      </c>
      <c r="BL1963" s="458">
        <v>0.27026152080140187</v>
      </c>
      <c r="BM1963" s="468">
        <v>11.095979681996575</v>
      </c>
    </row>
    <row r="1964" spans="12:65" x14ac:dyDescent="0.3">
      <c r="L1964" s="427">
        <v>9315626.6342999991</v>
      </c>
      <c r="BE1964" s="477">
        <v>6220427.4450380225</v>
      </c>
      <c r="BF1964" s="458">
        <v>5.2183913918192104E-2</v>
      </c>
      <c r="BG1964" s="477">
        <v>9162641.4522737376</v>
      </c>
      <c r="BH1964" s="458">
        <v>5.1037285005882449E-2</v>
      </c>
      <c r="BI1964" s="477">
        <v>13442201.543440579</v>
      </c>
      <c r="BJ1964" s="458">
        <v>0.11500442008083089</v>
      </c>
      <c r="BK1964" s="477">
        <v>71531268.596339896</v>
      </c>
      <c r="BL1964" s="458">
        <v>0.26405592534317202</v>
      </c>
      <c r="BM1964" s="468">
        <v>10.939849362748372</v>
      </c>
    </row>
    <row r="1965" spans="12:65" x14ac:dyDescent="0.3">
      <c r="L1965" s="427">
        <v>9334037.5437000003</v>
      </c>
      <c r="BE1965" s="477">
        <v>5702157.2464521732</v>
      </c>
      <c r="BF1965" s="458">
        <v>2.4513153624538875E-2</v>
      </c>
      <c r="BG1965" s="477">
        <v>-901520.66510485753</v>
      </c>
      <c r="BH1965" s="458">
        <v>8.3066310918299635E-2</v>
      </c>
      <c r="BI1965" s="477">
        <v>19908065.778118096</v>
      </c>
      <c r="BJ1965" s="458">
        <v>0.1034307970255901</v>
      </c>
      <c r="BK1965" s="477">
        <v>89786317.747069925</v>
      </c>
      <c r="BL1965" s="458">
        <v>0.27306408785154646</v>
      </c>
      <c r="BM1965" s="468">
        <v>6.0847026464599994</v>
      </c>
    </row>
    <row r="1966" spans="12:65" x14ac:dyDescent="0.3">
      <c r="L1966" s="427">
        <v>4085679.4298</v>
      </c>
      <c r="BE1966" s="477">
        <v>5368541.312812252</v>
      </c>
      <c r="BF1966" s="458">
        <v>3.5414154544376464E-2</v>
      </c>
      <c r="BG1966" s="477">
        <v>5392098.1759388624</v>
      </c>
      <c r="BH1966" s="458">
        <v>7.0418495787685442E-2</v>
      </c>
      <c r="BI1966" s="477">
        <v>15635556.786245152</v>
      </c>
      <c r="BJ1966" s="458">
        <v>9.4755343123473112E-2</v>
      </c>
      <c r="BK1966" s="477">
        <v>89115088.139913037</v>
      </c>
      <c r="BL1966" s="458">
        <v>0.26734756538362636</v>
      </c>
      <c r="BM1966" s="468">
        <v>5.8705772228286062</v>
      </c>
    </row>
    <row r="1967" spans="12:65" x14ac:dyDescent="0.3">
      <c r="L1967" s="427">
        <v>12505134.8412</v>
      </c>
      <c r="BE1967" s="477">
        <v>5454800.9277344467</v>
      </c>
      <c r="BF1967" s="458">
        <v>4.9668077308562264E-2</v>
      </c>
      <c r="BG1967" s="477">
        <v>13979612.381932491</v>
      </c>
      <c r="BH1967" s="458">
        <v>4.668930636859403E-2</v>
      </c>
      <c r="BI1967" s="477">
        <v>13311376.233637152</v>
      </c>
      <c r="BJ1967" s="458">
        <v>0.11643818851804588</v>
      </c>
      <c r="BK1967" s="477">
        <v>96298150.077612177</v>
      </c>
      <c r="BL1967" s="458">
        <v>0.29609516905594813</v>
      </c>
      <c r="BM1967" s="468">
        <v>13.631976739391641</v>
      </c>
    </row>
    <row r="1968" spans="12:65" x14ac:dyDescent="0.3">
      <c r="L1968" s="427">
        <v>8748830.2484000009</v>
      </c>
      <c r="BE1968" s="477">
        <v>6800432.7962637087</v>
      </c>
      <c r="BF1968" s="458">
        <v>4.3918261853849616E-2</v>
      </c>
      <c r="BG1968" s="477">
        <v>4177553.4365275465</v>
      </c>
      <c r="BH1968" s="458">
        <v>5.6459631203948923E-2</v>
      </c>
      <c r="BI1968" s="477">
        <v>12450331.444594013</v>
      </c>
      <c r="BJ1968" s="458">
        <v>0.11377658684994119</v>
      </c>
      <c r="BK1968" s="477">
        <v>93899578.360403746</v>
      </c>
      <c r="BL1968" s="458">
        <v>0.29803475083234865</v>
      </c>
      <c r="BM1968" s="468">
        <v>8.064409833652924</v>
      </c>
    </row>
    <row r="1969" spans="12:65" x14ac:dyDescent="0.3">
      <c r="L1969" s="427">
        <v>18864425.167199999</v>
      </c>
      <c r="BE1969" s="477">
        <v>1687986.8501980812</v>
      </c>
      <c r="BF1969" s="458">
        <v>4.2472077200820024E-2</v>
      </c>
      <c r="BG1969" s="477">
        <v>8795992.8385918513</v>
      </c>
      <c r="BH1969" s="458">
        <v>6.2830437297600072E-2</v>
      </c>
      <c r="BI1969" s="477">
        <v>10800111.459925961</v>
      </c>
      <c r="BJ1969" s="458">
        <v>8.4599690157442176E-2</v>
      </c>
      <c r="BK1969" s="477">
        <v>78933460.803901181</v>
      </c>
      <c r="BL1969" s="458">
        <v>0.25676397349684343</v>
      </c>
      <c r="BM1969" s="468">
        <v>7.1212062127837479</v>
      </c>
    </row>
    <row r="1970" spans="12:65" x14ac:dyDescent="0.3">
      <c r="L1970" s="427">
        <v>5008838.0904000001</v>
      </c>
      <c r="BE1970" s="477">
        <v>8324666.803164199</v>
      </c>
      <c r="BF1970" s="458">
        <v>1.8464756671704219E-2</v>
      </c>
      <c r="BG1970" s="477">
        <v>10378257.927228687</v>
      </c>
      <c r="BH1970" s="458">
        <v>7.6433155417519494E-2</v>
      </c>
      <c r="BI1970" s="477">
        <v>20256008.589210715</v>
      </c>
      <c r="BJ1970" s="458">
        <v>9.8429147227765856E-2</v>
      </c>
      <c r="BK1970" s="477">
        <v>93728758.915942714</v>
      </c>
      <c r="BL1970" s="458">
        <v>0.27409547569179371</v>
      </c>
      <c r="BM1970" s="468">
        <v>13.276327163618609</v>
      </c>
    </row>
    <row r="1971" spans="12:65" x14ac:dyDescent="0.3">
      <c r="L1971" s="427">
        <v>-16269620.194499999</v>
      </c>
      <c r="BE1971" s="477">
        <v>4772442.4235162558</v>
      </c>
      <c r="BF1971" s="458">
        <v>4.8838213079705817E-2</v>
      </c>
      <c r="BG1971" s="477">
        <v>-1979183.8012122612</v>
      </c>
      <c r="BH1971" s="458">
        <v>7.9211239442564363E-2</v>
      </c>
      <c r="BI1971" s="477">
        <v>19421643.319521684</v>
      </c>
      <c r="BJ1971" s="458">
        <v>0.11137409440566826</v>
      </c>
      <c r="BK1971" s="477">
        <v>99693362.653428391</v>
      </c>
      <c r="BL1971" s="458">
        <v>0.26710689848834446</v>
      </c>
      <c r="BM1971" s="468">
        <v>5.5289576670169582</v>
      </c>
    </row>
    <row r="1972" spans="12:65" x14ac:dyDescent="0.3">
      <c r="L1972" s="427">
        <v>14773732.928200001</v>
      </c>
      <c r="BE1972" s="477">
        <v>3312618.9843857745</v>
      </c>
      <c r="BF1972" s="458">
        <v>4.3979626099173164E-2</v>
      </c>
      <c r="BG1972" s="477">
        <v>10755623.855733547</v>
      </c>
      <c r="BH1972" s="458">
        <v>0.12259827442349058</v>
      </c>
      <c r="BI1972" s="477">
        <v>21627016.213189688</v>
      </c>
      <c r="BJ1972" s="458">
        <v>0.12046000805776669</v>
      </c>
      <c r="BK1972" s="477">
        <v>90368858.022362456</v>
      </c>
      <c r="BL1972" s="458">
        <v>0.28705175972075581</v>
      </c>
      <c r="BM1972" s="468">
        <v>11.180610392108534</v>
      </c>
    </row>
    <row r="1973" spans="12:65" x14ac:dyDescent="0.3">
      <c r="L1973" s="427">
        <v>-3094960.7781000002</v>
      </c>
      <c r="BE1973" s="477">
        <v>6347749.3630638765</v>
      </c>
      <c r="BF1973" s="458">
        <v>3.9409131893112903E-2</v>
      </c>
      <c r="BG1973" s="477">
        <v>9146498.2263268977</v>
      </c>
      <c r="BH1973" s="458">
        <v>8.1009803685972548E-2</v>
      </c>
      <c r="BI1973" s="477">
        <v>20131274.464281105</v>
      </c>
      <c r="BJ1973" s="458">
        <v>0.11384054207300043</v>
      </c>
      <c r="BK1973" s="477">
        <v>93125529.172868669</v>
      </c>
      <c r="BL1973" s="458">
        <v>0.27077551053098459</v>
      </c>
      <c r="BM1973" s="468">
        <v>16.959824229742168</v>
      </c>
    </row>
    <row r="1974" spans="12:65" x14ac:dyDescent="0.3">
      <c r="L1974" s="427">
        <v>13053782.312799999</v>
      </c>
      <c r="BE1974" s="477">
        <v>4733102.0725194607</v>
      </c>
      <c r="BF1974" s="458">
        <v>3.5280977718876505E-2</v>
      </c>
      <c r="BG1974" s="477">
        <v>6750395.2572711343</v>
      </c>
      <c r="BH1974" s="458">
        <v>7.7495442674183845E-2</v>
      </c>
      <c r="BI1974" s="477">
        <v>13805757.912279099</v>
      </c>
      <c r="BJ1974" s="458">
        <v>9.5163464564243405E-2</v>
      </c>
      <c r="BK1974" s="477">
        <v>99114016.799698621</v>
      </c>
      <c r="BL1974" s="458">
        <v>0.30912491918808516</v>
      </c>
      <c r="BM1974" s="468">
        <v>11.069599732993307</v>
      </c>
    </row>
    <row r="1975" spans="12:65" x14ac:dyDescent="0.3">
      <c r="L1975" s="427">
        <v>8882232.0788000003</v>
      </c>
      <c r="BE1975" s="477">
        <v>5003344.7442811234</v>
      </c>
      <c r="BF1975" s="458">
        <v>6.1669782743811741E-2</v>
      </c>
      <c r="BG1975" s="477">
        <v>8956595.9873335939</v>
      </c>
      <c r="BH1975" s="458">
        <v>3.0684703029812965E-2</v>
      </c>
      <c r="BI1975" s="477">
        <v>20481787.951974623</v>
      </c>
      <c r="BJ1975" s="458">
        <v>0.10359498667781941</v>
      </c>
      <c r="BK1975" s="477">
        <v>88223611.562415078</v>
      </c>
      <c r="BL1975" s="458">
        <v>0.26575273406748345</v>
      </c>
      <c r="BM1975" s="468">
        <v>8.9782468008582459</v>
      </c>
    </row>
    <row r="1976" spans="12:65" x14ac:dyDescent="0.3">
      <c r="L1976" s="427">
        <v>7510220.0124000004</v>
      </c>
      <c r="BE1976" s="477">
        <v>5835889.8684766227</v>
      </c>
      <c r="BF1976" s="458">
        <v>5.0188978674644336E-2</v>
      </c>
      <c r="BG1976" s="477">
        <v>11865656.543266881</v>
      </c>
      <c r="BH1976" s="458">
        <v>5.248584632014297E-2</v>
      </c>
      <c r="BI1976" s="477">
        <v>12499477.579844296</v>
      </c>
      <c r="BJ1976" s="458">
        <v>0.11953608943955496</v>
      </c>
      <c r="BK1976" s="477">
        <v>83214799.873249322</v>
      </c>
      <c r="BL1976" s="458">
        <v>0.28993059687109102</v>
      </c>
      <c r="BM1976" s="468">
        <v>8.734978473444297</v>
      </c>
    </row>
    <row r="1977" spans="12:65" x14ac:dyDescent="0.3">
      <c r="L1977" s="427">
        <v>-9635183.7190000005</v>
      </c>
      <c r="BE1977" s="477">
        <v>7387848.5223038299</v>
      </c>
      <c r="BF1977" s="458">
        <v>2.3249308944170988E-2</v>
      </c>
      <c r="BG1977" s="477">
        <v>8615796.678739626</v>
      </c>
      <c r="BH1977" s="458">
        <v>6.7266949719714253E-2</v>
      </c>
      <c r="BI1977" s="477">
        <v>20773528.984501526</v>
      </c>
      <c r="BJ1977" s="458">
        <v>0.10604992007800451</v>
      </c>
      <c r="BK1977" s="477">
        <v>88637495.797767282</v>
      </c>
      <c r="BL1977" s="458">
        <v>0.27810137813553348</v>
      </c>
      <c r="BM1977" s="468">
        <v>-5.3398565809974006</v>
      </c>
    </row>
    <row r="1978" spans="12:65" x14ac:dyDescent="0.3">
      <c r="L1978" s="427">
        <v>-2645257.5175000001</v>
      </c>
      <c r="BE1978" s="477">
        <v>6887888.6937097758</v>
      </c>
      <c r="BF1978" s="458">
        <v>3.568600893123941E-2</v>
      </c>
      <c r="BG1978" s="477">
        <v>6965140.117034114</v>
      </c>
      <c r="BH1978" s="458">
        <v>8.6321748743659388E-2</v>
      </c>
      <c r="BI1978" s="477">
        <v>14319609.667804038</v>
      </c>
      <c r="BJ1978" s="458">
        <v>0.12505922793096813</v>
      </c>
      <c r="BK1978" s="477">
        <v>91379872.624595925</v>
      </c>
      <c r="BL1978" s="458">
        <v>0.25883789796911683</v>
      </c>
      <c r="BM1978" s="468">
        <v>14.687325099942662</v>
      </c>
    </row>
    <row r="1979" spans="12:65" x14ac:dyDescent="0.3">
      <c r="L1979" s="427">
        <v>8815146.1273999996</v>
      </c>
      <c r="BE1979" s="477">
        <v>5995227.7024229728</v>
      </c>
      <c r="BF1979" s="458">
        <v>6.1040117296554897E-2</v>
      </c>
      <c r="BG1979" s="477">
        <v>12505057.279821165</v>
      </c>
      <c r="BH1979" s="458">
        <v>5.8436388000409512E-2</v>
      </c>
      <c r="BI1979" s="477">
        <v>16898460.426500481</v>
      </c>
      <c r="BJ1979" s="458">
        <v>0.10110789475358395</v>
      </c>
      <c r="BK1979" s="477">
        <v>93254632.095982373</v>
      </c>
      <c r="BL1979" s="458">
        <v>0.28968943955875504</v>
      </c>
      <c r="BM1979" s="468">
        <v>10.125194299753513</v>
      </c>
    </row>
    <row r="1980" spans="12:65" x14ac:dyDescent="0.3">
      <c r="L1980" s="427">
        <v>6103375.6895000003</v>
      </c>
      <c r="BE1980" s="477">
        <v>8943720.2573556248</v>
      </c>
      <c r="BF1980" s="458">
        <v>5.4267719056757091E-2</v>
      </c>
      <c r="BG1980" s="477">
        <v>6880501.2897356469</v>
      </c>
      <c r="BH1980" s="458">
        <v>7.3090123444165211E-2</v>
      </c>
      <c r="BI1980" s="477">
        <v>18119435.888001271</v>
      </c>
      <c r="BJ1980" s="458">
        <v>0.15022801622747006</v>
      </c>
      <c r="BK1980" s="477">
        <v>93390051.948528871</v>
      </c>
      <c r="BL1980" s="458">
        <v>0.2570750813208782</v>
      </c>
      <c r="BM1980" s="468">
        <v>4.060453438263278</v>
      </c>
    </row>
    <row r="1981" spans="12:65" x14ac:dyDescent="0.3">
      <c r="L1981" s="427">
        <v>13310804.494100001</v>
      </c>
      <c r="BE1981" s="477">
        <v>2081032.4143091764</v>
      </c>
      <c r="BF1981" s="458">
        <v>3.1634732063522852E-2</v>
      </c>
      <c r="BG1981" s="477">
        <v>5702730.4030391397</v>
      </c>
      <c r="BH1981" s="458">
        <v>8.3655967807992671E-2</v>
      </c>
      <c r="BI1981" s="477">
        <v>11398372.03904509</v>
      </c>
      <c r="BJ1981" s="458">
        <v>0.11526909598402502</v>
      </c>
      <c r="BK1981" s="477">
        <v>81534659.603565499</v>
      </c>
      <c r="BL1981" s="458">
        <v>0.28028162737010298</v>
      </c>
      <c r="BM1981" s="468">
        <v>10.003320921985589</v>
      </c>
    </row>
    <row r="1982" spans="12:65" x14ac:dyDescent="0.3">
      <c r="L1982" s="427">
        <v>7627955.7099000001</v>
      </c>
      <c r="BE1982" s="477">
        <v>354189.41871498182</v>
      </c>
      <c r="BF1982" s="458">
        <v>5.771325431765062E-2</v>
      </c>
      <c r="BG1982" s="477">
        <v>8940107.0491139572</v>
      </c>
      <c r="BH1982" s="458">
        <v>7.7655554318809994E-2</v>
      </c>
      <c r="BI1982" s="477">
        <v>20530872.728114922</v>
      </c>
      <c r="BJ1982" s="458">
        <v>0.10875738806424873</v>
      </c>
      <c r="BK1982" s="477">
        <v>82217850.312713787</v>
      </c>
      <c r="BL1982" s="458">
        <v>0.27289434733994455</v>
      </c>
      <c r="BM1982" s="468">
        <v>5.3041999914872644</v>
      </c>
    </row>
    <row r="1983" spans="12:65" x14ac:dyDescent="0.3">
      <c r="L1983" s="427">
        <v>-12096646.406500001</v>
      </c>
      <c r="BE1983" s="477">
        <v>4335291.2150581945</v>
      </c>
      <c r="BF1983" s="458">
        <v>4.6286283715890164E-2</v>
      </c>
      <c r="BG1983" s="477">
        <v>10064972.84188501</v>
      </c>
      <c r="BH1983" s="458">
        <v>8.7433386432518523E-2</v>
      </c>
      <c r="BI1983" s="477">
        <v>12671565.176988989</v>
      </c>
      <c r="BJ1983" s="458">
        <v>9.853317928573424E-2</v>
      </c>
      <c r="BK1983" s="477">
        <v>97875770.36423631</v>
      </c>
      <c r="BL1983" s="458">
        <v>0.25824025283907237</v>
      </c>
      <c r="BM1983" s="468">
        <v>14.135867324246359</v>
      </c>
    </row>
    <row r="1984" spans="12:65" x14ac:dyDescent="0.3">
      <c r="L1984" s="427">
        <v>7021194.3163000001</v>
      </c>
      <c r="BE1984" s="477">
        <v>4906800.8523904737</v>
      </c>
      <c r="BF1984" s="458">
        <v>3.3702960223467526E-2</v>
      </c>
      <c r="BG1984" s="477">
        <v>8975865.9252034221</v>
      </c>
      <c r="BH1984" s="458">
        <v>5.3123575841058202E-2</v>
      </c>
      <c r="BI1984" s="477">
        <v>17954652.310639646</v>
      </c>
      <c r="BJ1984" s="458">
        <v>8.92858086007009E-2</v>
      </c>
      <c r="BK1984" s="477">
        <v>87308955.113378122</v>
      </c>
      <c r="BL1984" s="458">
        <v>0.25711297931516763</v>
      </c>
      <c r="BM1984" s="468">
        <v>8.901445624006044</v>
      </c>
    </row>
    <row r="1985" spans="12:65" x14ac:dyDescent="0.3">
      <c r="L1985" s="427">
        <v>23804601.537099998</v>
      </c>
      <c r="BE1985" s="477">
        <v>1979845.2662595555</v>
      </c>
      <c r="BF1985" s="458">
        <v>3.3063724537515382E-2</v>
      </c>
      <c r="BG1985" s="477">
        <v>13639559.792060332</v>
      </c>
      <c r="BH1985" s="458">
        <v>6.1317848983835965E-2</v>
      </c>
      <c r="BI1985" s="477">
        <v>18535661.278865688</v>
      </c>
      <c r="BJ1985" s="458">
        <v>0.10216522097837943</v>
      </c>
      <c r="BK1985" s="477">
        <v>86698406.419063613</v>
      </c>
      <c r="BL1985" s="458">
        <v>0.30080572596563826</v>
      </c>
      <c r="BM1985" s="468">
        <v>3.2249822730818156</v>
      </c>
    </row>
    <row r="1986" spans="12:65" x14ac:dyDescent="0.3">
      <c r="L1986" s="427">
        <v>4796192.1320000002</v>
      </c>
      <c r="BE1986" s="477">
        <v>5379114.6934223892</v>
      </c>
      <c r="BF1986" s="458">
        <v>3.9719514230396991E-2</v>
      </c>
      <c r="BG1986" s="477">
        <v>6729860.2968756557</v>
      </c>
      <c r="BH1986" s="458">
        <v>7.3914697082803738E-2</v>
      </c>
      <c r="BI1986" s="477">
        <v>14654825.276864897</v>
      </c>
      <c r="BJ1986" s="458">
        <v>0.11926173806954488</v>
      </c>
      <c r="BK1986" s="477">
        <v>84677567.856896266</v>
      </c>
      <c r="BL1986" s="458">
        <v>0.26099073446020959</v>
      </c>
      <c r="BM1986" s="468">
        <v>14.100048689336216</v>
      </c>
    </row>
    <row r="1987" spans="12:65" x14ac:dyDescent="0.3">
      <c r="L1987" s="427">
        <v>21595161.189300001</v>
      </c>
      <c r="BE1987" s="477">
        <v>2798035.6655694256</v>
      </c>
      <c r="BF1987" s="458">
        <v>4.6899896257382556E-2</v>
      </c>
      <c r="BG1987" s="477">
        <v>4719160.881612611</v>
      </c>
      <c r="BH1987" s="458">
        <v>4.8745162498514905E-2</v>
      </c>
      <c r="BI1987" s="477">
        <v>24643535.590010744</v>
      </c>
      <c r="BJ1987" s="458">
        <v>0.10644730834833482</v>
      </c>
      <c r="BK1987" s="477">
        <v>87015210.038400352</v>
      </c>
      <c r="BL1987" s="458">
        <v>0.27239228237416757</v>
      </c>
      <c r="BM1987" s="468">
        <v>6.6697179728769278</v>
      </c>
    </row>
    <row r="1988" spans="12:65" x14ac:dyDescent="0.3">
      <c r="L1988" s="427">
        <v>14286366.271299999</v>
      </c>
      <c r="BE1988" s="477">
        <v>4626489.3447264936</v>
      </c>
      <c r="BF1988" s="458">
        <v>4.9418231172997151E-2</v>
      </c>
      <c r="BG1988" s="477">
        <v>10615830.84365809</v>
      </c>
      <c r="BH1988" s="458">
        <v>6.3290241359835964E-2</v>
      </c>
      <c r="BI1988" s="477">
        <v>14335232.777127519</v>
      </c>
      <c r="BJ1988" s="458">
        <v>0.11372171680098098</v>
      </c>
      <c r="BK1988" s="477">
        <v>86849664.073716998</v>
      </c>
      <c r="BL1988" s="458">
        <v>0.25322858938471637</v>
      </c>
      <c r="BM1988" s="468">
        <v>4.041923719113119</v>
      </c>
    </row>
    <row r="1989" spans="12:65" x14ac:dyDescent="0.3">
      <c r="L1989" s="427">
        <v>11528836.3017</v>
      </c>
      <c r="BE1989" s="477">
        <v>3120075.8199683693</v>
      </c>
      <c r="BF1989" s="458">
        <v>5.3327351257080435E-2</v>
      </c>
      <c r="BG1989" s="477">
        <v>6419878.1018094197</v>
      </c>
      <c r="BH1989" s="458">
        <v>9.3667435934134735E-2</v>
      </c>
      <c r="BI1989" s="477">
        <v>20117228.669514824</v>
      </c>
      <c r="BJ1989" s="458">
        <v>8.2956316630459437E-2</v>
      </c>
      <c r="BK1989" s="477">
        <v>91876601.246093333</v>
      </c>
      <c r="BL1989" s="458">
        <v>0.27263115615177425</v>
      </c>
      <c r="BM1989" s="468">
        <v>7.9309641811422695</v>
      </c>
    </row>
    <row r="1990" spans="12:65" x14ac:dyDescent="0.3">
      <c r="L1990" s="427">
        <v>6252332.8470999999</v>
      </c>
      <c r="BE1990" s="477">
        <v>-1533149.036977974</v>
      </c>
      <c r="BF1990" s="458">
        <v>3.3927266624735219E-2</v>
      </c>
      <c r="BG1990" s="477">
        <v>6950472.9454259239</v>
      </c>
      <c r="BH1990" s="458">
        <v>7.5060309474085374E-2</v>
      </c>
      <c r="BI1990" s="477">
        <v>12965665.136228817</v>
      </c>
      <c r="BJ1990" s="458">
        <v>0.12482575310760557</v>
      </c>
      <c r="BK1990" s="477">
        <v>87309215.596471429</v>
      </c>
      <c r="BL1990" s="458">
        <v>0.25193963238667538</v>
      </c>
      <c r="BM1990" s="468">
        <v>12.54408997744023</v>
      </c>
    </row>
    <row r="1991" spans="12:65" x14ac:dyDescent="0.3">
      <c r="L1991" s="427">
        <v>13124987.2205</v>
      </c>
      <c r="BE1991" s="477">
        <v>3076810.8537099906</v>
      </c>
      <c r="BF1991" s="458">
        <v>4.7428415648971045E-2</v>
      </c>
      <c r="BG1991" s="477">
        <v>9258890.6958632432</v>
      </c>
      <c r="BH1991" s="458">
        <v>7.5907998076702565E-2</v>
      </c>
      <c r="BI1991" s="477">
        <v>12932422.722438121</v>
      </c>
      <c r="BJ1991" s="458">
        <v>0.10527459393719463</v>
      </c>
      <c r="BK1991" s="477">
        <v>83508217.779485717</v>
      </c>
      <c r="BL1991" s="458">
        <v>0.26341995351938752</v>
      </c>
      <c r="BM1991" s="468">
        <v>8.8317268003344473</v>
      </c>
    </row>
    <row r="1992" spans="12:65" x14ac:dyDescent="0.3">
      <c r="L1992" s="427">
        <v>4035331.1087000002</v>
      </c>
      <c r="BE1992" s="477">
        <v>6717371.3676689621</v>
      </c>
      <c r="BF1992" s="458">
        <v>5.301832947131313E-2</v>
      </c>
      <c r="BG1992" s="477">
        <v>4814778.3834945252</v>
      </c>
      <c r="BH1992" s="458">
        <v>7.5590568181579387E-2</v>
      </c>
      <c r="BI1992" s="477">
        <v>18502624.473262694</v>
      </c>
      <c r="BJ1992" s="458">
        <v>0.10306269296531645</v>
      </c>
      <c r="BK1992" s="477">
        <v>87179548.46428293</v>
      </c>
      <c r="BL1992" s="458">
        <v>0.25875113859219789</v>
      </c>
      <c r="BM1992" s="468">
        <v>8.4952731475651539</v>
      </c>
    </row>
    <row r="1993" spans="12:65" x14ac:dyDescent="0.3">
      <c r="L1993" s="427">
        <v>-6413523.3031000001</v>
      </c>
      <c r="BE1993" s="477">
        <v>5807546.7944305306</v>
      </c>
      <c r="BF1993" s="458">
        <v>2.9363730551733358E-2</v>
      </c>
      <c r="BG1993" s="477">
        <v>360670.80176024942</v>
      </c>
      <c r="BH1993" s="458">
        <v>5.9798086964697461E-2</v>
      </c>
      <c r="BI1993" s="477">
        <v>19206575.16340306</v>
      </c>
      <c r="BJ1993" s="458">
        <v>0.11474848809688276</v>
      </c>
      <c r="BK1993" s="477">
        <v>84201493.822532296</v>
      </c>
      <c r="BL1993" s="458">
        <v>0.26381168455436921</v>
      </c>
      <c r="BM1993" s="468">
        <v>0.49565078485430014</v>
      </c>
    </row>
    <row r="1994" spans="12:65" x14ac:dyDescent="0.3">
      <c r="L1994" s="427">
        <v>3481942.4654000001</v>
      </c>
      <c r="BE1994" s="477">
        <v>7286627.9852084601</v>
      </c>
      <c r="BF1994" s="458">
        <v>3.8433419490945475E-2</v>
      </c>
      <c r="BG1994" s="477">
        <v>3362690.3112692237</v>
      </c>
      <c r="BH1994" s="458">
        <v>6.4456080264530202E-2</v>
      </c>
      <c r="BI1994" s="477">
        <v>12554063.43392119</v>
      </c>
      <c r="BJ1994" s="458">
        <v>0.12330017584551567</v>
      </c>
      <c r="BK1994" s="477">
        <v>101399597.97080806</v>
      </c>
      <c r="BL1994" s="458">
        <v>0.28449542938618322</v>
      </c>
      <c r="BM1994" s="468">
        <v>8.3581269365247532</v>
      </c>
    </row>
    <row r="1995" spans="12:65" x14ac:dyDescent="0.3">
      <c r="L1995" s="427">
        <v>10043510.125</v>
      </c>
      <c r="BE1995" s="477">
        <v>6379714.499474505</v>
      </c>
      <c r="BF1995" s="458">
        <v>3.0051975826620447E-2</v>
      </c>
      <c r="BG1995" s="477">
        <v>11815628.503355984</v>
      </c>
      <c r="BH1995" s="458">
        <v>8.1576443911561158E-2</v>
      </c>
      <c r="BI1995" s="477">
        <v>17360393.929001458</v>
      </c>
      <c r="BJ1995" s="458">
        <v>0.10827754945052392</v>
      </c>
      <c r="BK1995" s="477">
        <v>94300565.011488706</v>
      </c>
      <c r="BL1995" s="458">
        <v>0.24854565194725109</v>
      </c>
      <c r="BM1995" s="468">
        <v>5.9685522844254777</v>
      </c>
    </row>
    <row r="1996" spans="12:65" x14ac:dyDescent="0.3">
      <c r="L1996" s="427">
        <v>3162733.7034999998</v>
      </c>
      <c r="BE1996" s="477">
        <v>5332843.7561794361</v>
      </c>
      <c r="BF1996" s="458">
        <v>3.1124862376693097E-2</v>
      </c>
      <c r="BG1996" s="477">
        <v>3942217.2493999489</v>
      </c>
      <c r="BH1996" s="458">
        <v>6.616281857028139E-2</v>
      </c>
      <c r="BI1996" s="477">
        <v>16884106.788374964</v>
      </c>
      <c r="BJ1996" s="458">
        <v>0.14344635359803859</v>
      </c>
      <c r="BK1996" s="477">
        <v>92774327.178407177</v>
      </c>
      <c r="BL1996" s="458">
        <v>0.26510953807272752</v>
      </c>
      <c r="BM1996" s="468">
        <v>5.1877870427074422</v>
      </c>
    </row>
    <row r="1997" spans="12:65" x14ac:dyDescent="0.3">
      <c r="L1997" s="427">
        <v>22429285.807100002</v>
      </c>
      <c r="BE1997" s="477">
        <v>9461506.3049181979</v>
      </c>
      <c r="BF1997" s="458">
        <v>6.0885114365680115E-2</v>
      </c>
      <c r="BG1997" s="477">
        <v>3853143.1099105016</v>
      </c>
      <c r="BH1997" s="458">
        <v>9.0357078712442584E-2</v>
      </c>
      <c r="BI1997" s="477">
        <v>13679861.347007357</v>
      </c>
      <c r="BJ1997" s="458">
        <v>9.7078565676234518E-2</v>
      </c>
      <c r="BK1997" s="477">
        <v>86300638.672163039</v>
      </c>
      <c r="BL1997" s="458">
        <v>0.2649701484308391</v>
      </c>
      <c r="BM1997" s="468">
        <v>5.8767067022702459</v>
      </c>
    </row>
    <row r="1998" spans="12:65" x14ac:dyDescent="0.3">
      <c r="L1998" s="427">
        <v>34525621.335500002</v>
      </c>
      <c r="BE1998" s="477">
        <v>9180509.2772526164</v>
      </c>
      <c r="BF1998" s="458">
        <v>3.3844411784814676E-2</v>
      </c>
      <c r="BG1998" s="477">
        <v>5313064.0144903213</v>
      </c>
      <c r="BH1998" s="458">
        <v>6.379797427075018E-2</v>
      </c>
      <c r="BI1998" s="477">
        <v>8828895.3042661734</v>
      </c>
      <c r="BJ1998" s="458">
        <v>9.4791056815830554E-2</v>
      </c>
      <c r="BK1998" s="477">
        <v>90092412.27112554</v>
      </c>
      <c r="BL1998" s="458">
        <v>0.28658912246301371</v>
      </c>
      <c r="BM1998" s="468">
        <v>1.307101588645124</v>
      </c>
    </row>
    <row r="1999" spans="12:65" x14ac:dyDescent="0.3">
      <c r="L1999" s="427">
        <v>5162551.8014000002</v>
      </c>
      <c r="BE1999" s="477">
        <v>6804498.4908073274</v>
      </c>
      <c r="BF1999" s="458">
        <v>4.2896037374352547E-2</v>
      </c>
      <c r="BG1999" s="477">
        <v>9306052.9544588719</v>
      </c>
      <c r="BH1999" s="458">
        <v>4.3394013885546423E-2</v>
      </c>
      <c r="BI1999" s="477">
        <v>17306343.418181892</v>
      </c>
      <c r="BJ1999" s="458">
        <v>0.10287141253583365</v>
      </c>
      <c r="BK1999" s="477">
        <v>91837122.219365001</v>
      </c>
      <c r="BL1999" s="458">
        <v>0.27605119691442859</v>
      </c>
      <c r="BM1999" s="468">
        <v>7.8644150850876278</v>
      </c>
    </row>
    <row r="2000" spans="12:65" x14ac:dyDescent="0.3">
      <c r="L2000" s="427">
        <v>17520173.138999999</v>
      </c>
      <c r="BE2000" s="477">
        <v>1537407.0748299062</v>
      </c>
      <c r="BF2000" s="458">
        <v>3.1845622302354659E-2</v>
      </c>
      <c r="BG2000" s="477">
        <v>10633862.005173141</v>
      </c>
      <c r="BH2000" s="458">
        <v>7.9986714165458439E-2</v>
      </c>
      <c r="BI2000" s="477">
        <v>22192792.511969402</v>
      </c>
      <c r="BJ2000" s="458">
        <v>0.10979860010640197</v>
      </c>
      <c r="BK2000" s="477">
        <v>90757001.009386927</v>
      </c>
      <c r="BL2000" s="458">
        <v>0.25994672500520055</v>
      </c>
      <c r="BM2000" s="468">
        <v>5.8877426496088843</v>
      </c>
    </row>
    <row r="2001" spans="12:65" x14ac:dyDescent="0.3">
      <c r="L2001" s="427">
        <v>12127169.720699999</v>
      </c>
      <c r="BE2001" s="477">
        <v>2232069.6343708904</v>
      </c>
      <c r="BF2001" s="458">
        <v>4.2910643438438756E-2</v>
      </c>
      <c r="BG2001" s="477">
        <v>8305356.6815099409</v>
      </c>
      <c r="BH2001" s="458">
        <v>6.7547758370423816E-2</v>
      </c>
      <c r="BI2001" s="477">
        <v>18303740.692686312</v>
      </c>
      <c r="BJ2001" s="458">
        <v>9.5086651731496108E-2</v>
      </c>
      <c r="BK2001" s="477">
        <v>92156231.777862847</v>
      </c>
      <c r="BL2001" s="458">
        <v>0.26668750265421437</v>
      </c>
      <c r="BM2001" s="468">
        <v>17.224874031852639</v>
      </c>
    </row>
    <row r="2002" spans="12:65" x14ac:dyDescent="0.3">
      <c r="L2002" s="427">
        <v>920810.41449999996</v>
      </c>
      <c r="BE2002" s="477">
        <v>2035757.9957887081</v>
      </c>
      <c r="BF2002" s="458">
        <v>1.0376529338359752E-2</v>
      </c>
      <c r="BG2002" s="477">
        <v>6615400.0617713053</v>
      </c>
      <c r="BH2002" s="458">
        <v>7.0220493040026311E-2</v>
      </c>
      <c r="BI2002" s="477">
        <v>17135100.817999218</v>
      </c>
      <c r="BJ2002" s="458">
        <v>0.1023719051181835</v>
      </c>
      <c r="BK2002" s="477">
        <v>86848984.072327092</v>
      </c>
      <c r="BL2002" s="458">
        <v>0.25494815289814721</v>
      </c>
      <c r="BM2002" s="468">
        <v>3.8346319547664249</v>
      </c>
    </row>
    <row r="2003" spans="12:65" x14ac:dyDescent="0.3">
      <c r="L2003" s="427">
        <v>10601246.1326</v>
      </c>
      <c r="BE2003" s="477">
        <v>-96492.825288185137</v>
      </c>
      <c r="BF2003" s="458">
        <v>4.7535383500828088E-2</v>
      </c>
      <c r="BG2003" s="477">
        <v>11569558.852560738</v>
      </c>
      <c r="BH2003" s="458">
        <v>6.3230950473790903E-2</v>
      </c>
      <c r="BI2003" s="477">
        <v>18688053.444477372</v>
      </c>
      <c r="BJ2003" s="458">
        <v>0.14222829097091449</v>
      </c>
      <c r="BK2003" s="477">
        <v>93199146.172651038</v>
      </c>
      <c r="BL2003" s="458">
        <v>0.2719644628116753</v>
      </c>
      <c r="BM2003" s="468">
        <v>1.7074678548549862</v>
      </c>
    </row>
    <row r="2004" spans="12:65" x14ac:dyDescent="0.3">
      <c r="L2004" s="427">
        <v>4037334.764</v>
      </c>
      <c r="BE2004" s="477">
        <v>8848184.4465865288</v>
      </c>
      <c r="BF2004" s="458">
        <v>5.4709285975478972E-2</v>
      </c>
      <c r="BG2004" s="477">
        <v>2533079.9463068838</v>
      </c>
      <c r="BH2004" s="458">
        <v>4.1597272286514553E-2</v>
      </c>
      <c r="BI2004" s="477">
        <v>16020891.495707465</v>
      </c>
      <c r="BJ2004" s="458">
        <v>0.11883305215707574</v>
      </c>
      <c r="BK2004" s="477">
        <v>78554247.967038095</v>
      </c>
      <c r="BL2004" s="458">
        <v>0.28948230611835002</v>
      </c>
      <c r="BM2004" s="468">
        <v>10.47716563812175</v>
      </c>
    </row>
    <row r="2005" spans="12:65" x14ac:dyDescent="0.3">
      <c r="L2005" s="427">
        <v>15132677.339400001</v>
      </c>
      <c r="BE2005" s="477">
        <v>7854129.6112227198</v>
      </c>
      <c r="BF2005" s="458">
        <v>4.3520104855699904E-2</v>
      </c>
      <c r="BG2005" s="477">
        <v>-1008949.2627709761</v>
      </c>
      <c r="BH2005" s="458">
        <v>8.8767703125876896E-2</v>
      </c>
      <c r="BI2005" s="477">
        <v>15505539.243421827</v>
      </c>
      <c r="BJ2005" s="458">
        <v>9.4696030504460627E-2</v>
      </c>
      <c r="BK2005" s="477">
        <v>82176176.873667046</v>
      </c>
      <c r="BL2005" s="458">
        <v>0.26325208063353123</v>
      </c>
      <c r="BM2005" s="468">
        <v>10.552417960756136</v>
      </c>
    </row>
    <row r="2006" spans="12:65" x14ac:dyDescent="0.3">
      <c r="L2006" s="427">
        <v>-1574789.9981</v>
      </c>
      <c r="BE2006" s="477">
        <v>7153703.2476896476</v>
      </c>
      <c r="BF2006" s="458">
        <v>2.1088260929883473E-2</v>
      </c>
      <c r="BG2006" s="477">
        <v>3663457.7814240162</v>
      </c>
      <c r="BH2006" s="458">
        <v>6.8111156199933021E-2</v>
      </c>
      <c r="BI2006" s="477">
        <v>18529163.636692401</v>
      </c>
      <c r="BJ2006" s="458">
        <v>0.10830902456620772</v>
      </c>
      <c r="BK2006" s="477">
        <v>98186325.560010031</v>
      </c>
      <c r="BL2006" s="458">
        <v>0.26800398998974817</v>
      </c>
      <c r="BM2006" s="468">
        <v>14.480403297387001</v>
      </c>
    </row>
    <row r="2007" spans="12:65" x14ac:dyDescent="0.3">
      <c r="L2007" s="427">
        <v>4843146.9159000004</v>
      </c>
      <c r="BE2007" s="477">
        <v>-690702.08445790072</v>
      </c>
      <c r="BF2007" s="458">
        <v>3.4612745023792746E-2</v>
      </c>
      <c r="BG2007" s="477">
        <v>9250752.6898677256</v>
      </c>
      <c r="BH2007" s="458">
        <v>8.2275131454363937E-2</v>
      </c>
      <c r="BI2007" s="477">
        <v>16102440.90760972</v>
      </c>
      <c r="BJ2007" s="458">
        <v>0.11455326697613377</v>
      </c>
      <c r="BK2007" s="477">
        <v>82695557.820353791</v>
      </c>
      <c r="BL2007" s="458">
        <v>0.25961532049413538</v>
      </c>
      <c r="BM2007" s="468">
        <v>14.231885093163189</v>
      </c>
    </row>
    <row r="2008" spans="12:65" x14ac:dyDescent="0.3">
      <c r="L2008" s="427">
        <v>-1215898.3075000001</v>
      </c>
      <c r="BE2008" s="477">
        <v>1836920.0148521147</v>
      </c>
      <c r="BF2008" s="458">
        <v>7.4129642523957262E-2</v>
      </c>
      <c r="BG2008" s="477">
        <v>4824193.0487451516</v>
      </c>
      <c r="BH2008" s="458">
        <v>4.8767587178294658E-2</v>
      </c>
      <c r="BI2008" s="477">
        <v>17851970.469129208</v>
      </c>
      <c r="BJ2008" s="458">
        <v>0.11398805659585087</v>
      </c>
      <c r="BK2008" s="477">
        <v>87203866.338417903</v>
      </c>
      <c r="BL2008" s="458">
        <v>0.2650328342199253</v>
      </c>
      <c r="BM2008" s="468">
        <v>10.273804811539158</v>
      </c>
    </row>
    <row r="2009" spans="12:65" x14ac:dyDescent="0.3">
      <c r="L2009" s="427">
        <v>15155839.0978</v>
      </c>
      <c r="BE2009" s="477">
        <v>8740701.0467812624</v>
      </c>
      <c r="BF2009" s="458">
        <v>5.6710631703662528E-2</v>
      </c>
      <c r="BG2009" s="477">
        <v>8369162.1176247727</v>
      </c>
      <c r="BH2009" s="458">
        <v>5.4091780019438929E-2</v>
      </c>
      <c r="BI2009" s="477">
        <v>20199874.968892463</v>
      </c>
      <c r="BJ2009" s="458">
        <v>0.10325627352556133</v>
      </c>
      <c r="BK2009" s="477">
        <v>94170226.856470391</v>
      </c>
      <c r="BL2009" s="458">
        <v>0.28944103556179823</v>
      </c>
      <c r="BM2009" s="468">
        <v>12.258727484263275</v>
      </c>
    </row>
    <row r="2010" spans="12:65" x14ac:dyDescent="0.3">
      <c r="L2010" s="427">
        <v>591679.67379999999</v>
      </c>
      <c r="BE2010" s="477">
        <v>7840169.6449362952</v>
      </c>
      <c r="BF2010" s="458">
        <v>3.2346319377192456E-2</v>
      </c>
      <c r="BG2010" s="477">
        <v>15882683.299855864</v>
      </c>
      <c r="BH2010" s="458">
        <v>6.3915310571494688E-2</v>
      </c>
      <c r="BI2010" s="477">
        <v>15200567.436602203</v>
      </c>
      <c r="BJ2010" s="458">
        <v>0.10618431061477218</v>
      </c>
      <c r="BK2010" s="477">
        <v>75591016.329914063</v>
      </c>
      <c r="BL2010" s="458">
        <v>0.30181353572063485</v>
      </c>
      <c r="BM2010" s="468">
        <v>7.3260602288535104</v>
      </c>
    </row>
    <row r="2011" spans="12:65" x14ac:dyDescent="0.3">
      <c r="L2011" s="427">
        <v>957134.04390000005</v>
      </c>
      <c r="BE2011" s="477">
        <v>3300157.0248444118</v>
      </c>
      <c r="BF2011" s="458">
        <v>5.2408352259393887E-2</v>
      </c>
      <c r="BG2011" s="477">
        <v>8458290.250246197</v>
      </c>
      <c r="BH2011" s="458">
        <v>5.3495877917749679E-2</v>
      </c>
      <c r="BI2011" s="477">
        <v>20124448.90233073</v>
      </c>
      <c r="BJ2011" s="458">
        <v>9.9482356877064415E-2</v>
      </c>
      <c r="BK2011" s="477">
        <v>91048741.642999828</v>
      </c>
      <c r="BL2011" s="458">
        <v>0.26018789874193171</v>
      </c>
      <c r="BM2011" s="468">
        <v>10.176181903743249</v>
      </c>
    </row>
    <row r="2012" spans="12:65" x14ac:dyDescent="0.3">
      <c r="L2012" s="427">
        <v>2310043.8254</v>
      </c>
      <c r="BE2012" s="477">
        <v>5415005.2924832776</v>
      </c>
      <c r="BF2012" s="458">
        <v>3.7518268647268371E-2</v>
      </c>
      <c r="BG2012" s="477">
        <v>5369545.3146417299</v>
      </c>
      <c r="BH2012" s="458">
        <v>8.6060206269936934E-2</v>
      </c>
      <c r="BI2012" s="477">
        <v>13479720.959901575</v>
      </c>
      <c r="BJ2012" s="458">
        <v>0.11023535050265432</v>
      </c>
      <c r="BK2012" s="477">
        <v>91883454.794536233</v>
      </c>
      <c r="BL2012" s="458">
        <v>0.25256198767608007</v>
      </c>
      <c r="BM2012" s="468">
        <v>5.5146379158327097</v>
      </c>
    </row>
    <row r="2013" spans="12:65" x14ac:dyDescent="0.3">
      <c r="L2013" s="427">
        <v>17267736.986299999</v>
      </c>
      <c r="BE2013" s="477">
        <v>10989746.717333961</v>
      </c>
      <c r="BF2013" s="458">
        <v>5.4806873745613105E-2</v>
      </c>
      <c r="BG2013" s="477">
        <v>6573824.9920512121</v>
      </c>
      <c r="BH2013" s="458">
        <v>5.3654933040810038E-2</v>
      </c>
      <c r="BI2013" s="477">
        <v>10954051.124463495</v>
      </c>
      <c r="BJ2013" s="458">
        <v>0.12514463546602461</v>
      </c>
      <c r="BK2013" s="477">
        <v>81142402.489941001</v>
      </c>
      <c r="BL2013" s="458">
        <v>0.26983409730104158</v>
      </c>
      <c r="BM2013" s="468">
        <v>12.576268739024425</v>
      </c>
    </row>
    <row r="2014" spans="12:65" x14ac:dyDescent="0.3">
      <c r="L2014" s="427">
        <v>3470919.2113000001</v>
      </c>
      <c r="BE2014" s="477">
        <v>4152872.7288264972</v>
      </c>
      <c r="BF2014" s="458">
        <v>6.2949624617733901E-2</v>
      </c>
      <c r="BG2014" s="477">
        <v>9169473.9754680619</v>
      </c>
      <c r="BH2014" s="458">
        <v>6.9684643852872208E-2</v>
      </c>
      <c r="BI2014" s="477">
        <v>14988685.025975132</v>
      </c>
      <c r="BJ2014" s="458">
        <v>9.5133435160644764E-2</v>
      </c>
      <c r="BK2014" s="477">
        <v>91966607.633950502</v>
      </c>
      <c r="BL2014" s="458">
        <v>0.28235222641684965</v>
      </c>
      <c r="BM2014" s="468">
        <v>6.1760712639134319</v>
      </c>
    </row>
    <row r="2015" spans="12:65" x14ac:dyDescent="0.3">
      <c r="L2015" s="427">
        <v>16710670.6614</v>
      </c>
      <c r="BE2015" s="477">
        <v>10036906.277287453</v>
      </c>
      <c r="BF2015" s="458">
        <v>3.3150390084782044E-2</v>
      </c>
      <c r="BG2015" s="477">
        <v>5232795.3127214089</v>
      </c>
      <c r="BH2015" s="458">
        <v>5.0191440008810373E-2</v>
      </c>
      <c r="BI2015" s="477">
        <v>17991541.738118436</v>
      </c>
      <c r="BJ2015" s="458">
        <v>0.13621644770712282</v>
      </c>
      <c r="BK2015" s="477">
        <v>86630190.360983893</v>
      </c>
      <c r="BL2015" s="458">
        <v>0.27571072551979259</v>
      </c>
      <c r="BM2015" s="468">
        <v>1.9779063826125372</v>
      </c>
    </row>
    <row r="2016" spans="12:65" x14ac:dyDescent="0.3">
      <c r="L2016" s="427">
        <v>-3559313.6874000002</v>
      </c>
      <c r="BE2016" s="477">
        <v>6677996.1626887601</v>
      </c>
      <c r="BF2016" s="458">
        <v>1.5930949055845023E-2</v>
      </c>
      <c r="BG2016" s="477">
        <v>5550972.1168389628</v>
      </c>
      <c r="BH2016" s="458">
        <v>6.7164108196992034E-2</v>
      </c>
      <c r="BI2016" s="477">
        <v>11271156.652717173</v>
      </c>
      <c r="BJ2016" s="458">
        <v>0.12223731079013067</v>
      </c>
      <c r="BK2016" s="477">
        <v>89314383.360515058</v>
      </c>
      <c r="BL2016" s="458">
        <v>0.27484749999098024</v>
      </c>
      <c r="BM2016" s="468">
        <v>9.6896952237073251</v>
      </c>
    </row>
    <row r="2017" spans="12:65" x14ac:dyDescent="0.3">
      <c r="L2017" s="427">
        <v>-448766.64039999997</v>
      </c>
      <c r="BE2017" s="477">
        <v>7208419.561723399</v>
      </c>
      <c r="BF2017" s="458">
        <v>3.7988906329627703E-2</v>
      </c>
      <c r="BG2017" s="477">
        <v>9747793.4357816633</v>
      </c>
      <c r="BH2017" s="458">
        <v>4.8281807255305065E-2</v>
      </c>
      <c r="BI2017" s="477">
        <v>11923805.184689865</v>
      </c>
      <c r="BJ2017" s="458">
        <v>9.1382026627225388E-2</v>
      </c>
      <c r="BK2017" s="477">
        <v>91987202.355995834</v>
      </c>
      <c r="BL2017" s="458">
        <v>0.25456963404184019</v>
      </c>
      <c r="BM2017" s="468">
        <v>1.9030276358299014</v>
      </c>
    </row>
    <row r="2018" spans="12:65" x14ac:dyDescent="0.3">
      <c r="L2018" s="427">
        <v>1139409.5699</v>
      </c>
      <c r="BE2018" s="477">
        <v>1554362.4329219961</v>
      </c>
      <c r="BF2018" s="458">
        <v>3.451696254044534E-2</v>
      </c>
      <c r="BG2018" s="477">
        <v>8303101.093627532</v>
      </c>
      <c r="BH2018" s="458">
        <v>5.6157669407994826E-2</v>
      </c>
      <c r="BI2018" s="477">
        <v>22578733.093405854</v>
      </c>
      <c r="BJ2018" s="458">
        <v>0.14032970629692065</v>
      </c>
      <c r="BK2018" s="477">
        <v>90657512.913736716</v>
      </c>
      <c r="BL2018" s="458">
        <v>0.27784504177414382</v>
      </c>
      <c r="BM2018" s="468">
        <v>8.3241195728506803</v>
      </c>
    </row>
    <row r="2019" spans="12:65" x14ac:dyDescent="0.3">
      <c r="L2019" s="427">
        <v>-1075232.8798</v>
      </c>
      <c r="BE2019" s="477">
        <v>9137769.561531214</v>
      </c>
      <c r="BF2019" s="458">
        <v>4.6103157342928469E-2</v>
      </c>
      <c r="BG2019" s="477">
        <v>4213628.8931796271</v>
      </c>
      <c r="BH2019" s="458">
        <v>4.8741755555153476E-2</v>
      </c>
      <c r="BI2019" s="477">
        <v>17807787.797246695</v>
      </c>
      <c r="BJ2019" s="458">
        <v>0.10643361582859101</v>
      </c>
      <c r="BK2019" s="477">
        <v>104971445.3426992</v>
      </c>
      <c r="BL2019" s="458">
        <v>0.28557941471978587</v>
      </c>
      <c r="BM2019" s="468">
        <v>9.4276002360834905</v>
      </c>
    </row>
    <row r="2020" spans="12:65" x14ac:dyDescent="0.3">
      <c r="L2020" s="427">
        <v>14270601.865</v>
      </c>
      <c r="BE2020" s="477">
        <v>5009846.5249024499</v>
      </c>
      <c r="BF2020" s="458">
        <v>4.1302410967320125E-2</v>
      </c>
      <c r="BG2020" s="477">
        <v>8269532.1666774387</v>
      </c>
      <c r="BH2020" s="458">
        <v>9.1235669665296282E-2</v>
      </c>
      <c r="BI2020" s="477">
        <v>12218960.424372893</v>
      </c>
      <c r="BJ2020" s="458">
        <v>9.4819111560186853E-2</v>
      </c>
      <c r="BK2020" s="477">
        <v>87091879.677182183</v>
      </c>
      <c r="BL2020" s="458">
        <v>0.28194113476070415</v>
      </c>
      <c r="BM2020" s="468">
        <v>4.5492755006935521</v>
      </c>
    </row>
    <row r="2021" spans="12:65" x14ac:dyDescent="0.3">
      <c r="L2021" s="427">
        <v>12778344.604599999</v>
      </c>
      <c r="BE2021" s="477">
        <v>3233568.1001839363</v>
      </c>
      <c r="BF2021" s="458">
        <v>3.2188182142516064E-2</v>
      </c>
      <c r="BG2021" s="477">
        <v>6682094.0178507958</v>
      </c>
      <c r="BH2021" s="458">
        <v>8.1542819989656179E-2</v>
      </c>
      <c r="BI2021" s="477">
        <v>15745768.14978897</v>
      </c>
      <c r="BJ2021" s="458">
        <v>0.11850475187779907</v>
      </c>
      <c r="BK2021" s="477">
        <v>77791930.045126542</v>
      </c>
      <c r="BL2021" s="458">
        <v>0.27948467922879972</v>
      </c>
      <c r="BM2021" s="468">
        <v>11.305114724192356</v>
      </c>
    </row>
    <row r="2022" spans="12:65" x14ac:dyDescent="0.3">
      <c r="L2022" s="427">
        <v>26195989.334100001</v>
      </c>
      <c r="BE2022" s="477">
        <v>8416955.3926633224</v>
      </c>
      <c r="BF2022" s="458">
        <v>5.2970574903351553E-2</v>
      </c>
      <c r="BG2022" s="477">
        <v>2529022.1415683837</v>
      </c>
      <c r="BH2022" s="458">
        <v>5.2418531011188207E-2</v>
      </c>
      <c r="BI2022" s="477">
        <v>15617179.425910767</v>
      </c>
      <c r="BJ2022" s="458">
        <v>0.1019921557008483</v>
      </c>
      <c r="BK2022" s="477">
        <v>81586019.186967954</v>
      </c>
      <c r="BL2022" s="458">
        <v>0.25656053838891535</v>
      </c>
      <c r="BM2022" s="468">
        <v>14.167185558068134</v>
      </c>
    </row>
    <row r="2023" spans="12:65" x14ac:dyDescent="0.3">
      <c r="L2023" s="427">
        <v>7787313.5807999996</v>
      </c>
      <c r="BE2023" s="477">
        <v>6255398.6665656436</v>
      </c>
      <c r="BF2023" s="458">
        <v>2.5045806679703686E-2</v>
      </c>
      <c r="BG2023" s="477">
        <v>8875745.555095179</v>
      </c>
      <c r="BH2023" s="458">
        <v>7.7517962293441656E-2</v>
      </c>
      <c r="BI2023" s="477">
        <v>18081371.511370685</v>
      </c>
      <c r="BJ2023" s="458">
        <v>0.10680318081936546</v>
      </c>
      <c r="BK2023" s="477">
        <v>82991758.659632578</v>
      </c>
      <c r="BL2023" s="458">
        <v>0.26753706066570837</v>
      </c>
      <c r="BM2023" s="468">
        <v>10.316943289891878</v>
      </c>
    </row>
    <row r="2024" spans="12:65" x14ac:dyDescent="0.3">
      <c r="L2024" s="427">
        <v>26792057.528099999</v>
      </c>
      <c r="BE2024" s="477">
        <v>6335717.6274725832</v>
      </c>
      <c r="BF2024" s="458">
        <v>2.8514633918099275E-2</v>
      </c>
      <c r="BG2024" s="477">
        <v>4412728.6138408557</v>
      </c>
      <c r="BH2024" s="458">
        <v>6.5983408908809826E-2</v>
      </c>
      <c r="BI2024" s="477">
        <v>20148590.75512179</v>
      </c>
      <c r="BJ2024" s="458">
        <v>0.11307170968317815</v>
      </c>
      <c r="BK2024" s="477">
        <v>89814447.310059845</v>
      </c>
      <c r="BL2024" s="458">
        <v>0.2638515543671649</v>
      </c>
      <c r="BM2024" s="468">
        <v>8.4076033085533943</v>
      </c>
    </row>
    <row r="2025" spans="12:65" x14ac:dyDescent="0.3">
      <c r="L2025" s="427">
        <v>14166153.624600001</v>
      </c>
      <c r="BE2025" s="477">
        <v>5275940.358936253</v>
      </c>
      <c r="BF2025" s="458">
        <v>3.3071900411597799E-2</v>
      </c>
      <c r="BG2025" s="477">
        <v>16286302.315938301</v>
      </c>
      <c r="BH2025" s="458">
        <v>7.7298551271039573E-2</v>
      </c>
      <c r="BI2025" s="477">
        <v>20616830.849866148</v>
      </c>
      <c r="BJ2025" s="458">
        <v>0.12140655606419171</v>
      </c>
      <c r="BK2025" s="477">
        <v>97584666.807316706</v>
      </c>
      <c r="BL2025" s="458">
        <v>0.27550765714679115</v>
      </c>
      <c r="BM2025" s="468">
        <v>6.5824182913067402</v>
      </c>
    </row>
    <row r="2026" spans="12:65" x14ac:dyDescent="0.3">
      <c r="L2026" s="427">
        <v>1319395.2150999999</v>
      </c>
      <c r="BE2026" s="477">
        <v>3505583.4277845994</v>
      </c>
      <c r="BF2026" s="458">
        <v>2.1425108163437789E-2</v>
      </c>
      <c r="BG2026" s="477">
        <v>8836995.4221478235</v>
      </c>
      <c r="BH2026" s="458">
        <v>8.5709650782146207E-2</v>
      </c>
      <c r="BI2026" s="477">
        <v>13176883.58045207</v>
      </c>
      <c r="BJ2026" s="458">
        <v>0.13641587235593566</v>
      </c>
      <c r="BK2026" s="477">
        <v>80906122.92428866</v>
      </c>
      <c r="BL2026" s="458">
        <v>0.26701910653333449</v>
      </c>
      <c r="BM2026" s="468">
        <v>3.4501124429581838</v>
      </c>
    </row>
    <row r="2027" spans="12:65" x14ac:dyDescent="0.3">
      <c r="L2027" s="427">
        <v>18850293.0013</v>
      </c>
      <c r="BE2027" s="477">
        <v>3577270.7891333816</v>
      </c>
      <c r="BF2027" s="458">
        <v>3.689121651384597E-2</v>
      </c>
      <c r="BG2027" s="477">
        <v>16262274.850072991</v>
      </c>
      <c r="BH2027" s="458">
        <v>2.9728677123153746E-2</v>
      </c>
      <c r="BI2027" s="477">
        <v>20146689.245452806</v>
      </c>
      <c r="BJ2027" s="458">
        <v>0.11194727790535275</v>
      </c>
      <c r="BK2027" s="477">
        <v>102912284.80046479</v>
      </c>
      <c r="BL2027" s="458">
        <v>0.25221725423295638</v>
      </c>
      <c r="BM2027" s="468">
        <v>5.4018163036424305</v>
      </c>
    </row>
    <row r="2028" spans="12:65" x14ac:dyDescent="0.3">
      <c r="L2028" s="427">
        <v>17432745.8708</v>
      </c>
      <c r="BE2028" s="477">
        <v>2386297.8219183553</v>
      </c>
      <c r="BF2028" s="458">
        <v>3.752900634304579E-2</v>
      </c>
      <c r="BG2028" s="477">
        <v>8755772.6938403323</v>
      </c>
      <c r="BH2028" s="458">
        <v>6.6805409055546994E-2</v>
      </c>
      <c r="BI2028" s="477">
        <v>10339804.508695008</v>
      </c>
      <c r="BJ2028" s="458">
        <v>0.11820516195220931</v>
      </c>
      <c r="BK2028" s="477">
        <v>107552950.38252839</v>
      </c>
      <c r="BL2028" s="458">
        <v>0.2703141335329875</v>
      </c>
      <c r="BM2028" s="468">
        <v>7.1390374647620281</v>
      </c>
    </row>
    <row r="2029" spans="12:65" x14ac:dyDescent="0.3">
      <c r="L2029" s="427">
        <v>12746521.202</v>
      </c>
      <c r="BE2029" s="477">
        <v>7502636.0715104332</v>
      </c>
      <c r="BF2029" s="458">
        <v>5.5500016536089491E-2</v>
      </c>
      <c r="BG2029" s="477">
        <v>5736896.4688650547</v>
      </c>
      <c r="BH2029" s="458">
        <v>8.5187954532194521E-2</v>
      </c>
      <c r="BI2029" s="477">
        <v>14672688.619148413</v>
      </c>
      <c r="BJ2029" s="458">
        <v>9.8478043485329847E-2</v>
      </c>
      <c r="BK2029" s="477">
        <v>99537430.484254926</v>
      </c>
      <c r="BL2029" s="458">
        <v>0.28417768120708242</v>
      </c>
      <c r="BM2029" s="468">
        <v>6.7305858268548544</v>
      </c>
    </row>
    <row r="2030" spans="12:65" x14ac:dyDescent="0.3">
      <c r="L2030" s="427">
        <v>19511016.2139</v>
      </c>
      <c r="BE2030" s="477">
        <v>4268849.3396403855</v>
      </c>
      <c r="BF2030" s="458">
        <v>4.2828303344611074E-2</v>
      </c>
      <c r="BG2030" s="477">
        <v>8495490.8581967298</v>
      </c>
      <c r="BH2030" s="458">
        <v>8.7063168676241753E-2</v>
      </c>
      <c r="BI2030" s="477">
        <v>13191552.571090015</v>
      </c>
      <c r="BJ2030" s="458">
        <v>9.8574635336053928E-2</v>
      </c>
      <c r="BK2030" s="477">
        <v>79803316.167738423</v>
      </c>
      <c r="BL2030" s="458">
        <v>0.26435790027572303</v>
      </c>
      <c r="BM2030" s="468">
        <v>10.300794213453939</v>
      </c>
    </row>
    <row r="2031" spans="12:65" x14ac:dyDescent="0.3">
      <c r="L2031" s="427">
        <v>3480609.3550999998</v>
      </c>
      <c r="BE2031" s="477">
        <v>5601642.2547011804</v>
      </c>
      <c r="BF2031" s="458">
        <v>4.4565235476610621E-2</v>
      </c>
      <c r="BG2031" s="477">
        <v>12325141.740631206</v>
      </c>
      <c r="BH2031" s="458">
        <v>5.0653415094686238E-2</v>
      </c>
      <c r="BI2031" s="477">
        <v>14592518.712596722</v>
      </c>
      <c r="BJ2031" s="458">
        <v>0.11611782811928806</v>
      </c>
      <c r="BK2031" s="477">
        <v>92314412.021938995</v>
      </c>
      <c r="BL2031" s="458">
        <v>0.25667649158742245</v>
      </c>
      <c r="BM2031" s="468">
        <v>7.6941200883722365</v>
      </c>
    </row>
    <row r="2032" spans="12:65" x14ac:dyDescent="0.3">
      <c r="L2032" s="427">
        <v>-3113517.2524000001</v>
      </c>
      <c r="BE2032" s="477">
        <v>610882.69588957133</v>
      </c>
      <c r="BF2032" s="458">
        <v>3.7257556314889584E-2</v>
      </c>
      <c r="BG2032" s="477">
        <v>8188692.6995656034</v>
      </c>
      <c r="BH2032" s="458">
        <v>5.0713999745700011E-2</v>
      </c>
      <c r="BI2032" s="477">
        <v>9944534.8700310066</v>
      </c>
      <c r="BJ2032" s="458">
        <v>9.7355370141074093E-2</v>
      </c>
      <c r="BK2032" s="477">
        <v>93513679.907045543</v>
      </c>
      <c r="BL2032" s="458">
        <v>0.28044416711610909</v>
      </c>
      <c r="BM2032" s="468">
        <v>9.3660914686585262</v>
      </c>
    </row>
    <row r="2033" spans="12:65" x14ac:dyDescent="0.3">
      <c r="L2033" s="427">
        <v>17195264.817200001</v>
      </c>
      <c r="BE2033" s="477">
        <v>4844670.2177604139</v>
      </c>
      <c r="BF2033" s="458">
        <v>4.1977900967974158E-2</v>
      </c>
      <c r="BG2033" s="477">
        <v>9648089.933105411</v>
      </c>
      <c r="BH2033" s="458">
        <v>7.2263949654093107E-2</v>
      </c>
      <c r="BI2033" s="477">
        <v>23904643.534281299</v>
      </c>
      <c r="BJ2033" s="458">
        <v>7.8202469325518775E-2</v>
      </c>
      <c r="BK2033" s="477">
        <v>81801081.05197911</v>
      </c>
      <c r="BL2033" s="458">
        <v>0.2840315582996602</v>
      </c>
      <c r="BM2033" s="468">
        <v>10.164734082921724</v>
      </c>
    </row>
    <row r="2034" spans="12:65" x14ac:dyDescent="0.3">
      <c r="L2034" s="427">
        <v>14836027.327</v>
      </c>
      <c r="BE2034" s="477">
        <v>6445635.1168564521</v>
      </c>
      <c r="BF2034" s="458">
        <v>7.1931681771442157E-2</v>
      </c>
      <c r="BG2034" s="477">
        <v>-2843185.5225606756</v>
      </c>
      <c r="BH2034" s="458">
        <v>7.9992602804240365E-2</v>
      </c>
      <c r="BI2034" s="477">
        <v>13331274.582611935</v>
      </c>
      <c r="BJ2034" s="458">
        <v>0.10051663730775462</v>
      </c>
      <c r="BK2034" s="477">
        <v>87254881.521178812</v>
      </c>
      <c r="BL2034" s="458">
        <v>0.26354531678868587</v>
      </c>
      <c r="BM2034" s="468">
        <v>7.2401857131348946</v>
      </c>
    </row>
    <row r="2035" spans="12:65" x14ac:dyDescent="0.3">
      <c r="L2035" s="427">
        <v>5934557.3587999996</v>
      </c>
      <c r="BE2035" s="477">
        <v>6937639.9906370323</v>
      </c>
      <c r="BF2035" s="458">
        <v>3.8928148807419571E-2</v>
      </c>
      <c r="BG2035" s="477">
        <v>8214812.4798825923</v>
      </c>
      <c r="BH2035" s="458">
        <v>7.9065936105810586E-2</v>
      </c>
      <c r="BI2035" s="477">
        <v>27173403.327096626</v>
      </c>
      <c r="BJ2035" s="458">
        <v>0.13275982171001077</v>
      </c>
      <c r="BK2035" s="477">
        <v>97876264.070811749</v>
      </c>
      <c r="BL2035" s="458">
        <v>0.26277754744910631</v>
      </c>
      <c r="BM2035" s="468">
        <v>7.239261960702958</v>
      </c>
    </row>
    <row r="2036" spans="12:65" x14ac:dyDescent="0.3">
      <c r="L2036" s="427">
        <v>6316784.2377000004</v>
      </c>
      <c r="BE2036" s="477">
        <v>5592898.7409917507</v>
      </c>
      <c r="BF2036" s="458">
        <v>4.0036010143998935E-2</v>
      </c>
      <c r="BG2036" s="477">
        <v>9322679.5526082199</v>
      </c>
      <c r="BH2036" s="458">
        <v>4.6534751090308024E-2</v>
      </c>
      <c r="BI2036" s="477">
        <v>11636692.206515783</v>
      </c>
      <c r="BJ2036" s="458">
        <v>9.1087571535135359E-2</v>
      </c>
      <c r="BK2036" s="477">
        <v>95019418.948070765</v>
      </c>
      <c r="BL2036" s="458">
        <v>0.25936652199697985</v>
      </c>
      <c r="BM2036" s="468">
        <v>6.5534247483003449</v>
      </c>
    </row>
    <row r="2037" spans="12:65" x14ac:dyDescent="0.3">
      <c r="L2037" s="427">
        <v>9433470.3936000001</v>
      </c>
      <c r="BE2037" s="477">
        <v>3045966.9174780599</v>
      </c>
      <c r="BF2037" s="458">
        <v>5.4419985021636919E-2</v>
      </c>
      <c r="BG2037" s="477">
        <v>9967494.0748821069</v>
      </c>
      <c r="BH2037" s="458">
        <v>8.7263962184433996E-2</v>
      </c>
      <c r="BI2037" s="477">
        <v>18222512.598894365</v>
      </c>
      <c r="BJ2037" s="458">
        <v>0.10882995592869382</v>
      </c>
      <c r="BK2037" s="477">
        <v>79645774.232809126</v>
      </c>
      <c r="BL2037" s="458">
        <v>0.26431216527846635</v>
      </c>
      <c r="BM2037" s="468">
        <v>8.600411714580197</v>
      </c>
    </row>
    <row r="2038" spans="12:65" x14ac:dyDescent="0.3">
      <c r="L2038" s="427">
        <v>9623077.0885000005</v>
      </c>
      <c r="BE2038" s="477">
        <v>5009847.651020823</v>
      </c>
      <c r="BF2038" s="458">
        <v>3.2455723561243044E-2</v>
      </c>
      <c r="BG2038" s="477">
        <v>8451512.5563088115</v>
      </c>
      <c r="BH2038" s="458">
        <v>5.6349195937648311E-2</v>
      </c>
      <c r="BI2038" s="477">
        <v>19825334.108423881</v>
      </c>
      <c r="BJ2038" s="458">
        <v>0.11440322823914362</v>
      </c>
      <c r="BK2038" s="477">
        <v>85989981.597600475</v>
      </c>
      <c r="BL2038" s="458">
        <v>0.27287586216765969</v>
      </c>
      <c r="BM2038" s="468">
        <v>6.7460950891843163</v>
      </c>
    </row>
    <row r="2039" spans="12:65" x14ac:dyDescent="0.3">
      <c r="L2039" s="427">
        <v>20447259.282099999</v>
      </c>
      <c r="BE2039" s="477">
        <v>-1573139.1199067733</v>
      </c>
      <c r="BF2039" s="458">
        <v>0.11490364347060544</v>
      </c>
      <c r="BG2039" s="477">
        <v>5081995.1868416183</v>
      </c>
      <c r="BH2039" s="458">
        <v>0.13859014888624177</v>
      </c>
      <c r="BI2039" s="477">
        <v>22558359.117400751</v>
      </c>
      <c r="BJ2039" s="458">
        <v>0.12692576930958666</v>
      </c>
      <c r="BK2039" s="477">
        <v>110543811.2512861</v>
      </c>
      <c r="BL2039" s="458">
        <v>0.28861136444219393</v>
      </c>
      <c r="BM2039" s="468">
        <v>8.6847051679758227</v>
      </c>
    </row>
    <row r="2040" spans="12:65" x14ac:dyDescent="0.3">
      <c r="L2040" s="427">
        <v>17121117.6305</v>
      </c>
      <c r="BE2040" s="477">
        <v>4714542.9063078808</v>
      </c>
      <c r="BF2040" s="458">
        <v>5.515258463968542E-2</v>
      </c>
      <c r="BG2040" s="477">
        <v>2888283.6137319184</v>
      </c>
      <c r="BH2040" s="458">
        <v>6.6951094803952449E-2</v>
      </c>
      <c r="BI2040" s="477">
        <v>19795955.981763754</v>
      </c>
      <c r="BJ2040" s="458">
        <v>0.10582303646914748</v>
      </c>
      <c r="BK2040" s="477">
        <v>77124438.752760023</v>
      </c>
      <c r="BL2040" s="458">
        <v>0.25884241547139952</v>
      </c>
      <c r="BM2040" s="468">
        <v>7.6473261622353235</v>
      </c>
    </row>
    <row r="2041" spans="12:65" x14ac:dyDescent="0.3">
      <c r="L2041" s="427">
        <v>23281585.317000002</v>
      </c>
      <c r="BE2041" s="477">
        <v>6158461.1721496992</v>
      </c>
      <c r="BF2041" s="458">
        <v>4.8292704681401455E-2</v>
      </c>
      <c r="BG2041" s="477">
        <v>7698258.0803801501</v>
      </c>
      <c r="BH2041" s="458">
        <v>7.4312108247607034E-2</v>
      </c>
      <c r="BI2041" s="477">
        <v>16317538.524946116</v>
      </c>
      <c r="BJ2041" s="458">
        <v>9.5396063175762214E-2</v>
      </c>
      <c r="BK2041" s="477">
        <v>91531304.885993749</v>
      </c>
      <c r="BL2041" s="458">
        <v>0.24510437958008713</v>
      </c>
      <c r="BM2041" s="468">
        <v>6.7119064590283575</v>
      </c>
    </row>
    <row r="2042" spans="12:65" x14ac:dyDescent="0.3">
      <c r="L2042" s="427">
        <v>3940767.1257000002</v>
      </c>
      <c r="BE2042" s="477">
        <v>5535995.7531662844</v>
      </c>
      <c r="BF2042" s="458">
        <v>4.3943501229512849E-2</v>
      </c>
      <c r="BG2042" s="477">
        <v>12778279.212105758</v>
      </c>
      <c r="BH2042" s="458">
        <v>7.2618831889760038E-2</v>
      </c>
      <c r="BI2042" s="477">
        <v>21131858.898493748</v>
      </c>
      <c r="BJ2042" s="458">
        <v>0.1213704798142512</v>
      </c>
      <c r="BK2042" s="477">
        <v>91937443.132041946</v>
      </c>
      <c r="BL2042" s="458">
        <v>0.25746994992905958</v>
      </c>
      <c r="BM2042" s="468">
        <v>10.175863819418661</v>
      </c>
    </row>
    <row r="2043" spans="12:65" x14ac:dyDescent="0.3">
      <c r="L2043" s="427">
        <v>9980635.1129999999</v>
      </c>
      <c r="BE2043" s="477">
        <v>5118756.2428355664</v>
      </c>
      <c r="BF2043" s="458">
        <v>5.2125717114636982E-2</v>
      </c>
      <c r="BG2043" s="477">
        <v>9788596.2026230376</v>
      </c>
      <c r="BH2043" s="458">
        <v>6.0165309975898307E-2</v>
      </c>
      <c r="BI2043" s="477">
        <v>19820786.722920932</v>
      </c>
      <c r="BJ2043" s="458">
        <v>0.10517976709684551</v>
      </c>
      <c r="BK2043" s="477">
        <v>94976790.191538841</v>
      </c>
      <c r="BL2043" s="458">
        <v>0.26969742921948137</v>
      </c>
      <c r="BM2043" s="468">
        <v>11.316074150681203</v>
      </c>
    </row>
    <row r="2044" spans="12:65" x14ac:dyDescent="0.3">
      <c r="L2044" s="427">
        <v>-5054165.2361000003</v>
      </c>
      <c r="BE2044" s="477">
        <v>2872700.6403859202</v>
      </c>
      <c r="BF2044" s="458">
        <v>6.256681349404225E-2</v>
      </c>
      <c r="BG2044" s="477">
        <v>2467632.4822349055</v>
      </c>
      <c r="BH2044" s="458">
        <v>3.5148899401979294E-2</v>
      </c>
      <c r="BI2044" s="477">
        <v>16278865.087772317</v>
      </c>
      <c r="BJ2044" s="458">
        <v>0.11001441981942439</v>
      </c>
      <c r="BK2044" s="477">
        <v>85408091.122660488</v>
      </c>
      <c r="BL2044" s="458">
        <v>0.27469289909619543</v>
      </c>
      <c r="BM2044" s="468">
        <v>2.3889477267147994</v>
      </c>
    </row>
    <row r="2045" spans="12:65" x14ac:dyDescent="0.3">
      <c r="L2045" s="427">
        <v>21669882.848299999</v>
      </c>
      <c r="BE2045" s="477">
        <v>5586895.5653832229</v>
      </c>
      <c r="BF2045" s="458">
        <v>4.544518529063013E-2</v>
      </c>
      <c r="BG2045" s="477">
        <v>6247476.9414814217</v>
      </c>
      <c r="BH2045" s="458">
        <v>6.3415582044097585E-2</v>
      </c>
      <c r="BI2045" s="477">
        <v>24078571.865709443</v>
      </c>
      <c r="BJ2045" s="458">
        <v>0.13756239962355155</v>
      </c>
      <c r="BK2045" s="477">
        <v>103617226.64017658</v>
      </c>
      <c r="BL2045" s="458">
        <v>0.28942882295162198</v>
      </c>
      <c r="BM2045" s="468">
        <v>12.828374454881903</v>
      </c>
    </row>
    <row r="2046" spans="12:65" x14ac:dyDescent="0.3">
      <c r="L2046" s="427">
        <v>3382422.8561999998</v>
      </c>
      <c r="BE2046" s="477">
        <v>2958807.626438628</v>
      </c>
      <c r="BF2046" s="458">
        <v>5.3643581424402509E-2</v>
      </c>
      <c r="BG2046" s="477">
        <v>5557024.5288235694</v>
      </c>
      <c r="BH2046" s="458">
        <v>5.8058129945238734E-2</v>
      </c>
      <c r="BI2046" s="477">
        <v>13009130.348564867</v>
      </c>
      <c r="BJ2046" s="458">
        <v>0.11321662691500345</v>
      </c>
      <c r="BK2046" s="477">
        <v>86490180.285592332</v>
      </c>
      <c r="BL2046" s="458">
        <v>0.25575390196719683</v>
      </c>
      <c r="BM2046" s="468">
        <v>8.609622258722478</v>
      </c>
    </row>
    <row r="2047" spans="12:65" x14ac:dyDescent="0.3">
      <c r="L2047" s="427">
        <v>4373814.0761000002</v>
      </c>
      <c r="BE2047" s="477">
        <v>8876936.8658313602</v>
      </c>
      <c r="BF2047" s="458">
        <v>4.3523025315510777E-2</v>
      </c>
      <c r="BG2047" s="477">
        <v>8353308.8165272744</v>
      </c>
      <c r="BH2047" s="458">
        <v>5.9836294206196738E-2</v>
      </c>
      <c r="BI2047" s="477">
        <v>18381296.977475151</v>
      </c>
      <c r="BJ2047" s="458">
        <v>9.8344999496759122E-2</v>
      </c>
      <c r="BK2047" s="477">
        <v>92557955.453719363</v>
      </c>
      <c r="BL2047" s="458">
        <v>0.268745429269589</v>
      </c>
      <c r="BM2047" s="468">
        <v>14.510858563755173</v>
      </c>
    </row>
    <row r="2048" spans="12:65" x14ac:dyDescent="0.3">
      <c r="L2048" s="427">
        <v>9877425.4343999997</v>
      </c>
      <c r="BE2048" s="477">
        <v>3035026.4149819375</v>
      </c>
      <c r="BF2048" s="458">
        <v>4.0935917171532887E-2</v>
      </c>
      <c r="BG2048" s="477">
        <v>4585572.1372958999</v>
      </c>
      <c r="BH2048" s="458">
        <v>6.2524362352658569E-2</v>
      </c>
      <c r="BI2048" s="477">
        <v>11350393.410216868</v>
      </c>
      <c r="BJ2048" s="458">
        <v>0.10752175097524486</v>
      </c>
      <c r="BK2048" s="477">
        <v>102572323.30816866</v>
      </c>
      <c r="BL2048" s="458">
        <v>0.27840599340257532</v>
      </c>
      <c r="BM2048" s="468">
        <v>9.6733050312465068</v>
      </c>
    </row>
    <row r="2049" spans="12:65" x14ac:dyDescent="0.3">
      <c r="L2049" s="427">
        <v>8719016.2528000008</v>
      </c>
      <c r="BE2049" s="477">
        <v>6993195.3979576826</v>
      </c>
      <c r="BF2049" s="458">
        <v>6.6926057297157726E-2</v>
      </c>
      <c r="BG2049" s="477">
        <v>9839851.6268952936</v>
      </c>
      <c r="BH2049" s="458">
        <v>7.6094855202323286E-2</v>
      </c>
      <c r="BI2049" s="477">
        <v>17476345.280623071</v>
      </c>
      <c r="BJ2049" s="458">
        <v>0.10524201104601327</v>
      </c>
      <c r="BK2049" s="477">
        <v>73263584.218861371</v>
      </c>
      <c r="BL2049" s="458">
        <v>0.25914395360753928</v>
      </c>
      <c r="BM2049" s="468">
        <v>7.6715592138529933</v>
      </c>
    </row>
    <row r="2050" spans="12:65" x14ac:dyDescent="0.3">
      <c r="L2050" s="427">
        <v>82126.157200000001</v>
      </c>
      <c r="BE2050" s="477">
        <v>3855240.2228119611</v>
      </c>
      <c r="BF2050" s="458">
        <v>4.897325485635573E-2</v>
      </c>
      <c r="BG2050" s="477">
        <v>5072505.8369816337</v>
      </c>
      <c r="BH2050" s="458">
        <v>6.0997520401097516E-2</v>
      </c>
      <c r="BI2050" s="477">
        <v>18076928.470439859</v>
      </c>
      <c r="BJ2050" s="458">
        <v>0.14479616517081406</v>
      </c>
      <c r="BK2050" s="477">
        <v>92797955.103498667</v>
      </c>
      <c r="BL2050" s="458">
        <v>0.24929625805247868</v>
      </c>
      <c r="BM2050" s="468">
        <v>7.6426447417519494</v>
      </c>
    </row>
    <row r="2051" spans="12:65" x14ac:dyDescent="0.3">
      <c r="L2051" s="427">
        <v>10942212.6556</v>
      </c>
      <c r="BE2051" s="477">
        <v>4716004.4340697723</v>
      </c>
      <c r="BF2051" s="458">
        <v>2.5587085295115664E-2</v>
      </c>
      <c r="BG2051" s="477">
        <v>8435512.3947376683</v>
      </c>
      <c r="BH2051" s="458">
        <v>6.4878966292718054E-2</v>
      </c>
      <c r="BI2051" s="477">
        <v>16788435.145893637</v>
      </c>
      <c r="BJ2051" s="458">
        <v>0.11947548020296805</v>
      </c>
      <c r="BK2051" s="477">
        <v>90789555.42158477</v>
      </c>
      <c r="BL2051" s="458">
        <v>0.26968479628416975</v>
      </c>
      <c r="BM2051" s="468">
        <v>7.3591503228908186</v>
      </c>
    </row>
    <row r="2052" spans="12:65" x14ac:dyDescent="0.3">
      <c r="L2052" s="427">
        <v>13243738.034</v>
      </c>
      <c r="BE2052" s="477">
        <v>8684889.0062025692</v>
      </c>
      <c r="BF2052" s="458">
        <v>4.9182416576881938E-2</v>
      </c>
      <c r="BG2052" s="477">
        <v>13871005.642901488</v>
      </c>
      <c r="BH2052" s="458">
        <v>6.3166353056814284E-2</v>
      </c>
      <c r="BI2052" s="477">
        <v>20974610.684217386</v>
      </c>
      <c r="BJ2052" s="458">
        <v>0.10913139536719463</v>
      </c>
      <c r="BK2052" s="477">
        <v>76839874.488815516</v>
      </c>
      <c r="BL2052" s="458">
        <v>0.27676051253611988</v>
      </c>
      <c r="BM2052" s="468">
        <v>15.025046251457459</v>
      </c>
    </row>
    <row r="2053" spans="12:65" x14ac:dyDescent="0.3">
      <c r="L2053" s="427">
        <v>1179437.4053</v>
      </c>
      <c r="BE2053" s="477">
        <v>14008802.564628528</v>
      </c>
      <c r="BF2053" s="458">
        <v>4.7021755750725536E-2</v>
      </c>
      <c r="BG2053" s="477">
        <v>8662677.2342909873</v>
      </c>
      <c r="BH2053" s="458">
        <v>6.0439282869477307E-2</v>
      </c>
      <c r="BI2053" s="477">
        <v>22054178.864961237</v>
      </c>
      <c r="BJ2053" s="458">
        <v>0.10713192142689998</v>
      </c>
      <c r="BK2053" s="477">
        <v>89021637.092058867</v>
      </c>
      <c r="BL2053" s="458">
        <v>0.27072660574946661</v>
      </c>
      <c r="BM2053" s="468">
        <v>10.324243654722711</v>
      </c>
    </row>
    <row r="2054" spans="12:65" x14ac:dyDescent="0.3">
      <c r="L2054" s="427">
        <v>11119601.334100001</v>
      </c>
      <c r="BE2054" s="477">
        <v>4696990.4093163665</v>
      </c>
      <c r="BF2054" s="458">
        <v>7.7923322993647126E-2</v>
      </c>
      <c r="BG2054" s="477">
        <v>8763268.2241166066</v>
      </c>
      <c r="BH2054" s="458">
        <v>8.0373050952666114E-2</v>
      </c>
      <c r="BI2054" s="477">
        <v>23878939.937456433</v>
      </c>
      <c r="BJ2054" s="458">
        <v>8.3984774707278609E-2</v>
      </c>
      <c r="BK2054" s="477">
        <v>74415380.873281434</v>
      </c>
      <c r="BL2054" s="458">
        <v>0.26683435995220872</v>
      </c>
      <c r="BM2054" s="468">
        <v>2.9429729696200351</v>
      </c>
    </row>
    <row r="2055" spans="12:65" x14ac:dyDescent="0.3">
      <c r="L2055" s="427">
        <v>-314669.13170000003</v>
      </c>
      <c r="BE2055" s="477">
        <v>3733681.4439623985</v>
      </c>
      <c r="BF2055" s="458">
        <v>3.8935994843972033E-2</v>
      </c>
      <c r="BG2055" s="477">
        <v>10932570.008837322</v>
      </c>
      <c r="BH2055" s="458">
        <v>7.4845508402986205E-2</v>
      </c>
      <c r="BI2055" s="477">
        <v>24542287.368879534</v>
      </c>
      <c r="BJ2055" s="458">
        <v>0.16492591691095204</v>
      </c>
      <c r="BK2055" s="477">
        <v>91644596.370797157</v>
      </c>
      <c r="BL2055" s="458">
        <v>0.27291543240356275</v>
      </c>
      <c r="BM2055" s="468">
        <v>3.0525584282154981</v>
      </c>
    </row>
    <row r="2056" spans="12:65" x14ac:dyDescent="0.3">
      <c r="L2056" s="427">
        <v>10393370.1961</v>
      </c>
      <c r="BE2056" s="477">
        <v>5027115.814662437</v>
      </c>
      <c r="BF2056" s="458">
        <v>3.6806283159763309E-2</v>
      </c>
      <c r="BG2056" s="477">
        <v>13483481.875717469</v>
      </c>
      <c r="BH2056" s="458">
        <v>5.2869800927471511E-2</v>
      </c>
      <c r="BI2056" s="477">
        <v>23395893.162079223</v>
      </c>
      <c r="BJ2056" s="458">
        <v>0.12547127313470918</v>
      </c>
      <c r="BK2056" s="477">
        <v>75314758.406919613</v>
      </c>
      <c r="BL2056" s="458">
        <v>0.26141528169621586</v>
      </c>
      <c r="BM2056" s="468">
        <v>10.278691208468164</v>
      </c>
    </row>
    <row r="2057" spans="12:65" x14ac:dyDescent="0.3">
      <c r="L2057" s="427">
        <v>17991236.895300001</v>
      </c>
      <c r="BE2057" s="477">
        <v>6926443.398421891</v>
      </c>
      <c r="BF2057" s="458">
        <v>7.6012387067545983E-2</v>
      </c>
      <c r="BG2057" s="477">
        <v>10788802.947583145</v>
      </c>
      <c r="BH2057" s="458">
        <v>5.9398799172217576E-2</v>
      </c>
      <c r="BI2057" s="477">
        <v>11675971.77377405</v>
      </c>
      <c r="BJ2057" s="458">
        <v>0.109548672426792</v>
      </c>
      <c r="BK2057" s="477">
        <v>106118003.62430654</v>
      </c>
      <c r="BL2057" s="458">
        <v>0.27057919369265471</v>
      </c>
      <c r="BM2057" s="468">
        <v>15.787886455218139</v>
      </c>
    </row>
    <row r="2058" spans="12:65" x14ac:dyDescent="0.3">
      <c r="L2058" s="427">
        <v>9961259.6371999998</v>
      </c>
      <c r="BE2058" s="477">
        <v>3650913.8908427218</v>
      </c>
      <c r="BF2058" s="458">
        <v>3.2712045442971016E-2</v>
      </c>
      <c r="BG2058" s="477">
        <v>4385428.2324775318</v>
      </c>
      <c r="BH2058" s="458">
        <v>6.7230616462947035E-2</v>
      </c>
      <c r="BI2058" s="477">
        <v>22249741.484393071</v>
      </c>
      <c r="BJ2058" s="458">
        <v>0.12604116643581009</v>
      </c>
      <c r="BK2058" s="477">
        <v>88265761.472214401</v>
      </c>
      <c r="BL2058" s="458">
        <v>0.24773257597192888</v>
      </c>
      <c r="BM2058" s="468">
        <v>6.5050246389775701</v>
      </c>
    </row>
    <row r="2059" spans="12:65" x14ac:dyDescent="0.3">
      <c r="L2059" s="427">
        <v>17738015.635200001</v>
      </c>
      <c r="BE2059" s="477">
        <v>6245614.8114077318</v>
      </c>
      <c r="BF2059" s="458">
        <v>5.6073143944480597E-2</v>
      </c>
      <c r="BG2059" s="477">
        <v>1890454.6322559717</v>
      </c>
      <c r="BH2059" s="458">
        <v>5.0679119842063525E-2</v>
      </c>
      <c r="BI2059" s="477">
        <v>26657057.927018654</v>
      </c>
      <c r="BJ2059" s="458">
        <v>0.11026179029247762</v>
      </c>
      <c r="BK2059" s="477">
        <v>73443261.932346895</v>
      </c>
      <c r="BL2059" s="458">
        <v>0.26538003175257741</v>
      </c>
      <c r="BM2059" s="468">
        <v>9.6549726428913658</v>
      </c>
    </row>
    <row r="2060" spans="12:65" x14ac:dyDescent="0.3">
      <c r="L2060" s="427">
        <v>-13013709.0666</v>
      </c>
      <c r="BE2060" s="477">
        <v>2351683.9514847235</v>
      </c>
      <c r="BF2060" s="458">
        <v>4.4715039558246739E-2</v>
      </c>
      <c r="BG2060" s="477">
        <v>6053142.2665164936</v>
      </c>
      <c r="BH2060" s="458">
        <v>6.6297632112819915E-2</v>
      </c>
      <c r="BI2060" s="477">
        <v>14465482.735405605</v>
      </c>
      <c r="BJ2060" s="458">
        <v>0.11533658215774301</v>
      </c>
      <c r="BK2060" s="477">
        <v>87101937.483048201</v>
      </c>
      <c r="BL2060" s="458">
        <v>0.26572155601583947</v>
      </c>
      <c r="BM2060" s="468">
        <v>1.2335237313517338</v>
      </c>
    </row>
    <row r="2061" spans="12:65" x14ac:dyDescent="0.3">
      <c r="L2061" s="427">
        <v>2985718.9871</v>
      </c>
      <c r="BE2061" s="477">
        <v>7818545.0750738271</v>
      </c>
      <c r="BF2061" s="458">
        <v>2.7778178922724939E-2</v>
      </c>
      <c r="BG2061" s="477">
        <v>8636906.3510713037</v>
      </c>
      <c r="BH2061" s="458">
        <v>6.1797621392003732E-2</v>
      </c>
      <c r="BI2061" s="477">
        <v>14958412.297266683</v>
      </c>
      <c r="BJ2061" s="458">
        <v>0.10352024949634675</v>
      </c>
      <c r="BK2061" s="477">
        <v>87767095.324925914</v>
      </c>
      <c r="BL2061" s="458">
        <v>0.26718212865018032</v>
      </c>
      <c r="BM2061" s="468">
        <v>11.16752174824315</v>
      </c>
    </row>
    <row r="2062" spans="12:65" x14ac:dyDescent="0.3">
      <c r="L2062" s="427">
        <v>4031639.4312</v>
      </c>
      <c r="BE2062" s="477">
        <v>2799421.9595197118</v>
      </c>
      <c r="BF2062" s="458">
        <v>3.5807194224896977E-2</v>
      </c>
      <c r="BG2062" s="477">
        <v>10425686.661446547</v>
      </c>
      <c r="BH2062" s="458">
        <v>4.4409817775866944E-2</v>
      </c>
      <c r="BI2062" s="477">
        <v>22361207.185760561</v>
      </c>
      <c r="BJ2062" s="458">
        <v>0.12951018446322293</v>
      </c>
      <c r="BK2062" s="477">
        <v>91700916.649923906</v>
      </c>
      <c r="BL2062" s="458">
        <v>0.27545500900292486</v>
      </c>
      <c r="BM2062" s="468">
        <v>5.7728279618981393</v>
      </c>
    </row>
    <row r="2063" spans="12:65" x14ac:dyDescent="0.3">
      <c r="L2063" s="427">
        <v>-6893082.9367000004</v>
      </c>
      <c r="BE2063" s="477">
        <v>6065082.5607169364</v>
      </c>
      <c r="BF2063" s="458">
        <v>2.8903614027055546E-2</v>
      </c>
      <c r="BG2063" s="477">
        <v>5609595.669124689</v>
      </c>
      <c r="BH2063" s="458">
        <v>6.0528701817563313E-2</v>
      </c>
      <c r="BI2063" s="477">
        <v>16164637.716988649</v>
      </c>
      <c r="BJ2063" s="458">
        <v>8.5674831367329896E-2</v>
      </c>
      <c r="BK2063" s="477">
        <v>89102113.619268939</v>
      </c>
      <c r="BL2063" s="458">
        <v>0.26188434895331492</v>
      </c>
      <c r="BM2063" s="468">
        <v>5.3362736610914698</v>
      </c>
    </row>
    <row r="2064" spans="12:65" x14ac:dyDescent="0.3">
      <c r="L2064" s="427">
        <v>5733005.3191999998</v>
      </c>
      <c r="BE2064" s="477">
        <v>5411422.1833482217</v>
      </c>
      <c r="BF2064" s="458">
        <v>0.13031056202624769</v>
      </c>
      <c r="BG2064" s="477">
        <v>1996671.1382095497</v>
      </c>
      <c r="BH2064" s="458">
        <v>6.2181755137411976E-2</v>
      </c>
      <c r="BI2064" s="477">
        <v>23729083.877441615</v>
      </c>
      <c r="BJ2064" s="458">
        <v>0.13476946709930004</v>
      </c>
      <c r="BK2064" s="477">
        <v>78890087.367467314</v>
      </c>
      <c r="BL2064" s="458">
        <v>0.27287755145271508</v>
      </c>
      <c r="BM2064" s="468">
        <v>13.502966722225715</v>
      </c>
    </row>
    <row r="2065" spans="12:65" x14ac:dyDescent="0.3">
      <c r="L2065" s="427">
        <v>3051913.4139999999</v>
      </c>
      <c r="BE2065" s="477">
        <v>5601052.3543794835</v>
      </c>
      <c r="BF2065" s="458">
        <v>3.8354314160198077E-2</v>
      </c>
      <c r="BG2065" s="477">
        <v>6925979.9405309446</v>
      </c>
      <c r="BH2065" s="458">
        <v>7.9634971400446286E-2</v>
      </c>
      <c r="BI2065" s="477">
        <v>14862390.257285591</v>
      </c>
      <c r="BJ2065" s="458">
        <v>0.11849038166879655</v>
      </c>
      <c r="BK2065" s="477">
        <v>91977438.208420902</v>
      </c>
      <c r="BL2065" s="458">
        <v>0.25727999496017917</v>
      </c>
      <c r="BM2065" s="468">
        <v>4.1089481527715446</v>
      </c>
    </row>
    <row r="2066" spans="12:65" x14ac:dyDescent="0.3">
      <c r="L2066" s="427">
        <v>5966214.4071000004</v>
      </c>
      <c r="BE2066" s="477">
        <v>3575251.6131287212</v>
      </c>
      <c r="BF2066" s="458">
        <v>9.7797275830362906E-2</v>
      </c>
      <c r="BG2066" s="477">
        <v>10717071.442521878</v>
      </c>
      <c r="BH2066" s="458">
        <v>7.1287722484028482E-2</v>
      </c>
      <c r="BI2066" s="477">
        <v>13388319.044826036</v>
      </c>
      <c r="BJ2066" s="458">
        <v>0.11242921882472379</v>
      </c>
      <c r="BK2066" s="477">
        <v>106062815.86480485</v>
      </c>
      <c r="BL2066" s="458">
        <v>0.26817352718721854</v>
      </c>
      <c r="BM2066" s="468">
        <v>11.908395341419038</v>
      </c>
    </row>
    <row r="2067" spans="12:65" x14ac:dyDescent="0.3">
      <c r="L2067" s="427">
        <v>18106475.147599999</v>
      </c>
      <c r="BE2067" s="477">
        <v>2786088.9853155413</v>
      </c>
      <c r="BF2067" s="458">
        <v>3.0469879394416477E-2</v>
      </c>
      <c r="BG2067" s="477">
        <v>9014153.8953113444</v>
      </c>
      <c r="BH2067" s="458">
        <v>8.8579175153614909E-2</v>
      </c>
      <c r="BI2067" s="477">
        <v>19273367.198195796</v>
      </c>
      <c r="BJ2067" s="458">
        <v>8.2994431281418146E-2</v>
      </c>
      <c r="BK2067" s="477">
        <v>80767391.194612965</v>
      </c>
      <c r="BL2067" s="458">
        <v>0.25664296695566335</v>
      </c>
      <c r="BM2067" s="468">
        <v>8.8194486004102401</v>
      </c>
    </row>
    <row r="2068" spans="12:65" x14ac:dyDescent="0.3">
      <c r="L2068" s="427">
        <v>16340701.667400001</v>
      </c>
      <c r="BE2068" s="477">
        <v>3186558.9625691292</v>
      </c>
      <c r="BF2068" s="458">
        <v>4.3125102291295514E-2</v>
      </c>
      <c r="BG2068" s="477">
        <v>11703407.504160365</v>
      </c>
      <c r="BH2068" s="458">
        <v>6.2864881534707484E-2</v>
      </c>
      <c r="BI2068" s="477">
        <v>9292450.2747929189</v>
      </c>
      <c r="BJ2068" s="458">
        <v>0.13688254706302327</v>
      </c>
      <c r="BK2068" s="477">
        <v>102224687.12810667</v>
      </c>
      <c r="BL2068" s="458">
        <v>0.27276167635522008</v>
      </c>
      <c r="BM2068" s="468">
        <v>13.391810518156472</v>
      </c>
    </row>
    <row r="2069" spans="12:65" x14ac:dyDescent="0.3">
      <c r="L2069" s="427">
        <v>15210369.407199999</v>
      </c>
      <c r="BE2069" s="477">
        <v>2887126.0915198554</v>
      </c>
      <c r="BF2069" s="458">
        <v>3.9551467997484879E-2</v>
      </c>
      <c r="BG2069" s="477">
        <v>11827609.326460145</v>
      </c>
      <c r="BH2069" s="458">
        <v>6.5154202483086232E-2</v>
      </c>
      <c r="BI2069" s="477">
        <v>8885841.3493469246</v>
      </c>
      <c r="BJ2069" s="458">
        <v>9.1771237181876852E-2</v>
      </c>
      <c r="BK2069" s="477">
        <v>96296466.606526405</v>
      </c>
      <c r="BL2069" s="458">
        <v>0.25435423263488466</v>
      </c>
      <c r="BM2069" s="468">
        <v>6.3463129022885454</v>
      </c>
    </row>
    <row r="2070" spans="12:65" x14ac:dyDescent="0.3">
      <c r="L2070" s="427">
        <v>21794154.346999999</v>
      </c>
      <c r="BE2070" s="477">
        <v>6784005.5853756526</v>
      </c>
      <c r="BF2070" s="458">
        <v>4.5844944445595281E-2</v>
      </c>
      <c r="BG2070" s="477">
        <v>7180227.9678147472</v>
      </c>
      <c r="BH2070" s="458">
        <v>6.2540946786521001E-2</v>
      </c>
      <c r="BI2070" s="477">
        <v>10036797.881769124</v>
      </c>
      <c r="BJ2070" s="458">
        <v>0.10458917838420079</v>
      </c>
      <c r="BK2070" s="477">
        <v>98115241.99349235</v>
      </c>
      <c r="BL2070" s="458">
        <v>0.28813198215879088</v>
      </c>
      <c r="BM2070" s="468">
        <v>7.6926339485550699</v>
      </c>
    </row>
    <row r="2071" spans="12:65" x14ac:dyDescent="0.3">
      <c r="L2071" s="427">
        <v>17849508.830400001</v>
      </c>
      <c r="BE2071" s="477">
        <v>6432090.1538566621</v>
      </c>
      <c r="BF2071" s="458">
        <v>3.7435283457921464E-2</v>
      </c>
      <c r="BG2071" s="477">
        <v>13324566.326759249</v>
      </c>
      <c r="BH2071" s="458">
        <v>5.8576459063955033E-2</v>
      </c>
      <c r="BI2071" s="477">
        <v>22695486.570231501</v>
      </c>
      <c r="BJ2071" s="458">
        <v>0.11025350245358267</v>
      </c>
      <c r="BK2071" s="477">
        <v>88851100.044476822</v>
      </c>
      <c r="BL2071" s="458">
        <v>0.25341220224991323</v>
      </c>
      <c r="BM2071" s="468">
        <v>6.3183380192263474</v>
      </c>
    </row>
    <row r="2072" spans="12:65" x14ac:dyDescent="0.3">
      <c r="L2072" s="427">
        <v>7322020.4227999998</v>
      </c>
      <c r="BE2072" s="477">
        <v>9647446.0710124671</v>
      </c>
      <c r="BF2072" s="458">
        <v>1.7392573785260712E-2</v>
      </c>
      <c r="BG2072" s="477">
        <v>9530934.9541579448</v>
      </c>
      <c r="BH2072" s="458">
        <v>3.7151216920769281E-2</v>
      </c>
      <c r="BI2072" s="477">
        <v>27782826.674247269</v>
      </c>
      <c r="BJ2072" s="458">
        <v>0.10284521738075236</v>
      </c>
      <c r="BK2072" s="477">
        <v>86742994.88993533</v>
      </c>
      <c r="BL2072" s="458">
        <v>0.25896056455020044</v>
      </c>
      <c r="BM2072" s="468">
        <v>13.973128489838794</v>
      </c>
    </row>
    <row r="2073" spans="12:65" x14ac:dyDescent="0.3">
      <c r="L2073" s="427">
        <v>11370895.720000001</v>
      </c>
      <c r="BE2073" s="477">
        <v>6022631.9315486494</v>
      </c>
      <c r="BF2073" s="458">
        <v>5.2920450575669076E-2</v>
      </c>
      <c r="BG2073" s="477">
        <v>3199471.3021995961</v>
      </c>
      <c r="BH2073" s="458">
        <v>8.2207583735716128E-2</v>
      </c>
      <c r="BI2073" s="477">
        <v>21269941.264052894</v>
      </c>
      <c r="BJ2073" s="458">
        <v>9.8784609746459306E-2</v>
      </c>
      <c r="BK2073" s="477">
        <v>83888361.614767209</v>
      </c>
      <c r="BL2073" s="458">
        <v>0.28259377300276589</v>
      </c>
      <c r="BM2073" s="468">
        <v>7.4000541497599377</v>
      </c>
    </row>
    <row r="2074" spans="12:65" x14ac:dyDescent="0.3">
      <c r="L2074" s="427">
        <v>9680334.7171</v>
      </c>
      <c r="BE2074" s="477">
        <v>4634578.6025813753</v>
      </c>
      <c r="BF2074" s="458">
        <v>2.9543653143150772E-2</v>
      </c>
      <c r="BG2074" s="477">
        <v>2580866.9999763458</v>
      </c>
      <c r="BH2074" s="458">
        <v>4.3794877578827718E-2</v>
      </c>
      <c r="BI2074" s="477">
        <v>17116411.157813169</v>
      </c>
      <c r="BJ2074" s="458">
        <v>0.13381984406801939</v>
      </c>
      <c r="BK2074" s="477">
        <v>102654598.15140076</v>
      </c>
      <c r="BL2074" s="458">
        <v>0.25175547863076719</v>
      </c>
      <c r="BM2074" s="468">
        <v>-0.34147559946563888</v>
      </c>
    </row>
    <row r="2075" spans="12:65" x14ac:dyDescent="0.3">
      <c r="L2075" s="427">
        <v>13619463.087300001</v>
      </c>
      <c r="BE2075" s="477">
        <v>6628653.9593522148</v>
      </c>
      <c r="BF2075" s="458">
        <v>3.7653226648689753E-2</v>
      </c>
      <c r="BG2075" s="477">
        <v>7183386.54545506</v>
      </c>
      <c r="BH2075" s="458">
        <v>6.3426567941686995E-2</v>
      </c>
      <c r="BI2075" s="477">
        <v>24774058.745058194</v>
      </c>
      <c r="BJ2075" s="458">
        <v>0.10958491899638312</v>
      </c>
      <c r="BK2075" s="477">
        <v>80359319.964066491</v>
      </c>
      <c r="BL2075" s="458">
        <v>0.26003694866442406</v>
      </c>
      <c r="BM2075" s="468">
        <v>5.3856879532581718</v>
      </c>
    </row>
    <row r="2076" spans="12:65" x14ac:dyDescent="0.3">
      <c r="L2076" s="427">
        <v>10675533.8851</v>
      </c>
      <c r="BE2076" s="477">
        <v>3626343.3749560886</v>
      </c>
      <c r="BF2076" s="458">
        <v>4.0112637326843226E-2</v>
      </c>
      <c r="BG2076" s="477">
        <v>12863339.285812344</v>
      </c>
      <c r="BH2076" s="458">
        <v>3.5029129805218773E-2</v>
      </c>
      <c r="BI2076" s="477">
        <v>15759253.734496029</v>
      </c>
      <c r="BJ2076" s="458">
        <v>9.9171955487960428E-2</v>
      </c>
      <c r="BK2076" s="477">
        <v>87830167.204839289</v>
      </c>
      <c r="BL2076" s="458">
        <v>0.25805879454762271</v>
      </c>
      <c r="BM2076" s="468">
        <v>9.4790165224404426</v>
      </c>
    </row>
    <row r="2077" spans="12:65" x14ac:dyDescent="0.3">
      <c r="L2077" s="427">
        <v>15769760.657299999</v>
      </c>
      <c r="BE2077" s="477">
        <v>2535281.0105418209</v>
      </c>
      <c r="BF2077" s="458">
        <v>3.8437315265376526E-2</v>
      </c>
      <c r="BG2077" s="477">
        <v>10600442.334990192</v>
      </c>
      <c r="BH2077" s="458">
        <v>8.119061701201824E-2</v>
      </c>
      <c r="BI2077" s="477">
        <v>12499106.61229738</v>
      </c>
      <c r="BJ2077" s="458">
        <v>0.11809027761015423</v>
      </c>
      <c r="BK2077" s="477">
        <v>89343521.761117905</v>
      </c>
      <c r="BL2077" s="458">
        <v>0.26310764134803333</v>
      </c>
      <c r="BM2077" s="468">
        <v>10.674215851541524</v>
      </c>
    </row>
    <row r="2078" spans="12:65" x14ac:dyDescent="0.3">
      <c r="L2078" s="427">
        <v>15208214.8279</v>
      </c>
      <c r="BE2078" s="477">
        <v>9570035.8350300901</v>
      </c>
      <c r="BF2078" s="458">
        <v>3.1065199797269072E-2</v>
      </c>
      <c r="BG2078" s="477">
        <v>10468297.430467756</v>
      </c>
      <c r="BH2078" s="458">
        <v>8.3316961593385308E-2</v>
      </c>
      <c r="BI2078" s="477">
        <v>19873742.613271907</v>
      </c>
      <c r="BJ2078" s="458">
        <v>0.10250701608458734</v>
      </c>
      <c r="BK2078" s="477">
        <v>89376009.683355257</v>
      </c>
      <c r="BL2078" s="458">
        <v>0.28420355091750649</v>
      </c>
      <c r="BM2078" s="468">
        <v>11.241233786903459</v>
      </c>
    </row>
    <row r="2079" spans="12:65" x14ac:dyDescent="0.3">
      <c r="L2079" s="427">
        <v>19338687.499499999</v>
      </c>
      <c r="BE2079" s="477">
        <v>5303728.8925433215</v>
      </c>
      <c r="BF2079" s="458">
        <v>5.54443341205757E-2</v>
      </c>
      <c r="BG2079" s="477">
        <v>4364482.8522888217</v>
      </c>
      <c r="BH2079" s="458">
        <v>8.1700819974229733E-2</v>
      </c>
      <c r="BI2079" s="477">
        <v>16510908.304679532</v>
      </c>
      <c r="BJ2079" s="458">
        <v>0.11275641222246513</v>
      </c>
      <c r="BK2079" s="477">
        <v>94788565.14589496</v>
      </c>
      <c r="BL2079" s="458">
        <v>0.28579987415531471</v>
      </c>
      <c r="BM2079" s="468">
        <v>11.155608562297335</v>
      </c>
    </row>
    <row r="2080" spans="12:65" x14ac:dyDescent="0.3">
      <c r="L2080" s="427">
        <v>27617496.937899999</v>
      </c>
      <c r="BE2080" s="477">
        <v>7085817.5760682542</v>
      </c>
      <c r="BF2080" s="458">
        <v>5.7923013952643876E-2</v>
      </c>
      <c r="BG2080" s="477">
        <v>7832222.2967833644</v>
      </c>
      <c r="BH2080" s="458">
        <v>4.8436850754978833E-2</v>
      </c>
      <c r="BI2080" s="477">
        <v>24612402.430517029</v>
      </c>
      <c r="BJ2080" s="458">
        <v>0.11583155059368844</v>
      </c>
      <c r="BK2080" s="477">
        <v>97383929.572940633</v>
      </c>
      <c r="BL2080" s="458">
        <v>0.28793803193345613</v>
      </c>
      <c r="BM2080" s="468">
        <v>10.144461918342467</v>
      </c>
    </row>
    <row r="2081" spans="12:65" x14ac:dyDescent="0.3">
      <c r="L2081" s="427">
        <v>323541.07370000001</v>
      </c>
      <c r="BE2081" s="477">
        <v>5492794.7457155697</v>
      </c>
      <c r="BF2081" s="458">
        <v>3.6373812272018968E-2</v>
      </c>
      <c r="BG2081" s="477">
        <v>12436983.475904109</v>
      </c>
      <c r="BH2081" s="458">
        <v>6.7893989615156247E-2</v>
      </c>
      <c r="BI2081" s="477">
        <v>12085525.859792745</v>
      </c>
      <c r="BJ2081" s="458">
        <v>0.11771769014679867</v>
      </c>
      <c r="BK2081" s="477">
        <v>106270393.42398469</v>
      </c>
      <c r="BL2081" s="458">
        <v>0.29308970276478541</v>
      </c>
      <c r="BM2081" s="468">
        <v>5.2903451197681903</v>
      </c>
    </row>
    <row r="2082" spans="12:65" x14ac:dyDescent="0.3">
      <c r="L2082" s="427">
        <v>14056492.729</v>
      </c>
      <c r="BE2082" s="477">
        <v>5336285.1091017006</v>
      </c>
      <c r="BF2082" s="458">
        <v>3.8758739202118031E-2</v>
      </c>
      <c r="BG2082" s="477">
        <v>2355174.968621362</v>
      </c>
      <c r="BH2082" s="458">
        <v>5.5118714033885574E-2</v>
      </c>
      <c r="BI2082" s="477">
        <v>16121702.797025995</v>
      </c>
      <c r="BJ2082" s="458">
        <v>9.7820262457773755E-2</v>
      </c>
      <c r="BK2082" s="477">
        <v>110026935.56652313</v>
      </c>
      <c r="BL2082" s="458">
        <v>0.25708485132541115</v>
      </c>
      <c r="BM2082" s="468">
        <v>6.7010453747478422</v>
      </c>
    </row>
    <row r="2083" spans="12:65" x14ac:dyDescent="0.3">
      <c r="L2083" s="427">
        <v>3397744.4109999998</v>
      </c>
      <c r="BE2083" s="477">
        <v>7452935.3636468919</v>
      </c>
      <c r="BF2083" s="458">
        <v>5.6682806272529973E-2</v>
      </c>
      <c r="BG2083" s="477">
        <v>5628182.269432405</v>
      </c>
      <c r="BH2083" s="458">
        <v>6.647944367726133E-2</v>
      </c>
      <c r="BI2083" s="477">
        <v>10420515.339789778</v>
      </c>
      <c r="BJ2083" s="458">
        <v>0.10766718731051372</v>
      </c>
      <c r="BK2083" s="477">
        <v>106055610.94303794</v>
      </c>
      <c r="BL2083" s="458">
        <v>0.26666314393463053</v>
      </c>
      <c r="BM2083" s="468">
        <v>4.1879008878793309</v>
      </c>
    </row>
    <row r="2084" spans="12:65" x14ac:dyDescent="0.3">
      <c r="L2084" s="427">
        <v>29724164.824999999</v>
      </c>
      <c r="BE2084" s="477">
        <v>4559515.4324265542</v>
      </c>
      <c r="BF2084" s="458">
        <v>3.1054740938376124E-2</v>
      </c>
      <c r="BG2084" s="477">
        <v>8778423.8183258772</v>
      </c>
      <c r="BH2084" s="458">
        <v>2.1405833377363015E-2</v>
      </c>
      <c r="BI2084" s="477">
        <v>23931775.042943899</v>
      </c>
      <c r="BJ2084" s="458">
        <v>0.10709997237210844</v>
      </c>
      <c r="BK2084" s="477">
        <v>90107357.207140565</v>
      </c>
      <c r="BL2084" s="458">
        <v>0.27652026675437669</v>
      </c>
      <c r="BM2084" s="468">
        <v>7.0144383479179897</v>
      </c>
    </row>
    <row r="2085" spans="12:65" x14ac:dyDescent="0.3">
      <c r="L2085" s="427">
        <v>13056918.567199999</v>
      </c>
      <c r="BE2085" s="477">
        <v>2587937.5778030283</v>
      </c>
      <c r="BF2085" s="458">
        <v>4.3845722560067468E-2</v>
      </c>
      <c r="BG2085" s="477">
        <v>6213567.0156371305</v>
      </c>
      <c r="BH2085" s="458">
        <v>3.2528263188282169E-2</v>
      </c>
      <c r="BI2085" s="477">
        <v>22328997.439489271</v>
      </c>
      <c r="BJ2085" s="458">
        <v>0.10399844065249431</v>
      </c>
      <c r="BK2085" s="477">
        <v>97560155.482437491</v>
      </c>
      <c r="BL2085" s="458">
        <v>0.25411462522959449</v>
      </c>
      <c r="BM2085" s="468">
        <v>8.616622353354435</v>
      </c>
    </row>
    <row r="2086" spans="12:65" x14ac:dyDescent="0.3">
      <c r="L2086" s="427">
        <v>12366856.709000001</v>
      </c>
      <c r="BE2086" s="477">
        <v>8617892.060454119</v>
      </c>
      <c r="BF2086" s="458">
        <v>4.0075118397983056E-2</v>
      </c>
      <c r="BG2086" s="477">
        <v>10705330.876626056</v>
      </c>
      <c r="BH2086" s="458">
        <v>7.9510215728813893E-2</v>
      </c>
      <c r="BI2086" s="477">
        <v>16376887.757008793</v>
      </c>
      <c r="BJ2086" s="458">
        <v>0.10768229807551899</v>
      </c>
      <c r="BK2086" s="477">
        <v>97836178.031633228</v>
      </c>
      <c r="BL2086" s="458">
        <v>0.27750778357193817</v>
      </c>
      <c r="BM2086" s="468">
        <v>11.366793681300006</v>
      </c>
    </row>
    <row r="2087" spans="12:65" x14ac:dyDescent="0.3">
      <c r="L2087" s="427">
        <v>12576714.8795</v>
      </c>
      <c r="BE2087" s="477">
        <v>5862181.4993858701</v>
      </c>
      <c r="BF2087" s="458">
        <v>3.074358589092574E-2</v>
      </c>
      <c r="BG2087" s="477">
        <v>6716732.0585442651</v>
      </c>
      <c r="BH2087" s="458">
        <v>8.7132624537018977E-2</v>
      </c>
      <c r="BI2087" s="477">
        <v>9944272.2574536875</v>
      </c>
      <c r="BJ2087" s="458">
        <v>0.12574458663607535</v>
      </c>
      <c r="BK2087" s="477">
        <v>88344970.274665087</v>
      </c>
      <c r="BL2087" s="458">
        <v>0.27330647829743482</v>
      </c>
      <c r="BM2087" s="468">
        <v>-1.948360081965296</v>
      </c>
    </row>
    <row r="2088" spans="12:65" x14ac:dyDescent="0.3">
      <c r="L2088" s="427">
        <v>12014050.6743</v>
      </c>
      <c r="BE2088" s="477">
        <v>6053961.3154551052</v>
      </c>
      <c r="BF2088" s="458">
        <v>4.2246608584126655E-2</v>
      </c>
      <c r="BG2088" s="477">
        <v>-927254.44499680388</v>
      </c>
      <c r="BH2088" s="458">
        <v>8.6450240252273991E-2</v>
      </c>
      <c r="BI2088" s="477">
        <v>9207390.4543232322</v>
      </c>
      <c r="BJ2088" s="458">
        <v>0.10412458646982814</v>
      </c>
      <c r="BK2088" s="477">
        <v>73502964.62260443</v>
      </c>
      <c r="BL2088" s="458">
        <v>0.26929776152854434</v>
      </c>
      <c r="BM2088" s="468">
        <v>5.8133472639002797</v>
      </c>
    </row>
    <row r="2089" spans="12:65" x14ac:dyDescent="0.3">
      <c r="L2089" s="427">
        <v>-1106452.2448</v>
      </c>
      <c r="BE2089" s="477">
        <v>7587971.2903732378</v>
      </c>
      <c r="BF2089" s="458">
        <v>4.7559260440645179E-2</v>
      </c>
      <c r="BG2089" s="477">
        <v>5796997.8595902259</v>
      </c>
      <c r="BH2089" s="458">
        <v>5.3836993197309058E-2</v>
      </c>
      <c r="BI2089" s="477">
        <v>16682902.471142022</v>
      </c>
      <c r="BJ2089" s="458">
        <v>8.4440479102026345E-2</v>
      </c>
      <c r="BK2089" s="477">
        <v>83183828.463976383</v>
      </c>
      <c r="BL2089" s="458">
        <v>0.26960246337770077</v>
      </c>
      <c r="BM2089" s="468">
        <v>4.8505700003122829</v>
      </c>
    </row>
    <row r="2090" spans="12:65" x14ac:dyDescent="0.3">
      <c r="L2090" s="427">
        <v>9769361.7696000002</v>
      </c>
      <c r="BE2090" s="477">
        <v>7498810.2404442495</v>
      </c>
      <c r="BF2090" s="458">
        <v>3.5171607503818203E-2</v>
      </c>
      <c r="BG2090" s="477">
        <v>8044863.732306988</v>
      </c>
      <c r="BH2090" s="458">
        <v>2.9594959323153924E-2</v>
      </c>
      <c r="BI2090" s="477">
        <v>15969124.213340823</v>
      </c>
      <c r="BJ2090" s="458">
        <v>0.12048337176321366</v>
      </c>
      <c r="BK2090" s="477">
        <v>92074477.390473098</v>
      </c>
      <c r="BL2090" s="458">
        <v>0.26103929697611217</v>
      </c>
      <c r="BM2090" s="468">
        <v>10.256992103944208</v>
      </c>
    </row>
    <row r="2091" spans="12:65" x14ac:dyDescent="0.3">
      <c r="L2091" s="427">
        <v>-11270494.986099999</v>
      </c>
      <c r="BE2091" s="477">
        <v>3910930.5815189732</v>
      </c>
      <c r="BF2091" s="458">
        <v>2.1382981781831845E-2</v>
      </c>
      <c r="BG2091" s="477">
        <v>13097668.015881222</v>
      </c>
      <c r="BH2091" s="458">
        <v>8.0547246078186641E-2</v>
      </c>
      <c r="BI2091" s="477">
        <v>12581895.334053895</v>
      </c>
      <c r="BJ2091" s="458">
        <v>0.10749147762599076</v>
      </c>
      <c r="BK2091" s="477">
        <v>91323851.694549039</v>
      </c>
      <c r="BL2091" s="458">
        <v>0.2635488816451379</v>
      </c>
      <c r="BM2091" s="468">
        <v>4.0824400668870391</v>
      </c>
    </row>
    <row r="2092" spans="12:65" x14ac:dyDescent="0.3">
      <c r="L2092" s="427">
        <v>21377996.563099999</v>
      </c>
      <c r="BE2092" s="477">
        <v>3670951.7391135893</v>
      </c>
      <c r="BF2092" s="458">
        <v>5.2074573256892576E-2</v>
      </c>
      <c r="BG2092" s="477">
        <v>7008378.2915733317</v>
      </c>
      <c r="BH2092" s="458">
        <v>6.3009825703947309E-2</v>
      </c>
      <c r="BI2092" s="477">
        <v>15383879.906732718</v>
      </c>
      <c r="BJ2092" s="458">
        <v>9.9705596216368431E-2</v>
      </c>
      <c r="BK2092" s="477">
        <v>90625006.963615283</v>
      </c>
      <c r="BL2092" s="458">
        <v>0.28076977891645916</v>
      </c>
      <c r="BM2092" s="468">
        <v>6.3175094503644758</v>
      </c>
    </row>
    <row r="2093" spans="12:65" x14ac:dyDescent="0.3">
      <c r="L2093" s="427">
        <v>-1181549.0767000001</v>
      </c>
      <c r="BE2093" s="477">
        <v>5734359.1489417627</v>
      </c>
      <c r="BF2093" s="458">
        <v>3.3626136759314251E-2</v>
      </c>
      <c r="BG2093" s="477">
        <v>10254853.493414307</v>
      </c>
      <c r="BH2093" s="458">
        <v>5.0578449476208931E-2</v>
      </c>
      <c r="BI2093" s="477">
        <v>18892301.135352131</v>
      </c>
      <c r="BJ2093" s="458">
        <v>0.11784302634325128</v>
      </c>
      <c r="BK2093" s="477">
        <v>108391046.90566696</v>
      </c>
      <c r="BL2093" s="458">
        <v>0.25061874662871575</v>
      </c>
      <c r="BM2093" s="468">
        <v>8.1460003434001536</v>
      </c>
    </row>
    <row r="2094" spans="12:65" x14ac:dyDescent="0.3">
      <c r="L2094" s="427">
        <v>8903409.7127999999</v>
      </c>
      <c r="BE2094" s="477">
        <v>10329972.842949439</v>
      </c>
      <c r="BF2094" s="458">
        <v>4.375098269760791E-2</v>
      </c>
      <c r="BG2094" s="477">
        <v>7768314.649086277</v>
      </c>
      <c r="BH2094" s="458">
        <v>6.0143302513907093E-2</v>
      </c>
      <c r="BI2094" s="477">
        <v>8850359.9076423515</v>
      </c>
      <c r="BJ2094" s="458">
        <v>0.11313249423008687</v>
      </c>
      <c r="BK2094" s="477">
        <v>69390279.607130811</v>
      </c>
      <c r="BL2094" s="458">
        <v>0.26520319272926951</v>
      </c>
      <c r="BM2094" s="468">
        <v>5.5555707214959593</v>
      </c>
    </row>
    <row r="2095" spans="12:65" x14ac:dyDescent="0.3">
      <c r="L2095" s="427">
        <v>-13039799.567500001</v>
      </c>
      <c r="BE2095" s="477">
        <v>3416606.2930154577</v>
      </c>
      <c r="BF2095" s="458">
        <v>4.1176878702998909E-2</v>
      </c>
      <c r="BG2095" s="477">
        <v>7823706.406012713</v>
      </c>
      <c r="BH2095" s="458">
        <v>6.4997104522720672E-2</v>
      </c>
      <c r="BI2095" s="477">
        <v>20251386.077355161</v>
      </c>
      <c r="BJ2095" s="458">
        <v>9.4854963438118167E-2</v>
      </c>
      <c r="BK2095" s="477">
        <v>97501500.821078271</v>
      </c>
      <c r="BL2095" s="458">
        <v>0.28769115712991167</v>
      </c>
      <c r="BM2095" s="468">
        <v>11.246010431387447</v>
      </c>
    </row>
    <row r="2096" spans="12:65" x14ac:dyDescent="0.3">
      <c r="L2096" s="427">
        <v>14400430.5996</v>
      </c>
      <c r="BE2096" s="477">
        <v>6373423.5672264639</v>
      </c>
      <c r="BF2096" s="458">
        <v>3.6249035508353122E-2</v>
      </c>
      <c r="BG2096" s="477">
        <v>9207317.0724574551</v>
      </c>
      <c r="BH2096" s="458">
        <v>9.0552003673085579E-2</v>
      </c>
      <c r="BI2096" s="477">
        <v>22063310.115833607</v>
      </c>
      <c r="BJ2096" s="458">
        <v>0.11017474469042599</v>
      </c>
      <c r="BK2096" s="477">
        <v>84480188.955398306</v>
      </c>
      <c r="BL2096" s="458">
        <v>0.28936075553210472</v>
      </c>
      <c r="BM2096" s="468">
        <v>16.022532209362375</v>
      </c>
    </row>
    <row r="2097" spans="12:65" x14ac:dyDescent="0.3">
      <c r="L2097" s="427">
        <v>2273956.6992000001</v>
      </c>
      <c r="BE2097" s="477">
        <v>4979887.5688937958</v>
      </c>
      <c r="BF2097" s="458">
        <v>4.3200986156868515E-2</v>
      </c>
      <c r="BG2097" s="477">
        <v>3888971.3703041491</v>
      </c>
      <c r="BH2097" s="458">
        <v>9.5030540752214065E-2</v>
      </c>
      <c r="BI2097" s="477">
        <v>25160226.065121118</v>
      </c>
      <c r="BJ2097" s="458">
        <v>0.11967970037515685</v>
      </c>
      <c r="BK2097" s="477">
        <v>98397299.875930488</v>
      </c>
      <c r="BL2097" s="458">
        <v>0.2622484648482093</v>
      </c>
      <c r="BM2097" s="468">
        <v>12.217676273387937</v>
      </c>
    </row>
    <row r="2098" spans="12:65" x14ac:dyDescent="0.3">
      <c r="L2098" s="427">
        <v>6570802.9691000003</v>
      </c>
      <c r="BE2098" s="477">
        <v>6312497.8979812311</v>
      </c>
      <c r="BF2098" s="458">
        <v>6.2330197977880086E-2</v>
      </c>
      <c r="BG2098" s="477">
        <v>12460485.868888877</v>
      </c>
      <c r="BH2098" s="458">
        <v>6.8861681283041598E-2</v>
      </c>
      <c r="BI2098" s="477">
        <v>24555643.28868724</v>
      </c>
      <c r="BJ2098" s="458">
        <v>9.3863146854391344E-2</v>
      </c>
      <c r="BK2098" s="477">
        <v>85255632.532807648</v>
      </c>
      <c r="BL2098" s="458">
        <v>0.25622427906375922</v>
      </c>
      <c r="BM2098" s="468">
        <v>8.4472422235519975</v>
      </c>
    </row>
    <row r="2099" spans="12:65" x14ac:dyDescent="0.3">
      <c r="L2099" s="427">
        <v>1349723.5767000001</v>
      </c>
      <c r="BE2099" s="477">
        <v>5557781.8574183248</v>
      </c>
      <c r="BF2099" s="458">
        <v>5.8559260868820795E-2</v>
      </c>
      <c r="BG2099" s="477">
        <v>15577176.353735279</v>
      </c>
      <c r="BH2099" s="458">
        <v>5.2746239906290349E-2</v>
      </c>
      <c r="BI2099" s="477">
        <v>17628567.703564085</v>
      </c>
      <c r="BJ2099" s="458">
        <v>9.2646475641444459E-2</v>
      </c>
      <c r="BK2099" s="477">
        <v>93950732.538015381</v>
      </c>
      <c r="BL2099" s="458">
        <v>0.27351548857237229</v>
      </c>
      <c r="BM2099" s="468">
        <v>2.9287624407788027</v>
      </c>
    </row>
    <row r="2100" spans="12:65" x14ac:dyDescent="0.3">
      <c r="L2100" s="427">
        <v>4231963.9630000005</v>
      </c>
      <c r="BE2100" s="477">
        <v>2209729.4950896795</v>
      </c>
      <c r="BF2100" s="458">
        <v>3.4927835932762719E-2</v>
      </c>
      <c r="BG2100" s="477">
        <v>2649992.7638341975</v>
      </c>
      <c r="BH2100" s="458">
        <v>6.4567981106708361E-2</v>
      </c>
      <c r="BI2100" s="477">
        <v>11013338.607558541</v>
      </c>
      <c r="BJ2100" s="458">
        <v>0.11388216607012991</v>
      </c>
      <c r="BK2100" s="477">
        <v>88174530.380931467</v>
      </c>
      <c r="BL2100" s="458">
        <v>0.26651749419527415</v>
      </c>
      <c r="BM2100" s="468">
        <v>4.5811530662261868</v>
      </c>
    </row>
    <row r="2101" spans="12:65" x14ac:dyDescent="0.3">
      <c r="L2101" s="427">
        <v>8956228.1067999993</v>
      </c>
      <c r="BE2101" s="477">
        <v>9160448.3219525181</v>
      </c>
      <c r="BF2101" s="458">
        <v>2.3641835501181152E-2</v>
      </c>
      <c r="BG2101" s="477">
        <v>14389868.900190825</v>
      </c>
      <c r="BH2101" s="458">
        <v>9.1075257062185777E-2</v>
      </c>
      <c r="BI2101" s="477">
        <v>23993298.325446829</v>
      </c>
      <c r="BJ2101" s="458">
        <v>0.10326642703255562</v>
      </c>
      <c r="BK2101" s="477">
        <v>99391221.302277982</v>
      </c>
      <c r="BL2101" s="458">
        <v>0.25183741945189508</v>
      </c>
      <c r="BM2101" s="468">
        <v>6.1799113596519524</v>
      </c>
    </row>
    <row r="2102" spans="12:65" x14ac:dyDescent="0.3">
      <c r="L2102" s="427">
        <v>10567234.1294</v>
      </c>
      <c r="BE2102" s="477">
        <v>4229770.4576778887</v>
      </c>
      <c r="BF2102" s="458">
        <v>6.6014867256554366E-2</v>
      </c>
      <c r="BG2102" s="477">
        <v>2805367.9684049534</v>
      </c>
      <c r="BH2102" s="458">
        <v>5.9960349362756959E-2</v>
      </c>
      <c r="BI2102" s="477">
        <v>10062663.587631928</v>
      </c>
      <c r="BJ2102" s="458">
        <v>0.10882841698006351</v>
      </c>
      <c r="BK2102" s="477">
        <v>85721023.298464283</v>
      </c>
      <c r="BL2102" s="458">
        <v>0.26605332059663422</v>
      </c>
      <c r="BM2102" s="468">
        <v>2.4113772730232848</v>
      </c>
    </row>
    <row r="2103" spans="12:65" x14ac:dyDescent="0.3">
      <c r="L2103" s="427">
        <v>1477676.9483</v>
      </c>
      <c r="BE2103" s="477">
        <v>4066375.133955765</v>
      </c>
      <c r="BF2103" s="458">
        <v>2.7391807449443695E-2</v>
      </c>
      <c r="BG2103" s="477">
        <v>6438919.3774116626</v>
      </c>
      <c r="BH2103" s="458">
        <v>6.3597726988179115E-2</v>
      </c>
      <c r="BI2103" s="477">
        <v>18130604.042066611</v>
      </c>
      <c r="BJ2103" s="458">
        <v>0.1261715981035556</v>
      </c>
      <c r="BK2103" s="477">
        <v>83846090.435327753</v>
      </c>
      <c r="BL2103" s="458">
        <v>0.25998661586229965</v>
      </c>
      <c r="BM2103" s="468">
        <v>9.770315486610885</v>
      </c>
    </row>
    <row r="2104" spans="12:65" x14ac:dyDescent="0.3">
      <c r="L2104" s="427">
        <v>12430756.441299999</v>
      </c>
      <c r="BE2104" s="477">
        <v>3150261.5280376226</v>
      </c>
      <c r="BF2104" s="458">
        <v>7.6466459686927113E-2</v>
      </c>
      <c r="BG2104" s="477">
        <v>11482144.441709837</v>
      </c>
      <c r="BH2104" s="458">
        <v>6.9009304167622298E-2</v>
      </c>
      <c r="BI2104" s="477">
        <v>19591574.46347174</v>
      </c>
      <c r="BJ2104" s="458">
        <v>0.11914122775140101</v>
      </c>
      <c r="BK2104" s="477">
        <v>94683421.211600706</v>
      </c>
      <c r="BL2104" s="458">
        <v>0.29019816746107141</v>
      </c>
      <c r="BM2104" s="468">
        <v>8.9959209722478821</v>
      </c>
    </row>
    <row r="2105" spans="12:65" x14ac:dyDescent="0.3">
      <c r="L2105" s="427">
        <v>3464968.4410000001</v>
      </c>
      <c r="BE2105" s="477">
        <v>3665392.3568896488</v>
      </c>
      <c r="BF2105" s="458">
        <v>5.0705537705043824E-2</v>
      </c>
      <c r="BG2105" s="477">
        <v>8613491.1530177165</v>
      </c>
      <c r="BH2105" s="458">
        <v>7.4824150084952912E-2</v>
      </c>
      <c r="BI2105" s="477">
        <v>14737505.381518472</v>
      </c>
      <c r="BJ2105" s="458">
        <v>0.11217487440670793</v>
      </c>
      <c r="BK2105" s="477">
        <v>92716057.159449682</v>
      </c>
      <c r="BL2105" s="458">
        <v>0.26346667349422059</v>
      </c>
      <c r="BM2105" s="468">
        <v>2.3057039539624142</v>
      </c>
    </row>
    <row r="2106" spans="12:65" x14ac:dyDescent="0.3">
      <c r="L2106" s="427">
        <v>-1835398.3847000001</v>
      </c>
      <c r="BE2106" s="477">
        <v>445458.74328420573</v>
      </c>
      <c r="BF2106" s="458">
        <v>4.3068639043066792E-2</v>
      </c>
      <c r="BG2106" s="477">
        <v>5225843.4557124833</v>
      </c>
      <c r="BH2106" s="458">
        <v>6.8392462210483895E-2</v>
      </c>
      <c r="BI2106" s="477">
        <v>10681414.046929488</v>
      </c>
      <c r="BJ2106" s="458">
        <v>0.12314728011486875</v>
      </c>
      <c r="BK2106" s="477">
        <v>102246487.06410864</v>
      </c>
      <c r="BL2106" s="458">
        <v>0.26078764950121647</v>
      </c>
      <c r="BM2106" s="468">
        <v>4.6499013964343927</v>
      </c>
    </row>
    <row r="2107" spans="12:65" x14ac:dyDescent="0.3">
      <c r="L2107" s="427">
        <v>20322668.121599998</v>
      </c>
      <c r="BE2107" s="477">
        <v>7173888.1427705381</v>
      </c>
      <c r="BF2107" s="458">
        <v>4.221104483300997E-2</v>
      </c>
      <c r="BG2107" s="477">
        <v>6536579.5833730064</v>
      </c>
      <c r="BH2107" s="458">
        <v>6.9449377768300069E-2</v>
      </c>
      <c r="BI2107" s="477">
        <v>15913245.689938327</v>
      </c>
      <c r="BJ2107" s="458">
        <v>7.8479927979735686E-2</v>
      </c>
      <c r="BK2107" s="477">
        <v>82426196.083508596</v>
      </c>
      <c r="BL2107" s="458">
        <v>0.25989151795419119</v>
      </c>
      <c r="BM2107" s="468">
        <v>5.1202495093532843</v>
      </c>
    </row>
    <row r="2108" spans="12:65" x14ac:dyDescent="0.3">
      <c r="L2108" s="427">
        <v>-20543907.931200001</v>
      </c>
      <c r="BE2108" s="477">
        <v>552685.91581527458</v>
      </c>
      <c r="BF2108" s="458">
        <v>3.1635789724765218E-2</v>
      </c>
      <c r="BG2108" s="477">
        <v>6986964.4909241023</v>
      </c>
      <c r="BH2108" s="458">
        <v>8.7003277111495247E-2</v>
      </c>
      <c r="BI2108" s="477">
        <v>12688942.721941996</v>
      </c>
      <c r="BJ2108" s="458">
        <v>0.10080437029581968</v>
      </c>
      <c r="BK2108" s="477">
        <v>108240486.2672867</v>
      </c>
      <c r="BL2108" s="458">
        <v>0.26949460164032124</v>
      </c>
      <c r="BM2108" s="468">
        <v>3.251925063934066</v>
      </c>
    </row>
    <row r="2109" spans="12:65" x14ac:dyDescent="0.3">
      <c r="L2109" s="427">
        <v>26470721.959399998</v>
      </c>
      <c r="BE2109" s="477">
        <v>7115048.130777359</v>
      </c>
      <c r="BF2109" s="458">
        <v>4.3458405531634714E-2</v>
      </c>
      <c r="BG2109" s="477">
        <v>9504615.9391298164</v>
      </c>
      <c r="BH2109" s="458">
        <v>7.4845649736622333E-2</v>
      </c>
      <c r="BI2109" s="477">
        <v>13317723.660386067</v>
      </c>
      <c r="BJ2109" s="458">
        <v>0.1171638018153196</v>
      </c>
      <c r="BK2109" s="477">
        <v>97987644.095754623</v>
      </c>
      <c r="BL2109" s="458">
        <v>0.27330690014648584</v>
      </c>
      <c r="BM2109" s="468">
        <v>7.1059391951126116</v>
      </c>
    </row>
    <row r="2110" spans="12:65" x14ac:dyDescent="0.3">
      <c r="L2110" s="427">
        <v>12771255.391000001</v>
      </c>
      <c r="BE2110" s="477">
        <v>1319782.0978592718</v>
      </c>
      <c r="BF2110" s="458">
        <v>5.5929889742001082E-2</v>
      </c>
      <c r="BG2110" s="477">
        <v>8136975.4352769637</v>
      </c>
      <c r="BH2110" s="458">
        <v>6.2667042817843521E-2</v>
      </c>
      <c r="BI2110" s="477">
        <v>12669955.539319651</v>
      </c>
      <c r="BJ2110" s="458">
        <v>0.10465419002712295</v>
      </c>
      <c r="BK2110" s="477">
        <v>83721940.623024732</v>
      </c>
      <c r="BL2110" s="458">
        <v>0.2570270053278545</v>
      </c>
      <c r="BM2110" s="468">
        <v>7.6184457296692303</v>
      </c>
    </row>
    <row r="2111" spans="12:65" x14ac:dyDescent="0.3">
      <c r="L2111" s="427">
        <v>-376674.82990000001</v>
      </c>
      <c r="BE2111" s="477">
        <v>9358745.9783624392</v>
      </c>
      <c r="BF2111" s="458">
        <v>4.0483837164015046E-2</v>
      </c>
      <c r="BG2111" s="477">
        <v>5426624.5614671567</v>
      </c>
      <c r="BH2111" s="458">
        <v>7.9931179275812614E-2</v>
      </c>
      <c r="BI2111" s="477">
        <v>18418171.886334315</v>
      </c>
      <c r="BJ2111" s="458">
        <v>0.11948905030480583</v>
      </c>
      <c r="BK2111" s="477">
        <v>90513271.927345753</v>
      </c>
      <c r="BL2111" s="458">
        <v>0.25513359548797698</v>
      </c>
      <c r="BM2111" s="468">
        <v>13.889385697814301</v>
      </c>
    </row>
    <row r="2112" spans="12:65" x14ac:dyDescent="0.3">
      <c r="L2112" s="427">
        <v>69135.940100000007</v>
      </c>
      <c r="BE2112" s="477">
        <v>2751376.3961791694</v>
      </c>
      <c r="BF2112" s="458">
        <v>6.8419934038714381E-2</v>
      </c>
      <c r="BG2112" s="477">
        <v>8615104.0695741139</v>
      </c>
      <c r="BH2112" s="458">
        <v>5.829742370136759E-2</v>
      </c>
      <c r="BI2112" s="477">
        <v>21964452.636043981</v>
      </c>
      <c r="BJ2112" s="458">
        <v>0.10085014305413376</v>
      </c>
      <c r="BK2112" s="477">
        <v>83450755.798544288</v>
      </c>
      <c r="BL2112" s="458">
        <v>0.27675405372947504</v>
      </c>
      <c r="BM2112" s="468">
        <v>5.3151446834316616</v>
      </c>
    </row>
    <row r="2113" spans="12:65" x14ac:dyDescent="0.3">
      <c r="L2113" s="427">
        <v>10730711.1691</v>
      </c>
      <c r="BE2113" s="477">
        <v>3808948.2324294634</v>
      </c>
      <c r="BF2113" s="458">
        <v>4.9020756633867846E-2</v>
      </c>
      <c r="BG2113" s="477">
        <v>14736226.484401667</v>
      </c>
      <c r="BH2113" s="458">
        <v>4.6580013519180286E-2</v>
      </c>
      <c r="BI2113" s="477">
        <v>24219438.479207195</v>
      </c>
      <c r="BJ2113" s="458">
        <v>8.2029862008821341E-2</v>
      </c>
      <c r="BK2113" s="477">
        <v>78081907.994852602</v>
      </c>
      <c r="BL2113" s="458">
        <v>0.26767846231829284</v>
      </c>
      <c r="BM2113" s="468">
        <v>4.7455702674347897</v>
      </c>
    </row>
    <row r="2114" spans="12:65" x14ac:dyDescent="0.3">
      <c r="L2114" s="427">
        <v>-947424.32790000003</v>
      </c>
      <c r="BE2114" s="477">
        <v>4291887.5960391974</v>
      </c>
      <c r="BF2114" s="458">
        <v>2.7683468189104721E-2</v>
      </c>
      <c r="BG2114" s="477">
        <v>13129808.781342132</v>
      </c>
      <c r="BH2114" s="458">
        <v>5.0201728455926853E-2</v>
      </c>
      <c r="BI2114" s="477">
        <v>16716092.550626919</v>
      </c>
      <c r="BJ2114" s="458">
        <v>0.11770819435808377</v>
      </c>
      <c r="BK2114" s="477">
        <v>90380935.890226722</v>
      </c>
      <c r="BL2114" s="458">
        <v>0.26429106971594063</v>
      </c>
      <c r="BM2114" s="468">
        <v>8.5966334796646109</v>
      </c>
    </row>
    <row r="2115" spans="12:65" x14ac:dyDescent="0.3">
      <c r="L2115" s="427">
        <v>-2615199.4748999998</v>
      </c>
      <c r="BE2115" s="477">
        <v>4637661.4227426397</v>
      </c>
      <c r="BF2115" s="458">
        <v>3.6653977765300771E-2</v>
      </c>
      <c r="BG2115" s="477">
        <v>7106269.0119912568</v>
      </c>
      <c r="BH2115" s="458">
        <v>4.766132998534145E-2</v>
      </c>
      <c r="BI2115" s="477">
        <v>11032753.092898717</v>
      </c>
      <c r="BJ2115" s="458">
        <v>0.10527845160914562</v>
      </c>
      <c r="BK2115" s="477">
        <v>87428606.09291406</v>
      </c>
      <c r="BL2115" s="458">
        <v>0.27262637070613605</v>
      </c>
      <c r="BM2115" s="468">
        <v>14.958266137711181</v>
      </c>
    </row>
    <row r="2116" spans="12:65" x14ac:dyDescent="0.3">
      <c r="L2116" s="427">
        <v>19075175.943399999</v>
      </c>
      <c r="BE2116" s="477">
        <v>-1001475.3014008962</v>
      </c>
      <c r="BF2116" s="458">
        <v>5.2554488941964905E-2</v>
      </c>
      <c r="BG2116" s="477">
        <v>7265523.9326610342</v>
      </c>
      <c r="BH2116" s="458">
        <v>6.8237318290837123E-2</v>
      </c>
      <c r="BI2116" s="477">
        <v>13398739.920884065</v>
      </c>
      <c r="BJ2116" s="458">
        <v>0.11686350681648627</v>
      </c>
      <c r="BK2116" s="477">
        <v>79630882.743813187</v>
      </c>
      <c r="BL2116" s="458">
        <v>0.26872089527465892</v>
      </c>
      <c r="BM2116" s="468">
        <v>8.9403145205826888</v>
      </c>
    </row>
    <row r="2117" spans="12:65" x14ac:dyDescent="0.3">
      <c r="L2117" s="427">
        <v>-3686457.3308000001</v>
      </c>
      <c r="BE2117" s="477">
        <v>2058961.938239587</v>
      </c>
      <c r="BF2117" s="458">
        <v>3.9742568536178968E-2</v>
      </c>
      <c r="BG2117" s="477">
        <v>12976280.027036723</v>
      </c>
      <c r="BH2117" s="458">
        <v>7.1977150062840778E-2</v>
      </c>
      <c r="BI2117" s="477">
        <v>18265948.828160729</v>
      </c>
      <c r="BJ2117" s="458">
        <v>0.11394273704301527</v>
      </c>
      <c r="BK2117" s="477">
        <v>101291898.53300993</v>
      </c>
      <c r="BL2117" s="458">
        <v>0.24852497700807663</v>
      </c>
      <c r="BM2117" s="468">
        <v>2.2685496040947042</v>
      </c>
    </row>
    <row r="2118" spans="12:65" x14ac:dyDescent="0.3">
      <c r="L2118" s="427">
        <v>4473980.0957000004</v>
      </c>
      <c r="BE2118" s="477">
        <v>6900653.1658829022</v>
      </c>
      <c r="BF2118" s="458">
        <v>4.9658999462707687E-2</v>
      </c>
      <c r="BG2118" s="477">
        <v>9639631.1677017752</v>
      </c>
      <c r="BH2118" s="458">
        <v>5.6575954691075125E-2</v>
      </c>
      <c r="BI2118" s="477">
        <v>20112892.917682555</v>
      </c>
      <c r="BJ2118" s="458">
        <v>8.7942282136681316E-2</v>
      </c>
      <c r="BK2118" s="477">
        <v>106163741.68921949</v>
      </c>
      <c r="BL2118" s="458">
        <v>0.25737913118954747</v>
      </c>
      <c r="BM2118" s="468">
        <v>14.164077939338</v>
      </c>
    </row>
    <row r="2119" spans="12:65" x14ac:dyDescent="0.3">
      <c r="L2119" s="427">
        <v>5988651.7300000004</v>
      </c>
      <c r="BE2119" s="477">
        <v>6151030.8156397305</v>
      </c>
      <c r="BF2119" s="458">
        <v>6.1301805316187563E-2</v>
      </c>
      <c r="BG2119" s="477">
        <v>8249948.5758740054</v>
      </c>
      <c r="BH2119" s="458">
        <v>7.0345288310432963E-2</v>
      </c>
      <c r="BI2119" s="477">
        <v>16706532.828985199</v>
      </c>
      <c r="BJ2119" s="458">
        <v>0.10721229964259971</v>
      </c>
      <c r="BK2119" s="477">
        <v>75706206.138514072</v>
      </c>
      <c r="BL2119" s="458">
        <v>0.27642963832325407</v>
      </c>
      <c r="BM2119" s="468">
        <v>8.3960689947367104</v>
      </c>
    </row>
    <row r="2120" spans="12:65" x14ac:dyDescent="0.3">
      <c r="L2120" s="427">
        <v>-9149033.6348999999</v>
      </c>
      <c r="BE2120" s="477">
        <v>6938875.8539068354</v>
      </c>
      <c r="BF2120" s="458">
        <v>6.3438526618420532E-2</v>
      </c>
      <c r="BG2120" s="477">
        <v>11054435.219643682</v>
      </c>
      <c r="BH2120" s="458">
        <v>4.3642840484858336E-2</v>
      </c>
      <c r="BI2120" s="477">
        <v>16633120.186728004</v>
      </c>
      <c r="BJ2120" s="458">
        <v>0.11357606430007494</v>
      </c>
      <c r="BK2120" s="477">
        <v>85696330.643443093</v>
      </c>
      <c r="BL2120" s="458">
        <v>0.28747507939722228</v>
      </c>
      <c r="BM2120" s="468">
        <v>5.3061913602610122</v>
      </c>
    </row>
    <row r="2121" spans="12:65" x14ac:dyDescent="0.3">
      <c r="L2121" s="427">
        <v>19527431.624299999</v>
      </c>
      <c r="BE2121" s="477">
        <v>1914053.7450654011</v>
      </c>
      <c r="BF2121" s="458">
        <v>5.3273099059069517E-2</v>
      </c>
      <c r="BG2121" s="477">
        <v>3229121.3746423125</v>
      </c>
      <c r="BH2121" s="458">
        <v>7.9273337922861398E-2</v>
      </c>
      <c r="BI2121" s="477">
        <v>15609160.708994165</v>
      </c>
      <c r="BJ2121" s="458">
        <v>9.0279507815222093E-2</v>
      </c>
      <c r="BK2121" s="477">
        <v>103752441.87923214</v>
      </c>
      <c r="BL2121" s="458">
        <v>0.27934597328248278</v>
      </c>
      <c r="BM2121" s="468">
        <v>13.490079061742062</v>
      </c>
    </row>
    <row r="2122" spans="12:65" x14ac:dyDescent="0.3">
      <c r="L2122" s="427">
        <v>-2066247.4502999999</v>
      </c>
      <c r="BE2122" s="477">
        <v>2163710.7935588085</v>
      </c>
      <c r="BF2122" s="458">
        <v>5.8417824386292949E-2</v>
      </c>
      <c r="BG2122" s="477">
        <v>3202345.9795026723</v>
      </c>
      <c r="BH2122" s="458">
        <v>7.0658855314856606E-2</v>
      </c>
      <c r="BI2122" s="477">
        <v>25483721.335389894</v>
      </c>
      <c r="BJ2122" s="458">
        <v>6.4848697829114066E-2</v>
      </c>
      <c r="BK2122" s="477">
        <v>84030897.129821539</v>
      </c>
      <c r="BL2122" s="458">
        <v>0.26056482008316517</v>
      </c>
      <c r="BM2122" s="468">
        <v>5.2749868130604796</v>
      </c>
    </row>
    <row r="2123" spans="12:65" x14ac:dyDescent="0.3">
      <c r="L2123" s="427">
        <v>8855450.4331999999</v>
      </c>
      <c r="BE2123" s="477">
        <v>5013984.3376328768</v>
      </c>
      <c r="BF2123" s="458">
        <v>2.8334431092571055E-2</v>
      </c>
      <c r="BG2123" s="477">
        <v>11738658.009253826</v>
      </c>
      <c r="BH2123" s="458">
        <v>6.5636805385185015E-2</v>
      </c>
      <c r="BI2123" s="477">
        <v>15477598.182241449</v>
      </c>
      <c r="BJ2123" s="458">
        <v>0.11924056143597239</v>
      </c>
      <c r="BK2123" s="477">
        <v>81295742.750275776</v>
      </c>
      <c r="BL2123" s="458">
        <v>0.26308483703774943</v>
      </c>
      <c r="BM2123" s="468">
        <v>10.611795542390993</v>
      </c>
    </row>
    <row r="2124" spans="12:65" x14ac:dyDescent="0.3">
      <c r="L2124" s="427">
        <v>16699896.783</v>
      </c>
      <c r="BE2124" s="477">
        <v>7077755.1966507621</v>
      </c>
      <c r="BF2124" s="458">
        <v>5.9400297480219688E-2</v>
      </c>
      <c r="BG2124" s="477">
        <v>-1433170.4080115345</v>
      </c>
      <c r="BH2124" s="458">
        <v>5.9906624913715234E-2</v>
      </c>
      <c r="BI2124" s="477">
        <v>12746666.211080056</v>
      </c>
      <c r="BJ2124" s="458">
        <v>8.4309624294575114E-2</v>
      </c>
      <c r="BK2124" s="477">
        <v>74076671.444377348</v>
      </c>
      <c r="BL2124" s="458">
        <v>0.26382393828905104</v>
      </c>
      <c r="BM2124" s="468">
        <v>4.5999956407942673</v>
      </c>
    </row>
    <row r="2125" spans="12:65" x14ac:dyDescent="0.3">
      <c r="L2125" s="427">
        <v>20926339.2731</v>
      </c>
      <c r="BE2125" s="477">
        <v>8016031.1598338354</v>
      </c>
      <c r="BF2125" s="458">
        <v>4.8075701674015647E-2</v>
      </c>
      <c r="BG2125" s="477">
        <v>9968568.3327449951</v>
      </c>
      <c r="BH2125" s="458">
        <v>4.947113568900674E-2</v>
      </c>
      <c r="BI2125" s="477">
        <v>18944758.923364792</v>
      </c>
      <c r="BJ2125" s="458">
        <v>9.7261645309946632E-2</v>
      </c>
      <c r="BK2125" s="477">
        <v>88550125.923638344</v>
      </c>
      <c r="BL2125" s="458">
        <v>0.27718299297033977</v>
      </c>
      <c r="BM2125" s="468">
        <v>5.5490473206079329</v>
      </c>
    </row>
    <row r="2126" spans="12:65" x14ac:dyDescent="0.3">
      <c r="L2126" s="427">
        <v>5087899.9914999995</v>
      </c>
      <c r="BE2126" s="477">
        <v>3264985.828669759</v>
      </c>
      <c r="BF2126" s="458">
        <v>7.8446343301861843E-2</v>
      </c>
      <c r="BG2126" s="477">
        <v>4105877.3048258307</v>
      </c>
      <c r="BH2126" s="458">
        <v>5.6767798572076034E-2</v>
      </c>
      <c r="BI2126" s="477">
        <v>21555253.202888586</v>
      </c>
      <c r="BJ2126" s="458">
        <v>0.14123448777345704</v>
      </c>
      <c r="BK2126" s="477">
        <v>85520575.742100835</v>
      </c>
      <c r="BL2126" s="458">
        <v>0.26238073007660501</v>
      </c>
      <c r="BM2126" s="468">
        <v>10.924148647618008</v>
      </c>
    </row>
    <row r="2127" spans="12:65" x14ac:dyDescent="0.3">
      <c r="L2127" s="427">
        <v>526174.48430000001</v>
      </c>
      <c r="BE2127" s="477">
        <v>6815624.2466640146</v>
      </c>
      <c r="BF2127" s="458">
        <v>1.6151573593252477E-2</v>
      </c>
      <c r="BG2127" s="477">
        <v>14303381.685186274</v>
      </c>
      <c r="BH2127" s="458">
        <v>9.3109726269378745E-2</v>
      </c>
      <c r="BI2127" s="477">
        <v>15032512.375269104</v>
      </c>
      <c r="BJ2127" s="458">
        <v>0.10902484196759921</v>
      </c>
      <c r="BK2127" s="477">
        <v>86126916.448723182</v>
      </c>
      <c r="BL2127" s="458">
        <v>0.2602072552555883</v>
      </c>
      <c r="BM2127" s="468">
        <v>5.7697605944045502</v>
      </c>
    </row>
    <row r="2128" spans="12:65" x14ac:dyDescent="0.3">
      <c r="L2128" s="427">
        <v>22325352.533399999</v>
      </c>
      <c r="BE2128" s="477">
        <v>4108261.6474792133</v>
      </c>
      <c r="BF2128" s="458">
        <v>3.9757297893093568E-2</v>
      </c>
      <c r="BG2128" s="477">
        <v>5423137.1859673113</v>
      </c>
      <c r="BH2128" s="458">
        <v>8.5571890972747422E-2</v>
      </c>
      <c r="BI2128" s="477">
        <v>21918058.468504034</v>
      </c>
      <c r="BJ2128" s="458">
        <v>0.10420844390538986</v>
      </c>
      <c r="BK2128" s="477">
        <v>83421492.449038431</v>
      </c>
      <c r="BL2128" s="458">
        <v>0.261665684869967</v>
      </c>
      <c r="BM2128" s="468">
        <v>5.924915532829381</v>
      </c>
    </row>
    <row r="2129" spans="12:65" x14ac:dyDescent="0.3">
      <c r="L2129" s="427">
        <v>19159526.5858</v>
      </c>
      <c r="BE2129" s="477">
        <v>4499935.7130525354</v>
      </c>
      <c r="BF2129" s="458">
        <v>3.5573519000843712E-2</v>
      </c>
      <c r="BG2129" s="477">
        <v>6983332.8644361096</v>
      </c>
      <c r="BH2129" s="458">
        <v>4.7557987550518321E-2</v>
      </c>
      <c r="BI2129" s="477">
        <v>3728128.2266821368</v>
      </c>
      <c r="BJ2129" s="458">
        <v>0.11460937854444531</v>
      </c>
      <c r="BK2129" s="477">
        <v>92827615.249617368</v>
      </c>
      <c r="BL2129" s="458">
        <v>0.25688887095919077</v>
      </c>
      <c r="BM2129" s="468">
        <v>14.651628906540026</v>
      </c>
    </row>
    <row r="2130" spans="12:65" x14ac:dyDescent="0.3">
      <c r="L2130" s="427">
        <v>2311539.5789999999</v>
      </c>
      <c r="BE2130" s="477">
        <v>3402468.8178097792</v>
      </c>
      <c r="BF2130" s="458">
        <v>5.3932160611575464E-2</v>
      </c>
      <c r="BG2130" s="477">
        <v>13333754.903968485</v>
      </c>
      <c r="BH2130" s="458">
        <v>8.2627541577372732E-2</v>
      </c>
      <c r="BI2130" s="477">
        <v>13575498.473659981</v>
      </c>
      <c r="BJ2130" s="458">
        <v>0.11869068691381202</v>
      </c>
      <c r="BK2130" s="477">
        <v>89274533.531064197</v>
      </c>
      <c r="BL2130" s="458">
        <v>0.26910617321809527</v>
      </c>
      <c r="BM2130" s="468">
        <v>8.7477114771142048</v>
      </c>
    </row>
    <row r="2131" spans="12:65" x14ac:dyDescent="0.3">
      <c r="L2131" s="427">
        <v>13084343.646600001</v>
      </c>
      <c r="BE2131" s="477">
        <v>2129383.8850181149</v>
      </c>
      <c r="BF2131" s="458">
        <v>4.1211446227054527E-2</v>
      </c>
      <c r="BG2131" s="477">
        <v>4261132.9519785866</v>
      </c>
      <c r="BH2131" s="458">
        <v>5.3467635307584249E-2</v>
      </c>
      <c r="BI2131" s="477">
        <v>10315624.489048984</v>
      </c>
      <c r="BJ2131" s="458">
        <v>0.11591153462230808</v>
      </c>
      <c r="BK2131" s="477">
        <v>91868819.412552804</v>
      </c>
      <c r="BL2131" s="458">
        <v>0.25737297615525434</v>
      </c>
      <c r="BM2131" s="468">
        <v>6.4527153034499465</v>
      </c>
    </row>
    <row r="2132" spans="12:65" x14ac:dyDescent="0.3">
      <c r="L2132" s="427">
        <v>11574729.5604</v>
      </c>
      <c r="BE2132" s="477">
        <v>5328738.2962934021</v>
      </c>
      <c r="BF2132" s="458">
        <v>4.1301415505482719E-2</v>
      </c>
      <c r="BG2132" s="477">
        <v>3927801.0558031853</v>
      </c>
      <c r="BH2132" s="458">
        <v>8.5578021813696781E-2</v>
      </c>
      <c r="BI2132" s="477">
        <v>22951996.286148526</v>
      </c>
      <c r="BJ2132" s="458">
        <v>0.11477315511015851</v>
      </c>
      <c r="BK2132" s="477">
        <v>99119599.421418339</v>
      </c>
      <c r="BL2132" s="458">
        <v>0.25355730559267786</v>
      </c>
      <c r="BM2132" s="468">
        <v>7.2564226176303759</v>
      </c>
    </row>
    <row r="2133" spans="12:65" x14ac:dyDescent="0.3">
      <c r="L2133" s="427">
        <v>18670838.940400001</v>
      </c>
      <c r="BE2133" s="477">
        <v>5538370.0444921907</v>
      </c>
      <c r="BF2133" s="458">
        <v>1.6078213321730539E-2</v>
      </c>
      <c r="BG2133" s="477">
        <v>10846600.680610843</v>
      </c>
      <c r="BH2133" s="458">
        <v>6.2205103635692538E-2</v>
      </c>
      <c r="BI2133" s="477">
        <v>20506497.768482167</v>
      </c>
      <c r="BJ2133" s="458">
        <v>0.12026487898057647</v>
      </c>
      <c r="BK2133" s="477">
        <v>91621558.58609888</v>
      </c>
      <c r="BL2133" s="458">
        <v>0.28055061287853644</v>
      </c>
      <c r="BM2133" s="468">
        <v>4.7008535599667969</v>
      </c>
    </row>
    <row r="2134" spans="12:65" x14ac:dyDescent="0.3">
      <c r="L2134" s="427">
        <v>3691113.5786000001</v>
      </c>
      <c r="BE2134" s="477">
        <v>7219728.2215702282</v>
      </c>
      <c r="BF2134" s="458">
        <v>6.5308314516444144E-2</v>
      </c>
      <c r="BG2134" s="477">
        <v>5139355.4846586091</v>
      </c>
      <c r="BH2134" s="458">
        <v>7.2686453836934728E-2</v>
      </c>
      <c r="BI2134" s="477">
        <v>28372325.004411258</v>
      </c>
      <c r="BJ2134" s="458">
        <v>9.265153238891477E-2</v>
      </c>
      <c r="BK2134" s="477">
        <v>102610918.20162946</v>
      </c>
      <c r="BL2134" s="458">
        <v>0.27550388600106812</v>
      </c>
      <c r="BM2134" s="468">
        <v>6.037528867743486</v>
      </c>
    </row>
    <row r="2135" spans="12:65" x14ac:dyDescent="0.3">
      <c r="L2135" s="427">
        <v>26965600.139699999</v>
      </c>
      <c r="BE2135" s="477">
        <v>1361042.7138628913</v>
      </c>
      <c r="BF2135" s="458">
        <v>3.7597619953189554E-2</v>
      </c>
      <c r="BG2135" s="477">
        <v>8912082.3311371505</v>
      </c>
      <c r="BH2135" s="458">
        <v>6.6944399573392488E-2</v>
      </c>
      <c r="BI2135" s="477">
        <v>21902743.413825084</v>
      </c>
      <c r="BJ2135" s="458">
        <v>7.6752474439498952E-2</v>
      </c>
      <c r="BK2135" s="477">
        <v>95539770.222207606</v>
      </c>
      <c r="BL2135" s="458">
        <v>0.2636089433542117</v>
      </c>
      <c r="BM2135" s="468">
        <v>12.965476913874269</v>
      </c>
    </row>
    <row r="2136" spans="12:65" x14ac:dyDescent="0.3">
      <c r="L2136" s="427">
        <v>13463003.055600001</v>
      </c>
      <c r="BE2136" s="477">
        <v>5032628.3450546777</v>
      </c>
      <c r="BF2136" s="458">
        <v>2.0174047833553255E-2</v>
      </c>
      <c r="BG2136" s="477">
        <v>10925859.271977043</v>
      </c>
      <c r="BH2136" s="458">
        <v>7.8367523097869984E-2</v>
      </c>
      <c r="BI2136" s="477">
        <v>19050762.07396128</v>
      </c>
      <c r="BJ2136" s="458">
        <v>0.10860031960161787</v>
      </c>
      <c r="BK2136" s="477">
        <v>83536071.901326627</v>
      </c>
      <c r="BL2136" s="458">
        <v>0.27152820445024384</v>
      </c>
      <c r="BM2136" s="468">
        <v>1.0758321798349479</v>
      </c>
    </row>
    <row r="2137" spans="12:65" x14ac:dyDescent="0.3">
      <c r="L2137" s="427">
        <v>-6604676.3831000002</v>
      </c>
      <c r="BE2137" s="477">
        <v>7381240.4536251025</v>
      </c>
      <c r="BF2137" s="458">
        <v>3.4610135923672125E-2</v>
      </c>
      <c r="BG2137" s="477">
        <v>10271191.970438095</v>
      </c>
      <c r="BH2137" s="458">
        <v>8.4482375901159035E-2</v>
      </c>
      <c r="BI2137" s="477">
        <v>16379884.686232883</v>
      </c>
      <c r="BJ2137" s="458">
        <v>0.12914276882373721</v>
      </c>
      <c r="BK2137" s="477">
        <v>89040327.153862983</v>
      </c>
      <c r="BL2137" s="458">
        <v>0.27606065003202707</v>
      </c>
      <c r="BM2137" s="468">
        <v>6.9667703138197474</v>
      </c>
    </row>
    <row r="2138" spans="12:65" x14ac:dyDescent="0.3">
      <c r="L2138" s="427">
        <v>9126052.0538999997</v>
      </c>
      <c r="BE2138" s="477">
        <v>1784355.6230399399</v>
      </c>
      <c r="BF2138" s="458">
        <v>4.0486461263274487E-2</v>
      </c>
      <c r="BG2138" s="477">
        <v>2053627.964567242</v>
      </c>
      <c r="BH2138" s="458">
        <v>4.3417809488514258E-2</v>
      </c>
      <c r="BI2138" s="477">
        <v>17406925.713542342</v>
      </c>
      <c r="BJ2138" s="458">
        <v>9.528604606391311E-2</v>
      </c>
      <c r="BK2138" s="477">
        <v>94857322.943550467</v>
      </c>
      <c r="BL2138" s="458">
        <v>0.24649844438063018</v>
      </c>
      <c r="BM2138" s="468">
        <v>17.750370293881893</v>
      </c>
    </row>
    <row r="2139" spans="12:65" x14ac:dyDescent="0.3">
      <c r="L2139" s="427">
        <v>6582320.4921000004</v>
      </c>
      <c r="BE2139" s="477">
        <v>8828054.5670342278</v>
      </c>
      <c r="BF2139" s="458">
        <v>5.793436705458177E-2</v>
      </c>
      <c r="BG2139" s="477">
        <v>6511648.8113113381</v>
      </c>
      <c r="BH2139" s="458">
        <v>3.6911440625439162E-2</v>
      </c>
      <c r="BI2139" s="477">
        <v>17350935.766119856</v>
      </c>
      <c r="BJ2139" s="458">
        <v>9.0623725968900004E-2</v>
      </c>
      <c r="BK2139" s="477">
        <v>86752478.471994713</v>
      </c>
      <c r="BL2139" s="458">
        <v>0.28724743605704717</v>
      </c>
      <c r="BM2139" s="468">
        <v>10.920254030360001</v>
      </c>
    </row>
    <row r="2140" spans="12:65" x14ac:dyDescent="0.3">
      <c r="L2140" s="427">
        <v>3691453.4084000001</v>
      </c>
      <c r="BE2140" s="477">
        <v>5381298.1480012471</v>
      </c>
      <c r="BF2140" s="458">
        <v>5.3501181337121784E-2</v>
      </c>
      <c r="BG2140" s="477">
        <v>5018417.5961841531</v>
      </c>
      <c r="BH2140" s="458">
        <v>7.7792831856992706E-2</v>
      </c>
      <c r="BI2140" s="477">
        <v>21732760.741304897</v>
      </c>
      <c r="BJ2140" s="458">
        <v>0.11118210099409631</v>
      </c>
      <c r="BK2140" s="477">
        <v>73489345.286501065</v>
      </c>
      <c r="BL2140" s="458">
        <v>0.2580559112775227</v>
      </c>
      <c r="BM2140" s="468">
        <v>9.9289034397147109</v>
      </c>
    </row>
    <row r="2141" spans="12:65" x14ac:dyDescent="0.3">
      <c r="L2141" s="427">
        <v>17607462.333799999</v>
      </c>
      <c r="BE2141" s="477">
        <v>4207664.6574252062</v>
      </c>
      <c r="BF2141" s="458">
        <v>2.9477454700261863E-2</v>
      </c>
      <c r="BG2141" s="477">
        <v>7646603.7542307936</v>
      </c>
      <c r="BH2141" s="458">
        <v>4.9820498762838117E-2</v>
      </c>
      <c r="BI2141" s="477">
        <v>16074850.885481428</v>
      </c>
      <c r="BJ2141" s="458">
        <v>8.9617667438261384E-2</v>
      </c>
      <c r="BK2141" s="477">
        <v>75878530.946375176</v>
      </c>
      <c r="BL2141" s="458">
        <v>0.27868312499414882</v>
      </c>
      <c r="BM2141" s="468">
        <v>1.845468875782184</v>
      </c>
    </row>
    <row r="2142" spans="12:65" x14ac:dyDescent="0.3">
      <c r="L2142" s="427">
        <v>3532497.3689999999</v>
      </c>
      <c r="BE2142" s="477">
        <v>-1104978.1994665917</v>
      </c>
      <c r="BF2142" s="458">
        <v>3.0531821069888609E-2</v>
      </c>
      <c r="BG2142" s="477">
        <v>8893328.6149448119</v>
      </c>
      <c r="BH2142" s="458">
        <v>3.1490370915895793E-2</v>
      </c>
      <c r="BI2142" s="477">
        <v>11304769.195609687</v>
      </c>
      <c r="BJ2142" s="458">
        <v>0.11320400542470632</v>
      </c>
      <c r="BK2142" s="477">
        <v>89095099.909591377</v>
      </c>
      <c r="BL2142" s="458">
        <v>0.27053540333458059</v>
      </c>
      <c r="BM2142" s="468">
        <v>14.484307132716786</v>
      </c>
    </row>
    <row r="2143" spans="12:65" x14ac:dyDescent="0.3">
      <c r="L2143" s="427">
        <v>-1998012.7838999999</v>
      </c>
      <c r="BE2143" s="477">
        <v>4229952.7538876003</v>
      </c>
      <c r="BF2143" s="458">
        <v>5.8700304839935047E-2</v>
      </c>
      <c r="BG2143" s="477">
        <v>4538082.7667039456</v>
      </c>
      <c r="BH2143" s="458">
        <v>6.1203155736123227E-2</v>
      </c>
      <c r="BI2143" s="477">
        <v>16940359.267676648</v>
      </c>
      <c r="BJ2143" s="458">
        <v>0.10319728442452947</v>
      </c>
      <c r="BK2143" s="477">
        <v>97925384.67621091</v>
      </c>
      <c r="BL2143" s="458">
        <v>0.26524246428170906</v>
      </c>
      <c r="BM2143" s="468">
        <v>11.10879963903041</v>
      </c>
    </row>
    <row r="2144" spans="12:65" x14ac:dyDescent="0.3">
      <c r="L2144" s="427">
        <v>5106390.2429</v>
      </c>
      <c r="BE2144" s="477">
        <v>4929994.142866144</v>
      </c>
      <c r="BF2144" s="458">
        <v>3.3794574395398902E-2</v>
      </c>
      <c r="BG2144" s="477">
        <v>953025.84807337273</v>
      </c>
      <c r="BH2144" s="458">
        <v>4.9967639649251883E-2</v>
      </c>
      <c r="BI2144" s="477">
        <v>22453937.10041073</v>
      </c>
      <c r="BJ2144" s="458">
        <v>0.13762377568046058</v>
      </c>
      <c r="BK2144" s="477">
        <v>91962270.313391909</v>
      </c>
      <c r="BL2144" s="458">
        <v>0.28193175391544267</v>
      </c>
      <c r="BM2144" s="468">
        <v>7.5396538142644811</v>
      </c>
    </row>
    <row r="2145" spans="12:65" x14ac:dyDescent="0.3">
      <c r="L2145" s="427">
        <v>16512374.2271</v>
      </c>
      <c r="BE2145" s="477">
        <v>11720136.353335463</v>
      </c>
      <c r="BF2145" s="458">
        <v>4.8398838905634456E-2</v>
      </c>
      <c r="BG2145" s="477">
        <v>7576260.3190522725</v>
      </c>
      <c r="BH2145" s="458">
        <v>6.8018031964326209E-2</v>
      </c>
      <c r="BI2145" s="477">
        <v>15578134.08384826</v>
      </c>
      <c r="BJ2145" s="458">
        <v>9.2543835815423137E-2</v>
      </c>
      <c r="BK2145" s="477">
        <v>90219638.24612762</v>
      </c>
      <c r="BL2145" s="458">
        <v>0.28325021487294144</v>
      </c>
      <c r="BM2145" s="468">
        <v>8.9398030604502292</v>
      </c>
    </row>
    <row r="2146" spans="12:65" x14ac:dyDescent="0.3">
      <c r="L2146" s="427">
        <v>7547583.0588999996</v>
      </c>
      <c r="BE2146" s="477">
        <v>1574709.4728017116</v>
      </c>
      <c r="BF2146" s="458">
        <v>5.1010415850731183E-2</v>
      </c>
      <c r="BG2146" s="477">
        <v>5243239.0620143339</v>
      </c>
      <c r="BH2146" s="458">
        <v>5.9045192921346468E-2</v>
      </c>
      <c r="BI2146" s="477">
        <v>16500008.924184261</v>
      </c>
      <c r="BJ2146" s="458">
        <v>0.14088474011315899</v>
      </c>
      <c r="BK2146" s="477">
        <v>92885213.924447477</v>
      </c>
      <c r="BL2146" s="458">
        <v>0.26892382744216392</v>
      </c>
      <c r="BM2146" s="468">
        <v>9.8444466371594679</v>
      </c>
    </row>
    <row r="2147" spans="12:65" x14ac:dyDescent="0.3">
      <c r="L2147" s="427">
        <v>-5224591.7253</v>
      </c>
      <c r="BE2147" s="477">
        <v>3117391.6946535199</v>
      </c>
      <c r="BF2147" s="458">
        <v>3.9777173510971542E-2</v>
      </c>
      <c r="BG2147" s="477">
        <v>6708829.6101265838</v>
      </c>
      <c r="BH2147" s="458">
        <v>7.9879436200369858E-2</v>
      </c>
      <c r="BI2147" s="477">
        <v>12099089.152946085</v>
      </c>
      <c r="BJ2147" s="458">
        <v>0.11620922867974426</v>
      </c>
      <c r="BK2147" s="477">
        <v>74032570.824894041</v>
      </c>
      <c r="BL2147" s="458">
        <v>0.31623384553863398</v>
      </c>
      <c r="BM2147" s="468">
        <v>3.67311054313382</v>
      </c>
    </row>
    <row r="2148" spans="12:65" x14ac:dyDescent="0.3">
      <c r="L2148" s="427">
        <v>18583953.714400001</v>
      </c>
      <c r="BE2148" s="477">
        <v>6300654.891095724</v>
      </c>
      <c r="BF2148" s="458">
        <v>1.4972596210109934E-2</v>
      </c>
      <c r="BG2148" s="477">
        <v>10576735.21300862</v>
      </c>
      <c r="BH2148" s="458">
        <v>6.0464429333423997E-2</v>
      </c>
      <c r="BI2148" s="477">
        <v>16427365.47569418</v>
      </c>
      <c r="BJ2148" s="458">
        <v>0.11725101403508797</v>
      </c>
      <c r="BK2148" s="477">
        <v>72946620.494164452</v>
      </c>
      <c r="BL2148" s="458">
        <v>0.27307664625559092</v>
      </c>
      <c r="BM2148" s="468">
        <v>9.4455731400429332</v>
      </c>
    </row>
    <row r="2149" spans="12:65" x14ac:dyDescent="0.3">
      <c r="L2149" s="427">
        <v>17992792.618900001</v>
      </c>
      <c r="BE2149" s="477">
        <v>5296607.0527539132</v>
      </c>
      <c r="BF2149" s="458">
        <v>2.8665834013428482E-2</v>
      </c>
      <c r="BG2149" s="477">
        <v>5992103.8112444719</v>
      </c>
      <c r="BH2149" s="458">
        <v>4.4825496842182622E-2</v>
      </c>
      <c r="BI2149" s="477">
        <v>15693567.503950613</v>
      </c>
      <c r="BJ2149" s="458">
        <v>0.11074218691171911</v>
      </c>
      <c r="BK2149" s="477">
        <v>81584492.824088365</v>
      </c>
      <c r="BL2149" s="458">
        <v>0.27352075663827358</v>
      </c>
      <c r="BM2149" s="468">
        <v>7.3547685181170843</v>
      </c>
    </row>
    <row r="2150" spans="12:65" x14ac:dyDescent="0.3">
      <c r="L2150" s="427">
        <v>13355217.7128</v>
      </c>
      <c r="BE2150" s="477">
        <v>803774.6441939004</v>
      </c>
      <c r="BF2150" s="458">
        <v>4.8567512511592081E-2</v>
      </c>
      <c r="BG2150" s="477">
        <v>-196654.42325324693</v>
      </c>
      <c r="BH2150" s="458">
        <v>7.1843374639966928E-2</v>
      </c>
      <c r="BI2150" s="477">
        <v>10149965.197141021</v>
      </c>
      <c r="BJ2150" s="458">
        <v>0.11863978142693909</v>
      </c>
      <c r="BK2150" s="477">
        <v>89574940.893119246</v>
      </c>
      <c r="BL2150" s="458">
        <v>0.27165401259909516</v>
      </c>
      <c r="BM2150" s="468">
        <v>11.67964615097795</v>
      </c>
    </row>
    <row r="2151" spans="12:65" x14ac:dyDescent="0.3">
      <c r="L2151" s="427">
        <v>18030863.161699999</v>
      </c>
      <c r="BE2151" s="477">
        <v>5554072.3801613916</v>
      </c>
      <c r="BF2151" s="458">
        <v>2.0476291721499118E-2</v>
      </c>
      <c r="BG2151" s="477">
        <v>8828573.3127862196</v>
      </c>
      <c r="BH2151" s="458">
        <v>4.7848779105708061E-2</v>
      </c>
      <c r="BI2151" s="477">
        <v>19536985.176353429</v>
      </c>
      <c r="BJ2151" s="458">
        <v>9.9028864084955259E-2</v>
      </c>
      <c r="BK2151" s="477">
        <v>95285219.59343946</v>
      </c>
      <c r="BL2151" s="458">
        <v>0.29152706749986224</v>
      </c>
      <c r="BM2151" s="468">
        <v>-1.9313979797424885</v>
      </c>
    </row>
    <row r="2152" spans="12:65" x14ac:dyDescent="0.3">
      <c r="L2152" s="427">
        <v>6588797.2303999998</v>
      </c>
      <c r="BE2152" s="477">
        <v>9249221.1370061394</v>
      </c>
      <c r="BF2152" s="458">
        <v>3.0027190666991999E-2</v>
      </c>
      <c r="BG2152" s="477">
        <v>5581191.8441531463</v>
      </c>
      <c r="BH2152" s="458">
        <v>7.8414589887773056E-2</v>
      </c>
      <c r="BI2152" s="477">
        <v>17904056.965791915</v>
      </c>
      <c r="BJ2152" s="458">
        <v>0.11765681057539679</v>
      </c>
      <c r="BK2152" s="477">
        <v>90312162.282336369</v>
      </c>
      <c r="BL2152" s="458">
        <v>0.25566349718092263</v>
      </c>
      <c r="BM2152" s="468">
        <v>9.1969793713253551</v>
      </c>
    </row>
    <row r="2153" spans="12:65" x14ac:dyDescent="0.3">
      <c r="L2153" s="427">
        <v>11173103.916099999</v>
      </c>
      <c r="BE2153" s="477">
        <v>5883021.2467249706</v>
      </c>
      <c r="BF2153" s="458">
        <v>3.1880288906881882E-2</v>
      </c>
      <c r="BG2153" s="477">
        <v>9595785.0829112045</v>
      </c>
      <c r="BH2153" s="458">
        <v>5.3506449419217672E-2</v>
      </c>
      <c r="BI2153" s="477">
        <v>15197672.186266182</v>
      </c>
      <c r="BJ2153" s="458">
        <v>0.11955942219509241</v>
      </c>
      <c r="BK2153" s="477">
        <v>89294088.353714436</v>
      </c>
      <c r="BL2153" s="458">
        <v>0.2779555628108521</v>
      </c>
      <c r="BM2153" s="468">
        <v>13.031803600615142</v>
      </c>
    </row>
    <row r="2154" spans="12:65" x14ac:dyDescent="0.3">
      <c r="L2154" s="427">
        <v>20328573.553599998</v>
      </c>
      <c r="BE2154" s="477">
        <v>388339.03954671108</v>
      </c>
      <c r="BF2154" s="458">
        <v>2.3650849266579899E-2</v>
      </c>
      <c r="BG2154" s="477">
        <v>15196284.410501709</v>
      </c>
      <c r="BH2154" s="458">
        <v>6.2893253337575672E-2</v>
      </c>
      <c r="BI2154" s="477">
        <v>17218876.295034986</v>
      </c>
      <c r="BJ2154" s="458">
        <v>0.11530623565679332</v>
      </c>
      <c r="BK2154" s="477">
        <v>98132741.04864648</v>
      </c>
      <c r="BL2154" s="458">
        <v>0.26468272296513895</v>
      </c>
      <c r="BM2154" s="468">
        <v>4.9174789817261813</v>
      </c>
    </row>
    <row r="2155" spans="12:65" x14ac:dyDescent="0.3">
      <c r="L2155" s="427">
        <v>23368512.534200002</v>
      </c>
      <c r="BE2155" s="477">
        <v>4705702.0198388239</v>
      </c>
      <c r="BF2155" s="458">
        <v>4.482276123796014E-2</v>
      </c>
      <c r="BG2155" s="477">
        <v>8051268.3762365375</v>
      </c>
      <c r="BH2155" s="458">
        <v>7.1531217523163937E-2</v>
      </c>
      <c r="BI2155" s="477">
        <v>9641315.8912215121</v>
      </c>
      <c r="BJ2155" s="458">
        <v>5.7484294914015077E-2</v>
      </c>
      <c r="BK2155" s="477">
        <v>89660198.39301756</v>
      </c>
      <c r="BL2155" s="458">
        <v>0.26404541824282268</v>
      </c>
      <c r="BM2155" s="468">
        <v>9.4907356882362315</v>
      </c>
    </row>
    <row r="2156" spans="12:65" x14ac:dyDescent="0.3">
      <c r="L2156" s="427">
        <v>18342392.678199999</v>
      </c>
      <c r="BE2156" s="477">
        <v>5852491.4926402867</v>
      </c>
      <c r="BF2156" s="458">
        <v>2.8008918257753868E-2</v>
      </c>
      <c r="BG2156" s="477">
        <v>13434136.256325794</v>
      </c>
      <c r="BH2156" s="458">
        <v>5.5459784368051102E-2</v>
      </c>
      <c r="BI2156" s="477">
        <v>22213797.797794934</v>
      </c>
      <c r="BJ2156" s="458">
        <v>9.7232372116022203E-2</v>
      </c>
      <c r="BK2156" s="477">
        <v>86804952.818144873</v>
      </c>
      <c r="BL2156" s="458">
        <v>0.2637497058498488</v>
      </c>
      <c r="BM2156" s="468">
        <v>2.3596094148856643</v>
      </c>
    </row>
    <row r="2157" spans="12:65" x14ac:dyDescent="0.3">
      <c r="L2157" s="427">
        <v>13624634.2459</v>
      </c>
      <c r="BE2157" s="477">
        <v>7837862.1186099295</v>
      </c>
      <c r="BF2157" s="458">
        <v>3.789103680273409E-2</v>
      </c>
      <c r="BG2157" s="477">
        <v>8924488.9058063272</v>
      </c>
      <c r="BH2157" s="458">
        <v>5.3686282591399737E-2</v>
      </c>
      <c r="BI2157" s="477">
        <v>19417173.269418079</v>
      </c>
      <c r="BJ2157" s="458">
        <v>0.1079497786349064</v>
      </c>
      <c r="BK2157" s="477">
        <v>87504582.306487247</v>
      </c>
      <c r="BL2157" s="458">
        <v>0.27811827411747281</v>
      </c>
      <c r="BM2157" s="468">
        <v>-0.57130921549974012</v>
      </c>
    </row>
    <row r="2158" spans="12:65" x14ac:dyDescent="0.3">
      <c r="L2158" s="427">
        <v>-2521574.0589000001</v>
      </c>
      <c r="BE2158" s="477">
        <v>6357122.6097031636</v>
      </c>
      <c r="BF2158" s="458">
        <v>3.43494278483778E-2</v>
      </c>
      <c r="BG2158" s="477">
        <v>9147730.4280798156</v>
      </c>
      <c r="BH2158" s="458">
        <v>4.7919937002919744E-2</v>
      </c>
      <c r="BI2158" s="477">
        <v>9721241.0501625855</v>
      </c>
      <c r="BJ2158" s="458">
        <v>0.12604507514456986</v>
      </c>
      <c r="BK2158" s="477">
        <v>92262427.041198075</v>
      </c>
      <c r="BL2158" s="458">
        <v>0.25985819285198275</v>
      </c>
      <c r="BM2158" s="468">
        <v>7.8496932910246926</v>
      </c>
    </row>
    <row r="2159" spans="12:65" x14ac:dyDescent="0.3">
      <c r="L2159" s="427">
        <v>5861154.3444999997</v>
      </c>
      <c r="BE2159" s="477">
        <v>3481656.609616233</v>
      </c>
      <c r="BF2159" s="458">
        <v>2.1551051543135413E-2</v>
      </c>
      <c r="BG2159" s="477">
        <v>9686282.8494201321</v>
      </c>
      <c r="BH2159" s="458">
        <v>4.6693800642213734E-2</v>
      </c>
      <c r="BI2159" s="477">
        <v>16062778.520101253</v>
      </c>
      <c r="BJ2159" s="458">
        <v>0.10357317410210265</v>
      </c>
      <c r="BK2159" s="477">
        <v>88275280.269349068</v>
      </c>
      <c r="BL2159" s="458">
        <v>0.26499430350143727</v>
      </c>
      <c r="BM2159" s="468">
        <v>3.7654413355951375</v>
      </c>
    </row>
    <row r="2160" spans="12:65" x14ac:dyDescent="0.3">
      <c r="L2160" s="427">
        <v>24219552.238899998</v>
      </c>
      <c r="BE2160" s="477">
        <v>8009873.3328355709</v>
      </c>
      <c r="BF2160" s="458">
        <v>4.209855203441415E-2</v>
      </c>
      <c r="BG2160" s="477">
        <v>12023335.316448348</v>
      </c>
      <c r="BH2160" s="458">
        <v>5.3047294903520781E-2</v>
      </c>
      <c r="BI2160" s="477">
        <v>6698869.5807300564</v>
      </c>
      <c r="BJ2160" s="458">
        <v>0.10299600475546544</v>
      </c>
      <c r="BK2160" s="477">
        <v>84776177.513303325</v>
      </c>
      <c r="BL2160" s="458">
        <v>0.26325269890484604</v>
      </c>
      <c r="BM2160" s="468">
        <v>12.422186891881898</v>
      </c>
    </row>
    <row r="2161" spans="12:65" x14ac:dyDescent="0.3">
      <c r="L2161" s="427">
        <v>9508202.6856999993</v>
      </c>
      <c r="BE2161" s="477">
        <v>-89357.126110948389</v>
      </c>
      <c r="BF2161" s="458">
        <v>1.6863664654881871E-2</v>
      </c>
      <c r="BG2161" s="477">
        <v>11515597.771570439</v>
      </c>
      <c r="BH2161" s="458">
        <v>3.6056973982006468E-2</v>
      </c>
      <c r="BI2161" s="477">
        <v>10151908.348114997</v>
      </c>
      <c r="BJ2161" s="458">
        <v>0.120630027791784</v>
      </c>
      <c r="BK2161" s="477">
        <v>88601839.031841472</v>
      </c>
      <c r="BL2161" s="458">
        <v>0.29637964730507149</v>
      </c>
      <c r="BM2161" s="468">
        <v>9.0840818604856324</v>
      </c>
    </row>
    <row r="2162" spans="12:65" x14ac:dyDescent="0.3">
      <c r="L2162" s="427">
        <v>17181490.1261</v>
      </c>
      <c r="BE2162" s="477">
        <v>5440263.3264102405</v>
      </c>
      <c r="BF2162" s="458">
        <v>6.4502569079313066E-2</v>
      </c>
      <c r="BG2162" s="477">
        <v>14678091.898604663</v>
      </c>
      <c r="BH2162" s="458">
        <v>8.3525512782268052E-2</v>
      </c>
      <c r="BI2162" s="477">
        <v>17396053.663410619</v>
      </c>
      <c r="BJ2162" s="458">
        <v>9.5327058146045696E-2</v>
      </c>
      <c r="BK2162" s="477">
        <v>82628497.901732266</v>
      </c>
      <c r="BL2162" s="458">
        <v>0.2561053175821415</v>
      </c>
      <c r="BM2162" s="468">
        <v>10.420200136877714</v>
      </c>
    </row>
    <row r="2163" spans="12:65" x14ac:dyDescent="0.3">
      <c r="L2163" s="427">
        <v>13579528.5886</v>
      </c>
      <c r="BE2163" s="477">
        <v>6201825.7835257212</v>
      </c>
      <c r="BF2163" s="458">
        <v>2.9505186578120624E-2</v>
      </c>
      <c r="BG2163" s="477">
        <v>9992170.2070377786</v>
      </c>
      <c r="BH2163" s="458">
        <v>5.4311079296006204E-2</v>
      </c>
      <c r="BI2163" s="477">
        <v>27090591.99342411</v>
      </c>
      <c r="BJ2163" s="458">
        <v>0.11482333003166167</v>
      </c>
      <c r="BK2163" s="477">
        <v>81626921.208711967</v>
      </c>
      <c r="BL2163" s="458">
        <v>0.30670533691325708</v>
      </c>
      <c r="BM2163" s="468">
        <v>7.3624613126319787</v>
      </c>
    </row>
    <row r="2164" spans="12:65" x14ac:dyDescent="0.3">
      <c r="L2164" s="427">
        <v>16426035.3695</v>
      </c>
      <c r="BE2164" s="477">
        <v>5033348.5027854368</v>
      </c>
      <c r="BF2164" s="458">
        <v>2.2723835900484879E-2</v>
      </c>
      <c r="BG2164" s="477">
        <v>7190970.141425211</v>
      </c>
      <c r="BH2164" s="458">
        <v>0.12255513352434</v>
      </c>
      <c r="BI2164" s="477">
        <v>17628373.02473437</v>
      </c>
      <c r="BJ2164" s="458">
        <v>0.13922994280774148</v>
      </c>
      <c r="BK2164" s="477">
        <v>78050280.907250747</v>
      </c>
      <c r="BL2164" s="458">
        <v>0.29083995018017417</v>
      </c>
      <c r="BM2164" s="468">
        <v>11.494252762213723</v>
      </c>
    </row>
    <row r="2165" spans="12:65" x14ac:dyDescent="0.3">
      <c r="L2165" s="427">
        <v>9399503.8657000009</v>
      </c>
      <c r="BE2165" s="477">
        <v>5704866.6785740936</v>
      </c>
      <c r="BF2165" s="458">
        <v>3.9712410918129493E-2</v>
      </c>
      <c r="BG2165" s="477">
        <v>7887800.9054155201</v>
      </c>
      <c r="BH2165" s="458">
        <v>5.4923193118151525E-2</v>
      </c>
      <c r="BI2165" s="477">
        <v>21371993.408199295</v>
      </c>
      <c r="BJ2165" s="458">
        <v>0.12385639260528425</v>
      </c>
      <c r="BK2165" s="477">
        <v>74966949.404388189</v>
      </c>
      <c r="BL2165" s="458">
        <v>0.26247030220289647</v>
      </c>
      <c r="BM2165" s="468">
        <v>13.95475218718085</v>
      </c>
    </row>
    <row r="2166" spans="12:65" x14ac:dyDescent="0.3">
      <c r="L2166" s="427">
        <v>13487673.908399999</v>
      </c>
      <c r="BE2166" s="477">
        <v>4487310.6932406891</v>
      </c>
      <c r="BF2166" s="458">
        <v>5.4152943802788123E-2</v>
      </c>
      <c r="BG2166" s="477">
        <v>7008648.8029402383</v>
      </c>
      <c r="BH2166" s="458">
        <v>5.1877898522192822E-2</v>
      </c>
      <c r="BI2166" s="477">
        <v>18825387.81500379</v>
      </c>
      <c r="BJ2166" s="458">
        <v>9.6624230510720999E-2</v>
      </c>
      <c r="BK2166" s="477">
        <v>92791057.779474035</v>
      </c>
      <c r="BL2166" s="458">
        <v>0.26293683899103226</v>
      </c>
      <c r="BM2166" s="468">
        <v>13.164786924355486</v>
      </c>
    </row>
    <row r="2167" spans="12:65" x14ac:dyDescent="0.3">
      <c r="L2167" s="427">
        <v>8693794.3480999991</v>
      </c>
      <c r="BE2167" s="477">
        <v>10260622.090768363</v>
      </c>
      <c r="BF2167" s="458">
        <v>3.7338608231296977E-2</v>
      </c>
      <c r="BG2167" s="477">
        <v>5088285.9989870787</v>
      </c>
      <c r="BH2167" s="458">
        <v>7.2203009317782563E-2</v>
      </c>
      <c r="BI2167" s="477">
        <v>26141921.003105067</v>
      </c>
      <c r="BJ2167" s="458">
        <v>0.10332437064018052</v>
      </c>
      <c r="BK2167" s="477">
        <v>86444817.697301403</v>
      </c>
      <c r="BL2167" s="458">
        <v>0.26152982546856518</v>
      </c>
      <c r="BM2167" s="468">
        <v>7.3973383655529403</v>
      </c>
    </row>
    <row r="2168" spans="12:65" x14ac:dyDescent="0.3">
      <c r="L2168" s="427">
        <v>524418.02379999997</v>
      </c>
      <c r="BE2168" s="477">
        <v>6611539.5552191557</v>
      </c>
      <c r="BF2168" s="458">
        <v>3.3819487928796743E-2</v>
      </c>
      <c r="BG2168" s="477">
        <v>8422007.4325703178</v>
      </c>
      <c r="BH2168" s="458">
        <v>6.086592006896363E-2</v>
      </c>
      <c r="BI2168" s="477">
        <v>16061488.458556486</v>
      </c>
      <c r="BJ2168" s="458">
        <v>0.12821943118525336</v>
      </c>
      <c r="BK2168" s="477">
        <v>81973263.97256355</v>
      </c>
      <c r="BL2168" s="458">
        <v>0.28672086090826543</v>
      </c>
      <c r="BM2168" s="468">
        <v>5.2857008685253213</v>
      </c>
    </row>
    <row r="2169" spans="12:65" x14ac:dyDescent="0.3">
      <c r="L2169" s="427">
        <v>1045052.7864</v>
      </c>
      <c r="BE2169" s="477">
        <v>6860110.5215551313</v>
      </c>
      <c r="BF2169" s="458">
        <v>4.7237140502005115E-2</v>
      </c>
      <c r="BG2169" s="477">
        <v>4643230.6501330677</v>
      </c>
      <c r="BH2169" s="458">
        <v>7.6124675582368573E-2</v>
      </c>
      <c r="BI2169" s="477">
        <v>15108074.870138181</v>
      </c>
      <c r="BJ2169" s="458">
        <v>8.5661812716314012E-2</v>
      </c>
      <c r="BK2169" s="477">
        <v>83077606.828492075</v>
      </c>
      <c r="BL2169" s="458">
        <v>0.2626109869766331</v>
      </c>
      <c r="BM2169" s="468">
        <v>7.3707257638181041</v>
      </c>
    </row>
    <row r="2170" spans="12:65" x14ac:dyDescent="0.3">
      <c r="L2170" s="427">
        <v>-4669155.6968999999</v>
      </c>
      <c r="BE2170" s="477">
        <v>5390734.3815944046</v>
      </c>
      <c r="BF2170" s="458">
        <v>5.3673309729046048E-2</v>
      </c>
      <c r="BG2170" s="477">
        <v>9273571.9138153177</v>
      </c>
      <c r="BH2170" s="458">
        <v>4.2074440019444603E-2</v>
      </c>
      <c r="BI2170" s="477">
        <v>18881407.03937741</v>
      </c>
      <c r="BJ2170" s="458">
        <v>8.4410680922542447E-2</v>
      </c>
      <c r="BK2170" s="477">
        <v>91971102.343502134</v>
      </c>
      <c r="BL2170" s="458">
        <v>0.26703066114644769</v>
      </c>
      <c r="BM2170" s="468">
        <v>4.1248258792014969</v>
      </c>
    </row>
    <row r="2171" spans="12:65" x14ac:dyDescent="0.3">
      <c r="L2171" s="427">
        <v>25188435.584199999</v>
      </c>
      <c r="BE2171" s="477">
        <v>4496257.5671529258</v>
      </c>
      <c r="BF2171" s="458">
        <v>3.4083695532818314E-2</v>
      </c>
      <c r="BG2171" s="477">
        <v>5798689.6988819381</v>
      </c>
      <c r="BH2171" s="458">
        <v>5.1118497218651138E-2</v>
      </c>
      <c r="BI2171" s="477">
        <v>26702904.589497428</v>
      </c>
      <c r="BJ2171" s="458">
        <v>0.11729788537337127</v>
      </c>
      <c r="BK2171" s="477">
        <v>102687278.98001766</v>
      </c>
      <c r="BL2171" s="458">
        <v>0.2748271407227203</v>
      </c>
      <c r="BM2171" s="468">
        <v>11.420155601728482</v>
      </c>
    </row>
    <row r="2172" spans="12:65" x14ac:dyDescent="0.3">
      <c r="L2172" s="427">
        <v>17483642.757199999</v>
      </c>
      <c r="BE2172" s="477">
        <v>3614945.0971678989</v>
      </c>
      <c r="BF2172" s="458">
        <v>7.0222329680939444E-2</v>
      </c>
      <c r="BG2172" s="477">
        <v>6106459.7925731661</v>
      </c>
      <c r="BH2172" s="458">
        <v>3.1705478106452301E-2</v>
      </c>
      <c r="BI2172" s="477">
        <v>25588912.347378697</v>
      </c>
      <c r="BJ2172" s="458">
        <v>8.8713977170060687E-2</v>
      </c>
      <c r="BK2172" s="477">
        <v>86590939.578431338</v>
      </c>
      <c r="BL2172" s="458">
        <v>0.25881288185151985</v>
      </c>
      <c r="BM2172" s="468">
        <v>10.056371721515976</v>
      </c>
    </row>
    <row r="2173" spans="12:65" x14ac:dyDescent="0.3">
      <c r="L2173" s="427">
        <v>-303778.03850000002</v>
      </c>
      <c r="BE2173" s="477">
        <v>9826335.9579319824</v>
      </c>
      <c r="BF2173" s="458">
        <v>3.2603648659105255E-2</v>
      </c>
      <c r="BG2173" s="477">
        <v>3701235.7192819631</v>
      </c>
      <c r="BH2173" s="458">
        <v>7.0758166842879167E-2</v>
      </c>
      <c r="BI2173" s="477">
        <v>14150257.29644352</v>
      </c>
      <c r="BJ2173" s="458">
        <v>9.8208619418021392E-2</v>
      </c>
      <c r="BK2173" s="477">
        <v>96589552.567944899</v>
      </c>
      <c r="BL2173" s="458">
        <v>0.26038209202119988</v>
      </c>
      <c r="BM2173" s="468">
        <v>10.120884659957355</v>
      </c>
    </row>
    <row r="2174" spans="12:65" x14ac:dyDescent="0.3">
      <c r="L2174" s="427">
        <v>13071567.638900001</v>
      </c>
      <c r="BE2174" s="477">
        <v>3374451.5479928334</v>
      </c>
      <c r="BF2174" s="458">
        <v>3.0003140914836468E-2</v>
      </c>
      <c r="BG2174" s="477">
        <v>6564817.1805328038</v>
      </c>
      <c r="BH2174" s="458">
        <v>9.0607699773159078E-2</v>
      </c>
      <c r="BI2174" s="477">
        <v>16638065.131958719</v>
      </c>
      <c r="BJ2174" s="458">
        <v>6.6368811623222834E-2</v>
      </c>
      <c r="BK2174" s="477">
        <v>86413651.576004893</v>
      </c>
      <c r="BL2174" s="458">
        <v>0.27445952325283707</v>
      </c>
      <c r="BM2174" s="468">
        <v>4.8801390433826732</v>
      </c>
    </row>
    <row r="2175" spans="12:65" x14ac:dyDescent="0.3">
      <c r="L2175" s="427">
        <v>18931733.394000001</v>
      </c>
      <c r="BE2175" s="477">
        <v>3292155.3622585959</v>
      </c>
      <c r="BF2175" s="458">
        <v>1.367384133357552E-2</v>
      </c>
      <c r="BG2175" s="477">
        <v>5383588.8910531234</v>
      </c>
      <c r="BH2175" s="458">
        <v>6.6527116998494229E-2</v>
      </c>
      <c r="BI2175" s="477">
        <v>20681294.296765838</v>
      </c>
      <c r="BJ2175" s="458">
        <v>8.4129900438594696E-2</v>
      </c>
      <c r="BK2175" s="477">
        <v>84105842.956482589</v>
      </c>
      <c r="BL2175" s="458">
        <v>0.26808057753511116</v>
      </c>
      <c r="BM2175" s="468">
        <v>8.4418878713882357</v>
      </c>
    </row>
    <row r="2176" spans="12:65" x14ac:dyDescent="0.3">
      <c r="L2176" s="427">
        <v>-13773151.1336</v>
      </c>
      <c r="BE2176" s="477">
        <v>7804170.4112777822</v>
      </c>
      <c r="BF2176" s="458">
        <v>4.3685124245367968E-2</v>
      </c>
      <c r="BG2176" s="477">
        <v>6926350.9478720697</v>
      </c>
      <c r="BH2176" s="458">
        <v>4.9612646072103139E-2</v>
      </c>
      <c r="BI2176" s="477">
        <v>11419320.295713745</v>
      </c>
      <c r="BJ2176" s="458">
        <v>9.4295910561853935E-2</v>
      </c>
      <c r="BK2176" s="477">
        <v>89071909.359520644</v>
      </c>
      <c r="BL2176" s="458">
        <v>0.25744298162041002</v>
      </c>
      <c r="BM2176" s="468">
        <v>11.240277538731188</v>
      </c>
    </row>
    <row r="2177" spans="12:65" x14ac:dyDescent="0.3">
      <c r="L2177" s="427">
        <v>11001307.9967</v>
      </c>
      <c r="BE2177" s="477">
        <v>5483782.5167686231</v>
      </c>
      <c r="BF2177" s="458">
        <v>3.1802859962597019E-2</v>
      </c>
      <c r="BG2177" s="477">
        <v>8565243.6291434113</v>
      </c>
      <c r="BH2177" s="458">
        <v>7.1830989674215306E-2</v>
      </c>
      <c r="BI2177" s="477">
        <v>13068296.91782142</v>
      </c>
      <c r="BJ2177" s="458">
        <v>8.577657560781482E-2</v>
      </c>
      <c r="BK2177" s="477">
        <v>87459114.948124066</v>
      </c>
      <c r="BL2177" s="458">
        <v>0.28371919315619598</v>
      </c>
      <c r="BM2177" s="468">
        <v>1.7639182167978369</v>
      </c>
    </row>
    <row r="2178" spans="12:65" x14ac:dyDescent="0.3">
      <c r="L2178" s="427">
        <v>20124964.663899999</v>
      </c>
      <c r="BE2178" s="477">
        <v>6306510.4941016566</v>
      </c>
      <c r="BF2178" s="458">
        <v>2.1567610092343648E-2</v>
      </c>
      <c r="BG2178" s="477">
        <v>11256975.211366007</v>
      </c>
      <c r="BH2178" s="458">
        <v>7.295924082040095E-2</v>
      </c>
      <c r="BI2178" s="477">
        <v>15727369.975801986</v>
      </c>
      <c r="BJ2178" s="458">
        <v>0.10957454154718826</v>
      </c>
      <c r="BK2178" s="477">
        <v>86613604.298918605</v>
      </c>
      <c r="BL2178" s="458">
        <v>0.27423803726421769</v>
      </c>
      <c r="BM2178" s="468">
        <v>14.269970712831535</v>
      </c>
    </row>
    <row r="2179" spans="12:65" x14ac:dyDescent="0.3">
      <c r="L2179" s="427">
        <v>3044383.5104</v>
      </c>
      <c r="BE2179" s="477">
        <v>4670453.3542632777</v>
      </c>
      <c r="BF2179" s="458">
        <v>2.3845373335115605E-2</v>
      </c>
      <c r="BG2179" s="477">
        <v>6488199.1956482651</v>
      </c>
      <c r="BH2179" s="458">
        <v>4.8484588203568046E-2</v>
      </c>
      <c r="BI2179" s="477">
        <v>15077811.626714662</v>
      </c>
      <c r="BJ2179" s="458">
        <v>8.0168185438498796E-2</v>
      </c>
      <c r="BK2179" s="477">
        <v>88428517.662653461</v>
      </c>
      <c r="BL2179" s="458">
        <v>0.28712167171437719</v>
      </c>
      <c r="BM2179" s="468">
        <v>5.6373980004639446</v>
      </c>
    </row>
    <row r="2180" spans="12:65" x14ac:dyDescent="0.3">
      <c r="L2180" s="427">
        <v>13552132.280400001</v>
      </c>
      <c r="BE2180" s="477">
        <v>3206065.6488081994</v>
      </c>
      <c r="BF2180" s="458">
        <v>3.0151105492012276E-2</v>
      </c>
      <c r="BG2180" s="477">
        <v>9075949.3537445106</v>
      </c>
      <c r="BH2180" s="458">
        <v>6.4016074746148011E-2</v>
      </c>
      <c r="BI2180" s="477">
        <v>15919043.192703513</v>
      </c>
      <c r="BJ2180" s="458">
        <v>0.12140991017943281</v>
      </c>
      <c r="BK2180" s="477">
        <v>86098415.798172459</v>
      </c>
      <c r="BL2180" s="458">
        <v>0.26745777538793769</v>
      </c>
      <c r="BM2180" s="468">
        <v>8.3004568281279276</v>
      </c>
    </row>
    <row r="2181" spans="12:65" x14ac:dyDescent="0.3">
      <c r="L2181" s="427">
        <v>22955854.203899998</v>
      </c>
      <c r="BE2181" s="477">
        <v>3518242.034224926</v>
      </c>
      <c r="BF2181" s="458">
        <v>2.5875314196992072E-2</v>
      </c>
      <c r="BG2181" s="477">
        <v>15115187.183580307</v>
      </c>
      <c r="BH2181" s="458">
        <v>4.9623994969511642E-2</v>
      </c>
      <c r="BI2181" s="477">
        <v>17795385.304513697</v>
      </c>
      <c r="BJ2181" s="458">
        <v>0.13126627260445511</v>
      </c>
      <c r="BK2181" s="477">
        <v>83351505.710463807</v>
      </c>
      <c r="BL2181" s="458">
        <v>0.25921098267178388</v>
      </c>
      <c r="BM2181" s="468">
        <v>8.2880069872999229</v>
      </c>
    </row>
    <row r="2182" spans="12:65" x14ac:dyDescent="0.3">
      <c r="L2182" s="427">
        <v>2792980.7382999999</v>
      </c>
      <c r="BE2182" s="477">
        <v>5737948.1126159439</v>
      </c>
      <c r="BF2182" s="458">
        <v>3.2354222173733627E-2</v>
      </c>
      <c r="BG2182" s="477">
        <v>6648757.445012602</v>
      </c>
      <c r="BH2182" s="458">
        <v>6.2053492051235892E-2</v>
      </c>
      <c r="BI2182" s="477">
        <v>16436122.853867251</v>
      </c>
      <c r="BJ2182" s="458">
        <v>0.10267261022592167</v>
      </c>
      <c r="BK2182" s="477">
        <v>90112420.405351937</v>
      </c>
      <c r="BL2182" s="458">
        <v>0.25082738485846079</v>
      </c>
      <c r="BM2182" s="468">
        <v>0.83638448842522095</v>
      </c>
    </row>
    <row r="2183" spans="12:65" x14ac:dyDescent="0.3">
      <c r="L2183" s="427">
        <v>5038160.6595000001</v>
      </c>
      <c r="BE2183" s="477">
        <v>5296251.7379542086</v>
      </c>
      <c r="BF2183" s="458">
        <v>3.2780809587047877E-2</v>
      </c>
      <c r="BG2183" s="477">
        <v>4197098.6386380009</v>
      </c>
      <c r="BH2183" s="458">
        <v>6.176367803632421E-2</v>
      </c>
      <c r="BI2183" s="477">
        <v>12006628.211678954</v>
      </c>
      <c r="BJ2183" s="458">
        <v>0.10746392957233319</v>
      </c>
      <c r="BK2183" s="477">
        <v>97073857.553438306</v>
      </c>
      <c r="BL2183" s="458">
        <v>0.26280393513206901</v>
      </c>
      <c r="BM2183" s="468">
        <v>8.1775344869490727</v>
      </c>
    </row>
    <row r="2184" spans="12:65" x14ac:dyDescent="0.3">
      <c r="L2184" s="427">
        <v>5399464.1485000001</v>
      </c>
      <c r="BE2184" s="477">
        <v>3008065.9664198961</v>
      </c>
      <c r="BF2184" s="458">
        <v>4.9678178605270462E-2</v>
      </c>
      <c r="BG2184" s="477">
        <v>10992326.280975731</v>
      </c>
      <c r="BH2184" s="458">
        <v>5.112182477733529E-2</v>
      </c>
      <c r="BI2184" s="477">
        <v>6468373.5915936939</v>
      </c>
      <c r="BJ2184" s="458">
        <v>0.14449275203745682</v>
      </c>
      <c r="BK2184" s="477">
        <v>97283550.001872703</v>
      </c>
      <c r="BL2184" s="458">
        <v>0.28125886040124692</v>
      </c>
      <c r="BM2184" s="468">
        <v>9.8855822146373029</v>
      </c>
    </row>
    <row r="2185" spans="12:65" x14ac:dyDescent="0.3">
      <c r="L2185" s="427">
        <v>-5103853.2989999996</v>
      </c>
      <c r="BE2185" s="477">
        <v>5050997.9798969002</v>
      </c>
      <c r="BF2185" s="458">
        <v>4.4652243576887685E-2</v>
      </c>
      <c r="BG2185" s="477">
        <v>6270503.0329557182</v>
      </c>
      <c r="BH2185" s="458">
        <v>5.2865534403055303E-2</v>
      </c>
      <c r="BI2185" s="477">
        <v>19926430.550315723</v>
      </c>
      <c r="BJ2185" s="458">
        <v>9.4042127629984984E-2</v>
      </c>
      <c r="BK2185" s="477">
        <v>96210655.869824514</v>
      </c>
      <c r="BL2185" s="458">
        <v>0.25776753111867867</v>
      </c>
      <c r="BM2185" s="468">
        <v>8.5690618150237423</v>
      </c>
    </row>
    <row r="2186" spans="12:65" x14ac:dyDescent="0.3">
      <c r="L2186" s="427">
        <v>8864183.5665000007</v>
      </c>
      <c r="BE2186" s="477">
        <v>4477486.0977798877</v>
      </c>
      <c r="BF2186" s="458">
        <v>6.1760182204224634E-2</v>
      </c>
      <c r="BG2186" s="477">
        <v>7176916.5720042363</v>
      </c>
      <c r="BH2186" s="458">
        <v>0.10669316769897308</v>
      </c>
      <c r="BI2186" s="477">
        <v>23165474.23167643</v>
      </c>
      <c r="BJ2186" s="458">
        <v>0.11540340430928553</v>
      </c>
      <c r="BK2186" s="477">
        <v>85221263.601705074</v>
      </c>
      <c r="BL2186" s="458">
        <v>0.28225930507497865</v>
      </c>
      <c r="BM2186" s="468">
        <v>3.7435495612163683</v>
      </c>
    </row>
    <row r="2187" spans="12:65" x14ac:dyDescent="0.3">
      <c r="L2187" s="427">
        <v>15965749.152799999</v>
      </c>
      <c r="BE2187" s="477">
        <v>6469596.8883997947</v>
      </c>
      <c r="BF2187" s="458">
        <v>5.2868661272352568E-2</v>
      </c>
      <c r="BG2187" s="477">
        <v>9408838.1998890396</v>
      </c>
      <c r="BH2187" s="458">
        <v>9.0776340464576277E-2</v>
      </c>
      <c r="BI2187" s="477">
        <v>17340744.919030577</v>
      </c>
      <c r="BJ2187" s="458">
        <v>8.7627209925965177E-2</v>
      </c>
      <c r="BK2187" s="477">
        <v>82093001.612958476</v>
      </c>
      <c r="BL2187" s="458">
        <v>0.30289775086048842</v>
      </c>
      <c r="BM2187" s="468">
        <v>7.5913449397108632</v>
      </c>
    </row>
    <row r="2188" spans="12:65" x14ac:dyDescent="0.3">
      <c r="L2188" s="427">
        <v>3423889.9226000002</v>
      </c>
      <c r="BE2188" s="477">
        <v>6252200.6110684676</v>
      </c>
      <c r="BF2188" s="458">
        <v>2.3612458574407524E-2</v>
      </c>
      <c r="BG2188" s="477">
        <v>10172760.07337385</v>
      </c>
      <c r="BH2188" s="458">
        <v>8.9503078271224945E-2</v>
      </c>
      <c r="BI2188" s="477">
        <v>23592818.636864435</v>
      </c>
      <c r="BJ2188" s="458">
        <v>0.16400876523430408</v>
      </c>
      <c r="BK2188" s="477">
        <v>95190633.51689285</v>
      </c>
      <c r="BL2188" s="458">
        <v>0.28581895660325829</v>
      </c>
      <c r="BM2188" s="468">
        <v>3.5570303630173381</v>
      </c>
    </row>
    <row r="2189" spans="12:65" x14ac:dyDescent="0.3">
      <c r="L2189" s="427">
        <v>665446.15989999997</v>
      </c>
      <c r="BE2189" s="477">
        <v>4191283.3791463361</v>
      </c>
      <c r="BF2189" s="458">
        <v>5.1242876922550584E-2</v>
      </c>
      <c r="BG2189" s="477">
        <v>10421096.892584285</v>
      </c>
      <c r="BH2189" s="458">
        <v>5.1498056060319319E-2</v>
      </c>
      <c r="BI2189" s="477">
        <v>16307816.334196331</v>
      </c>
      <c r="BJ2189" s="458">
        <v>0.13730678779982886</v>
      </c>
      <c r="BK2189" s="477">
        <v>74849061.671606675</v>
      </c>
      <c r="BL2189" s="458">
        <v>0.30560931633689026</v>
      </c>
      <c r="BM2189" s="468">
        <v>6.5067957950481441</v>
      </c>
    </row>
    <row r="2190" spans="12:65" x14ac:dyDescent="0.3">
      <c r="L2190" s="427">
        <v>10725380.358100001</v>
      </c>
      <c r="BE2190" s="477">
        <v>7451270.6479906542</v>
      </c>
      <c r="BF2190" s="458">
        <v>0.10232848839711473</v>
      </c>
      <c r="BG2190" s="477">
        <v>4117462.6080284049</v>
      </c>
      <c r="BH2190" s="458">
        <v>7.8061012627315129E-2</v>
      </c>
      <c r="BI2190" s="477">
        <v>19069924.375957955</v>
      </c>
      <c r="BJ2190" s="458">
        <v>0.15184047517761745</v>
      </c>
      <c r="BK2190" s="477">
        <v>81762079.569256648</v>
      </c>
      <c r="BL2190" s="458">
        <v>0.28772448763743896</v>
      </c>
      <c r="BM2190" s="468">
        <v>6.6752808213898946</v>
      </c>
    </row>
    <row r="2191" spans="12:65" x14ac:dyDescent="0.3">
      <c r="L2191" s="427">
        <v>14292216.5856</v>
      </c>
      <c r="BE2191" s="477">
        <v>7534333.5628527272</v>
      </c>
      <c r="BF2191" s="458">
        <v>2.5543828875258523E-2</v>
      </c>
      <c r="BG2191" s="477">
        <v>9067486.1666283719</v>
      </c>
      <c r="BH2191" s="458">
        <v>6.5435730323457841E-2</v>
      </c>
      <c r="BI2191" s="477">
        <v>13524703.752730347</v>
      </c>
      <c r="BJ2191" s="458">
        <v>0.12237974695488818</v>
      </c>
      <c r="BK2191" s="477">
        <v>82291073.319935054</v>
      </c>
      <c r="BL2191" s="458">
        <v>0.28196262368940839</v>
      </c>
      <c r="BM2191" s="468">
        <v>5.6380804726907598</v>
      </c>
    </row>
    <row r="2192" spans="12:65" x14ac:dyDescent="0.3">
      <c r="L2192" s="427">
        <v>13217147.2316</v>
      </c>
      <c r="BE2192" s="477">
        <v>4135145.6599811581</v>
      </c>
      <c r="BF2192" s="458">
        <v>3.4022657515748511E-2</v>
      </c>
      <c r="BG2192" s="477">
        <v>4854939.4314784408</v>
      </c>
      <c r="BH2192" s="458">
        <v>4.1070210451968236E-2</v>
      </c>
      <c r="BI2192" s="477">
        <v>12989264.819016568</v>
      </c>
      <c r="BJ2192" s="458">
        <v>0.10152348286461121</v>
      </c>
      <c r="BK2192" s="477">
        <v>73028620.514833197</v>
      </c>
      <c r="BL2192" s="458">
        <v>0.26672666650604815</v>
      </c>
      <c r="BM2192" s="468">
        <v>8.1944688383990147</v>
      </c>
    </row>
    <row r="2193" spans="12:65" x14ac:dyDescent="0.3">
      <c r="L2193" s="427">
        <v>-7451756.3935000002</v>
      </c>
      <c r="BE2193" s="477">
        <v>4985115.6177473338</v>
      </c>
      <c r="BF2193" s="458">
        <v>3.7033087535139231E-2</v>
      </c>
      <c r="BG2193" s="477">
        <v>10109314.118454698</v>
      </c>
      <c r="BH2193" s="458">
        <v>2.042704463568823E-2</v>
      </c>
      <c r="BI2193" s="477">
        <v>12423465.81615377</v>
      </c>
      <c r="BJ2193" s="458">
        <v>0.10915539290897192</v>
      </c>
      <c r="BK2193" s="477">
        <v>88838205.131966487</v>
      </c>
      <c r="BL2193" s="458">
        <v>0.31021501891261027</v>
      </c>
      <c r="BM2193" s="468">
        <v>5.097209119703491</v>
      </c>
    </row>
    <row r="2194" spans="12:65" x14ac:dyDescent="0.3">
      <c r="L2194" s="427">
        <v>-2997892.3728</v>
      </c>
      <c r="BE2194" s="477">
        <v>6438404.5022385465</v>
      </c>
      <c r="BF2194" s="458">
        <v>3.0908976345279671E-2</v>
      </c>
      <c r="BG2194" s="477">
        <v>2115368.7423006282</v>
      </c>
      <c r="BH2194" s="458">
        <v>6.1712505195210321E-2</v>
      </c>
      <c r="BI2194" s="477">
        <v>19625735.402515233</v>
      </c>
      <c r="BJ2194" s="458">
        <v>9.0025707203200689E-2</v>
      </c>
      <c r="BK2194" s="477">
        <v>86759655.118574396</v>
      </c>
      <c r="BL2194" s="458">
        <v>0.27861502891660028</v>
      </c>
      <c r="BM2194" s="468">
        <v>10.656650358478895</v>
      </c>
    </row>
    <row r="2195" spans="12:65" x14ac:dyDescent="0.3">
      <c r="L2195" s="427">
        <v>4466875.5296999998</v>
      </c>
      <c r="BE2195" s="477">
        <v>2895547.4815561078</v>
      </c>
      <c r="BF2195" s="458">
        <v>3.0511643434773417E-2</v>
      </c>
      <c r="BG2195" s="477">
        <v>7692847.0437247809</v>
      </c>
      <c r="BH2195" s="458">
        <v>7.8227016488251921E-2</v>
      </c>
      <c r="BI2195" s="477">
        <v>19210763.009357426</v>
      </c>
      <c r="BJ2195" s="458">
        <v>9.5918689499424836E-2</v>
      </c>
      <c r="BK2195" s="477">
        <v>72954713.402616024</v>
      </c>
      <c r="BL2195" s="458">
        <v>0.27998616979908109</v>
      </c>
      <c r="BM2195" s="468">
        <v>12.75109370385244</v>
      </c>
    </row>
    <row r="2196" spans="12:65" x14ac:dyDescent="0.3">
      <c r="L2196" s="427">
        <v>-4207008.8317</v>
      </c>
      <c r="BE2196" s="477">
        <v>5813657.3534902725</v>
      </c>
      <c r="BF2196" s="458">
        <v>4.3335065779016579E-2</v>
      </c>
      <c r="BG2196" s="477">
        <v>9449072.9693728406</v>
      </c>
      <c r="BH2196" s="458">
        <v>7.8302489741990833E-2</v>
      </c>
      <c r="BI2196" s="477">
        <v>17266870.387390368</v>
      </c>
      <c r="BJ2196" s="458">
        <v>0.10019548601694628</v>
      </c>
      <c r="BK2196" s="477">
        <v>104612812.24884722</v>
      </c>
      <c r="BL2196" s="458">
        <v>0.27370303792540351</v>
      </c>
      <c r="BM2196" s="468">
        <v>9.8542425696495766</v>
      </c>
    </row>
    <row r="2197" spans="12:65" x14ac:dyDescent="0.3">
      <c r="L2197" s="427">
        <v>-2115705.9728000001</v>
      </c>
      <c r="BE2197" s="477">
        <v>6086274.7121488769</v>
      </c>
      <c r="BF2197" s="458">
        <v>3.4818350504898232E-2</v>
      </c>
      <c r="BG2197" s="477">
        <v>15171363.177451883</v>
      </c>
      <c r="BH2197" s="458">
        <v>0.10492842648378664</v>
      </c>
      <c r="BI2197" s="477">
        <v>12397304.967607258</v>
      </c>
      <c r="BJ2197" s="458">
        <v>0.11787307754696985</v>
      </c>
      <c r="BK2197" s="477">
        <v>97163587.251587823</v>
      </c>
      <c r="BL2197" s="458">
        <v>0.23714335101466455</v>
      </c>
      <c r="BM2197" s="468">
        <v>2.9748682863829883</v>
      </c>
    </row>
    <row r="2198" spans="12:65" x14ac:dyDescent="0.3">
      <c r="L2198" s="427">
        <v>476819.29580000002</v>
      </c>
      <c r="BE2198" s="477">
        <v>4108666.5128901755</v>
      </c>
      <c r="BF2198" s="458">
        <v>1.6690650222635606E-2</v>
      </c>
      <c r="BG2198" s="477">
        <v>10276553.040386217</v>
      </c>
      <c r="BH2198" s="458">
        <v>6.3278001402832018E-2</v>
      </c>
      <c r="BI2198" s="477">
        <v>22618305.618611109</v>
      </c>
      <c r="BJ2198" s="458">
        <v>9.312558650088576E-2</v>
      </c>
      <c r="BK2198" s="477">
        <v>89950747.452961087</v>
      </c>
      <c r="BL2198" s="458">
        <v>0.27699044893301461</v>
      </c>
      <c r="BM2198" s="468">
        <v>3.8895336435053345</v>
      </c>
    </row>
    <row r="2199" spans="12:65" x14ac:dyDescent="0.3">
      <c r="L2199" s="427">
        <v>-8674176.3050999995</v>
      </c>
      <c r="BE2199" s="477">
        <v>4981356.2636027588</v>
      </c>
      <c r="BF2199" s="458">
        <v>5.239242069034078E-2</v>
      </c>
      <c r="BG2199" s="477">
        <v>14808271.122767955</v>
      </c>
      <c r="BH2199" s="458">
        <v>4.1605904790054993E-2</v>
      </c>
      <c r="BI2199" s="477">
        <v>21117222.520363446</v>
      </c>
      <c r="BJ2199" s="458">
        <v>0.14628444034385768</v>
      </c>
      <c r="BK2199" s="477">
        <v>93800449.414105222</v>
      </c>
      <c r="BL2199" s="458">
        <v>0.27667348544776305</v>
      </c>
      <c r="BM2199" s="468">
        <v>4.8012604196406912</v>
      </c>
    </row>
    <row r="2200" spans="12:65" x14ac:dyDescent="0.3">
      <c r="L2200" s="427">
        <v>7243134.0097000003</v>
      </c>
      <c r="BE2200" s="477">
        <v>7931250.4113391889</v>
      </c>
      <c r="BF2200" s="458">
        <v>2.9380383275944499E-2</v>
      </c>
      <c r="BG2200" s="477">
        <v>7254965.6337816045</v>
      </c>
      <c r="BH2200" s="458">
        <v>6.2203371578563926E-2</v>
      </c>
      <c r="BI2200" s="477">
        <v>22416812.765205</v>
      </c>
      <c r="BJ2200" s="458">
        <v>8.9916735393505975E-2</v>
      </c>
      <c r="BK2200" s="477">
        <v>88932570.792402402</v>
      </c>
      <c r="BL2200" s="458">
        <v>0.24777415502815825</v>
      </c>
      <c r="BM2200" s="468">
        <v>2.3198551169533719</v>
      </c>
    </row>
    <row r="2201" spans="12:65" x14ac:dyDescent="0.3">
      <c r="L2201" s="427">
        <v>4986445.7445</v>
      </c>
      <c r="BE2201" s="477">
        <v>3108840.5498903934</v>
      </c>
      <c r="BF2201" s="458">
        <v>5.7598652372953696E-2</v>
      </c>
      <c r="BG2201" s="477">
        <v>6155401.2945145369</v>
      </c>
      <c r="BH2201" s="458">
        <v>8.5344271989536535E-2</v>
      </c>
      <c r="BI2201" s="477">
        <v>13493834.931590242</v>
      </c>
      <c r="BJ2201" s="458">
        <v>0.12990502240789037</v>
      </c>
      <c r="BK2201" s="477">
        <v>96477675.535374865</v>
      </c>
      <c r="BL2201" s="458">
        <v>0.271903563315256</v>
      </c>
      <c r="BM2201" s="468">
        <v>9.55664879666414</v>
      </c>
    </row>
    <row r="2202" spans="12:65" x14ac:dyDescent="0.3">
      <c r="L2202" s="427">
        <v>10950968.1788</v>
      </c>
      <c r="BE2202" s="477">
        <v>2050285.18098081</v>
      </c>
      <c r="BF2202" s="458">
        <v>6.4824675678833543E-2</v>
      </c>
      <c r="BG2202" s="477">
        <v>14218166.04226023</v>
      </c>
      <c r="BH2202" s="458">
        <v>7.809957475841256E-2</v>
      </c>
      <c r="BI2202" s="477">
        <v>17486481.220814906</v>
      </c>
      <c r="BJ2202" s="458">
        <v>0.10240419374227772</v>
      </c>
      <c r="BK2202" s="477">
        <v>102600348.57603444</v>
      </c>
      <c r="BL2202" s="458">
        <v>0.2917032902621215</v>
      </c>
      <c r="BM2202" s="468">
        <v>5.3537130785042741</v>
      </c>
    </row>
    <row r="2203" spans="12:65" x14ac:dyDescent="0.3">
      <c r="L2203" s="427">
        <v>19089303.864599999</v>
      </c>
      <c r="BE2203" s="477">
        <v>6979112.5883306405</v>
      </c>
      <c r="BF2203" s="458">
        <v>5.5526647508438831E-2</v>
      </c>
      <c r="BG2203" s="477">
        <v>1865845.5391355169</v>
      </c>
      <c r="BH2203" s="458">
        <v>6.2818883570085582E-2</v>
      </c>
      <c r="BI2203" s="477">
        <v>20145565.359997068</v>
      </c>
      <c r="BJ2203" s="458">
        <v>0.11127320977284816</v>
      </c>
      <c r="BK2203" s="477">
        <v>101463397.60863476</v>
      </c>
      <c r="BL2203" s="458">
        <v>0.25582901926287804</v>
      </c>
      <c r="BM2203" s="468">
        <v>15.449964742566674</v>
      </c>
    </row>
    <row r="2204" spans="12:65" x14ac:dyDescent="0.3">
      <c r="L2204" s="427">
        <v>-10528482.779100001</v>
      </c>
      <c r="BE2204" s="477">
        <v>14140242.303449061</v>
      </c>
      <c r="BF2204" s="458">
        <v>2.7978092118295272E-2</v>
      </c>
      <c r="BG2204" s="477">
        <v>8302041.7634032695</v>
      </c>
      <c r="BH2204" s="458">
        <v>6.2080536640212181E-2</v>
      </c>
      <c r="BI2204" s="477">
        <v>17972087.771386679</v>
      </c>
      <c r="BJ2204" s="458">
        <v>0.10821329585860817</v>
      </c>
      <c r="BK2204" s="477">
        <v>89912927.037361115</v>
      </c>
      <c r="BL2204" s="458">
        <v>0.28049565502557527</v>
      </c>
      <c r="BM2204" s="468">
        <v>8.194231456411714</v>
      </c>
    </row>
    <row r="2205" spans="12:65" x14ac:dyDescent="0.3">
      <c r="L2205" s="427">
        <v>6879659.8676000005</v>
      </c>
      <c r="BE2205" s="477">
        <v>5032762.7358023971</v>
      </c>
      <c r="BF2205" s="458">
        <v>3.4290395976237287E-2</v>
      </c>
      <c r="BG2205" s="477">
        <v>10741669.565375261</v>
      </c>
      <c r="BH2205" s="458">
        <v>4.9654339631753919E-2</v>
      </c>
      <c r="BI2205" s="477">
        <v>10949820.260238102</v>
      </c>
      <c r="BJ2205" s="458">
        <v>0.1079430923271687</v>
      </c>
      <c r="BK2205" s="477">
        <v>79053207.338298783</v>
      </c>
      <c r="BL2205" s="458">
        <v>0.24895058581982354</v>
      </c>
      <c r="BM2205" s="468">
        <v>13.249083530947187</v>
      </c>
    </row>
    <row r="2206" spans="12:65" x14ac:dyDescent="0.3">
      <c r="L2206" s="427">
        <v>-138337.78649999999</v>
      </c>
      <c r="BE2206" s="477">
        <v>8569079.5833496191</v>
      </c>
      <c r="BF2206" s="458">
        <v>3.1386003503054205E-2</v>
      </c>
      <c r="BG2206" s="477">
        <v>11144247.979290098</v>
      </c>
      <c r="BH2206" s="458">
        <v>8.1953873132683208E-2</v>
      </c>
      <c r="BI2206" s="477">
        <v>19877578.746853571</v>
      </c>
      <c r="BJ2206" s="458">
        <v>0.12425123443410802</v>
      </c>
      <c r="BK2206" s="477">
        <v>101184479.81380716</v>
      </c>
      <c r="BL2206" s="458">
        <v>0.25309460309880305</v>
      </c>
      <c r="BM2206" s="468">
        <v>7.0119997162956231</v>
      </c>
    </row>
    <row r="2207" spans="12:65" x14ac:dyDescent="0.3">
      <c r="L2207" s="427">
        <v>11009023.678200001</v>
      </c>
      <c r="BE2207" s="477">
        <v>4054463.9514272604</v>
      </c>
      <c r="BF2207" s="458">
        <v>2.4913288673689804E-2</v>
      </c>
      <c r="BG2207" s="477">
        <v>7171427.2135005072</v>
      </c>
      <c r="BH2207" s="458">
        <v>5.6316026167064326E-2</v>
      </c>
      <c r="BI2207" s="477">
        <v>19251941.383762106</v>
      </c>
      <c r="BJ2207" s="458">
        <v>0.13403781328272446</v>
      </c>
      <c r="BK2207" s="477">
        <v>91621778.730709091</v>
      </c>
      <c r="BL2207" s="458">
        <v>0.24900190393196087</v>
      </c>
      <c r="BM2207" s="468">
        <v>9.0829288397409407</v>
      </c>
    </row>
    <row r="2208" spans="12:65" x14ac:dyDescent="0.3">
      <c r="L2208" s="427">
        <v>24847837.5757</v>
      </c>
      <c r="BE2208" s="477">
        <v>7499369.3901964091</v>
      </c>
      <c r="BF2208" s="458">
        <v>3.6664032027154736E-2</v>
      </c>
      <c r="BG2208" s="477">
        <v>11290784.743034003</v>
      </c>
      <c r="BH2208" s="458">
        <v>5.8311662539239917E-2</v>
      </c>
      <c r="BI2208" s="477">
        <v>17507927.687756009</v>
      </c>
      <c r="BJ2208" s="458">
        <v>7.7692963799953052E-2</v>
      </c>
      <c r="BK2208" s="477">
        <v>93394610.421429724</v>
      </c>
      <c r="BL2208" s="458">
        <v>0.26507256438676974</v>
      </c>
      <c r="BM2208" s="468">
        <v>6.3885952184274863</v>
      </c>
    </row>
    <row r="2209" spans="12:65" x14ac:dyDescent="0.3">
      <c r="L2209" s="427">
        <v>5528232.4654000001</v>
      </c>
      <c r="BE2209" s="477">
        <v>4432116.5092592351</v>
      </c>
      <c r="BF2209" s="458">
        <v>3.3413899859189966E-2</v>
      </c>
      <c r="BG2209" s="477">
        <v>5308520.2289466923</v>
      </c>
      <c r="BH2209" s="458">
        <v>6.1923981579837806E-2</v>
      </c>
      <c r="BI2209" s="477">
        <v>15619283.353315916</v>
      </c>
      <c r="BJ2209" s="458">
        <v>0.11319616349639183</v>
      </c>
      <c r="BK2209" s="477">
        <v>100803376.58460571</v>
      </c>
      <c r="BL2209" s="458">
        <v>0.25694539801433525</v>
      </c>
      <c r="BM2209" s="468">
        <v>8.0420700826600804</v>
      </c>
    </row>
    <row r="2210" spans="12:65" x14ac:dyDescent="0.3">
      <c r="L2210" s="427">
        <v>26857603.406500001</v>
      </c>
      <c r="BE2210" s="477">
        <v>3264523.4095315533</v>
      </c>
      <c r="BF2210" s="458">
        <v>3.4463622012501194E-2</v>
      </c>
      <c r="BG2210" s="477">
        <v>9927942.7446842566</v>
      </c>
      <c r="BH2210" s="458">
        <v>7.8471840431340922E-2</v>
      </c>
      <c r="BI2210" s="477">
        <v>16151195.804442817</v>
      </c>
      <c r="BJ2210" s="458">
        <v>9.8244110125719208E-2</v>
      </c>
      <c r="BK2210" s="477">
        <v>88860500.31186612</v>
      </c>
      <c r="BL2210" s="458">
        <v>0.27861077413873625</v>
      </c>
      <c r="BM2210" s="468">
        <v>8.776468314029815</v>
      </c>
    </row>
    <row r="2211" spans="12:65" x14ac:dyDescent="0.3">
      <c r="L2211" s="427">
        <v>18609396.474599998</v>
      </c>
      <c r="BE2211" s="477">
        <v>2792553.7993676444</v>
      </c>
      <c r="BF2211" s="458">
        <v>3.7310408395083927E-2</v>
      </c>
      <c r="BG2211" s="477">
        <v>5713582.4497982729</v>
      </c>
      <c r="BH2211" s="458">
        <v>7.0612301978045577E-2</v>
      </c>
      <c r="BI2211" s="477">
        <v>14142971.77975617</v>
      </c>
      <c r="BJ2211" s="458">
        <v>0.10734437748205083</v>
      </c>
      <c r="BK2211" s="477">
        <v>91964506.594703153</v>
      </c>
      <c r="BL2211" s="458">
        <v>0.28656446737113028</v>
      </c>
      <c r="BM2211" s="468">
        <v>14.265124356663982</v>
      </c>
    </row>
    <row r="2212" spans="12:65" x14ac:dyDescent="0.3">
      <c r="L2212" s="427">
        <v>4943221.9386</v>
      </c>
      <c r="BE2212" s="477">
        <v>3543356.7577667809</v>
      </c>
      <c r="BF2212" s="458">
        <v>4.2613318563082592E-2</v>
      </c>
      <c r="BG2212" s="477">
        <v>16253643.803608013</v>
      </c>
      <c r="BH2212" s="458">
        <v>9.6073878398543311E-2</v>
      </c>
      <c r="BI2212" s="477">
        <v>25362189.25311907</v>
      </c>
      <c r="BJ2212" s="458">
        <v>0.10967292083187474</v>
      </c>
      <c r="BK2212" s="477">
        <v>92491186.852580935</v>
      </c>
      <c r="BL2212" s="458">
        <v>0.27904426263499005</v>
      </c>
      <c r="BM2212" s="468">
        <v>5.4804554169887343</v>
      </c>
    </row>
    <row r="2213" spans="12:65" x14ac:dyDescent="0.3">
      <c r="L2213" s="427">
        <v>8682000.5571999997</v>
      </c>
      <c r="BE2213" s="477">
        <v>7570608.9129653033</v>
      </c>
      <c r="BF2213" s="458">
        <v>4.8681020881132797E-2</v>
      </c>
      <c r="BG2213" s="477">
        <v>7420151.0503075598</v>
      </c>
      <c r="BH2213" s="458">
        <v>6.9795697239841914E-2</v>
      </c>
      <c r="BI2213" s="477">
        <v>17232259.780335896</v>
      </c>
      <c r="BJ2213" s="458">
        <v>8.4850452761663808E-2</v>
      </c>
      <c r="BK2213" s="477">
        <v>91238849.97341767</v>
      </c>
      <c r="BL2213" s="458">
        <v>0.26497963850023409</v>
      </c>
      <c r="BM2213" s="468">
        <v>6.1109243006916873</v>
      </c>
    </row>
    <row r="2214" spans="12:65" x14ac:dyDescent="0.3">
      <c r="L2214" s="427">
        <v>6389885.3152000001</v>
      </c>
      <c r="BE2214" s="477">
        <v>5057400.5205501122</v>
      </c>
      <c r="BF2214" s="458">
        <v>2.0643597984495665E-2</v>
      </c>
      <c r="BG2214" s="477">
        <v>6342390.6615597373</v>
      </c>
      <c r="BH2214" s="458">
        <v>5.4847966855267494E-2</v>
      </c>
      <c r="BI2214" s="477">
        <v>26677835.874287657</v>
      </c>
      <c r="BJ2214" s="458">
        <v>0.11228011549641415</v>
      </c>
      <c r="BK2214" s="477">
        <v>91566307.591230005</v>
      </c>
      <c r="BL2214" s="458">
        <v>0.26540855176048428</v>
      </c>
      <c r="BM2214" s="468">
        <v>8.1684932497191856</v>
      </c>
    </row>
    <row r="2215" spans="12:65" x14ac:dyDescent="0.3">
      <c r="L2215" s="427">
        <v>-2230194.8361</v>
      </c>
      <c r="BE2215" s="477">
        <v>4031005.8407734372</v>
      </c>
      <c r="BF2215" s="458">
        <v>8.7835937167530798E-2</v>
      </c>
      <c r="BG2215" s="477">
        <v>9354359.274182545</v>
      </c>
      <c r="BH2215" s="458">
        <v>5.6067066646183106E-2</v>
      </c>
      <c r="BI2215" s="477">
        <v>20058913.445992697</v>
      </c>
      <c r="BJ2215" s="458">
        <v>0.11897882361979528</v>
      </c>
      <c r="BK2215" s="477">
        <v>93964377.00057362</v>
      </c>
      <c r="BL2215" s="458">
        <v>0.25998416526872448</v>
      </c>
      <c r="BM2215" s="468">
        <v>5.4812721440013261</v>
      </c>
    </row>
    <row r="2216" spans="12:65" x14ac:dyDescent="0.3">
      <c r="L2216" s="427">
        <v>17731802.033799998</v>
      </c>
      <c r="BE2216" s="477">
        <v>6166808.0000806693</v>
      </c>
      <c r="BF2216" s="458">
        <v>4.4479809969305339E-2</v>
      </c>
      <c r="BG2216" s="477">
        <v>8227805.3541132258</v>
      </c>
      <c r="BH2216" s="458">
        <v>8.8638073346966273E-2</v>
      </c>
      <c r="BI2216" s="477">
        <v>14103383.894559456</v>
      </c>
      <c r="BJ2216" s="458">
        <v>0.12714748377080998</v>
      </c>
      <c r="BK2216" s="477">
        <v>105623783.03901052</v>
      </c>
      <c r="BL2216" s="458">
        <v>0.27361698082787367</v>
      </c>
      <c r="BM2216" s="468">
        <v>13.570090481374892</v>
      </c>
    </row>
    <row r="2217" spans="12:65" x14ac:dyDescent="0.3">
      <c r="L2217" s="427">
        <v>-8478060.8684</v>
      </c>
      <c r="BE2217" s="477">
        <v>8541923.4054765478</v>
      </c>
      <c r="BF2217" s="458">
        <v>3.5406286230247108E-2</v>
      </c>
      <c r="BG2217" s="477">
        <v>7978360.9964629989</v>
      </c>
      <c r="BH2217" s="458">
        <v>7.4321569075786131E-2</v>
      </c>
      <c r="BI2217" s="477">
        <v>14406913.838808909</v>
      </c>
      <c r="BJ2217" s="458">
        <v>0.10481267146124607</v>
      </c>
      <c r="BK2217" s="477">
        <v>81770809.208807826</v>
      </c>
      <c r="BL2217" s="458">
        <v>0.26634824105679944</v>
      </c>
      <c r="BM2217" s="468">
        <v>0.54735668288269235</v>
      </c>
    </row>
    <row r="2218" spans="12:65" x14ac:dyDescent="0.3">
      <c r="L2218" s="427">
        <v>8091709.1837999998</v>
      </c>
      <c r="BE2218" s="477">
        <v>6331609.0642927149</v>
      </c>
      <c r="BF2218" s="458">
        <v>2.8924315586381866E-2</v>
      </c>
      <c r="BG2218" s="477">
        <v>7036629.4221407929</v>
      </c>
      <c r="BH2218" s="458">
        <v>5.0397948401837533E-2</v>
      </c>
      <c r="BI2218" s="477">
        <v>19398746.392867152</v>
      </c>
      <c r="BJ2218" s="458">
        <v>9.7001294130814264E-2</v>
      </c>
      <c r="BK2218" s="477">
        <v>98965240.085891843</v>
      </c>
      <c r="BL2218" s="458">
        <v>0.28107976706514104</v>
      </c>
      <c r="BM2218" s="468">
        <v>11.997972506839121</v>
      </c>
    </row>
    <row r="2219" spans="12:65" x14ac:dyDescent="0.3">
      <c r="L2219" s="427">
        <v>-5264888.7797999997</v>
      </c>
      <c r="BE2219" s="477">
        <v>5488610.1106244959</v>
      </c>
      <c r="BF2219" s="458">
        <v>2.6001805280776447E-2</v>
      </c>
      <c r="BG2219" s="477">
        <v>9133193.2642873712</v>
      </c>
      <c r="BH2219" s="458">
        <v>4.6619725867335093E-2</v>
      </c>
      <c r="BI2219" s="477">
        <v>16685249.450719515</v>
      </c>
      <c r="BJ2219" s="458">
        <v>0.13391891397874156</v>
      </c>
      <c r="BK2219" s="477">
        <v>92840483.611300796</v>
      </c>
      <c r="BL2219" s="458">
        <v>0.27795529666367047</v>
      </c>
      <c r="BM2219" s="468">
        <v>11.11695584721868</v>
      </c>
    </row>
    <row r="2220" spans="12:65" x14ac:dyDescent="0.3">
      <c r="L2220" s="427">
        <v>-12018498.141100001</v>
      </c>
      <c r="BE2220" s="477">
        <v>4041182.5515307207</v>
      </c>
      <c r="BF2220" s="458">
        <v>4.6186418249470673E-2</v>
      </c>
      <c r="BG2220" s="477">
        <v>11105987.176785545</v>
      </c>
      <c r="BH2220" s="458">
        <v>7.8098836657641835E-2</v>
      </c>
      <c r="BI2220" s="477">
        <v>14695612.883645626</v>
      </c>
      <c r="BJ2220" s="458">
        <v>0.12977082906200321</v>
      </c>
      <c r="BK2220" s="477">
        <v>98280806.437561676</v>
      </c>
      <c r="BL2220" s="458">
        <v>0.27013889481758224</v>
      </c>
      <c r="BM2220" s="468">
        <v>8.1151879908967572</v>
      </c>
    </row>
    <row r="2221" spans="12:65" x14ac:dyDescent="0.3">
      <c r="L2221" s="427">
        <v>5341908.3165999996</v>
      </c>
      <c r="BE2221" s="477">
        <v>6470453.2253409745</v>
      </c>
      <c r="BF2221" s="458">
        <v>2.56944673596049E-2</v>
      </c>
      <c r="BG2221" s="477">
        <v>7856990.5951990932</v>
      </c>
      <c r="BH2221" s="458">
        <v>7.9618946420260794E-2</v>
      </c>
      <c r="BI2221" s="477">
        <v>13862572.674779333</v>
      </c>
      <c r="BJ2221" s="458">
        <v>0.11106822828449925</v>
      </c>
      <c r="BK2221" s="477">
        <v>77239670.681597039</v>
      </c>
      <c r="BL2221" s="458">
        <v>0.25751164757782941</v>
      </c>
      <c r="BM2221" s="468">
        <v>4.7889705236356175</v>
      </c>
    </row>
    <row r="2222" spans="12:65" x14ac:dyDescent="0.3">
      <c r="L2222" s="427">
        <v>8654924.0566000007</v>
      </c>
      <c r="BE2222" s="477">
        <v>1424209.2530080068</v>
      </c>
      <c r="BF2222" s="458">
        <v>4.8249140058762352E-2</v>
      </c>
      <c r="BG2222" s="477">
        <v>7836410.8728728788</v>
      </c>
      <c r="BH2222" s="458">
        <v>8.0932979044101572E-2</v>
      </c>
      <c r="BI2222" s="477">
        <v>2680401.4991680523</v>
      </c>
      <c r="BJ2222" s="458">
        <v>9.3366263743340117E-2</v>
      </c>
      <c r="BK2222" s="477">
        <v>92714266.08438009</v>
      </c>
      <c r="BL2222" s="458">
        <v>0.25765479468375285</v>
      </c>
      <c r="BM2222" s="468">
        <v>5.0221769323806411</v>
      </c>
    </row>
    <row r="2223" spans="12:65" x14ac:dyDescent="0.3">
      <c r="L2223" s="427">
        <v>-1228799.0948000001</v>
      </c>
      <c r="BE2223" s="477">
        <v>9366204.8033698536</v>
      </c>
      <c r="BF2223" s="458">
        <v>4.3405453588668097E-2</v>
      </c>
      <c r="BG2223" s="477">
        <v>7720899.0195931699</v>
      </c>
      <c r="BH2223" s="458">
        <v>3.5814987894189132E-2</v>
      </c>
      <c r="BI2223" s="477">
        <v>22764348.193858657</v>
      </c>
      <c r="BJ2223" s="458">
        <v>9.9408182813345736E-2</v>
      </c>
      <c r="BK2223" s="477">
        <v>92962458.258581325</v>
      </c>
      <c r="BL2223" s="458">
        <v>0.26593438841541683</v>
      </c>
      <c r="BM2223" s="468">
        <v>6.2311169993113529</v>
      </c>
    </row>
    <row r="2224" spans="12:65" x14ac:dyDescent="0.3">
      <c r="L2224" s="427">
        <v>-12493596.534299999</v>
      </c>
      <c r="BE2224" s="477">
        <v>3458560.8489384372</v>
      </c>
      <c r="BF2224" s="458">
        <v>3.6269965284923433E-2</v>
      </c>
      <c r="BG2224" s="477">
        <v>2964918.4411480245</v>
      </c>
      <c r="BH2224" s="458">
        <v>4.2608079106702945E-2</v>
      </c>
      <c r="BI2224" s="477">
        <v>15336935.150283806</v>
      </c>
      <c r="BJ2224" s="458">
        <v>0.10988546154018342</v>
      </c>
      <c r="BK2224" s="477">
        <v>87229651.515543476</v>
      </c>
      <c r="BL2224" s="458">
        <v>0.26433823860219441</v>
      </c>
      <c r="BM2224" s="468">
        <v>4.6845697793095322</v>
      </c>
    </row>
    <row r="2225" spans="12:65" x14ac:dyDescent="0.3">
      <c r="L2225" s="427">
        <v>17533363.5713</v>
      </c>
      <c r="BE2225" s="477">
        <v>10470043.192517409</v>
      </c>
      <c r="BF2225" s="458">
        <v>2.6206291142874871E-2</v>
      </c>
      <c r="BG2225" s="477">
        <v>13337373.82963877</v>
      </c>
      <c r="BH2225" s="458">
        <v>7.044448878612064E-2</v>
      </c>
      <c r="BI2225" s="477">
        <v>15194648.776364706</v>
      </c>
      <c r="BJ2225" s="458">
        <v>9.0367850312635722E-2</v>
      </c>
      <c r="BK2225" s="477">
        <v>80156184.445143297</v>
      </c>
      <c r="BL2225" s="458">
        <v>0.27378193423147978</v>
      </c>
      <c r="BM2225" s="468">
        <v>3.866731214627281</v>
      </c>
    </row>
    <row r="2226" spans="12:65" x14ac:dyDescent="0.3">
      <c r="L2226" s="427">
        <v>18442170.269400001</v>
      </c>
      <c r="BE2226" s="477">
        <v>5203283.9255918311</v>
      </c>
      <c r="BF2226" s="458">
        <v>2.0720093378924664E-2</v>
      </c>
      <c r="BG2226" s="477">
        <v>4611822.0763275102</v>
      </c>
      <c r="BH2226" s="458">
        <v>5.8520205244958934E-2</v>
      </c>
      <c r="BI2226" s="477">
        <v>13456580.95816995</v>
      </c>
      <c r="BJ2226" s="458">
        <v>9.9751289130785015E-2</v>
      </c>
      <c r="BK2226" s="477">
        <v>81545401.276512191</v>
      </c>
      <c r="BL2226" s="458">
        <v>0.27569396817121916</v>
      </c>
      <c r="BM2226" s="468">
        <v>9.2213345079710152</v>
      </c>
    </row>
    <row r="2227" spans="12:65" x14ac:dyDescent="0.3">
      <c r="L2227" s="427">
        <v>18265900.0009</v>
      </c>
      <c r="BE2227" s="477">
        <v>2370255.0402434617</v>
      </c>
      <c r="BF2227" s="458">
        <v>2.7434719380983852E-2</v>
      </c>
      <c r="BG2227" s="477">
        <v>6116599.324488434</v>
      </c>
      <c r="BH2227" s="458">
        <v>5.4308657940170146E-2</v>
      </c>
      <c r="BI2227" s="477">
        <v>11187517.754130889</v>
      </c>
      <c r="BJ2227" s="458">
        <v>0.12007649312055202</v>
      </c>
      <c r="BK2227" s="477">
        <v>102747032.9918392</v>
      </c>
      <c r="BL2227" s="458">
        <v>0.26296787294531176</v>
      </c>
      <c r="BM2227" s="468">
        <v>8.4522204342477369</v>
      </c>
    </row>
    <row r="2228" spans="12:65" x14ac:dyDescent="0.3">
      <c r="L2228" s="427">
        <v>11069528.230699999</v>
      </c>
      <c r="BE2228" s="477">
        <v>6973511.2607248621</v>
      </c>
      <c r="BF2228" s="458">
        <v>3.8257787361954065E-2</v>
      </c>
      <c r="BG2228" s="477">
        <v>11770840.263799116</v>
      </c>
      <c r="BH2228" s="458">
        <v>6.6832670863119503E-2</v>
      </c>
      <c r="BI2228" s="477">
        <v>20429643.338901665</v>
      </c>
      <c r="BJ2228" s="458">
        <v>0.13829203287153913</v>
      </c>
      <c r="BK2228" s="477">
        <v>87046480.232733771</v>
      </c>
      <c r="BL2228" s="458">
        <v>0.26888692080708521</v>
      </c>
      <c r="BM2228" s="468">
        <v>7.232668946601331</v>
      </c>
    </row>
    <row r="2229" spans="12:65" x14ac:dyDescent="0.3">
      <c r="L2229" s="427">
        <v>15706686.1072</v>
      </c>
      <c r="BE2229" s="477">
        <v>7369194.4811943974</v>
      </c>
      <c r="BF2229" s="458">
        <v>2.9969390988566103E-2</v>
      </c>
      <c r="BG2229" s="477">
        <v>9115375.2886252627</v>
      </c>
      <c r="BH2229" s="458">
        <v>8.6491155415231002E-2</v>
      </c>
      <c r="BI2229" s="477">
        <v>25088425.59204676</v>
      </c>
      <c r="BJ2229" s="458">
        <v>0.10401559547546446</v>
      </c>
      <c r="BK2229" s="477">
        <v>87460210.751248449</v>
      </c>
      <c r="BL2229" s="458">
        <v>0.26316090148514659</v>
      </c>
      <c r="BM2229" s="468">
        <v>6.1352623599506853</v>
      </c>
    </row>
    <row r="2230" spans="12:65" x14ac:dyDescent="0.3">
      <c r="L2230" s="427">
        <v>19006353.935699999</v>
      </c>
      <c r="BE2230" s="477">
        <v>4415072.5556066595</v>
      </c>
      <c r="BF2230" s="458">
        <v>2.829885707380897E-2</v>
      </c>
      <c r="BG2230" s="477">
        <v>6989684.224747641</v>
      </c>
      <c r="BH2230" s="458">
        <v>4.4683640707238848E-2</v>
      </c>
      <c r="BI2230" s="477">
        <v>17958874.321891077</v>
      </c>
      <c r="BJ2230" s="458">
        <v>9.2546067813985777E-2</v>
      </c>
      <c r="BK2230" s="477">
        <v>94443612.318676695</v>
      </c>
      <c r="BL2230" s="458">
        <v>0.29409342908996217</v>
      </c>
      <c r="BM2230" s="468">
        <v>2.8306731344501301</v>
      </c>
    </row>
    <row r="2231" spans="12:65" x14ac:dyDescent="0.3">
      <c r="L2231" s="427">
        <v>28009027.791900001</v>
      </c>
      <c r="BE2231" s="477">
        <v>5773334.493968945</v>
      </c>
      <c r="BF2231" s="458">
        <v>4.2943572875514757E-2</v>
      </c>
      <c r="BG2231" s="477">
        <v>13320543.202354595</v>
      </c>
      <c r="BH2231" s="458">
        <v>7.4673626142716332E-2</v>
      </c>
      <c r="BI2231" s="477">
        <v>17520912.966145098</v>
      </c>
      <c r="BJ2231" s="458">
        <v>0.1160741871929345</v>
      </c>
      <c r="BK2231" s="477">
        <v>92366897.021724164</v>
      </c>
      <c r="BL2231" s="458">
        <v>0.2875806939640666</v>
      </c>
      <c r="BM2231" s="468">
        <v>9.8830504249370712</v>
      </c>
    </row>
    <row r="2232" spans="12:65" x14ac:dyDescent="0.3">
      <c r="L2232" s="427">
        <v>-5797784.7015000004</v>
      </c>
      <c r="BE2232" s="477">
        <v>11313124.880999835</v>
      </c>
      <c r="BF2232" s="458">
        <v>4.7193160870220963E-2</v>
      </c>
      <c r="BG2232" s="477">
        <v>2955374.7117628125</v>
      </c>
      <c r="BH2232" s="458">
        <v>7.2259582791996069E-2</v>
      </c>
      <c r="BI2232" s="477">
        <v>21462961.098335836</v>
      </c>
      <c r="BJ2232" s="458">
        <v>0.11019916920368034</v>
      </c>
      <c r="BK2232" s="477">
        <v>86321029.379374996</v>
      </c>
      <c r="BL2232" s="458">
        <v>0.26090727116890178</v>
      </c>
      <c r="BM2232" s="468">
        <v>9.2134493182460115</v>
      </c>
    </row>
    <row r="2233" spans="12:65" x14ac:dyDescent="0.3">
      <c r="L2233" s="427">
        <v>8529140.7881000005</v>
      </c>
      <c r="BE2233" s="477">
        <v>5327159.5872319024</v>
      </c>
      <c r="BF2233" s="458">
        <v>3.2388749707617182E-2</v>
      </c>
      <c r="BG2233" s="477">
        <v>9643884.7601483893</v>
      </c>
      <c r="BH2233" s="458">
        <v>6.7977466537537001E-2</v>
      </c>
      <c r="BI2233" s="477">
        <v>16432603.878406674</v>
      </c>
      <c r="BJ2233" s="458">
        <v>9.9921515463584631E-2</v>
      </c>
      <c r="BK2233" s="477">
        <v>93846978.16571857</v>
      </c>
      <c r="BL2233" s="458">
        <v>0.27353579352619306</v>
      </c>
      <c r="BM2233" s="468">
        <v>8.0360450980085982</v>
      </c>
    </row>
    <row r="2234" spans="12:65" x14ac:dyDescent="0.3">
      <c r="L2234" s="427">
        <v>3664222.1647000001</v>
      </c>
      <c r="BE2234" s="477">
        <v>8915885.9316247385</v>
      </c>
      <c r="BF2234" s="458">
        <v>4.0412753792562484E-2</v>
      </c>
      <c r="BG2234" s="477">
        <v>7228654.1516729984</v>
      </c>
      <c r="BH2234" s="458">
        <v>6.4681388231890624E-2</v>
      </c>
      <c r="BI2234" s="477">
        <v>16122747.71978501</v>
      </c>
      <c r="BJ2234" s="458">
        <v>0.11584924015518649</v>
      </c>
      <c r="BK2234" s="477">
        <v>88758227.402292356</v>
      </c>
      <c r="BL2234" s="458">
        <v>0.30202884095542326</v>
      </c>
      <c r="BM2234" s="468">
        <v>13.48922282625189</v>
      </c>
    </row>
    <row r="2235" spans="12:65" x14ac:dyDescent="0.3">
      <c r="L2235" s="427">
        <v>23769179.429000001</v>
      </c>
      <c r="BE2235" s="477">
        <v>4967142.2250958942</v>
      </c>
      <c r="BF2235" s="458">
        <v>4.3141306966452797E-2</v>
      </c>
      <c r="BG2235" s="477">
        <v>8102125.2078966536</v>
      </c>
      <c r="BH2235" s="458">
        <v>8.1143185203789159E-2</v>
      </c>
      <c r="BI2235" s="477">
        <v>11478524.207099643</v>
      </c>
      <c r="BJ2235" s="458">
        <v>9.9392855153513704E-2</v>
      </c>
      <c r="BK2235" s="477">
        <v>84008481.154689223</v>
      </c>
      <c r="BL2235" s="458">
        <v>0.26624387829745966</v>
      </c>
      <c r="BM2235" s="468">
        <v>3.4170448176446291</v>
      </c>
    </row>
    <row r="2236" spans="12:65" x14ac:dyDescent="0.3">
      <c r="L2236" s="427">
        <v>-1098597.9410999999</v>
      </c>
      <c r="BE2236" s="477">
        <v>736431.0845226926</v>
      </c>
      <c r="BF2236" s="458">
        <v>1.7629250297184207E-2</v>
      </c>
      <c r="BG2236" s="477">
        <v>13336990.343696265</v>
      </c>
      <c r="BH2236" s="458">
        <v>6.4144106052705707E-2</v>
      </c>
      <c r="BI2236" s="477">
        <v>12926771.871711209</v>
      </c>
      <c r="BJ2236" s="458">
        <v>9.7215531210080419E-2</v>
      </c>
      <c r="BK2236" s="477">
        <v>83891245.158569917</v>
      </c>
      <c r="BL2236" s="458">
        <v>0.25800131415209782</v>
      </c>
      <c r="BM2236" s="468">
        <v>12.073224243538487</v>
      </c>
    </row>
    <row r="2237" spans="12:65" x14ac:dyDescent="0.3">
      <c r="L2237" s="427">
        <v>16789710.543400001</v>
      </c>
      <c r="BE2237" s="477">
        <v>5916499.6169566903</v>
      </c>
      <c r="BF2237" s="458">
        <v>3.3871265559517694E-2</v>
      </c>
      <c r="BG2237" s="477">
        <v>8910061.1463649869</v>
      </c>
      <c r="BH2237" s="458">
        <v>6.093654766560741E-2</v>
      </c>
      <c r="BI2237" s="477">
        <v>14017784.760214373</v>
      </c>
      <c r="BJ2237" s="458">
        <v>0.1179769318827335</v>
      </c>
      <c r="BK2237" s="477">
        <v>81388625.291718572</v>
      </c>
      <c r="BL2237" s="458">
        <v>0.26490002853380612</v>
      </c>
      <c r="BM2237" s="468">
        <v>8.3805210088728153</v>
      </c>
    </row>
    <row r="2238" spans="12:65" x14ac:dyDescent="0.3">
      <c r="L2238" s="427">
        <v>15983029.7031</v>
      </c>
      <c r="BE2238" s="477">
        <v>4445221.9626460616</v>
      </c>
      <c r="BF2238" s="458">
        <v>3.3728731689335545E-2</v>
      </c>
      <c r="BG2238" s="477">
        <v>5425911.721891351</v>
      </c>
      <c r="BH2238" s="458">
        <v>8.3862997196313405E-2</v>
      </c>
      <c r="BI2238" s="477">
        <v>16735431.979283225</v>
      </c>
      <c r="BJ2238" s="458">
        <v>0.13718145088736677</v>
      </c>
      <c r="BK2238" s="477">
        <v>84805862.497129455</v>
      </c>
      <c r="BL2238" s="458">
        <v>0.25711364511655654</v>
      </c>
      <c r="BM2238" s="468">
        <v>13.761767399792713</v>
      </c>
    </row>
    <row r="2239" spans="12:65" x14ac:dyDescent="0.3">
      <c r="L2239" s="427">
        <v>6924546.6179999998</v>
      </c>
      <c r="BE2239" s="477">
        <v>4163253.4280101554</v>
      </c>
      <c r="BF2239" s="458">
        <v>3.361908505381983E-2</v>
      </c>
      <c r="BG2239" s="477">
        <v>6309238.4037401024</v>
      </c>
      <c r="BH2239" s="458">
        <v>8.6016282573085245E-2</v>
      </c>
      <c r="BI2239" s="477">
        <v>20950434.123089802</v>
      </c>
      <c r="BJ2239" s="458">
        <v>0.10841667536093302</v>
      </c>
      <c r="BK2239" s="477">
        <v>86559380.558451027</v>
      </c>
      <c r="BL2239" s="458">
        <v>0.26662965935133776</v>
      </c>
      <c r="BM2239" s="468">
        <v>8.9134645726655553</v>
      </c>
    </row>
    <row r="2240" spans="12:65" x14ac:dyDescent="0.3">
      <c r="L2240" s="427">
        <v>2495931.2607999998</v>
      </c>
      <c r="BE2240" s="477">
        <v>5922876.8478813926</v>
      </c>
      <c r="BF2240" s="458">
        <v>4.3154663299105556E-2</v>
      </c>
      <c r="BG2240" s="477">
        <v>9080881.4675382897</v>
      </c>
      <c r="BH2240" s="458">
        <v>0.10384635389325991</v>
      </c>
      <c r="BI2240" s="477">
        <v>16452855.83418043</v>
      </c>
      <c r="BJ2240" s="458">
        <v>0.14982666465704431</v>
      </c>
      <c r="BK2240" s="477">
        <v>68884437.74453555</v>
      </c>
      <c r="BL2240" s="458">
        <v>0.29841129736194394</v>
      </c>
      <c r="BM2240" s="468">
        <v>1.5319766153931615</v>
      </c>
    </row>
    <row r="2241" spans="12:65" x14ac:dyDescent="0.3">
      <c r="L2241" s="427">
        <v>12383653.774800001</v>
      </c>
      <c r="BE2241" s="477">
        <v>6389243.3438120224</v>
      </c>
      <c r="BF2241" s="458">
        <v>4.3688312076800129E-2</v>
      </c>
      <c r="BG2241" s="477">
        <v>9029547.1085561123</v>
      </c>
      <c r="BH2241" s="458">
        <v>4.45686722336045E-2</v>
      </c>
      <c r="BI2241" s="477">
        <v>15781896.663828554</v>
      </c>
      <c r="BJ2241" s="458">
        <v>0.12514986890838631</v>
      </c>
      <c r="BK2241" s="477">
        <v>87435374.034772709</v>
      </c>
      <c r="BL2241" s="458">
        <v>0.2743437588542228</v>
      </c>
      <c r="BM2241" s="468">
        <v>9.6676499416696888</v>
      </c>
    </row>
    <row r="2242" spans="12:65" x14ac:dyDescent="0.3">
      <c r="L2242" s="427">
        <v>14803859.104699999</v>
      </c>
      <c r="BE2242" s="477">
        <v>271122.98044731666</v>
      </c>
      <c r="BF2242" s="458">
        <v>4.5389999582942542E-2</v>
      </c>
      <c r="BG2242" s="477">
        <v>9935924.0018128287</v>
      </c>
      <c r="BH2242" s="458">
        <v>5.1844697354841207E-2</v>
      </c>
      <c r="BI2242" s="477">
        <v>11827948.851557001</v>
      </c>
      <c r="BJ2242" s="458">
        <v>9.6331857899337292E-2</v>
      </c>
      <c r="BK2242" s="477">
        <v>79694452.922557265</v>
      </c>
      <c r="BL2242" s="458">
        <v>0.29392447882122985</v>
      </c>
      <c r="BM2242" s="468">
        <v>14.183997896323614</v>
      </c>
    </row>
    <row r="2243" spans="12:65" x14ac:dyDescent="0.3">
      <c r="L2243" s="427">
        <v>2423221.3032999998</v>
      </c>
      <c r="BE2243" s="477">
        <v>4172325.8825229658</v>
      </c>
      <c r="BF2243" s="458">
        <v>5.5272721192098917E-2</v>
      </c>
      <c r="BG2243" s="477">
        <v>8602601.6038342062</v>
      </c>
      <c r="BH2243" s="458">
        <v>3.652738215597795E-2</v>
      </c>
      <c r="BI2243" s="477">
        <v>14117251.046889668</v>
      </c>
      <c r="BJ2243" s="458">
        <v>0.11717054042394981</v>
      </c>
      <c r="BK2243" s="477">
        <v>80185905.369621664</v>
      </c>
      <c r="BL2243" s="458">
        <v>0.28781790309505406</v>
      </c>
      <c r="BM2243" s="468">
        <v>8.0896133902197462</v>
      </c>
    </row>
    <row r="2244" spans="12:65" x14ac:dyDescent="0.3">
      <c r="L2244" s="427">
        <v>15352585.3267</v>
      </c>
      <c r="BE2244" s="477">
        <v>332868.39249422296</v>
      </c>
      <c r="BF2244" s="458">
        <v>3.5348975515456127E-2</v>
      </c>
      <c r="BG2244" s="477">
        <v>9119062.1150139235</v>
      </c>
      <c r="BH2244" s="458">
        <v>6.4795942390819095E-2</v>
      </c>
      <c r="BI2244" s="477">
        <v>19414151.608275048</v>
      </c>
      <c r="BJ2244" s="458">
        <v>8.8828162886763984E-2</v>
      </c>
      <c r="BK2244" s="477">
        <v>94459096.018644378</v>
      </c>
      <c r="BL2244" s="458">
        <v>0.28738753954538598</v>
      </c>
      <c r="BM2244" s="468">
        <v>11.129239686473532</v>
      </c>
    </row>
    <row r="2245" spans="12:65" x14ac:dyDescent="0.3">
      <c r="L2245" s="427">
        <v>9473071.2581999991</v>
      </c>
      <c r="BE2245" s="477">
        <v>4933919.1138824709</v>
      </c>
      <c r="BF2245" s="458">
        <v>2.5049816457851648E-2</v>
      </c>
      <c r="BG2245" s="477">
        <v>4888012.7052952303</v>
      </c>
      <c r="BH2245" s="458">
        <v>7.2808493529611162E-2</v>
      </c>
      <c r="BI2245" s="477">
        <v>18450917.0227006</v>
      </c>
      <c r="BJ2245" s="458">
        <v>0.12781344025427455</v>
      </c>
      <c r="BK2245" s="477">
        <v>103375325.31245714</v>
      </c>
      <c r="BL2245" s="458">
        <v>0.26626390229642216</v>
      </c>
      <c r="BM2245" s="468">
        <v>11.654566858526298</v>
      </c>
    </row>
    <row r="2246" spans="12:65" x14ac:dyDescent="0.3">
      <c r="L2246" s="427">
        <v>2934559.1379999998</v>
      </c>
      <c r="BE2246" s="477">
        <v>4627844.0641913218</v>
      </c>
      <c r="BF2246" s="458">
        <v>3.2874740616504194E-2</v>
      </c>
      <c r="BG2246" s="477">
        <v>9772947.5268492568</v>
      </c>
      <c r="BH2246" s="458">
        <v>6.6987554703562768E-2</v>
      </c>
      <c r="BI2246" s="477">
        <v>5998517.7094380623</v>
      </c>
      <c r="BJ2246" s="458">
        <v>0.11409257742531986</v>
      </c>
      <c r="BK2246" s="477">
        <v>105846019.38950551</v>
      </c>
      <c r="BL2246" s="458">
        <v>0.27584130362489012</v>
      </c>
      <c r="BM2246" s="468">
        <v>10.504352884045201</v>
      </c>
    </row>
    <row r="2247" spans="12:65" x14ac:dyDescent="0.3">
      <c r="L2247" s="427">
        <v>18096669.686500002</v>
      </c>
      <c r="BE2247" s="477">
        <v>8065006.9312529815</v>
      </c>
      <c r="BF2247" s="458">
        <v>4.1381581073711704E-2</v>
      </c>
      <c r="BG2247" s="477">
        <v>14565606.712426292</v>
      </c>
      <c r="BH2247" s="458">
        <v>4.9247767745172588E-2</v>
      </c>
      <c r="BI2247" s="477">
        <v>15264205.024094483</v>
      </c>
      <c r="BJ2247" s="458">
        <v>0.10904690444137577</v>
      </c>
      <c r="BK2247" s="477">
        <v>90125147.78786172</v>
      </c>
      <c r="BL2247" s="458">
        <v>0.26996092368649749</v>
      </c>
      <c r="BM2247" s="468">
        <v>9.1305223732675032</v>
      </c>
    </row>
    <row r="2248" spans="12:65" x14ac:dyDescent="0.3">
      <c r="L2248" s="427">
        <v>21436446.248399999</v>
      </c>
      <c r="BE2248" s="477">
        <v>5635788.5660910392</v>
      </c>
      <c r="BF2248" s="458">
        <v>3.8055437788169888E-2</v>
      </c>
      <c r="BG2248" s="477">
        <v>8184239.0347589254</v>
      </c>
      <c r="BH2248" s="458">
        <v>8.6307000710188042E-2</v>
      </c>
      <c r="BI2248" s="477">
        <v>18949063.00238828</v>
      </c>
      <c r="BJ2248" s="458">
        <v>9.7516069483980283E-2</v>
      </c>
      <c r="BK2248" s="477">
        <v>74240214.816296309</v>
      </c>
      <c r="BL2248" s="458">
        <v>0.25909955592253953</v>
      </c>
      <c r="BM2248" s="468">
        <v>9.602704092756337</v>
      </c>
    </row>
    <row r="2249" spans="12:65" x14ac:dyDescent="0.3">
      <c r="L2249" s="427">
        <v>-2166051.8791</v>
      </c>
      <c r="BE2249" s="477">
        <v>1935288.165810883</v>
      </c>
      <c r="BF2249" s="458">
        <v>4.1254898683369179E-2</v>
      </c>
      <c r="BG2249" s="477">
        <v>6092512.1134715499</v>
      </c>
      <c r="BH2249" s="458">
        <v>8.9402215746888114E-2</v>
      </c>
      <c r="BI2249" s="477">
        <v>22516413.235589448</v>
      </c>
      <c r="BJ2249" s="458">
        <v>0.1085569815965457</v>
      </c>
      <c r="BK2249" s="477">
        <v>81239100.393346116</v>
      </c>
      <c r="BL2249" s="458">
        <v>0.25836132141415913</v>
      </c>
      <c r="BM2249" s="468">
        <v>9.3882546710426737</v>
      </c>
    </row>
    <row r="2250" spans="12:65" x14ac:dyDescent="0.3">
      <c r="L2250" s="427">
        <v>16837795.816500001</v>
      </c>
      <c r="BE2250" s="477">
        <v>3957459.3345848676</v>
      </c>
      <c r="BF2250" s="458">
        <v>4.6862192353354093E-2</v>
      </c>
      <c r="BG2250" s="477">
        <v>5804464.9906443069</v>
      </c>
      <c r="BH2250" s="458">
        <v>6.0087988791013736E-2</v>
      </c>
      <c r="BI2250" s="477">
        <v>11158122.677543981</v>
      </c>
      <c r="BJ2250" s="458">
        <v>0.12831651625386709</v>
      </c>
      <c r="BK2250" s="477">
        <v>87076033.735663742</v>
      </c>
      <c r="BL2250" s="458">
        <v>0.26182739643588948</v>
      </c>
      <c r="BM2250" s="468">
        <v>11.398687937245922</v>
      </c>
    </row>
    <row r="2251" spans="12:65" x14ac:dyDescent="0.3">
      <c r="L2251" s="427">
        <v>11340685.0733</v>
      </c>
      <c r="BE2251" s="477">
        <v>5626542.0809651241</v>
      </c>
      <c r="BF2251" s="458">
        <v>4.6724863086669677E-2</v>
      </c>
      <c r="BG2251" s="477">
        <v>6106517.3869844768</v>
      </c>
      <c r="BH2251" s="458">
        <v>7.9418674574724513E-2</v>
      </c>
      <c r="BI2251" s="477">
        <v>15550959.161711829</v>
      </c>
      <c r="BJ2251" s="458">
        <v>9.1210025321784682E-2</v>
      </c>
      <c r="BK2251" s="477">
        <v>78569892.229398027</v>
      </c>
      <c r="BL2251" s="458">
        <v>0.2779809567815088</v>
      </c>
      <c r="BM2251" s="468">
        <v>11.998599788266199</v>
      </c>
    </row>
    <row r="2252" spans="12:65" x14ac:dyDescent="0.3">
      <c r="L2252" s="427">
        <v>12601648.99</v>
      </c>
      <c r="BE2252" s="477">
        <v>6177118.1663371827</v>
      </c>
      <c r="BF2252" s="458">
        <v>4.7012725356247564E-2</v>
      </c>
      <c r="BG2252" s="477">
        <v>15151192.989926845</v>
      </c>
      <c r="BH2252" s="458">
        <v>5.8274894824743129E-2</v>
      </c>
      <c r="BI2252" s="477">
        <v>14361253.786983164</v>
      </c>
      <c r="BJ2252" s="458">
        <v>0.13799646733458926</v>
      </c>
      <c r="BK2252" s="477">
        <v>80348749.813403666</v>
      </c>
      <c r="BL2252" s="458">
        <v>0.27374703984343962</v>
      </c>
      <c r="BM2252" s="468">
        <v>11.853925365235641</v>
      </c>
    </row>
    <row r="2253" spans="12:65" x14ac:dyDescent="0.3">
      <c r="L2253" s="427">
        <v>7741838.2357000001</v>
      </c>
      <c r="BE2253" s="477">
        <v>2567340.0547221932</v>
      </c>
      <c r="BF2253" s="458">
        <v>6.4396923746373957E-2</v>
      </c>
      <c r="BG2253" s="477">
        <v>2910755.2350378186</v>
      </c>
      <c r="BH2253" s="458">
        <v>7.9553921106335856E-2</v>
      </c>
      <c r="BI2253" s="477">
        <v>20416391.812557675</v>
      </c>
      <c r="BJ2253" s="458">
        <v>0.10707171190650788</v>
      </c>
      <c r="BK2253" s="477">
        <v>74412618.624012053</v>
      </c>
      <c r="BL2253" s="458">
        <v>0.27361585367172703</v>
      </c>
      <c r="BM2253" s="468">
        <v>9.5129649327684032</v>
      </c>
    </row>
    <row r="2254" spans="12:65" x14ac:dyDescent="0.3">
      <c r="L2254" s="427">
        <v>-9048125.1450999994</v>
      </c>
      <c r="BE2254" s="477">
        <v>6905235.232646171</v>
      </c>
      <c r="BF2254" s="458">
        <v>4.5201692412222272E-2</v>
      </c>
      <c r="BG2254" s="477">
        <v>7250207.4730684506</v>
      </c>
      <c r="BH2254" s="458">
        <v>6.802541228180381E-2</v>
      </c>
      <c r="BI2254" s="477">
        <v>15526584.70248998</v>
      </c>
      <c r="BJ2254" s="458">
        <v>0.1022958224476771</v>
      </c>
      <c r="BK2254" s="477">
        <v>84762798.790614456</v>
      </c>
      <c r="BL2254" s="458">
        <v>0.27154466519148701</v>
      </c>
      <c r="BM2254" s="468">
        <v>10.323577501431675</v>
      </c>
    </row>
    <row r="2255" spans="12:65" x14ac:dyDescent="0.3">
      <c r="L2255" s="427">
        <v>10807616.232000001</v>
      </c>
      <c r="BE2255" s="477">
        <v>8512692.3885990903</v>
      </c>
      <c r="BF2255" s="458">
        <v>4.4466564087623617E-2</v>
      </c>
      <c r="BG2255" s="477">
        <v>5898676.8627687702</v>
      </c>
      <c r="BH2255" s="458">
        <v>7.4434959503530518E-2</v>
      </c>
      <c r="BI2255" s="477">
        <v>14243538.164333349</v>
      </c>
      <c r="BJ2255" s="458">
        <v>0.11847893139516064</v>
      </c>
      <c r="BK2255" s="477">
        <v>92505473.862509251</v>
      </c>
      <c r="BL2255" s="458">
        <v>0.25990554374433739</v>
      </c>
      <c r="BM2255" s="468">
        <v>6.4285492009326326</v>
      </c>
    </row>
    <row r="2256" spans="12:65" x14ac:dyDescent="0.3">
      <c r="L2256" s="427">
        <v>2329519.7508999999</v>
      </c>
      <c r="BE2256" s="477">
        <v>3501082.0098167299</v>
      </c>
      <c r="BF2256" s="458">
        <v>5.8013032574838919E-2</v>
      </c>
      <c r="BG2256" s="477">
        <v>3237408.2421914474</v>
      </c>
      <c r="BH2256" s="458">
        <v>3.4973754588587536E-2</v>
      </c>
      <c r="BI2256" s="477">
        <v>16373020.833227728</v>
      </c>
      <c r="BJ2256" s="458">
        <v>0.10742148272153784</v>
      </c>
      <c r="BK2256" s="477">
        <v>85797993.144678369</v>
      </c>
      <c r="BL2256" s="458">
        <v>0.3004933306796691</v>
      </c>
      <c r="BM2256" s="468">
        <v>7.2020980625954323</v>
      </c>
    </row>
    <row r="2257" spans="12:65" x14ac:dyDescent="0.3">
      <c r="L2257" s="427">
        <v>16968805.929299999</v>
      </c>
      <c r="BE2257" s="477">
        <v>6567779.6473925216</v>
      </c>
      <c r="BF2257" s="458">
        <v>2.5471035794461194E-2</v>
      </c>
      <c r="BG2257" s="477">
        <v>9044798.47051543</v>
      </c>
      <c r="BH2257" s="458">
        <v>8.2607712559464419E-2</v>
      </c>
      <c r="BI2257" s="477">
        <v>19610226.910604697</v>
      </c>
      <c r="BJ2257" s="458">
        <v>9.8075971827412456E-2</v>
      </c>
      <c r="BK2257" s="477">
        <v>75549058.606359437</v>
      </c>
      <c r="BL2257" s="458">
        <v>0.26457907607836662</v>
      </c>
      <c r="BM2257" s="468">
        <v>1.982336223814027</v>
      </c>
    </row>
    <row r="2258" spans="12:65" x14ac:dyDescent="0.3">
      <c r="L2258" s="427">
        <v>9398985.0370000005</v>
      </c>
      <c r="BE2258" s="477">
        <v>4690008.8477006722</v>
      </c>
      <c r="BF2258" s="458">
        <v>1.7686890372814235E-2</v>
      </c>
      <c r="BG2258" s="477">
        <v>8323283.0004698103</v>
      </c>
      <c r="BH2258" s="458">
        <v>7.3515206834123381E-2</v>
      </c>
      <c r="BI2258" s="477">
        <v>17153952.03935764</v>
      </c>
      <c r="BJ2258" s="458">
        <v>0.14711251749273946</v>
      </c>
      <c r="BK2258" s="477">
        <v>98007992.981711566</v>
      </c>
      <c r="BL2258" s="458">
        <v>0.26502012196821156</v>
      </c>
      <c r="BM2258" s="468">
        <v>11.228150439934218</v>
      </c>
    </row>
    <row r="2259" spans="12:65" x14ac:dyDescent="0.3">
      <c r="L2259" s="427">
        <v>7118183.6826999998</v>
      </c>
      <c r="BE2259" s="477">
        <v>6384927.0193162495</v>
      </c>
      <c r="BF2259" s="458">
        <v>3.2753736749202123E-2</v>
      </c>
      <c r="BG2259" s="477">
        <v>13863425.54212372</v>
      </c>
      <c r="BH2259" s="458">
        <v>8.8106913840844348E-2</v>
      </c>
      <c r="BI2259" s="477">
        <v>8999436.8062771894</v>
      </c>
      <c r="BJ2259" s="458">
        <v>0.11028792037732682</v>
      </c>
      <c r="BK2259" s="477">
        <v>95024515.455801442</v>
      </c>
      <c r="BL2259" s="458">
        <v>0.29219653419124425</v>
      </c>
      <c r="BM2259" s="468">
        <v>8.2811731969093003</v>
      </c>
    </row>
    <row r="2260" spans="12:65" x14ac:dyDescent="0.3">
      <c r="L2260" s="427">
        <v>9140379.5584999993</v>
      </c>
      <c r="BE2260" s="477">
        <v>2396569.149716916</v>
      </c>
      <c r="BF2260" s="458">
        <v>4.0283984566905406E-2</v>
      </c>
      <c r="BG2260" s="477">
        <v>9199252.5949100107</v>
      </c>
      <c r="BH2260" s="458">
        <v>5.0822198696396814E-2</v>
      </c>
      <c r="BI2260" s="477">
        <v>20526165.049908504</v>
      </c>
      <c r="BJ2260" s="458">
        <v>0.10742980605142471</v>
      </c>
      <c r="BK2260" s="477">
        <v>91842805.900306255</v>
      </c>
      <c r="BL2260" s="458">
        <v>0.25812142305833063</v>
      </c>
      <c r="BM2260" s="468">
        <v>9.6442533785246543</v>
      </c>
    </row>
    <row r="2261" spans="12:65" x14ac:dyDescent="0.3">
      <c r="L2261" s="427">
        <v>6818418.0632999996</v>
      </c>
      <c r="BE2261" s="477">
        <v>9954859.9580725096</v>
      </c>
      <c r="BF2261" s="458">
        <v>4.7669484981343269E-2</v>
      </c>
      <c r="BG2261" s="477">
        <v>13039828.494028416</v>
      </c>
      <c r="BH2261" s="458">
        <v>4.597255346806195E-2</v>
      </c>
      <c r="BI2261" s="477">
        <v>21943944.641854335</v>
      </c>
      <c r="BJ2261" s="458">
        <v>0.11817247173300482</v>
      </c>
      <c r="BK2261" s="477">
        <v>86258118.415090173</v>
      </c>
      <c r="BL2261" s="458">
        <v>0.26950081241242896</v>
      </c>
      <c r="BM2261" s="468">
        <v>6.1326955412921684</v>
      </c>
    </row>
    <row r="2262" spans="12:65" x14ac:dyDescent="0.3">
      <c r="L2262" s="427">
        <v>16701601.7325</v>
      </c>
      <c r="BE2262" s="477">
        <v>6577820.9830274507</v>
      </c>
      <c r="BF2262" s="458">
        <v>5.9909964193475052E-2</v>
      </c>
      <c r="BG2262" s="477">
        <v>10400682.757570481</v>
      </c>
      <c r="BH2262" s="458">
        <v>6.4331310394854624E-2</v>
      </c>
      <c r="BI2262" s="477">
        <v>26843532.364862628</v>
      </c>
      <c r="BJ2262" s="458">
        <v>0.11072050480596496</v>
      </c>
      <c r="BK2262" s="477">
        <v>83286245.806871533</v>
      </c>
      <c r="BL2262" s="458">
        <v>0.25595145789044826</v>
      </c>
      <c r="BM2262" s="468">
        <v>8.2039929786541457</v>
      </c>
    </row>
    <row r="2263" spans="12:65" x14ac:dyDescent="0.3">
      <c r="L2263" s="427">
        <v>9509620.5331999995</v>
      </c>
      <c r="BE2263" s="477">
        <v>4413901.1351495981</v>
      </c>
      <c r="BF2263" s="458">
        <v>3.3941508115432173E-2</v>
      </c>
      <c r="BG2263" s="477">
        <v>7415687.1767816907</v>
      </c>
      <c r="BH2263" s="458">
        <v>9.1183642328717118E-2</v>
      </c>
      <c r="BI2263" s="477">
        <v>15090143.420353889</v>
      </c>
      <c r="BJ2263" s="458">
        <v>9.7866029491343598E-2</v>
      </c>
      <c r="BK2263" s="477">
        <v>93027362.990545377</v>
      </c>
      <c r="BL2263" s="458">
        <v>0.25911976067289944</v>
      </c>
      <c r="BM2263" s="468">
        <v>14.097152767817249</v>
      </c>
    </row>
    <row r="2264" spans="12:65" x14ac:dyDescent="0.3">
      <c r="L2264" s="427">
        <v>-137870.3842</v>
      </c>
      <c r="BE2264" s="477">
        <v>5210172.9998992989</v>
      </c>
      <c r="BF2264" s="458">
        <v>4.2296023068450594E-2</v>
      </c>
      <c r="BG2264" s="477">
        <v>10145510.450941503</v>
      </c>
      <c r="BH2264" s="458">
        <v>4.4583201979052411E-2</v>
      </c>
      <c r="BI2264" s="477">
        <v>9512961.9632976577</v>
      </c>
      <c r="BJ2264" s="458">
        <v>0.1103364742700621</v>
      </c>
      <c r="BK2264" s="477">
        <v>76845333.251676694</v>
      </c>
      <c r="BL2264" s="458">
        <v>0.25814289529750289</v>
      </c>
      <c r="BM2264" s="468">
        <v>9.4207718943530612</v>
      </c>
    </row>
    <row r="2265" spans="12:65" x14ac:dyDescent="0.3">
      <c r="L2265" s="427">
        <v>-442639.22369999997</v>
      </c>
      <c r="BE2265" s="477">
        <v>4651985.1300952164</v>
      </c>
      <c r="BF2265" s="458">
        <v>2.2756560073335486E-2</v>
      </c>
      <c r="BG2265" s="477">
        <v>6622493.0934023503</v>
      </c>
      <c r="BH2265" s="458">
        <v>6.3940384245769533E-2</v>
      </c>
      <c r="BI2265" s="477">
        <v>17486381.085234821</v>
      </c>
      <c r="BJ2265" s="458">
        <v>9.6323675173950019E-2</v>
      </c>
      <c r="BK2265" s="477">
        <v>96513575.976241842</v>
      </c>
      <c r="BL2265" s="458">
        <v>0.27735319882943044</v>
      </c>
      <c r="BM2265" s="468">
        <v>7.3918112445112234</v>
      </c>
    </row>
    <row r="2266" spans="12:65" x14ac:dyDescent="0.3">
      <c r="L2266" s="427">
        <v>11338310.727399999</v>
      </c>
      <c r="BE2266" s="477">
        <v>6609864.5770091619</v>
      </c>
      <c r="BF2266" s="458">
        <v>3.3045442032258787E-2</v>
      </c>
      <c r="BG2266" s="477">
        <v>7289465.5984571977</v>
      </c>
      <c r="BH2266" s="458">
        <v>8.9242688151391691E-2</v>
      </c>
      <c r="BI2266" s="477">
        <v>16726049.994632935</v>
      </c>
      <c r="BJ2266" s="458">
        <v>0.10814939426949732</v>
      </c>
      <c r="BK2266" s="477">
        <v>83574924.49047491</v>
      </c>
      <c r="BL2266" s="458">
        <v>0.27361664137299235</v>
      </c>
      <c r="BM2266" s="468">
        <v>9.8076786517165715</v>
      </c>
    </row>
    <row r="2267" spans="12:65" x14ac:dyDescent="0.3">
      <c r="L2267" s="427">
        <v>12551328.6072</v>
      </c>
      <c r="BE2267" s="477">
        <v>10083100.516941424</v>
      </c>
      <c r="BF2267" s="458">
        <v>4.549862369678026E-2</v>
      </c>
      <c r="BG2267" s="477">
        <v>12936586.988167023</v>
      </c>
      <c r="BH2267" s="458">
        <v>7.1350920039201293E-2</v>
      </c>
      <c r="BI2267" s="477">
        <v>7392039.9620833062</v>
      </c>
      <c r="BJ2267" s="458">
        <v>0.11823086110042569</v>
      </c>
      <c r="BK2267" s="477">
        <v>82331165.359825164</v>
      </c>
      <c r="BL2267" s="458">
        <v>0.25524108505313037</v>
      </c>
      <c r="BM2267" s="468">
        <v>7.4254104173788189</v>
      </c>
    </row>
    <row r="2268" spans="12:65" x14ac:dyDescent="0.3">
      <c r="L2268" s="427">
        <v>14409760.1841</v>
      </c>
      <c r="BE2268" s="477">
        <v>1035861.6817999287</v>
      </c>
      <c r="BF2268" s="458">
        <v>3.9729967547874834E-2</v>
      </c>
      <c r="BG2268" s="477">
        <v>8936178.3077887446</v>
      </c>
      <c r="BH2268" s="458">
        <v>5.8381175215442394E-2</v>
      </c>
      <c r="BI2268" s="477">
        <v>12514266.16931244</v>
      </c>
      <c r="BJ2268" s="458">
        <v>0.12343455957373828</v>
      </c>
      <c r="BK2268" s="477">
        <v>81392013.21434626</v>
      </c>
      <c r="BL2268" s="458">
        <v>0.26683149648528337</v>
      </c>
      <c r="BM2268" s="468">
        <v>1.7239978638084414</v>
      </c>
    </row>
    <row r="2269" spans="12:65" x14ac:dyDescent="0.3">
      <c r="L2269" s="427">
        <v>-10487372.609999999</v>
      </c>
      <c r="BE2269" s="477">
        <v>4461516.5878257183</v>
      </c>
      <c r="BF2269" s="458">
        <v>3.5014044615240492E-2</v>
      </c>
      <c r="BG2269" s="477">
        <v>5844510.3714784356</v>
      </c>
      <c r="BH2269" s="458">
        <v>6.4902248718551991E-2</v>
      </c>
      <c r="BI2269" s="477">
        <v>11669531.840449048</v>
      </c>
      <c r="BJ2269" s="458">
        <v>0.11895011894669261</v>
      </c>
      <c r="BK2269" s="477">
        <v>96379626.137912661</v>
      </c>
      <c r="BL2269" s="458">
        <v>0.2829696707057674</v>
      </c>
      <c r="BM2269" s="468">
        <v>4.5107215350637748</v>
      </c>
    </row>
    <row r="2270" spans="12:65" x14ac:dyDescent="0.3">
      <c r="L2270" s="427">
        <v>31459412.897300001</v>
      </c>
      <c r="BE2270" s="477">
        <v>4748770.088276701</v>
      </c>
      <c r="BF2270" s="458">
        <v>3.5430213623022899E-2</v>
      </c>
      <c r="BG2270" s="477">
        <v>13037990.302941209</v>
      </c>
      <c r="BH2270" s="458">
        <v>9.963005939558145E-2</v>
      </c>
      <c r="BI2270" s="477">
        <v>16880017.035403933</v>
      </c>
      <c r="BJ2270" s="458">
        <v>8.0646866779888304E-2</v>
      </c>
      <c r="BK2270" s="477">
        <v>63115704.524295785</v>
      </c>
      <c r="BL2270" s="458">
        <v>0.28419822234761738</v>
      </c>
      <c r="BM2270" s="468">
        <v>9.1295882088246678</v>
      </c>
    </row>
    <row r="2271" spans="12:65" x14ac:dyDescent="0.3">
      <c r="L2271" s="427">
        <v>-3828551.7415999998</v>
      </c>
      <c r="BE2271" s="477">
        <v>7471550.7408250421</v>
      </c>
      <c r="BF2271" s="458">
        <v>4.1640463413777917E-2</v>
      </c>
      <c r="BG2271" s="477">
        <v>3809395.286657339</v>
      </c>
      <c r="BH2271" s="458">
        <v>6.9817753662428927E-2</v>
      </c>
      <c r="BI2271" s="477">
        <v>21040103.07178051</v>
      </c>
      <c r="BJ2271" s="458">
        <v>0.10629380465718063</v>
      </c>
      <c r="BK2271" s="477">
        <v>78550803.365247935</v>
      </c>
      <c r="BL2271" s="458">
        <v>0.25450513555661769</v>
      </c>
      <c r="BM2271" s="468">
        <v>9.6239090946955219</v>
      </c>
    </row>
    <row r="2272" spans="12:65" x14ac:dyDescent="0.3">
      <c r="L2272" s="427">
        <v>9941127.5458000004</v>
      </c>
      <c r="BE2272" s="477">
        <v>4491959.6183256153</v>
      </c>
      <c r="BF2272" s="458">
        <v>3.8206408486828103E-2</v>
      </c>
      <c r="BG2272" s="477">
        <v>8796510.6381334085</v>
      </c>
      <c r="BH2272" s="458">
        <v>7.5832530930038278E-2</v>
      </c>
      <c r="BI2272" s="477">
        <v>13536484.934541566</v>
      </c>
      <c r="BJ2272" s="458">
        <v>0.12948539069867726</v>
      </c>
      <c r="BK2272" s="477">
        <v>84159359.311761737</v>
      </c>
      <c r="BL2272" s="458">
        <v>0.26357760549198295</v>
      </c>
      <c r="BM2272" s="468">
        <v>5.6845062206651695</v>
      </c>
    </row>
    <row r="2273" spans="12:65" x14ac:dyDescent="0.3">
      <c r="L2273" s="427">
        <v>-7873650.5245000003</v>
      </c>
      <c r="BE2273" s="477">
        <v>5022502.3864803407</v>
      </c>
      <c r="BF2273" s="458">
        <v>4.2638382882748571E-2</v>
      </c>
      <c r="BG2273" s="477">
        <v>5754573.5056899954</v>
      </c>
      <c r="BH2273" s="458">
        <v>5.2005760274222101E-2</v>
      </c>
      <c r="BI2273" s="477">
        <v>21621338.839569915</v>
      </c>
      <c r="BJ2273" s="458">
        <v>0.10854737697738237</v>
      </c>
      <c r="BK2273" s="477">
        <v>77382240.887367129</v>
      </c>
      <c r="BL2273" s="458">
        <v>0.26125247406584839</v>
      </c>
      <c r="BM2273" s="468">
        <v>4.0775643566956079</v>
      </c>
    </row>
    <row r="2274" spans="12:65" x14ac:dyDescent="0.3">
      <c r="L2274" s="427">
        <v>15396554.247</v>
      </c>
      <c r="BE2274" s="477">
        <v>6580842.9492701357</v>
      </c>
      <c r="BF2274" s="458">
        <v>4.3447888196365358E-2</v>
      </c>
      <c r="BG2274" s="477">
        <v>8531583.7975885887</v>
      </c>
      <c r="BH2274" s="458">
        <v>5.6877362850707769E-2</v>
      </c>
      <c r="BI2274" s="477">
        <v>18731059.968497138</v>
      </c>
      <c r="BJ2274" s="458">
        <v>0.11711247249205692</v>
      </c>
      <c r="BK2274" s="477">
        <v>89137822.142472506</v>
      </c>
      <c r="BL2274" s="458">
        <v>0.26726258030621652</v>
      </c>
      <c r="BM2274" s="468">
        <v>5.1141134314343804</v>
      </c>
    </row>
    <row r="2275" spans="12:65" x14ac:dyDescent="0.3">
      <c r="L2275" s="427">
        <v>16694075.979699999</v>
      </c>
      <c r="BE2275" s="477">
        <v>3600151.2775554503</v>
      </c>
      <c r="BF2275" s="458">
        <v>2.7787955258770758E-2</v>
      </c>
      <c r="BG2275" s="477">
        <v>3211072.5826965934</v>
      </c>
      <c r="BH2275" s="458">
        <v>6.1543089600608836E-2</v>
      </c>
      <c r="BI2275" s="477">
        <v>26084401.004454449</v>
      </c>
      <c r="BJ2275" s="458">
        <v>7.8319522150242848E-2</v>
      </c>
      <c r="BK2275" s="477">
        <v>82885786.372489139</v>
      </c>
      <c r="BL2275" s="458">
        <v>0.28350976630913594</v>
      </c>
      <c r="BM2275" s="468">
        <v>6.5808044094718188</v>
      </c>
    </row>
    <row r="2276" spans="12:65" x14ac:dyDescent="0.3">
      <c r="L2276" s="427">
        <v>1695612.5766</v>
      </c>
      <c r="BE2276" s="477">
        <v>4067580.2938762992</v>
      </c>
      <c r="BF2276" s="458">
        <v>4.7809106149377723E-2</v>
      </c>
      <c r="BG2276" s="477">
        <v>4483725.1640102686</v>
      </c>
      <c r="BH2276" s="458">
        <v>6.4425295102276126E-2</v>
      </c>
      <c r="BI2276" s="477">
        <v>24566181.444377121</v>
      </c>
      <c r="BJ2276" s="458">
        <v>0.10546510514463603</v>
      </c>
      <c r="BK2276" s="477">
        <v>102475954.21484166</v>
      </c>
      <c r="BL2276" s="458">
        <v>0.2812926713826871</v>
      </c>
      <c r="BM2276" s="468">
        <v>2.3019967956898411</v>
      </c>
    </row>
    <row r="2277" spans="12:65" x14ac:dyDescent="0.3">
      <c r="L2277" s="427">
        <v>3833399.3609000002</v>
      </c>
      <c r="BE2277" s="477">
        <v>4693678.5259933639</v>
      </c>
      <c r="BF2277" s="458">
        <v>3.9095567440444956E-2</v>
      </c>
      <c r="BG2277" s="477">
        <v>14115186.893140526</v>
      </c>
      <c r="BH2277" s="458">
        <v>7.1727197831640277E-2</v>
      </c>
      <c r="BI2277" s="477">
        <v>7941548.6740076775</v>
      </c>
      <c r="BJ2277" s="458">
        <v>9.3451633190676509E-2</v>
      </c>
      <c r="BK2277" s="477">
        <v>84693527.25955382</v>
      </c>
      <c r="BL2277" s="458">
        <v>0.25668093520063784</v>
      </c>
      <c r="BM2277" s="468">
        <v>7.1870771150722916</v>
      </c>
    </row>
    <row r="2278" spans="12:65" x14ac:dyDescent="0.3">
      <c r="L2278" s="427">
        <v>3886284.7703999998</v>
      </c>
      <c r="BE2278" s="477">
        <v>4352839.2166106887</v>
      </c>
      <c r="BF2278" s="458">
        <v>5.2839418999589327E-2</v>
      </c>
      <c r="BG2278" s="477">
        <v>11318079.103167256</v>
      </c>
      <c r="BH2278" s="458">
        <v>5.9245442616691957E-2</v>
      </c>
      <c r="BI2278" s="477">
        <v>12748307.351608451</v>
      </c>
      <c r="BJ2278" s="458">
        <v>0.11439651761626091</v>
      </c>
      <c r="BK2278" s="477">
        <v>80332702.916033357</v>
      </c>
      <c r="BL2278" s="458">
        <v>0.26223608216395067</v>
      </c>
      <c r="BM2278" s="468">
        <v>8.7435226396186927</v>
      </c>
    </row>
    <row r="2279" spans="12:65" x14ac:dyDescent="0.3">
      <c r="L2279" s="427">
        <v>16176804.2382</v>
      </c>
      <c r="BE2279" s="477">
        <v>5958986.1754876729</v>
      </c>
      <c r="BF2279" s="458">
        <v>2.1502002500397577E-2</v>
      </c>
      <c r="BG2279" s="477">
        <v>11763473.111951916</v>
      </c>
      <c r="BH2279" s="458">
        <v>6.4412521004728829E-2</v>
      </c>
      <c r="BI2279" s="477">
        <v>19887833.039182458</v>
      </c>
      <c r="BJ2279" s="458">
        <v>0.13676499707790857</v>
      </c>
      <c r="BK2279" s="477">
        <v>86518377.328758687</v>
      </c>
      <c r="BL2279" s="458">
        <v>0.25587669242970645</v>
      </c>
      <c r="BM2279" s="468">
        <v>10.219639862103445</v>
      </c>
    </row>
    <row r="2280" spans="12:65" x14ac:dyDescent="0.3">
      <c r="L2280" s="427">
        <v>-4387380.5888</v>
      </c>
      <c r="BE2280" s="477">
        <v>1478474.4118108253</v>
      </c>
      <c r="BF2280" s="458">
        <v>4.0943569810655944E-2</v>
      </c>
      <c r="BG2280" s="477">
        <v>14229952.315909255</v>
      </c>
      <c r="BH2280" s="458">
        <v>7.6572144600959735E-2</v>
      </c>
      <c r="BI2280" s="477">
        <v>17749119.590945996</v>
      </c>
      <c r="BJ2280" s="458">
        <v>0.1103966659774962</v>
      </c>
      <c r="BK2280" s="477">
        <v>97992617.902738407</v>
      </c>
      <c r="BL2280" s="458">
        <v>0.25754469974808747</v>
      </c>
      <c r="BM2280" s="468">
        <v>11.038843452599142</v>
      </c>
    </row>
    <row r="2281" spans="12:65" x14ac:dyDescent="0.3">
      <c r="L2281" s="427">
        <v>958430.48089999997</v>
      </c>
      <c r="BE2281" s="477">
        <v>6250258.3565417193</v>
      </c>
      <c r="BF2281" s="458">
        <v>7.0431678386363661E-2</v>
      </c>
      <c r="BG2281" s="477">
        <v>4582613.5376183828</v>
      </c>
      <c r="BH2281" s="458">
        <v>8.0877280318697231E-2</v>
      </c>
      <c r="BI2281" s="477">
        <v>7987257.3569572698</v>
      </c>
      <c r="BJ2281" s="458">
        <v>0.12029258674430632</v>
      </c>
      <c r="BK2281" s="477">
        <v>81855838.971466586</v>
      </c>
      <c r="BL2281" s="458">
        <v>0.27345143334336863</v>
      </c>
      <c r="BM2281" s="468">
        <v>14.857786397681526</v>
      </c>
    </row>
    <row r="2282" spans="12:65" x14ac:dyDescent="0.3">
      <c r="L2282" s="427">
        <v>20540966.8112</v>
      </c>
      <c r="BE2282" s="477">
        <v>7783654.8867012998</v>
      </c>
      <c r="BF2282" s="458">
        <v>3.3379193751328362E-3</v>
      </c>
      <c r="BG2282" s="477">
        <v>11107338.19689139</v>
      </c>
      <c r="BH2282" s="458">
        <v>5.2695149843204003E-2</v>
      </c>
      <c r="BI2282" s="477">
        <v>14878635.829208961</v>
      </c>
      <c r="BJ2282" s="458">
        <v>0.12530546859970748</v>
      </c>
      <c r="BK2282" s="477">
        <v>105086543.44351876</v>
      </c>
      <c r="BL2282" s="458">
        <v>0.26324101779897191</v>
      </c>
      <c r="BM2282" s="468">
        <v>15.306283152974233</v>
      </c>
    </row>
    <row r="2283" spans="12:65" x14ac:dyDescent="0.3">
      <c r="L2283" s="427">
        <v>15139123.9399</v>
      </c>
      <c r="BE2283" s="477">
        <v>6689905.8654246153</v>
      </c>
      <c r="BF2283" s="458">
        <v>3.6641885362285631E-2</v>
      </c>
      <c r="BG2283" s="477">
        <v>7411342.0180678973</v>
      </c>
      <c r="BH2283" s="458">
        <v>7.5083432024064756E-2</v>
      </c>
      <c r="BI2283" s="477">
        <v>11879695.780690202</v>
      </c>
      <c r="BJ2283" s="458">
        <v>9.2943560392976243E-2</v>
      </c>
      <c r="BK2283" s="477">
        <v>96971886.442549035</v>
      </c>
      <c r="BL2283" s="458">
        <v>0.28422434925850859</v>
      </c>
      <c r="BM2283" s="468">
        <v>10.793751136940845</v>
      </c>
    </row>
    <row r="2284" spans="12:65" x14ac:dyDescent="0.3">
      <c r="L2284" s="427">
        <v>16027990.2369</v>
      </c>
      <c r="BE2284" s="477">
        <v>5711663.1148122624</v>
      </c>
      <c r="BF2284" s="458">
        <v>2.3501949847386738E-2</v>
      </c>
      <c r="BG2284" s="477">
        <v>8306319.7032513842</v>
      </c>
      <c r="BH2284" s="458">
        <v>4.364976437404855E-2</v>
      </c>
      <c r="BI2284" s="477">
        <v>20355281.746703755</v>
      </c>
      <c r="BJ2284" s="458">
        <v>0.10415998303124163</v>
      </c>
      <c r="BK2284" s="477">
        <v>93249781.282399327</v>
      </c>
      <c r="BL2284" s="458">
        <v>0.27852353540031816</v>
      </c>
      <c r="BM2284" s="468">
        <v>7.5712127535772638</v>
      </c>
    </row>
    <row r="2285" spans="12:65" x14ac:dyDescent="0.3">
      <c r="L2285" s="427">
        <v>23917018.950100001</v>
      </c>
      <c r="BE2285" s="477">
        <v>3327693.7145884018</v>
      </c>
      <c r="BF2285" s="458">
        <v>4.0108734712641869E-2</v>
      </c>
      <c r="BG2285" s="477">
        <v>11711983.459952436</v>
      </c>
      <c r="BH2285" s="458">
        <v>4.0196915200479966E-2</v>
      </c>
      <c r="BI2285" s="477">
        <v>16045911.898201371</v>
      </c>
      <c r="BJ2285" s="458">
        <v>0.11504784047121941</v>
      </c>
      <c r="BK2285" s="477">
        <v>99233653.57294853</v>
      </c>
      <c r="BL2285" s="458">
        <v>0.28960891748390249</v>
      </c>
      <c r="BM2285" s="468">
        <v>3.0123750660620097</v>
      </c>
    </row>
    <row r="2286" spans="12:65" x14ac:dyDescent="0.3">
      <c r="L2286" s="427">
        <v>-7159042.3975999998</v>
      </c>
      <c r="BE2286" s="477">
        <v>4056418.806415604</v>
      </c>
      <c r="BF2286" s="458">
        <v>4.0611932359815528E-2</v>
      </c>
      <c r="BG2286" s="477">
        <v>9208147.6672044192</v>
      </c>
      <c r="BH2286" s="458">
        <v>6.1448356836434348E-2</v>
      </c>
      <c r="BI2286" s="477">
        <v>18617711.98504721</v>
      </c>
      <c r="BJ2286" s="458">
        <v>0.10120504270779263</v>
      </c>
      <c r="BK2286" s="477">
        <v>85527019.127239972</v>
      </c>
      <c r="BL2286" s="458">
        <v>0.27050335892022415</v>
      </c>
      <c r="BM2286" s="468">
        <v>7.657535835634051</v>
      </c>
    </row>
    <row r="2287" spans="12:65" x14ac:dyDescent="0.3">
      <c r="L2287" s="427">
        <v>-2216803.5085</v>
      </c>
      <c r="BE2287" s="477">
        <v>5464679.4518439015</v>
      </c>
      <c r="BF2287" s="458">
        <v>2.8655634778855132E-2</v>
      </c>
      <c r="BG2287" s="477">
        <v>6855333.9150492009</v>
      </c>
      <c r="BH2287" s="458">
        <v>7.4913947605399933E-2</v>
      </c>
      <c r="BI2287" s="477">
        <v>17994070.085901774</v>
      </c>
      <c r="BJ2287" s="458">
        <v>0.10912617997993945</v>
      </c>
      <c r="BK2287" s="477">
        <v>82225995.366556674</v>
      </c>
      <c r="BL2287" s="458">
        <v>0.27868156805266486</v>
      </c>
      <c r="BM2287" s="468">
        <v>11.191922595482225</v>
      </c>
    </row>
    <row r="2288" spans="12:65" x14ac:dyDescent="0.3">
      <c r="L2288" s="427">
        <v>21164744.489300001</v>
      </c>
      <c r="BE2288" s="477">
        <v>8252084.6585658407</v>
      </c>
      <c r="BF2288" s="458">
        <v>3.0662190006840895E-2</v>
      </c>
      <c r="BG2288" s="477">
        <v>14198053.830338269</v>
      </c>
      <c r="BH2288" s="458">
        <v>6.8125580878172665E-2</v>
      </c>
      <c r="BI2288" s="477">
        <v>17255430.619630713</v>
      </c>
      <c r="BJ2288" s="458">
        <v>0.1239742994345685</v>
      </c>
      <c r="BK2288" s="477">
        <v>93531390.506849691</v>
      </c>
      <c r="BL2288" s="458">
        <v>0.27616785801702859</v>
      </c>
      <c r="BM2288" s="468">
        <v>4.722871866594847</v>
      </c>
    </row>
    <row r="2289" spans="12:65" x14ac:dyDescent="0.3">
      <c r="L2289" s="427">
        <v>5863225.9603000004</v>
      </c>
      <c r="BE2289" s="477">
        <v>6168455.9935694495</v>
      </c>
      <c r="BF2289" s="458">
        <v>3.2491440084159384E-2</v>
      </c>
      <c r="BG2289" s="477">
        <v>13219736.05787484</v>
      </c>
      <c r="BH2289" s="458">
        <v>7.14435099749966E-2</v>
      </c>
      <c r="BI2289" s="477">
        <v>19338236.726817336</v>
      </c>
      <c r="BJ2289" s="458">
        <v>6.4321102370480832E-2</v>
      </c>
      <c r="BK2289" s="477">
        <v>94716084.284693569</v>
      </c>
      <c r="BL2289" s="458">
        <v>0.25657667661581396</v>
      </c>
      <c r="BM2289" s="468">
        <v>10.253805114590921</v>
      </c>
    </row>
    <row r="2290" spans="12:65" x14ac:dyDescent="0.3">
      <c r="L2290" s="427">
        <v>18488031.814599998</v>
      </c>
      <c r="BE2290" s="477">
        <v>3656433.3758737133</v>
      </c>
      <c r="BF2290" s="458">
        <v>1.9950747518222789E-2</v>
      </c>
      <c r="BG2290" s="477">
        <v>8002372.1265796907</v>
      </c>
      <c r="BH2290" s="458">
        <v>7.3437317268352897E-2</v>
      </c>
      <c r="BI2290" s="477">
        <v>12777769.292004699</v>
      </c>
      <c r="BJ2290" s="458">
        <v>9.6698512085330757E-2</v>
      </c>
      <c r="BK2290" s="477">
        <v>84902826.323671237</v>
      </c>
      <c r="BL2290" s="458">
        <v>0.2680977188749909</v>
      </c>
      <c r="BM2290" s="468">
        <v>10.456610152893788</v>
      </c>
    </row>
    <row r="2291" spans="12:65" x14ac:dyDescent="0.3">
      <c r="L2291" s="427">
        <v>8036310.3965999996</v>
      </c>
      <c r="BE2291" s="477">
        <v>5074965.840863416</v>
      </c>
      <c r="BF2291" s="458">
        <v>5.0712976757795847E-2</v>
      </c>
      <c r="BG2291" s="477">
        <v>8891005.4541980363</v>
      </c>
      <c r="BH2291" s="458">
        <v>5.0642797923638128E-2</v>
      </c>
      <c r="BI2291" s="477">
        <v>12787522.018655216</v>
      </c>
      <c r="BJ2291" s="458">
        <v>9.6506914279832268E-2</v>
      </c>
      <c r="BK2291" s="477">
        <v>88010562.972642303</v>
      </c>
      <c r="BL2291" s="458">
        <v>0.26563694034859142</v>
      </c>
      <c r="BM2291" s="468">
        <v>11.607803813250573</v>
      </c>
    </row>
    <row r="2292" spans="12:65" x14ac:dyDescent="0.3">
      <c r="L2292" s="427">
        <v>-8223531.3740999997</v>
      </c>
      <c r="BE2292" s="477">
        <v>6136820.891526645</v>
      </c>
      <c r="BF2292" s="458">
        <v>7.9989272316983939E-2</v>
      </c>
      <c r="BG2292" s="477">
        <v>13211306.63804947</v>
      </c>
      <c r="BH2292" s="458">
        <v>9.9167288223776184E-2</v>
      </c>
      <c r="BI2292" s="477">
        <v>18641796.47025755</v>
      </c>
      <c r="BJ2292" s="458">
        <v>9.9463786350800554E-2</v>
      </c>
      <c r="BK2292" s="477">
        <v>93354248.753473982</v>
      </c>
      <c r="BL2292" s="458">
        <v>0.27363179337783206</v>
      </c>
      <c r="BM2292" s="468">
        <v>6.9539564912489826</v>
      </c>
    </row>
    <row r="2293" spans="12:65" x14ac:dyDescent="0.3">
      <c r="L2293" s="427">
        <v>3715781.0177000002</v>
      </c>
      <c r="BE2293" s="477">
        <v>7842492.980567283</v>
      </c>
      <c r="BF2293" s="458">
        <v>3.9501185923914051E-2</v>
      </c>
      <c r="BG2293" s="477">
        <v>5110007.7054457795</v>
      </c>
      <c r="BH2293" s="458">
        <v>7.964671636892251E-2</v>
      </c>
      <c r="BI2293" s="477">
        <v>8863721.9549698159</v>
      </c>
      <c r="BJ2293" s="458">
        <v>9.7411951546987563E-2</v>
      </c>
      <c r="BK2293" s="477">
        <v>81196040.566425696</v>
      </c>
      <c r="BL2293" s="458">
        <v>0.29016855591771562</v>
      </c>
      <c r="BM2293" s="468">
        <v>12.158754144796381</v>
      </c>
    </row>
    <row r="2294" spans="12:65" x14ac:dyDescent="0.3">
      <c r="L2294" s="427">
        <v>12552538.3126</v>
      </c>
      <c r="BE2294" s="477">
        <v>5920391.7846380025</v>
      </c>
      <c r="BF2294" s="458">
        <v>4.8087494686623433E-2</v>
      </c>
      <c r="BG2294" s="477">
        <v>6076873.2096694652</v>
      </c>
      <c r="BH2294" s="458">
        <v>7.213340590755446E-2</v>
      </c>
      <c r="BI2294" s="477">
        <v>14144165.821807362</v>
      </c>
      <c r="BJ2294" s="458">
        <v>9.8540708659550891E-2</v>
      </c>
      <c r="BK2294" s="477">
        <v>96490459.693118975</v>
      </c>
      <c r="BL2294" s="458">
        <v>0.24989408190969042</v>
      </c>
      <c r="BM2294" s="468">
        <v>4.7994287787324339</v>
      </c>
    </row>
    <row r="2295" spans="12:65" x14ac:dyDescent="0.3">
      <c r="L2295" s="427">
        <v>6277037.6478000004</v>
      </c>
      <c r="BE2295" s="477">
        <v>6670879.3721391428</v>
      </c>
      <c r="BF2295" s="458">
        <v>3.7418304389278179E-2</v>
      </c>
      <c r="BG2295" s="477">
        <v>4474057.5177950813</v>
      </c>
      <c r="BH2295" s="458">
        <v>5.0694966722853785E-2</v>
      </c>
      <c r="BI2295" s="477">
        <v>16879342.567461714</v>
      </c>
      <c r="BJ2295" s="458">
        <v>0.12749282144565588</v>
      </c>
      <c r="BK2295" s="477">
        <v>86015906.438033834</v>
      </c>
      <c r="BL2295" s="458">
        <v>0.26620518325285092</v>
      </c>
      <c r="BM2295" s="468">
        <v>7.7207377876758159</v>
      </c>
    </row>
    <row r="2296" spans="12:65" x14ac:dyDescent="0.3">
      <c r="L2296" s="427">
        <v>5765552.3864000002</v>
      </c>
      <c r="BE2296" s="477">
        <v>5338822.4878886715</v>
      </c>
      <c r="BF2296" s="458">
        <v>4.9237723135238998E-2</v>
      </c>
      <c r="BG2296" s="477">
        <v>8592872.9939488452</v>
      </c>
      <c r="BH2296" s="458">
        <v>4.4476243820249284E-2</v>
      </c>
      <c r="BI2296" s="477">
        <v>10639714.690208346</v>
      </c>
      <c r="BJ2296" s="458">
        <v>9.8530424301205066E-2</v>
      </c>
      <c r="BK2296" s="477">
        <v>78254271.077160627</v>
      </c>
      <c r="BL2296" s="458">
        <v>0.25199910864534547</v>
      </c>
      <c r="BM2296" s="468">
        <v>7.3927624772688052</v>
      </c>
    </row>
    <row r="2297" spans="12:65" x14ac:dyDescent="0.3">
      <c r="L2297" s="427">
        <v>2885880.7544</v>
      </c>
      <c r="BE2297" s="477">
        <v>6555454.501403139</v>
      </c>
      <c r="BF2297" s="458">
        <v>4.7963297199472121E-2</v>
      </c>
      <c r="BG2297" s="477">
        <v>7105787.771330676</v>
      </c>
      <c r="BH2297" s="458">
        <v>7.5939919570162218E-2</v>
      </c>
      <c r="BI2297" s="477">
        <v>18366457.9704221</v>
      </c>
      <c r="BJ2297" s="458">
        <v>9.8008747738048907E-2</v>
      </c>
      <c r="BK2297" s="477">
        <v>96931193.202821046</v>
      </c>
      <c r="BL2297" s="458">
        <v>0.27756082677198313</v>
      </c>
      <c r="BM2297" s="468">
        <v>8.456127874681858</v>
      </c>
    </row>
    <row r="2298" spans="12:65" x14ac:dyDescent="0.3">
      <c r="L2298" s="427">
        <v>-12249511.7173</v>
      </c>
      <c r="BE2298" s="477">
        <v>7214195.5953510888</v>
      </c>
      <c r="BF2298" s="458">
        <v>4.152261480617625E-2</v>
      </c>
      <c r="BG2298" s="477">
        <v>9445424.3163598981</v>
      </c>
      <c r="BH2298" s="458">
        <v>9.092753343369564E-2</v>
      </c>
      <c r="BI2298" s="477">
        <v>22634618.680980407</v>
      </c>
      <c r="BJ2298" s="458">
        <v>0.10667775997915729</v>
      </c>
      <c r="BK2298" s="477">
        <v>99926318.483491659</v>
      </c>
      <c r="BL2298" s="458">
        <v>0.26216834301279257</v>
      </c>
      <c r="BM2298" s="468">
        <v>4.1955571650619063</v>
      </c>
    </row>
    <row r="2299" spans="12:65" x14ac:dyDescent="0.3">
      <c r="L2299" s="427">
        <v>5934906.3397000004</v>
      </c>
      <c r="BE2299" s="477">
        <v>5326962.7440380715</v>
      </c>
      <c r="BF2299" s="458">
        <v>3.2322843021493908E-2</v>
      </c>
      <c r="BG2299" s="477">
        <v>14048291.086955745</v>
      </c>
      <c r="BH2299" s="458">
        <v>7.1721773544769496E-2</v>
      </c>
      <c r="BI2299" s="477">
        <v>12572793.488493856</v>
      </c>
      <c r="BJ2299" s="458">
        <v>0.12651148759074471</v>
      </c>
      <c r="BK2299" s="477">
        <v>95388224.462939024</v>
      </c>
      <c r="BL2299" s="458">
        <v>0.26647216637751359</v>
      </c>
      <c r="BM2299" s="468">
        <v>11.267657611508218</v>
      </c>
    </row>
    <row r="2300" spans="12:65" x14ac:dyDescent="0.3">
      <c r="L2300" s="427">
        <v>-4054897.4859000002</v>
      </c>
      <c r="BE2300" s="477">
        <v>6767192.993681998</v>
      </c>
      <c r="BF2300" s="458">
        <v>3.9945372168065374E-2</v>
      </c>
      <c r="BG2300" s="477">
        <v>3418601.5255372347</v>
      </c>
      <c r="BH2300" s="458">
        <v>4.8428998697953363E-2</v>
      </c>
      <c r="BI2300" s="477">
        <v>27087141.745247286</v>
      </c>
      <c r="BJ2300" s="458">
        <v>0.11109523190705706</v>
      </c>
      <c r="BK2300" s="477">
        <v>71871392.371626958</v>
      </c>
      <c r="BL2300" s="458">
        <v>0.28114807728084457</v>
      </c>
      <c r="BM2300" s="468">
        <v>6.6251179087174048</v>
      </c>
    </row>
    <row r="2301" spans="12:65" x14ac:dyDescent="0.3">
      <c r="L2301" s="427">
        <v>10702392.796399999</v>
      </c>
      <c r="BE2301" s="477">
        <v>3894824.0350663285</v>
      </c>
      <c r="BF2301" s="458">
        <v>4.1063635734207793E-2</v>
      </c>
      <c r="BG2301" s="477">
        <v>6219563.3070276706</v>
      </c>
      <c r="BH2301" s="458">
        <v>5.4152900808917881E-2</v>
      </c>
      <c r="BI2301" s="477">
        <v>13670545.460006146</v>
      </c>
      <c r="BJ2301" s="458">
        <v>0.1001998270166331</v>
      </c>
      <c r="BK2301" s="477">
        <v>102051331.80271122</v>
      </c>
      <c r="BL2301" s="458">
        <v>0.28644824323117124</v>
      </c>
      <c r="BM2301" s="468">
        <v>0.47695463387199322</v>
      </c>
    </row>
    <row r="2302" spans="12:65" x14ac:dyDescent="0.3">
      <c r="L2302" s="427">
        <v>7695095.8792000003</v>
      </c>
      <c r="BE2302" s="477">
        <v>10813816.586654728</v>
      </c>
      <c r="BF2302" s="458">
        <v>3.96480748009993E-2</v>
      </c>
      <c r="BG2302" s="477">
        <v>16128715.400447182</v>
      </c>
      <c r="BH2302" s="458">
        <v>6.1379009385571948E-2</v>
      </c>
      <c r="BI2302" s="477">
        <v>24218470.897078332</v>
      </c>
      <c r="BJ2302" s="458">
        <v>0.10496010709886638</v>
      </c>
      <c r="BK2302" s="477">
        <v>88730923.548230484</v>
      </c>
      <c r="BL2302" s="458">
        <v>0.30929186274796572</v>
      </c>
      <c r="BM2302" s="468">
        <v>11.608777300413097</v>
      </c>
    </row>
    <row r="2303" spans="12:65" x14ac:dyDescent="0.3">
      <c r="L2303" s="427">
        <v>3334916.4355000001</v>
      </c>
      <c r="BE2303" s="477">
        <v>4529544.9008498108</v>
      </c>
      <c r="BF2303" s="458">
        <v>4.5377003403866745E-2</v>
      </c>
      <c r="BG2303" s="477">
        <v>13624537.036495768</v>
      </c>
      <c r="BH2303" s="458">
        <v>8.7003531778512944E-2</v>
      </c>
      <c r="BI2303" s="477">
        <v>18574628.04781479</v>
      </c>
      <c r="BJ2303" s="458">
        <v>0.10840118806185517</v>
      </c>
      <c r="BK2303" s="477">
        <v>92599870.236778885</v>
      </c>
      <c r="BL2303" s="458">
        <v>0.27574321111911759</v>
      </c>
      <c r="BM2303" s="468">
        <v>11.248075433784997</v>
      </c>
    </row>
    <row r="2304" spans="12:65" x14ac:dyDescent="0.3">
      <c r="L2304" s="427">
        <v>-8588458.0884000007</v>
      </c>
      <c r="BE2304" s="477">
        <v>7928725.5540246293</v>
      </c>
      <c r="BF2304" s="458">
        <v>4.6323611060843151E-2</v>
      </c>
      <c r="BG2304" s="477">
        <v>3818448.7299821968</v>
      </c>
      <c r="BH2304" s="458">
        <v>5.4569993344661061E-2</v>
      </c>
      <c r="BI2304" s="477">
        <v>15517650.088684479</v>
      </c>
      <c r="BJ2304" s="458">
        <v>0.1470349116649432</v>
      </c>
      <c r="BK2304" s="477">
        <v>85899287.506790116</v>
      </c>
      <c r="BL2304" s="458">
        <v>0.25264934476258882</v>
      </c>
      <c r="BM2304" s="468">
        <v>10.352786495752573</v>
      </c>
    </row>
    <row r="2305" spans="12:65" x14ac:dyDescent="0.3">
      <c r="L2305" s="427">
        <v>15109942.1106</v>
      </c>
      <c r="BE2305" s="477">
        <v>9585344.3947763573</v>
      </c>
      <c r="BF2305" s="458">
        <v>3.7617971754915436E-2</v>
      </c>
      <c r="BG2305" s="477">
        <v>4599388.3894823277</v>
      </c>
      <c r="BH2305" s="458">
        <v>6.1535622913566845E-2</v>
      </c>
      <c r="BI2305" s="477">
        <v>3912501.3954808316</v>
      </c>
      <c r="BJ2305" s="458">
        <v>9.6916476358767767E-2</v>
      </c>
      <c r="BK2305" s="477">
        <v>83600527.970894381</v>
      </c>
      <c r="BL2305" s="458">
        <v>0.26726914385313494</v>
      </c>
      <c r="BM2305" s="468">
        <v>7.0867155430500439</v>
      </c>
    </row>
    <row r="2306" spans="12:65" x14ac:dyDescent="0.3">
      <c r="L2306" s="427">
        <v>9859135.8011000007</v>
      </c>
      <c r="BE2306" s="477">
        <v>3936535.2183872648</v>
      </c>
      <c r="BF2306" s="458">
        <v>2.081995901193201E-2</v>
      </c>
      <c r="BG2306" s="477">
        <v>9106642.058739014</v>
      </c>
      <c r="BH2306" s="458">
        <v>3.8155667805914062E-2</v>
      </c>
      <c r="BI2306" s="477">
        <v>18975694.129151464</v>
      </c>
      <c r="BJ2306" s="458">
        <v>0.11388587575594156</v>
      </c>
      <c r="BK2306" s="477">
        <v>85040065.416773319</v>
      </c>
      <c r="BL2306" s="458">
        <v>0.27234922215593738</v>
      </c>
      <c r="BM2306" s="468">
        <v>6.609971784581111</v>
      </c>
    </row>
    <row r="2307" spans="12:65" x14ac:dyDescent="0.3">
      <c r="L2307" s="427">
        <v>2715415.1910000001</v>
      </c>
      <c r="BE2307" s="477">
        <v>5828024.21744911</v>
      </c>
      <c r="BF2307" s="458">
        <v>2.7106064114501782E-2</v>
      </c>
      <c r="BG2307" s="477">
        <v>10761269.792276856</v>
      </c>
      <c r="BH2307" s="458">
        <v>8.4964974900197721E-2</v>
      </c>
      <c r="BI2307" s="477">
        <v>22757454.088983212</v>
      </c>
      <c r="BJ2307" s="458">
        <v>0.12342585911008697</v>
      </c>
      <c r="BK2307" s="477">
        <v>77063741.725588679</v>
      </c>
      <c r="BL2307" s="458">
        <v>0.25432739839287266</v>
      </c>
      <c r="BM2307" s="468">
        <v>7.1024098739478543</v>
      </c>
    </row>
    <row r="2308" spans="12:65" x14ac:dyDescent="0.3">
      <c r="L2308" s="427">
        <v>3010193.1346</v>
      </c>
      <c r="BE2308" s="477">
        <v>5004035.6677549463</v>
      </c>
      <c r="BF2308" s="458">
        <v>3.1666055751520927E-2</v>
      </c>
      <c r="BG2308" s="477">
        <v>10314332.038277227</v>
      </c>
      <c r="BH2308" s="458">
        <v>4.7851163815118891E-2</v>
      </c>
      <c r="BI2308" s="477">
        <v>2774240.5934459227</v>
      </c>
      <c r="BJ2308" s="458">
        <v>0.13149767898225084</v>
      </c>
      <c r="BK2308" s="477">
        <v>81980668.760872647</v>
      </c>
      <c r="BL2308" s="458">
        <v>0.26812899378532684</v>
      </c>
      <c r="BM2308" s="468">
        <v>15.718922949981636</v>
      </c>
    </row>
    <row r="2309" spans="12:65" x14ac:dyDescent="0.3">
      <c r="L2309" s="427">
        <v>6887563.1332999999</v>
      </c>
      <c r="BE2309" s="477">
        <v>2950223.5933077056</v>
      </c>
      <c r="BF2309" s="458">
        <v>4.5119036564643666E-2</v>
      </c>
      <c r="BG2309" s="477">
        <v>9921321.0033883136</v>
      </c>
      <c r="BH2309" s="458">
        <v>8.2033256654799436E-2</v>
      </c>
      <c r="BI2309" s="477">
        <v>12769984.545517985</v>
      </c>
      <c r="BJ2309" s="458">
        <v>0.12316508701126772</v>
      </c>
      <c r="BK2309" s="477">
        <v>85386757.226395175</v>
      </c>
      <c r="BL2309" s="458">
        <v>0.2915234574711878</v>
      </c>
      <c r="BM2309" s="468">
        <v>7.6581188953813637</v>
      </c>
    </row>
    <row r="2310" spans="12:65" x14ac:dyDescent="0.3">
      <c r="L2310" s="427">
        <v>18943806.081900001</v>
      </c>
      <c r="BE2310" s="477">
        <v>1610665.3507400323</v>
      </c>
      <c r="BF2310" s="458">
        <v>3.849955323618981E-2</v>
      </c>
      <c r="BG2310" s="477">
        <v>11731436.223375339</v>
      </c>
      <c r="BH2310" s="458">
        <v>5.7026317417488537E-2</v>
      </c>
      <c r="BI2310" s="477">
        <v>18545411.492089681</v>
      </c>
      <c r="BJ2310" s="458">
        <v>0.11436169600126123</v>
      </c>
      <c r="BK2310" s="477">
        <v>88693836.042582393</v>
      </c>
      <c r="BL2310" s="458">
        <v>0.26194313971418604</v>
      </c>
      <c r="BM2310" s="468">
        <v>4.9494124834881825</v>
      </c>
    </row>
    <row r="2311" spans="12:65" x14ac:dyDescent="0.3">
      <c r="L2311" s="427">
        <v>16876312.755600002</v>
      </c>
      <c r="BE2311" s="477">
        <v>4378145.9978740225</v>
      </c>
      <c r="BF2311" s="458">
        <v>5.0287601790589109E-2</v>
      </c>
      <c r="BG2311" s="477">
        <v>16546586.16699037</v>
      </c>
      <c r="BH2311" s="458">
        <v>8.4707489190097185E-2</v>
      </c>
      <c r="BI2311" s="477">
        <v>14076929.870466132</v>
      </c>
      <c r="BJ2311" s="458">
        <v>0.11290357586197097</v>
      </c>
      <c r="BK2311" s="477">
        <v>88188966.349429637</v>
      </c>
      <c r="BL2311" s="458">
        <v>0.27695683477315414</v>
      </c>
      <c r="BM2311" s="468">
        <v>9.4581554665091438</v>
      </c>
    </row>
    <row r="2312" spans="12:65" x14ac:dyDescent="0.3">
      <c r="L2312" s="427">
        <v>-1492866.0707</v>
      </c>
      <c r="BE2312" s="477">
        <v>6341330.4511234155</v>
      </c>
      <c r="BF2312" s="458">
        <v>4.5247873896700153E-2</v>
      </c>
      <c r="BG2312" s="477">
        <v>5528279.0486033484</v>
      </c>
      <c r="BH2312" s="458">
        <v>7.0012356270866771E-2</v>
      </c>
      <c r="BI2312" s="477">
        <v>13892940.334656091</v>
      </c>
      <c r="BJ2312" s="458">
        <v>0.11763931804278638</v>
      </c>
      <c r="BK2312" s="477">
        <v>80176795.826840088</v>
      </c>
      <c r="BL2312" s="458">
        <v>0.2660678416443234</v>
      </c>
      <c r="BM2312" s="468">
        <v>13.660661821555941</v>
      </c>
    </row>
    <row r="2313" spans="12:65" x14ac:dyDescent="0.3">
      <c r="L2313" s="427">
        <v>8653852.3161999993</v>
      </c>
      <c r="BE2313" s="477">
        <v>5133742.3221609732</v>
      </c>
      <c r="BF2313" s="458">
        <v>4.7141843282340723E-2</v>
      </c>
      <c r="BG2313" s="477">
        <v>10748190.237340294</v>
      </c>
      <c r="BH2313" s="458">
        <v>6.0838476394520002E-2</v>
      </c>
      <c r="BI2313" s="477">
        <v>19806277.973357122</v>
      </c>
      <c r="BJ2313" s="458">
        <v>0.10994111928634576</v>
      </c>
      <c r="BK2313" s="477">
        <v>94356618.184036717</v>
      </c>
      <c r="BL2313" s="458">
        <v>0.25004639632882353</v>
      </c>
      <c r="BM2313" s="468">
        <v>12.659821588032415</v>
      </c>
    </row>
    <row r="2314" spans="12:65" x14ac:dyDescent="0.3">
      <c r="L2314" s="427">
        <v>14446144.6427</v>
      </c>
      <c r="BE2314" s="477">
        <v>-796940.76225066185</v>
      </c>
      <c r="BF2314" s="458">
        <v>4.8253479624728923E-2</v>
      </c>
      <c r="BG2314" s="477">
        <v>685794.55255498271</v>
      </c>
      <c r="BH2314" s="458">
        <v>5.1844577607824016E-2</v>
      </c>
      <c r="BI2314" s="477">
        <v>17446328.449106604</v>
      </c>
      <c r="BJ2314" s="458">
        <v>0.11063258512710195</v>
      </c>
      <c r="BK2314" s="477">
        <v>78250566.818577111</v>
      </c>
      <c r="BL2314" s="458">
        <v>0.25721842383233695</v>
      </c>
      <c r="BM2314" s="468">
        <v>13.082690097049449</v>
      </c>
    </row>
    <row r="2315" spans="12:65" x14ac:dyDescent="0.3">
      <c r="L2315" s="427">
        <v>20952113.52</v>
      </c>
      <c r="BE2315" s="477">
        <v>2763211.5084408182</v>
      </c>
      <c r="BF2315" s="458">
        <v>4.7771849528609023E-2</v>
      </c>
      <c r="BG2315" s="477">
        <v>7123125.6047332706</v>
      </c>
      <c r="BH2315" s="458">
        <v>4.3241581319399147E-2</v>
      </c>
      <c r="BI2315" s="477">
        <v>22230210.718419887</v>
      </c>
      <c r="BJ2315" s="458">
        <v>0.10393030609778386</v>
      </c>
      <c r="BK2315" s="477">
        <v>89988270.578497425</v>
      </c>
      <c r="BL2315" s="458">
        <v>0.27166321255571324</v>
      </c>
      <c r="BM2315" s="468">
        <v>0.46644856167912963</v>
      </c>
    </row>
    <row r="2316" spans="12:65" x14ac:dyDescent="0.3">
      <c r="L2316" s="427">
        <v>5719152.4620000003</v>
      </c>
      <c r="BE2316" s="477">
        <v>8100622.1278350027</v>
      </c>
      <c r="BF2316" s="458">
        <v>2.9955123593671917E-2</v>
      </c>
      <c r="BG2316" s="477">
        <v>7837161.2491945699</v>
      </c>
      <c r="BH2316" s="458">
        <v>4.4419160183334361E-2</v>
      </c>
      <c r="BI2316" s="477">
        <v>19440926.335058089</v>
      </c>
      <c r="BJ2316" s="458">
        <v>0.12105368734374489</v>
      </c>
      <c r="BK2316" s="477">
        <v>80581485.786852136</v>
      </c>
      <c r="BL2316" s="458">
        <v>0.27376958523243533</v>
      </c>
      <c r="BM2316" s="468">
        <v>7.450418845039513</v>
      </c>
    </row>
    <row r="2317" spans="12:65" x14ac:dyDescent="0.3">
      <c r="L2317" s="427">
        <v>15385236.8388</v>
      </c>
      <c r="BE2317" s="477">
        <v>5055798.3040706022</v>
      </c>
      <c r="BF2317" s="458">
        <v>5.0298807276682789E-2</v>
      </c>
      <c r="BG2317" s="477">
        <v>10353780.208787095</v>
      </c>
      <c r="BH2317" s="458">
        <v>4.9441772172729159E-2</v>
      </c>
      <c r="BI2317" s="477">
        <v>13294858.581884872</v>
      </c>
      <c r="BJ2317" s="458">
        <v>9.3866812528035082E-2</v>
      </c>
      <c r="BK2317" s="477">
        <v>92209392.813057706</v>
      </c>
      <c r="BL2317" s="458">
        <v>0.27397344355296949</v>
      </c>
      <c r="BM2317" s="468">
        <v>4.6984096003684179</v>
      </c>
    </row>
    <row r="2318" spans="12:65" x14ac:dyDescent="0.3">
      <c r="L2318" s="427">
        <v>11442723.9067</v>
      </c>
      <c r="BE2318" s="477">
        <v>10348683.897875162</v>
      </c>
      <c r="BF2318" s="458">
        <v>4.7445931627442928E-2</v>
      </c>
      <c r="BG2318" s="477">
        <v>11124318.414341321</v>
      </c>
      <c r="BH2318" s="458">
        <v>7.0648422128162025E-2</v>
      </c>
      <c r="BI2318" s="477">
        <v>16144156.365123415</v>
      </c>
      <c r="BJ2318" s="458">
        <v>0.10661946019455715</v>
      </c>
      <c r="BK2318" s="477">
        <v>92694303.957074419</v>
      </c>
      <c r="BL2318" s="458">
        <v>0.28286064209959516</v>
      </c>
      <c r="BM2318" s="468">
        <v>11.268937612750875</v>
      </c>
    </row>
    <row r="2319" spans="12:65" x14ac:dyDescent="0.3">
      <c r="L2319" s="427">
        <v>3203573.1667999998</v>
      </c>
      <c r="BE2319" s="477">
        <v>4599253.6358620608</v>
      </c>
      <c r="BF2319" s="458">
        <v>3.5197542767704038E-2</v>
      </c>
      <c r="BG2319" s="477">
        <v>12147663.956619043</v>
      </c>
      <c r="BH2319" s="458">
        <v>6.5342566159362736E-2</v>
      </c>
      <c r="BI2319" s="477">
        <v>18862381.841408376</v>
      </c>
      <c r="BJ2319" s="458">
        <v>0.10598520386858379</v>
      </c>
      <c r="BK2319" s="477">
        <v>80487031.599753916</v>
      </c>
      <c r="BL2319" s="458">
        <v>0.28123290380175758</v>
      </c>
      <c r="BM2319" s="468">
        <v>9.6250360276279068</v>
      </c>
    </row>
    <row r="2320" spans="12:65" x14ac:dyDescent="0.3">
      <c r="L2320" s="427">
        <v>12240479.661800001</v>
      </c>
      <c r="BE2320" s="477">
        <v>9211884.0001476798</v>
      </c>
      <c r="BF2320" s="458">
        <v>3.1690459197571963E-2</v>
      </c>
      <c r="BG2320" s="477">
        <v>8402870.0662706755</v>
      </c>
      <c r="BH2320" s="458">
        <v>5.6160267249987017E-2</v>
      </c>
      <c r="BI2320" s="477">
        <v>16628511.717704512</v>
      </c>
      <c r="BJ2320" s="458">
        <v>0.11734575988560625</v>
      </c>
      <c r="BK2320" s="477">
        <v>87802169.284417599</v>
      </c>
      <c r="BL2320" s="458">
        <v>0.28351764066224705</v>
      </c>
      <c r="BM2320" s="468">
        <v>8.1348446311839755</v>
      </c>
    </row>
    <row r="2321" spans="12:65" x14ac:dyDescent="0.3">
      <c r="L2321" s="427">
        <v>-911049.3443</v>
      </c>
      <c r="BE2321" s="477">
        <v>1248126.9220929185</v>
      </c>
      <c r="BF2321" s="458">
        <v>2.5181976887342472E-2</v>
      </c>
      <c r="BG2321" s="477">
        <v>4434453.0440872563</v>
      </c>
      <c r="BH2321" s="458">
        <v>4.8267828209021646E-2</v>
      </c>
      <c r="BI2321" s="477">
        <v>13490203.980824584</v>
      </c>
      <c r="BJ2321" s="458">
        <v>8.1969977242707159E-2</v>
      </c>
      <c r="BK2321" s="477">
        <v>93990780.165262654</v>
      </c>
      <c r="BL2321" s="458">
        <v>0.26165032574083513</v>
      </c>
      <c r="BM2321" s="468">
        <v>15.149252557404479</v>
      </c>
    </row>
    <row r="2322" spans="12:65" x14ac:dyDescent="0.3">
      <c r="L2322" s="427">
        <v>5061521.0111999996</v>
      </c>
      <c r="BE2322" s="477">
        <v>2019255.1768992597</v>
      </c>
      <c r="BF2322" s="458">
        <v>4.1800009275290151E-2</v>
      </c>
      <c r="BG2322" s="477">
        <v>2928851.1451672344</v>
      </c>
      <c r="BH2322" s="458">
        <v>6.0173669977245936E-2</v>
      </c>
      <c r="BI2322" s="477">
        <v>16888376.67963874</v>
      </c>
      <c r="BJ2322" s="458">
        <v>7.5045076600236849E-2</v>
      </c>
      <c r="BK2322" s="477">
        <v>79737637.723579183</v>
      </c>
      <c r="BL2322" s="458">
        <v>0.26048757475510542</v>
      </c>
      <c r="BM2322" s="468">
        <v>16.641282469699117</v>
      </c>
    </row>
    <row r="2323" spans="12:65" x14ac:dyDescent="0.3">
      <c r="L2323" s="427">
        <v>6840382.1140000001</v>
      </c>
      <c r="BE2323" s="477">
        <v>1871297.6417921877</v>
      </c>
      <c r="BF2323" s="458">
        <v>4.0601064110993068E-2</v>
      </c>
      <c r="BG2323" s="477">
        <v>7708383.7944700299</v>
      </c>
      <c r="BH2323" s="458">
        <v>8.7400486943737032E-2</v>
      </c>
      <c r="BI2323" s="477">
        <v>12650086.802773511</v>
      </c>
      <c r="BJ2323" s="458">
        <v>0.12567332132441611</v>
      </c>
      <c r="BK2323" s="477">
        <v>87665457.4829835</v>
      </c>
      <c r="BL2323" s="458">
        <v>0.24955355674019075</v>
      </c>
      <c r="BM2323" s="468">
        <v>13.586498020144489</v>
      </c>
    </row>
    <row r="2324" spans="12:65" x14ac:dyDescent="0.3">
      <c r="L2324" s="427">
        <v>12541643.203400001</v>
      </c>
      <c r="BE2324" s="477">
        <v>6397790.225724984</v>
      </c>
      <c r="BF2324" s="458">
        <v>3.8005299622859701E-2</v>
      </c>
      <c r="BG2324" s="477">
        <v>10324671.051616287</v>
      </c>
      <c r="BH2324" s="458">
        <v>6.1525972826782738E-2</v>
      </c>
      <c r="BI2324" s="477">
        <v>11872769.591082074</v>
      </c>
      <c r="BJ2324" s="458">
        <v>0.11156309553197885</v>
      </c>
      <c r="BK2324" s="477">
        <v>93408195.479261369</v>
      </c>
      <c r="BL2324" s="458">
        <v>0.26765543578543927</v>
      </c>
      <c r="BM2324" s="468">
        <v>7.7180247240176953</v>
      </c>
    </row>
    <row r="2325" spans="12:65" x14ac:dyDescent="0.3">
      <c r="L2325" s="427">
        <v>11430346.009500001</v>
      </c>
      <c r="BE2325" s="477">
        <v>4054622.8768595913</v>
      </c>
      <c r="BF2325" s="458">
        <v>3.1472093238967158E-2</v>
      </c>
      <c r="BG2325" s="477">
        <v>10340083.380406193</v>
      </c>
      <c r="BH2325" s="458">
        <v>9.5257220543394361E-2</v>
      </c>
      <c r="BI2325" s="477">
        <v>16048835.51104652</v>
      </c>
      <c r="BJ2325" s="458">
        <v>0.11568317007517526</v>
      </c>
      <c r="BK2325" s="477">
        <v>92064398.253855199</v>
      </c>
      <c r="BL2325" s="458">
        <v>0.24516899109569468</v>
      </c>
      <c r="BM2325" s="468">
        <v>12.676340043789089</v>
      </c>
    </row>
    <row r="2326" spans="12:65" x14ac:dyDescent="0.3">
      <c r="L2326" s="427">
        <v>17731257.057</v>
      </c>
      <c r="BE2326" s="477">
        <v>5257998.3931666613</v>
      </c>
      <c r="BF2326" s="458">
        <v>4.6621684467768265E-2</v>
      </c>
      <c r="BG2326" s="477">
        <v>6377251.5650046514</v>
      </c>
      <c r="BH2326" s="458">
        <v>8.7195298264837628E-2</v>
      </c>
      <c r="BI2326" s="477">
        <v>20494696.067549605</v>
      </c>
      <c r="BJ2326" s="458">
        <v>0.13328001030305603</v>
      </c>
      <c r="BK2326" s="477">
        <v>86238763.30329594</v>
      </c>
      <c r="BL2326" s="458">
        <v>0.26413716097385209</v>
      </c>
      <c r="BM2326" s="468">
        <v>3.8989146522053861</v>
      </c>
    </row>
    <row r="2327" spans="12:65" x14ac:dyDescent="0.3">
      <c r="L2327" s="427">
        <v>28697406.200300001</v>
      </c>
      <c r="BE2327" s="477">
        <v>11205131.158376042</v>
      </c>
      <c r="BF2327" s="458">
        <v>3.4411938528269737E-2</v>
      </c>
      <c r="BG2327" s="477">
        <v>10190229.505141996</v>
      </c>
      <c r="BH2327" s="458">
        <v>5.1527163407799836E-2</v>
      </c>
      <c r="BI2327" s="477">
        <v>15382516.485268591</v>
      </c>
      <c r="BJ2327" s="458">
        <v>0.13877551197073168</v>
      </c>
      <c r="BK2327" s="477">
        <v>87935999.222609073</v>
      </c>
      <c r="BL2327" s="458">
        <v>0.26067647339045319</v>
      </c>
      <c r="BM2327" s="468">
        <v>12.750987887391588</v>
      </c>
    </row>
    <row r="2328" spans="12:65" x14ac:dyDescent="0.3">
      <c r="L2328" s="427">
        <v>12604911.1908</v>
      </c>
      <c r="BE2328" s="477">
        <v>3787690.1467418219</v>
      </c>
      <c r="BF2328" s="458">
        <v>5.6310520535944208E-2</v>
      </c>
      <c r="BG2328" s="477">
        <v>2085806.929287425</v>
      </c>
      <c r="BH2328" s="458">
        <v>6.3035175858917381E-2</v>
      </c>
      <c r="BI2328" s="477">
        <v>13030700.99450516</v>
      </c>
      <c r="BJ2328" s="458">
        <v>9.9816524265644802E-2</v>
      </c>
      <c r="BK2328" s="477">
        <v>97995953.735575035</v>
      </c>
      <c r="BL2328" s="458">
        <v>0.28675211294262248</v>
      </c>
      <c r="BM2328" s="468">
        <v>13.772670955614315</v>
      </c>
    </row>
    <row r="2329" spans="12:65" x14ac:dyDescent="0.3">
      <c r="L2329" s="427">
        <v>27060403.543000001</v>
      </c>
      <c r="BE2329" s="477">
        <v>4534749.4305912247</v>
      </c>
      <c r="BF2329" s="458">
        <v>5.8769231843919023E-2</v>
      </c>
      <c r="BG2329" s="477">
        <v>5821080.7674161345</v>
      </c>
      <c r="BH2329" s="458">
        <v>6.5349660462874937E-2</v>
      </c>
      <c r="BI2329" s="477">
        <v>12732824.933033528</v>
      </c>
      <c r="BJ2329" s="458">
        <v>0.10019071691683679</v>
      </c>
      <c r="BK2329" s="477">
        <v>92870816.859203622</v>
      </c>
      <c r="BL2329" s="458">
        <v>0.28166617809529293</v>
      </c>
      <c r="BM2329" s="468">
        <v>11.404193838589174</v>
      </c>
    </row>
    <row r="2330" spans="12:65" x14ac:dyDescent="0.3">
      <c r="L2330" s="427">
        <v>-2325458.8023999999</v>
      </c>
      <c r="BE2330" s="477">
        <v>3902370.2023947942</v>
      </c>
      <c r="BF2330" s="458">
        <v>1.4391313486002977E-2</v>
      </c>
      <c r="BG2330" s="477">
        <v>7336581.2205950161</v>
      </c>
      <c r="BH2330" s="458">
        <v>6.2796211976701821E-2</v>
      </c>
      <c r="BI2330" s="477">
        <v>15765077.582611648</v>
      </c>
      <c r="BJ2330" s="458">
        <v>0.11679657725634929</v>
      </c>
      <c r="BK2330" s="477">
        <v>82977916.030372754</v>
      </c>
      <c r="BL2330" s="458">
        <v>0.27786637481234622</v>
      </c>
      <c r="BM2330" s="468">
        <v>11.125671793332996</v>
      </c>
    </row>
    <row r="2331" spans="12:65" x14ac:dyDescent="0.3">
      <c r="L2331" s="427">
        <v>-4066414.7779000001</v>
      </c>
      <c r="BE2331" s="477">
        <v>6943871.4399651121</v>
      </c>
      <c r="BF2331" s="458">
        <v>3.4991161277527549E-2</v>
      </c>
      <c r="BG2331" s="477">
        <v>10838609.394331755</v>
      </c>
      <c r="BH2331" s="458">
        <v>8.5908229413645287E-2</v>
      </c>
      <c r="BI2331" s="477">
        <v>16043180.25213379</v>
      </c>
      <c r="BJ2331" s="458">
        <v>9.7357655382813046E-2</v>
      </c>
      <c r="BK2331" s="477">
        <v>103320145.25303899</v>
      </c>
      <c r="BL2331" s="458">
        <v>0.25386451154124834</v>
      </c>
      <c r="BM2331" s="468">
        <v>5.8519490088249935</v>
      </c>
    </row>
    <row r="2332" spans="12:65" x14ac:dyDescent="0.3">
      <c r="L2332" s="427">
        <v>-1344722.8536</v>
      </c>
      <c r="BE2332" s="477">
        <v>2468114.688317718</v>
      </c>
      <c r="BF2332" s="458">
        <v>4.3206975240275725E-2</v>
      </c>
      <c r="BG2332" s="477">
        <v>6383131.2172968881</v>
      </c>
      <c r="BH2332" s="458">
        <v>6.4860926713800504E-2</v>
      </c>
      <c r="BI2332" s="477">
        <v>12443287.974367118</v>
      </c>
      <c r="BJ2332" s="458">
        <v>0.12235661384076102</v>
      </c>
      <c r="BK2332" s="477">
        <v>88830513.579771489</v>
      </c>
      <c r="BL2332" s="458">
        <v>0.26497285286435335</v>
      </c>
      <c r="BM2332" s="468">
        <v>7.8762849259382648</v>
      </c>
    </row>
    <row r="2333" spans="12:65" x14ac:dyDescent="0.3">
      <c r="L2333" s="427">
        <v>2474932.2738000001</v>
      </c>
      <c r="BE2333" s="477">
        <v>6900659.9702070598</v>
      </c>
      <c r="BF2333" s="458">
        <v>4.1467320398078655E-2</v>
      </c>
      <c r="BG2333" s="477">
        <v>14169205.022969486</v>
      </c>
      <c r="BH2333" s="458">
        <v>7.2924073779905951E-2</v>
      </c>
      <c r="BI2333" s="477">
        <v>17069643.892630186</v>
      </c>
      <c r="BJ2333" s="458">
        <v>0.11822390487853851</v>
      </c>
      <c r="BK2333" s="477">
        <v>93361524.256807625</v>
      </c>
      <c r="BL2333" s="458">
        <v>0.26815022167821789</v>
      </c>
      <c r="BM2333" s="468">
        <v>5.8793306036924573</v>
      </c>
    </row>
    <row r="2334" spans="12:65" x14ac:dyDescent="0.3">
      <c r="L2334" s="427">
        <v>-5498697.1551000001</v>
      </c>
      <c r="BE2334" s="477">
        <v>3335418.7751691458</v>
      </c>
      <c r="BF2334" s="458">
        <v>3.518060791984623E-2</v>
      </c>
      <c r="BG2334" s="477">
        <v>2474660.6607747739</v>
      </c>
      <c r="BH2334" s="458">
        <v>0.10295220487771317</v>
      </c>
      <c r="BI2334" s="477">
        <v>18462395.422295567</v>
      </c>
      <c r="BJ2334" s="458">
        <v>0.12359292261179755</v>
      </c>
      <c r="BK2334" s="477">
        <v>91722828.886735708</v>
      </c>
      <c r="BL2334" s="458">
        <v>0.28131786086684363</v>
      </c>
      <c r="BM2334" s="468">
        <v>8.5361226882273442</v>
      </c>
    </row>
    <row r="2335" spans="12:65" x14ac:dyDescent="0.3">
      <c r="L2335" s="427">
        <v>9157022.8311999999</v>
      </c>
      <c r="BE2335" s="477">
        <v>4134490.1371131311</v>
      </c>
      <c r="BF2335" s="458">
        <v>4.0238928252679385E-2</v>
      </c>
      <c r="BG2335" s="477">
        <v>9020052.0648719668</v>
      </c>
      <c r="BH2335" s="458">
        <v>3.789497315147794E-2</v>
      </c>
      <c r="BI2335" s="477">
        <v>22061872.623396721</v>
      </c>
      <c r="BJ2335" s="458">
        <v>0.12673290178128171</v>
      </c>
      <c r="BK2335" s="477">
        <v>79273392.241858959</v>
      </c>
      <c r="BL2335" s="458">
        <v>0.26252992085496385</v>
      </c>
      <c r="BM2335" s="468">
        <v>13.054341234844081</v>
      </c>
    </row>
    <row r="2336" spans="12:65" x14ac:dyDescent="0.3">
      <c r="L2336" s="427">
        <v>9767427.7806000002</v>
      </c>
      <c r="BE2336" s="477">
        <v>5955716.0164659945</v>
      </c>
      <c r="BF2336" s="458">
        <v>2.532790609345259E-2</v>
      </c>
      <c r="BG2336" s="477">
        <v>15200411.895278104</v>
      </c>
      <c r="BH2336" s="458">
        <v>7.2775205714597391E-2</v>
      </c>
      <c r="BI2336" s="477">
        <v>18045326.49076071</v>
      </c>
      <c r="BJ2336" s="458">
        <v>0.12021163928605305</v>
      </c>
      <c r="BK2336" s="477">
        <v>82074727.933167264</v>
      </c>
      <c r="BL2336" s="458">
        <v>0.26079488173482313</v>
      </c>
      <c r="BM2336" s="468">
        <v>7.739032403754198</v>
      </c>
    </row>
    <row r="2337" spans="12:65" x14ac:dyDescent="0.3">
      <c r="L2337" s="427">
        <v>26966192.809700001</v>
      </c>
      <c r="BE2337" s="477">
        <v>3096722.1088065323</v>
      </c>
      <c r="BF2337" s="458">
        <v>3.1323164353137534E-2</v>
      </c>
      <c r="BG2337" s="477">
        <v>6770086.0368407797</v>
      </c>
      <c r="BH2337" s="458">
        <v>8.3710462713040945E-2</v>
      </c>
      <c r="BI2337" s="477">
        <v>11944863.755132591</v>
      </c>
      <c r="BJ2337" s="458">
        <v>0.11341397394388619</v>
      </c>
      <c r="BK2337" s="477">
        <v>80136338.579054922</v>
      </c>
      <c r="BL2337" s="458">
        <v>0.2649894855090682</v>
      </c>
      <c r="BM2337" s="468">
        <v>10.599277023198463</v>
      </c>
    </row>
    <row r="2338" spans="12:65" x14ac:dyDescent="0.3">
      <c r="L2338" s="427">
        <v>-2738820.7792000002</v>
      </c>
      <c r="BE2338" s="477">
        <v>-291313.49270051526</v>
      </c>
      <c r="BF2338" s="458">
        <v>5.3323025129442092E-2</v>
      </c>
      <c r="BG2338" s="477">
        <v>11231190.843739666</v>
      </c>
      <c r="BH2338" s="458">
        <v>8.0741504546840037E-2</v>
      </c>
      <c r="BI2338" s="477">
        <v>18441041.721298188</v>
      </c>
      <c r="BJ2338" s="458">
        <v>0.122315960465049</v>
      </c>
      <c r="BK2338" s="477">
        <v>100110019.88993928</v>
      </c>
      <c r="BL2338" s="458">
        <v>0.25713775820945317</v>
      </c>
      <c r="BM2338" s="468">
        <v>8.7760349824218444</v>
      </c>
    </row>
    <row r="2339" spans="12:65" x14ac:dyDescent="0.3">
      <c r="L2339" s="427">
        <v>6022112.4946999997</v>
      </c>
      <c r="BE2339" s="477">
        <v>4941673.4896379495</v>
      </c>
      <c r="BF2339" s="458">
        <v>4.5963679617971431E-2</v>
      </c>
      <c r="BG2339" s="477">
        <v>12683074.945668068</v>
      </c>
      <c r="BH2339" s="458">
        <v>8.141891080125041E-2</v>
      </c>
      <c r="BI2339" s="477">
        <v>13272918.374492658</v>
      </c>
      <c r="BJ2339" s="458">
        <v>0.10110381427870263</v>
      </c>
      <c r="BK2339" s="477">
        <v>94837159.679569557</v>
      </c>
      <c r="BL2339" s="458">
        <v>0.25703094654313996</v>
      </c>
      <c r="BM2339" s="468">
        <v>2.5003157794454784</v>
      </c>
    </row>
    <row r="2340" spans="12:65" x14ac:dyDescent="0.3">
      <c r="L2340" s="427">
        <v>946658.54169999994</v>
      </c>
      <c r="BE2340" s="477">
        <v>3022675.4009252964</v>
      </c>
      <c r="BF2340" s="458">
        <v>2.9259817576526181E-2</v>
      </c>
      <c r="BG2340" s="477">
        <v>11109434.413143277</v>
      </c>
      <c r="BH2340" s="458">
        <v>6.1800201421404077E-2</v>
      </c>
      <c r="BI2340" s="477">
        <v>15165665.220117327</v>
      </c>
      <c r="BJ2340" s="458">
        <v>0.11266241422595979</v>
      </c>
      <c r="BK2340" s="477">
        <v>82299894.297189072</v>
      </c>
      <c r="BL2340" s="458">
        <v>0.27878664032245681</v>
      </c>
      <c r="BM2340" s="468">
        <v>3.7884154703462007</v>
      </c>
    </row>
    <row r="2341" spans="12:65" x14ac:dyDescent="0.3">
      <c r="L2341" s="427">
        <v>5616510.6215000004</v>
      </c>
      <c r="BE2341" s="477">
        <v>5686008.1155762738</v>
      </c>
      <c r="BF2341" s="458">
        <v>4.6859152468294418E-2</v>
      </c>
      <c r="BG2341" s="477">
        <v>6608732.5624404699</v>
      </c>
      <c r="BH2341" s="458">
        <v>6.5648108066440836E-2</v>
      </c>
      <c r="BI2341" s="477">
        <v>19256988.955439087</v>
      </c>
      <c r="BJ2341" s="458">
        <v>0.10996860424202537</v>
      </c>
      <c r="BK2341" s="477">
        <v>85527387.507992685</v>
      </c>
      <c r="BL2341" s="458">
        <v>0.25108523642723024</v>
      </c>
      <c r="BM2341" s="468">
        <v>17.226061749604014</v>
      </c>
    </row>
    <row r="2342" spans="12:65" x14ac:dyDescent="0.3">
      <c r="L2342" s="427">
        <v>20242390.909400001</v>
      </c>
      <c r="BE2342" s="477">
        <v>2258273.0060887779</v>
      </c>
      <c r="BF2342" s="458">
        <v>3.5251328657212033E-2</v>
      </c>
      <c r="BG2342" s="477">
        <v>11873649.00290446</v>
      </c>
      <c r="BH2342" s="458">
        <v>5.2763460119526817E-2</v>
      </c>
      <c r="BI2342" s="477">
        <v>16275421.46417072</v>
      </c>
      <c r="BJ2342" s="458">
        <v>0.19850716837384907</v>
      </c>
      <c r="BK2342" s="477">
        <v>88461830.889886186</v>
      </c>
      <c r="BL2342" s="458">
        <v>0.27743573423491519</v>
      </c>
      <c r="BM2342" s="468">
        <v>9.3998691611392218</v>
      </c>
    </row>
    <row r="2343" spans="12:65" x14ac:dyDescent="0.3">
      <c r="L2343" s="427">
        <v>-1007380.0527</v>
      </c>
      <c r="BE2343" s="477">
        <v>6799689.4509085398</v>
      </c>
      <c r="BF2343" s="458">
        <v>3.5906409505062742E-2</v>
      </c>
      <c r="BG2343" s="477">
        <v>11182686.735559952</v>
      </c>
      <c r="BH2343" s="458">
        <v>5.5791749644101163E-2</v>
      </c>
      <c r="BI2343" s="477">
        <v>9675146.037744984</v>
      </c>
      <c r="BJ2343" s="458">
        <v>0.11529595151726268</v>
      </c>
      <c r="BK2343" s="477">
        <v>101286417.00069623</v>
      </c>
      <c r="BL2343" s="458">
        <v>0.27234658376845111</v>
      </c>
      <c r="BM2343" s="468">
        <v>7.6423414888149157</v>
      </c>
    </row>
    <row r="2344" spans="12:65" x14ac:dyDescent="0.3">
      <c r="L2344" s="427">
        <v>14351747.9416</v>
      </c>
      <c r="BE2344" s="477">
        <v>6082320.3209277038</v>
      </c>
      <c r="BF2344" s="458">
        <v>4.5788292441245826E-2</v>
      </c>
      <c r="BG2344" s="477">
        <v>6471288.3739910619</v>
      </c>
      <c r="BH2344" s="458">
        <v>8.2056714485715387E-2</v>
      </c>
      <c r="BI2344" s="477">
        <v>17293605.018407848</v>
      </c>
      <c r="BJ2344" s="458">
        <v>0.10543069909241365</v>
      </c>
      <c r="BK2344" s="477">
        <v>104535502.09783268</v>
      </c>
      <c r="BL2344" s="458">
        <v>0.2664303192376607</v>
      </c>
      <c r="BM2344" s="468">
        <v>13.967629433061337</v>
      </c>
    </row>
    <row r="2345" spans="12:65" x14ac:dyDescent="0.3">
      <c r="L2345" s="427">
        <v>19375408.663800001</v>
      </c>
      <c r="BE2345" s="477">
        <v>6042369.9635669747</v>
      </c>
      <c r="BF2345" s="458">
        <v>6.5208082640007881E-2</v>
      </c>
      <c r="BG2345" s="477">
        <v>7620334.415014077</v>
      </c>
      <c r="BH2345" s="458">
        <v>5.4076733311826164E-2</v>
      </c>
      <c r="BI2345" s="477">
        <v>19412591.611065764</v>
      </c>
      <c r="BJ2345" s="458">
        <v>0.11899505640042118</v>
      </c>
      <c r="BK2345" s="477">
        <v>70834536.075227767</v>
      </c>
      <c r="BL2345" s="458">
        <v>0.2736442836262214</v>
      </c>
      <c r="BM2345" s="468">
        <v>9.5935356986717064</v>
      </c>
    </row>
    <row r="2346" spans="12:65" x14ac:dyDescent="0.3">
      <c r="L2346" s="427">
        <v>11341955.4278</v>
      </c>
      <c r="BE2346" s="477">
        <v>5159135.9762895862</v>
      </c>
      <c r="BF2346" s="458">
        <v>7.7495545636021568E-2</v>
      </c>
      <c r="BG2346" s="477">
        <v>8025595.2744826516</v>
      </c>
      <c r="BH2346" s="458">
        <v>6.0510431147330568E-2</v>
      </c>
      <c r="BI2346" s="477">
        <v>21949113.794846803</v>
      </c>
      <c r="BJ2346" s="458">
        <v>0.1146229330118016</v>
      </c>
      <c r="BK2346" s="477">
        <v>88514296.286422178</v>
      </c>
      <c r="BL2346" s="458">
        <v>0.26174822355719196</v>
      </c>
      <c r="BM2346" s="468">
        <v>6.5602999522127083</v>
      </c>
    </row>
    <row r="2347" spans="12:65" x14ac:dyDescent="0.3">
      <c r="L2347" s="427">
        <v>14289959.7315</v>
      </c>
      <c r="BE2347" s="477">
        <v>3334394.149397044</v>
      </c>
      <c r="BF2347" s="458">
        <v>4.2380568199060553E-2</v>
      </c>
      <c r="BG2347" s="477">
        <v>10367722.385952312</v>
      </c>
      <c r="BH2347" s="458">
        <v>7.2552826336796494E-2</v>
      </c>
      <c r="BI2347" s="477">
        <v>13565915.640198426</v>
      </c>
      <c r="BJ2347" s="458">
        <v>0.12175989685966804</v>
      </c>
      <c r="BK2347" s="477">
        <v>95728720.629227161</v>
      </c>
      <c r="BL2347" s="458">
        <v>0.29097359826740954</v>
      </c>
      <c r="BM2347" s="468">
        <v>13.085568777655428</v>
      </c>
    </row>
    <row r="2348" spans="12:65" x14ac:dyDescent="0.3">
      <c r="L2348" s="427">
        <v>-4976583.4522000002</v>
      </c>
      <c r="BE2348" s="477">
        <v>4572869.5493052434</v>
      </c>
      <c r="BF2348" s="458">
        <v>3.8791179945282916E-2</v>
      </c>
      <c r="BG2348" s="477">
        <v>10581539.456487278</v>
      </c>
      <c r="BH2348" s="458">
        <v>5.56598475794019E-2</v>
      </c>
      <c r="BI2348" s="477">
        <v>9232530.0245398004</v>
      </c>
      <c r="BJ2348" s="458">
        <v>0.10701009288699748</v>
      </c>
      <c r="BK2348" s="477">
        <v>81105967.751628608</v>
      </c>
      <c r="BL2348" s="458">
        <v>0.26805092488482307</v>
      </c>
      <c r="BM2348" s="468">
        <v>9.2086787104822676</v>
      </c>
    </row>
    <row r="2349" spans="12:65" x14ac:dyDescent="0.3">
      <c r="L2349" s="427">
        <v>33616694.602700002</v>
      </c>
      <c r="BE2349" s="477">
        <v>5795444.7701029126</v>
      </c>
      <c r="BF2349" s="458">
        <v>4.364426585790504E-2</v>
      </c>
      <c r="BG2349" s="477">
        <v>1108871.1210870601</v>
      </c>
      <c r="BH2349" s="458">
        <v>3.7232832747048361E-2</v>
      </c>
      <c r="BI2349" s="477">
        <v>18170574.412987974</v>
      </c>
      <c r="BJ2349" s="458">
        <v>0.10141691486877402</v>
      </c>
      <c r="BK2349" s="477">
        <v>89836717.426965863</v>
      </c>
      <c r="BL2349" s="458">
        <v>0.28938689133950013</v>
      </c>
      <c r="BM2349" s="468">
        <v>7.2789932314411825</v>
      </c>
    </row>
    <row r="2350" spans="12:65" x14ac:dyDescent="0.3">
      <c r="L2350" s="427">
        <v>5568525.6424000002</v>
      </c>
      <c r="BE2350" s="477">
        <v>4014669.1899664416</v>
      </c>
      <c r="BF2350" s="458">
        <v>3.1123183585992198E-2</v>
      </c>
      <c r="BG2350" s="477">
        <v>3589328.7519706693</v>
      </c>
      <c r="BH2350" s="458">
        <v>8.4886134543133318E-2</v>
      </c>
      <c r="BI2350" s="477">
        <v>22554470.096350338</v>
      </c>
      <c r="BJ2350" s="458">
        <v>6.681011301037465E-2</v>
      </c>
      <c r="BK2350" s="477">
        <v>92798500.538240105</v>
      </c>
      <c r="BL2350" s="458">
        <v>0.27947387058707629</v>
      </c>
      <c r="BM2350" s="468">
        <v>3.8473727654137688</v>
      </c>
    </row>
    <row r="2351" spans="12:65" x14ac:dyDescent="0.3">
      <c r="L2351" s="427">
        <v>13659269.431</v>
      </c>
      <c r="BE2351" s="477">
        <v>6693737.5181636754</v>
      </c>
      <c r="BF2351" s="458">
        <v>3.2648033257264064E-2</v>
      </c>
      <c r="BG2351" s="477">
        <v>19749409.178628072</v>
      </c>
      <c r="BH2351" s="458">
        <v>5.0910746725573608E-2</v>
      </c>
      <c r="BI2351" s="477">
        <v>21374187.005263623</v>
      </c>
      <c r="BJ2351" s="458">
        <v>8.1409613662613678E-2</v>
      </c>
      <c r="BK2351" s="477">
        <v>74230324.519260406</v>
      </c>
      <c r="BL2351" s="458">
        <v>0.30032905162541823</v>
      </c>
      <c r="BM2351" s="468">
        <v>-1.7535539035507934</v>
      </c>
    </row>
    <row r="2352" spans="12:65" x14ac:dyDescent="0.3">
      <c r="L2352" s="427">
        <v>4622572.0369999995</v>
      </c>
      <c r="BE2352" s="477">
        <v>8283559.8548653629</v>
      </c>
      <c r="BF2352" s="458">
        <v>4.0680295026706892E-2</v>
      </c>
      <c r="BG2352" s="477">
        <v>5784643.3293602755</v>
      </c>
      <c r="BH2352" s="458">
        <v>3.9600010796037477E-2</v>
      </c>
      <c r="BI2352" s="477">
        <v>23582288.976417787</v>
      </c>
      <c r="BJ2352" s="458">
        <v>9.157563398600832E-2</v>
      </c>
      <c r="BK2352" s="477">
        <v>80208424.793313339</v>
      </c>
      <c r="BL2352" s="458">
        <v>0.25562852361995003</v>
      </c>
      <c r="BM2352" s="468">
        <v>8.1212072095528729</v>
      </c>
    </row>
    <row r="2353" spans="12:65" x14ac:dyDescent="0.3">
      <c r="L2353" s="427">
        <v>14398113.0965</v>
      </c>
      <c r="BE2353" s="477">
        <v>-39003.511007945817</v>
      </c>
      <c r="BF2353" s="458">
        <v>3.110792222362635E-2</v>
      </c>
      <c r="BG2353" s="477">
        <v>15300888.585581634</v>
      </c>
      <c r="BH2353" s="458">
        <v>8.8437710311236151E-2</v>
      </c>
      <c r="BI2353" s="477">
        <v>21682405.542089131</v>
      </c>
      <c r="BJ2353" s="458">
        <v>0.11538652078054645</v>
      </c>
      <c r="BK2353" s="477">
        <v>98592489.225034863</v>
      </c>
      <c r="BL2353" s="458">
        <v>0.27184704146669714</v>
      </c>
      <c r="BM2353" s="468">
        <v>11.608946985300745</v>
      </c>
    </row>
    <row r="2354" spans="12:65" x14ac:dyDescent="0.3">
      <c r="L2354" s="427">
        <v>17070691.065299999</v>
      </c>
      <c r="BE2354" s="477">
        <v>3885709.964472068</v>
      </c>
      <c r="BF2354" s="458">
        <v>5.1776321669731784E-2</v>
      </c>
      <c r="BG2354" s="477">
        <v>8028317.2627684316</v>
      </c>
      <c r="BH2354" s="458">
        <v>0.12897487543406072</v>
      </c>
      <c r="BI2354" s="477">
        <v>21401785.336510289</v>
      </c>
      <c r="BJ2354" s="458">
        <v>0.11306707666123339</v>
      </c>
      <c r="BK2354" s="477">
        <v>85733100.607603893</v>
      </c>
      <c r="BL2354" s="458">
        <v>0.28743240078922372</v>
      </c>
      <c r="BM2354" s="468">
        <v>7.9713641924928336</v>
      </c>
    </row>
    <row r="2355" spans="12:65" x14ac:dyDescent="0.3">
      <c r="L2355" s="427">
        <v>26196219.103399999</v>
      </c>
      <c r="BE2355" s="477">
        <v>5630502.8985973038</v>
      </c>
      <c r="BF2355" s="458">
        <v>3.4754697793703437E-2</v>
      </c>
      <c r="BG2355" s="477">
        <v>7905142.218385444</v>
      </c>
      <c r="BH2355" s="458">
        <v>4.8021623362337174E-2</v>
      </c>
      <c r="BI2355" s="477">
        <v>14339971.021108173</v>
      </c>
      <c r="BJ2355" s="458">
        <v>0.10073250735086781</v>
      </c>
      <c r="BK2355" s="477">
        <v>89827826.167250842</v>
      </c>
      <c r="BL2355" s="458">
        <v>0.2651473111124536</v>
      </c>
      <c r="BM2355" s="468">
        <v>10.920786169903092</v>
      </c>
    </row>
    <row r="2356" spans="12:65" x14ac:dyDescent="0.3">
      <c r="L2356" s="427">
        <v>5060616.6715000002</v>
      </c>
      <c r="BE2356" s="477">
        <v>6740574.7978281751</v>
      </c>
      <c r="BF2356" s="458">
        <v>4.5136204028718874E-2</v>
      </c>
      <c r="BG2356" s="477">
        <v>7084583.953533411</v>
      </c>
      <c r="BH2356" s="458">
        <v>6.1387731340727392E-2</v>
      </c>
      <c r="BI2356" s="477">
        <v>12047489.539964469</v>
      </c>
      <c r="BJ2356" s="458">
        <v>0.10989291855527239</v>
      </c>
      <c r="BK2356" s="477">
        <v>87583481.414420038</v>
      </c>
      <c r="BL2356" s="458">
        <v>0.29608557410892633</v>
      </c>
      <c r="BM2356" s="468">
        <v>9.982845782764505</v>
      </c>
    </row>
    <row r="2357" spans="12:65" x14ac:dyDescent="0.3">
      <c r="L2357" s="427">
        <v>-3028383.9375</v>
      </c>
      <c r="BE2357" s="477">
        <v>4948309.6749158138</v>
      </c>
      <c r="BF2357" s="458">
        <v>4.1265915664778774E-2</v>
      </c>
      <c r="BG2357" s="477">
        <v>12687648.116600679</v>
      </c>
      <c r="BH2357" s="458">
        <v>7.2563696464883476E-2</v>
      </c>
      <c r="BI2357" s="477">
        <v>15756680.241087494</v>
      </c>
      <c r="BJ2357" s="458">
        <v>0.10481953276834055</v>
      </c>
      <c r="BK2357" s="477">
        <v>80259097.5593068</v>
      </c>
      <c r="BL2357" s="458">
        <v>0.27924451521056448</v>
      </c>
      <c r="BM2357" s="468">
        <v>14.444187847880073</v>
      </c>
    </row>
    <row r="2358" spans="12:65" x14ac:dyDescent="0.3">
      <c r="L2358" s="427">
        <v>1610233.6658000001</v>
      </c>
      <c r="BE2358" s="477">
        <v>463567.9001392271</v>
      </c>
      <c r="BF2358" s="458">
        <v>5.0927053957411816E-2</v>
      </c>
      <c r="BG2358" s="477">
        <v>12430048.677236872</v>
      </c>
      <c r="BH2358" s="458">
        <v>5.1942015365565863E-2</v>
      </c>
      <c r="BI2358" s="477">
        <v>14965623.587943221</v>
      </c>
      <c r="BJ2358" s="458">
        <v>0.11869626488971607</v>
      </c>
      <c r="BK2358" s="477">
        <v>86967466.288910165</v>
      </c>
      <c r="BL2358" s="458">
        <v>0.274019781723154</v>
      </c>
      <c r="BM2358" s="468">
        <v>3.8586249392852112</v>
      </c>
    </row>
    <row r="2359" spans="12:65" x14ac:dyDescent="0.3">
      <c r="L2359" s="427">
        <v>14483033.982799999</v>
      </c>
      <c r="BE2359" s="477">
        <v>3006186.1104475898</v>
      </c>
      <c r="BF2359" s="458">
        <v>3.0536611467517405E-2</v>
      </c>
      <c r="BG2359" s="477">
        <v>19038638.273679677</v>
      </c>
      <c r="BH2359" s="458">
        <v>5.3333672790237152E-2</v>
      </c>
      <c r="BI2359" s="477">
        <v>17510730.628711548</v>
      </c>
      <c r="BJ2359" s="458">
        <v>0.1308700937059204</v>
      </c>
      <c r="BK2359" s="477">
        <v>85110097.02037248</v>
      </c>
      <c r="BL2359" s="458">
        <v>0.27188849939592008</v>
      </c>
      <c r="BM2359" s="468">
        <v>9.6511300937575193</v>
      </c>
    </row>
    <row r="2360" spans="12:65" x14ac:dyDescent="0.3">
      <c r="L2360" s="427">
        <v>2393302.4046</v>
      </c>
      <c r="BE2360" s="477">
        <v>2912811.6105772257</v>
      </c>
      <c r="BF2360" s="458">
        <v>8.7393339429295613E-2</v>
      </c>
      <c r="BG2360" s="477">
        <v>995349.52576787362</v>
      </c>
      <c r="BH2360" s="458">
        <v>5.0328484928106265E-2</v>
      </c>
      <c r="BI2360" s="477">
        <v>9722570.6440202016</v>
      </c>
      <c r="BJ2360" s="458">
        <v>9.1093918820183806E-2</v>
      </c>
      <c r="BK2360" s="477">
        <v>85955722.657724142</v>
      </c>
      <c r="BL2360" s="458">
        <v>0.27360577726372748</v>
      </c>
      <c r="BM2360" s="468">
        <v>14.560686124176446</v>
      </c>
    </row>
    <row r="2361" spans="12:65" x14ac:dyDescent="0.3">
      <c r="L2361" s="427">
        <v>-6774234.5406999998</v>
      </c>
      <c r="BE2361" s="477">
        <v>5601810.8982996168</v>
      </c>
      <c r="BF2361" s="458">
        <v>3.5333448007361712E-2</v>
      </c>
      <c r="BG2361" s="477">
        <v>11771701.074161898</v>
      </c>
      <c r="BH2361" s="458">
        <v>6.6594312565899205E-2</v>
      </c>
      <c r="BI2361" s="477">
        <v>13464466.800897893</v>
      </c>
      <c r="BJ2361" s="458">
        <v>0.11384607198910812</v>
      </c>
      <c r="BK2361" s="477">
        <v>96937324.229468703</v>
      </c>
      <c r="BL2361" s="458">
        <v>0.27937297005311867</v>
      </c>
      <c r="BM2361" s="468">
        <v>9.7822123337029403</v>
      </c>
    </row>
    <row r="2362" spans="12:65" x14ac:dyDescent="0.3">
      <c r="L2362" s="427">
        <v>19283364.058600001</v>
      </c>
      <c r="BE2362" s="477">
        <v>8500891.3830325603</v>
      </c>
      <c r="BF2362" s="458">
        <v>4.7891544609398373E-2</v>
      </c>
      <c r="BG2362" s="477">
        <v>10445890.937671864</v>
      </c>
      <c r="BH2362" s="458">
        <v>6.6745045083616228E-2</v>
      </c>
      <c r="BI2362" s="477">
        <v>15204873.357950883</v>
      </c>
      <c r="BJ2362" s="458">
        <v>0.11946147573665211</v>
      </c>
      <c r="BK2362" s="477">
        <v>94563874.909110665</v>
      </c>
      <c r="BL2362" s="458">
        <v>0.28209300675392535</v>
      </c>
      <c r="BM2362" s="468">
        <v>11.135438906451743</v>
      </c>
    </row>
    <row r="2363" spans="12:65" x14ac:dyDescent="0.3">
      <c r="L2363" s="427">
        <v>4093110.9441999998</v>
      </c>
      <c r="BE2363" s="477">
        <v>4412882.250758579</v>
      </c>
      <c r="BF2363" s="458">
        <v>4.6543930110685361E-2</v>
      </c>
      <c r="BG2363" s="477">
        <v>12662800.77388877</v>
      </c>
      <c r="BH2363" s="458">
        <v>6.8323632550931102E-2</v>
      </c>
      <c r="BI2363" s="477">
        <v>21522425.606480245</v>
      </c>
      <c r="BJ2363" s="458">
        <v>0.10200881568561004</v>
      </c>
      <c r="BK2363" s="477">
        <v>90417370.574270934</v>
      </c>
      <c r="BL2363" s="458">
        <v>0.25059742249102568</v>
      </c>
      <c r="BM2363" s="468">
        <v>6.8293865901849404</v>
      </c>
    </row>
    <row r="2364" spans="12:65" x14ac:dyDescent="0.3">
      <c r="L2364" s="427">
        <v>12731299.8958</v>
      </c>
      <c r="BE2364" s="477">
        <v>3555081.0038227504</v>
      </c>
      <c r="BF2364" s="458">
        <v>4.1475871735539904E-2</v>
      </c>
      <c r="BG2364" s="477">
        <v>1292265.1767217396</v>
      </c>
      <c r="BH2364" s="458">
        <v>7.9208476283394225E-2</v>
      </c>
      <c r="BI2364" s="477">
        <v>17440902.783271592</v>
      </c>
      <c r="BJ2364" s="458">
        <v>0.10415981210457681</v>
      </c>
      <c r="BK2364" s="477">
        <v>84687417.16624245</v>
      </c>
      <c r="BL2364" s="458">
        <v>0.27425498783830871</v>
      </c>
      <c r="BM2364" s="468">
        <v>6.405713620350646</v>
      </c>
    </row>
    <row r="2365" spans="12:65" x14ac:dyDescent="0.3">
      <c r="L2365" s="427">
        <v>16725263.1603</v>
      </c>
      <c r="BE2365" s="477">
        <v>6071927.7149865441</v>
      </c>
      <c r="BF2365" s="458">
        <v>2.6342389626124563E-2</v>
      </c>
      <c r="BG2365" s="477">
        <v>3502229.3001163146</v>
      </c>
      <c r="BH2365" s="458">
        <v>4.6845288231584847E-2</v>
      </c>
      <c r="BI2365" s="477">
        <v>19669940.030462846</v>
      </c>
      <c r="BJ2365" s="458">
        <v>0.12862518402562384</v>
      </c>
      <c r="BK2365" s="477">
        <v>84939218.852282584</v>
      </c>
      <c r="BL2365" s="458">
        <v>0.3263405006114426</v>
      </c>
      <c r="BM2365" s="468">
        <v>8.4130291242612305</v>
      </c>
    </row>
    <row r="2366" spans="12:65" x14ac:dyDescent="0.3">
      <c r="L2366" s="427">
        <v>12735979.9101</v>
      </c>
      <c r="BE2366" s="477">
        <v>-2151289.4965787991</v>
      </c>
      <c r="BF2366" s="458">
        <v>3.3120975227144633E-2</v>
      </c>
      <c r="BG2366" s="477">
        <v>7231766.7506453274</v>
      </c>
      <c r="BH2366" s="458">
        <v>5.8540684693785705E-2</v>
      </c>
      <c r="BI2366" s="477">
        <v>13712461.595886128</v>
      </c>
      <c r="BJ2366" s="458">
        <v>9.7236685761569186E-2</v>
      </c>
      <c r="BK2366" s="477">
        <v>91289355.276548117</v>
      </c>
      <c r="BL2366" s="458">
        <v>0.26200587459404212</v>
      </c>
      <c r="BM2366" s="468">
        <v>6.4858431381699928</v>
      </c>
    </row>
    <row r="2367" spans="12:65" x14ac:dyDescent="0.3">
      <c r="L2367" s="427">
        <v>20489742.852400001</v>
      </c>
      <c r="BE2367" s="477">
        <v>1470018.2118249724</v>
      </c>
      <c r="BF2367" s="458">
        <v>5.2144253814823571E-2</v>
      </c>
      <c r="BG2367" s="477">
        <v>9237004.4022000153</v>
      </c>
      <c r="BH2367" s="458">
        <v>4.1264135920416889E-2</v>
      </c>
      <c r="BI2367" s="477">
        <v>13165850.431878595</v>
      </c>
      <c r="BJ2367" s="458">
        <v>0.10193698662147299</v>
      </c>
      <c r="BK2367" s="477">
        <v>101009575.98640804</v>
      </c>
      <c r="BL2367" s="458">
        <v>0.25259303683316903</v>
      </c>
      <c r="BM2367" s="468">
        <v>6.2140233818333463</v>
      </c>
    </row>
    <row r="2368" spans="12:65" x14ac:dyDescent="0.3">
      <c r="L2368" s="427">
        <v>7554404.7307000002</v>
      </c>
      <c r="BE2368" s="477">
        <v>2461110.4118804079</v>
      </c>
      <c r="BF2368" s="458">
        <v>4.7784755716366645E-2</v>
      </c>
      <c r="BG2368" s="477">
        <v>6842314.3374227453</v>
      </c>
      <c r="BH2368" s="458">
        <v>6.2030026758191692E-2</v>
      </c>
      <c r="BI2368" s="477">
        <v>15054188.629742349</v>
      </c>
      <c r="BJ2368" s="458">
        <v>0.15334662681781897</v>
      </c>
      <c r="BK2368" s="477">
        <v>85475795.266338006</v>
      </c>
      <c r="BL2368" s="458">
        <v>0.27265942388835684</v>
      </c>
      <c r="BM2368" s="468">
        <v>7.0309771791989268</v>
      </c>
    </row>
    <row r="2369" spans="12:65" x14ac:dyDescent="0.3">
      <c r="L2369" s="427">
        <v>10974837.1983</v>
      </c>
      <c r="BE2369" s="477">
        <v>8119751.6957559278</v>
      </c>
      <c r="BF2369" s="458">
        <v>3.3423902591529053E-2</v>
      </c>
      <c r="BG2369" s="477">
        <v>10230329.915820023</v>
      </c>
      <c r="BH2369" s="458">
        <v>9.1542281838008499E-2</v>
      </c>
      <c r="BI2369" s="477">
        <v>17337103.635138083</v>
      </c>
      <c r="BJ2369" s="458">
        <v>0.12078892124102247</v>
      </c>
      <c r="BK2369" s="477">
        <v>83321103.863789454</v>
      </c>
      <c r="BL2369" s="458">
        <v>0.27841912238543021</v>
      </c>
      <c r="BM2369" s="468">
        <v>6.3296558946723742</v>
      </c>
    </row>
    <row r="2370" spans="12:65" x14ac:dyDescent="0.3">
      <c r="L2370" s="427">
        <v>20225942.6131</v>
      </c>
      <c r="BE2370" s="477">
        <v>243253.42726360491</v>
      </c>
      <c r="BF2370" s="458">
        <v>5.3872987034226494E-2</v>
      </c>
      <c r="BG2370" s="477">
        <v>5801116.4082879936</v>
      </c>
      <c r="BH2370" s="458">
        <v>7.3550470222318864E-2</v>
      </c>
      <c r="BI2370" s="477">
        <v>25407088.974996366</v>
      </c>
      <c r="BJ2370" s="458">
        <v>0.12097883819499655</v>
      </c>
      <c r="BK2370" s="477">
        <v>98590483.499320477</v>
      </c>
      <c r="BL2370" s="458">
        <v>0.24946424976356663</v>
      </c>
      <c r="BM2370" s="468">
        <v>2.7867283747280887</v>
      </c>
    </row>
    <row r="2371" spans="12:65" x14ac:dyDescent="0.3">
      <c r="L2371" s="427">
        <v>9921348.2422000002</v>
      </c>
      <c r="BE2371" s="477">
        <v>5663575.3099291259</v>
      </c>
      <c r="BF2371" s="458">
        <v>3.3379727581810403E-2</v>
      </c>
      <c r="BG2371" s="477">
        <v>7461075.257995313</v>
      </c>
      <c r="BH2371" s="458">
        <v>5.4854640367994367E-2</v>
      </c>
      <c r="BI2371" s="477">
        <v>24762618.083211333</v>
      </c>
      <c r="BJ2371" s="458">
        <v>0.10531200047423273</v>
      </c>
      <c r="BK2371" s="477">
        <v>98831788.730883405</v>
      </c>
      <c r="BL2371" s="458">
        <v>0.25112290836696105</v>
      </c>
      <c r="BM2371" s="468">
        <v>10.005036384287893</v>
      </c>
    </row>
    <row r="2372" spans="12:65" x14ac:dyDescent="0.3">
      <c r="L2372" s="427">
        <v>18699494.561799999</v>
      </c>
      <c r="BE2372" s="477">
        <v>4793012.1932155741</v>
      </c>
      <c r="BF2372" s="458">
        <v>4.0361147138144648E-2</v>
      </c>
      <c r="BG2372" s="477">
        <v>6178532.7768742181</v>
      </c>
      <c r="BH2372" s="458">
        <v>7.3440380260926252E-2</v>
      </c>
      <c r="BI2372" s="477">
        <v>5132650.644453465</v>
      </c>
      <c r="BJ2372" s="458">
        <v>9.382081662405084E-2</v>
      </c>
      <c r="BK2372" s="477">
        <v>96219064.37506637</v>
      </c>
      <c r="BL2372" s="458">
        <v>0.26431229988424865</v>
      </c>
      <c r="BM2372" s="468">
        <v>6.396341051317858</v>
      </c>
    </row>
    <row r="2373" spans="12:65" x14ac:dyDescent="0.3">
      <c r="L2373" s="427">
        <v>2118292.1667999998</v>
      </c>
      <c r="BE2373" s="477">
        <v>2949955.5462133517</v>
      </c>
      <c r="BF2373" s="458">
        <v>4.6399929127297845E-2</v>
      </c>
      <c r="BG2373" s="477">
        <v>11594219.089871738</v>
      </c>
      <c r="BH2373" s="458">
        <v>9.0671574590389881E-2</v>
      </c>
      <c r="BI2373" s="477">
        <v>5802788.9272018429</v>
      </c>
      <c r="BJ2373" s="458">
        <v>0.1253471671651174</v>
      </c>
      <c r="BK2373" s="477">
        <v>100642374.92909439</v>
      </c>
      <c r="BL2373" s="458">
        <v>0.2770134104188644</v>
      </c>
      <c r="BM2373" s="468">
        <v>4.2705178200050238</v>
      </c>
    </row>
    <row r="2374" spans="12:65" x14ac:dyDescent="0.3">
      <c r="L2374" s="427">
        <v>5013282.2052999996</v>
      </c>
      <c r="BE2374" s="477">
        <v>2704658.9252060819</v>
      </c>
      <c r="BF2374" s="458">
        <v>2.0693589420297087E-2</v>
      </c>
      <c r="BG2374" s="477">
        <v>5936805.8711272702</v>
      </c>
      <c r="BH2374" s="458">
        <v>7.5889537140078733E-2</v>
      </c>
      <c r="BI2374" s="477">
        <v>18131215.111999389</v>
      </c>
      <c r="BJ2374" s="458">
        <v>0.12153028007376809</v>
      </c>
      <c r="BK2374" s="477">
        <v>102004703.73743084</v>
      </c>
      <c r="BL2374" s="458">
        <v>0.27048190302538067</v>
      </c>
      <c r="BM2374" s="468">
        <v>4.0650083938508761</v>
      </c>
    </row>
    <row r="2375" spans="12:65" x14ac:dyDescent="0.3">
      <c r="L2375" s="427">
        <v>19575136.043299999</v>
      </c>
      <c r="BE2375" s="477">
        <v>6615865.862598354</v>
      </c>
      <c r="BF2375" s="458">
        <v>6.1851907559423269E-2</v>
      </c>
      <c r="BG2375" s="477">
        <v>9568676.0410664529</v>
      </c>
      <c r="BH2375" s="458">
        <v>8.9071893324368157E-2</v>
      </c>
      <c r="BI2375" s="477">
        <v>15054279.586352607</v>
      </c>
      <c r="BJ2375" s="458">
        <v>9.8071356061878667E-2</v>
      </c>
      <c r="BK2375" s="477">
        <v>89252493.091762081</v>
      </c>
      <c r="BL2375" s="458">
        <v>0.25457975970967017</v>
      </c>
      <c r="BM2375" s="468">
        <v>4.8765213143857427</v>
      </c>
    </row>
    <row r="2376" spans="12:65" x14ac:dyDescent="0.3">
      <c r="L2376" s="427">
        <v>-7228860.0475000003</v>
      </c>
      <c r="BE2376" s="477">
        <v>7111003.5352234486</v>
      </c>
      <c r="BF2376" s="458">
        <v>2.086333271651708E-2</v>
      </c>
      <c r="BG2376" s="477">
        <v>5706709.7138129938</v>
      </c>
      <c r="BH2376" s="458">
        <v>5.151367605186552E-2</v>
      </c>
      <c r="BI2376" s="477">
        <v>18853790.45377712</v>
      </c>
      <c r="BJ2376" s="458">
        <v>0.14698928282015511</v>
      </c>
      <c r="BK2376" s="477">
        <v>88524881.240279019</v>
      </c>
      <c r="BL2376" s="458">
        <v>0.26888411859480521</v>
      </c>
      <c r="BM2376" s="468">
        <v>5.1233132429097745</v>
      </c>
    </row>
    <row r="2377" spans="12:65" x14ac:dyDescent="0.3">
      <c r="L2377" s="427">
        <v>18221931.075100001</v>
      </c>
      <c r="BE2377" s="477">
        <v>3738007.9240887435</v>
      </c>
      <c r="BF2377" s="458">
        <v>3.0820215084525593E-2</v>
      </c>
      <c r="BG2377" s="477">
        <v>5774903.1234707963</v>
      </c>
      <c r="BH2377" s="458">
        <v>0.11481572809993357</v>
      </c>
      <c r="BI2377" s="477">
        <v>17600697.864221971</v>
      </c>
      <c r="BJ2377" s="458">
        <v>0.10464927411094638</v>
      </c>
      <c r="BK2377" s="477">
        <v>101248768.3933541</v>
      </c>
      <c r="BL2377" s="458">
        <v>0.26844819169803458</v>
      </c>
      <c r="BM2377" s="468">
        <v>6.7485153545466208</v>
      </c>
    </row>
    <row r="2378" spans="12:65" x14ac:dyDescent="0.3">
      <c r="L2378" s="427">
        <v>18371216.127599999</v>
      </c>
      <c r="BE2378" s="477">
        <v>6033301.2894473076</v>
      </c>
      <c r="BF2378" s="458">
        <v>3.8725126256405451E-2</v>
      </c>
      <c r="BG2378" s="477">
        <v>5923386.1288643107</v>
      </c>
      <c r="BH2378" s="458">
        <v>9.0420708652867887E-2</v>
      </c>
      <c r="BI2378" s="477">
        <v>15509409.722144876</v>
      </c>
      <c r="BJ2378" s="458">
        <v>9.8494767917398418E-2</v>
      </c>
      <c r="BK2378" s="477">
        <v>89536101.146922261</v>
      </c>
      <c r="BL2378" s="458">
        <v>0.26823340009281949</v>
      </c>
      <c r="BM2378" s="468">
        <v>5.1988990733623908</v>
      </c>
    </row>
    <row r="2379" spans="12:65" x14ac:dyDescent="0.3">
      <c r="L2379" s="427">
        <v>12877759.789899999</v>
      </c>
      <c r="BE2379" s="477">
        <v>8249546.4535067277</v>
      </c>
      <c r="BF2379" s="458">
        <v>3.4645203973175054E-2</v>
      </c>
      <c r="BG2379" s="477">
        <v>6438648.3559408365</v>
      </c>
      <c r="BH2379" s="458">
        <v>5.6937977730809219E-2</v>
      </c>
      <c r="BI2379" s="477">
        <v>20265127.812239904</v>
      </c>
      <c r="BJ2379" s="458">
        <v>9.1718150713206104E-2</v>
      </c>
      <c r="BK2379" s="477">
        <v>84984899.305736512</v>
      </c>
      <c r="BL2379" s="458">
        <v>0.24699452101230412</v>
      </c>
      <c r="BM2379" s="468">
        <v>4.7868742376121673</v>
      </c>
    </row>
    <row r="2380" spans="12:65" x14ac:dyDescent="0.3">
      <c r="L2380" s="427">
        <v>13435641.594900001</v>
      </c>
      <c r="BE2380" s="477">
        <v>6465200.5069722328</v>
      </c>
      <c r="BF2380" s="458">
        <v>3.513828320156831E-2</v>
      </c>
      <c r="BG2380" s="477">
        <v>5547391.8554352261</v>
      </c>
      <c r="BH2380" s="458">
        <v>9.0061368751604531E-2</v>
      </c>
      <c r="BI2380" s="477">
        <v>14540344.589377126</v>
      </c>
      <c r="BJ2380" s="458">
        <v>9.32476202220196E-2</v>
      </c>
      <c r="BK2380" s="477">
        <v>92233664.825098783</v>
      </c>
      <c r="BL2380" s="458">
        <v>0.28288541971051773</v>
      </c>
      <c r="BM2380" s="468">
        <v>5.7934713426477806</v>
      </c>
    </row>
    <row r="2381" spans="12:65" x14ac:dyDescent="0.3">
      <c r="L2381" s="427">
        <v>15680665.4169</v>
      </c>
      <c r="BE2381" s="477">
        <v>1548188.1871953143</v>
      </c>
      <c r="BF2381" s="458">
        <v>3.3974271273604861E-2</v>
      </c>
      <c r="BG2381" s="477">
        <v>7661446.6573939985</v>
      </c>
      <c r="BH2381" s="458">
        <v>4.8414864133215163E-2</v>
      </c>
      <c r="BI2381" s="477">
        <v>21242027.165586896</v>
      </c>
      <c r="BJ2381" s="458">
        <v>9.9993564631444265E-2</v>
      </c>
      <c r="BK2381" s="477">
        <v>91331343.951024905</v>
      </c>
      <c r="BL2381" s="458">
        <v>0.2763552279222512</v>
      </c>
      <c r="BM2381" s="468">
        <v>2.3186889371565504</v>
      </c>
    </row>
    <row r="2382" spans="12:65" x14ac:dyDescent="0.3">
      <c r="L2382" s="427">
        <v>12907952.4737</v>
      </c>
      <c r="BE2382" s="477">
        <v>971000.0743568053</v>
      </c>
      <c r="BF2382" s="458">
        <v>5.0942710283898407E-2</v>
      </c>
      <c r="BG2382" s="477">
        <v>6109228.0746954</v>
      </c>
      <c r="BH2382" s="458">
        <v>8.9522427530591697E-2</v>
      </c>
      <c r="BI2382" s="477">
        <v>15172146.169194639</v>
      </c>
      <c r="BJ2382" s="458">
        <v>0.11909313917872821</v>
      </c>
      <c r="BK2382" s="477">
        <v>79098498.306488082</v>
      </c>
      <c r="BL2382" s="458">
        <v>0.28088557866228214</v>
      </c>
      <c r="BM2382" s="468">
        <v>9.5827375954822056</v>
      </c>
    </row>
    <row r="2383" spans="12:65" x14ac:dyDescent="0.3">
      <c r="L2383" s="427">
        <v>10152898.673</v>
      </c>
      <c r="BE2383" s="477">
        <v>3237320.1303398577</v>
      </c>
      <c r="BF2383" s="458">
        <v>3.5858559639561305E-2</v>
      </c>
      <c r="BG2383" s="477">
        <v>15243129.531921074</v>
      </c>
      <c r="BH2383" s="458">
        <v>6.4871276179288895E-2</v>
      </c>
      <c r="BI2383" s="477">
        <v>14544956.820692891</v>
      </c>
      <c r="BJ2383" s="458">
        <v>0.11348159054626983</v>
      </c>
      <c r="BK2383" s="477">
        <v>98353563.179920882</v>
      </c>
      <c r="BL2383" s="458">
        <v>0.28215398728495855</v>
      </c>
      <c r="BM2383" s="468">
        <v>7.5458164706259812</v>
      </c>
    </row>
    <row r="2384" spans="12:65" x14ac:dyDescent="0.3">
      <c r="L2384" s="427">
        <v>10255924.633199999</v>
      </c>
      <c r="BE2384" s="477">
        <v>9997426.9700508881</v>
      </c>
      <c r="BF2384" s="458">
        <v>3.0836731960732777E-2</v>
      </c>
      <c r="BG2384" s="477">
        <v>7398659.644480532</v>
      </c>
      <c r="BH2384" s="458">
        <v>4.3479612183169536E-2</v>
      </c>
      <c r="BI2384" s="477">
        <v>11582407.036490301</v>
      </c>
      <c r="BJ2384" s="458">
        <v>0.12089774569100498</v>
      </c>
      <c r="BK2384" s="477">
        <v>77777455.73784858</v>
      </c>
      <c r="BL2384" s="458">
        <v>0.25752536427776529</v>
      </c>
      <c r="BM2384" s="468">
        <v>6.4345673519056961</v>
      </c>
    </row>
    <row r="2385" spans="12:65" x14ac:dyDescent="0.3">
      <c r="L2385" s="427">
        <v>18877860.359700002</v>
      </c>
      <c r="BE2385" s="477">
        <v>7144276.012590819</v>
      </c>
      <c r="BF2385" s="458">
        <v>4.4811285212397856E-2</v>
      </c>
      <c r="BG2385" s="477">
        <v>6097531.490929924</v>
      </c>
      <c r="BH2385" s="458">
        <v>7.2752989696500237E-2</v>
      </c>
      <c r="BI2385" s="477">
        <v>19552047.382109016</v>
      </c>
      <c r="BJ2385" s="458">
        <v>0.1042076694846068</v>
      </c>
      <c r="BK2385" s="477">
        <v>88148838.642280698</v>
      </c>
      <c r="BL2385" s="458">
        <v>0.27933828578746978</v>
      </c>
      <c r="BM2385" s="468">
        <v>8.0159873046090286</v>
      </c>
    </row>
    <row r="2386" spans="12:65" x14ac:dyDescent="0.3">
      <c r="L2386" s="427">
        <v>12078441.963500001</v>
      </c>
      <c r="BE2386" s="477">
        <v>7375800.9376518298</v>
      </c>
      <c r="BF2386" s="458">
        <v>3.6060736081324762E-2</v>
      </c>
      <c r="BG2386" s="477">
        <v>847885.06590539694</v>
      </c>
      <c r="BH2386" s="458">
        <v>5.8837549458387262E-2</v>
      </c>
      <c r="BI2386" s="477">
        <v>11465969.49547931</v>
      </c>
      <c r="BJ2386" s="458">
        <v>0.11801780628101199</v>
      </c>
      <c r="BK2386" s="477">
        <v>98105089.89977327</v>
      </c>
      <c r="BL2386" s="458">
        <v>0.27507528852597818</v>
      </c>
      <c r="BM2386" s="468">
        <v>7.463268750950256</v>
      </c>
    </row>
    <row r="2387" spans="12:65" x14ac:dyDescent="0.3">
      <c r="L2387" s="427">
        <v>29099593.615499999</v>
      </c>
      <c r="BE2387" s="477">
        <v>3978011.403181477</v>
      </c>
      <c r="BF2387" s="458">
        <v>3.6245027344979031E-2</v>
      </c>
      <c r="BG2387" s="477">
        <v>7083984.5913561489</v>
      </c>
      <c r="BH2387" s="458">
        <v>6.8317106510658032E-2</v>
      </c>
      <c r="BI2387" s="477">
        <v>18914444.431859676</v>
      </c>
      <c r="BJ2387" s="458">
        <v>0.12721957953898544</v>
      </c>
      <c r="BK2387" s="477">
        <v>87475991.127932951</v>
      </c>
      <c r="BL2387" s="458">
        <v>0.29246339089979045</v>
      </c>
      <c r="BM2387" s="468">
        <v>9.6903598192436551</v>
      </c>
    </row>
    <row r="2388" spans="12:65" x14ac:dyDescent="0.3">
      <c r="L2388" s="427">
        <v>5263117.0450999998</v>
      </c>
      <c r="BE2388" s="477">
        <v>2611851.4726348678</v>
      </c>
      <c r="BF2388" s="458">
        <v>3.2201775674856714E-2</v>
      </c>
      <c r="BG2388" s="477">
        <v>2571868.044860418</v>
      </c>
      <c r="BH2388" s="458">
        <v>2.9515703301141505E-2</v>
      </c>
      <c r="BI2388" s="477">
        <v>19899144.293640632</v>
      </c>
      <c r="BJ2388" s="458">
        <v>0.11236686371885063</v>
      </c>
      <c r="BK2388" s="477">
        <v>105883365.13932148</v>
      </c>
      <c r="BL2388" s="458">
        <v>0.2618036330198068</v>
      </c>
      <c r="BM2388" s="468">
        <v>5.8462383339311517</v>
      </c>
    </row>
    <row r="2389" spans="12:65" x14ac:dyDescent="0.3">
      <c r="L2389" s="427">
        <v>-10392581.4801</v>
      </c>
      <c r="BE2389" s="477">
        <v>4188607.7879075971</v>
      </c>
      <c r="BF2389" s="458">
        <v>2.8069629026393095E-2</v>
      </c>
      <c r="BG2389" s="477">
        <v>9466365.2326375172</v>
      </c>
      <c r="BH2389" s="458">
        <v>6.4756995311899157E-2</v>
      </c>
      <c r="BI2389" s="477">
        <v>22568735.685728505</v>
      </c>
      <c r="BJ2389" s="458">
        <v>0.10415576723461828</v>
      </c>
      <c r="BK2389" s="477">
        <v>83890478.116801277</v>
      </c>
      <c r="BL2389" s="458">
        <v>0.27872206651104836</v>
      </c>
      <c r="BM2389" s="468">
        <v>5.0265326155850385</v>
      </c>
    </row>
    <row r="2390" spans="12:65" x14ac:dyDescent="0.3">
      <c r="L2390" s="427">
        <v>-3926357.4882</v>
      </c>
      <c r="BE2390" s="477">
        <v>5955483.2471924331</v>
      </c>
      <c r="BF2390" s="458">
        <v>2.8624417672726832E-2</v>
      </c>
      <c r="BG2390" s="477">
        <v>8984221.6380394641</v>
      </c>
      <c r="BH2390" s="458">
        <v>7.6312655549294339E-2</v>
      </c>
      <c r="BI2390" s="477">
        <v>19443263.274988517</v>
      </c>
      <c r="BJ2390" s="458">
        <v>0.1250592802669479</v>
      </c>
      <c r="BK2390" s="477">
        <v>76580451.285812005</v>
      </c>
      <c r="BL2390" s="458">
        <v>0.26943929342244211</v>
      </c>
      <c r="BM2390" s="468">
        <v>7.521251508647957</v>
      </c>
    </row>
    <row r="2391" spans="12:65" x14ac:dyDescent="0.3">
      <c r="L2391" s="427">
        <v>15651976.7476</v>
      </c>
      <c r="BE2391" s="477">
        <v>1819327.0895813368</v>
      </c>
      <c r="BF2391" s="458">
        <v>5.1398079603465874E-2</v>
      </c>
      <c r="BG2391" s="477">
        <v>9909501.4796832744</v>
      </c>
      <c r="BH2391" s="458">
        <v>8.951153501571274E-2</v>
      </c>
      <c r="BI2391" s="477">
        <v>25825490.353677955</v>
      </c>
      <c r="BJ2391" s="458">
        <v>0.12026366903268193</v>
      </c>
      <c r="BK2391" s="477">
        <v>74650937.63735953</v>
      </c>
      <c r="BL2391" s="458">
        <v>0.25708572869060786</v>
      </c>
      <c r="BM2391" s="468">
        <v>2.9444478526869089</v>
      </c>
    </row>
    <row r="2392" spans="12:65" x14ac:dyDescent="0.3">
      <c r="L2392" s="427">
        <v>3246769.4747000001</v>
      </c>
      <c r="BE2392" s="477">
        <v>1399661.7789577374</v>
      </c>
      <c r="BF2392" s="458">
        <v>3.0057484685849012E-2</v>
      </c>
      <c r="BG2392" s="477">
        <v>5932149.3073979989</v>
      </c>
      <c r="BH2392" s="458">
        <v>4.4849472226071274E-2</v>
      </c>
      <c r="BI2392" s="477">
        <v>26753522.956416439</v>
      </c>
      <c r="BJ2392" s="458">
        <v>0.10709368325465807</v>
      </c>
      <c r="BK2392" s="477">
        <v>93678199.706565425</v>
      </c>
      <c r="BL2392" s="458">
        <v>0.26718380398227537</v>
      </c>
      <c r="BM2392" s="468">
        <v>11.803732678542032</v>
      </c>
    </row>
    <row r="2393" spans="12:65" x14ac:dyDescent="0.3">
      <c r="L2393" s="427">
        <v>15250826.7772</v>
      </c>
      <c r="BE2393" s="477">
        <v>2141098.0137874261</v>
      </c>
      <c r="BF2393" s="458">
        <v>6.4862117458118984E-2</v>
      </c>
      <c r="BG2393" s="477">
        <v>7497538.5834718542</v>
      </c>
      <c r="BH2393" s="458">
        <v>6.6732351001113299E-2</v>
      </c>
      <c r="BI2393" s="477">
        <v>19596138.265932072</v>
      </c>
      <c r="BJ2393" s="458">
        <v>0.10720758960582</v>
      </c>
      <c r="BK2393" s="477">
        <v>92864549.377530634</v>
      </c>
      <c r="BL2393" s="458">
        <v>0.27583781414628961</v>
      </c>
      <c r="BM2393" s="468">
        <v>9.7315209105146288</v>
      </c>
    </row>
    <row r="2394" spans="12:65" x14ac:dyDescent="0.3">
      <c r="L2394" s="427">
        <v>9998570.7256000005</v>
      </c>
      <c r="BE2394" s="477">
        <v>4985351.5715917479</v>
      </c>
      <c r="BF2394" s="458">
        <v>2.2662400836162666E-2</v>
      </c>
      <c r="BG2394" s="477">
        <v>5401510.1980592478</v>
      </c>
      <c r="BH2394" s="458">
        <v>6.9299552780982321E-2</v>
      </c>
      <c r="BI2394" s="477">
        <v>21703907.587774593</v>
      </c>
      <c r="BJ2394" s="458">
        <v>9.378067892055153E-2</v>
      </c>
      <c r="BK2394" s="477">
        <v>102535737.77844855</v>
      </c>
      <c r="BL2394" s="458">
        <v>0.25938966635871519</v>
      </c>
      <c r="BM2394" s="468">
        <v>3.4142490712989089</v>
      </c>
    </row>
    <row r="2395" spans="12:65" x14ac:dyDescent="0.3">
      <c r="L2395" s="427">
        <v>-2506345.5011999998</v>
      </c>
      <c r="BE2395" s="477">
        <v>7254031.1661796104</v>
      </c>
      <c r="BF2395" s="458">
        <v>1.8784830588586932E-2</v>
      </c>
      <c r="BG2395" s="477">
        <v>4857701.1146668382</v>
      </c>
      <c r="BH2395" s="458">
        <v>6.5725570158513991E-2</v>
      </c>
      <c r="BI2395" s="477">
        <v>20448712.405587602</v>
      </c>
      <c r="BJ2395" s="458">
        <v>0.11808469371221242</v>
      </c>
      <c r="BK2395" s="477">
        <v>77157652.007897034</v>
      </c>
      <c r="BL2395" s="458">
        <v>0.26371162061048281</v>
      </c>
      <c r="BM2395" s="468">
        <v>5.1412449053544371</v>
      </c>
    </row>
    <row r="2396" spans="12:65" x14ac:dyDescent="0.3">
      <c r="L2396" s="427">
        <v>10984284.6796</v>
      </c>
      <c r="BE2396" s="477">
        <v>4484378.1056608548</v>
      </c>
      <c r="BF2396" s="458">
        <v>2.7926223547793283E-2</v>
      </c>
      <c r="BG2396" s="477">
        <v>9995321.2812408544</v>
      </c>
      <c r="BH2396" s="458">
        <v>5.5327699004500186E-2</v>
      </c>
      <c r="BI2396" s="477">
        <v>15982578.268990893</v>
      </c>
      <c r="BJ2396" s="458">
        <v>9.7382499838768011E-2</v>
      </c>
      <c r="BK2396" s="477">
        <v>85207623.867743254</v>
      </c>
      <c r="BL2396" s="458">
        <v>0.25717919690277857</v>
      </c>
      <c r="BM2396" s="468">
        <v>13.216751963178574</v>
      </c>
    </row>
    <row r="2397" spans="12:65" x14ac:dyDescent="0.3">
      <c r="L2397" s="427">
        <v>29529460.094599999</v>
      </c>
      <c r="BE2397" s="477">
        <v>3906905.4984161602</v>
      </c>
      <c r="BF2397" s="458">
        <v>5.3264165628673865E-2</v>
      </c>
      <c r="BG2397" s="477">
        <v>9482498.2618924435</v>
      </c>
      <c r="BH2397" s="458">
        <v>5.6180554345778289E-2</v>
      </c>
      <c r="BI2397" s="477">
        <v>15316633.402814094</v>
      </c>
      <c r="BJ2397" s="458">
        <v>0.12287335534768995</v>
      </c>
      <c r="BK2397" s="477">
        <v>92054692.306220889</v>
      </c>
      <c r="BL2397" s="458">
        <v>0.27326128835534025</v>
      </c>
      <c r="BM2397" s="468">
        <v>11.420561586526487</v>
      </c>
    </row>
    <row r="2398" spans="12:65" x14ac:dyDescent="0.3">
      <c r="L2398" s="427">
        <v>10523158.306399999</v>
      </c>
      <c r="BE2398" s="477">
        <v>2359303.9887911351</v>
      </c>
      <c r="BF2398" s="458">
        <v>4.136063213322605E-2</v>
      </c>
      <c r="BG2398" s="477">
        <v>10967696.034702646</v>
      </c>
      <c r="BH2398" s="458">
        <v>4.5773918754384635E-2</v>
      </c>
      <c r="BI2398" s="477">
        <v>20980005.987084642</v>
      </c>
      <c r="BJ2398" s="458">
        <v>0.12195382119458742</v>
      </c>
      <c r="BK2398" s="477">
        <v>82799872.600982308</v>
      </c>
      <c r="BL2398" s="458">
        <v>0.26337970732402471</v>
      </c>
      <c r="BM2398" s="468">
        <v>3.5081687097400165</v>
      </c>
    </row>
    <row r="2399" spans="12:65" x14ac:dyDescent="0.3">
      <c r="L2399" s="427">
        <v>-2687901.8229999999</v>
      </c>
      <c r="BE2399" s="477">
        <v>4173332.4449498542</v>
      </c>
      <c r="BF2399" s="458">
        <v>5.1653130162529814E-2</v>
      </c>
      <c r="BG2399" s="477">
        <v>-2349610.6680765087</v>
      </c>
      <c r="BH2399" s="458">
        <v>7.7621868919875991E-2</v>
      </c>
      <c r="BI2399" s="477">
        <v>17311094.303266853</v>
      </c>
      <c r="BJ2399" s="458">
        <v>0.10323793992213104</v>
      </c>
      <c r="BK2399" s="477">
        <v>84444920.520441473</v>
      </c>
      <c r="BL2399" s="458">
        <v>0.25981141507519445</v>
      </c>
      <c r="BM2399" s="468">
        <v>6.7141600626488529</v>
      </c>
    </row>
    <row r="2400" spans="12:65" x14ac:dyDescent="0.3">
      <c r="L2400" s="427">
        <v>3733524.8774999999</v>
      </c>
      <c r="BE2400" s="477">
        <v>6230985.2102164878</v>
      </c>
      <c r="BF2400" s="458">
        <v>2.0021021069965839E-2</v>
      </c>
      <c r="BG2400" s="477">
        <v>9137568.2198011614</v>
      </c>
      <c r="BH2400" s="458">
        <v>7.5629503731968084E-2</v>
      </c>
      <c r="BI2400" s="477">
        <v>15538377.817229154</v>
      </c>
      <c r="BJ2400" s="458">
        <v>0.11898093819872746</v>
      </c>
      <c r="BK2400" s="477">
        <v>88331382.003002524</v>
      </c>
      <c r="BL2400" s="458">
        <v>0.26085035084412689</v>
      </c>
      <c r="BM2400" s="468">
        <v>10.669703725785032</v>
      </c>
    </row>
    <row r="2401" spans="12:65" x14ac:dyDescent="0.3">
      <c r="L2401" s="427">
        <v>6479155.7828000002</v>
      </c>
      <c r="BE2401" s="477">
        <v>5480174.0442388896</v>
      </c>
      <c r="BF2401" s="458">
        <v>1.6479147357198354E-2</v>
      </c>
      <c r="BG2401" s="477">
        <v>9013990.9772272613</v>
      </c>
      <c r="BH2401" s="458">
        <v>0.11323466667521731</v>
      </c>
      <c r="BI2401" s="477">
        <v>21036918.002785824</v>
      </c>
      <c r="BJ2401" s="458">
        <v>0.12084221661871419</v>
      </c>
      <c r="BK2401" s="477">
        <v>83023277.979695931</v>
      </c>
      <c r="BL2401" s="458">
        <v>0.26352131646987154</v>
      </c>
      <c r="BM2401" s="468">
        <v>14.332660467794124</v>
      </c>
    </row>
    <row r="2402" spans="12:65" x14ac:dyDescent="0.3">
      <c r="L2402" s="427">
        <v>-4248759.7478</v>
      </c>
      <c r="BE2402" s="477">
        <v>9044022.2745178435</v>
      </c>
      <c r="BF2402" s="458">
        <v>4.0146846808761794E-2</v>
      </c>
      <c r="BG2402" s="477">
        <v>10068378.470859634</v>
      </c>
      <c r="BH2402" s="458">
        <v>5.0820580593380793E-2</v>
      </c>
      <c r="BI2402" s="477">
        <v>1868936.5828881492</v>
      </c>
      <c r="BJ2402" s="458">
        <v>0.10711722404122281</v>
      </c>
      <c r="BK2402" s="477">
        <v>94466849.413702205</v>
      </c>
      <c r="BL2402" s="458">
        <v>0.26771518778254011</v>
      </c>
      <c r="BM2402" s="468">
        <v>3.7927873220555766</v>
      </c>
    </row>
    <row r="2403" spans="12:65" x14ac:dyDescent="0.3">
      <c r="L2403" s="427">
        <v>-7643801.9203000003</v>
      </c>
      <c r="BE2403" s="477">
        <v>5835416.7060359214</v>
      </c>
      <c r="BF2403" s="458">
        <v>2.0745657596047407E-2</v>
      </c>
      <c r="BG2403" s="477">
        <v>1410312.2982113082</v>
      </c>
      <c r="BH2403" s="458">
        <v>6.1783363187095652E-2</v>
      </c>
      <c r="BI2403" s="477">
        <v>10858481.127217455</v>
      </c>
      <c r="BJ2403" s="458">
        <v>9.544444385516071E-2</v>
      </c>
      <c r="BK2403" s="477">
        <v>94754569.468258798</v>
      </c>
      <c r="BL2403" s="458">
        <v>0.29208746080616388</v>
      </c>
      <c r="BM2403" s="468">
        <v>8.9560880349259193</v>
      </c>
    </row>
    <row r="2404" spans="12:65" x14ac:dyDescent="0.3">
      <c r="L2404" s="427">
        <v>18229214.349800002</v>
      </c>
      <c r="BE2404" s="477">
        <v>3590339.7102976069</v>
      </c>
      <c r="BF2404" s="458">
        <v>4.0886683518556843E-2</v>
      </c>
      <c r="BG2404" s="477">
        <v>4840259.2608221751</v>
      </c>
      <c r="BH2404" s="458">
        <v>6.0831691163970802E-2</v>
      </c>
      <c r="BI2404" s="477">
        <v>16492746.298259977</v>
      </c>
      <c r="BJ2404" s="458">
        <v>8.9386245490247873E-2</v>
      </c>
      <c r="BK2404" s="477">
        <v>95121906.782653451</v>
      </c>
      <c r="BL2404" s="458">
        <v>0.30500396339698477</v>
      </c>
      <c r="BM2404" s="468">
        <v>7.1799695740359883</v>
      </c>
    </row>
    <row r="2405" spans="12:65" x14ac:dyDescent="0.3">
      <c r="L2405" s="427">
        <v>6524793.6462000003</v>
      </c>
      <c r="BE2405" s="477">
        <v>2599568.7007211116</v>
      </c>
      <c r="BF2405" s="458">
        <v>4.2654300259423961E-2</v>
      </c>
      <c r="BG2405" s="477">
        <v>3709720.1501538963</v>
      </c>
      <c r="BH2405" s="458">
        <v>6.5612928236692847E-2</v>
      </c>
      <c r="BI2405" s="477">
        <v>18660067.521000706</v>
      </c>
      <c r="BJ2405" s="458">
        <v>0.10258301960485006</v>
      </c>
      <c r="BK2405" s="477">
        <v>79884080.772578865</v>
      </c>
      <c r="BL2405" s="458">
        <v>0.25315651528638528</v>
      </c>
      <c r="BM2405" s="468">
        <v>4.9372717987155488</v>
      </c>
    </row>
    <row r="2406" spans="12:65" x14ac:dyDescent="0.3">
      <c r="L2406" s="427">
        <v>5341144.5631999997</v>
      </c>
      <c r="BE2406" s="477">
        <v>3644296.5902737752</v>
      </c>
      <c r="BF2406" s="458">
        <v>3.7359221161104683E-2</v>
      </c>
      <c r="BG2406" s="477">
        <v>15134457.024782121</v>
      </c>
      <c r="BH2406" s="458">
        <v>6.9335763173216991E-2</v>
      </c>
      <c r="BI2406" s="477">
        <v>11888621.435331412</v>
      </c>
      <c r="BJ2406" s="458">
        <v>9.2150831726709903E-2</v>
      </c>
      <c r="BK2406" s="477">
        <v>86989731.699534953</v>
      </c>
      <c r="BL2406" s="458">
        <v>0.26229733726189242</v>
      </c>
      <c r="BM2406" s="468">
        <v>11.647170057168932</v>
      </c>
    </row>
    <row r="2407" spans="12:65" x14ac:dyDescent="0.3">
      <c r="L2407" s="427">
        <v>20078615.339600001</v>
      </c>
      <c r="BE2407" s="477">
        <v>8726889.4167637099</v>
      </c>
      <c r="BF2407" s="458">
        <v>5.4673924920957351E-2</v>
      </c>
      <c r="BG2407" s="477">
        <v>2784888.7675980506</v>
      </c>
      <c r="BH2407" s="458">
        <v>4.2891271168137513E-2</v>
      </c>
      <c r="BI2407" s="477">
        <v>20602503.288131461</v>
      </c>
      <c r="BJ2407" s="458">
        <v>0.12100046961118549</v>
      </c>
      <c r="BK2407" s="477">
        <v>93682252.75290741</v>
      </c>
      <c r="BL2407" s="458">
        <v>0.2982277339087076</v>
      </c>
      <c r="BM2407" s="468">
        <v>6.1945982988174704</v>
      </c>
    </row>
    <row r="2408" spans="12:65" x14ac:dyDescent="0.3">
      <c r="L2408" s="427">
        <v>3882295.7472000001</v>
      </c>
      <c r="BE2408" s="477">
        <v>2841982.4155894686</v>
      </c>
      <c r="BF2408" s="458">
        <v>5.6029045460218141E-2</v>
      </c>
      <c r="BG2408" s="477">
        <v>8528981.3361624721</v>
      </c>
      <c r="BH2408" s="458">
        <v>6.6642499142989031E-2</v>
      </c>
      <c r="BI2408" s="477">
        <v>16333257.524598075</v>
      </c>
      <c r="BJ2408" s="458">
        <v>0.10480533553991878</v>
      </c>
      <c r="BK2408" s="477">
        <v>90994574.449336827</v>
      </c>
      <c r="BL2408" s="458">
        <v>0.27801612965981559</v>
      </c>
      <c r="BM2408" s="468">
        <v>4.8869212714286636</v>
      </c>
    </row>
    <row r="2409" spans="12:65" x14ac:dyDescent="0.3">
      <c r="L2409" s="427">
        <v>13016976.9286</v>
      </c>
      <c r="BE2409" s="477">
        <v>6343979.7475153813</v>
      </c>
      <c r="BF2409" s="458">
        <v>2.7597088325159724E-2</v>
      </c>
      <c r="BG2409" s="477">
        <v>2411775.7384315678</v>
      </c>
      <c r="BH2409" s="458">
        <v>4.8890511430571104E-2</v>
      </c>
      <c r="BI2409" s="477">
        <v>16363671.294049241</v>
      </c>
      <c r="BJ2409" s="458">
        <v>0.10295196890919067</v>
      </c>
      <c r="BK2409" s="477">
        <v>84567508.262617767</v>
      </c>
      <c r="BL2409" s="458">
        <v>0.26434292438234852</v>
      </c>
      <c r="BM2409" s="468">
        <v>6.1547734673149836</v>
      </c>
    </row>
    <row r="2410" spans="12:65" x14ac:dyDescent="0.3">
      <c r="L2410" s="427">
        <v>19766122.260699999</v>
      </c>
      <c r="BE2410" s="477">
        <v>1147340.8658144092</v>
      </c>
      <c r="BF2410" s="458">
        <v>4.1859422102776822E-2</v>
      </c>
      <c r="BG2410" s="477">
        <v>11219357.934673633</v>
      </c>
      <c r="BH2410" s="458">
        <v>5.8902784848787748E-2</v>
      </c>
      <c r="BI2410" s="477">
        <v>20631341.774141643</v>
      </c>
      <c r="BJ2410" s="458">
        <v>9.4927439225900967E-2</v>
      </c>
      <c r="BK2410" s="477">
        <v>87575481.655292049</v>
      </c>
      <c r="BL2410" s="458">
        <v>0.28163553389293217</v>
      </c>
      <c r="BM2410" s="468">
        <v>8.9131690859226467</v>
      </c>
    </row>
    <row r="2411" spans="12:65" x14ac:dyDescent="0.3">
      <c r="L2411" s="427">
        <v>25347150.977600001</v>
      </c>
      <c r="BE2411" s="477">
        <v>1210664.6263849856</v>
      </c>
      <c r="BF2411" s="458">
        <v>1.3601391903192983E-2</v>
      </c>
      <c r="BG2411" s="477">
        <v>4529127.1091584414</v>
      </c>
      <c r="BH2411" s="458">
        <v>8.8181296472692683E-2</v>
      </c>
      <c r="BI2411" s="477">
        <v>15608476.932925878</v>
      </c>
      <c r="BJ2411" s="458">
        <v>0.1366048279804164</v>
      </c>
      <c r="BK2411" s="477">
        <v>92048503.120999858</v>
      </c>
      <c r="BL2411" s="458">
        <v>0.26117877559728675</v>
      </c>
      <c r="BM2411" s="468">
        <v>6.6669708743510832</v>
      </c>
    </row>
    <row r="2412" spans="12:65" x14ac:dyDescent="0.3">
      <c r="L2412" s="427">
        <v>11469335.9231</v>
      </c>
      <c r="BE2412" s="477">
        <v>12635339.813264599</v>
      </c>
      <c r="BF2412" s="458">
        <v>3.0721977515095089E-2</v>
      </c>
      <c r="BG2412" s="477">
        <v>6554365.2181924684</v>
      </c>
      <c r="BH2412" s="458">
        <v>6.5898781068298273E-2</v>
      </c>
      <c r="BI2412" s="477">
        <v>15060132.860777259</v>
      </c>
      <c r="BJ2412" s="458">
        <v>0.10041825372528601</v>
      </c>
      <c r="BK2412" s="477">
        <v>87355866.846135348</v>
      </c>
      <c r="BL2412" s="458">
        <v>0.28751435806963244</v>
      </c>
      <c r="BM2412" s="468">
        <v>6.4334700735600805</v>
      </c>
    </row>
    <row r="2413" spans="12:65" x14ac:dyDescent="0.3">
      <c r="L2413" s="427">
        <v>14710092.2531</v>
      </c>
      <c r="BE2413" s="477">
        <v>5654137.861215679</v>
      </c>
      <c r="BF2413" s="458">
        <v>3.923773810367237E-2</v>
      </c>
      <c r="BG2413" s="477">
        <v>4778724.6455198154</v>
      </c>
      <c r="BH2413" s="458">
        <v>3.7062647620442535E-2</v>
      </c>
      <c r="BI2413" s="477">
        <v>10900879.590191299</v>
      </c>
      <c r="BJ2413" s="458">
        <v>0.11725264421769976</v>
      </c>
      <c r="BK2413" s="477">
        <v>91704577.532611862</v>
      </c>
      <c r="BL2413" s="458">
        <v>0.25432886605776606</v>
      </c>
      <c r="BM2413" s="468">
        <v>8.1129086126881873</v>
      </c>
    </row>
    <row r="2414" spans="12:65" x14ac:dyDescent="0.3">
      <c r="L2414" s="427">
        <v>-5718071.7152000004</v>
      </c>
      <c r="BE2414" s="477">
        <v>3198336.4094075472</v>
      </c>
      <c r="BF2414" s="458">
        <v>3.331204344692229E-2</v>
      </c>
      <c r="BG2414" s="477">
        <v>3383755.7651141989</v>
      </c>
      <c r="BH2414" s="458">
        <v>8.1474218492749939E-2</v>
      </c>
      <c r="BI2414" s="477">
        <v>17872051.636999551</v>
      </c>
      <c r="BJ2414" s="458">
        <v>0.13122163996471792</v>
      </c>
      <c r="BK2414" s="477">
        <v>80126779.28124465</v>
      </c>
      <c r="BL2414" s="458">
        <v>0.27626912461297093</v>
      </c>
      <c r="BM2414" s="468">
        <v>7.37694216684406</v>
      </c>
    </row>
    <row r="2415" spans="12:65" x14ac:dyDescent="0.3">
      <c r="L2415" s="427">
        <v>15683818.177100001</v>
      </c>
      <c r="BE2415" s="477">
        <v>8501760.3741349857</v>
      </c>
      <c r="BF2415" s="458">
        <v>2.8735516322560439E-2</v>
      </c>
      <c r="BG2415" s="477">
        <v>7556086.7181437649</v>
      </c>
      <c r="BH2415" s="458">
        <v>5.4489422845198643E-2</v>
      </c>
      <c r="BI2415" s="477">
        <v>17594396.461731821</v>
      </c>
      <c r="BJ2415" s="458">
        <v>8.5204702120753595E-2</v>
      </c>
      <c r="BK2415" s="477">
        <v>86204440.747885883</v>
      </c>
      <c r="BL2415" s="458">
        <v>0.27309211037711845</v>
      </c>
      <c r="BM2415" s="468">
        <v>21.897593244537539</v>
      </c>
    </row>
    <row r="2416" spans="12:65" x14ac:dyDescent="0.3">
      <c r="L2416" s="427">
        <v>4908422.6463000001</v>
      </c>
      <c r="BE2416" s="477">
        <v>5923107.4934495389</v>
      </c>
      <c r="BF2416" s="458">
        <v>3.3634076908561239E-2</v>
      </c>
      <c r="BG2416" s="477">
        <v>11219727.248943666</v>
      </c>
      <c r="BH2416" s="458">
        <v>6.2724766481352168E-2</v>
      </c>
      <c r="BI2416" s="477">
        <v>12086238.972485982</v>
      </c>
      <c r="BJ2416" s="458">
        <v>0.1239907511889955</v>
      </c>
      <c r="BK2416" s="477">
        <v>88282454.075594008</v>
      </c>
      <c r="BL2416" s="458">
        <v>0.25753362845727956</v>
      </c>
      <c r="BM2416" s="468">
        <v>4.7384384026843049</v>
      </c>
    </row>
    <row r="2417" spans="12:65" x14ac:dyDescent="0.3">
      <c r="L2417" s="427">
        <v>20458694.120000001</v>
      </c>
      <c r="BE2417" s="477">
        <v>5320261.3941600202</v>
      </c>
      <c r="BF2417" s="458">
        <v>2.9989531227652799E-2</v>
      </c>
      <c r="BG2417" s="477">
        <v>16446118.546771109</v>
      </c>
      <c r="BH2417" s="458">
        <v>5.6414808065454736E-2</v>
      </c>
      <c r="BI2417" s="477">
        <v>17908557.104306743</v>
      </c>
      <c r="BJ2417" s="458">
        <v>0.11838015317133888</v>
      </c>
      <c r="BK2417" s="477">
        <v>97625571.881696984</v>
      </c>
      <c r="BL2417" s="458">
        <v>0.27796541133298946</v>
      </c>
      <c r="BM2417" s="468">
        <v>13.746265676664757</v>
      </c>
    </row>
    <row r="2418" spans="12:65" x14ac:dyDescent="0.3">
      <c r="L2418" s="427">
        <v>25019314.6215</v>
      </c>
      <c r="BE2418" s="477">
        <v>10222818.205212111</v>
      </c>
      <c r="BF2418" s="458">
        <v>4.2547231325171353E-2</v>
      </c>
      <c r="BG2418" s="477">
        <v>9021561.637700038</v>
      </c>
      <c r="BH2418" s="458">
        <v>6.5793589451584422E-2</v>
      </c>
      <c r="BI2418" s="477">
        <v>14149493.553918753</v>
      </c>
      <c r="BJ2418" s="458">
        <v>0.12713972719623223</v>
      </c>
      <c r="BK2418" s="477">
        <v>96615369.075594634</v>
      </c>
      <c r="BL2418" s="458">
        <v>0.27869275614005407</v>
      </c>
      <c r="BM2418" s="468">
        <v>11.791126497292924</v>
      </c>
    </row>
    <row r="2419" spans="12:65" x14ac:dyDescent="0.3">
      <c r="L2419" s="427">
        <v>1125406.2714</v>
      </c>
      <c r="BE2419" s="477">
        <v>-2835154.1438356279</v>
      </c>
      <c r="BF2419" s="458">
        <v>3.3891123713885252E-2</v>
      </c>
      <c r="BG2419" s="477">
        <v>7550108.4808757482</v>
      </c>
      <c r="BH2419" s="458">
        <v>6.9562573889883073E-2</v>
      </c>
      <c r="BI2419" s="477">
        <v>13639434.978245089</v>
      </c>
      <c r="BJ2419" s="458">
        <v>0.130380392551114</v>
      </c>
      <c r="BK2419" s="477">
        <v>97236631.924700871</v>
      </c>
      <c r="BL2419" s="458">
        <v>0.2879961097433319</v>
      </c>
      <c r="BM2419" s="468">
        <v>6.2509429990627456</v>
      </c>
    </row>
    <row r="2420" spans="12:65" x14ac:dyDescent="0.3">
      <c r="L2420" s="427">
        <v>2065334.0430000001</v>
      </c>
      <c r="BE2420" s="477">
        <v>4784586.796005914</v>
      </c>
      <c r="BF2420" s="458">
        <v>4.1037948815143555E-2</v>
      </c>
      <c r="BG2420" s="477">
        <v>7446896.9508742485</v>
      </c>
      <c r="BH2420" s="458">
        <v>5.1210242785107773E-2</v>
      </c>
      <c r="BI2420" s="477">
        <v>17823662.747790094</v>
      </c>
      <c r="BJ2420" s="458">
        <v>9.9882214458457241E-2</v>
      </c>
      <c r="BK2420" s="477">
        <v>99613611.843126163</v>
      </c>
      <c r="BL2420" s="458">
        <v>0.26651594042059346</v>
      </c>
      <c r="BM2420" s="468">
        <v>1.2284651752780649</v>
      </c>
    </row>
    <row r="2421" spans="12:65" x14ac:dyDescent="0.3">
      <c r="L2421" s="427">
        <v>6169795.4780000001</v>
      </c>
      <c r="BE2421" s="477">
        <v>4335493.4141190546</v>
      </c>
      <c r="BF2421" s="458">
        <v>2.0899721545241334E-2</v>
      </c>
      <c r="BG2421" s="477">
        <v>9148107.9986486193</v>
      </c>
      <c r="BH2421" s="458">
        <v>7.7806280964809238E-2</v>
      </c>
      <c r="BI2421" s="477">
        <v>16594799.854832506</v>
      </c>
      <c r="BJ2421" s="458">
        <v>0.11707385370651213</v>
      </c>
      <c r="BK2421" s="477">
        <v>100606540.23108087</v>
      </c>
      <c r="BL2421" s="458">
        <v>0.28310733627716789</v>
      </c>
      <c r="BM2421" s="468">
        <v>6.1412142631231212</v>
      </c>
    </row>
    <row r="2422" spans="12:65" x14ac:dyDescent="0.3">
      <c r="L2422" s="427">
        <v>6871443.7966</v>
      </c>
      <c r="BE2422" s="477">
        <v>4052420.743554241</v>
      </c>
      <c r="BF2422" s="458">
        <v>4.5243943374356776E-2</v>
      </c>
      <c r="BG2422" s="477">
        <v>15143271.232362164</v>
      </c>
      <c r="BH2422" s="458">
        <v>3.2731014986734142E-2</v>
      </c>
      <c r="BI2422" s="477">
        <v>14368616.126034418</v>
      </c>
      <c r="BJ2422" s="458">
        <v>0.10804298753487185</v>
      </c>
      <c r="BK2422" s="477">
        <v>84389990.075014994</v>
      </c>
      <c r="BL2422" s="458">
        <v>0.28222512443731618</v>
      </c>
      <c r="BM2422" s="468">
        <v>6.557341058335652</v>
      </c>
    </row>
    <row r="2423" spans="12:65" x14ac:dyDescent="0.3">
      <c r="L2423" s="427">
        <v>-8069675.7063999996</v>
      </c>
      <c r="BE2423" s="477">
        <v>4419200.034453257</v>
      </c>
      <c r="BF2423" s="458">
        <v>3.9247174286365816E-2</v>
      </c>
      <c r="BG2423" s="477">
        <v>12192386.538093822</v>
      </c>
      <c r="BH2423" s="458">
        <v>5.2081156457265854E-2</v>
      </c>
      <c r="BI2423" s="477">
        <v>16885542.778396647</v>
      </c>
      <c r="BJ2423" s="458">
        <v>0.10330431839967802</v>
      </c>
      <c r="BK2423" s="477">
        <v>83811957.326988056</v>
      </c>
      <c r="BL2423" s="458">
        <v>0.26019655844930623</v>
      </c>
      <c r="BM2423" s="468">
        <v>8.5226683436073376</v>
      </c>
    </row>
    <row r="2424" spans="12:65" x14ac:dyDescent="0.3">
      <c r="L2424" s="427">
        <v>-23173.2788</v>
      </c>
      <c r="BE2424" s="477">
        <v>1781495.7426690389</v>
      </c>
      <c r="BF2424" s="458">
        <v>6.315574581909611E-2</v>
      </c>
      <c r="BG2424" s="477">
        <v>978442.95360604604</v>
      </c>
      <c r="BH2424" s="458">
        <v>7.6849483072200853E-2</v>
      </c>
      <c r="BI2424" s="477">
        <v>14074681.676023716</v>
      </c>
      <c r="BJ2424" s="458">
        <v>0.12734001476036805</v>
      </c>
      <c r="BK2424" s="477">
        <v>82329526.443482265</v>
      </c>
      <c r="BL2424" s="458">
        <v>0.28663447713221113</v>
      </c>
      <c r="BM2424" s="468">
        <v>2.673896484271129</v>
      </c>
    </row>
    <row r="2425" spans="12:65" x14ac:dyDescent="0.3">
      <c r="L2425" s="427">
        <v>-2420021.5663999999</v>
      </c>
      <c r="BE2425" s="477">
        <v>5222407.3572182572</v>
      </c>
      <c r="BF2425" s="458">
        <v>4.876590080862675E-2</v>
      </c>
      <c r="BG2425" s="477">
        <v>5489301.1416599508</v>
      </c>
      <c r="BH2425" s="458">
        <v>5.8104074357319124E-2</v>
      </c>
      <c r="BI2425" s="477">
        <v>10826306.763711195</v>
      </c>
      <c r="BJ2425" s="458">
        <v>0.11121384617878416</v>
      </c>
      <c r="BK2425" s="477">
        <v>90861605.540964305</v>
      </c>
      <c r="BL2425" s="458">
        <v>0.25970850036711179</v>
      </c>
      <c r="BM2425" s="468">
        <v>6.2941279836727571</v>
      </c>
    </row>
    <row r="2426" spans="12:65" x14ac:dyDescent="0.3">
      <c r="L2426" s="427">
        <v>14722935.2292</v>
      </c>
      <c r="BE2426" s="477">
        <v>5575719.359436282</v>
      </c>
      <c r="BF2426" s="458">
        <v>1.4641320891505494E-2</v>
      </c>
      <c r="BG2426" s="477">
        <v>12679244.84444437</v>
      </c>
      <c r="BH2426" s="458">
        <v>5.2063560994775937E-2</v>
      </c>
      <c r="BI2426" s="477">
        <v>23275394.90856427</v>
      </c>
      <c r="BJ2426" s="458">
        <v>0.10400193005368386</v>
      </c>
      <c r="BK2426" s="477">
        <v>93107809.445938379</v>
      </c>
      <c r="BL2426" s="458">
        <v>0.27476948400004941</v>
      </c>
      <c r="BM2426" s="468">
        <v>3.8019718303131764</v>
      </c>
    </row>
    <row r="2427" spans="12:65" x14ac:dyDescent="0.3">
      <c r="L2427" s="427">
        <v>16087293.430299999</v>
      </c>
      <c r="BE2427" s="477">
        <v>6752931.2228172636</v>
      </c>
      <c r="BF2427" s="458">
        <v>4.5918428758868979E-2</v>
      </c>
      <c r="BG2427" s="477">
        <v>4373230.7303186394</v>
      </c>
      <c r="BH2427" s="458">
        <v>7.3869535352591775E-2</v>
      </c>
      <c r="BI2427" s="477">
        <v>13879110.747970831</v>
      </c>
      <c r="BJ2427" s="458">
        <v>8.183615212016182E-2</v>
      </c>
      <c r="BK2427" s="477">
        <v>115554689.98283865</v>
      </c>
      <c r="BL2427" s="458">
        <v>0.2577138213798702</v>
      </c>
      <c r="BM2427" s="468">
        <v>5.5303099981702282</v>
      </c>
    </row>
    <row r="2428" spans="12:65" x14ac:dyDescent="0.3">
      <c r="L2428" s="427">
        <v>15469890.691199999</v>
      </c>
      <c r="BE2428" s="477">
        <v>5998397.1346513247</v>
      </c>
      <c r="BF2428" s="458">
        <v>2.7208524647894139E-2</v>
      </c>
      <c r="BG2428" s="477">
        <v>10026168.058925895</v>
      </c>
      <c r="BH2428" s="458">
        <v>8.7478708227312518E-2</v>
      </c>
      <c r="BI2428" s="477">
        <v>17665448.579674806</v>
      </c>
      <c r="BJ2428" s="458">
        <v>0.11293707344116233</v>
      </c>
      <c r="BK2428" s="477">
        <v>91841883.301324397</v>
      </c>
      <c r="BL2428" s="458">
        <v>0.29513322430983324</v>
      </c>
      <c r="BM2428" s="468">
        <v>7.3131234536423086</v>
      </c>
    </row>
    <row r="2429" spans="12:65" x14ac:dyDescent="0.3">
      <c r="L2429" s="427">
        <v>6252142.1335000005</v>
      </c>
      <c r="BE2429" s="477">
        <v>6063061.1132275891</v>
      </c>
      <c r="BF2429" s="458">
        <v>4.1869125517919326E-3</v>
      </c>
      <c r="BG2429" s="477">
        <v>11590426.566454856</v>
      </c>
      <c r="BH2429" s="458">
        <v>5.7619391416125598E-2</v>
      </c>
      <c r="BI2429" s="477">
        <v>20917537.269162409</v>
      </c>
      <c r="BJ2429" s="458">
        <v>0.10320234166424669</v>
      </c>
      <c r="BK2429" s="477">
        <v>103192144.35123542</v>
      </c>
      <c r="BL2429" s="458">
        <v>0.27301465540425007</v>
      </c>
      <c r="BM2429" s="468">
        <v>4.6843563612199235</v>
      </c>
    </row>
    <row r="2430" spans="12:65" x14ac:dyDescent="0.3">
      <c r="L2430" s="427">
        <v>3014169.2303999998</v>
      </c>
      <c r="BE2430" s="477">
        <v>4453943.794449063</v>
      </c>
      <c r="BF2430" s="458">
        <v>1.9190366201921938E-2</v>
      </c>
      <c r="BG2430" s="477">
        <v>7860206.9116004817</v>
      </c>
      <c r="BH2430" s="458">
        <v>8.2226151445312867E-2</v>
      </c>
      <c r="BI2430" s="477">
        <v>8760689.0869528744</v>
      </c>
      <c r="BJ2430" s="458">
        <v>8.1837697053846137E-2</v>
      </c>
      <c r="BK2430" s="477">
        <v>85567494.86683768</v>
      </c>
      <c r="BL2430" s="458">
        <v>0.26347929252753954</v>
      </c>
      <c r="BM2430" s="468">
        <v>8.7582682225124593</v>
      </c>
    </row>
    <row r="2431" spans="12:65" x14ac:dyDescent="0.3">
      <c r="L2431" s="427">
        <v>19146786.145399999</v>
      </c>
      <c r="BE2431" s="477">
        <v>2792467.2702243007</v>
      </c>
      <c r="BF2431" s="458">
        <v>4.5014621135397892E-2</v>
      </c>
      <c r="BG2431" s="477">
        <v>6375748.9262819719</v>
      </c>
      <c r="BH2431" s="458">
        <v>6.5615376960264093E-2</v>
      </c>
      <c r="BI2431" s="477">
        <v>24319868.08798049</v>
      </c>
      <c r="BJ2431" s="458">
        <v>9.8124146695266923E-2</v>
      </c>
      <c r="BK2431" s="477">
        <v>87052926.912699908</v>
      </c>
      <c r="BL2431" s="458">
        <v>0.26963907204542692</v>
      </c>
      <c r="BM2431" s="468">
        <v>5.3877239561835495</v>
      </c>
    </row>
    <row r="2432" spans="12:65" x14ac:dyDescent="0.3">
      <c r="L2432" s="427">
        <v>3255584.9369000001</v>
      </c>
      <c r="BE2432" s="477">
        <v>-1280008.6312203507</v>
      </c>
      <c r="BF2432" s="458">
        <v>4.1089263964673828E-2</v>
      </c>
      <c r="BG2432" s="477">
        <v>13335902.811748115</v>
      </c>
      <c r="BH2432" s="458">
        <v>6.9521087884429678E-2</v>
      </c>
      <c r="BI2432" s="477">
        <v>15156357.101418786</v>
      </c>
      <c r="BJ2432" s="458">
        <v>0.11093952984954214</v>
      </c>
      <c r="BK2432" s="477">
        <v>90778066.332757264</v>
      </c>
      <c r="BL2432" s="458">
        <v>0.26223505432216632</v>
      </c>
      <c r="BM2432" s="468">
        <v>12.75092520080797</v>
      </c>
    </row>
    <row r="2433" spans="12:65" x14ac:dyDescent="0.3">
      <c r="L2433" s="427">
        <v>13242109.689099999</v>
      </c>
      <c r="BE2433" s="477">
        <v>4165092.8823810844</v>
      </c>
      <c r="BF2433" s="458">
        <v>5.7304996886489601E-2</v>
      </c>
      <c r="BG2433" s="477">
        <v>8617580.1013395768</v>
      </c>
      <c r="BH2433" s="458">
        <v>5.6389780242816601E-2</v>
      </c>
      <c r="BI2433" s="477">
        <v>24851003.315109413</v>
      </c>
      <c r="BJ2433" s="458">
        <v>0.11757045070266314</v>
      </c>
      <c r="BK2433" s="477">
        <v>91589216.051370054</v>
      </c>
      <c r="BL2433" s="458">
        <v>0.29282259653233056</v>
      </c>
      <c r="BM2433" s="468">
        <v>13.021881902591563</v>
      </c>
    </row>
    <row r="2434" spans="12:65" x14ac:dyDescent="0.3">
      <c r="L2434" s="427">
        <v>22713559.435699999</v>
      </c>
      <c r="BE2434" s="477">
        <v>6927618.5690961005</v>
      </c>
      <c r="BF2434" s="458">
        <v>4.6239488534236095E-2</v>
      </c>
      <c r="BG2434" s="477">
        <v>8288987.6701376084</v>
      </c>
      <c r="BH2434" s="458">
        <v>4.6303125078979823E-2</v>
      </c>
      <c r="BI2434" s="477">
        <v>14553375.450800134</v>
      </c>
      <c r="BJ2434" s="458">
        <v>0.12341929865512591</v>
      </c>
      <c r="BK2434" s="477">
        <v>82009836.242804334</v>
      </c>
      <c r="BL2434" s="458">
        <v>0.25676449720160233</v>
      </c>
      <c r="BM2434" s="468">
        <v>6.1482864807253934</v>
      </c>
    </row>
    <row r="2435" spans="12:65" x14ac:dyDescent="0.3">
      <c r="L2435" s="427">
        <v>-324026.0269</v>
      </c>
      <c r="BE2435" s="477">
        <v>3249455.8793451553</v>
      </c>
      <c r="BF2435" s="458">
        <v>3.4463279582341189E-2</v>
      </c>
      <c r="BG2435" s="477">
        <v>10117095.112154171</v>
      </c>
      <c r="BH2435" s="458">
        <v>7.1091329262155334E-2</v>
      </c>
      <c r="BI2435" s="477">
        <v>20186811.965693962</v>
      </c>
      <c r="BJ2435" s="458">
        <v>0.11263029511072453</v>
      </c>
      <c r="BK2435" s="477">
        <v>90620469.455267131</v>
      </c>
      <c r="BL2435" s="458">
        <v>0.27309406808875791</v>
      </c>
      <c r="BM2435" s="468">
        <v>10.171615648060047</v>
      </c>
    </row>
    <row r="2436" spans="12:65" x14ac:dyDescent="0.3">
      <c r="L2436" s="427">
        <v>10317662.1906</v>
      </c>
      <c r="BE2436" s="477">
        <v>5529097.6859063106</v>
      </c>
      <c r="BF2436" s="458">
        <v>4.3758989977944474E-2</v>
      </c>
      <c r="BG2436" s="477">
        <v>10307810.460933533</v>
      </c>
      <c r="BH2436" s="458">
        <v>7.4303208624707295E-2</v>
      </c>
      <c r="BI2436" s="477">
        <v>16869158.629824933</v>
      </c>
      <c r="BJ2436" s="458">
        <v>0.1059009715797945</v>
      </c>
      <c r="BK2436" s="477">
        <v>75928543.122676596</v>
      </c>
      <c r="BL2436" s="458">
        <v>0.27608122188659157</v>
      </c>
      <c r="BM2436" s="468">
        <v>10.973711136751584</v>
      </c>
    </row>
    <row r="2437" spans="12:65" x14ac:dyDescent="0.3">
      <c r="L2437" s="427">
        <v>5045260.0372000001</v>
      </c>
      <c r="BE2437" s="477">
        <v>7245619.908232566</v>
      </c>
      <c r="BF2437" s="458">
        <v>4.332133344769673E-2</v>
      </c>
      <c r="BG2437" s="477">
        <v>5479717.0276320204</v>
      </c>
      <c r="BH2437" s="458">
        <v>6.922370172797887E-2</v>
      </c>
      <c r="BI2437" s="477">
        <v>15368647.307586798</v>
      </c>
      <c r="BJ2437" s="458">
        <v>9.2826995092645026E-2</v>
      </c>
      <c r="BK2437" s="477">
        <v>77982160.249678493</v>
      </c>
      <c r="BL2437" s="458">
        <v>0.27960661150080757</v>
      </c>
      <c r="BM2437" s="468">
        <v>9.0429863707359335</v>
      </c>
    </row>
    <row r="2438" spans="12:65" x14ac:dyDescent="0.3">
      <c r="L2438" s="427">
        <v>-7344907.5016999999</v>
      </c>
      <c r="BE2438" s="477">
        <v>11313478.284763157</v>
      </c>
      <c r="BF2438" s="458">
        <v>3.9254776272534375E-2</v>
      </c>
      <c r="BG2438" s="477">
        <v>12141169.905993938</v>
      </c>
      <c r="BH2438" s="458">
        <v>4.2242494342332293E-2</v>
      </c>
      <c r="BI2438" s="477">
        <v>21538311.042868793</v>
      </c>
      <c r="BJ2438" s="458">
        <v>0.10698965543819372</v>
      </c>
      <c r="BK2438" s="477">
        <v>104447147.2061716</v>
      </c>
      <c r="BL2438" s="458">
        <v>0.2598331019754474</v>
      </c>
      <c r="BM2438" s="468">
        <v>13.216670434508526</v>
      </c>
    </row>
    <row r="2439" spans="12:65" x14ac:dyDescent="0.3">
      <c r="L2439" s="427">
        <v>5671169.2786999997</v>
      </c>
      <c r="BE2439" s="477">
        <v>4722712.3040094003</v>
      </c>
      <c r="BF2439" s="458">
        <v>7.076766799877654E-2</v>
      </c>
      <c r="BG2439" s="477">
        <v>8417189.5597399529</v>
      </c>
      <c r="BH2439" s="458">
        <v>9.804612857494055E-2</v>
      </c>
      <c r="BI2439" s="477">
        <v>14039617.058757514</v>
      </c>
      <c r="BJ2439" s="458">
        <v>0.14157521516489546</v>
      </c>
      <c r="BK2439" s="477">
        <v>92468400.287093699</v>
      </c>
      <c r="BL2439" s="458">
        <v>0.26315789342291884</v>
      </c>
      <c r="BM2439" s="468">
        <v>13.071854489430031</v>
      </c>
    </row>
    <row r="2440" spans="12:65" x14ac:dyDescent="0.3">
      <c r="L2440" s="427">
        <v>13506620.5732</v>
      </c>
      <c r="BE2440" s="477">
        <v>6109109.7195150759</v>
      </c>
      <c r="BF2440" s="458">
        <v>5.6462636651006148E-2</v>
      </c>
      <c r="BG2440" s="477">
        <v>4934544.6907031415</v>
      </c>
      <c r="BH2440" s="458">
        <v>8.0738236471651792E-2</v>
      </c>
      <c r="BI2440" s="477">
        <v>18087890.481116846</v>
      </c>
      <c r="BJ2440" s="458">
        <v>8.5253541822493339E-2</v>
      </c>
      <c r="BK2440" s="477">
        <v>103137263.104223</v>
      </c>
      <c r="BL2440" s="458">
        <v>0.28229581735983555</v>
      </c>
      <c r="BM2440" s="468">
        <v>8.2468558334064497</v>
      </c>
    </row>
    <row r="2441" spans="12:65" x14ac:dyDescent="0.3">
      <c r="L2441" s="427">
        <v>-3264826.6762000001</v>
      </c>
      <c r="BE2441" s="477">
        <v>5496097.9463946372</v>
      </c>
      <c r="BF2441" s="458">
        <v>1.2137911274513913E-2</v>
      </c>
      <c r="BG2441" s="477">
        <v>16349359.854491007</v>
      </c>
      <c r="BH2441" s="458">
        <v>7.006379156370901E-2</v>
      </c>
      <c r="BI2441" s="477">
        <v>14792825.264606802</v>
      </c>
      <c r="BJ2441" s="458">
        <v>0.12704010119308551</v>
      </c>
      <c r="BK2441" s="477">
        <v>96787040.979637235</v>
      </c>
      <c r="BL2441" s="458">
        <v>0.26083246532923821</v>
      </c>
      <c r="BM2441" s="468">
        <v>9.8704347996780637</v>
      </c>
    </row>
    <row r="2442" spans="12:65" x14ac:dyDescent="0.3">
      <c r="L2442" s="427">
        <v>-10913596.140000001</v>
      </c>
      <c r="BE2442" s="477">
        <v>7360939.6664195927</v>
      </c>
      <c r="BF2442" s="458">
        <v>4.5903507836861479E-2</v>
      </c>
      <c r="BG2442" s="477">
        <v>2951881.8785369257</v>
      </c>
      <c r="BH2442" s="458">
        <v>7.1465248615275145E-2</v>
      </c>
      <c r="BI2442" s="477">
        <v>17893251.158687573</v>
      </c>
      <c r="BJ2442" s="458">
        <v>0.11390999192569473</v>
      </c>
      <c r="BK2442" s="477">
        <v>82369397.397232652</v>
      </c>
      <c r="BL2442" s="458">
        <v>0.27065015288696159</v>
      </c>
      <c r="BM2442" s="468">
        <v>1.1753065285914754</v>
      </c>
    </row>
    <row r="2443" spans="12:65" x14ac:dyDescent="0.3">
      <c r="L2443" s="427">
        <v>19253791.952300001</v>
      </c>
      <c r="BE2443" s="477">
        <v>7702802.5188422278</v>
      </c>
      <c r="BF2443" s="458">
        <v>2.9104711539246875E-2</v>
      </c>
      <c r="BG2443" s="477">
        <v>15007695.127382357</v>
      </c>
      <c r="BH2443" s="458">
        <v>6.8282973595334973E-2</v>
      </c>
      <c r="BI2443" s="477">
        <v>17700336.34707085</v>
      </c>
      <c r="BJ2443" s="458">
        <v>0.13319962045190148</v>
      </c>
      <c r="BK2443" s="477">
        <v>83622795.444062561</v>
      </c>
      <c r="BL2443" s="458">
        <v>0.25235583053227262</v>
      </c>
      <c r="BM2443" s="468">
        <v>2.214875553818854</v>
      </c>
    </row>
    <row r="2444" spans="12:65" x14ac:dyDescent="0.3">
      <c r="L2444" s="427">
        <v>18291981.786800001</v>
      </c>
      <c r="BE2444" s="477">
        <v>7369872.4429557519</v>
      </c>
      <c r="BF2444" s="458">
        <v>4.6876891229389983E-2</v>
      </c>
      <c r="BG2444" s="477">
        <v>2039728.6233883284</v>
      </c>
      <c r="BH2444" s="458">
        <v>7.4552643996165013E-2</v>
      </c>
      <c r="BI2444" s="477">
        <v>17421818.254235644</v>
      </c>
      <c r="BJ2444" s="458">
        <v>0.1024768661621549</v>
      </c>
      <c r="BK2444" s="477">
        <v>87161822.918271482</v>
      </c>
      <c r="BL2444" s="458">
        <v>0.27726535316593326</v>
      </c>
      <c r="BM2444" s="468">
        <v>10.078867522020047</v>
      </c>
    </row>
    <row r="2445" spans="12:65" x14ac:dyDescent="0.3">
      <c r="L2445" s="427">
        <v>12984839.0513</v>
      </c>
      <c r="BE2445" s="477">
        <v>4140712.2957776543</v>
      </c>
      <c r="BF2445" s="458">
        <v>5.6000005995506141E-2</v>
      </c>
      <c r="BG2445" s="477">
        <v>8777752.4954739269</v>
      </c>
      <c r="BH2445" s="458">
        <v>6.471776026607845E-2</v>
      </c>
      <c r="BI2445" s="477">
        <v>13514583.208397895</v>
      </c>
      <c r="BJ2445" s="458">
        <v>0.11277161684769288</v>
      </c>
      <c r="BK2445" s="477">
        <v>100307603.31991921</v>
      </c>
      <c r="BL2445" s="458">
        <v>0.26484452409083392</v>
      </c>
      <c r="BM2445" s="468">
        <v>13.580363704514294</v>
      </c>
    </row>
    <row r="2446" spans="12:65" x14ac:dyDescent="0.3">
      <c r="L2446" s="427">
        <v>6640624.5727000004</v>
      </c>
      <c r="BE2446" s="477">
        <v>3192323.6282816166</v>
      </c>
      <c r="BF2446" s="458">
        <v>4.6345745390269144E-2</v>
      </c>
      <c r="BG2446" s="477">
        <v>15887470.835032621</v>
      </c>
      <c r="BH2446" s="458">
        <v>3.3064419951176038E-2</v>
      </c>
      <c r="BI2446" s="477">
        <v>22803078.454227034</v>
      </c>
      <c r="BJ2446" s="458">
        <v>0.11098900778138665</v>
      </c>
      <c r="BK2446" s="477">
        <v>97131712.536004782</v>
      </c>
      <c r="BL2446" s="458">
        <v>0.27920372393842974</v>
      </c>
      <c r="BM2446" s="468">
        <v>12.924374398864121</v>
      </c>
    </row>
    <row r="2447" spans="12:65" x14ac:dyDescent="0.3">
      <c r="L2447" s="427">
        <v>17054285.2377</v>
      </c>
      <c r="BE2447" s="477">
        <v>3250447.4938730006</v>
      </c>
      <c r="BF2447" s="458">
        <v>4.942105441240896E-2</v>
      </c>
      <c r="BG2447" s="477">
        <v>8931332.423444625</v>
      </c>
      <c r="BH2447" s="458">
        <v>6.6592850665560643E-2</v>
      </c>
      <c r="BI2447" s="477">
        <v>21490636.659069791</v>
      </c>
      <c r="BJ2447" s="458">
        <v>8.3787199208781526E-2</v>
      </c>
      <c r="BK2447" s="477">
        <v>102571435.00971608</v>
      </c>
      <c r="BL2447" s="458">
        <v>0.322875568691535</v>
      </c>
      <c r="BM2447" s="468">
        <v>6.4055847277071862</v>
      </c>
    </row>
    <row r="2448" spans="12:65" x14ac:dyDescent="0.3">
      <c r="L2448" s="427">
        <v>16648105.8171</v>
      </c>
      <c r="BE2448" s="477">
        <v>2379499.8744229986</v>
      </c>
      <c r="BF2448" s="458">
        <v>3.8422106249978771E-2</v>
      </c>
      <c r="BG2448" s="477">
        <v>9573376.399699064</v>
      </c>
      <c r="BH2448" s="458">
        <v>7.6237791725480397E-2</v>
      </c>
      <c r="BI2448" s="477">
        <v>22394937.368234035</v>
      </c>
      <c r="BJ2448" s="458">
        <v>0.13093512424346887</v>
      </c>
      <c r="BK2448" s="477">
        <v>78637767.899410158</v>
      </c>
      <c r="BL2448" s="458">
        <v>0.28368858548882381</v>
      </c>
      <c r="BM2448" s="468">
        <v>4.4308768640795639</v>
      </c>
    </row>
    <row r="2449" spans="12:65" x14ac:dyDescent="0.3">
      <c r="L2449" s="427">
        <v>-7523847.3449999997</v>
      </c>
      <c r="BE2449" s="477">
        <v>3976332.1010050797</v>
      </c>
      <c r="BF2449" s="458">
        <v>5.1363159890060794E-2</v>
      </c>
      <c r="BG2449" s="477">
        <v>6242743.5205276739</v>
      </c>
      <c r="BH2449" s="458">
        <v>4.6003868028856365E-2</v>
      </c>
      <c r="BI2449" s="477">
        <v>14045033.292232063</v>
      </c>
      <c r="BJ2449" s="458">
        <v>0.11426472994371606</v>
      </c>
      <c r="BK2449" s="477">
        <v>82818006.654316083</v>
      </c>
      <c r="BL2449" s="458">
        <v>0.28822474751605265</v>
      </c>
      <c r="BM2449" s="468">
        <v>10.201749803959363</v>
      </c>
    </row>
    <row r="2450" spans="12:65" x14ac:dyDescent="0.3">
      <c r="L2450" s="427">
        <v>3858968.1631999998</v>
      </c>
      <c r="BE2450" s="477">
        <v>6758949.3261115337</v>
      </c>
      <c r="BF2450" s="458">
        <v>4.0075339309507019E-2</v>
      </c>
      <c r="BG2450" s="477">
        <v>14597438.32596237</v>
      </c>
      <c r="BH2450" s="458">
        <v>5.3841860088376992E-2</v>
      </c>
      <c r="BI2450" s="477">
        <v>18088144.187869303</v>
      </c>
      <c r="BJ2450" s="458">
        <v>0.12688989401150197</v>
      </c>
      <c r="BK2450" s="477">
        <v>88870106.351493105</v>
      </c>
      <c r="BL2450" s="458">
        <v>0.26162856815636304</v>
      </c>
      <c r="BM2450" s="468">
        <v>1.1043039331217077</v>
      </c>
    </row>
    <row r="2451" spans="12:65" x14ac:dyDescent="0.3">
      <c r="L2451" s="427">
        <v>20211907.267900001</v>
      </c>
      <c r="BE2451" s="477">
        <v>6554591.5781685608</v>
      </c>
      <c r="BF2451" s="458">
        <v>4.5759836220311989E-2</v>
      </c>
      <c r="BG2451" s="477">
        <v>12856237.275963748</v>
      </c>
      <c r="BH2451" s="458">
        <v>8.8366507850943909E-2</v>
      </c>
      <c r="BI2451" s="477">
        <v>17036071.710611403</v>
      </c>
      <c r="BJ2451" s="458">
        <v>9.540819505591891E-2</v>
      </c>
      <c r="BK2451" s="477">
        <v>85994816.235063702</v>
      </c>
      <c r="BL2451" s="458">
        <v>0.27116025201478466</v>
      </c>
      <c r="BM2451" s="468">
        <v>8.1181964118290271</v>
      </c>
    </row>
    <row r="2452" spans="12:65" x14ac:dyDescent="0.3">
      <c r="L2452" s="427">
        <v>11306616.327</v>
      </c>
      <c r="BE2452" s="477">
        <v>4747454.1627008878</v>
      </c>
      <c r="BF2452" s="458">
        <v>5.056818314177014E-2</v>
      </c>
      <c r="BG2452" s="477">
        <v>9697641.8826398645</v>
      </c>
      <c r="BH2452" s="458">
        <v>6.3964383615765064E-2</v>
      </c>
      <c r="BI2452" s="477">
        <v>15079237.370121419</v>
      </c>
      <c r="BJ2452" s="458">
        <v>9.2368147614737994E-2</v>
      </c>
      <c r="BK2452" s="477">
        <v>69917792.890229851</v>
      </c>
      <c r="BL2452" s="458">
        <v>0.26901567878912758</v>
      </c>
      <c r="BM2452" s="468">
        <v>9.2642231598340281</v>
      </c>
    </row>
    <row r="2453" spans="12:65" x14ac:dyDescent="0.3">
      <c r="L2453" s="427">
        <v>184425.8602</v>
      </c>
      <c r="BE2453" s="477">
        <v>971802.92082370527</v>
      </c>
      <c r="BF2453" s="458">
        <v>3.3313603743466702E-2</v>
      </c>
      <c r="BG2453" s="477">
        <v>8221005.5320947487</v>
      </c>
      <c r="BH2453" s="458">
        <v>7.3922945904136395E-2</v>
      </c>
      <c r="BI2453" s="477">
        <v>11263798.197374405</v>
      </c>
      <c r="BJ2453" s="458">
        <v>0.11076017098663216</v>
      </c>
      <c r="BK2453" s="477">
        <v>90889776.526130274</v>
      </c>
      <c r="BL2453" s="458">
        <v>0.26594582893097174</v>
      </c>
      <c r="BM2453" s="468">
        <v>2.0511936496553291</v>
      </c>
    </row>
    <row r="2454" spans="12:65" x14ac:dyDescent="0.3">
      <c r="L2454" s="427">
        <v>-5662069.0828</v>
      </c>
      <c r="BE2454" s="477">
        <v>7117787.8749179244</v>
      </c>
      <c r="BF2454" s="458">
        <v>2.770828877900855E-2</v>
      </c>
      <c r="BG2454" s="477">
        <v>10573582.966061054</v>
      </c>
      <c r="BH2454" s="458">
        <v>7.6569302597619293E-2</v>
      </c>
      <c r="BI2454" s="477">
        <v>23170937.397579066</v>
      </c>
      <c r="BJ2454" s="458">
        <v>9.5579724984589998E-2</v>
      </c>
      <c r="BK2454" s="477">
        <v>95064802.539880708</v>
      </c>
      <c r="BL2454" s="458">
        <v>0.28283482466516796</v>
      </c>
      <c r="BM2454" s="468">
        <v>10.857531238586379</v>
      </c>
    </row>
    <row r="2455" spans="12:65" x14ac:dyDescent="0.3">
      <c r="L2455" s="427">
        <v>1580807.3296999999</v>
      </c>
      <c r="BE2455" s="477">
        <v>1693280.4376324806</v>
      </c>
      <c r="BF2455" s="458">
        <v>3.9969166065022765E-2</v>
      </c>
      <c r="BG2455" s="477">
        <v>12506416.376578525</v>
      </c>
      <c r="BH2455" s="458">
        <v>6.5014451978022914E-2</v>
      </c>
      <c r="BI2455" s="477">
        <v>16167163.510639217</v>
      </c>
      <c r="BJ2455" s="458">
        <v>0.11379899439540253</v>
      </c>
      <c r="BK2455" s="477">
        <v>81311534.798881039</v>
      </c>
      <c r="BL2455" s="458">
        <v>0.29871973599849055</v>
      </c>
      <c r="BM2455" s="468">
        <v>6.4791342356896253</v>
      </c>
    </row>
    <row r="2456" spans="12:65" x14ac:dyDescent="0.3">
      <c r="L2456" s="427">
        <v>12619631.535700001</v>
      </c>
      <c r="BE2456" s="477">
        <v>5612313.5441367282</v>
      </c>
      <c r="BF2456" s="458">
        <v>3.9442893654276334E-2</v>
      </c>
      <c r="BG2456" s="477">
        <v>6756041.2220434267</v>
      </c>
      <c r="BH2456" s="458">
        <v>7.9576612219680154E-2</v>
      </c>
      <c r="BI2456" s="477">
        <v>19810500.143997688</v>
      </c>
      <c r="BJ2456" s="458">
        <v>9.172699638411963E-2</v>
      </c>
      <c r="BK2456" s="477">
        <v>112634246.8703258</v>
      </c>
      <c r="BL2456" s="458">
        <v>0.27902810136846967</v>
      </c>
      <c r="BM2456" s="468">
        <v>9.5273442005036824</v>
      </c>
    </row>
    <row r="2457" spans="12:65" x14ac:dyDescent="0.3">
      <c r="L2457" s="427">
        <v>1157836.524</v>
      </c>
      <c r="BE2457" s="477">
        <v>7145593.9688672088</v>
      </c>
      <c r="BF2457" s="458">
        <v>2.5684931769556885E-2</v>
      </c>
      <c r="BG2457" s="477">
        <v>16290819.262188045</v>
      </c>
      <c r="BH2457" s="458">
        <v>9.7466502606696759E-2</v>
      </c>
      <c r="BI2457" s="477">
        <v>17585264.63000302</v>
      </c>
      <c r="BJ2457" s="458">
        <v>0.10669660598379904</v>
      </c>
      <c r="BK2457" s="477">
        <v>89111736.760363638</v>
      </c>
      <c r="BL2457" s="458">
        <v>0.26860006725222529</v>
      </c>
      <c r="BM2457" s="468">
        <v>11.947157551260055</v>
      </c>
    </row>
    <row r="2458" spans="12:65" x14ac:dyDescent="0.3">
      <c r="L2458" s="427">
        <v>14564124.355599999</v>
      </c>
      <c r="BE2458" s="477">
        <v>7713701.4792132992</v>
      </c>
      <c r="BF2458" s="458">
        <v>6.5123031823735245E-2</v>
      </c>
      <c r="BG2458" s="477">
        <v>10777559.256728861</v>
      </c>
      <c r="BH2458" s="458">
        <v>5.8747784360497102E-2</v>
      </c>
      <c r="BI2458" s="477">
        <v>12877373.645488417</v>
      </c>
      <c r="BJ2458" s="458">
        <v>0.11091638004640192</v>
      </c>
      <c r="BK2458" s="477">
        <v>68948262.362039253</v>
      </c>
      <c r="BL2458" s="458">
        <v>0.25037767160674274</v>
      </c>
      <c r="BM2458" s="468">
        <v>9.4178476521512557</v>
      </c>
    </row>
    <row r="2459" spans="12:65" x14ac:dyDescent="0.3">
      <c r="L2459" s="427">
        <v>33372341.485100001</v>
      </c>
      <c r="BE2459" s="477">
        <v>5625199.640571299</v>
      </c>
      <c r="BF2459" s="458">
        <v>4.2818413337536443E-2</v>
      </c>
      <c r="BG2459" s="477">
        <v>14400112.812920844</v>
      </c>
      <c r="BH2459" s="458">
        <v>0.10024725259965406</v>
      </c>
      <c r="BI2459" s="477">
        <v>15118504.583676817</v>
      </c>
      <c r="BJ2459" s="458">
        <v>0.11526419236611463</v>
      </c>
      <c r="BK2459" s="477">
        <v>94271276.513608694</v>
      </c>
      <c r="BL2459" s="458">
        <v>0.27563434455813818</v>
      </c>
      <c r="BM2459" s="468">
        <v>3.7509782926170283</v>
      </c>
    </row>
    <row r="2460" spans="12:65" x14ac:dyDescent="0.3">
      <c r="L2460" s="427">
        <v>12411424.329299999</v>
      </c>
      <c r="BE2460" s="477">
        <v>4550644.2463525459</v>
      </c>
      <c r="BF2460" s="458">
        <v>5.2740237873011298E-2</v>
      </c>
      <c r="BG2460" s="477">
        <v>11494278.684807854</v>
      </c>
      <c r="BH2460" s="458">
        <v>7.7976575842503282E-2</v>
      </c>
      <c r="BI2460" s="477">
        <v>9286670.0095776096</v>
      </c>
      <c r="BJ2460" s="458">
        <v>8.1918712343493905E-2</v>
      </c>
      <c r="BK2460" s="477">
        <v>89290662.190524578</v>
      </c>
      <c r="BL2460" s="458">
        <v>0.26114384568364635</v>
      </c>
      <c r="BM2460" s="468">
        <v>11.797791463830475</v>
      </c>
    </row>
    <row r="2461" spans="12:65" x14ac:dyDescent="0.3">
      <c r="L2461" s="427">
        <v>8464624.0764000006</v>
      </c>
      <c r="BE2461" s="477">
        <v>8136083.9605028285</v>
      </c>
      <c r="BF2461" s="458">
        <v>5.3307732033811783E-2</v>
      </c>
      <c r="BG2461" s="477">
        <v>8419836.344943447</v>
      </c>
      <c r="BH2461" s="458">
        <v>6.5873780492203382E-2</v>
      </c>
      <c r="BI2461" s="477">
        <v>14834890.172827445</v>
      </c>
      <c r="BJ2461" s="458">
        <v>7.1534306027444483E-2</v>
      </c>
      <c r="BK2461" s="477">
        <v>90959839.463443786</v>
      </c>
      <c r="BL2461" s="458">
        <v>0.28294078294146408</v>
      </c>
      <c r="BM2461" s="468">
        <v>6.2792498822634562</v>
      </c>
    </row>
    <row r="2462" spans="12:65" x14ac:dyDescent="0.3">
      <c r="L2462" s="427">
        <v>170924.60010000001</v>
      </c>
      <c r="BE2462" s="477">
        <v>6348751.3262017723</v>
      </c>
      <c r="BF2462" s="458">
        <v>2.6243228482366376E-2</v>
      </c>
      <c r="BG2462" s="477">
        <v>14801778.456970476</v>
      </c>
      <c r="BH2462" s="458">
        <v>9.416119650256527E-2</v>
      </c>
      <c r="BI2462" s="477">
        <v>12857876.104988752</v>
      </c>
      <c r="BJ2462" s="458">
        <v>0.13153628694562758</v>
      </c>
      <c r="BK2462" s="477">
        <v>95179707.926920086</v>
      </c>
      <c r="BL2462" s="458">
        <v>0.26894399220052612</v>
      </c>
      <c r="BM2462" s="468">
        <v>9.663806171360692</v>
      </c>
    </row>
    <row r="2463" spans="12:65" x14ac:dyDescent="0.3">
      <c r="L2463" s="427">
        <v>2647670.7510000002</v>
      </c>
      <c r="BE2463" s="477">
        <v>4583235.6386694554</v>
      </c>
      <c r="BF2463" s="458">
        <v>3.4360129474768186E-2</v>
      </c>
      <c r="BG2463" s="477">
        <v>16529297.801037937</v>
      </c>
      <c r="BH2463" s="458">
        <v>6.712311504932944E-2</v>
      </c>
      <c r="BI2463" s="477">
        <v>18010987.293193724</v>
      </c>
      <c r="BJ2463" s="458">
        <v>9.6618476699415146E-2</v>
      </c>
      <c r="BK2463" s="477">
        <v>101796416.37628999</v>
      </c>
      <c r="BL2463" s="458">
        <v>0.25722063614386292</v>
      </c>
      <c r="BM2463" s="468">
        <v>8.4324246776864076</v>
      </c>
    </row>
    <row r="2464" spans="12:65" x14ac:dyDescent="0.3">
      <c r="L2464" s="427">
        <v>23721711.741799999</v>
      </c>
      <c r="BE2464" s="477">
        <v>937962.74436194624</v>
      </c>
      <c r="BF2464" s="458">
        <v>3.8222158375724957E-2</v>
      </c>
      <c r="BG2464" s="477">
        <v>7209338.4799201768</v>
      </c>
      <c r="BH2464" s="458">
        <v>6.7149957757364875E-2</v>
      </c>
      <c r="BI2464" s="477">
        <v>23552902.699166086</v>
      </c>
      <c r="BJ2464" s="458">
        <v>0.12883403760960199</v>
      </c>
      <c r="BK2464" s="477">
        <v>84083418.353876904</v>
      </c>
      <c r="BL2464" s="458">
        <v>0.25200798440623284</v>
      </c>
      <c r="BM2464" s="468">
        <v>16.200072615309896</v>
      </c>
    </row>
    <row r="2465" spans="12:65" x14ac:dyDescent="0.3">
      <c r="L2465" s="427">
        <v>9834760.8823000006</v>
      </c>
      <c r="BE2465" s="477">
        <v>3410999.9488741485</v>
      </c>
      <c r="BF2465" s="458">
        <v>-1.0607599541200274E-3</v>
      </c>
      <c r="BG2465" s="477">
        <v>6621951.8440131722</v>
      </c>
      <c r="BH2465" s="458">
        <v>5.6803454104971784E-2</v>
      </c>
      <c r="BI2465" s="477">
        <v>16517540.262049805</v>
      </c>
      <c r="BJ2465" s="458">
        <v>0.12877764656752122</v>
      </c>
      <c r="BK2465" s="477">
        <v>93268638.704984099</v>
      </c>
      <c r="BL2465" s="458">
        <v>0.26931776159138865</v>
      </c>
      <c r="BM2465" s="468">
        <v>9.7703192418762015</v>
      </c>
    </row>
    <row r="2466" spans="12:65" x14ac:dyDescent="0.3">
      <c r="L2466" s="427">
        <v>3631372.5076000001</v>
      </c>
      <c r="BE2466" s="477">
        <v>8352349.2452339577</v>
      </c>
      <c r="BF2466" s="458">
        <v>3.347871919080192E-2</v>
      </c>
      <c r="BG2466" s="477">
        <v>6362761.3949300805</v>
      </c>
      <c r="BH2466" s="458">
        <v>8.0316341408904757E-2</v>
      </c>
      <c r="BI2466" s="477">
        <v>13431459.943866024</v>
      </c>
      <c r="BJ2466" s="458">
        <v>0.13007843886976134</v>
      </c>
      <c r="BK2466" s="477">
        <v>81663322.374171674</v>
      </c>
      <c r="BL2466" s="458">
        <v>0.27363330822747689</v>
      </c>
      <c r="BM2466" s="468">
        <v>8.623082145140371</v>
      </c>
    </row>
    <row r="2467" spans="12:65" x14ac:dyDescent="0.3">
      <c r="L2467" s="427">
        <v>-1459969.817</v>
      </c>
      <c r="BE2467" s="477">
        <v>5005039.7500848146</v>
      </c>
      <c r="BF2467" s="458">
        <v>4.809071512758889E-2</v>
      </c>
      <c r="BG2467" s="477">
        <v>6356595.6289722659</v>
      </c>
      <c r="BH2467" s="458">
        <v>5.8918658561591508E-2</v>
      </c>
      <c r="BI2467" s="477">
        <v>20920870.643391218</v>
      </c>
      <c r="BJ2467" s="458">
        <v>0.11759594090276182</v>
      </c>
      <c r="BK2467" s="477">
        <v>97867651.792381406</v>
      </c>
      <c r="BL2467" s="458">
        <v>0.27244826656836696</v>
      </c>
      <c r="BM2467" s="468">
        <v>8.4459168008423138</v>
      </c>
    </row>
    <row r="2468" spans="12:65" x14ac:dyDescent="0.3">
      <c r="L2468" s="427">
        <v>5442643.3653999995</v>
      </c>
      <c r="BE2468" s="477">
        <v>6654058.2555483459</v>
      </c>
      <c r="BF2468" s="458">
        <v>9.8590408844189348E-2</v>
      </c>
      <c r="BG2468" s="477">
        <v>13175510.831628624</v>
      </c>
      <c r="BH2468" s="458">
        <v>7.3085677048260633E-2</v>
      </c>
      <c r="BI2468" s="477">
        <v>14071603.656079926</v>
      </c>
      <c r="BJ2468" s="458">
        <v>0.11915701292718328</v>
      </c>
      <c r="BK2468" s="477">
        <v>98650619.004323438</v>
      </c>
      <c r="BL2468" s="458">
        <v>0.26999511268405785</v>
      </c>
      <c r="BM2468" s="468">
        <v>5.8286439268274517</v>
      </c>
    </row>
    <row r="2469" spans="12:65" x14ac:dyDescent="0.3">
      <c r="L2469" s="427">
        <v>1011322.8081</v>
      </c>
      <c r="BE2469" s="477">
        <v>7296106.2327443305</v>
      </c>
      <c r="BF2469" s="458">
        <v>6.6848921174804454E-2</v>
      </c>
      <c r="BG2469" s="477">
        <v>9309831.8268737625</v>
      </c>
      <c r="BH2469" s="458">
        <v>0.11946371179568605</v>
      </c>
      <c r="BI2469" s="477">
        <v>21454074.114426263</v>
      </c>
      <c r="BJ2469" s="458">
        <v>0.1173177018730831</v>
      </c>
      <c r="BK2469" s="477">
        <v>102511467.94219868</v>
      </c>
      <c r="BL2469" s="458">
        <v>0.26260086999559551</v>
      </c>
      <c r="BM2469" s="468">
        <v>8.5965994166252742</v>
      </c>
    </row>
    <row r="2470" spans="12:65" x14ac:dyDescent="0.3">
      <c r="L2470" s="427">
        <v>6950340.6925999997</v>
      </c>
      <c r="BE2470" s="477">
        <v>5389477.6230568374</v>
      </c>
      <c r="BF2470" s="458">
        <v>4.4586169690205013E-2</v>
      </c>
      <c r="BG2470" s="477">
        <v>6519704.9832261493</v>
      </c>
      <c r="BH2470" s="458">
        <v>9.3966940104113661E-2</v>
      </c>
      <c r="BI2470" s="477">
        <v>13103364.92045835</v>
      </c>
      <c r="BJ2470" s="458">
        <v>0.10847441869537211</v>
      </c>
      <c r="BK2470" s="477">
        <v>80336298.8621151</v>
      </c>
      <c r="BL2470" s="458">
        <v>0.26291421009464777</v>
      </c>
      <c r="BM2470" s="468">
        <v>16.268716982816997</v>
      </c>
    </row>
    <row r="2471" spans="12:65" x14ac:dyDescent="0.3">
      <c r="L2471" s="427">
        <v>16099834.7346</v>
      </c>
      <c r="BE2471" s="477">
        <v>2912883.1370256324</v>
      </c>
      <c r="BF2471" s="458">
        <v>2.2422077882752856E-2</v>
      </c>
      <c r="BG2471" s="477">
        <v>3527005.8871187423</v>
      </c>
      <c r="BH2471" s="458">
        <v>6.606243874017359E-2</v>
      </c>
      <c r="BI2471" s="477">
        <v>18979289.928276457</v>
      </c>
      <c r="BJ2471" s="458">
        <v>0.13031122294482245</v>
      </c>
      <c r="BK2471" s="477">
        <v>83220479.228086591</v>
      </c>
      <c r="BL2471" s="458">
        <v>0.28344374583893472</v>
      </c>
      <c r="BM2471" s="468">
        <v>7.4526147578436488</v>
      </c>
    </row>
    <row r="2472" spans="12:65" x14ac:dyDescent="0.3">
      <c r="L2472" s="427">
        <v>5026626.3949999996</v>
      </c>
      <c r="BE2472" s="477">
        <v>5231624.3030129541</v>
      </c>
      <c r="BF2472" s="458">
        <v>3.9494276931927086E-2</v>
      </c>
      <c r="BG2472" s="477">
        <v>6316407.8436614955</v>
      </c>
      <c r="BH2472" s="458">
        <v>7.3856652220346097E-2</v>
      </c>
      <c r="BI2472" s="477">
        <v>13604738.064294407</v>
      </c>
      <c r="BJ2472" s="458">
        <v>0.1136656211693674</v>
      </c>
      <c r="BK2472" s="477">
        <v>88024811.105686694</v>
      </c>
      <c r="BL2472" s="458">
        <v>0.29243333643725022</v>
      </c>
      <c r="BM2472" s="468">
        <v>5.7220558916755708</v>
      </c>
    </row>
    <row r="2473" spans="12:65" x14ac:dyDescent="0.3">
      <c r="L2473" s="427">
        <v>1299956.1527</v>
      </c>
      <c r="BE2473" s="477">
        <v>5254332.0731372489</v>
      </c>
      <c r="BF2473" s="458">
        <v>3.6851552638180074E-2</v>
      </c>
      <c r="BG2473" s="477">
        <v>3224035.7933743522</v>
      </c>
      <c r="BH2473" s="458">
        <v>5.8445183795513111E-2</v>
      </c>
      <c r="BI2473" s="477">
        <v>23593006.274609249</v>
      </c>
      <c r="BJ2473" s="458">
        <v>0.11830504612969395</v>
      </c>
      <c r="BK2473" s="477">
        <v>90563606.840801954</v>
      </c>
      <c r="BL2473" s="458">
        <v>0.28444042358863397</v>
      </c>
      <c r="BM2473" s="468">
        <v>7.0372130716382006</v>
      </c>
    </row>
    <row r="2474" spans="12:65" x14ac:dyDescent="0.3">
      <c r="L2474" s="427">
        <v>16356842.7903</v>
      </c>
      <c r="BE2474" s="477">
        <v>5625741.0980282892</v>
      </c>
      <c r="BF2474" s="458">
        <v>5.749978559369584E-2</v>
      </c>
      <c r="BG2474" s="477">
        <v>7347500.6893242607</v>
      </c>
      <c r="BH2474" s="458">
        <v>5.209825917611699E-2</v>
      </c>
      <c r="BI2474" s="477">
        <v>14020677.925728483</v>
      </c>
      <c r="BJ2474" s="458">
        <v>0.1035193567539745</v>
      </c>
      <c r="BK2474" s="477">
        <v>79634697.34964551</v>
      </c>
      <c r="BL2474" s="458">
        <v>0.26216044508476588</v>
      </c>
      <c r="BM2474" s="468">
        <v>4.329313594361297</v>
      </c>
    </row>
    <row r="2475" spans="12:65" x14ac:dyDescent="0.3">
      <c r="L2475" s="427">
        <v>16401331.8707</v>
      </c>
      <c r="BE2475" s="477">
        <v>7104524.5028741769</v>
      </c>
      <c r="BF2475" s="458">
        <v>3.3382277285449513E-2</v>
      </c>
      <c r="BG2475" s="477">
        <v>12821930.376913762</v>
      </c>
      <c r="BH2475" s="458">
        <v>3.8071882317988859E-2</v>
      </c>
      <c r="BI2475" s="477">
        <v>18409790.618905846</v>
      </c>
      <c r="BJ2475" s="458">
        <v>8.4801090272330404E-2</v>
      </c>
      <c r="BK2475" s="477">
        <v>76300093.399445623</v>
      </c>
      <c r="BL2475" s="458">
        <v>0.28413313757345704</v>
      </c>
      <c r="BM2475" s="468">
        <v>7.7432014000398617</v>
      </c>
    </row>
    <row r="2476" spans="12:65" x14ac:dyDescent="0.3">
      <c r="L2476" s="427">
        <v>7648592.4791000001</v>
      </c>
      <c r="BE2476" s="477">
        <v>6339227.3355655316</v>
      </c>
      <c r="BF2476" s="458">
        <v>5.048812294850169E-2</v>
      </c>
      <c r="BG2476" s="477">
        <v>12566810.966430491</v>
      </c>
      <c r="BH2476" s="458">
        <v>8.5632400437731349E-2</v>
      </c>
      <c r="BI2476" s="477">
        <v>14863106.731976692</v>
      </c>
      <c r="BJ2476" s="458">
        <v>0.10576454478930586</v>
      </c>
      <c r="BK2476" s="477">
        <v>97289739.682148084</v>
      </c>
      <c r="BL2476" s="458">
        <v>0.29315489175515008</v>
      </c>
      <c r="BM2476" s="468">
        <v>2.690473253376835</v>
      </c>
    </row>
    <row r="2477" spans="12:65" x14ac:dyDescent="0.3">
      <c r="L2477" s="427">
        <v>-2881988.3114</v>
      </c>
      <c r="BE2477" s="477">
        <v>5366317.1313686129</v>
      </c>
      <c r="BF2477" s="458">
        <v>5.5627535476829193E-2</v>
      </c>
      <c r="BG2477" s="477">
        <v>8341533.0000177892</v>
      </c>
      <c r="BH2477" s="458">
        <v>5.6526509739647235E-2</v>
      </c>
      <c r="BI2477" s="477">
        <v>9320631.1653078459</v>
      </c>
      <c r="BJ2477" s="458">
        <v>9.6656560397678559E-2</v>
      </c>
      <c r="BK2477" s="477">
        <v>93262662.604329109</v>
      </c>
      <c r="BL2477" s="458">
        <v>0.28266996884442186</v>
      </c>
      <c r="BM2477" s="468">
        <v>4.287209380239851</v>
      </c>
    </row>
    <row r="2478" spans="12:65" x14ac:dyDescent="0.3">
      <c r="L2478" s="427">
        <v>3866504.9389999998</v>
      </c>
      <c r="BE2478" s="477">
        <v>4612885.0435811607</v>
      </c>
      <c r="BF2478" s="458">
        <v>2.9989659715347949E-2</v>
      </c>
      <c r="BG2478" s="477">
        <v>14608547.088222051</v>
      </c>
      <c r="BH2478" s="458">
        <v>7.9747438287614436E-2</v>
      </c>
      <c r="BI2478" s="477">
        <v>23222177.669968523</v>
      </c>
      <c r="BJ2478" s="458">
        <v>0.14216161692807749</v>
      </c>
      <c r="BK2478" s="477">
        <v>83403696.597323552</v>
      </c>
      <c r="BL2478" s="458">
        <v>0.27995754087198588</v>
      </c>
      <c r="BM2478" s="468">
        <v>8.9036193878577343</v>
      </c>
    </row>
    <row r="2479" spans="12:65" x14ac:dyDescent="0.3">
      <c r="L2479" s="427">
        <v>780566.25399999996</v>
      </c>
      <c r="BE2479" s="477">
        <v>6461112.6364187161</v>
      </c>
      <c r="BF2479" s="458">
        <v>3.8774069218380447E-2</v>
      </c>
      <c r="BG2479" s="477">
        <v>12579568.506362604</v>
      </c>
      <c r="BH2479" s="458">
        <v>5.3024038767185422E-2</v>
      </c>
      <c r="BI2479" s="477">
        <v>12106727.240229776</v>
      </c>
      <c r="BJ2479" s="458">
        <v>9.9229955962186311E-2</v>
      </c>
      <c r="BK2479" s="477">
        <v>87086685.252561331</v>
      </c>
      <c r="BL2479" s="458">
        <v>0.26057155914617613</v>
      </c>
      <c r="BM2479" s="468">
        <v>11.040254872698929</v>
      </c>
    </row>
    <row r="2480" spans="12:65" x14ac:dyDescent="0.3">
      <c r="L2480" s="427">
        <v>7979604.9073999999</v>
      </c>
      <c r="BE2480" s="477">
        <v>5580492.4853329975</v>
      </c>
      <c r="BF2480" s="458">
        <v>2.6623604869240092E-2</v>
      </c>
      <c r="BG2480" s="477">
        <v>9063103.5616875384</v>
      </c>
      <c r="BH2480" s="458">
        <v>7.0524599541910815E-2</v>
      </c>
      <c r="BI2480" s="477">
        <v>14799207.283546591</v>
      </c>
      <c r="BJ2480" s="458">
        <v>0.11748405368562698</v>
      </c>
      <c r="BK2480" s="477">
        <v>96376654.192240566</v>
      </c>
      <c r="BL2480" s="458">
        <v>0.27929998066106498</v>
      </c>
      <c r="BM2480" s="468">
        <v>11.557641531351877</v>
      </c>
    </row>
    <row r="2481" spans="12:65" x14ac:dyDescent="0.3">
      <c r="L2481" s="427">
        <v>17080117.1239</v>
      </c>
      <c r="BE2481" s="477">
        <v>3117464.8275533924</v>
      </c>
      <c r="BF2481" s="458">
        <v>2.9052526745860785E-2</v>
      </c>
      <c r="BG2481" s="477">
        <v>8933844.9027626608</v>
      </c>
      <c r="BH2481" s="458">
        <v>7.6960977569924482E-2</v>
      </c>
      <c r="BI2481" s="477">
        <v>21030653.288089804</v>
      </c>
      <c r="BJ2481" s="458">
        <v>0.11229311411366827</v>
      </c>
      <c r="BK2481" s="477">
        <v>98880954.684722185</v>
      </c>
      <c r="BL2481" s="458">
        <v>0.27302547483364537</v>
      </c>
      <c r="BM2481" s="468">
        <v>3.4631008188736843</v>
      </c>
    </row>
    <row r="2482" spans="12:65" x14ac:dyDescent="0.3">
      <c r="L2482" s="427">
        <v>19904409.217599999</v>
      </c>
      <c r="BE2482" s="477">
        <v>8864651.6060452014</v>
      </c>
      <c r="BF2482" s="458">
        <v>1.4944098722728949E-2</v>
      </c>
      <c r="BG2482" s="477">
        <v>16536440.817539463</v>
      </c>
      <c r="BH2482" s="458">
        <v>7.949084627996128E-2</v>
      </c>
      <c r="BI2482" s="477">
        <v>19542510.273717672</v>
      </c>
      <c r="BJ2482" s="458">
        <v>0.11985646110962578</v>
      </c>
      <c r="BK2482" s="477">
        <v>87080413.205535039</v>
      </c>
      <c r="BL2482" s="458">
        <v>0.26556115649012946</v>
      </c>
      <c r="BM2482" s="468">
        <v>7.2701265363867478</v>
      </c>
    </row>
    <row r="2483" spans="12:65" x14ac:dyDescent="0.3">
      <c r="L2483" s="427">
        <v>15859235.748600001</v>
      </c>
      <c r="BE2483" s="477">
        <v>3811475.1819825904</v>
      </c>
      <c r="BF2483" s="458">
        <v>2.6740294647693785E-2</v>
      </c>
      <c r="BG2483" s="477">
        <v>5625031.6091557397</v>
      </c>
      <c r="BH2483" s="458">
        <v>8.0498266212829073E-2</v>
      </c>
      <c r="BI2483" s="477">
        <v>12991895.749208888</v>
      </c>
      <c r="BJ2483" s="458">
        <v>0.10704026614864737</v>
      </c>
      <c r="BK2483" s="477">
        <v>82581378.821179569</v>
      </c>
      <c r="BL2483" s="458">
        <v>0.26201371870851831</v>
      </c>
      <c r="BM2483" s="468">
        <v>6.5626175043989008</v>
      </c>
    </row>
    <row r="2484" spans="12:65" x14ac:dyDescent="0.3">
      <c r="L2484" s="427">
        <v>3665530.7127999999</v>
      </c>
      <c r="BE2484" s="477">
        <v>8128503.0014395947</v>
      </c>
      <c r="BF2484" s="458">
        <v>3.3772451260287939E-2</v>
      </c>
      <c r="BG2484" s="477">
        <v>9650743.9509940743</v>
      </c>
      <c r="BH2484" s="458">
        <v>7.6569190704723011E-2</v>
      </c>
      <c r="BI2484" s="477">
        <v>19629427.285638157</v>
      </c>
      <c r="BJ2484" s="458">
        <v>0.12250118222451833</v>
      </c>
      <c r="BK2484" s="477">
        <v>100665162.19333243</v>
      </c>
      <c r="BL2484" s="458">
        <v>0.27310042963077419</v>
      </c>
      <c r="BM2484" s="468">
        <v>3.3452953950497832</v>
      </c>
    </row>
    <row r="2485" spans="12:65" x14ac:dyDescent="0.3">
      <c r="L2485" s="427">
        <v>-3610591.3596000001</v>
      </c>
      <c r="BE2485" s="477">
        <v>4960153.461881768</v>
      </c>
      <c r="BF2485" s="458">
        <v>5.0447425813298752E-2</v>
      </c>
      <c r="BG2485" s="477">
        <v>10256066.44843401</v>
      </c>
      <c r="BH2485" s="458">
        <v>9.0395781634072137E-2</v>
      </c>
      <c r="BI2485" s="477">
        <v>16533224.748749113</v>
      </c>
      <c r="BJ2485" s="458">
        <v>9.4831618609108936E-2</v>
      </c>
      <c r="BK2485" s="477">
        <v>98183423.451341674</v>
      </c>
      <c r="BL2485" s="458">
        <v>0.25940048692596451</v>
      </c>
      <c r="BM2485" s="468">
        <v>13.047752588500042</v>
      </c>
    </row>
    <row r="2486" spans="12:65" x14ac:dyDescent="0.3">
      <c r="L2486" s="427">
        <v>3854421.5205999999</v>
      </c>
      <c r="BE2486" s="477">
        <v>-1508985.7204172937</v>
      </c>
      <c r="BF2486" s="458">
        <v>3.708843485788238E-2</v>
      </c>
      <c r="BG2486" s="477">
        <v>9041053.8057246748</v>
      </c>
      <c r="BH2486" s="458">
        <v>7.3494699956424547E-2</v>
      </c>
      <c r="BI2486" s="477">
        <v>11471893.493751872</v>
      </c>
      <c r="BJ2486" s="458">
        <v>0.11611002164556616</v>
      </c>
      <c r="BK2486" s="477">
        <v>77233959.317726225</v>
      </c>
      <c r="BL2486" s="458">
        <v>0.28019610077333823</v>
      </c>
      <c r="BM2486" s="468">
        <v>9.7988702520619295</v>
      </c>
    </row>
    <row r="2487" spans="12:65" x14ac:dyDescent="0.3">
      <c r="L2487" s="427">
        <v>10365026.557800001</v>
      </c>
      <c r="BE2487" s="477">
        <v>6565617.3842768939</v>
      </c>
      <c r="BF2487" s="458">
        <v>4.4650319100182578E-2</v>
      </c>
      <c r="BG2487" s="477">
        <v>9993035.2435776293</v>
      </c>
      <c r="BH2487" s="458">
        <v>4.0096185794342709E-2</v>
      </c>
      <c r="BI2487" s="477">
        <v>23048672.133713063</v>
      </c>
      <c r="BJ2487" s="458">
        <v>0.10964254360907355</v>
      </c>
      <c r="BK2487" s="477">
        <v>95044682.797726616</v>
      </c>
      <c r="BL2487" s="458">
        <v>0.26073072213162241</v>
      </c>
      <c r="BM2487" s="468">
        <v>6.5906316578498378</v>
      </c>
    </row>
    <row r="2488" spans="12:65" x14ac:dyDescent="0.3">
      <c r="L2488" s="427">
        <v>9872015.0200999994</v>
      </c>
      <c r="BE2488" s="477">
        <v>3646011.894295211</v>
      </c>
      <c r="BF2488" s="458">
        <v>5.1694003971551439E-2</v>
      </c>
      <c r="BG2488" s="477">
        <v>12543192.833574193</v>
      </c>
      <c r="BH2488" s="458">
        <v>6.4833729006507301E-2</v>
      </c>
      <c r="BI2488" s="477">
        <v>9843212.8077744357</v>
      </c>
      <c r="BJ2488" s="458">
        <v>0.10037680031282337</v>
      </c>
      <c r="BK2488" s="477">
        <v>90196285.22780779</v>
      </c>
      <c r="BL2488" s="458">
        <v>0.28176408800223673</v>
      </c>
      <c r="BM2488" s="468">
        <v>13.049306567713252</v>
      </c>
    </row>
    <row r="2489" spans="12:65" x14ac:dyDescent="0.3">
      <c r="L2489" s="427">
        <v>7979807.6824000003</v>
      </c>
      <c r="BE2489" s="477">
        <v>4798917.0525630722</v>
      </c>
      <c r="BF2489" s="458">
        <v>3.6180644354917968E-2</v>
      </c>
      <c r="BG2489" s="477">
        <v>6836544.3889391152</v>
      </c>
      <c r="BH2489" s="458">
        <v>7.1568449113260213E-2</v>
      </c>
      <c r="BI2489" s="477">
        <v>21384007.781004138</v>
      </c>
      <c r="BJ2489" s="458">
        <v>0.11197454360197145</v>
      </c>
      <c r="BK2489" s="477">
        <v>101092047.04600477</v>
      </c>
      <c r="BL2489" s="458">
        <v>0.31351685531012419</v>
      </c>
      <c r="BM2489" s="468">
        <v>7.6099128779675311</v>
      </c>
    </row>
    <row r="2490" spans="12:65" x14ac:dyDescent="0.3">
      <c r="L2490" s="427">
        <v>9174619.8136999998</v>
      </c>
      <c r="BE2490" s="477">
        <v>5674926.0202579675</v>
      </c>
      <c r="BF2490" s="458">
        <v>2.4627741589939411E-2</v>
      </c>
      <c r="BG2490" s="477">
        <v>4484856.5653959857</v>
      </c>
      <c r="BH2490" s="458">
        <v>5.0031697451842216E-2</v>
      </c>
      <c r="BI2490" s="477">
        <v>13469719.41309185</v>
      </c>
      <c r="BJ2490" s="458">
        <v>0.1313363265640739</v>
      </c>
      <c r="BK2490" s="477">
        <v>85417512.755361527</v>
      </c>
      <c r="BL2490" s="458">
        <v>0.2868412474456421</v>
      </c>
      <c r="BM2490" s="468">
        <v>0.78170794298834068</v>
      </c>
    </row>
    <row r="2491" spans="12:65" x14ac:dyDescent="0.3">
      <c r="L2491" s="427">
        <v>7552485.3902000003</v>
      </c>
      <c r="BE2491" s="477">
        <v>5009471.9207513547</v>
      </c>
      <c r="BF2491" s="458">
        <v>4.9929738981520533E-2</v>
      </c>
      <c r="BG2491" s="477">
        <v>8388890.6319785397</v>
      </c>
      <c r="BH2491" s="458">
        <v>5.7579640403208288E-2</v>
      </c>
      <c r="BI2491" s="477">
        <v>18706891.605096042</v>
      </c>
      <c r="BJ2491" s="458">
        <v>9.7521769305012551E-2</v>
      </c>
      <c r="BK2491" s="477">
        <v>98620439.539512694</v>
      </c>
      <c r="BL2491" s="458">
        <v>0.25818506565784327</v>
      </c>
      <c r="BM2491" s="468">
        <v>9.7829343070968253</v>
      </c>
    </row>
    <row r="2492" spans="12:65" x14ac:dyDescent="0.3">
      <c r="L2492" s="427">
        <v>20081819.619600002</v>
      </c>
      <c r="BE2492" s="477">
        <v>3253349.6900430378</v>
      </c>
      <c r="BF2492" s="458">
        <v>5.4530511566694972E-2</v>
      </c>
      <c r="BG2492" s="477">
        <v>3236030.6508439505</v>
      </c>
      <c r="BH2492" s="458">
        <v>6.7132769155122229E-2</v>
      </c>
      <c r="BI2492" s="477">
        <v>6251316.9632724514</v>
      </c>
      <c r="BJ2492" s="458">
        <v>0.11485133484182941</v>
      </c>
      <c r="BK2492" s="477">
        <v>88684303.770498499</v>
      </c>
      <c r="BL2492" s="458">
        <v>0.28288753825322854</v>
      </c>
      <c r="BM2492" s="468">
        <v>6.0894512890292258</v>
      </c>
    </row>
    <row r="2493" spans="12:65" x14ac:dyDescent="0.3">
      <c r="L2493" s="427">
        <v>15702819.7509</v>
      </c>
      <c r="BE2493" s="477">
        <v>9281436.7656808756</v>
      </c>
      <c r="BF2493" s="458">
        <v>1.2419416417305706E-2</v>
      </c>
      <c r="BG2493" s="477">
        <v>13262209.463010505</v>
      </c>
      <c r="BH2493" s="458">
        <v>7.0313944664929684E-2</v>
      </c>
      <c r="BI2493" s="477">
        <v>18933710.717481818</v>
      </c>
      <c r="BJ2493" s="458">
        <v>0.12141752521840954</v>
      </c>
      <c r="BK2493" s="477">
        <v>87064779.458198488</v>
      </c>
      <c r="BL2493" s="458">
        <v>0.2571038554179661</v>
      </c>
      <c r="BM2493" s="468">
        <v>12.197813668206695</v>
      </c>
    </row>
    <row r="2494" spans="12:65" x14ac:dyDescent="0.3">
      <c r="L2494" s="427">
        <v>-5016009.5377000002</v>
      </c>
      <c r="BE2494" s="477">
        <v>1157318.5527416754</v>
      </c>
      <c r="BF2494" s="458">
        <v>3.4063075307457558E-2</v>
      </c>
      <c r="BG2494" s="477">
        <v>5971869.9705176773</v>
      </c>
      <c r="BH2494" s="458">
        <v>9.2380870910202972E-2</v>
      </c>
      <c r="BI2494" s="477">
        <v>12042662.733503979</v>
      </c>
      <c r="BJ2494" s="458">
        <v>9.771551616388785E-2</v>
      </c>
      <c r="BK2494" s="477">
        <v>81227249.876266584</v>
      </c>
      <c r="BL2494" s="458">
        <v>0.27444831736161768</v>
      </c>
      <c r="BM2494" s="468">
        <v>3.1947303083349761</v>
      </c>
    </row>
    <row r="2495" spans="12:65" x14ac:dyDescent="0.3">
      <c r="L2495" s="427">
        <v>-1210902.9304</v>
      </c>
      <c r="BE2495" s="477">
        <v>2716626.7238812246</v>
      </c>
      <c r="BF2495" s="458">
        <v>4.2478310036842659E-2</v>
      </c>
      <c r="BG2495" s="477">
        <v>9867940.1700511593</v>
      </c>
      <c r="BH2495" s="458">
        <v>5.6661699322995585E-2</v>
      </c>
      <c r="BI2495" s="477">
        <v>14736280.755251374</v>
      </c>
      <c r="BJ2495" s="458">
        <v>0.13331009584061859</v>
      </c>
      <c r="BK2495" s="477">
        <v>93942275.478137359</v>
      </c>
      <c r="BL2495" s="458">
        <v>0.2638585926104966</v>
      </c>
      <c r="BM2495" s="468">
        <v>9.2929999418796836</v>
      </c>
    </row>
    <row r="2496" spans="12:65" x14ac:dyDescent="0.3">
      <c r="L2496" s="427">
        <v>18405785.0167</v>
      </c>
      <c r="BE2496" s="477">
        <v>12514149.353498941</v>
      </c>
      <c r="BF2496" s="458">
        <v>4.0609262563692461E-2</v>
      </c>
      <c r="BG2496" s="477">
        <v>11495949.206296394</v>
      </c>
      <c r="BH2496" s="458">
        <v>6.5577127770332755E-2</v>
      </c>
      <c r="BI2496" s="477">
        <v>17752135.678959433</v>
      </c>
      <c r="BJ2496" s="458">
        <v>0.11275905856156077</v>
      </c>
      <c r="BK2496" s="477">
        <v>100903079.45848891</v>
      </c>
      <c r="BL2496" s="458">
        <v>0.29875877009144802</v>
      </c>
      <c r="BM2496" s="468">
        <v>9.5527326219611837</v>
      </c>
    </row>
    <row r="2497" spans="12:65" x14ac:dyDescent="0.3">
      <c r="L2497" s="427">
        <v>8920803.3117999993</v>
      </c>
      <c r="BE2497" s="477">
        <v>3635600.8173686229</v>
      </c>
      <c r="BF2497" s="458">
        <v>4.1082966152642619E-2</v>
      </c>
      <c r="BG2497" s="477">
        <v>13164483.573284842</v>
      </c>
      <c r="BH2497" s="458">
        <v>5.0118223979914722E-2</v>
      </c>
      <c r="BI2497" s="477">
        <v>7255392.1589415595</v>
      </c>
      <c r="BJ2497" s="458">
        <v>0.11458209305266376</v>
      </c>
      <c r="BK2497" s="477">
        <v>96665548.898092881</v>
      </c>
      <c r="BL2497" s="458">
        <v>0.25486720182294342</v>
      </c>
      <c r="BM2497" s="468">
        <v>15.747685774893364</v>
      </c>
    </row>
    <row r="2498" spans="12:65" x14ac:dyDescent="0.3">
      <c r="L2498" s="427">
        <v>3022698.0118999998</v>
      </c>
      <c r="BE2498" s="477">
        <v>5666636.5886170445</v>
      </c>
      <c r="BF2498" s="458">
        <v>4.1034435248617829E-2</v>
      </c>
      <c r="BG2498" s="477">
        <v>11751400.301325167</v>
      </c>
      <c r="BH2498" s="458">
        <v>7.6592974747941689E-2</v>
      </c>
      <c r="BI2498" s="477">
        <v>21409284.379370008</v>
      </c>
      <c r="BJ2498" s="458">
        <v>0.12752717973126604</v>
      </c>
      <c r="BK2498" s="477">
        <v>80364161.547222689</v>
      </c>
      <c r="BL2498" s="458">
        <v>0.27822883621171424</v>
      </c>
      <c r="BM2498" s="468">
        <v>3.7423203234418247</v>
      </c>
    </row>
    <row r="2499" spans="12:65" x14ac:dyDescent="0.3">
      <c r="L2499" s="427">
        <v>-12067052.361199999</v>
      </c>
      <c r="BE2499" s="477">
        <v>5614920.6415454131</v>
      </c>
      <c r="BF2499" s="458">
        <v>4.3073567208143704E-2</v>
      </c>
      <c r="BG2499" s="477">
        <v>5726599.2046177294</v>
      </c>
      <c r="BH2499" s="458">
        <v>6.8258953235515341E-2</v>
      </c>
      <c r="BI2499" s="477">
        <v>19824915.965043917</v>
      </c>
      <c r="BJ2499" s="458">
        <v>0.10031752113497006</v>
      </c>
      <c r="BK2499" s="477">
        <v>89481314.765656531</v>
      </c>
      <c r="BL2499" s="458">
        <v>0.25741145018502198</v>
      </c>
      <c r="BM2499" s="468">
        <v>1.0725377317750882</v>
      </c>
    </row>
    <row r="2500" spans="12:65" x14ac:dyDescent="0.3">
      <c r="L2500" s="427">
        <v>-3755482.9709999999</v>
      </c>
      <c r="BE2500" s="477">
        <v>8168543.7537952522</v>
      </c>
      <c r="BF2500" s="458">
        <v>6.9247939640125988E-2</v>
      </c>
      <c r="BG2500" s="477">
        <v>5151281.3647679249</v>
      </c>
      <c r="BH2500" s="458">
        <v>6.745503412764875E-2</v>
      </c>
      <c r="BI2500" s="477">
        <v>18062578.654981919</v>
      </c>
      <c r="BJ2500" s="458">
        <v>0.129213211509287</v>
      </c>
      <c r="BK2500" s="477">
        <v>89266490.341915652</v>
      </c>
      <c r="BL2500" s="458">
        <v>0.25575419113939213</v>
      </c>
      <c r="BM2500" s="468">
        <v>3.1097350190617883</v>
      </c>
    </row>
    <row r="2501" spans="12:65" x14ac:dyDescent="0.3">
      <c r="L2501" s="427">
        <v>20480424.968899999</v>
      </c>
      <c r="BE2501" s="477">
        <v>2084693.1651881372</v>
      </c>
      <c r="BF2501" s="458">
        <v>4.2562789401951129E-2</v>
      </c>
      <c r="BG2501" s="477">
        <v>18370004.219252285</v>
      </c>
      <c r="BH2501" s="458">
        <v>5.7081282806748401E-2</v>
      </c>
      <c r="BI2501" s="477">
        <v>3706322.1974718007</v>
      </c>
      <c r="BJ2501" s="458">
        <v>0.10247938706748583</v>
      </c>
      <c r="BK2501" s="477">
        <v>102557123.93373546</v>
      </c>
      <c r="BL2501" s="458">
        <v>0.27394767100023465</v>
      </c>
      <c r="BM2501" s="468">
        <v>5.2437258590276041</v>
      </c>
    </row>
    <row r="2502" spans="12:65" x14ac:dyDescent="0.3">
      <c r="L2502" s="427">
        <v>24763227.889899999</v>
      </c>
      <c r="BE2502" s="477">
        <v>9504219.6681275442</v>
      </c>
      <c r="BF2502" s="458">
        <v>5.2225924473666474E-2</v>
      </c>
      <c r="BG2502" s="477">
        <v>9175899.6128835455</v>
      </c>
      <c r="BH2502" s="458">
        <v>8.8611501923693714E-2</v>
      </c>
      <c r="BI2502" s="477">
        <v>16675130.501778914</v>
      </c>
      <c r="BJ2502" s="458">
        <v>0.10567899576715978</v>
      </c>
      <c r="BK2502" s="477">
        <v>93397430.415056556</v>
      </c>
      <c r="BL2502" s="458">
        <v>0.26834560708678934</v>
      </c>
      <c r="BM2502" s="468">
        <v>11.071769041305402</v>
      </c>
    </row>
    <row r="2503" spans="12:65" x14ac:dyDescent="0.3">
      <c r="L2503" s="427">
        <v>-1369390.0660999999</v>
      </c>
      <c r="BE2503" s="477">
        <v>6789124.4713613885</v>
      </c>
      <c r="BF2503" s="458">
        <v>7.1176206050121094E-2</v>
      </c>
      <c r="BG2503" s="477">
        <v>3244760.4125731634</v>
      </c>
      <c r="BH2503" s="458">
        <v>3.2623723742186694E-2</v>
      </c>
      <c r="BI2503" s="477">
        <v>15870511.029622382</v>
      </c>
      <c r="BJ2503" s="458">
        <v>0.10005141873312251</v>
      </c>
      <c r="BK2503" s="477">
        <v>81562115.217419162</v>
      </c>
      <c r="BL2503" s="458">
        <v>0.2712750645867843</v>
      </c>
      <c r="BM2503" s="468">
        <v>8.2940473202046441</v>
      </c>
    </row>
    <row r="2504" spans="12:65" x14ac:dyDescent="0.3">
      <c r="L2504" s="427">
        <v>12117281.117699999</v>
      </c>
      <c r="BE2504" s="477">
        <v>5649991.9069011044</v>
      </c>
      <c r="BF2504" s="458">
        <v>6.3527859585048141E-2</v>
      </c>
      <c r="BG2504" s="477">
        <v>9611121.3834654968</v>
      </c>
      <c r="BH2504" s="458">
        <v>5.947465166079291E-2</v>
      </c>
      <c r="BI2504" s="477">
        <v>17447786.961664937</v>
      </c>
      <c r="BJ2504" s="458">
        <v>0.10384191217201444</v>
      </c>
      <c r="BK2504" s="477">
        <v>102058832.58326781</v>
      </c>
      <c r="BL2504" s="458">
        <v>0.28116486514696959</v>
      </c>
      <c r="BM2504" s="468">
        <v>4.9161200890371548</v>
      </c>
    </row>
    <row r="2505" spans="12:65" x14ac:dyDescent="0.3">
      <c r="L2505" s="427">
        <v>23095203.051600002</v>
      </c>
      <c r="BE2505" s="477">
        <v>4023101.7727347636</v>
      </c>
      <c r="BF2505" s="458">
        <v>3.352709104499052E-2</v>
      </c>
      <c r="BG2505" s="477">
        <v>4617139.5376172522</v>
      </c>
      <c r="BH2505" s="458">
        <v>7.3321713454576942E-2</v>
      </c>
      <c r="BI2505" s="477">
        <v>15339566.579297971</v>
      </c>
      <c r="BJ2505" s="458">
        <v>0.13351339206699397</v>
      </c>
      <c r="BK2505" s="477">
        <v>91567976.887070179</v>
      </c>
      <c r="BL2505" s="458">
        <v>0.28025810198844647</v>
      </c>
      <c r="BM2505" s="468">
        <v>4.9651845075941932</v>
      </c>
    </row>
    <row r="2506" spans="12:65" x14ac:dyDescent="0.3">
      <c r="L2506" s="427">
        <v>-2800250.0055</v>
      </c>
      <c r="BE2506" s="477">
        <v>1112841.1105808618</v>
      </c>
      <c r="BF2506" s="458">
        <v>4.3859582110404638E-2</v>
      </c>
      <c r="BG2506" s="477">
        <v>10804539.926487446</v>
      </c>
      <c r="BH2506" s="458">
        <v>5.7310280396481117E-2</v>
      </c>
      <c r="BI2506" s="477">
        <v>16539050.098641273</v>
      </c>
      <c r="BJ2506" s="458">
        <v>9.6183836578487947E-2</v>
      </c>
      <c r="BK2506" s="477">
        <v>106393488.56686705</v>
      </c>
      <c r="BL2506" s="458">
        <v>0.29010576790842979</v>
      </c>
      <c r="BM2506" s="468">
        <v>9.0242481707735536</v>
      </c>
    </row>
    <row r="2507" spans="12:65" x14ac:dyDescent="0.3">
      <c r="L2507" s="427">
        <v>4377341.4293</v>
      </c>
      <c r="BE2507" s="477">
        <v>7003471.0542401001</v>
      </c>
      <c r="BF2507" s="458">
        <v>3.7679938766837617E-2</v>
      </c>
      <c r="BG2507" s="477">
        <v>14440774.758351808</v>
      </c>
      <c r="BH2507" s="458">
        <v>7.8371765919095893E-2</v>
      </c>
      <c r="BI2507" s="477">
        <v>10650183.821134539</v>
      </c>
      <c r="BJ2507" s="458">
        <v>0.13707984486322045</v>
      </c>
      <c r="BK2507" s="477">
        <v>82687921.486760288</v>
      </c>
      <c r="BL2507" s="458">
        <v>0.26054585590671864</v>
      </c>
      <c r="BM2507" s="468">
        <v>1.6264121426908993</v>
      </c>
    </row>
    <row r="2508" spans="12:65" x14ac:dyDescent="0.3">
      <c r="L2508" s="427">
        <v>-4586642.9435999999</v>
      </c>
      <c r="BE2508" s="477">
        <v>1522486.733207287</v>
      </c>
      <c r="BF2508" s="458">
        <v>6.0831639615549049E-2</v>
      </c>
      <c r="BG2508" s="477">
        <v>8689027.7642555442</v>
      </c>
      <c r="BH2508" s="458">
        <v>9.4899010486705793E-2</v>
      </c>
      <c r="BI2508" s="477">
        <v>14099183.48331433</v>
      </c>
      <c r="BJ2508" s="458">
        <v>0.10225955372206341</v>
      </c>
      <c r="BK2508" s="477">
        <v>95904052.988018841</v>
      </c>
      <c r="BL2508" s="458">
        <v>0.28369870190032365</v>
      </c>
      <c r="BM2508" s="468">
        <v>4.1140611998884582</v>
      </c>
    </row>
    <row r="2509" spans="12:65" x14ac:dyDescent="0.3">
      <c r="L2509" s="427">
        <v>5074857.0009000003</v>
      </c>
      <c r="BE2509" s="477">
        <v>6579375.2807815764</v>
      </c>
      <c r="BF2509" s="458">
        <v>4.0375222764615026E-2</v>
      </c>
      <c r="BG2509" s="477">
        <v>3142007.0793290599</v>
      </c>
      <c r="BH2509" s="458">
        <v>5.0881039503297698E-2</v>
      </c>
      <c r="BI2509" s="477">
        <v>4021337.3081233692</v>
      </c>
      <c r="BJ2509" s="458">
        <v>0.10651761291097328</v>
      </c>
      <c r="BK2509" s="477">
        <v>77535101.571288556</v>
      </c>
      <c r="BL2509" s="458">
        <v>0.25206284399402867</v>
      </c>
      <c r="BM2509" s="468">
        <v>9.5051188527766701</v>
      </c>
    </row>
    <row r="2510" spans="12:65" x14ac:dyDescent="0.3">
      <c r="L2510" s="427">
        <v>3195291.5803999999</v>
      </c>
      <c r="BE2510" s="477">
        <v>5761869.5185626373</v>
      </c>
      <c r="BF2510" s="458">
        <v>4.692959911536243E-2</v>
      </c>
      <c r="BG2510" s="477">
        <v>11891791.383911435</v>
      </c>
      <c r="BH2510" s="458">
        <v>8.8607147892412641E-2</v>
      </c>
      <c r="BI2510" s="477">
        <v>15536775.574358609</v>
      </c>
      <c r="BJ2510" s="458">
        <v>0.1305978217169852</v>
      </c>
      <c r="BK2510" s="477">
        <v>74197223.973767608</v>
      </c>
      <c r="BL2510" s="458">
        <v>0.2805945729572823</v>
      </c>
      <c r="BM2510" s="468">
        <v>10.718737057864017</v>
      </c>
    </row>
    <row r="2511" spans="12:65" x14ac:dyDescent="0.3">
      <c r="L2511" s="427">
        <v>16126920.348200001</v>
      </c>
      <c r="BE2511" s="477">
        <v>1596047.0388123731</v>
      </c>
      <c r="BF2511" s="458">
        <v>8.2313608160052398E-2</v>
      </c>
      <c r="BG2511" s="477">
        <v>13920201.530328264</v>
      </c>
      <c r="BH2511" s="458">
        <v>7.2009378406293401E-2</v>
      </c>
      <c r="BI2511" s="477">
        <v>26089283.783059917</v>
      </c>
      <c r="BJ2511" s="458">
        <v>8.339095199247315E-2</v>
      </c>
      <c r="BK2511" s="477">
        <v>84306871.307932839</v>
      </c>
      <c r="BL2511" s="458">
        <v>0.26002214452751793</v>
      </c>
      <c r="BM2511" s="468">
        <v>5.5622493329401559</v>
      </c>
    </row>
    <row r="2512" spans="12:65" x14ac:dyDescent="0.3">
      <c r="L2512" s="427">
        <v>31428579.166900001</v>
      </c>
      <c r="BE2512" s="477">
        <v>8717220.8316804152</v>
      </c>
      <c r="BF2512" s="458">
        <v>4.8675290095634871E-2</v>
      </c>
      <c r="BG2512" s="477">
        <v>4842133.2543982109</v>
      </c>
      <c r="BH2512" s="458">
        <v>7.078688705942171E-2</v>
      </c>
      <c r="BI2512" s="477">
        <v>12904296.244518647</v>
      </c>
      <c r="BJ2512" s="458">
        <v>0.12443762089730126</v>
      </c>
      <c r="BK2512" s="477">
        <v>90735144.956901819</v>
      </c>
      <c r="BL2512" s="458">
        <v>0.27369692465247897</v>
      </c>
      <c r="BM2512" s="468">
        <v>7.8068398719056837</v>
      </c>
    </row>
    <row r="2513" spans="12:65" x14ac:dyDescent="0.3">
      <c r="L2513" s="427">
        <v>20336657.110300001</v>
      </c>
      <c r="BE2513" s="477">
        <v>6766206.5116253607</v>
      </c>
      <c r="BF2513" s="458">
        <v>3.0099320751015624E-2</v>
      </c>
      <c r="BG2513" s="477">
        <v>5978377.8691092115</v>
      </c>
      <c r="BH2513" s="458">
        <v>5.7823968121092584E-2</v>
      </c>
      <c r="BI2513" s="477">
        <v>10207446.215384007</v>
      </c>
      <c r="BJ2513" s="458">
        <v>0.10275748570622301</v>
      </c>
      <c r="BK2513" s="477">
        <v>84524252.875521407</v>
      </c>
      <c r="BL2513" s="458">
        <v>0.2825828776333037</v>
      </c>
      <c r="BM2513" s="468">
        <v>3.7818679212683026</v>
      </c>
    </row>
    <row r="2514" spans="12:65" x14ac:dyDescent="0.3">
      <c r="L2514" s="427">
        <v>558977.39410000003</v>
      </c>
      <c r="BE2514" s="477">
        <v>6749215.1564570805</v>
      </c>
      <c r="BF2514" s="458">
        <v>5.576794442053612E-2</v>
      </c>
      <c r="BG2514" s="477">
        <v>10745819.367560595</v>
      </c>
      <c r="BH2514" s="458">
        <v>2.7763620003179446E-2</v>
      </c>
      <c r="BI2514" s="477">
        <v>15867450.826780176</v>
      </c>
      <c r="BJ2514" s="458">
        <v>0.11711614738279907</v>
      </c>
      <c r="BK2514" s="477">
        <v>94521971.493146896</v>
      </c>
      <c r="BL2514" s="458">
        <v>0.24784766017186866</v>
      </c>
      <c r="BM2514" s="468">
        <v>4.8624843691856752</v>
      </c>
    </row>
    <row r="2515" spans="12:65" x14ac:dyDescent="0.3">
      <c r="L2515" s="427">
        <v>8881621.9253000002</v>
      </c>
      <c r="BE2515" s="477">
        <v>6148802.4479382969</v>
      </c>
      <c r="BF2515" s="458">
        <v>3.2799168670670342E-2</v>
      </c>
      <c r="BG2515" s="477">
        <v>6549727.6271715369</v>
      </c>
      <c r="BH2515" s="458">
        <v>4.3263759420753667E-2</v>
      </c>
      <c r="BI2515" s="477">
        <v>15581128.548121203</v>
      </c>
      <c r="BJ2515" s="458">
        <v>0.12090112053855684</v>
      </c>
      <c r="BK2515" s="477">
        <v>86465499.819238722</v>
      </c>
      <c r="BL2515" s="458">
        <v>0.25868075708572325</v>
      </c>
      <c r="BM2515" s="468">
        <v>4.7699580879104388</v>
      </c>
    </row>
    <row r="2516" spans="12:65" x14ac:dyDescent="0.3">
      <c r="L2516" s="427">
        <v>6067615.1168</v>
      </c>
      <c r="BE2516" s="477">
        <v>2105928.8503206698</v>
      </c>
      <c r="BF2516" s="458">
        <v>3.4786082127346907E-2</v>
      </c>
      <c r="BG2516" s="477">
        <v>10495005.187744802</v>
      </c>
      <c r="BH2516" s="458">
        <v>6.426397198583067E-2</v>
      </c>
      <c r="BI2516" s="477">
        <v>19151582.117065597</v>
      </c>
      <c r="BJ2516" s="458">
        <v>0.10968504929846312</v>
      </c>
      <c r="BK2516" s="477">
        <v>98016412.740596697</v>
      </c>
      <c r="BL2516" s="458">
        <v>0.27326723014746279</v>
      </c>
      <c r="BM2516" s="468">
        <v>10.764490442054413</v>
      </c>
    </row>
    <row r="2517" spans="12:65" x14ac:dyDescent="0.3">
      <c r="L2517" s="427">
        <v>1781975.9424999999</v>
      </c>
      <c r="BE2517" s="477">
        <v>11173946.72541246</v>
      </c>
      <c r="BF2517" s="458">
        <v>4.2240180241570169E-2</v>
      </c>
      <c r="BG2517" s="477">
        <v>3580425.3873230936</v>
      </c>
      <c r="BH2517" s="458">
        <v>6.8113765346807575E-2</v>
      </c>
      <c r="BI2517" s="477">
        <v>19584387.595856294</v>
      </c>
      <c r="BJ2517" s="458">
        <v>9.6477119028598013E-2</v>
      </c>
      <c r="BK2517" s="477">
        <v>94334668.631746978</v>
      </c>
      <c r="BL2517" s="458">
        <v>0.27110306085625413</v>
      </c>
      <c r="BM2517" s="468">
        <v>3.3384166041698009</v>
      </c>
    </row>
    <row r="2518" spans="12:65" x14ac:dyDescent="0.3">
      <c r="L2518" s="427">
        <v>-2734426.1457000002</v>
      </c>
      <c r="BE2518" s="477">
        <v>2110145.4258452379</v>
      </c>
      <c r="BF2518" s="458">
        <v>4.0663547536796463E-2</v>
      </c>
      <c r="BG2518" s="477">
        <v>13624779.790340716</v>
      </c>
      <c r="BH2518" s="458">
        <v>4.6564296742396483E-2</v>
      </c>
      <c r="BI2518" s="477">
        <v>9995107.3907837644</v>
      </c>
      <c r="BJ2518" s="458">
        <v>8.2950759629773829E-2</v>
      </c>
      <c r="BK2518" s="477">
        <v>83464668.465891987</v>
      </c>
      <c r="BL2518" s="458">
        <v>0.26137197444096927</v>
      </c>
      <c r="BM2518" s="468">
        <v>4.4717273202496957</v>
      </c>
    </row>
    <row r="2519" spans="12:65" x14ac:dyDescent="0.3">
      <c r="L2519" s="427">
        <v>-2557266.3065999998</v>
      </c>
      <c r="BE2519" s="477">
        <v>3043360.5536965369</v>
      </c>
      <c r="BF2519" s="458">
        <v>3.4230627131421665E-2</v>
      </c>
      <c r="BG2519" s="477">
        <v>9316097.5070258845</v>
      </c>
      <c r="BH2519" s="458">
        <v>3.7621089675029751E-2</v>
      </c>
      <c r="BI2519" s="477">
        <v>16831439.248095836</v>
      </c>
      <c r="BJ2519" s="458">
        <v>9.9945559343482371E-2</v>
      </c>
      <c r="BK2519" s="477">
        <v>88127251.193694323</v>
      </c>
      <c r="BL2519" s="458">
        <v>0.29255618987601228</v>
      </c>
      <c r="BM2519" s="468">
        <v>8.1352651477140974</v>
      </c>
    </row>
    <row r="2520" spans="12:65" x14ac:dyDescent="0.3">
      <c r="L2520" s="427">
        <v>2449200.9336000001</v>
      </c>
      <c r="BE2520" s="477">
        <v>5476360.9546608366</v>
      </c>
      <c r="BF2520" s="458">
        <v>3.6356527040168896E-2</v>
      </c>
      <c r="BG2520" s="477">
        <v>6713531.650084951</v>
      </c>
      <c r="BH2520" s="458">
        <v>6.812837058861354E-2</v>
      </c>
      <c r="BI2520" s="477">
        <v>22651866.563706089</v>
      </c>
      <c r="BJ2520" s="458">
        <v>0.10580183881360949</v>
      </c>
      <c r="BK2520" s="477">
        <v>92435738.562794909</v>
      </c>
      <c r="BL2520" s="458">
        <v>0.2521314693419916</v>
      </c>
      <c r="BM2520" s="468">
        <v>9.4737804019095968</v>
      </c>
    </row>
    <row r="2521" spans="12:65" x14ac:dyDescent="0.3">
      <c r="L2521" s="427">
        <v>6910058.5292999996</v>
      </c>
      <c r="BE2521" s="477">
        <v>2894662.104224741</v>
      </c>
      <c r="BF2521" s="458">
        <v>3.3822516657298962E-2</v>
      </c>
      <c r="BG2521" s="477">
        <v>8573922.3930754606</v>
      </c>
      <c r="BH2521" s="458">
        <v>7.6801333024576035E-2</v>
      </c>
      <c r="BI2521" s="477">
        <v>19398246.988844231</v>
      </c>
      <c r="BJ2521" s="458">
        <v>0.10719013744238648</v>
      </c>
      <c r="BK2521" s="477">
        <v>92731152.654042751</v>
      </c>
      <c r="BL2521" s="458">
        <v>0.26255708052875981</v>
      </c>
      <c r="BM2521" s="468">
        <v>2.2316899940925117</v>
      </c>
    </row>
    <row r="2522" spans="12:65" x14ac:dyDescent="0.3">
      <c r="L2522" s="427">
        <v>-4189527.6115000001</v>
      </c>
      <c r="BE2522" s="477">
        <v>8885801.7827460431</v>
      </c>
      <c r="BF2522" s="458">
        <v>2.1674381030819978E-2</v>
      </c>
      <c r="BG2522" s="477">
        <v>8430075.2248413488</v>
      </c>
      <c r="BH2522" s="458">
        <v>4.9222797049809142E-2</v>
      </c>
      <c r="BI2522" s="477">
        <v>14788295.894760646</v>
      </c>
      <c r="BJ2522" s="458">
        <v>0.11306994192975073</v>
      </c>
      <c r="BK2522" s="477">
        <v>95736216.096419737</v>
      </c>
      <c r="BL2522" s="458">
        <v>0.27108816271520175</v>
      </c>
      <c r="BM2522" s="468">
        <v>1.7261226733183506</v>
      </c>
    </row>
    <row r="2523" spans="12:65" x14ac:dyDescent="0.3">
      <c r="L2523" s="427">
        <v>4789480.1996999998</v>
      </c>
      <c r="BE2523" s="477">
        <v>7532508.8622605223</v>
      </c>
      <c r="BF2523" s="458">
        <v>8.342449400291585E-2</v>
      </c>
      <c r="BG2523" s="477">
        <v>6587731.7185681015</v>
      </c>
      <c r="BH2523" s="458">
        <v>4.9249276174443413E-2</v>
      </c>
      <c r="BI2523" s="477">
        <v>12225595.514795398</v>
      </c>
      <c r="BJ2523" s="458">
        <v>0.1050671192884276</v>
      </c>
      <c r="BK2523" s="477">
        <v>95838801.646847814</v>
      </c>
      <c r="BL2523" s="458">
        <v>0.25576306773172597</v>
      </c>
      <c r="BM2523" s="468">
        <v>3.8025919839853062</v>
      </c>
    </row>
    <row r="2524" spans="12:65" x14ac:dyDescent="0.3">
      <c r="L2524" s="427">
        <v>-3057210.7574</v>
      </c>
      <c r="BE2524" s="477">
        <v>4489779.0585407214</v>
      </c>
      <c r="BF2524" s="458">
        <v>2.7842300846504964E-2</v>
      </c>
      <c r="BG2524" s="477">
        <v>11440490.011397317</v>
      </c>
      <c r="BH2524" s="458">
        <v>5.9663674477079098E-2</v>
      </c>
      <c r="BI2524" s="477">
        <v>17006404.654203616</v>
      </c>
      <c r="BJ2524" s="458">
        <v>9.2104310686113688E-2</v>
      </c>
      <c r="BK2524" s="477">
        <v>85327448.984419376</v>
      </c>
      <c r="BL2524" s="458">
        <v>0.2532820169094312</v>
      </c>
      <c r="BM2524" s="468">
        <v>5.9401163839704836</v>
      </c>
    </row>
    <row r="2525" spans="12:65" x14ac:dyDescent="0.3">
      <c r="L2525" s="427">
        <v>8797429.7546999995</v>
      </c>
      <c r="BE2525" s="477">
        <v>7653637.2695445986</v>
      </c>
      <c r="BF2525" s="458">
        <v>5.0763540119030948E-2</v>
      </c>
      <c r="BG2525" s="477">
        <v>9514335.6951459162</v>
      </c>
      <c r="BH2525" s="458">
        <v>5.6339392572652525E-2</v>
      </c>
      <c r="BI2525" s="477">
        <v>19534146.363501258</v>
      </c>
      <c r="BJ2525" s="458">
        <v>9.4225274790830982E-2</v>
      </c>
      <c r="BK2525" s="477">
        <v>98252221.421267197</v>
      </c>
      <c r="BL2525" s="458">
        <v>0.2487693106263924</v>
      </c>
      <c r="BM2525" s="468">
        <v>10.475782852248621</v>
      </c>
    </row>
    <row r="2526" spans="12:65" x14ac:dyDescent="0.3">
      <c r="L2526" s="427">
        <v>25768195.450399999</v>
      </c>
      <c r="BE2526" s="477">
        <v>4512434.8683676971</v>
      </c>
      <c r="BF2526" s="458">
        <v>4.1959866403739943E-2</v>
      </c>
      <c r="BG2526" s="477">
        <v>2835881.0989670721</v>
      </c>
      <c r="BH2526" s="458">
        <v>6.8392426458938838E-2</v>
      </c>
      <c r="BI2526" s="477">
        <v>18317948.114421934</v>
      </c>
      <c r="BJ2526" s="458">
        <v>0.13267100024351075</v>
      </c>
      <c r="BK2526" s="477">
        <v>93712134.009315133</v>
      </c>
      <c r="BL2526" s="458">
        <v>0.26569847167370986</v>
      </c>
      <c r="BM2526" s="468">
        <v>2.9817735427934799</v>
      </c>
    </row>
    <row r="2527" spans="12:65" x14ac:dyDescent="0.3">
      <c r="L2527" s="427">
        <v>-920297.05079999997</v>
      </c>
      <c r="BE2527" s="477">
        <v>3965988.4621115867</v>
      </c>
      <c r="BF2527" s="458">
        <v>3.9889718516361805E-2</v>
      </c>
      <c r="BG2527" s="477">
        <v>5770234.276755495</v>
      </c>
      <c r="BH2527" s="458">
        <v>6.3763102530283833E-2</v>
      </c>
      <c r="BI2527" s="477">
        <v>21851088.643825162</v>
      </c>
      <c r="BJ2527" s="458">
        <v>9.1897147790635181E-2</v>
      </c>
      <c r="BK2527" s="477">
        <v>102282778.04767957</v>
      </c>
      <c r="BL2527" s="458">
        <v>0.25734215838767893</v>
      </c>
      <c r="BM2527" s="468">
        <v>5.1110709643925585</v>
      </c>
    </row>
    <row r="2528" spans="12:65" x14ac:dyDescent="0.3">
      <c r="L2528" s="427">
        <v>12427379.855</v>
      </c>
      <c r="BE2528" s="477">
        <v>5550383.6301942999</v>
      </c>
      <c r="BF2528" s="458">
        <v>4.8482603617389097E-2</v>
      </c>
      <c r="BG2528" s="477">
        <v>6715687.2150941798</v>
      </c>
      <c r="BH2528" s="458">
        <v>5.2627439195563008E-2</v>
      </c>
      <c r="BI2528" s="477">
        <v>20407165.336728182</v>
      </c>
      <c r="BJ2528" s="458">
        <v>0.13224112435090341</v>
      </c>
      <c r="BK2528" s="477">
        <v>82438663.64945966</v>
      </c>
      <c r="BL2528" s="458">
        <v>0.28738139416701669</v>
      </c>
      <c r="BM2528" s="468">
        <v>13.916783536468667</v>
      </c>
    </row>
    <row r="2529" spans="12:65" x14ac:dyDescent="0.3">
      <c r="L2529" s="427">
        <v>4824756.4160000002</v>
      </c>
      <c r="BE2529" s="477">
        <v>8454528.690187417</v>
      </c>
      <c r="BF2529" s="458">
        <v>3.0000722889227172E-2</v>
      </c>
      <c r="BG2529" s="477">
        <v>4565754.549348074</v>
      </c>
      <c r="BH2529" s="458">
        <v>6.261466163496765E-2</v>
      </c>
      <c r="BI2529" s="477">
        <v>23818685.108031426</v>
      </c>
      <c r="BJ2529" s="458">
        <v>0.12439329546392286</v>
      </c>
      <c r="BK2529" s="477">
        <v>87170544.0037525</v>
      </c>
      <c r="BL2529" s="458">
        <v>0.26100345190969554</v>
      </c>
      <c r="BM2529" s="468">
        <v>8.7831315152904192</v>
      </c>
    </row>
    <row r="2530" spans="12:65" x14ac:dyDescent="0.3">
      <c r="L2530" s="427">
        <v>13007073.058</v>
      </c>
      <c r="BE2530" s="477">
        <v>6251756.208923283</v>
      </c>
      <c r="BF2530" s="458">
        <v>5.2414306779889008E-2</v>
      </c>
      <c r="BG2530" s="477">
        <v>7016469.288680044</v>
      </c>
      <c r="BH2530" s="458">
        <v>4.8583812914934743E-2</v>
      </c>
      <c r="BI2530" s="477">
        <v>19855406.317128751</v>
      </c>
      <c r="BJ2530" s="458">
        <v>0.10546050852507638</v>
      </c>
      <c r="BK2530" s="477">
        <v>89941036.91758652</v>
      </c>
      <c r="BL2530" s="458">
        <v>0.26611993565284187</v>
      </c>
      <c r="BM2530" s="468">
        <v>7.9371222758513751</v>
      </c>
    </row>
    <row r="2531" spans="12:65" x14ac:dyDescent="0.3">
      <c r="L2531" s="427">
        <v>13134965.937799999</v>
      </c>
      <c r="BE2531" s="477">
        <v>6744327.9574691691</v>
      </c>
      <c r="BF2531" s="458">
        <v>9.8817856974986462E-3</v>
      </c>
      <c r="BG2531" s="477">
        <v>3446448.7424850464</v>
      </c>
      <c r="BH2531" s="458">
        <v>4.4250839846616152E-2</v>
      </c>
      <c r="BI2531" s="477">
        <v>11276275.692963708</v>
      </c>
      <c r="BJ2531" s="458">
        <v>0.13705219072666952</v>
      </c>
      <c r="BK2531" s="477">
        <v>92884609.091408774</v>
      </c>
      <c r="BL2531" s="458">
        <v>0.26250698380303539</v>
      </c>
      <c r="BM2531" s="468">
        <v>4.6725335132555319</v>
      </c>
    </row>
    <row r="2532" spans="12:65" x14ac:dyDescent="0.3">
      <c r="L2532" s="427">
        <v>5426221.3738000002</v>
      </c>
      <c r="BE2532" s="477">
        <v>9197341.9243125431</v>
      </c>
      <c r="BF2532" s="458">
        <v>5.4808749016464153E-2</v>
      </c>
      <c r="BG2532" s="477">
        <v>5433401.0977036282</v>
      </c>
      <c r="BH2532" s="458">
        <v>9.7078996976290854E-2</v>
      </c>
      <c r="BI2532" s="477">
        <v>14158980.968301829</v>
      </c>
      <c r="BJ2532" s="458">
        <v>0.12325361886189024</v>
      </c>
      <c r="BK2532" s="477">
        <v>99931301.623041004</v>
      </c>
      <c r="BL2532" s="458">
        <v>0.26121100835710953</v>
      </c>
      <c r="BM2532" s="468">
        <v>7.9563933387162731</v>
      </c>
    </row>
    <row r="2533" spans="12:65" x14ac:dyDescent="0.3">
      <c r="L2533" s="427">
        <v>15103953.6405</v>
      </c>
      <c r="BE2533" s="477">
        <v>4163624.9364667698</v>
      </c>
      <c r="BF2533" s="458">
        <v>2.603621873780515E-2</v>
      </c>
      <c r="BG2533" s="477">
        <v>11224955.288918942</v>
      </c>
      <c r="BH2533" s="458">
        <v>6.1312583500675366E-2</v>
      </c>
      <c r="BI2533" s="477">
        <v>12030117.011753401</v>
      </c>
      <c r="BJ2533" s="458">
        <v>0.10004222163450049</v>
      </c>
      <c r="BK2533" s="477">
        <v>108426056.89600761</v>
      </c>
      <c r="BL2533" s="458">
        <v>0.26154325084760965</v>
      </c>
      <c r="BM2533" s="468">
        <v>9.0782202822821283</v>
      </c>
    </row>
    <row r="2534" spans="12:65" x14ac:dyDescent="0.3">
      <c r="L2534" s="427">
        <v>-371265.19079999998</v>
      </c>
      <c r="BE2534" s="477">
        <v>5369623.2484813463</v>
      </c>
      <c r="BF2534" s="458">
        <v>5.019928046825517E-2</v>
      </c>
      <c r="BG2534" s="477">
        <v>11846436.963438313</v>
      </c>
      <c r="BH2534" s="458">
        <v>6.4016414860638582E-2</v>
      </c>
      <c r="BI2534" s="477">
        <v>15749744.46109191</v>
      </c>
      <c r="BJ2534" s="458">
        <v>0.10746646719087072</v>
      </c>
      <c r="BK2534" s="477">
        <v>89459779.534185126</v>
      </c>
      <c r="BL2534" s="458">
        <v>0.26494710018947742</v>
      </c>
      <c r="BM2534" s="468">
        <v>9.5180121319884634</v>
      </c>
    </row>
    <row r="2535" spans="12:65" x14ac:dyDescent="0.3">
      <c r="L2535" s="427">
        <v>10816115.9826</v>
      </c>
      <c r="BE2535" s="477">
        <v>5583296.4456206728</v>
      </c>
      <c r="BF2535" s="458">
        <v>5.9461765414295042E-2</v>
      </c>
      <c r="BG2535" s="477">
        <v>9400339.7796808518</v>
      </c>
      <c r="BH2535" s="458">
        <v>5.5856489821148214E-2</v>
      </c>
      <c r="BI2535" s="477">
        <v>10415431.913510393</v>
      </c>
      <c r="BJ2535" s="458">
        <v>0.10167701169392673</v>
      </c>
      <c r="BK2535" s="477">
        <v>79552512.90859668</v>
      </c>
      <c r="BL2535" s="458">
        <v>0.26730058900359266</v>
      </c>
      <c r="BM2535" s="468">
        <v>5.1115992536954256</v>
      </c>
    </row>
    <row r="2536" spans="12:65" x14ac:dyDescent="0.3">
      <c r="L2536" s="427">
        <v>14636718.9465</v>
      </c>
      <c r="BE2536" s="477">
        <v>5759456.0472764475</v>
      </c>
      <c r="BF2536" s="458">
        <v>2.5866884489817998E-2</v>
      </c>
      <c r="BG2536" s="477">
        <v>14043803.488282975</v>
      </c>
      <c r="BH2536" s="458">
        <v>5.3456680293544778E-2</v>
      </c>
      <c r="BI2536" s="477">
        <v>21394792.070060037</v>
      </c>
      <c r="BJ2536" s="458">
        <v>0.11094041667236798</v>
      </c>
      <c r="BK2536" s="477">
        <v>87083386.110739231</v>
      </c>
      <c r="BL2536" s="458">
        <v>0.26067705015764298</v>
      </c>
      <c r="BM2536" s="468">
        <v>17.268147865536989</v>
      </c>
    </row>
    <row r="2537" spans="12:65" x14ac:dyDescent="0.3">
      <c r="L2537" s="427">
        <v>10032449.431399999</v>
      </c>
      <c r="BE2537" s="477">
        <v>4201136.5799461901</v>
      </c>
      <c r="BF2537" s="458">
        <v>4.1920794704885855E-2</v>
      </c>
      <c r="BG2537" s="477">
        <v>10974242.542298295</v>
      </c>
      <c r="BH2537" s="458">
        <v>7.7096375020593966E-2</v>
      </c>
      <c r="BI2537" s="477">
        <v>22358715.881119225</v>
      </c>
      <c r="BJ2537" s="458">
        <v>0.13531801521619191</v>
      </c>
      <c r="BK2537" s="477">
        <v>97056769.462591052</v>
      </c>
      <c r="BL2537" s="458">
        <v>0.25489907459999439</v>
      </c>
      <c r="BM2537" s="468">
        <v>0.62611147313166349</v>
      </c>
    </row>
    <row r="2538" spans="12:65" x14ac:dyDescent="0.3">
      <c r="L2538" s="427">
        <v>9240799.6250999998</v>
      </c>
      <c r="BE2538" s="477">
        <v>-778234.39580322779</v>
      </c>
      <c r="BF2538" s="458">
        <v>4.7440528387059366E-2</v>
      </c>
      <c r="BG2538" s="477">
        <v>2409666.1598465438</v>
      </c>
      <c r="BH2538" s="458">
        <v>2.7253855818486716E-2</v>
      </c>
      <c r="BI2538" s="477">
        <v>17086593.411176872</v>
      </c>
      <c r="BJ2538" s="458">
        <v>0.14500271649855878</v>
      </c>
      <c r="BK2538" s="477">
        <v>102366432.91150281</v>
      </c>
      <c r="BL2538" s="458">
        <v>0.25416482334693713</v>
      </c>
      <c r="BM2538" s="468">
        <v>3.8229996564289754</v>
      </c>
    </row>
    <row r="2539" spans="12:65" x14ac:dyDescent="0.3">
      <c r="L2539" s="427">
        <v>26873906.103799999</v>
      </c>
      <c r="BE2539" s="477">
        <v>8178177.1011280417</v>
      </c>
      <c r="BF2539" s="458">
        <v>3.6667691817080517E-2</v>
      </c>
      <c r="BG2539" s="477">
        <v>1749878.0257933117</v>
      </c>
      <c r="BH2539" s="458">
        <v>5.4894680333375634E-2</v>
      </c>
      <c r="BI2539" s="477">
        <v>16027968.525313525</v>
      </c>
      <c r="BJ2539" s="458">
        <v>8.3534107896934273E-2</v>
      </c>
      <c r="BK2539" s="477">
        <v>90067017.173451334</v>
      </c>
      <c r="BL2539" s="458">
        <v>0.28307526944402817</v>
      </c>
      <c r="BM2539" s="468">
        <v>6.8727915151863055</v>
      </c>
    </row>
    <row r="2540" spans="12:65" x14ac:dyDescent="0.3">
      <c r="L2540" s="427">
        <v>14390552.4628</v>
      </c>
      <c r="BE2540" s="477">
        <v>3928744.4369590799</v>
      </c>
      <c r="BF2540" s="458">
        <v>2.4837796568827786E-2</v>
      </c>
      <c r="BG2540" s="477">
        <v>10358350.078475632</v>
      </c>
      <c r="BH2540" s="458">
        <v>3.8079864208098613E-2</v>
      </c>
      <c r="BI2540" s="477">
        <v>21490424.741515253</v>
      </c>
      <c r="BJ2540" s="458">
        <v>0.10293341381697663</v>
      </c>
      <c r="BK2540" s="477">
        <v>88645036.138112694</v>
      </c>
      <c r="BL2540" s="458">
        <v>0.27025321161026761</v>
      </c>
      <c r="BM2540" s="468">
        <v>7.7865395201614662</v>
      </c>
    </row>
    <row r="2541" spans="12:65" x14ac:dyDescent="0.3">
      <c r="L2541" s="427">
        <v>3641272.2414000002</v>
      </c>
      <c r="BE2541" s="477">
        <v>4552255.4602346653</v>
      </c>
      <c r="BF2541" s="458">
        <v>2.5768621765309252E-2</v>
      </c>
      <c r="BG2541" s="477">
        <v>8428670.4888290986</v>
      </c>
      <c r="BH2541" s="458">
        <v>2.41705680383133E-2</v>
      </c>
      <c r="BI2541" s="477">
        <v>5645963.4461303065</v>
      </c>
      <c r="BJ2541" s="458">
        <v>0.12350157965924158</v>
      </c>
      <c r="BK2541" s="477">
        <v>78852741.529764593</v>
      </c>
      <c r="BL2541" s="458">
        <v>0.26263844700055161</v>
      </c>
      <c r="BM2541" s="468">
        <v>15.588557754881148</v>
      </c>
    </row>
    <row r="2542" spans="12:65" x14ac:dyDescent="0.3">
      <c r="L2542" s="427">
        <v>7285397.8965999996</v>
      </c>
      <c r="BE2542" s="477">
        <v>5805609.2472342383</v>
      </c>
      <c r="BF2542" s="458">
        <v>3.1741134722756081E-2</v>
      </c>
      <c r="BG2542" s="477">
        <v>7788435.7722980687</v>
      </c>
      <c r="BH2542" s="458">
        <v>6.9870375518692907E-2</v>
      </c>
      <c r="BI2542" s="477">
        <v>13450887.523098228</v>
      </c>
      <c r="BJ2542" s="458">
        <v>0.1162074606996466</v>
      </c>
      <c r="BK2542" s="477">
        <v>80180479.575615078</v>
      </c>
      <c r="BL2542" s="458">
        <v>0.25259142447144689</v>
      </c>
      <c r="BM2542" s="468">
        <v>11.41673143674681</v>
      </c>
    </row>
    <row r="2543" spans="12:65" x14ac:dyDescent="0.3">
      <c r="L2543" s="427">
        <v>3285630.5424000002</v>
      </c>
      <c r="BE2543" s="477">
        <v>1756244.5324591044</v>
      </c>
      <c r="BF2543" s="458">
        <v>3.1324616070989686E-2</v>
      </c>
      <c r="BG2543" s="477">
        <v>8644456.9233255628</v>
      </c>
      <c r="BH2543" s="458">
        <v>9.5206979558333904E-2</v>
      </c>
      <c r="BI2543" s="477">
        <v>13587985.823909057</v>
      </c>
      <c r="BJ2543" s="458">
        <v>9.7174746276250668E-2</v>
      </c>
      <c r="BK2543" s="477">
        <v>89805121.647253394</v>
      </c>
      <c r="BL2543" s="458">
        <v>0.27566608520890146</v>
      </c>
      <c r="BM2543" s="468">
        <v>-2.3111319701729265</v>
      </c>
    </row>
    <row r="2544" spans="12:65" x14ac:dyDescent="0.3">
      <c r="L2544" s="427">
        <v>1564584.3855999999</v>
      </c>
      <c r="BE2544" s="477">
        <v>7138634.6464634826</v>
      </c>
      <c r="BF2544" s="458">
        <v>2.8612942463421609E-2</v>
      </c>
      <c r="BG2544" s="477">
        <v>6035755.7534570089</v>
      </c>
      <c r="BH2544" s="458">
        <v>5.7926917984495452E-2</v>
      </c>
      <c r="BI2544" s="477">
        <v>14216778.42371696</v>
      </c>
      <c r="BJ2544" s="458">
        <v>0.10254507772316312</v>
      </c>
      <c r="BK2544" s="477">
        <v>103789446.03537782</v>
      </c>
      <c r="BL2544" s="458">
        <v>0.27172250763305072</v>
      </c>
      <c r="BM2544" s="468">
        <v>12.255998095188898</v>
      </c>
    </row>
    <row r="2545" spans="12:65" x14ac:dyDescent="0.3">
      <c r="L2545" s="427">
        <v>20458274.715300001</v>
      </c>
      <c r="BE2545" s="477">
        <v>7076892.0432814918</v>
      </c>
      <c r="BF2545" s="458">
        <v>1.1698857672957086E-2</v>
      </c>
      <c r="BG2545" s="477">
        <v>5784385.693046404</v>
      </c>
      <c r="BH2545" s="458">
        <v>7.4786698205316915E-2</v>
      </c>
      <c r="BI2545" s="477">
        <v>15469207.343199769</v>
      </c>
      <c r="BJ2545" s="458">
        <v>0.10925324806488801</v>
      </c>
      <c r="BK2545" s="477">
        <v>83475792.338053614</v>
      </c>
      <c r="BL2545" s="458">
        <v>0.26599480343794002</v>
      </c>
      <c r="BM2545" s="468">
        <v>2.0127457906400501</v>
      </c>
    </row>
    <row r="2546" spans="12:65" x14ac:dyDescent="0.3">
      <c r="L2546" s="427">
        <v>14382554.8741</v>
      </c>
      <c r="BE2546" s="477">
        <v>4563421.6091616238</v>
      </c>
      <c r="BF2546" s="458">
        <v>3.4391217493930482E-2</v>
      </c>
      <c r="BG2546" s="477">
        <v>8764308.3103819061</v>
      </c>
      <c r="BH2546" s="458">
        <v>2.5318984203493766E-2</v>
      </c>
      <c r="BI2546" s="477">
        <v>15965817.103508703</v>
      </c>
      <c r="BJ2546" s="458">
        <v>8.6902491208866506E-2</v>
      </c>
      <c r="BK2546" s="477">
        <v>98869464.34831576</v>
      </c>
      <c r="BL2546" s="458">
        <v>0.26482551054110282</v>
      </c>
      <c r="BM2546" s="468">
        <v>4.4582979232169908</v>
      </c>
    </row>
    <row r="2547" spans="12:65" x14ac:dyDescent="0.3">
      <c r="L2547" s="427">
        <v>7074497.0416000001</v>
      </c>
      <c r="BE2547" s="477">
        <v>5995629.9588709883</v>
      </c>
      <c r="BF2547" s="458">
        <v>4.5148065849149432E-2</v>
      </c>
      <c r="BG2547" s="477">
        <v>9714394.4688609969</v>
      </c>
      <c r="BH2547" s="458">
        <v>6.7268368888596664E-2</v>
      </c>
      <c r="BI2547" s="477">
        <v>23931511.685361143</v>
      </c>
      <c r="BJ2547" s="458">
        <v>0.11230964108191621</v>
      </c>
      <c r="BK2547" s="477">
        <v>88320284.374710843</v>
      </c>
      <c r="BL2547" s="458">
        <v>0.27656582981617794</v>
      </c>
      <c r="BM2547" s="468">
        <v>6.6615499180408193</v>
      </c>
    </row>
    <row r="2548" spans="12:65" x14ac:dyDescent="0.3">
      <c r="L2548" s="427">
        <v>13963843.0648</v>
      </c>
      <c r="BE2548" s="477">
        <v>3953278.4662089124</v>
      </c>
      <c r="BF2548" s="458">
        <v>1.9824044074719049E-2</v>
      </c>
      <c r="BG2548" s="477">
        <v>6319612.3201755229</v>
      </c>
      <c r="BH2548" s="458">
        <v>6.7211621617284223E-2</v>
      </c>
      <c r="BI2548" s="477">
        <v>14200538.604363276</v>
      </c>
      <c r="BJ2548" s="458">
        <v>0.12508391340648739</v>
      </c>
      <c r="BK2548" s="477">
        <v>71938575.278564766</v>
      </c>
      <c r="BL2548" s="458">
        <v>0.26736324993480465</v>
      </c>
      <c r="BM2548" s="468">
        <v>16.521370509233677</v>
      </c>
    </row>
    <row r="2549" spans="12:65" x14ac:dyDescent="0.3">
      <c r="L2549" s="427">
        <v>5928072.7696000002</v>
      </c>
      <c r="BE2549" s="477">
        <v>10925959.10801713</v>
      </c>
      <c r="BF2549" s="458">
        <v>3.1822257254300546E-2</v>
      </c>
      <c r="BG2549" s="477">
        <v>10871238.869145783</v>
      </c>
      <c r="BH2549" s="458">
        <v>9.8188818914839882E-2</v>
      </c>
      <c r="BI2549" s="477">
        <v>19112839.790280599</v>
      </c>
      <c r="BJ2549" s="458">
        <v>0.10635925951462877</v>
      </c>
      <c r="BK2549" s="477">
        <v>84071442.819575846</v>
      </c>
      <c r="BL2549" s="458">
        <v>0.26741918945753773</v>
      </c>
      <c r="BM2549" s="468">
        <v>6.9335961553831096</v>
      </c>
    </row>
    <row r="2550" spans="12:65" x14ac:dyDescent="0.3">
      <c r="L2550" s="427">
        <v>300413.36719999998</v>
      </c>
      <c r="BE2550" s="477">
        <v>4888838.6440162733</v>
      </c>
      <c r="BF2550" s="458">
        <v>2.2943445248401639E-2</v>
      </c>
      <c r="BG2550" s="477">
        <v>15629320.608745199</v>
      </c>
      <c r="BH2550" s="458">
        <v>5.0972613629891805E-2</v>
      </c>
      <c r="BI2550" s="477">
        <v>8317400.6486585494</v>
      </c>
      <c r="BJ2550" s="458">
        <v>7.5664189077118804E-2</v>
      </c>
      <c r="BK2550" s="477">
        <v>81723419.783976063</v>
      </c>
      <c r="BL2550" s="458">
        <v>0.26711770905531362</v>
      </c>
      <c r="BM2550" s="468">
        <v>9.4079048592238266</v>
      </c>
    </row>
    <row r="2551" spans="12:65" x14ac:dyDescent="0.3">
      <c r="L2551" s="427">
        <v>-1009672.3426</v>
      </c>
      <c r="BE2551" s="477">
        <v>4030693.5130239208</v>
      </c>
      <c r="BF2551" s="458">
        <v>4.3859506291474171E-2</v>
      </c>
      <c r="BG2551" s="477">
        <v>12632761.133287583</v>
      </c>
      <c r="BH2551" s="458">
        <v>3.7738026492706966E-2</v>
      </c>
      <c r="BI2551" s="477">
        <v>14142503.118121512</v>
      </c>
      <c r="BJ2551" s="458">
        <v>0.13515351319269908</v>
      </c>
      <c r="BK2551" s="477">
        <v>94742243.761260182</v>
      </c>
      <c r="BL2551" s="458">
        <v>0.29133128664002994</v>
      </c>
      <c r="BM2551" s="468">
        <v>11.12333661804948</v>
      </c>
    </row>
    <row r="2552" spans="12:65" x14ac:dyDescent="0.3">
      <c r="L2552" s="427">
        <v>18023775.334600002</v>
      </c>
      <c r="BE2552" s="477">
        <v>5262856.4753704239</v>
      </c>
      <c r="BF2552" s="458">
        <v>6.0155082488982492E-2</v>
      </c>
      <c r="BG2552" s="477">
        <v>7491340.067851034</v>
      </c>
      <c r="BH2552" s="458">
        <v>7.2950853738857235E-2</v>
      </c>
      <c r="BI2552" s="477">
        <v>28723159.674710628</v>
      </c>
      <c r="BJ2552" s="458">
        <v>0.12449269582820466</v>
      </c>
      <c r="BK2552" s="477">
        <v>97203398.004008189</v>
      </c>
      <c r="BL2552" s="458">
        <v>0.25324626630536029</v>
      </c>
      <c r="BM2552" s="468">
        <v>3.1931051296037909</v>
      </c>
    </row>
    <row r="2553" spans="12:65" x14ac:dyDescent="0.3">
      <c r="L2553" s="427">
        <v>-1299620.7930000001</v>
      </c>
      <c r="BE2553" s="477">
        <v>12519192.067908941</v>
      </c>
      <c r="BF2553" s="458">
        <v>3.9136984239602768E-2</v>
      </c>
      <c r="BG2553" s="477">
        <v>7088906.5354776205</v>
      </c>
      <c r="BH2553" s="458">
        <v>8.3420584309126022E-2</v>
      </c>
      <c r="BI2553" s="477">
        <v>10395150.444816304</v>
      </c>
      <c r="BJ2553" s="458">
        <v>9.962042996449183E-2</v>
      </c>
      <c r="BK2553" s="477">
        <v>75610779.664011315</v>
      </c>
      <c r="BL2553" s="458">
        <v>0.25924073421242322</v>
      </c>
      <c r="BM2553" s="468">
        <v>6.3126667902707441</v>
      </c>
    </row>
    <row r="2554" spans="12:65" x14ac:dyDescent="0.3">
      <c r="L2554" s="427">
        <v>16361879.156500001</v>
      </c>
      <c r="BE2554" s="477">
        <v>8498629.3582835887</v>
      </c>
      <c r="BF2554" s="458">
        <v>3.9972092830235173E-2</v>
      </c>
      <c r="BG2554" s="477">
        <v>4840422.3636300052</v>
      </c>
      <c r="BH2554" s="458">
        <v>5.8174772739680192E-2</v>
      </c>
      <c r="BI2554" s="477">
        <v>22100908.208186034</v>
      </c>
      <c r="BJ2554" s="458">
        <v>0.10217170765329198</v>
      </c>
      <c r="BK2554" s="477">
        <v>92249065.573938146</v>
      </c>
      <c r="BL2554" s="458">
        <v>0.27657134440670927</v>
      </c>
      <c r="BM2554" s="468">
        <v>8.4965538902848632</v>
      </c>
    </row>
    <row r="2555" spans="12:65" x14ac:dyDescent="0.3">
      <c r="L2555" s="427">
        <v>22894387.893399999</v>
      </c>
      <c r="BE2555" s="477">
        <v>8744014.3758162726</v>
      </c>
      <c r="BF2555" s="458">
        <v>3.8825445413812831E-2</v>
      </c>
      <c r="BG2555" s="477">
        <v>8802216.038780909</v>
      </c>
      <c r="BH2555" s="458">
        <v>5.9280575398174218E-2</v>
      </c>
      <c r="BI2555" s="477">
        <v>13378241.591769177</v>
      </c>
      <c r="BJ2555" s="458">
        <v>0.11785848900454732</v>
      </c>
      <c r="BK2555" s="477">
        <v>95900348.429684043</v>
      </c>
      <c r="BL2555" s="458">
        <v>0.26708236321893253</v>
      </c>
      <c r="BM2555" s="468">
        <v>8.939410655111681</v>
      </c>
    </row>
    <row r="2556" spans="12:65" x14ac:dyDescent="0.3">
      <c r="L2556" s="427">
        <v>524154.4351</v>
      </c>
      <c r="BE2556" s="477">
        <v>7410494.1488799555</v>
      </c>
      <c r="BF2556" s="458">
        <v>3.8498935677699464E-2</v>
      </c>
      <c r="BG2556" s="477">
        <v>9724746.3093705326</v>
      </c>
      <c r="BH2556" s="458">
        <v>4.0679288788052492E-2</v>
      </c>
      <c r="BI2556" s="477">
        <v>23353472.517712548</v>
      </c>
      <c r="BJ2556" s="458">
        <v>0.13486445897772548</v>
      </c>
      <c r="BK2556" s="477">
        <v>82757639.172056258</v>
      </c>
      <c r="BL2556" s="458">
        <v>0.26587562602549331</v>
      </c>
      <c r="BM2556" s="468">
        <v>5.3129817097290237</v>
      </c>
    </row>
    <row r="2557" spans="12:65" x14ac:dyDescent="0.3">
      <c r="L2557" s="427">
        <v>2033027.8968</v>
      </c>
      <c r="BE2557" s="477">
        <v>10057544.121607615</v>
      </c>
      <c r="BF2557" s="458">
        <v>4.9361824036829427E-2</v>
      </c>
      <c r="BG2557" s="477">
        <v>6729531.3360033566</v>
      </c>
      <c r="BH2557" s="458">
        <v>7.9899450498630786E-2</v>
      </c>
      <c r="BI2557" s="477">
        <v>23104559.18013262</v>
      </c>
      <c r="BJ2557" s="458">
        <v>0.10236474229039905</v>
      </c>
      <c r="BK2557" s="477">
        <v>94143756.101346865</v>
      </c>
      <c r="BL2557" s="458">
        <v>0.28692038944255294</v>
      </c>
      <c r="BM2557" s="468">
        <v>1.8910547099097617</v>
      </c>
    </row>
    <row r="2558" spans="12:65" x14ac:dyDescent="0.3">
      <c r="L2558" s="427">
        <v>-429139.4852</v>
      </c>
      <c r="BE2558" s="477">
        <v>7469354.4901958732</v>
      </c>
      <c r="BF2558" s="458">
        <v>1.6664799569234612E-2</v>
      </c>
      <c r="BG2558" s="477">
        <v>7600065.6006186893</v>
      </c>
      <c r="BH2558" s="458">
        <v>7.7668379991525205E-2</v>
      </c>
      <c r="BI2558" s="477">
        <v>15087274.708463196</v>
      </c>
      <c r="BJ2558" s="458">
        <v>0.11406521404509062</v>
      </c>
      <c r="BK2558" s="477">
        <v>99258950.472588688</v>
      </c>
      <c r="BL2558" s="458">
        <v>0.25151238438537482</v>
      </c>
      <c r="BM2558" s="468">
        <v>7.3363110061652987</v>
      </c>
    </row>
    <row r="2559" spans="12:65" x14ac:dyDescent="0.3">
      <c r="L2559" s="427">
        <v>8488077.9826999996</v>
      </c>
      <c r="BE2559" s="477">
        <v>4928325.1642849948</v>
      </c>
      <c r="BF2559" s="458">
        <v>3.4376668805436994E-2</v>
      </c>
      <c r="BG2559" s="477">
        <v>10716709.198967788</v>
      </c>
      <c r="BH2559" s="458">
        <v>8.2547919728240382E-2</v>
      </c>
      <c r="BI2559" s="477">
        <v>12659791.545727728</v>
      </c>
      <c r="BJ2559" s="458">
        <v>0.11944451254649069</v>
      </c>
      <c r="BK2559" s="477">
        <v>89920092.793789789</v>
      </c>
      <c r="BL2559" s="458">
        <v>0.2502842116461288</v>
      </c>
      <c r="BM2559" s="468">
        <v>12.14696815102816</v>
      </c>
    </row>
    <row r="2560" spans="12:65" x14ac:dyDescent="0.3">
      <c r="L2560" s="427">
        <v>18733827.6083</v>
      </c>
      <c r="BE2560" s="477">
        <v>3904903.0415288243</v>
      </c>
      <c r="BF2560" s="458">
        <v>4.3135437839562307E-2</v>
      </c>
      <c r="BG2560" s="477">
        <v>12783452.02128794</v>
      </c>
      <c r="BH2560" s="458">
        <v>6.2548318903293154E-2</v>
      </c>
      <c r="BI2560" s="477">
        <v>21259268.774558138</v>
      </c>
      <c r="BJ2560" s="458">
        <v>0.10604455026476267</v>
      </c>
      <c r="BK2560" s="477">
        <v>84950645.554666117</v>
      </c>
      <c r="BL2560" s="458">
        <v>0.25985647407746693</v>
      </c>
      <c r="BM2560" s="468">
        <v>6.901385250176407</v>
      </c>
    </row>
    <row r="2561" spans="12:65" x14ac:dyDescent="0.3">
      <c r="L2561" s="427">
        <v>2519330.6384000001</v>
      </c>
      <c r="BE2561" s="477">
        <v>4096562.3264206904</v>
      </c>
      <c r="BF2561" s="458">
        <v>5.6322788777602106E-2</v>
      </c>
      <c r="BG2561" s="477">
        <v>12305103.219925066</v>
      </c>
      <c r="BH2561" s="458">
        <v>5.2172627093635793E-2</v>
      </c>
      <c r="BI2561" s="477">
        <v>10966254.908660391</v>
      </c>
      <c r="BJ2561" s="458">
        <v>9.3224214124486782E-2</v>
      </c>
      <c r="BK2561" s="477">
        <v>85859586.006088376</v>
      </c>
      <c r="BL2561" s="458">
        <v>0.27002100587598066</v>
      </c>
      <c r="BM2561" s="468">
        <v>6.9766729129602254</v>
      </c>
    </row>
    <row r="2562" spans="12:65" x14ac:dyDescent="0.3">
      <c r="L2562" s="427">
        <v>16693117.557499999</v>
      </c>
      <c r="BE2562" s="477">
        <v>2340282.2239508317</v>
      </c>
      <c r="BF2562" s="458">
        <v>3.7853691763789499E-2</v>
      </c>
      <c r="BG2562" s="477">
        <v>8461897.3306885269</v>
      </c>
      <c r="BH2562" s="458">
        <v>6.0511119202692809E-2</v>
      </c>
      <c r="BI2562" s="477">
        <v>23893286.590023782</v>
      </c>
      <c r="BJ2562" s="458">
        <v>0.13742261031693626</v>
      </c>
      <c r="BK2562" s="477">
        <v>91245443.536101818</v>
      </c>
      <c r="BL2562" s="458">
        <v>0.27887995814953026</v>
      </c>
      <c r="BM2562" s="468">
        <v>6.1365499067970939</v>
      </c>
    </row>
    <row r="2563" spans="12:65" x14ac:dyDescent="0.3">
      <c r="L2563" s="427">
        <v>640769.72290000005</v>
      </c>
      <c r="BE2563" s="477">
        <v>4835221.6880028332</v>
      </c>
      <c r="BF2563" s="458">
        <v>3.6919383886897972E-2</v>
      </c>
      <c r="BG2563" s="477">
        <v>4060645.5520285307</v>
      </c>
      <c r="BH2563" s="458">
        <v>5.6247505179943591E-2</v>
      </c>
      <c r="BI2563" s="477">
        <v>19268556.825769424</v>
      </c>
      <c r="BJ2563" s="458">
        <v>0.10479977324330969</v>
      </c>
      <c r="BK2563" s="477">
        <v>88284275.09592548</v>
      </c>
      <c r="BL2563" s="458">
        <v>0.27640767458174476</v>
      </c>
      <c r="BM2563" s="468">
        <v>6.3699263490311155</v>
      </c>
    </row>
    <row r="2564" spans="12:65" x14ac:dyDescent="0.3">
      <c r="L2564" s="427">
        <v>8308247.9999000002</v>
      </c>
      <c r="BE2564" s="477">
        <v>7575657.907614762</v>
      </c>
      <c r="BF2564" s="458">
        <v>3.5456507749920707E-2</v>
      </c>
      <c r="BG2564" s="477">
        <v>9920050.4724301323</v>
      </c>
      <c r="BH2564" s="458">
        <v>5.9845074130098652E-2</v>
      </c>
      <c r="BI2564" s="477">
        <v>21727552.511843398</v>
      </c>
      <c r="BJ2564" s="458">
        <v>0.10205616713626386</v>
      </c>
      <c r="BK2564" s="477">
        <v>99444455.621986374</v>
      </c>
      <c r="BL2564" s="458">
        <v>0.26593829039912187</v>
      </c>
      <c r="BM2564" s="468">
        <v>2.5976031433851485</v>
      </c>
    </row>
    <row r="2565" spans="12:65" x14ac:dyDescent="0.3">
      <c r="L2565" s="427">
        <v>10501931.7675</v>
      </c>
      <c r="BE2565" s="477">
        <v>3863119.7748402571</v>
      </c>
      <c r="BF2565" s="458">
        <v>4.2460384161739029E-2</v>
      </c>
      <c r="BG2565" s="477">
        <v>-2131257.0039359313</v>
      </c>
      <c r="BH2565" s="458">
        <v>4.6542316713604537E-2</v>
      </c>
      <c r="BI2565" s="477">
        <v>12894744.175200392</v>
      </c>
      <c r="BJ2565" s="458">
        <v>9.825893827695098E-2</v>
      </c>
      <c r="BK2565" s="477">
        <v>79753877.017276928</v>
      </c>
      <c r="BL2565" s="458">
        <v>0.28281240688554399</v>
      </c>
      <c r="BM2565" s="468">
        <v>7.0678078809941507</v>
      </c>
    </row>
    <row r="2566" spans="12:65" x14ac:dyDescent="0.3">
      <c r="L2566" s="427">
        <v>4819525.398</v>
      </c>
      <c r="BE2566" s="477">
        <v>868929.00319412258</v>
      </c>
      <c r="BF2566" s="458">
        <v>5.848485613663712E-2</v>
      </c>
      <c r="BG2566" s="477">
        <v>10985862.29627616</v>
      </c>
      <c r="BH2566" s="458">
        <v>7.5065782488729749E-2</v>
      </c>
      <c r="BI2566" s="477">
        <v>16104783.731719535</v>
      </c>
      <c r="BJ2566" s="458">
        <v>0.10421712152193718</v>
      </c>
      <c r="BK2566" s="477">
        <v>91742410.78164874</v>
      </c>
      <c r="BL2566" s="458">
        <v>0.23760772000893216</v>
      </c>
      <c r="BM2566" s="468">
        <v>13.531860923222311</v>
      </c>
    </row>
    <row r="2567" spans="12:65" x14ac:dyDescent="0.3">
      <c r="L2567" s="427">
        <v>4281583.7982000001</v>
      </c>
      <c r="BE2567" s="477">
        <v>4251071.8053922206</v>
      </c>
      <c r="BF2567" s="458">
        <v>5.84574313289421E-2</v>
      </c>
      <c r="BG2567" s="477">
        <v>3851751.5107234302</v>
      </c>
      <c r="BH2567" s="458">
        <v>5.6464099152218283E-2</v>
      </c>
      <c r="BI2567" s="477">
        <v>21179482.273466215</v>
      </c>
      <c r="BJ2567" s="458">
        <v>0.15110339307402754</v>
      </c>
      <c r="BK2567" s="477">
        <v>99406154.670047164</v>
      </c>
      <c r="BL2567" s="458">
        <v>0.2746639277108609</v>
      </c>
      <c r="BM2567" s="468">
        <v>11.465607337005441</v>
      </c>
    </row>
    <row r="2568" spans="12:65" x14ac:dyDescent="0.3">
      <c r="L2568" s="427">
        <v>9932383.9539000001</v>
      </c>
      <c r="BE2568" s="477">
        <v>6566867.4979591481</v>
      </c>
      <c r="BF2568" s="458">
        <v>2.1311874471627634E-2</v>
      </c>
      <c r="BG2568" s="477">
        <v>6040739.9126390237</v>
      </c>
      <c r="BH2568" s="458">
        <v>8.3687758993704175E-2</v>
      </c>
      <c r="BI2568" s="477">
        <v>21933817.962214608</v>
      </c>
      <c r="BJ2568" s="458">
        <v>8.075566988661298E-2</v>
      </c>
      <c r="BK2568" s="477">
        <v>97643872.221423894</v>
      </c>
      <c r="BL2568" s="458">
        <v>0.25989522825087308</v>
      </c>
      <c r="BM2568" s="468">
        <v>8.8476786957549365</v>
      </c>
    </row>
    <row r="2569" spans="12:65" x14ac:dyDescent="0.3">
      <c r="L2569" s="427">
        <v>4375504.7708000001</v>
      </c>
      <c r="BE2569" s="477">
        <v>6969767.9340592381</v>
      </c>
      <c r="BF2569" s="458">
        <v>3.3349942211150729E-2</v>
      </c>
      <c r="BG2569" s="477">
        <v>8073298.0021337653</v>
      </c>
      <c r="BH2569" s="458">
        <v>3.3011119056568505E-2</v>
      </c>
      <c r="BI2569" s="477">
        <v>12187321.086892629</v>
      </c>
      <c r="BJ2569" s="458">
        <v>0.13209434042188173</v>
      </c>
      <c r="BK2569" s="477">
        <v>100377434.57618119</v>
      </c>
      <c r="BL2569" s="458">
        <v>0.27632453252079192</v>
      </c>
      <c r="BM2569" s="468">
        <v>12.02722263912591</v>
      </c>
    </row>
    <row r="2570" spans="12:65" x14ac:dyDescent="0.3">
      <c r="L2570" s="427">
        <v>16899841.6587</v>
      </c>
      <c r="BE2570" s="477">
        <v>9034681.3632183578</v>
      </c>
      <c r="BF2570" s="458">
        <v>2.8859232662421741E-2</v>
      </c>
      <c r="BG2570" s="477">
        <v>7403284.9799081814</v>
      </c>
      <c r="BH2570" s="458">
        <v>4.1752801932494643E-2</v>
      </c>
      <c r="BI2570" s="477">
        <v>17407261.720765017</v>
      </c>
      <c r="BJ2570" s="458">
        <v>0.11945341098337203</v>
      </c>
      <c r="BK2570" s="477">
        <v>87635054.202236742</v>
      </c>
      <c r="BL2570" s="458">
        <v>0.26150834265601408</v>
      </c>
      <c r="BM2570" s="468">
        <v>10.258477514613375</v>
      </c>
    </row>
    <row r="2571" spans="12:65" x14ac:dyDescent="0.3">
      <c r="L2571" s="427">
        <v>5910881.5027000001</v>
      </c>
      <c r="BE2571" s="477">
        <v>6447213.2315072995</v>
      </c>
      <c r="BF2571" s="458">
        <v>4.6819547138545081E-2</v>
      </c>
      <c r="BG2571" s="477">
        <v>7601351.1444369666</v>
      </c>
      <c r="BH2571" s="458">
        <v>6.442207660276722E-2</v>
      </c>
      <c r="BI2571" s="477">
        <v>24112603.941264149</v>
      </c>
      <c r="BJ2571" s="458">
        <v>0.12416703188093203</v>
      </c>
      <c r="BK2571" s="477">
        <v>87920031.714910626</v>
      </c>
      <c r="BL2571" s="458">
        <v>0.27194445984583826</v>
      </c>
      <c r="BM2571" s="468">
        <v>9.6569833212004781</v>
      </c>
    </row>
    <row r="2572" spans="12:65" x14ac:dyDescent="0.3">
      <c r="L2572" s="427">
        <v>9559577.7931999993</v>
      </c>
      <c r="BE2572" s="477">
        <v>1936099.4776741788</v>
      </c>
      <c r="BF2572" s="458">
        <v>4.2938672319429161E-2</v>
      </c>
      <c r="BG2572" s="477">
        <v>14815245.89884451</v>
      </c>
      <c r="BH2572" s="458">
        <v>8.6521500050650291E-2</v>
      </c>
      <c r="BI2572" s="477">
        <v>15495016.932699861</v>
      </c>
      <c r="BJ2572" s="458">
        <v>0.10014720392711496</v>
      </c>
      <c r="BK2572" s="477">
        <v>81990953.455714285</v>
      </c>
      <c r="BL2572" s="458">
        <v>0.27469832133436678</v>
      </c>
      <c r="BM2572" s="468">
        <v>6.6627107407222663</v>
      </c>
    </row>
    <row r="2573" spans="12:65" x14ac:dyDescent="0.3">
      <c r="L2573" s="427">
        <v>18787712.993099999</v>
      </c>
      <c r="BE2573" s="477">
        <v>9043447.8780271877</v>
      </c>
      <c r="BF2573" s="458">
        <v>2.6750752223355656E-2</v>
      </c>
      <c r="BG2573" s="477">
        <v>10244832.690087272</v>
      </c>
      <c r="BH2573" s="458">
        <v>6.6586080078399945E-2</v>
      </c>
      <c r="BI2573" s="477">
        <v>15931878.205001606</v>
      </c>
      <c r="BJ2573" s="458">
        <v>8.833942390997751E-2</v>
      </c>
      <c r="BK2573" s="477">
        <v>85050837.798144594</v>
      </c>
      <c r="BL2573" s="458">
        <v>0.27921845828663994</v>
      </c>
      <c r="BM2573" s="468">
        <v>4.7949802502561987</v>
      </c>
    </row>
    <row r="2574" spans="12:65" x14ac:dyDescent="0.3">
      <c r="L2574" s="427">
        <v>11777977.122099999</v>
      </c>
      <c r="BE2574" s="477">
        <v>-81338.952639195486</v>
      </c>
      <c r="BF2574" s="458">
        <v>6.2033816250472107E-2</v>
      </c>
      <c r="BG2574" s="477">
        <v>4397009.0448875669</v>
      </c>
      <c r="BH2574" s="458">
        <v>7.0106051830518323E-2</v>
      </c>
      <c r="BI2574" s="477">
        <v>27012632.308348339</v>
      </c>
      <c r="BJ2574" s="458">
        <v>0.11377878275643538</v>
      </c>
      <c r="BK2574" s="477">
        <v>105523311.87046602</v>
      </c>
      <c r="BL2574" s="458">
        <v>0.2756237140257447</v>
      </c>
      <c r="BM2574" s="468">
        <v>9.5736872997252966</v>
      </c>
    </row>
    <row r="2575" spans="12:65" x14ac:dyDescent="0.3">
      <c r="L2575" s="427">
        <v>3314937.3278999999</v>
      </c>
      <c r="BE2575" s="477">
        <v>5523437.5015736427</v>
      </c>
      <c r="BF2575" s="458">
        <v>4.7819146613435448E-2</v>
      </c>
      <c r="BG2575" s="477">
        <v>6586416.2375709657</v>
      </c>
      <c r="BH2575" s="458">
        <v>5.0878863053110734E-2</v>
      </c>
      <c r="BI2575" s="477">
        <v>19399365.548748184</v>
      </c>
      <c r="BJ2575" s="458">
        <v>0.10254888853599819</v>
      </c>
      <c r="BK2575" s="477">
        <v>88141198.882178366</v>
      </c>
      <c r="BL2575" s="458">
        <v>0.26318530862895417</v>
      </c>
      <c r="BM2575" s="468">
        <v>9.7885221779206351</v>
      </c>
    </row>
    <row r="2576" spans="12:65" x14ac:dyDescent="0.3">
      <c r="L2576" s="427">
        <v>17318577.1327</v>
      </c>
      <c r="BE2576" s="477">
        <v>7581433.6289606476</v>
      </c>
      <c r="BF2576" s="458">
        <v>6.421856157338568E-2</v>
      </c>
      <c r="BG2576" s="477">
        <v>6742952.4518023692</v>
      </c>
      <c r="BH2576" s="458">
        <v>7.1989953762754633E-2</v>
      </c>
      <c r="BI2576" s="477">
        <v>14024091.860353395</v>
      </c>
      <c r="BJ2576" s="458">
        <v>9.9940236339053135E-2</v>
      </c>
      <c r="BK2576" s="477">
        <v>91064006.553923026</v>
      </c>
      <c r="BL2576" s="458">
        <v>0.2695408739467593</v>
      </c>
      <c r="BM2576" s="468">
        <v>6.5331368328963535</v>
      </c>
    </row>
    <row r="2577" spans="12:65" x14ac:dyDescent="0.3">
      <c r="L2577" s="427">
        <v>23636108.1932</v>
      </c>
      <c r="BE2577" s="477">
        <v>7214481.1894996148</v>
      </c>
      <c r="BF2577" s="458">
        <v>5.5134821034677151E-2</v>
      </c>
      <c r="BG2577" s="477">
        <v>7160514.5813578609</v>
      </c>
      <c r="BH2577" s="458">
        <v>7.0852346953119261E-2</v>
      </c>
      <c r="BI2577" s="477">
        <v>19440529.636962257</v>
      </c>
      <c r="BJ2577" s="458">
        <v>0.1323766663400523</v>
      </c>
      <c r="BK2577" s="477">
        <v>83442239.934180483</v>
      </c>
      <c r="BL2577" s="458">
        <v>0.27129691818858825</v>
      </c>
      <c r="BM2577" s="468">
        <v>12.118456719241568</v>
      </c>
    </row>
    <row r="2578" spans="12:65" x14ac:dyDescent="0.3">
      <c r="L2578" s="427">
        <v>15016929.9904</v>
      </c>
      <c r="BE2578" s="477">
        <v>8218782.9271682482</v>
      </c>
      <c r="BF2578" s="458">
        <v>3.1526824964213329E-2</v>
      </c>
      <c r="BG2578" s="477">
        <v>9202200.961663045</v>
      </c>
      <c r="BH2578" s="458">
        <v>4.9715802128162512E-2</v>
      </c>
      <c r="BI2578" s="477">
        <v>20693942.298424695</v>
      </c>
      <c r="BJ2578" s="458">
        <v>0.10345027466693169</v>
      </c>
      <c r="BK2578" s="477">
        <v>91763091.804915607</v>
      </c>
      <c r="BL2578" s="458">
        <v>0.26126561522861569</v>
      </c>
      <c r="BM2578" s="468">
        <v>12.196188647113271</v>
      </c>
    </row>
    <row r="2579" spans="12:65" x14ac:dyDescent="0.3">
      <c r="L2579" s="427">
        <v>4862371.3049999997</v>
      </c>
      <c r="BE2579" s="477">
        <v>4344314.9412076799</v>
      </c>
      <c r="BF2579" s="458">
        <v>4.0160892914366642E-2</v>
      </c>
      <c r="BG2579" s="477">
        <v>7732292.4579487406</v>
      </c>
      <c r="BH2579" s="458">
        <v>7.7657997666558787E-2</v>
      </c>
      <c r="BI2579" s="477">
        <v>11994138.974904519</v>
      </c>
      <c r="BJ2579" s="458">
        <v>0.11430496564209225</v>
      </c>
      <c r="BK2579" s="477">
        <v>87725353.225979775</v>
      </c>
      <c r="BL2579" s="458">
        <v>0.2755272467711769</v>
      </c>
      <c r="BM2579" s="468">
        <v>13.357338654997971</v>
      </c>
    </row>
    <row r="2580" spans="12:65" x14ac:dyDescent="0.3">
      <c r="L2580" s="427">
        <v>15102908.094699999</v>
      </c>
      <c r="BE2580" s="477">
        <v>4548024.5065742973</v>
      </c>
      <c r="BF2580" s="458">
        <v>3.5100283582931935E-2</v>
      </c>
      <c r="BG2580" s="477">
        <v>13139363.704342369</v>
      </c>
      <c r="BH2580" s="458">
        <v>6.4882011401846462E-2</v>
      </c>
      <c r="BI2580" s="477">
        <v>19124637.430847302</v>
      </c>
      <c r="BJ2580" s="458">
        <v>6.4413291087250801E-2</v>
      </c>
      <c r="BK2580" s="477">
        <v>97811261.993392125</v>
      </c>
      <c r="BL2580" s="458">
        <v>0.26337526727082783</v>
      </c>
      <c r="BM2580" s="468">
        <v>9.1198807688916776</v>
      </c>
    </row>
    <row r="2581" spans="12:65" x14ac:dyDescent="0.3">
      <c r="L2581" s="427">
        <v>-5075815.6216000002</v>
      </c>
      <c r="BE2581" s="477">
        <v>7045590.532617867</v>
      </c>
      <c r="BF2581" s="458">
        <v>7.3541303755806586E-2</v>
      </c>
      <c r="BG2581" s="477">
        <v>3219576.4929324151</v>
      </c>
      <c r="BH2581" s="458">
        <v>4.775641640897943E-2</v>
      </c>
      <c r="BI2581" s="477">
        <v>10282032.802492987</v>
      </c>
      <c r="BJ2581" s="458">
        <v>0.10307446064865733</v>
      </c>
      <c r="BK2581" s="477">
        <v>92464233.269360274</v>
      </c>
      <c r="BL2581" s="458">
        <v>0.2852305467429177</v>
      </c>
      <c r="BM2581" s="468">
        <v>5.5888565524232403</v>
      </c>
    </row>
    <row r="2582" spans="12:65" x14ac:dyDescent="0.3">
      <c r="L2582" s="427">
        <v>19870730.538400002</v>
      </c>
      <c r="BE2582" s="477">
        <v>4985502.600765679</v>
      </c>
      <c r="BF2582" s="458">
        <v>5.5905349800383197E-2</v>
      </c>
      <c r="BG2582" s="477">
        <v>9153259.7013080008</v>
      </c>
      <c r="BH2582" s="458">
        <v>7.9949441436219848E-2</v>
      </c>
      <c r="BI2582" s="477">
        <v>19231766.505159684</v>
      </c>
      <c r="BJ2582" s="458">
        <v>0.11683600054310439</v>
      </c>
      <c r="BK2582" s="477">
        <v>81235330.422684819</v>
      </c>
      <c r="BL2582" s="458">
        <v>0.28830270892605148</v>
      </c>
      <c r="BM2582" s="468">
        <v>7.7482752984666199</v>
      </c>
    </row>
    <row r="2583" spans="12:65" x14ac:dyDescent="0.3">
      <c r="L2583" s="427">
        <v>-673266.81420000002</v>
      </c>
      <c r="BE2583" s="477">
        <v>5649338.5179294189</v>
      </c>
      <c r="BF2583" s="458">
        <v>3.5568840638006582E-2</v>
      </c>
      <c r="BG2583" s="477">
        <v>8293105.8499689139</v>
      </c>
      <c r="BH2583" s="458">
        <v>6.5369447443789142E-2</v>
      </c>
      <c r="BI2583" s="477">
        <v>11311153.210356612</v>
      </c>
      <c r="BJ2583" s="458">
        <v>9.8579082918694771E-2</v>
      </c>
      <c r="BK2583" s="477">
        <v>81407330.695558265</v>
      </c>
      <c r="BL2583" s="458">
        <v>0.26239639741417009</v>
      </c>
      <c r="BM2583" s="468">
        <v>10.258777432982001</v>
      </c>
    </row>
    <row r="2584" spans="12:65" x14ac:dyDescent="0.3">
      <c r="L2584" s="427">
        <v>8732413.4495000001</v>
      </c>
      <c r="BE2584" s="477">
        <v>6044660.9362240545</v>
      </c>
      <c r="BF2584" s="458">
        <v>-6.3315140514830226E-3</v>
      </c>
      <c r="BG2584" s="477">
        <v>7834939.239430015</v>
      </c>
      <c r="BH2584" s="458">
        <v>6.03449086836505E-2</v>
      </c>
      <c r="BI2584" s="477">
        <v>19296380.158014342</v>
      </c>
      <c r="BJ2584" s="458">
        <v>0.11819906414073067</v>
      </c>
      <c r="BK2584" s="477">
        <v>85968794.975386441</v>
      </c>
      <c r="BL2584" s="458">
        <v>0.27058521910509414</v>
      </c>
      <c r="BM2584" s="468">
        <v>9.3763838463707501</v>
      </c>
    </row>
    <row r="2585" spans="12:65" x14ac:dyDescent="0.3">
      <c r="L2585" s="427">
        <v>31069407.858100001</v>
      </c>
      <c r="BE2585" s="477">
        <v>5692924.9383688178</v>
      </c>
      <c r="BF2585" s="458">
        <v>3.2600597504665929E-2</v>
      </c>
      <c r="BG2585" s="477">
        <v>7489263.6189242918</v>
      </c>
      <c r="BH2585" s="458">
        <v>5.0921693880692231E-2</v>
      </c>
      <c r="BI2585" s="477">
        <v>17113719.711344078</v>
      </c>
      <c r="BJ2585" s="458">
        <v>0.11863651370694317</v>
      </c>
      <c r="BK2585" s="477">
        <v>90631262.189861968</v>
      </c>
      <c r="BL2585" s="458">
        <v>0.26371744099964634</v>
      </c>
      <c r="BM2585" s="468">
        <v>7.2212272638563482</v>
      </c>
    </row>
    <row r="2586" spans="12:65" x14ac:dyDescent="0.3">
      <c r="L2586" s="427">
        <v>19586850.820599999</v>
      </c>
      <c r="BE2586" s="477">
        <v>6005810.9002490053</v>
      </c>
      <c r="BF2586" s="458">
        <v>5.382233756892485E-2</v>
      </c>
      <c r="BG2586" s="477">
        <v>5702056.0959775764</v>
      </c>
      <c r="BH2586" s="458">
        <v>3.0276998136497646E-2</v>
      </c>
      <c r="BI2586" s="477">
        <v>23948250.521466762</v>
      </c>
      <c r="BJ2586" s="458">
        <v>7.4812709711969738E-2</v>
      </c>
      <c r="BK2586" s="477">
        <v>91980783.538368687</v>
      </c>
      <c r="BL2586" s="458">
        <v>0.2604516949106086</v>
      </c>
      <c r="BM2586" s="468">
        <v>3.0038300172297259</v>
      </c>
    </row>
    <row r="2587" spans="12:65" x14ac:dyDescent="0.3">
      <c r="L2587" s="427">
        <v>-6801821.0828999998</v>
      </c>
      <c r="BE2587" s="477">
        <v>3394138.8500863099</v>
      </c>
      <c r="BF2587" s="458">
        <v>6.7713112553154264E-2</v>
      </c>
      <c r="BG2587" s="477">
        <v>8065503.3840977969</v>
      </c>
      <c r="BH2587" s="458">
        <v>6.4097089665729579E-2</v>
      </c>
      <c r="BI2587" s="477">
        <v>16220709.066384481</v>
      </c>
      <c r="BJ2587" s="458">
        <v>0.12729384935274135</v>
      </c>
      <c r="BK2587" s="477">
        <v>99660717.788394511</v>
      </c>
      <c r="BL2587" s="458">
        <v>0.26706245819624663</v>
      </c>
      <c r="BM2587" s="468">
        <v>9.2457641513375819</v>
      </c>
    </row>
    <row r="2588" spans="12:65" x14ac:dyDescent="0.3">
      <c r="L2588" s="427">
        <v>20110104.361000001</v>
      </c>
      <c r="BE2588" s="477">
        <v>5981502.3330287701</v>
      </c>
      <c r="BF2588" s="458">
        <v>1.5771043928026973E-2</v>
      </c>
      <c r="BG2588" s="477">
        <v>5318561.673139926</v>
      </c>
      <c r="BH2588" s="458">
        <v>5.9845742226764198E-2</v>
      </c>
      <c r="BI2588" s="477">
        <v>20001827.262636188</v>
      </c>
      <c r="BJ2588" s="458">
        <v>0.10595636987721591</v>
      </c>
      <c r="BK2588" s="477">
        <v>87719524.241803229</v>
      </c>
      <c r="BL2588" s="458">
        <v>0.26837443023176677</v>
      </c>
      <c r="BM2588" s="468">
        <v>8.3704466424517499</v>
      </c>
    </row>
    <row r="2589" spans="12:65" x14ac:dyDescent="0.3">
      <c r="L2589" s="427">
        <v>20457052.034600001</v>
      </c>
      <c r="BE2589" s="477">
        <v>5599336.0651411843</v>
      </c>
      <c r="BF2589" s="458">
        <v>8.1411057124865405E-2</v>
      </c>
      <c r="BG2589" s="477">
        <v>12289619.403644361</v>
      </c>
      <c r="BH2589" s="458">
        <v>4.936184598605009E-2</v>
      </c>
      <c r="BI2589" s="477">
        <v>15007478.249822915</v>
      </c>
      <c r="BJ2589" s="458">
        <v>0.12623164251648022</v>
      </c>
      <c r="BK2589" s="477">
        <v>92105405.731195629</v>
      </c>
      <c r="BL2589" s="458">
        <v>0.25190410679188835</v>
      </c>
      <c r="BM2589" s="468">
        <v>6.855337083283489</v>
      </c>
    </row>
    <row r="2590" spans="12:65" x14ac:dyDescent="0.3">
      <c r="L2590" s="427">
        <v>16627920.1822</v>
      </c>
      <c r="BE2590" s="477">
        <v>8567506.1343754809</v>
      </c>
      <c r="BF2590" s="458">
        <v>2.9953119916563242E-2</v>
      </c>
      <c r="BG2590" s="477">
        <v>4867983.0312965643</v>
      </c>
      <c r="BH2590" s="458">
        <v>4.8544889705156802E-2</v>
      </c>
      <c r="BI2590" s="477">
        <v>20585377.460602224</v>
      </c>
      <c r="BJ2590" s="458">
        <v>0.15092113492715908</v>
      </c>
      <c r="BK2590" s="477">
        <v>78709938.367187247</v>
      </c>
      <c r="BL2590" s="458">
        <v>0.26340513805249288</v>
      </c>
      <c r="BM2590" s="468">
        <v>8.3107270015209131</v>
      </c>
    </row>
    <row r="2591" spans="12:65" x14ac:dyDescent="0.3">
      <c r="L2591" s="427">
        <v>15363553.3508</v>
      </c>
      <c r="BE2591" s="477">
        <v>2469817.3116775695</v>
      </c>
      <c r="BF2591" s="458">
        <v>3.877479703085962E-2</v>
      </c>
      <c r="BG2591" s="477">
        <v>9994374.8371594027</v>
      </c>
      <c r="BH2591" s="458">
        <v>8.2264866998201347E-2</v>
      </c>
      <c r="BI2591" s="477">
        <v>11371256.641203854</v>
      </c>
      <c r="BJ2591" s="458">
        <v>9.7194903155520151E-2</v>
      </c>
      <c r="BK2591" s="477">
        <v>92409307.092539743</v>
      </c>
      <c r="BL2591" s="458">
        <v>0.26582552290733119</v>
      </c>
      <c r="BM2591" s="468">
        <v>7.5060821558102937</v>
      </c>
    </row>
    <row r="2592" spans="12:65" x14ac:dyDescent="0.3">
      <c r="L2592" s="427">
        <v>-15023922.467700001</v>
      </c>
      <c r="BE2592" s="477">
        <v>9054046.5341862869</v>
      </c>
      <c r="BF2592" s="458">
        <v>7.667539718585914E-3</v>
      </c>
      <c r="BG2592" s="477">
        <v>8773470.4044179358</v>
      </c>
      <c r="BH2592" s="458">
        <v>6.9768260248922687E-2</v>
      </c>
      <c r="BI2592" s="477">
        <v>19999617.147972662</v>
      </c>
      <c r="BJ2592" s="458">
        <v>0.12121639578715393</v>
      </c>
      <c r="BK2592" s="477">
        <v>118392108.1953577</v>
      </c>
      <c r="BL2592" s="458">
        <v>0.26752227733770195</v>
      </c>
      <c r="BM2592" s="468">
        <v>11.315419987158993</v>
      </c>
    </row>
    <row r="2593" spans="12:65" x14ac:dyDescent="0.3">
      <c r="L2593" s="427">
        <v>16006709.701099999</v>
      </c>
      <c r="BE2593" s="477">
        <v>4719258.318297524</v>
      </c>
      <c r="BF2593" s="458">
        <v>5.5811789724445005E-2</v>
      </c>
      <c r="BG2593" s="477">
        <v>9117354.8821142577</v>
      </c>
      <c r="BH2593" s="458">
        <v>5.6283378576041265E-2</v>
      </c>
      <c r="BI2593" s="477">
        <v>21007020.522240419</v>
      </c>
      <c r="BJ2593" s="458">
        <v>0.11257232129177575</v>
      </c>
      <c r="BK2593" s="477">
        <v>104885528.71554185</v>
      </c>
      <c r="BL2593" s="458">
        <v>0.28388406137263078</v>
      </c>
      <c r="BM2593" s="468">
        <v>10.416497953729008</v>
      </c>
    </row>
    <row r="2594" spans="12:65" x14ac:dyDescent="0.3">
      <c r="L2594" s="427">
        <v>15666506.691299999</v>
      </c>
      <c r="BE2594" s="477">
        <v>5295101.2342987675</v>
      </c>
      <c r="BF2594" s="458">
        <v>2.9351041556466173E-2</v>
      </c>
      <c r="BG2594" s="477">
        <v>11345446.255339703</v>
      </c>
      <c r="BH2594" s="458">
        <v>6.711535114343703E-2</v>
      </c>
      <c r="BI2594" s="477">
        <v>18975455.442633353</v>
      </c>
      <c r="BJ2594" s="458">
        <v>0.11355282117847443</v>
      </c>
      <c r="BK2594" s="477">
        <v>88425702.859200001</v>
      </c>
      <c r="BL2594" s="458">
        <v>0.26646527246141094</v>
      </c>
      <c r="BM2594" s="468">
        <v>5.4780530005811059</v>
      </c>
    </row>
    <row r="2595" spans="12:65" x14ac:dyDescent="0.3">
      <c r="L2595" s="427">
        <v>-6423429.1438999996</v>
      </c>
      <c r="BE2595" s="477">
        <v>7597559.7786248578</v>
      </c>
      <c r="BF2595" s="458">
        <v>3.3807188749278128E-2</v>
      </c>
      <c r="BG2595" s="477">
        <v>8649227.8413386494</v>
      </c>
      <c r="BH2595" s="458">
        <v>7.9440624160725948E-2</v>
      </c>
      <c r="BI2595" s="477">
        <v>7757590.5081804805</v>
      </c>
      <c r="BJ2595" s="458">
        <v>0.11357469692493938</v>
      </c>
      <c r="BK2595" s="477">
        <v>92458335.522916019</v>
      </c>
      <c r="BL2595" s="458">
        <v>0.24833197512497884</v>
      </c>
      <c r="BM2595" s="468">
        <v>5.0615017556564847</v>
      </c>
    </row>
    <row r="2596" spans="12:65" x14ac:dyDescent="0.3">
      <c r="L2596" s="427">
        <v>3553118.2039000001</v>
      </c>
      <c r="BE2596" s="477">
        <v>3262467.7057441245</v>
      </c>
      <c r="BF2596" s="458">
        <v>7.2078832049525809E-2</v>
      </c>
      <c r="BG2596" s="477">
        <v>8230021.7427630108</v>
      </c>
      <c r="BH2596" s="458">
        <v>3.9443399613225738E-2</v>
      </c>
      <c r="BI2596" s="477">
        <v>10089091.677579558</v>
      </c>
      <c r="BJ2596" s="458">
        <v>9.538829133030724E-2</v>
      </c>
      <c r="BK2596" s="477">
        <v>86902510.41481179</v>
      </c>
      <c r="BL2596" s="458">
        <v>0.25425409826985335</v>
      </c>
      <c r="BM2596" s="468">
        <v>11.419200660833084</v>
      </c>
    </row>
    <row r="2597" spans="12:65" x14ac:dyDescent="0.3">
      <c r="L2597" s="427">
        <v>-7845501.0557000004</v>
      </c>
      <c r="BE2597" s="477">
        <v>5537581.6443469981</v>
      </c>
      <c r="BF2597" s="458">
        <v>3.3310865320952843E-2</v>
      </c>
      <c r="BG2597" s="477">
        <v>12589489.331565524</v>
      </c>
      <c r="BH2597" s="458">
        <v>5.9021383300691399E-2</v>
      </c>
      <c r="BI2597" s="477">
        <v>25083707.425739989</v>
      </c>
      <c r="BJ2597" s="458">
        <v>0.12037112734477451</v>
      </c>
      <c r="BK2597" s="477">
        <v>98647085.245159909</v>
      </c>
      <c r="BL2597" s="458">
        <v>0.25812239984854313</v>
      </c>
      <c r="BM2597" s="468">
        <v>9.1570647748365754</v>
      </c>
    </row>
    <row r="2598" spans="12:65" x14ac:dyDescent="0.3">
      <c r="L2598" s="427">
        <v>2874639.5362999998</v>
      </c>
      <c r="BE2598" s="477">
        <v>4269630.7138374094</v>
      </c>
      <c r="BF2598" s="458">
        <v>2.6756163111508968E-2</v>
      </c>
      <c r="BG2598" s="477">
        <v>6014884.4236893198</v>
      </c>
      <c r="BH2598" s="458">
        <v>4.5911849399029148E-2</v>
      </c>
      <c r="BI2598" s="477">
        <v>18008655.755423803</v>
      </c>
      <c r="BJ2598" s="458">
        <v>0.10000155813587996</v>
      </c>
      <c r="BK2598" s="477">
        <v>110123002.39795358</v>
      </c>
      <c r="BL2598" s="458">
        <v>0.28138528523408257</v>
      </c>
      <c r="BM2598" s="468">
        <v>8.6325453508384768</v>
      </c>
    </row>
    <row r="2599" spans="12:65" x14ac:dyDescent="0.3">
      <c r="L2599" s="427">
        <v>25924928.0381</v>
      </c>
      <c r="BE2599" s="477">
        <v>6368616.244728704</v>
      </c>
      <c r="BF2599" s="458">
        <v>3.8249884826940139E-2</v>
      </c>
      <c r="BG2599" s="477">
        <v>4948127.6726535996</v>
      </c>
      <c r="BH2599" s="458">
        <v>6.6832164751558842E-2</v>
      </c>
      <c r="BI2599" s="477">
        <v>18152040.733913761</v>
      </c>
      <c r="BJ2599" s="458">
        <v>9.6773733259410077E-2</v>
      </c>
      <c r="BK2599" s="477">
        <v>86947215.065037951</v>
      </c>
      <c r="BL2599" s="458">
        <v>0.25347312320520188</v>
      </c>
      <c r="BM2599" s="468">
        <v>11.309976623065756</v>
      </c>
    </row>
    <row r="2600" spans="12:65" x14ac:dyDescent="0.3">
      <c r="L2600" s="427">
        <v>29224206.245499998</v>
      </c>
      <c r="BE2600" s="477">
        <v>5664870.6913799299</v>
      </c>
      <c r="BF2600" s="458">
        <v>3.4283787263784227E-2</v>
      </c>
      <c r="BG2600" s="477">
        <v>7169093.3318461347</v>
      </c>
      <c r="BH2600" s="458">
        <v>5.7618073510903978E-2</v>
      </c>
      <c r="BI2600" s="477">
        <v>18894972.148376219</v>
      </c>
      <c r="BJ2600" s="458">
        <v>8.9931196839151184E-2</v>
      </c>
      <c r="BK2600" s="477">
        <v>99212609.536432579</v>
      </c>
      <c r="BL2600" s="458">
        <v>0.26084849787907349</v>
      </c>
      <c r="BM2600" s="468">
        <v>16.096953261428894</v>
      </c>
    </row>
    <row r="2601" spans="12:65" x14ac:dyDescent="0.3">
      <c r="L2601" s="427">
        <v>13201983.494899999</v>
      </c>
      <c r="BE2601" s="477">
        <v>3284500.1132723717</v>
      </c>
      <c r="BF2601" s="458">
        <v>4.2885780210236035E-2</v>
      </c>
      <c r="BG2601" s="477">
        <v>12404485.058366599</v>
      </c>
      <c r="BH2601" s="458">
        <v>6.2377431413358497E-2</v>
      </c>
      <c r="BI2601" s="477">
        <v>13636116.254589306</v>
      </c>
      <c r="BJ2601" s="458">
        <v>0.10243296513095723</v>
      </c>
      <c r="BK2601" s="477">
        <v>85875691.748283058</v>
      </c>
      <c r="BL2601" s="458">
        <v>0.28638600340552878</v>
      </c>
      <c r="BM2601" s="468">
        <v>8.9085996939742795</v>
      </c>
    </row>
    <row r="2602" spans="12:65" x14ac:dyDescent="0.3">
      <c r="L2602" s="427">
        <v>10461658.974099999</v>
      </c>
      <c r="BE2602" s="477">
        <v>5165215.2558929315</v>
      </c>
      <c r="BF2602" s="458">
        <v>4.7073900982427253E-2</v>
      </c>
      <c r="BG2602" s="477">
        <v>8709937.4361860119</v>
      </c>
      <c r="BH2602" s="458">
        <v>7.0289709570431569E-2</v>
      </c>
      <c r="BI2602" s="477">
        <v>17924064.648284093</v>
      </c>
      <c r="BJ2602" s="458">
        <v>0.11770405915535798</v>
      </c>
      <c r="BK2602" s="477">
        <v>93362425.7519539</v>
      </c>
      <c r="BL2602" s="458">
        <v>0.27589567190304431</v>
      </c>
      <c r="BM2602" s="468">
        <v>6.6949203092834129</v>
      </c>
    </row>
    <row r="2603" spans="12:65" x14ac:dyDescent="0.3">
      <c r="L2603" s="427">
        <v>15103001.984200001</v>
      </c>
      <c r="BE2603" s="477">
        <v>1461508.6066789746</v>
      </c>
      <c r="BF2603" s="458">
        <v>2.6680249007839718E-2</v>
      </c>
      <c r="BG2603" s="477">
        <v>13872294.409292651</v>
      </c>
      <c r="BH2603" s="458">
        <v>7.846882334120453E-2</v>
      </c>
      <c r="BI2603" s="477">
        <v>20144419.916864023</v>
      </c>
      <c r="BJ2603" s="458">
        <v>9.3120526522018077E-2</v>
      </c>
      <c r="BK2603" s="477">
        <v>89274342.48074767</v>
      </c>
      <c r="BL2603" s="458">
        <v>0.27277937290727317</v>
      </c>
      <c r="BM2603" s="468">
        <v>10.200070749769646</v>
      </c>
    </row>
    <row r="2604" spans="12:65" x14ac:dyDescent="0.3">
      <c r="L2604" s="427">
        <v>15911279.219799999</v>
      </c>
      <c r="BE2604" s="477">
        <v>6128930.6436051065</v>
      </c>
      <c r="BF2604" s="458">
        <v>7.3380735896506621E-3</v>
      </c>
      <c r="BG2604" s="477">
        <v>6088761.6919015013</v>
      </c>
      <c r="BH2604" s="458">
        <v>4.0248837563980677E-2</v>
      </c>
      <c r="BI2604" s="477">
        <v>15875057.389721148</v>
      </c>
      <c r="BJ2604" s="458">
        <v>0.10821163016997448</v>
      </c>
      <c r="BK2604" s="477">
        <v>101991362.00660546</v>
      </c>
      <c r="BL2604" s="458">
        <v>0.26147757281334849</v>
      </c>
      <c r="BM2604" s="468">
        <v>13.306582965253547</v>
      </c>
    </row>
    <row r="2605" spans="12:65" x14ac:dyDescent="0.3">
      <c r="L2605" s="427">
        <v>2429584.4295000001</v>
      </c>
      <c r="BE2605" s="477">
        <v>4929632.0413306691</v>
      </c>
      <c r="BF2605" s="458">
        <v>2.7735878640135825E-2</v>
      </c>
      <c r="BG2605" s="477">
        <v>9912721.2346067689</v>
      </c>
      <c r="BH2605" s="458">
        <v>6.6209288896032392E-2</v>
      </c>
      <c r="BI2605" s="477">
        <v>11962096.449309178</v>
      </c>
      <c r="BJ2605" s="458">
        <v>9.8327887865439889E-2</v>
      </c>
      <c r="BK2605" s="477">
        <v>81553372.745809928</v>
      </c>
      <c r="BL2605" s="458">
        <v>0.26309464214338796</v>
      </c>
      <c r="BM2605" s="468">
        <v>7.445999223905166</v>
      </c>
    </row>
    <row r="2606" spans="12:65" x14ac:dyDescent="0.3">
      <c r="L2606" s="427">
        <v>625708.95079999999</v>
      </c>
      <c r="BE2606" s="477">
        <v>9804829.4457976092</v>
      </c>
      <c r="BF2606" s="458">
        <v>4.5097447971005566E-2</v>
      </c>
      <c r="BG2606" s="477">
        <v>149019.67597525939</v>
      </c>
      <c r="BH2606" s="458">
        <v>6.4122852119684159E-2</v>
      </c>
      <c r="BI2606" s="477">
        <v>13882748.488486305</v>
      </c>
      <c r="BJ2606" s="458">
        <v>0.1158174816075106</v>
      </c>
      <c r="BK2606" s="477">
        <v>82415268.789471805</v>
      </c>
      <c r="BL2606" s="458">
        <v>0.25889626805517607</v>
      </c>
      <c r="BM2606" s="468">
        <v>1.0468800891684822</v>
      </c>
    </row>
    <row r="2607" spans="12:65" x14ac:dyDescent="0.3">
      <c r="L2607" s="427">
        <v>-4272504.4389000004</v>
      </c>
      <c r="BE2607" s="477">
        <v>4527930.0021640006</v>
      </c>
      <c r="BF2607" s="458">
        <v>2.3012915418871405E-2</v>
      </c>
      <c r="BG2607" s="477">
        <v>132542.33491013994</v>
      </c>
      <c r="BH2607" s="458">
        <v>7.688176316275297E-2</v>
      </c>
      <c r="BI2607" s="477">
        <v>22015081.312869325</v>
      </c>
      <c r="BJ2607" s="458">
        <v>0.11658648106372937</v>
      </c>
      <c r="BK2607" s="477">
        <v>105095821.87826106</v>
      </c>
      <c r="BL2607" s="458">
        <v>0.26807948151124816</v>
      </c>
      <c r="BM2607" s="468">
        <v>6.2310960494318923</v>
      </c>
    </row>
    <row r="2608" spans="12:65" x14ac:dyDescent="0.3">
      <c r="L2608" s="427">
        <v>5931306.0866</v>
      </c>
      <c r="BE2608" s="477">
        <v>3217841.3332283096</v>
      </c>
      <c r="BF2608" s="458">
        <v>4.9279785013401023E-2</v>
      </c>
      <c r="BG2608" s="477">
        <v>10240346.390849328</v>
      </c>
      <c r="BH2608" s="458">
        <v>6.0587921520066645E-2</v>
      </c>
      <c r="BI2608" s="477">
        <v>14692008.675466953</v>
      </c>
      <c r="BJ2608" s="458">
        <v>7.9651753477543386E-2</v>
      </c>
      <c r="BK2608" s="477">
        <v>94712517.081442967</v>
      </c>
      <c r="BL2608" s="458">
        <v>0.27934958740991322</v>
      </c>
      <c r="BM2608" s="468">
        <v>5.2352235511817504</v>
      </c>
    </row>
    <row r="2609" spans="12:65" x14ac:dyDescent="0.3">
      <c r="L2609" s="427">
        <v>20237269.917100001</v>
      </c>
      <c r="BE2609" s="477">
        <v>3811535.6650670958</v>
      </c>
      <c r="BF2609" s="458">
        <v>4.1947939783671728E-2</v>
      </c>
      <c r="BG2609" s="477">
        <v>11264036.432446282</v>
      </c>
      <c r="BH2609" s="458">
        <v>6.493489873674485E-2</v>
      </c>
      <c r="BI2609" s="477">
        <v>10337136.986631131</v>
      </c>
      <c r="BJ2609" s="458">
        <v>0.13146758185649898</v>
      </c>
      <c r="BK2609" s="477">
        <v>96383831.493143693</v>
      </c>
      <c r="BL2609" s="458">
        <v>0.27816790669864444</v>
      </c>
      <c r="BM2609" s="468">
        <v>9.6381087115294264</v>
      </c>
    </row>
    <row r="2610" spans="12:65" x14ac:dyDescent="0.3">
      <c r="L2610" s="427">
        <v>-549073.75730000006</v>
      </c>
      <c r="BE2610" s="477">
        <v>5189102.773558029</v>
      </c>
      <c r="BF2610" s="458">
        <v>3.6401827638196549E-2</v>
      </c>
      <c r="BG2610" s="477">
        <v>4766410.8136999588</v>
      </c>
      <c r="BH2610" s="458">
        <v>6.8596652619373533E-2</v>
      </c>
      <c r="BI2610" s="477">
        <v>19850061.02887477</v>
      </c>
      <c r="BJ2610" s="458">
        <v>7.0823406735142758E-2</v>
      </c>
      <c r="BK2610" s="477">
        <v>98609312.080505699</v>
      </c>
      <c r="BL2610" s="458">
        <v>0.28785263946268658</v>
      </c>
      <c r="BM2610" s="468">
        <v>7.7863257880808678</v>
      </c>
    </row>
    <row r="2611" spans="12:65" x14ac:dyDescent="0.3">
      <c r="L2611" s="427">
        <v>10562456.6296</v>
      </c>
      <c r="BE2611" s="477">
        <v>5539869.3443481103</v>
      </c>
      <c r="BF2611" s="458">
        <v>6.3506530352539503E-2</v>
      </c>
      <c r="BG2611" s="477">
        <v>7666093.7764958916</v>
      </c>
      <c r="BH2611" s="458">
        <v>6.1042563370992564E-2</v>
      </c>
      <c r="BI2611" s="477">
        <v>14967428.97346855</v>
      </c>
      <c r="BJ2611" s="458">
        <v>0.13762834499919618</v>
      </c>
      <c r="BK2611" s="477">
        <v>92334994.033939555</v>
      </c>
      <c r="BL2611" s="458">
        <v>0.2606396381838616</v>
      </c>
      <c r="BM2611" s="468">
        <v>6.9348075553500639</v>
      </c>
    </row>
    <row r="2612" spans="12:65" x14ac:dyDescent="0.3">
      <c r="L2612" s="427">
        <v>11043724.3051</v>
      </c>
      <c r="BE2612" s="477">
        <v>2149040.3505273405</v>
      </c>
      <c r="BF2612" s="458">
        <v>2.3471041385827673E-2</v>
      </c>
      <c r="BG2612" s="477">
        <v>8356593.5256987745</v>
      </c>
      <c r="BH2612" s="458">
        <v>6.754633893655293E-2</v>
      </c>
      <c r="BI2612" s="477">
        <v>15777315.480858244</v>
      </c>
      <c r="BJ2612" s="458">
        <v>0.10363828870189917</v>
      </c>
      <c r="BK2612" s="477">
        <v>101677935.28217413</v>
      </c>
      <c r="BL2612" s="458">
        <v>0.2842116465411737</v>
      </c>
      <c r="BM2612" s="468">
        <v>9.1635664469772671</v>
      </c>
    </row>
    <row r="2613" spans="12:65" x14ac:dyDescent="0.3">
      <c r="L2613" s="427">
        <v>3121419.7711999998</v>
      </c>
      <c r="BE2613" s="477">
        <v>6973984.246931647</v>
      </c>
      <c r="BF2613" s="458">
        <v>2.756499241848509E-2</v>
      </c>
      <c r="BG2613" s="477">
        <v>9298617.8368313126</v>
      </c>
      <c r="BH2613" s="458">
        <v>5.483945365828391E-2</v>
      </c>
      <c r="BI2613" s="477">
        <v>19515964.336301018</v>
      </c>
      <c r="BJ2613" s="458">
        <v>0.12635343526125098</v>
      </c>
      <c r="BK2613" s="477">
        <v>87227915.639702231</v>
      </c>
      <c r="BL2613" s="458">
        <v>0.29331710154271917</v>
      </c>
      <c r="BM2613" s="468">
        <v>8.071602308332503</v>
      </c>
    </row>
    <row r="2614" spans="12:65" x14ac:dyDescent="0.3">
      <c r="L2614" s="427">
        <v>15735769.619100001</v>
      </c>
      <c r="BE2614" s="477">
        <v>11541291.194217784</v>
      </c>
      <c r="BF2614" s="458">
        <v>4.6435095989322717E-2</v>
      </c>
      <c r="BG2614" s="477">
        <v>8856636.6140150763</v>
      </c>
      <c r="BH2614" s="458">
        <v>8.1212032869613537E-2</v>
      </c>
      <c r="BI2614" s="477">
        <v>15544723.198508454</v>
      </c>
      <c r="BJ2614" s="458">
        <v>0.10257540531224008</v>
      </c>
      <c r="BK2614" s="477">
        <v>89485889.078759417</v>
      </c>
      <c r="BL2614" s="458">
        <v>0.2702207954090099</v>
      </c>
      <c r="BM2614" s="468">
        <v>7.3911797983454983</v>
      </c>
    </row>
    <row r="2615" spans="12:65" x14ac:dyDescent="0.3">
      <c r="L2615" s="427">
        <v>-1926514.6950000001</v>
      </c>
      <c r="BE2615" s="477">
        <v>3337212.6941188672</v>
      </c>
      <c r="BF2615" s="458">
        <v>2.2792427237655177E-2</v>
      </c>
      <c r="BG2615" s="477">
        <v>10655532.060416026</v>
      </c>
      <c r="BH2615" s="458">
        <v>6.8723133539849934E-2</v>
      </c>
      <c r="BI2615" s="477">
        <v>22298976.454862639</v>
      </c>
      <c r="BJ2615" s="458">
        <v>0.11046295257648597</v>
      </c>
      <c r="BK2615" s="477">
        <v>88914734.833891571</v>
      </c>
      <c r="BL2615" s="458">
        <v>0.26930573581748329</v>
      </c>
      <c r="BM2615" s="468">
        <v>9.172087143524891</v>
      </c>
    </row>
    <row r="2616" spans="12:65" x14ac:dyDescent="0.3">
      <c r="L2616" s="427">
        <v>17427093.3257</v>
      </c>
      <c r="BE2616" s="477">
        <v>3004629.7590486729</v>
      </c>
      <c r="BF2616" s="458">
        <v>3.084758144403188E-2</v>
      </c>
      <c r="BG2616" s="477">
        <v>9733973.3272929695</v>
      </c>
      <c r="BH2616" s="458">
        <v>6.3678202285296193E-2</v>
      </c>
      <c r="BI2616" s="477">
        <v>13858703.214744026</v>
      </c>
      <c r="BJ2616" s="458">
        <v>9.7857414072202165E-2</v>
      </c>
      <c r="BK2616" s="477">
        <v>63348567.843294695</v>
      </c>
      <c r="BL2616" s="458">
        <v>0.26199365162155575</v>
      </c>
      <c r="BM2616" s="468">
        <v>13.07494533027422</v>
      </c>
    </row>
    <row r="2617" spans="12:65" x14ac:dyDescent="0.3">
      <c r="L2617" s="427">
        <v>7852087.9722999996</v>
      </c>
      <c r="BE2617" s="477">
        <v>4639395.3893709686</v>
      </c>
      <c r="BF2617" s="458">
        <v>1.9998464893456358E-2</v>
      </c>
      <c r="BG2617" s="477">
        <v>12246569.522794776</v>
      </c>
      <c r="BH2617" s="458">
        <v>7.6557039965244433E-2</v>
      </c>
      <c r="BI2617" s="477">
        <v>23233279.0742063</v>
      </c>
      <c r="BJ2617" s="458">
        <v>0.11377550111072887</v>
      </c>
      <c r="BK2617" s="477">
        <v>76083024.811572343</v>
      </c>
      <c r="BL2617" s="458">
        <v>0.29159533311520458</v>
      </c>
      <c r="BM2617" s="468">
        <v>4.3335842484688545</v>
      </c>
    </row>
    <row r="2618" spans="12:65" x14ac:dyDescent="0.3">
      <c r="L2618" s="427">
        <v>9963142.8561000004</v>
      </c>
      <c r="BE2618" s="477">
        <v>-366252.93360449647</v>
      </c>
      <c r="BF2618" s="458">
        <v>3.6973820673976032E-2</v>
      </c>
      <c r="BG2618" s="477">
        <v>13282431.043919241</v>
      </c>
      <c r="BH2618" s="458">
        <v>6.4393647954944289E-2</v>
      </c>
      <c r="BI2618" s="477">
        <v>19252306.864297189</v>
      </c>
      <c r="BJ2618" s="458">
        <v>0.11739513559825965</v>
      </c>
      <c r="BK2618" s="477">
        <v>71672864.630384699</v>
      </c>
      <c r="BL2618" s="458">
        <v>0.27655815593552791</v>
      </c>
      <c r="BM2618" s="468">
        <v>11.398923768810246</v>
      </c>
    </row>
    <row r="2619" spans="12:65" x14ac:dyDescent="0.3">
      <c r="L2619" s="427">
        <v>-3039487.5869999998</v>
      </c>
      <c r="BE2619" s="477">
        <v>5513285.3133931085</v>
      </c>
      <c r="BF2619" s="458">
        <v>3.8333825923442255E-2</v>
      </c>
      <c r="BG2619" s="477">
        <v>10617136.679107439</v>
      </c>
      <c r="BH2619" s="458">
        <v>7.9530785107555069E-2</v>
      </c>
      <c r="BI2619" s="477">
        <v>13171556.982336964</v>
      </c>
      <c r="BJ2619" s="458">
        <v>8.9902225768113686E-2</v>
      </c>
      <c r="BK2619" s="477">
        <v>90227925.97889623</v>
      </c>
      <c r="BL2619" s="458">
        <v>0.29149327781504453</v>
      </c>
      <c r="BM2619" s="468">
        <v>5.8519200701844802</v>
      </c>
    </row>
    <row r="2620" spans="12:65" x14ac:dyDescent="0.3">
      <c r="L2620" s="427">
        <v>15943316.539100001</v>
      </c>
      <c r="BE2620" s="477">
        <v>7426606.5108012203</v>
      </c>
      <c r="BF2620" s="458">
        <v>2.7605384277220812E-2</v>
      </c>
      <c r="BG2620" s="477">
        <v>9679867.0246477462</v>
      </c>
      <c r="BH2620" s="458">
        <v>6.5622968561632744E-2</v>
      </c>
      <c r="BI2620" s="477">
        <v>20726541.049079902</v>
      </c>
      <c r="BJ2620" s="458">
        <v>0.10480298514876063</v>
      </c>
      <c r="BK2620" s="477">
        <v>85224781.35320951</v>
      </c>
      <c r="BL2620" s="458">
        <v>0.27538404455367282</v>
      </c>
      <c r="BM2620" s="468">
        <v>3.4577789453092285</v>
      </c>
    </row>
    <row r="2621" spans="12:65" x14ac:dyDescent="0.3">
      <c r="L2621" s="427">
        <v>1948485.0146000001</v>
      </c>
      <c r="BE2621" s="477">
        <v>4018683.4269611118</v>
      </c>
      <c r="BF2621" s="458">
        <v>2.774480883995678E-2</v>
      </c>
      <c r="BG2621" s="477">
        <v>6718000.3290104028</v>
      </c>
      <c r="BH2621" s="458">
        <v>6.0867143627242326E-2</v>
      </c>
      <c r="BI2621" s="477">
        <v>13853852.788019467</v>
      </c>
      <c r="BJ2621" s="458">
        <v>7.4426111650510274E-2</v>
      </c>
      <c r="BK2621" s="477">
        <v>94305409.107168764</v>
      </c>
      <c r="BL2621" s="458">
        <v>0.26815926614329211</v>
      </c>
      <c r="BM2621" s="468">
        <v>5.7604251437949436</v>
      </c>
    </row>
    <row r="2622" spans="12:65" x14ac:dyDescent="0.3">
      <c r="L2622" s="427">
        <v>-5286249.6733999997</v>
      </c>
      <c r="BE2622" s="477">
        <v>6125919.9961198783</v>
      </c>
      <c r="BF2622" s="458">
        <v>2.7317072198759895E-2</v>
      </c>
      <c r="BG2622" s="477">
        <v>7407620.9834514949</v>
      </c>
      <c r="BH2622" s="458">
        <v>6.322425721770597E-2</v>
      </c>
      <c r="BI2622" s="477">
        <v>14042899.748527694</v>
      </c>
      <c r="BJ2622" s="458">
        <v>9.2883304716424142E-2</v>
      </c>
      <c r="BK2622" s="477">
        <v>88149789.129894689</v>
      </c>
      <c r="BL2622" s="458">
        <v>0.28591473815568746</v>
      </c>
      <c r="BM2622" s="468">
        <v>9.676150656754098</v>
      </c>
    </row>
    <row r="2623" spans="12:65" x14ac:dyDescent="0.3">
      <c r="L2623" s="427">
        <v>-4121139.7722</v>
      </c>
      <c r="BE2623" s="477">
        <v>757059.36279498169</v>
      </c>
      <c r="BF2623" s="458">
        <v>5.6723231049513601E-2</v>
      </c>
      <c r="BG2623" s="477">
        <v>2231899.3502229676</v>
      </c>
      <c r="BH2623" s="458">
        <v>6.1301867702543866E-2</v>
      </c>
      <c r="BI2623" s="477">
        <v>24870562.37299931</v>
      </c>
      <c r="BJ2623" s="458">
        <v>0.11958603105878707</v>
      </c>
      <c r="BK2623" s="477">
        <v>76207959.65709278</v>
      </c>
      <c r="BL2623" s="458">
        <v>0.28757558400256578</v>
      </c>
      <c r="BM2623" s="468">
        <v>3.7182861414670878</v>
      </c>
    </row>
    <row r="2624" spans="12:65" x14ac:dyDescent="0.3">
      <c r="L2624" s="427">
        <v>4735091.6393999998</v>
      </c>
      <c r="BE2624" s="477">
        <v>6402178.4227983495</v>
      </c>
      <c r="BF2624" s="458">
        <v>4.2267186839945792E-2</v>
      </c>
      <c r="BG2624" s="477">
        <v>13123327.422399653</v>
      </c>
      <c r="BH2624" s="458">
        <v>8.3795230660564934E-2</v>
      </c>
      <c r="BI2624" s="477">
        <v>20295092.445226528</v>
      </c>
      <c r="BJ2624" s="458">
        <v>0.1157760726412016</v>
      </c>
      <c r="BK2624" s="477">
        <v>97784733.015904173</v>
      </c>
      <c r="BL2624" s="458">
        <v>0.29017063680069222</v>
      </c>
      <c r="BM2624" s="468">
        <v>4.8989317554503931</v>
      </c>
    </row>
    <row r="2625" spans="12:65" x14ac:dyDescent="0.3">
      <c r="L2625" s="427">
        <v>7969536.8225999996</v>
      </c>
      <c r="BE2625" s="477">
        <v>2422513.5400568345</v>
      </c>
      <c r="BF2625" s="458">
        <v>8.2691783688941367E-2</v>
      </c>
      <c r="BG2625" s="477">
        <v>7952074.185235206</v>
      </c>
      <c r="BH2625" s="458">
        <v>7.0003649753240804E-2</v>
      </c>
      <c r="BI2625" s="477">
        <v>10454637.348211098</v>
      </c>
      <c r="BJ2625" s="458">
        <v>0.10960715733828708</v>
      </c>
      <c r="BK2625" s="477">
        <v>91707023.521719202</v>
      </c>
      <c r="BL2625" s="458">
        <v>0.2676348318884223</v>
      </c>
      <c r="BM2625" s="468">
        <v>9.9362167001439961</v>
      </c>
    </row>
    <row r="2626" spans="12:65" x14ac:dyDescent="0.3">
      <c r="L2626" s="427">
        <v>15072007.668</v>
      </c>
      <c r="BE2626" s="477">
        <v>140384.26267720433</v>
      </c>
      <c r="BF2626" s="458">
        <v>5.7426834982236885E-2</v>
      </c>
      <c r="BG2626" s="477">
        <v>10145852.511060091</v>
      </c>
      <c r="BH2626" s="458">
        <v>6.5773766455684335E-2</v>
      </c>
      <c r="BI2626" s="477">
        <v>22843068.205540366</v>
      </c>
      <c r="BJ2626" s="458">
        <v>0.13593879134556142</v>
      </c>
      <c r="BK2626" s="477">
        <v>93666142.272691935</v>
      </c>
      <c r="BL2626" s="458">
        <v>0.28497143103028288</v>
      </c>
      <c r="BM2626" s="468">
        <v>10.729393291750448</v>
      </c>
    </row>
    <row r="2627" spans="12:65" x14ac:dyDescent="0.3">
      <c r="L2627" s="427">
        <v>-3106486.8160000001</v>
      </c>
      <c r="BE2627" s="477">
        <v>7371537.9387434842</v>
      </c>
      <c r="BF2627" s="458">
        <v>6.4046513149667472E-2</v>
      </c>
      <c r="BG2627" s="477">
        <v>11968300.592587482</v>
      </c>
      <c r="BH2627" s="458">
        <v>5.3276577220865429E-2</v>
      </c>
      <c r="BI2627" s="477">
        <v>20231782.640609115</v>
      </c>
      <c r="BJ2627" s="458">
        <v>0.13284722683710459</v>
      </c>
      <c r="BK2627" s="477">
        <v>89475309.143730462</v>
      </c>
      <c r="BL2627" s="458">
        <v>0.28799992887684689</v>
      </c>
      <c r="BM2627" s="468">
        <v>9.0033571363052793</v>
      </c>
    </row>
    <row r="2628" spans="12:65" x14ac:dyDescent="0.3">
      <c r="L2628" s="427">
        <v>23343933.826200001</v>
      </c>
      <c r="BE2628" s="477">
        <v>3120806.616474723</v>
      </c>
      <c r="BF2628" s="458">
        <v>5.9705012831387627E-2</v>
      </c>
      <c r="BG2628" s="477">
        <v>9409650.8742138389</v>
      </c>
      <c r="BH2628" s="458">
        <v>5.5117642424370894E-2</v>
      </c>
      <c r="BI2628" s="477">
        <v>19284027.360470597</v>
      </c>
      <c r="BJ2628" s="458">
        <v>0.11685507086355607</v>
      </c>
      <c r="BK2628" s="477">
        <v>99392270.942198604</v>
      </c>
      <c r="BL2628" s="458">
        <v>0.28172344951788086</v>
      </c>
      <c r="BM2628" s="468">
        <v>10.576060355883881</v>
      </c>
    </row>
    <row r="2629" spans="12:65" x14ac:dyDescent="0.3">
      <c r="L2629" s="427">
        <v>12130428.247300001</v>
      </c>
      <c r="BE2629" s="477">
        <v>8881499.782385122</v>
      </c>
      <c r="BF2629" s="458">
        <v>2.4714954834130332E-2</v>
      </c>
      <c r="BG2629" s="477">
        <v>8653616.7754149847</v>
      </c>
      <c r="BH2629" s="458">
        <v>6.4320459441901345E-2</v>
      </c>
      <c r="BI2629" s="477">
        <v>12698515.940159578</v>
      </c>
      <c r="BJ2629" s="458">
        <v>0.10014942242691927</v>
      </c>
      <c r="BK2629" s="477">
        <v>99924929.003687978</v>
      </c>
      <c r="BL2629" s="458">
        <v>0.26455067228533813</v>
      </c>
      <c r="BM2629" s="468">
        <v>5.8145971928929452</v>
      </c>
    </row>
    <row r="2630" spans="12:65" x14ac:dyDescent="0.3">
      <c r="L2630" s="427">
        <v>7659205.0376000004</v>
      </c>
      <c r="BE2630" s="477">
        <v>666535.45071299036</v>
      </c>
      <c r="BF2630" s="458">
        <v>4.1596712456855034E-2</v>
      </c>
      <c r="BG2630" s="477">
        <v>10270859.495886488</v>
      </c>
      <c r="BH2630" s="458">
        <v>7.3724579479935048E-2</v>
      </c>
      <c r="BI2630" s="477">
        <v>15032930.591560425</v>
      </c>
      <c r="BJ2630" s="458">
        <v>0.10353075812493806</v>
      </c>
      <c r="BK2630" s="477">
        <v>102108518.52541164</v>
      </c>
      <c r="BL2630" s="458">
        <v>0.25917709272928913</v>
      </c>
      <c r="BM2630" s="468">
        <v>3.5960446033920874</v>
      </c>
    </row>
    <row r="2631" spans="12:65" x14ac:dyDescent="0.3">
      <c r="L2631" s="427">
        <v>3371136.5373</v>
      </c>
      <c r="BE2631" s="477">
        <v>9306007.1854384784</v>
      </c>
      <c r="BF2631" s="458">
        <v>5.9456779003291604E-2</v>
      </c>
      <c r="BG2631" s="477">
        <v>8944862.6174644101</v>
      </c>
      <c r="BH2631" s="458">
        <v>6.4249827816164062E-2</v>
      </c>
      <c r="BI2631" s="477">
        <v>12179941.028615536</v>
      </c>
      <c r="BJ2631" s="458">
        <v>0.10751492557935793</v>
      </c>
      <c r="BK2631" s="477">
        <v>91813734.010449871</v>
      </c>
      <c r="BL2631" s="458">
        <v>0.2807726492279834</v>
      </c>
      <c r="BM2631" s="468">
        <v>4.4053207157303014</v>
      </c>
    </row>
    <row r="2632" spans="12:65" x14ac:dyDescent="0.3">
      <c r="L2632" s="427">
        <v>1866550.1979</v>
      </c>
      <c r="BE2632" s="477">
        <v>448878.42912624916</v>
      </c>
      <c r="BF2632" s="458">
        <v>5.7713111798036953E-2</v>
      </c>
      <c r="BG2632" s="477">
        <v>10883859.168408828</v>
      </c>
      <c r="BH2632" s="458">
        <v>5.2025366817770147E-2</v>
      </c>
      <c r="BI2632" s="477">
        <v>8089850.6414632266</v>
      </c>
      <c r="BJ2632" s="458">
        <v>0.10383728892710198</v>
      </c>
      <c r="BK2632" s="477">
        <v>91242897.833143249</v>
      </c>
      <c r="BL2632" s="458">
        <v>0.25604694480149726</v>
      </c>
      <c r="BM2632" s="468">
        <v>4.3723754923629485</v>
      </c>
    </row>
    <row r="2633" spans="12:65" x14ac:dyDescent="0.3">
      <c r="L2633" s="427">
        <v>12307983.958900001</v>
      </c>
      <c r="BE2633" s="477">
        <v>3478284.5061614225</v>
      </c>
      <c r="BF2633" s="458">
        <v>2.7389269670255123E-2</v>
      </c>
      <c r="BG2633" s="477">
        <v>3168187.452816823</v>
      </c>
      <c r="BH2633" s="458">
        <v>0.11410495507080376</v>
      </c>
      <c r="BI2633" s="477">
        <v>14237138.260582734</v>
      </c>
      <c r="BJ2633" s="458">
        <v>0.11940146558256015</v>
      </c>
      <c r="BK2633" s="477">
        <v>85680937.675363079</v>
      </c>
      <c r="BL2633" s="458">
        <v>0.25501492517685254</v>
      </c>
      <c r="BM2633" s="468">
        <v>13.103981396054911</v>
      </c>
    </row>
    <row r="2634" spans="12:65" x14ac:dyDescent="0.3">
      <c r="L2634" s="427">
        <v>600139.18680000002</v>
      </c>
      <c r="BE2634" s="477">
        <v>2063996.2344635245</v>
      </c>
      <c r="BF2634" s="458">
        <v>6.4405322435553414E-2</v>
      </c>
      <c r="BG2634" s="477">
        <v>5537107.9367668713</v>
      </c>
      <c r="BH2634" s="458">
        <v>7.5870951390391683E-2</v>
      </c>
      <c r="BI2634" s="477">
        <v>18339463.66692096</v>
      </c>
      <c r="BJ2634" s="458">
        <v>0.13597697044597701</v>
      </c>
      <c r="BK2634" s="477">
        <v>83480893.998271853</v>
      </c>
      <c r="BL2634" s="458">
        <v>0.2524862476244325</v>
      </c>
      <c r="BM2634" s="468">
        <v>10.706367887513236</v>
      </c>
    </row>
    <row r="2635" spans="12:65" x14ac:dyDescent="0.3">
      <c r="L2635" s="427">
        <v>-1228431.6017</v>
      </c>
      <c r="BE2635" s="477">
        <v>7007981.6925302213</v>
      </c>
      <c r="BF2635" s="458">
        <v>3.4333857485734143E-2</v>
      </c>
      <c r="BG2635" s="477">
        <v>7439264.7945442619</v>
      </c>
      <c r="BH2635" s="458">
        <v>5.1239087004495198E-2</v>
      </c>
      <c r="BI2635" s="477">
        <v>13626866.929953707</v>
      </c>
      <c r="BJ2635" s="458">
        <v>0.11705797737749712</v>
      </c>
      <c r="BK2635" s="477">
        <v>81665568.8710673</v>
      </c>
      <c r="BL2635" s="458">
        <v>0.26816656884285139</v>
      </c>
      <c r="BM2635" s="468">
        <v>6.4052189735648533</v>
      </c>
    </row>
    <row r="2636" spans="12:65" x14ac:dyDescent="0.3">
      <c r="L2636" s="427">
        <v>17894475.043000001</v>
      </c>
      <c r="BE2636" s="477">
        <v>349657.8116747287</v>
      </c>
      <c r="BF2636" s="458">
        <v>3.638727880857151E-2</v>
      </c>
      <c r="BG2636" s="477">
        <v>11106077.678597011</v>
      </c>
      <c r="BH2636" s="458">
        <v>6.8359492894751517E-2</v>
      </c>
      <c r="BI2636" s="477">
        <v>23754832.415506631</v>
      </c>
      <c r="BJ2636" s="458">
        <v>8.4859894776818212E-2</v>
      </c>
      <c r="BK2636" s="477">
        <v>99067629.173951417</v>
      </c>
      <c r="BL2636" s="458">
        <v>0.3132325755270553</v>
      </c>
      <c r="BM2636" s="468">
        <v>12.595881925282194</v>
      </c>
    </row>
    <row r="2637" spans="12:65" x14ac:dyDescent="0.3">
      <c r="L2637" s="427">
        <v>3939405.9627</v>
      </c>
      <c r="BE2637" s="477">
        <v>4276505.4890899779</v>
      </c>
      <c r="BF2637" s="458">
        <v>5.3650945022875929E-2</v>
      </c>
      <c r="BG2637" s="477">
        <v>8068520.7230886463</v>
      </c>
      <c r="BH2637" s="458">
        <v>7.2219216502706463E-2</v>
      </c>
      <c r="BI2637" s="477">
        <v>18453419.356911298</v>
      </c>
      <c r="BJ2637" s="458">
        <v>0.10500361128301439</v>
      </c>
      <c r="BK2637" s="477">
        <v>87190670.691350132</v>
      </c>
      <c r="BL2637" s="458">
        <v>0.2653590308745899</v>
      </c>
      <c r="BM2637" s="468">
        <v>4.7088430435012008</v>
      </c>
    </row>
    <row r="2638" spans="12:65" x14ac:dyDescent="0.3">
      <c r="L2638" s="427">
        <v>14979247.5757</v>
      </c>
      <c r="BE2638" s="477">
        <v>8840911.95929184</v>
      </c>
      <c r="BF2638" s="458">
        <v>3.8750621256584461E-2</v>
      </c>
      <c r="BG2638" s="477">
        <v>10332652.996358117</v>
      </c>
      <c r="BH2638" s="458">
        <v>7.4843740170740913E-2</v>
      </c>
      <c r="BI2638" s="477">
        <v>8999259.510242926</v>
      </c>
      <c r="BJ2638" s="458">
        <v>0.13902294319798858</v>
      </c>
      <c r="BK2638" s="477">
        <v>75112011.054908738</v>
      </c>
      <c r="BL2638" s="458">
        <v>0.26034507549036734</v>
      </c>
      <c r="BM2638" s="468">
        <v>8.7644108720054668</v>
      </c>
    </row>
    <row r="2639" spans="12:65" x14ac:dyDescent="0.3">
      <c r="L2639" s="427">
        <v>-497987.60680000001</v>
      </c>
      <c r="BE2639" s="477">
        <v>9891813.0484522413</v>
      </c>
      <c r="BF2639" s="458">
        <v>4.2411759793604675E-2</v>
      </c>
      <c r="BG2639" s="477">
        <v>7950901.509758871</v>
      </c>
      <c r="BH2639" s="458">
        <v>6.465674609870975E-2</v>
      </c>
      <c r="BI2639" s="477">
        <v>15201460.50349587</v>
      </c>
      <c r="BJ2639" s="458">
        <v>9.7953341508520531E-2</v>
      </c>
      <c r="BK2639" s="477">
        <v>86013058.972817302</v>
      </c>
      <c r="BL2639" s="458">
        <v>0.2780275964387815</v>
      </c>
      <c r="BM2639" s="468">
        <v>5.1863031508696373</v>
      </c>
    </row>
    <row r="2640" spans="12:65" x14ac:dyDescent="0.3">
      <c r="L2640" s="427">
        <v>10948022.740900001</v>
      </c>
      <c r="BE2640" s="477">
        <v>4630241.7169508599</v>
      </c>
      <c r="BF2640" s="458">
        <v>1.3892598395450317E-2</v>
      </c>
      <c r="BG2640" s="477">
        <v>6489965.4466337552</v>
      </c>
      <c r="BH2640" s="458">
        <v>5.1199895212312274E-2</v>
      </c>
      <c r="BI2640" s="477">
        <v>10662420.623329289</v>
      </c>
      <c r="BJ2640" s="458">
        <v>0.11495091452109918</v>
      </c>
      <c r="BK2640" s="477">
        <v>88527112.684323862</v>
      </c>
      <c r="BL2640" s="458">
        <v>0.29030604671086091</v>
      </c>
      <c r="BM2640" s="468">
        <v>2.1294725047726111</v>
      </c>
    </row>
    <row r="2641" spans="12:65" x14ac:dyDescent="0.3">
      <c r="L2641" s="427">
        <v>7708630.5684000002</v>
      </c>
      <c r="BE2641" s="477">
        <v>1343545.7441045954</v>
      </c>
      <c r="BF2641" s="458">
        <v>5.6664135971207896E-2</v>
      </c>
      <c r="BG2641" s="477">
        <v>7872055.923428298</v>
      </c>
      <c r="BH2641" s="458">
        <v>9.51506389464436E-2</v>
      </c>
      <c r="BI2641" s="477">
        <v>6446006.3605594058</v>
      </c>
      <c r="BJ2641" s="458">
        <v>0.10621541956121194</v>
      </c>
      <c r="BK2641" s="477">
        <v>93207247.589990407</v>
      </c>
      <c r="BL2641" s="458">
        <v>0.25298948648739361</v>
      </c>
      <c r="BM2641" s="468">
        <v>15.059388670521315</v>
      </c>
    </row>
    <row r="2642" spans="12:65" x14ac:dyDescent="0.3">
      <c r="L2642" s="427">
        <v>-14939898.2893</v>
      </c>
      <c r="BE2642" s="477">
        <v>4194708.8184781251</v>
      </c>
      <c r="BF2642" s="458">
        <v>4.9957686512198007E-2</v>
      </c>
      <c r="BG2642" s="477">
        <v>12524768.319540022</v>
      </c>
      <c r="BH2642" s="458">
        <v>7.2359007952118359E-2</v>
      </c>
      <c r="BI2642" s="477">
        <v>18687968.99631888</v>
      </c>
      <c r="BJ2642" s="458">
        <v>0.12547919027448851</v>
      </c>
      <c r="BK2642" s="477">
        <v>89608109.682984859</v>
      </c>
      <c r="BL2642" s="458">
        <v>0.26789364569357277</v>
      </c>
      <c r="BM2642" s="468">
        <v>10.994142961988803</v>
      </c>
    </row>
    <row r="2643" spans="12:65" x14ac:dyDescent="0.3">
      <c r="L2643" s="427">
        <v>6832253.2867999999</v>
      </c>
      <c r="BE2643" s="477">
        <v>4766661.3734447528</v>
      </c>
      <c r="BF2643" s="458">
        <v>2.8353646424301715E-2</v>
      </c>
      <c r="BG2643" s="477">
        <v>7902943.2086272957</v>
      </c>
      <c r="BH2643" s="458">
        <v>2.895457702351667E-2</v>
      </c>
      <c r="BI2643" s="477">
        <v>17965932.747904621</v>
      </c>
      <c r="BJ2643" s="458">
        <v>0.11446384088799832</v>
      </c>
      <c r="BK2643" s="477">
        <v>102979912.34916267</v>
      </c>
      <c r="BL2643" s="458">
        <v>0.28331335089621468</v>
      </c>
      <c r="BM2643" s="468">
        <v>9.8940278090427594</v>
      </c>
    </row>
    <row r="2644" spans="12:65" x14ac:dyDescent="0.3">
      <c r="L2644" s="427">
        <v>8270639.5477</v>
      </c>
      <c r="BE2644" s="477">
        <v>5045010.9731156789</v>
      </c>
      <c r="BF2644" s="458">
        <v>5.142765679000405E-2</v>
      </c>
      <c r="BG2644" s="477">
        <v>5204421.8286053631</v>
      </c>
      <c r="BH2644" s="458">
        <v>8.4602245197521686E-2</v>
      </c>
      <c r="BI2644" s="477">
        <v>16379099.473668741</v>
      </c>
      <c r="BJ2644" s="458">
        <v>0.12211335275608382</v>
      </c>
      <c r="BK2644" s="477">
        <v>91770368.260822475</v>
      </c>
      <c r="BL2644" s="458">
        <v>0.26941916146074707</v>
      </c>
      <c r="BM2644" s="468">
        <v>3.3735195111669913</v>
      </c>
    </row>
    <row r="2645" spans="12:65" x14ac:dyDescent="0.3">
      <c r="L2645" s="427">
        <v>-6151694.7286999999</v>
      </c>
      <c r="BE2645" s="477">
        <v>9861710.2793282848</v>
      </c>
      <c r="BF2645" s="458">
        <v>2.9053486482507163E-2</v>
      </c>
      <c r="BG2645" s="477">
        <v>15531533.946315622</v>
      </c>
      <c r="BH2645" s="458">
        <v>8.8671952538297738E-2</v>
      </c>
      <c r="BI2645" s="477">
        <v>19214254.182018645</v>
      </c>
      <c r="BJ2645" s="458">
        <v>0.12048726580891556</v>
      </c>
      <c r="BK2645" s="477">
        <v>88703996.067411542</v>
      </c>
      <c r="BL2645" s="458">
        <v>0.25535659250211307</v>
      </c>
      <c r="BM2645" s="468">
        <v>3.8956530418361073</v>
      </c>
    </row>
    <row r="2646" spans="12:65" x14ac:dyDescent="0.3">
      <c r="L2646" s="427">
        <v>7662203.6610000003</v>
      </c>
      <c r="BE2646" s="477">
        <v>7759966.5179938935</v>
      </c>
      <c r="BF2646" s="458">
        <v>4.1592291633880452E-2</v>
      </c>
      <c r="BG2646" s="477">
        <v>2986968.6232232223</v>
      </c>
      <c r="BH2646" s="458">
        <v>7.0612792426592907E-2</v>
      </c>
      <c r="BI2646" s="477">
        <v>22784644.783920392</v>
      </c>
      <c r="BJ2646" s="458">
        <v>9.8430116845065863E-2</v>
      </c>
      <c r="BK2646" s="477">
        <v>79691203.927032173</v>
      </c>
      <c r="BL2646" s="458">
        <v>0.2568627690344889</v>
      </c>
      <c r="BM2646" s="468">
        <v>11.051420929607746</v>
      </c>
    </row>
    <row r="2647" spans="12:65" x14ac:dyDescent="0.3">
      <c r="L2647" s="427">
        <v>24142427.804200001</v>
      </c>
      <c r="BE2647" s="477">
        <v>4753623.6284591993</v>
      </c>
      <c r="BF2647" s="458">
        <v>6.7008540042123421E-2</v>
      </c>
      <c r="BG2647" s="477">
        <v>11731070.347079342</v>
      </c>
      <c r="BH2647" s="458">
        <v>9.7046055722788127E-2</v>
      </c>
      <c r="BI2647" s="477">
        <v>13248785.78730347</v>
      </c>
      <c r="BJ2647" s="458">
        <v>0.12621960960170475</v>
      </c>
      <c r="BK2647" s="477">
        <v>106251104.34255233</v>
      </c>
      <c r="BL2647" s="458">
        <v>0.26284713499038159</v>
      </c>
      <c r="BM2647" s="468">
        <v>14.580687806927688</v>
      </c>
    </row>
    <row r="2648" spans="12:65" x14ac:dyDescent="0.3">
      <c r="L2648" s="427">
        <v>13117903.539899999</v>
      </c>
      <c r="BE2648" s="477">
        <v>6701015.2705741515</v>
      </c>
      <c r="BF2648" s="458">
        <v>3.9519031145160533E-2</v>
      </c>
      <c r="BG2648" s="477">
        <v>2648696.0747048021</v>
      </c>
      <c r="BH2648" s="458">
        <v>6.5085726950368405E-2</v>
      </c>
      <c r="BI2648" s="477">
        <v>19152917.707874909</v>
      </c>
      <c r="BJ2648" s="458">
        <v>0.14213815896941684</v>
      </c>
      <c r="BK2648" s="477">
        <v>93681090.200667933</v>
      </c>
      <c r="BL2648" s="458">
        <v>0.26609235403264164</v>
      </c>
      <c r="BM2648" s="468">
        <v>8.4903383227042912</v>
      </c>
    </row>
    <row r="2649" spans="12:65" x14ac:dyDescent="0.3">
      <c r="L2649" s="427">
        <v>-8146880.4343999997</v>
      </c>
      <c r="BE2649" s="477">
        <v>4217419.1706134984</v>
      </c>
      <c r="BF2649" s="458">
        <v>4.7857376829042231E-2</v>
      </c>
      <c r="BG2649" s="477">
        <v>10292654.048213044</v>
      </c>
      <c r="BH2649" s="458">
        <v>5.8522020313543477E-2</v>
      </c>
      <c r="BI2649" s="477">
        <v>24132414.498425353</v>
      </c>
      <c r="BJ2649" s="458">
        <v>0.11393034341407748</v>
      </c>
      <c r="BK2649" s="477">
        <v>82843445.824537635</v>
      </c>
      <c r="BL2649" s="458">
        <v>0.25311057689732186</v>
      </c>
      <c r="BM2649" s="468">
        <v>12.054797608533885</v>
      </c>
    </row>
    <row r="2650" spans="12:65" x14ac:dyDescent="0.3">
      <c r="L2650" s="427">
        <v>7729611.7517999997</v>
      </c>
      <c r="BE2650" s="477">
        <v>8457252.6171143465</v>
      </c>
      <c r="BF2650" s="458">
        <v>3.7469199530111297E-2</v>
      </c>
      <c r="BG2650" s="477">
        <v>7269237.8343302961</v>
      </c>
      <c r="BH2650" s="458">
        <v>5.4504161134186546E-2</v>
      </c>
      <c r="BI2650" s="477">
        <v>17523225.333166882</v>
      </c>
      <c r="BJ2650" s="458">
        <v>0.10335084615229606</v>
      </c>
      <c r="BK2650" s="477">
        <v>85176397.650778264</v>
      </c>
      <c r="BL2650" s="458">
        <v>0.25945732491103013</v>
      </c>
      <c r="BM2650" s="468">
        <v>10.871244940605841</v>
      </c>
    </row>
    <row r="2651" spans="12:65" x14ac:dyDescent="0.3">
      <c r="L2651" s="427">
        <v>12101972.8278</v>
      </c>
      <c r="BE2651" s="477">
        <v>9145628.1998689249</v>
      </c>
      <c r="BF2651" s="458">
        <v>2.7917253763262373E-2</v>
      </c>
      <c r="BG2651" s="477">
        <v>4460892.5019070012</v>
      </c>
      <c r="BH2651" s="458">
        <v>6.3305221649185617E-2</v>
      </c>
      <c r="BI2651" s="477">
        <v>19614460.727194216</v>
      </c>
      <c r="BJ2651" s="458">
        <v>0.10884307690960227</v>
      </c>
      <c r="BK2651" s="477">
        <v>83716286.808231652</v>
      </c>
      <c r="BL2651" s="458">
        <v>0.25884995837632796</v>
      </c>
      <c r="BM2651" s="468">
        <v>3.4382725149141837</v>
      </c>
    </row>
    <row r="2652" spans="12:65" x14ac:dyDescent="0.3">
      <c r="L2652" s="427">
        <v>17017303.2291</v>
      </c>
      <c r="BE2652" s="477">
        <v>2266045.4310264401</v>
      </c>
      <c r="BF2652" s="458">
        <v>3.7192058463975552E-2</v>
      </c>
      <c r="BG2652" s="477">
        <v>6498691.0934219975</v>
      </c>
      <c r="BH2652" s="458">
        <v>2.1264388466514017E-2</v>
      </c>
      <c r="BI2652" s="477">
        <v>19380296.368994262</v>
      </c>
      <c r="BJ2652" s="458">
        <v>0.12605332715116457</v>
      </c>
      <c r="BK2652" s="477">
        <v>95546114.890417263</v>
      </c>
      <c r="BL2652" s="458">
        <v>0.25108785384502363</v>
      </c>
      <c r="BM2652" s="468">
        <v>9.313644474331527</v>
      </c>
    </row>
    <row r="2653" spans="12:65" x14ac:dyDescent="0.3">
      <c r="L2653" s="427">
        <v>-5724361.7657000003</v>
      </c>
      <c r="BE2653" s="477">
        <v>5877273.0020315843</v>
      </c>
      <c r="BF2653" s="458">
        <v>4.2586499058917537E-2</v>
      </c>
      <c r="BG2653" s="477">
        <v>15969109.875606881</v>
      </c>
      <c r="BH2653" s="458">
        <v>5.763899921045379E-2</v>
      </c>
      <c r="BI2653" s="477">
        <v>24847916.283786152</v>
      </c>
      <c r="BJ2653" s="458">
        <v>0.1080136405109644</v>
      </c>
      <c r="BK2653" s="477">
        <v>75773225.099569768</v>
      </c>
      <c r="BL2653" s="458">
        <v>0.27772549514469991</v>
      </c>
      <c r="BM2653" s="468">
        <v>4.2143348562165013</v>
      </c>
    </row>
    <row r="2654" spans="12:65" x14ac:dyDescent="0.3">
      <c r="L2654" s="427">
        <v>4995633.0844999999</v>
      </c>
      <c r="BE2654" s="477">
        <v>3230142.4568924131</v>
      </c>
      <c r="BF2654" s="458">
        <v>3.308866129008381E-2</v>
      </c>
      <c r="BG2654" s="477">
        <v>13944579.848985059</v>
      </c>
      <c r="BH2654" s="458">
        <v>7.2801165101015197E-2</v>
      </c>
      <c r="BI2654" s="477">
        <v>20680977.540088907</v>
      </c>
      <c r="BJ2654" s="458">
        <v>0.11712150416939071</v>
      </c>
      <c r="BK2654" s="477">
        <v>82044144.165453762</v>
      </c>
      <c r="BL2654" s="458">
        <v>0.27099990867146539</v>
      </c>
      <c r="BM2654" s="468">
        <v>9.8450187422230755</v>
      </c>
    </row>
    <row r="2655" spans="12:65" x14ac:dyDescent="0.3">
      <c r="L2655" s="427">
        <v>13020974.345899999</v>
      </c>
      <c r="BE2655" s="477">
        <v>2368559.7346068379</v>
      </c>
      <c r="BF2655" s="458">
        <v>5.4314687904346348E-2</v>
      </c>
      <c r="BG2655" s="477">
        <v>8675472.3069040384</v>
      </c>
      <c r="BH2655" s="458">
        <v>7.2516330385255845E-2</v>
      </c>
      <c r="BI2655" s="477">
        <v>15322960.726417834</v>
      </c>
      <c r="BJ2655" s="458">
        <v>0.11225058443590563</v>
      </c>
      <c r="BK2655" s="477">
        <v>72611138.903851464</v>
      </c>
      <c r="BL2655" s="458">
        <v>0.28111767018104628</v>
      </c>
      <c r="BM2655" s="468">
        <v>11.445679272563433</v>
      </c>
    </row>
    <row r="2656" spans="12:65" x14ac:dyDescent="0.3">
      <c r="L2656" s="427">
        <v>2714727.5123000001</v>
      </c>
      <c r="BE2656" s="477">
        <v>11374659.239176307</v>
      </c>
      <c r="BF2656" s="458">
        <v>4.2238044385042084E-2</v>
      </c>
      <c r="BG2656" s="477">
        <v>11917444.160129711</v>
      </c>
      <c r="BH2656" s="458">
        <v>7.681678884367682E-2</v>
      </c>
      <c r="BI2656" s="477">
        <v>17756872.569223534</v>
      </c>
      <c r="BJ2656" s="458">
        <v>0.14140530363237791</v>
      </c>
      <c r="BK2656" s="477">
        <v>82828369.99659124</v>
      </c>
      <c r="BL2656" s="458">
        <v>0.29062753884621095</v>
      </c>
      <c r="BM2656" s="468">
        <v>10.250961507684041</v>
      </c>
    </row>
    <row r="2657" spans="12:65" x14ac:dyDescent="0.3">
      <c r="L2657" s="427">
        <v>20743475.669300001</v>
      </c>
      <c r="BE2657" s="477">
        <v>9002676.3164611757</v>
      </c>
      <c r="BF2657" s="458">
        <v>3.3127056549995926E-2</v>
      </c>
      <c r="BG2657" s="477">
        <v>6582114.2151765572</v>
      </c>
      <c r="BH2657" s="458">
        <v>6.9528233936840156E-2</v>
      </c>
      <c r="BI2657" s="477">
        <v>15015789.973739369</v>
      </c>
      <c r="BJ2657" s="458">
        <v>8.2145085958382991E-2</v>
      </c>
      <c r="BK2657" s="477">
        <v>81146630.740332097</v>
      </c>
      <c r="BL2657" s="458">
        <v>0.26364949689711992</v>
      </c>
      <c r="BM2657" s="468">
        <v>4.2902491813141941</v>
      </c>
    </row>
    <row r="2658" spans="12:65" x14ac:dyDescent="0.3">
      <c r="L2658" s="427">
        <v>8031888.6509999996</v>
      </c>
      <c r="BE2658" s="477">
        <v>5131452.459420478</v>
      </c>
      <c r="BF2658" s="458">
        <v>4.5407942160590187E-2</v>
      </c>
      <c r="BG2658" s="477">
        <v>4858402.3778800536</v>
      </c>
      <c r="BH2658" s="458">
        <v>6.5102158118638176E-2</v>
      </c>
      <c r="BI2658" s="477">
        <v>18862602.779817261</v>
      </c>
      <c r="BJ2658" s="458">
        <v>0.10049031652362195</v>
      </c>
      <c r="BK2658" s="477">
        <v>83599015.399261415</v>
      </c>
      <c r="BL2658" s="458">
        <v>0.26484420930973096</v>
      </c>
      <c r="BM2658" s="468">
        <v>7.6704767572462167</v>
      </c>
    </row>
    <row r="2659" spans="12:65" x14ac:dyDescent="0.3">
      <c r="L2659" s="427">
        <v>9417260.3629000001</v>
      </c>
      <c r="BE2659" s="477">
        <v>8291583.5915206103</v>
      </c>
      <c r="BF2659" s="458">
        <v>3.9512195161175212E-2</v>
      </c>
      <c r="BG2659" s="477">
        <v>3432541.4317963319</v>
      </c>
      <c r="BH2659" s="458">
        <v>7.7835069445188365E-2</v>
      </c>
      <c r="BI2659" s="477">
        <v>8937632.8267249484</v>
      </c>
      <c r="BJ2659" s="458">
        <v>0.1048469127044076</v>
      </c>
      <c r="BK2659" s="477">
        <v>82121343.911914334</v>
      </c>
      <c r="BL2659" s="458">
        <v>0.28853457104346036</v>
      </c>
      <c r="BM2659" s="468">
        <v>10.555390681662761</v>
      </c>
    </row>
    <row r="2660" spans="12:65" x14ac:dyDescent="0.3">
      <c r="L2660" s="427">
        <v>10159375.6556</v>
      </c>
      <c r="BE2660" s="477">
        <v>6597017.6843792656</v>
      </c>
      <c r="BF2660" s="458">
        <v>2.5141131656926108E-2</v>
      </c>
      <c r="BG2660" s="477">
        <v>7363167.2881085854</v>
      </c>
      <c r="BH2660" s="458">
        <v>5.3970629872229336E-2</v>
      </c>
      <c r="BI2660" s="477">
        <v>21890366.10252437</v>
      </c>
      <c r="BJ2660" s="458">
        <v>9.6027433421048691E-2</v>
      </c>
      <c r="BK2660" s="477">
        <v>74669036.27937755</v>
      </c>
      <c r="BL2660" s="458">
        <v>0.25548663706466002</v>
      </c>
      <c r="BM2660" s="468">
        <v>12.5685722695476</v>
      </c>
    </row>
    <row r="2661" spans="12:65" x14ac:dyDescent="0.3">
      <c r="L2661" s="427">
        <v>-2197523.8549000002</v>
      </c>
      <c r="BE2661" s="477">
        <v>10836872.836102899</v>
      </c>
      <c r="BF2661" s="458">
        <v>3.1359963198087426E-2</v>
      </c>
      <c r="BG2661" s="477">
        <v>4903086.1178886406</v>
      </c>
      <c r="BH2661" s="458">
        <v>7.0935880893026493E-2</v>
      </c>
      <c r="BI2661" s="477">
        <v>15274107.964449812</v>
      </c>
      <c r="BJ2661" s="458">
        <v>0.10079779939679989</v>
      </c>
      <c r="BK2661" s="477">
        <v>77361927.159912527</v>
      </c>
      <c r="BL2661" s="458">
        <v>0.25914850846921667</v>
      </c>
      <c r="BM2661" s="468">
        <v>11.462861317926029</v>
      </c>
    </row>
    <row r="2662" spans="12:65" x14ac:dyDescent="0.3">
      <c r="L2662" s="427">
        <v>4385538.3816</v>
      </c>
      <c r="BE2662" s="477">
        <v>6772984.1422516685</v>
      </c>
      <c r="BF2662" s="458">
        <v>4.6670585078471438E-2</v>
      </c>
      <c r="BG2662" s="477">
        <v>4750296.7794554811</v>
      </c>
      <c r="BH2662" s="458">
        <v>5.9964189606580343E-2</v>
      </c>
      <c r="BI2662" s="477">
        <v>20681390.223479919</v>
      </c>
      <c r="BJ2662" s="458">
        <v>0.11063801189301992</v>
      </c>
      <c r="BK2662" s="477">
        <v>83242268.737304032</v>
      </c>
      <c r="BL2662" s="458">
        <v>0.2674856668480261</v>
      </c>
      <c r="BM2662" s="468">
        <v>11.465236144431662</v>
      </c>
    </row>
    <row r="2663" spans="12:65" x14ac:dyDescent="0.3">
      <c r="L2663" s="427">
        <v>3725385.5592999998</v>
      </c>
      <c r="BE2663" s="477">
        <v>5975117.7862874968</v>
      </c>
      <c r="BF2663" s="458">
        <v>5.3988246568697162E-2</v>
      </c>
      <c r="BG2663" s="477">
        <v>9486900.9665187821</v>
      </c>
      <c r="BH2663" s="458">
        <v>6.249689947716619E-2</v>
      </c>
      <c r="BI2663" s="477">
        <v>18700500.863255456</v>
      </c>
      <c r="BJ2663" s="458">
        <v>0.12709030266771704</v>
      </c>
      <c r="BK2663" s="477">
        <v>94549040.349288031</v>
      </c>
      <c r="BL2663" s="458">
        <v>0.2928648738140438</v>
      </c>
      <c r="BM2663" s="468">
        <v>13.849638092099946</v>
      </c>
    </row>
    <row r="2664" spans="12:65" x14ac:dyDescent="0.3">
      <c r="L2664" s="427">
        <v>1697572.4373000001</v>
      </c>
      <c r="BE2664" s="477">
        <v>5789806.6342471363</v>
      </c>
      <c r="BF2664" s="458">
        <v>4.0634192204146213E-2</v>
      </c>
      <c r="BG2664" s="477">
        <v>8234533.5996181397</v>
      </c>
      <c r="BH2664" s="458">
        <v>7.0103524170516129E-2</v>
      </c>
      <c r="BI2664" s="477">
        <v>16485068.948425744</v>
      </c>
      <c r="BJ2664" s="458">
        <v>8.6822486110881059E-2</v>
      </c>
      <c r="BK2664" s="477">
        <v>84986161.337968364</v>
      </c>
      <c r="BL2664" s="458">
        <v>0.27111401434076488</v>
      </c>
      <c r="BM2664" s="468">
        <v>3.3861693082088875</v>
      </c>
    </row>
    <row r="2665" spans="12:65" x14ac:dyDescent="0.3">
      <c r="L2665" s="427">
        <v>10340742.554400001</v>
      </c>
      <c r="BE2665" s="477">
        <v>6567970.1561422944</v>
      </c>
      <c r="BF2665" s="458">
        <v>5.522039283081237E-2</v>
      </c>
      <c r="BG2665" s="477">
        <v>8105438.7543307496</v>
      </c>
      <c r="BH2665" s="458">
        <v>9.4489249315570456E-2</v>
      </c>
      <c r="BI2665" s="477">
        <v>16816642.144499443</v>
      </c>
      <c r="BJ2665" s="458">
        <v>0.12275130083170582</v>
      </c>
      <c r="BK2665" s="477">
        <v>91003825.779603451</v>
      </c>
      <c r="BL2665" s="458">
        <v>0.29553623468795842</v>
      </c>
      <c r="BM2665" s="468">
        <v>11.129116546358967</v>
      </c>
    </row>
    <row r="2666" spans="12:65" x14ac:dyDescent="0.3">
      <c r="L2666" s="427">
        <v>-1978930.7205999999</v>
      </c>
      <c r="BE2666" s="477">
        <v>3448079.3774456736</v>
      </c>
      <c r="BF2666" s="458">
        <v>4.9056923277455144E-2</v>
      </c>
      <c r="BG2666" s="477">
        <v>12987724.568149095</v>
      </c>
      <c r="BH2666" s="458">
        <v>7.8435332704199334E-2</v>
      </c>
      <c r="BI2666" s="477">
        <v>16056326.094927199</v>
      </c>
      <c r="BJ2666" s="458">
        <v>0.10547611260996392</v>
      </c>
      <c r="BK2666" s="477">
        <v>78863184.993372068</v>
      </c>
      <c r="BL2666" s="458">
        <v>0.28148703260372598</v>
      </c>
      <c r="BM2666" s="468">
        <v>10.865639888644527</v>
      </c>
    </row>
    <row r="2667" spans="12:65" x14ac:dyDescent="0.3">
      <c r="L2667" s="427">
        <v>-2596219.5902</v>
      </c>
      <c r="BE2667" s="477">
        <v>7225835.7282796251</v>
      </c>
      <c r="BF2667" s="458">
        <v>4.5775025696176197E-2</v>
      </c>
      <c r="BG2667" s="477">
        <v>7692194.2229090603</v>
      </c>
      <c r="BH2667" s="458">
        <v>6.9083489886662575E-2</v>
      </c>
      <c r="BI2667" s="477">
        <v>23688764.512268644</v>
      </c>
      <c r="BJ2667" s="458">
        <v>9.8652201781672666E-2</v>
      </c>
      <c r="BK2667" s="477">
        <v>80433873.896772191</v>
      </c>
      <c r="BL2667" s="458">
        <v>0.27228357204981379</v>
      </c>
      <c r="BM2667" s="468">
        <v>4.7191003205874686</v>
      </c>
    </row>
    <row r="2668" spans="12:65" x14ac:dyDescent="0.3">
      <c r="L2668" s="427">
        <v>1422977.5658</v>
      </c>
      <c r="BE2668" s="477">
        <v>5432317.8998637004</v>
      </c>
      <c r="BF2668" s="458">
        <v>4.6757328464071879E-2</v>
      </c>
      <c r="BG2668" s="477">
        <v>3354430.0064461716</v>
      </c>
      <c r="BH2668" s="458">
        <v>3.9428753065922306E-2</v>
      </c>
      <c r="BI2668" s="477">
        <v>18124390.698995475</v>
      </c>
      <c r="BJ2668" s="458">
        <v>0.12059349299669164</v>
      </c>
      <c r="BK2668" s="477">
        <v>93941559.416371807</v>
      </c>
      <c r="BL2668" s="458">
        <v>0.26454649584015932</v>
      </c>
      <c r="BM2668" s="468">
        <v>5.4902760366139729</v>
      </c>
    </row>
    <row r="2669" spans="12:65" x14ac:dyDescent="0.3">
      <c r="L2669" s="427">
        <v>10949476.3694</v>
      </c>
      <c r="BE2669" s="477">
        <v>3647952.410638012</v>
      </c>
      <c r="BF2669" s="458">
        <v>3.8466060173805161E-2</v>
      </c>
      <c r="BG2669" s="477">
        <v>9757842.0138912275</v>
      </c>
      <c r="BH2669" s="458">
        <v>7.5461237757983968E-2</v>
      </c>
      <c r="BI2669" s="477">
        <v>19302762.406929117</v>
      </c>
      <c r="BJ2669" s="458">
        <v>9.6529679885403175E-2</v>
      </c>
      <c r="BK2669" s="477">
        <v>85287879.484337464</v>
      </c>
      <c r="BL2669" s="458">
        <v>0.26006489093768259</v>
      </c>
      <c r="BM2669" s="468">
        <v>9.7863594148656272</v>
      </c>
    </row>
    <row r="2670" spans="12:65" x14ac:dyDescent="0.3">
      <c r="L2670" s="427">
        <v>-3749897.3898</v>
      </c>
      <c r="BE2670" s="477">
        <v>3986280.448096727</v>
      </c>
      <c r="BF2670" s="458">
        <v>1.9847185387859012E-2</v>
      </c>
      <c r="BG2670" s="477">
        <v>13496416.094461761</v>
      </c>
      <c r="BH2670" s="458">
        <v>6.7587701373370779E-2</v>
      </c>
      <c r="BI2670" s="477">
        <v>9200896.4080806449</v>
      </c>
      <c r="BJ2670" s="458">
        <v>7.8575075655915816E-2</v>
      </c>
      <c r="BK2670" s="477">
        <v>85043993.223190099</v>
      </c>
      <c r="BL2670" s="458">
        <v>0.24370075431206306</v>
      </c>
      <c r="BM2670" s="468">
        <v>7.2434823705570874</v>
      </c>
    </row>
    <row r="2671" spans="12:65" x14ac:dyDescent="0.3">
      <c r="L2671" s="427">
        <v>8737383.7098999992</v>
      </c>
      <c r="BE2671" s="477">
        <v>9874291.0546282455</v>
      </c>
      <c r="BF2671" s="458">
        <v>1.8807257680180323E-2</v>
      </c>
      <c r="BG2671" s="477">
        <v>10449718.694813369</v>
      </c>
      <c r="BH2671" s="458">
        <v>4.3727264118016196E-2</v>
      </c>
      <c r="BI2671" s="477">
        <v>14420917.276250858</v>
      </c>
      <c r="BJ2671" s="458">
        <v>0.10995443802294447</v>
      </c>
      <c r="BK2671" s="477">
        <v>90603293.830432624</v>
      </c>
      <c r="BL2671" s="458">
        <v>0.27492968615519908</v>
      </c>
      <c r="BM2671" s="468">
        <v>3.0130053348102939</v>
      </c>
    </row>
    <row r="2672" spans="12:65" x14ac:dyDescent="0.3">
      <c r="L2672" s="427">
        <v>4363611.1941</v>
      </c>
      <c r="BE2672" s="477">
        <v>3394616.9078383874</v>
      </c>
      <c r="BF2672" s="458">
        <v>3.5077370742951475E-2</v>
      </c>
      <c r="BG2672" s="477">
        <v>2943959.6566769034</v>
      </c>
      <c r="BH2672" s="458">
        <v>9.0124005788291717E-2</v>
      </c>
      <c r="BI2672" s="477">
        <v>22138245.367007256</v>
      </c>
      <c r="BJ2672" s="458">
        <v>0.11350086447790919</v>
      </c>
      <c r="BK2672" s="477">
        <v>86373343.681412771</v>
      </c>
      <c r="BL2672" s="458">
        <v>0.27438574183482989</v>
      </c>
      <c r="BM2672" s="468">
        <v>10.701284709635651</v>
      </c>
    </row>
    <row r="2673" spans="12:65" x14ac:dyDescent="0.3">
      <c r="L2673" s="427">
        <v>7014515.6349999998</v>
      </c>
      <c r="BE2673" s="477">
        <v>7658893.1528606974</v>
      </c>
      <c r="BF2673" s="458">
        <v>4.5154327584298715E-2</v>
      </c>
      <c r="BG2673" s="477">
        <v>6536950.5920602921</v>
      </c>
      <c r="BH2673" s="458">
        <v>5.9890515265738298E-2</v>
      </c>
      <c r="BI2673" s="477">
        <v>17991480.819106113</v>
      </c>
      <c r="BJ2673" s="458">
        <v>0.12031608314398956</v>
      </c>
      <c r="BK2673" s="477">
        <v>93039154.789176583</v>
      </c>
      <c r="BL2673" s="458">
        <v>0.27340158930009428</v>
      </c>
      <c r="BM2673" s="468">
        <v>4.1576416432854</v>
      </c>
    </row>
    <row r="2674" spans="12:65" x14ac:dyDescent="0.3">
      <c r="L2674" s="427">
        <v>9487941.3756000008</v>
      </c>
      <c r="BE2674" s="477">
        <v>4255872.5351565611</v>
      </c>
      <c r="BF2674" s="458">
        <v>3.4786656917438874E-2</v>
      </c>
      <c r="BG2674" s="477">
        <v>5109103.1342657562</v>
      </c>
      <c r="BH2674" s="458">
        <v>3.7321677390615982E-2</v>
      </c>
      <c r="BI2674" s="477">
        <v>24197305.470637806</v>
      </c>
      <c r="BJ2674" s="458">
        <v>0.12244581887838057</v>
      </c>
      <c r="BK2674" s="477">
        <v>102553654.05455209</v>
      </c>
      <c r="BL2674" s="458">
        <v>0.24134864518700616</v>
      </c>
      <c r="BM2674" s="468">
        <v>3.4383521425988945</v>
      </c>
    </row>
    <row r="2675" spans="12:65" x14ac:dyDescent="0.3">
      <c r="L2675" s="427">
        <v>20102633.5638</v>
      </c>
      <c r="BE2675" s="477">
        <v>4812612.1839142162</v>
      </c>
      <c r="BF2675" s="458">
        <v>4.3134973903053764E-2</v>
      </c>
      <c r="BG2675" s="477">
        <v>10002620.321926935</v>
      </c>
      <c r="BH2675" s="458">
        <v>9.2991926763164257E-2</v>
      </c>
      <c r="BI2675" s="477">
        <v>15603616.144283846</v>
      </c>
      <c r="BJ2675" s="458">
        <v>0.10322464284303434</v>
      </c>
      <c r="BK2675" s="477">
        <v>99083629.823222086</v>
      </c>
      <c r="BL2675" s="458">
        <v>0.2551383573766095</v>
      </c>
      <c r="BM2675" s="468">
        <v>13.1466371783133</v>
      </c>
    </row>
    <row r="2676" spans="12:65" x14ac:dyDescent="0.3">
      <c r="L2676" s="427">
        <v>8469216.3446999993</v>
      </c>
      <c r="BE2676" s="477">
        <v>6302671.0956512429</v>
      </c>
      <c r="BF2676" s="458">
        <v>3.1427630684333741E-2</v>
      </c>
      <c r="BG2676" s="477">
        <v>6244893.4628851665</v>
      </c>
      <c r="BH2676" s="458">
        <v>4.3861623226159052E-2</v>
      </c>
      <c r="BI2676" s="477">
        <v>12845475.424147936</v>
      </c>
      <c r="BJ2676" s="458">
        <v>0.10836712177588836</v>
      </c>
      <c r="BK2676" s="477">
        <v>88604645.24618496</v>
      </c>
      <c r="BL2676" s="458">
        <v>0.26026135657934168</v>
      </c>
      <c r="BM2676" s="468">
        <v>4.3648522998258512</v>
      </c>
    </row>
    <row r="2677" spans="12:65" x14ac:dyDescent="0.3">
      <c r="L2677" s="427">
        <v>-14995722.3664</v>
      </c>
      <c r="BE2677" s="477">
        <v>1788341.1853736895</v>
      </c>
      <c r="BF2677" s="458">
        <v>3.508607378942119E-2</v>
      </c>
      <c r="BG2677" s="477">
        <v>7830036.9596976619</v>
      </c>
      <c r="BH2677" s="458">
        <v>8.6678826249785512E-2</v>
      </c>
      <c r="BI2677" s="477">
        <v>23721193.971422356</v>
      </c>
      <c r="BJ2677" s="458">
        <v>0.11307975833470563</v>
      </c>
      <c r="BK2677" s="477">
        <v>104341339.0104357</v>
      </c>
      <c r="BL2677" s="458">
        <v>0.26163931200441248</v>
      </c>
      <c r="BM2677" s="468">
        <v>15.358475186893102</v>
      </c>
    </row>
    <row r="2678" spans="12:65" x14ac:dyDescent="0.3">
      <c r="L2678" s="427">
        <v>21923693.682100002</v>
      </c>
      <c r="BE2678" s="477">
        <v>4968052.5884577027</v>
      </c>
      <c r="BF2678" s="458">
        <v>5.9710269315107478E-2</v>
      </c>
      <c r="BG2678" s="477">
        <v>7835546.9515372813</v>
      </c>
      <c r="BH2678" s="458">
        <v>6.2868934898168582E-2</v>
      </c>
      <c r="BI2678" s="477">
        <v>17514052.189783838</v>
      </c>
      <c r="BJ2678" s="458">
        <v>0.1112794677322686</v>
      </c>
      <c r="BK2678" s="477">
        <v>89165855.080833435</v>
      </c>
      <c r="BL2678" s="458">
        <v>0.27707144967912978</v>
      </c>
      <c r="BM2678" s="468">
        <v>8.0473426175374971</v>
      </c>
    </row>
    <row r="2679" spans="12:65" x14ac:dyDescent="0.3">
      <c r="L2679" s="427">
        <v>-659019.04440000001</v>
      </c>
      <c r="BE2679" s="477">
        <v>4670358.2503878511</v>
      </c>
      <c r="BF2679" s="458">
        <v>3.1593723211046809E-2</v>
      </c>
      <c r="BG2679" s="477">
        <v>6991630.6295943158</v>
      </c>
      <c r="BH2679" s="458">
        <v>5.362508817403544E-2</v>
      </c>
      <c r="BI2679" s="477">
        <v>16771648.549301116</v>
      </c>
      <c r="BJ2679" s="458">
        <v>0.11029932773561413</v>
      </c>
      <c r="BK2679" s="477">
        <v>90376013.023454741</v>
      </c>
      <c r="BL2679" s="458">
        <v>0.27055035721722942</v>
      </c>
      <c r="BM2679" s="468">
        <v>9.9949689425172821</v>
      </c>
    </row>
    <row r="2680" spans="12:65" x14ac:dyDescent="0.3">
      <c r="L2680" s="427">
        <v>6608787.4161999999</v>
      </c>
      <c r="BE2680" s="477">
        <v>6052964.9976401106</v>
      </c>
      <c r="BF2680" s="458">
        <v>5.1987688001264409E-2</v>
      </c>
      <c r="BG2680" s="477">
        <v>11970949.562975397</v>
      </c>
      <c r="BH2680" s="458">
        <v>5.8806424909595645E-2</v>
      </c>
      <c r="BI2680" s="477">
        <v>18183159.273208816</v>
      </c>
      <c r="BJ2680" s="458">
        <v>0.11181799780198443</v>
      </c>
      <c r="BK2680" s="477">
        <v>87608543.760662705</v>
      </c>
      <c r="BL2680" s="458">
        <v>0.28481296441652026</v>
      </c>
      <c r="BM2680" s="468">
        <v>7.3819958436440194</v>
      </c>
    </row>
    <row r="2681" spans="12:65" x14ac:dyDescent="0.3">
      <c r="L2681" s="427">
        <v>2872005.8853000002</v>
      </c>
      <c r="BE2681" s="477">
        <v>4568372.3662255425</v>
      </c>
      <c r="BF2681" s="458">
        <v>3.1961724817097581E-2</v>
      </c>
      <c r="BG2681" s="477">
        <v>7592830.9374610065</v>
      </c>
      <c r="BH2681" s="458">
        <v>7.5415630433718128E-2</v>
      </c>
      <c r="BI2681" s="477">
        <v>17784705.72082999</v>
      </c>
      <c r="BJ2681" s="458">
        <v>0.1129613992641143</v>
      </c>
      <c r="BK2681" s="477">
        <v>86378133.302474886</v>
      </c>
      <c r="BL2681" s="458">
        <v>0.24454124031333802</v>
      </c>
      <c r="BM2681" s="468">
        <v>1.1432688652027894</v>
      </c>
    </row>
    <row r="2682" spans="12:65" x14ac:dyDescent="0.3">
      <c r="L2682" s="427">
        <v>18272786.059799999</v>
      </c>
      <c r="BE2682" s="477">
        <v>5564691.2103651632</v>
      </c>
      <c r="BF2682" s="458">
        <v>4.0589795888940738E-2</v>
      </c>
      <c r="BG2682" s="477">
        <v>5388045.5577600878</v>
      </c>
      <c r="BH2682" s="458">
        <v>3.3700384839091546E-2</v>
      </c>
      <c r="BI2682" s="477">
        <v>4326150.4136771085</v>
      </c>
      <c r="BJ2682" s="458">
        <v>0.1099823225545471</v>
      </c>
      <c r="BK2682" s="477">
        <v>89905239.42447482</v>
      </c>
      <c r="BL2682" s="458">
        <v>0.28364619648006206</v>
      </c>
      <c r="BM2682" s="468">
        <v>6.5841518828920034</v>
      </c>
    </row>
    <row r="2683" spans="12:65" x14ac:dyDescent="0.3">
      <c r="L2683" s="427">
        <v>16915034.386100002</v>
      </c>
      <c r="BE2683" s="477">
        <v>7740772.73910785</v>
      </c>
      <c r="BF2683" s="458">
        <v>2.0310453969262676E-2</v>
      </c>
      <c r="BG2683" s="477">
        <v>3897023.7631355254</v>
      </c>
      <c r="BH2683" s="458">
        <v>4.2879083419968156E-2</v>
      </c>
      <c r="BI2683" s="477">
        <v>10694520.579342533</v>
      </c>
      <c r="BJ2683" s="458">
        <v>0.11524151056379117</v>
      </c>
      <c r="BK2683" s="477">
        <v>83570769.120865792</v>
      </c>
      <c r="BL2683" s="458">
        <v>0.27031713424059678</v>
      </c>
      <c r="BM2683" s="468">
        <v>6.3615374255843502</v>
      </c>
    </row>
    <row r="2684" spans="12:65" x14ac:dyDescent="0.3">
      <c r="L2684" s="427">
        <v>8068964.1705</v>
      </c>
      <c r="BE2684" s="477">
        <v>3037428.8148037987</v>
      </c>
      <c r="BF2684" s="458">
        <v>3.134842098770374E-2</v>
      </c>
      <c r="BG2684" s="477">
        <v>12373630.086959679</v>
      </c>
      <c r="BH2684" s="458">
        <v>6.0538405788333138E-2</v>
      </c>
      <c r="BI2684" s="477">
        <v>17505227.403766222</v>
      </c>
      <c r="BJ2684" s="458">
        <v>0.1026129687751336</v>
      </c>
      <c r="BK2684" s="477">
        <v>87006269.092417523</v>
      </c>
      <c r="BL2684" s="458">
        <v>0.25859795947458575</v>
      </c>
      <c r="BM2684" s="468">
        <v>9.8133177758487893</v>
      </c>
    </row>
    <row r="2685" spans="12:65" x14ac:dyDescent="0.3">
      <c r="L2685" s="427">
        <v>23294811.7467</v>
      </c>
      <c r="BE2685" s="477">
        <v>7091228.6399037922</v>
      </c>
      <c r="BF2685" s="458">
        <v>3.7560886231177149E-2</v>
      </c>
      <c r="BG2685" s="477">
        <v>8511995.3636442516</v>
      </c>
      <c r="BH2685" s="458">
        <v>4.4018116574419119E-2</v>
      </c>
      <c r="BI2685" s="477">
        <v>15894099.011590153</v>
      </c>
      <c r="BJ2685" s="458">
        <v>8.5983215897994514E-2</v>
      </c>
      <c r="BK2685" s="477">
        <v>91121556.248729303</v>
      </c>
      <c r="BL2685" s="458">
        <v>0.24930654475213965</v>
      </c>
      <c r="BM2685" s="468">
        <v>10.482995697359936</v>
      </c>
    </row>
    <row r="2686" spans="12:65" x14ac:dyDescent="0.3">
      <c r="L2686" s="427">
        <v>12596388.464400001</v>
      </c>
      <c r="BE2686" s="477">
        <v>902009.87397360883</v>
      </c>
      <c r="BF2686" s="458">
        <v>4.3324629106423984E-2</v>
      </c>
      <c r="BG2686" s="477">
        <v>5881143.6253493344</v>
      </c>
      <c r="BH2686" s="458">
        <v>9.1754089100304581E-2</v>
      </c>
      <c r="BI2686" s="477">
        <v>12986508.283794561</v>
      </c>
      <c r="BJ2686" s="458">
        <v>0.11187703247796899</v>
      </c>
      <c r="BK2686" s="477">
        <v>92091237.41281487</v>
      </c>
      <c r="BL2686" s="458">
        <v>0.29670333444785046</v>
      </c>
      <c r="BM2686" s="468">
        <v>2.7737104490273348</v>
      </c>
    </row>
    <row r="2687" spans="12:65" x14ac:dyDescent="0.3">
      <c r="L2687" s="427">
        <v>22592318.144099999</v>
      </c>
      <c r="BE2687" s="477">
        <v>5143941.9375171429</v>
      </c>
      <c r="BF2687" s="458">
        <v>4.1858929254949606E-2</v>
      </c>
      <c r="BG2687" s="477">
        <v>11021303.943312723</v>
      </c>
      <c r="BH2687" s="458">
        <v>5.5599861645427406E-2</v>
      </c>
      <c r="BI2687" s="477">
        <v>20637592.252181727</v>
      </c>
      <c r="BJ2687" s="458">
        <v>0.11543391024301153</v>
      </c>
      <c r="BK2687" s="477">
        <v>97373435.625896916</v>
      </c>
      <c r="BL2687" s="458">
        <v>0.2629853254393113</v>
      </c>
      <c r="BM2687" s="468">
        <v>8.1677706366167993</v>
      </c>
    </row>
    <row r="2688" spans="12:65" x14ac:dyDescent="0.3">
      <c r="L2688" s="427">
        <v>14464275.379899999</v>
      </c>
      <c r="BE2688" s="477">
        <v>6219401.0628574872</v>
      </c>
      <c r="BF2688" s="458">
        <v>5.7626479190391988E-2</v>
      </c>
      <c r="BG2688" s="477">
        <v>5241972.208282656</v>
      </c>
      <c r="BH2688" s="458">
        <v>-2.0814026163009647E-3</v>
      </c>
      <c r="BI2688" s="477">
        <v>16268757.785625137</v>
      </c>
      <c r="BJ2688" s="458">
        <v>0.12129906478008134</v>
      </c>
      <c r="BK2688" s="477">
        <v>82357174.282105073</v>
      </c>
      <c r="BL2688" s="458">
        <v>0.28574955114850908</v>
      </c>
      <c r="BM2688" s="468">
        <v>2.5650544250631482</v>
      </c>
    </row>
    <row r="2689" spans="12:65" x14ac:dyDescent="0.3">
      <c r="L2689" s="427">
        <v>12977001.3562</v>
      </c>
      <c r="BE2689" s="477">
        <v>6518535.7048113327</v>
      </c>
      <c r="BF2689" s="458">
        <v>4.5371218781509182E-2</v>
      </c>
      <c r="BG2689" s="477">
        <v>11471907.987948559</v>
      </c>
      <c r="BH2689" s="458">
        <v>5.7375706506474389E-2</v>
      </c>
      <c r="BI2689" s="477">
        <v>15188182.511228897</v>
      </c>
      <c r="BJ2689" s="458">
        <v>0.12443762563864391</v>
      </c>
      <c r="BK2689" s="477">
        <v>90496291.406258315</v>
      </c>
      <c r="BL2689" s="458">
        <v>0.2658403980618822</v>
      </c>
      <c r="BM2689" s="468">
        <v>10.802571368230488</v>
      </c>
    </row>
    <row r="2690" spans="12:65" x14ac:dyDescent="0.3">
      <c r="L2690" s="427">
        <v>6357611.5367999999</v>
      </c>
      <c r="BE2690" s="477">
        <v>7505665.3323475476</v>
      </c>
      <c r="BF2690" s="458">
        <v>5.2795185111189191E-2</v>
      </c>
      <c r="BG2690" s="477">
        <v>13915895.336600574</v>
      </c>
      <c r="BH2690" s="458">
        <v>7.8858095396539651E-2</v>
      </c>
      <c r="BI2690" s="477">
        <v>5483429.7868564585</v>
      </c>
      <c r="BJ2690" s="458">
        <v>0.11689042921069159</v>
      </c>
      <c r="BK2690" s="477">
        <v>69448990.787184462</v>
      </c>
      <c r="BL2690" s="458">
        <v>0.25788421575365428</v>
      </c>
      <c r="BM2690" s="468">
        <v>2.9276491804937779</v>
      </c>
    </row>
    <row r="2691" spans="12:65" x14ac:dyDescent="0.3">
      <c r="L2691" s="427">
        <v>13330981.723300001</v>
      </c>
      <c r="BE2691" s="477">
        <v>7458739.462410002</v>
      </c>
      <c r="BF2691" s="458">
        <v>2.8758107509056829E-2</v>
      </c>
      <c r="BG2691" s="477">
        <v>4662478.7444215575</v>
      </c>
      <c r="BH2691" s="458">
        <v>6.7303807470775467E-2</v>
      </c>
      <c r="BI2691" s="477">
        <v>19420681.518527623</v>
      </c>
      <c r="BJ2691" s="458">
        <v>8.7949834465709475E-2</v>
      </c>
      <c r="BK2691" s="477">
        <v>100594663.66908291</v>
      </c>
      <c r="BL2691" s="458">
        <v>0.26722902360073486</v>
      </c>
      <c r="BM2691" s="468">
        <v>5.1407138984717751</v>
      </c>
    </row>
    <row r="2692" spans="12:65" x14ac:dyDescent="0.3">
      <c r="L2692" s="427">
        <v>14672707.3301</v>
      </c>
      <c r="BE2692" s="477">
        <v>7231663.3191088298</v>
      </c>
      <c r="BF2692" s="458">
        <v>3.0359103814732835E-2</v>
      </c>
      <c r="BG2692" s="477">
        <v>-1126774.8550351185</v>
      </c>
      <c r="BH2692" s="458">
        <v>8.2030181084730813E-2</v>
      </c>
      <c r="BI2692" s="477">
        <v>16847124.653562747</v>
      </c>
      <c r="BJ2692" s="458">
        <v>8.3220189031388392E-2</v>
      </c>
      <c r="BK2692" s="477">
        <v>97257841.892920449</v>
      </c>
      <c r="BL2692" s="458">
        <v>0.26290785366115088</v>
      </c>
      <c r="BM2692" s="468">
        <v>10.531065337623982</v>
      </c>
    </row>
    <row r="2693" spans="12:65" x14ac:dyDescent="0.3">
      <c r="L2693" s="427">
        <v>-926330.83470000001</v>
      </c>
      <c r="BE2693" s="477">
        <v>9051906.3384050559</v>
      </c>
      <c r="BF2693" s="458">
        <v>3.4502064056631143E-2</v>
      </c>
      <c r="BG2693" s="477">
        <v>16470002.904352989</v>
      </c>
      <c r="BH2693" s="458">
        <v>4.9539362237496665E-2</v>
      </c>
      <c r="BI2693" s="477">
        <v>21048149.254774913</v>
      </c>
      <c r="BJ2693" s="458">
        <v>0.13537246347794873</v>
      </c>
      <c r="BK2693" s="477">
        <v>114478853.27517077</v>
      </c>
      <c r="BL2693" s="458">
        <v>0.28036118848609126</v>
      </c>
      <c r="BM2693" s="468">
        <v>4.471160583942444</v>
      </c>
    </row>
    <row r="2694" spans="12:65" x14ac:dyDescent="0.3">
      <c r="L2694" s="427">
        <v>15388564.0737</v>
      </c>
      <c r="BE2694" s="477">
        <v>3448136.2526733717</v>
      </c>
      <c r="BF2694" s="458">
        <v>5.2883214683219437E-2</v>
      </c>
      <c r="BG2694" s="477">
        <v>4665695.5390127208</v>
      </c>
      <c r="BH2694" s="458">
        <v>3.619570420011331E-2</v>
      </c>
      <c r="BI2694" s="477">
        <v>7261912.2784692468</v>
      </c>
      <c r="BJ2694" s="458">
        <v>9.2125571285347929E-2</v>
      </c>
      <c r="BK2694" s="477">
        <v>95089078.925057217</v>
      </c>
      <c r="BL2694" s="458">
        <v>0.29690200220392304</v>
      </c>
      <c r="BM2694" s="468">
        <v>0.37949009063913408</v>
      </c>
    </row>
    <row r="2695" spans="12:65" x14ac:dyDescent="0.3">
      <c r="L2695" s="427">
        <v>15740154.5112</v>
      </c>
      <c r="BE2695" s="477">
        <v>3270054.6418394689</v>
      </c>
      <c r="BF2695" s="458">
        <v>4.1135823449318876E-2</v>
      </c>
      <c r="BG2695" s="477">
        <v>5583282.6155995373</v>
      </c>
      <c r="BH2695" s="458">
        <v>5.7660267892527095E-2</v>
      </c>
      <c r="BI2695" s="477">
        <v>14878655.674303358</v>
      </c>
      <c r="BJ2695" s="458">
        <v>0.10856480744917385</v>
      </c>
      <c r="BK2695" s="477">
        <v>84342450.739034951</v>
      </c>
      <c r="BL2695" s="458">
        <v>0.26785448430577041</v>
      </c>
      <c r="BM2695" s="468">
        <v>9.1402721754066452</v>
      </c>
    </row>
    <row r="2696" spans="12:65" x14ac:dyDescent="0.3">
      <c r="L2696" s="427">
        <v>-3348866.6428</v>
      </c>
      <c r="BE2696" s="477">
        <v>7103089.9402335128</v>
      </c>
      <c r="BF2696" s="458">
        <v>3.5335115352332913E-2</v>
      </c>
      <c r="BG2696" s="477">
        <v>8066963.9195227623</v>
      </c>
      <c r="BH2696" s="458">
        <v>4.2615591170649392E-2</v>
      </c>
      <c r="BI2696" s="477">
        <v>20938485.864703208</v>
      </c>
      <c r="BJ2696" s="458">
        <v>0.11200481830607001</v>
      </c>
      <c r="BK2696" s="477">
        <v>75906804.710854083</v>
      </c>
      <c r="BL2696" s="458">
        <v>0.25030188827912214</v>
      </c>
      <c r="BM2696" s="468">
        <v>7.9094743909674605</v>
      </c>
    </row>
    <row r="2697" spans="12:65" x14ac:dyDescent="0.3">
      <c r="L2697" s="427">
        <v>9772333.4422999993</v>
      </c>
      <c r="BE2697" s="477">
        <v>8273242.4788940372</v>
      </c>
      <c r="BF2697" s="458">
        <v>3.0406517346835749E-2</v>
      </c>
      <c r="BG2697" s="477">
        <v>7632115.1210451685</v>
      </c>
      <c r="BH2697" s="458">
        <v>6.5477948579298006E-2</v>
      </c>
      <c r="BI2697" s="477">
        <v>23425790.710359529</v>
      </c>
      <c r="BJ2697" s="458">
        <v>0.10873370146719719</v>
      </c>
      <c r="BK2697" s="477">
        <v>79168788.369057685</v>
      </c>
      <c r="BL2697" s="458">
        <v>0.24368164013429583</v>
      </c>
      <c r="BM2697" s="468">
        <v>4.6595545648059851</v>
      </c>
    </row>
    <row r="2698" spans="12:65" x14ac:dyDescent="0.3">
      <c r="L2698" s="427">
        <v>25335435.5251</v>
      </c>
      <c r="BE2698" s="477">
        <v>4903934.5824118368</v>
      </c>
      <c r="BF2698" s="458">
        <v>3.4708758677137297E-2</v>
      </c>
      <c r="BG2698" s="477">
        <v>13986328.651668504</v>
      </c>
      <c r="BH2698" s="458">
        <v>5.6376027016106223E-2</v>
      </c>
      <c r="BI2698" s="477">
        <v>12502065.178348547</v>
      </c>
      <c r="BJ2698" s="458">
        <v>0.12555516459923166</v>
      </c>
      <c r="BK2698" s="477">
        <v>91643019.713598922</v>
      </c>
      <c r="BL2698" s="458">
        <v>0.27398487465636356</v>
      </c>
      <c r="BM2698" s="468">
        <v>8.5301210794516749</v>
      </c>
    </row>
    <row r="2699" spans="12:65" x14ac:dyDescent="0.3">
      <c r="L2699" s="427">
        <v>9234914.2563000005</v>
      </c>
      <c r="BE2699" s="477">
        <v>4701983.4641145235</v>
      </c>
      <c r="BF2699" s="458">
        <v>5.1763897875852782E-2</v>
      </c>
      <c r="BG2699" s="477">
        <v>9527942.778195709</v>
      </c>
      <c r="BH2699" s="458">
        <v>9.7181356396509599E-2</v>
      </c>
      <c r="BI2699" s="477">
        <v>20255814.612537496</v>
      </c>
      <c r="BJ2699" s="458">
        <v>9.9308710658738697E-2</v>
      </c>
      <c r="BK2699" s="477">
        <v>95107319.222700313</v>
      </c>
      <c r="BL2699" s="458">
        <v>0.25631688287970777</v>
      </c>
      <c r="BM2699" s="468">
        <v>15.922621603015715</v>
      </c>
    </row>
    <row r="2700" spans="12:65" x14ac:dyDescent="0.3">
      <c r="L2700" s="427">
        <v>9042173.7357999999</v>
      </c>
      <c r="BE2700" s="477">
        <v>4444858.2863283176</v>
      </c>
      <c r="BF2700" s="458">
        <v>3.9976316614365626E-2</v>
      </c>
      <c r="BG2700" s="477">
        <v>17163369.551661912</v>
      </c>
      <c r="BH2700" s="458">
        <v>6.0048324189873714E-2</v>
      </c>
      <c r="BI2700" s="477">
        <v>18553696.363466445</v>
      </c>
      <c r="BJ2700" s="458">
        <v>0.11891393913720227</v>
      </c>
      <c r="BK2700" s="477">
        <v>90895682.520181105</v>
      </c>
      <c r="BL2700" s="458">
        <v>0.28676328694662945</v>
      </c>
      <c r="BM2700" s="468">
        <v>5.8499725450690931</v>
      </c>
    </row>
    <row r="2701" spans="12:65" x14ac:dyDescent="0.3">
      <c r="L2701" s="427">
        <v>20174480.712900002</v>
      </c>
      <c r="BE2701" s="477">
        <v>2129745.431776009</v>
      </c>
      <c r="BF2701" s="458">
        <v>4.9491409930703112E-2</v>
      </c>
      <c r="BG2701" s="477">
        <v>10518900.354795428</v>
      </c>
      <c r="BH2701" s="458">
        <v>4.9691366544651894E-2</v>
      </c>
      <c r="BI2701" s="477">
        <v>26553000.56758938</v>
      </c>
      <c r="BJ2701" s="458">
        <v>0.12594123437821603</v>
      </c>
      <c r="BK2701" s="477">
        <v>82787210.277859256</v>
      </c>
      <c r="BL2701" s="458">
        <v>0.29570384446773956</v>
      </c>
      <c r="BM2701" s="468">
        <v>11.069547034664392</v>
      </c>
    </row>
    <row r="2702" spans="12:65" x14ac:dyDescent="0.3">
      <c r="L2702" s="427">
        <v>-3656755.1247</v>
      </c>
      <c r="BE2702" s="477">
        <v>7642342.9595018728</v>
      </c>
      <c r="BF2702" s="458">
        <v>4.9352050168929518E-2</v>
      </c>
      <c r="BG2702" s="477">
        <v>6830592.1578614144</v>
      </c>
      <c r="BH2702" s="458">
        <v>5.3297040165432241E-2</v>
      </c>
      <c r="BI2702" s="477">
        <v>16606702.160096653</v>
      </c>
      <c r="BJ2702" s="458">
        <v>0.10599261298410201</v>
      </c>
      <c r="BK2702" s="477">
        <v>89231223.209033132</v>
      </c>
      <c r="BL2702" s="458">
        <v>0.26171027303114869</v>
      </c>
      <c r="BM2702" s="468">
        <v>13.796887028095082</v>
      </c>
    </row>
    <row r="2703" spans="12:65" x14ac:dyDescent="0.3">
      <c r="L2703" s="427">
        <v>11712730.600299999</v>
      </c>
      <c r="BE2703" s="477">
        <v>5567448.6133663058</v>
      </c>
      <c r="BF2703" s="458">
        <v>6.3947336769325736E-2</v>
      </c>
      <c r="BG2703" s="477">
        <v>18402546.831570733</v>
      </c>
      <c r="BH2703" s="458">
        <v>4.3100766701707593E-2</v>
      </c>
      <c r="BI2703" s="477">
        <v>18254662.797986712</v>
      </c>
      <c r="BJ2703" s="458">
        <v>0.1175412193914509</v>
      </c>
      <c r="BK2703" s="477">
        <v>86351898.36146833</v>
      </c>
      <c r="BL2703" s="458">
        <v>0.25468812158885257</v>
      </c>
      <c r="BM2703" s="468">
        <v>7.1149892249750168</v>
      </c>
    </row>
    <row r="2704" spans="12:65" x14ac:dyDescent="0.3">
      <c r="L2704" s="427">
        <v>6390177.2961999997</v>
      </c>
      <c r="BE2704" s="477">
        <v>3072213.1485918234</v>
      </c>
      <c r="BF2704" s="458">
        <v>4.9483917138069877E-2</v>
      </c>
      <c r="BG2704" s="477">
        <v>11360390.391812626</v>
      </c>
      <c r="BH2704" s="458">
        <v>5.8839368953286897E-2</v>
      </c>
      <c r="BI2704" s="477">
        <v>20038250.186712977</v>
      </c>
      <c r="BJ2704" s="458">
        <v>0.11732383139524871</v>
      </c>
      <c r="BK2704" s="477">
        <v>103517582.41391496</v>
      </c>
      <c r="BL2704" s="458">
        <v>0.27841059647740796</v>
      </c>
      <c r="BM2704" s="468">
        <v>6.3300248329499818</v>
      </c>
    </row>
    <row r="2705" spans="12:65" x14ac:dyDescent="0.3">
      <c r="L2705" s="427">
        <v>-349986.05170000001</v>
      </c>
      <c r="BE2705" s="477">
        <v>5378240.0528957732</v>
      </c>
      <c r="BF2705" s="458">
        <v>4.212165641450949E-2</v>
      </c>
      <c r="BG2705" s="477">
        <v>4937555.3215769427</v>
      </c>
      <c r="BH2705" s="458">
        <v>6.3057121362230184E-2</v>
      </c>
      <c r="BI2705" s="477">
        <v>12882364.370653832</v>
      </c>
      <c r="BJ2705" s="458">
        <v>0.12991793565043719</v>
      </c>
      <c r="BK2705" s="477">
        <v>103833678.05174291</v>
      </c>
      <c r="BL2705" s="458">
        <v>0.28008646044194863</v>
      </c>
      <c r="BM2705" s="468">
        <v>2.4884810844369456</v>
      </c>
    </row>
    <row r="2706" spans="12:65" x14ac:dyDescent="0.3">
      <c r="L2706" s="427">
        <v>10751167.5919</v>
      </c>
      <c r="BE2706" s="477">
        <v>3644872.8647520873</v>
      </c>
      <c r="BF2706" s="458">
        <v>5.1914964256041696E-2</v>
      </c>
      <c r="BG2706" s="477">
        <v>15034079.901100077</v>
      </c>
      <c r="BH2706" s="458">
        <v>7.6840692610497863E-2</v>
      </c>
      <c r="BI2706" s="477">
        <v>14133566.663742596</v>
      </c>
      <c r="BJ2706" s="458">
        <v>0.11681764393823846</v>
      </c>
      <c r="BK2706" s="477">
        <v>90533201.049367562</v>
      </c>
      <c r="BL2706" s="458">
        <v>0.27612056743389135</v>
      </c>
      <c r="BM2706" s="468">
        <v>11.968123618357778</v>
      </c>
    </row>
    <row r="2707" spans="12:65" x14ac:dyDescent="0.3">
      <c r="L2707" s="427">
        <v>-5913783.1545000002</v>
      </c>
      <c r="BE2707" s="477">
        <v>4282384.8147684885</v>
      </c>
      <c r="BF2707" s="458">
        <v>6.6542081804937592E-2</v>
      </c>
      <c r="BG2707" s="477">
        <v>14583506.936569601</v>
      </c>
      <c r="BH2707" s="458">
        <v>4.6860512376218244E-2</v>
      </c>
      <c r="BI2707" s="477">
        <v>17984467.844372202</v>
      </c>
      <c r="BJ2707" s="458">
        <v>0.10434836374532397</v>
      </c>
      <c r="BK2707" s="477">
        <v>98514534.648559734</v>
      </c>
      <c r="BL2707" s="458">
        <v>0.25647911787935129</v>
      </c>
      <c r="BM2707" s="468">
        <v>7.3757530786231147</v>
      </c>
    </row>
    <row r="2708" spans="12:65" x14ac:dyDescent="0.3">
      <c r="L2708" s="427">
        <v>26473988.4881</v>
      </c>
      <c r="BE2708" s="477">
        <v>247155.07855453141</v>
      </c>
      <c r="BF2708" s="458">
        <v>1.7381119725387251E-2</v>
      </c>
      <c r="BG2708" s="477">
        <v>5365128.9814834967</v>
      </c>
      <c r="BH2708" s="458">
        <v>7.1355844007345626E-2</v>
      </c>
      <c r="BI2708" s="477">
        <v>26309379.793202925</v>
      </c>
      <c r="BJ2708" s="458">
        <v>0.11574688649558307</v>
      </c>
      <c r="BK2708" s="477">
        <v>91257213.895104945</v>
      </c>
      <c r="BL2708" s="458">
        <v>0.28015329198058514</v>
      </c>
      <c r="BM2708" s="468">
        <v>2.6576035832407676</v>
      </c>
    </row>
    <row r="2709" spans="12:65" x14ac:dyDescent="0.3">
      <c r="L2709" s="427">
        <v>12334647.5417</v>
      </c>
      <c r="BE2709" s="477">
        <v>6330084.6869927933</v>
      </c>
      <c r="BF2709" s="458">
        <v>3.775461014637771E-2</v>
      </c>
      <c r="BG2709" s="477">
        <v>9637847.7703166474</v>
      </c>
      <c r="BH2709" s="458">
        <v>7.2553399119968498E-2</v>
      </c>
      <c r="BI2709" s="477">
        <v>13639879.484976711</v>
      </c>
      <c r="BJ2709" s="458">
        <v>0.11350126477787059</v>
      </c>
      <c r="BK2709" s="477">
        <v>78055596.158607826</v>
      </c>
      <c r="BL2709" s="458">
        <v>0.26195757422165333</v>
      </c>
      <c r="BM2709" s="468">
        <v>12.377586568000719</v>
      </c>
    </row>
    <row r="2710" spans="12:65" x14ac:dyDescent="0.3">
      <c r="L2710" s="427">
        <v>5121304.3180999998</v>
      </c>
      <c r="BE2710" s="477">
        <v>8877414.6381608713</v>
      </c>
      <c r="BF2710" s="458">
        <v>3.0698417760288921E-2</v>
      </c>
      <c r="BG2710" s="477">
        <v>10959196.114561591</v>
      </c>
      <c r="BH2710" s="458">
        <v>6.3042635123857549E-2</v>
      </c>
      <c r="BI2710" s="477">
        <v>15789270.757403264</v>
      </c>
      <c r="BJ2710" s="458">
        <v>0.11569717736569007</v>
      </c>
      <c r="BK2710" s="477">
        <v>82215831.48438774</v>
      </c>
      <c r="BL2710" s="458">
        <v>0.27427637260409954</v>
      </c>
      <c r="BM2710" s="468">
        <v>13.71237429521651</v>
      </c>
    </row>
    <row r="2711" spans="12:65" x14ac:dyDescent="0.3">
      <c r="L2711" s="427">
        <v>19692308.220800001</v>
      </c>
      <c r="BE2711" s="477">
        <v>6142910.9415404797</v>
      </c>
      <c r="BF2711" s="458">
        <v>3.9905832360910498E-2</v>
      </c>
      <c r="BG2711" s="477">
        <v>7842537.9442451214</v>
      </c>
      <c r="BH2711" s="458">
        <v>6.3826702064559759E-2</v>
      </c>
      <c r="BI2711" s="477">
        <v>22438668.84827267</v>
      </c>
      <c r="BJ2711" s="458">
        <v>0.10867343975257415</v>
      </c>
      <c r="BK2711" s="477">
        <v>85105660.521658599</v>
      </c>
      <c r="BL2711" s="458">
        <v>0.26170348052412762</v>
      </c>
      <c r="BM2711" s="468">
        <v>2.2590978736183214</v>
      </c>
    </row>
    <row r="2712" spans="12:65" x14ac:dyDescent="0.3">
      <c r="L2712" s="427">
        <v>20803090.074999999</v>
      </c>
      <c r="BE2712" s="477">
        <v>6522964.3892472116</v>
      </c>
      <c r="BF2712" s="458">
        <v>2.9047400468204643E-2</v>
      </c>
      <c r="BG2712" s="477">
        <v>11176228.638251321</v>
      </c>
      <c r="BH2712" s="458">
        <v>7.3552496846869264E-2</v>
      </c>
      <c r="BI2712" s="477">
        <v>23170665.353589192</v>
      </c>
      <c r="BJ2712" s="458">
        <v>9.1136497970560226E-2</v>
      </c>
      <c r="BK2712" s="477">
        <v>95499299.957444906</v>
      </c>
      <c r="BL2712" s="458">
        <v>0.25648167963274471</v>
      </c>
      <c r="BM2712" s="468">
        <v>8.4364490459057606</v>
      </c>
    </row>
    <row r="2713" spans="12:65" x14ac:dyDescent="0.3">
      <c r="L2713" s="427">
        <v>22531085.9923</v>
      </c>
      <c r="BE2713" s="477">
        <v>7415000.3331756489</v>
      </c>
      <c r="BF2713" s="458">
        <v>5.1048066603689879E-2</v>
      </c>
      <c r="BG2713" s="477">
        <v>11258522.102715844</v>
      </c>
      <c r="BH2713" s="458">
        <v>5.5164068758303708E-2</v>
      </c>
      <c r="BI2713" s="477">
        <v>13374452.747117423</v>
      </c>
      <c r="BJ2713" s="458">
        <v>0.13373232443785055</v>
      </c>
      <c r="BK2713" s="477">
        <v>98251070.3364079</v>
      </c>
      <c r="BL2713" s="458">
        <v>0.29462859857144075</v>
      </c>
      <c r="BM2713" s="468">
        <v>5.0013873492629548</v>
      </c>
    </row>
    <row r="2714" spans="12:65" x14ac:dyDescent="0.3">
      <c r="L2714" s="427">
        <v>3948930.1893000002</v>
      </c>
      <c r="BE2714" s="477">
        <v>8443505.8930259142</v>
      </c>
      <c r="BF2714" s="458">
        <v>3.3671598755398158E-2</v>
      </c>
      <c r="BG2714" s="477">
        <v>13829631.859805424</v>
      </c>
      <c r="BH2714" s="458">
        <v>6.4823334725839343E-2</v>
      </c>
      <c r="BI2714" s="477">
        <v>8173709.4226537673</v>
      </c>
      <c r="BJ2714" s="458">
        <v>9.7125169061161865E-2</v>
      </c>
      <c r="BK2714" s="477">
        <v>104542529.9604778</v>
      </c>
      <c r="BL2714" s="458">
        <v>0.26281865373156443</v>
      </c>
      <c r="BM2714" s="468">
        <v>6.4604784449758048</v>
      </c>
    </row>
    <row r="2715" spans="12:65" x14ac:dyDescent="0.3">
      <c r="L2715" s="427">
        <v>12698086.5297</v>
      </c>
      <c r="BE2715" s="477">
        <v>3734429.8132414101</v>
      </c>
      <c r="BF2715" s="458">
        <v>5.1217923078834104E-2</v>
      </c>
      <c r="BG2715" s="477">
        <v>6820727.5659284061</v>
      </c>
      <c r="BH2715" s="458">
        <v>3.838290994236182E-2</v>
      </c>
      <c r="BI2715" s="477">
        <v>17082118.293173451</v>
      </c>
      <c r="BJ2715" s="458">
        <v>0.11659141123467798</v>
      </c>
      <c r="BK2715" s="477">
        <v>85716736.388010666</v>
      </c>
      <c r="BL2715" s="458">
        <v>0.25604394666970376</v>
      </c>
      <c r="BM2715" s="468">
        <v>4.5459351527173801</v>
      </c>
    </row>
    <row r="2716" spans="12:65" x14ac:dyDescent="0.3">
      <c r="L2716" s="427">
        <v>21381110.844500002</v>
      </c>
      <c r="BE2716" s="477">
        <v>5122753.6574991783</v>
      </c>
      <c r="BF2716" s="458">
        <v>4.5175461962362773E-2</v>
      </c>
      <c r="BG2716" s="477">
        <v>9470201.1645435859</v>
      </c>
      <c r="BH2716" s="458">
        <v>7.7935886581545377E-2</v>
      </c>
      <c r="BI2716" s="477">
        <v>15309963.843110187</v>
      </c>
      <c r="BJ2716" s="458">
        <v>9.9788840972675708E-2</v>
      </c>
      <c r="BK2716" s="477">
        <v>79607113.459181577</v>
      </c>
      <c r="BL2716" s="458">
        <v>0.2639381999487298</v>
      </c>
      <c r="BM2716" s="468">
        <v>1.7189904311707789</v>
      </c>
    </row>
    <row r="2717" spans="12:65" x14ac:dyDescent="0.3">
      <c r="L2717" s="427">
        <v>16081359.065400001</v>
      </c>
      <c r="BE2717" s="477">
        <v>9535182.3537232168</v>
      </c>
      <c r="BF2717" s="458">
        <v>4.0967132285379737E-2</v>
      </c>
      <c r="BG2717" s="477">
        <v>2871267.8706200449</v>
      </c>
      <c r="BH2717" s="458">
        <v>5.1454762871238735E-2</v>
      </c>
      <c r="BI2717" s="477">
        <v>13279819.883856028</v>
      </c>
      <c r="BJ2717" s="458">
        <v>0.11437400516391905</v>
      </c>
      <c r="BK2717" s="477">
        <v>95010187.585644692</v>
      </c>
      <c r="BL2717" s="458">
        <v>0.26103514369064484</v>
      </c>
      <c r="BM2717" s="468">
        <v>7.079118352628786</v>
      </c>
    </row>
    <row r="2718" spans="12:65" x14ac:dyDescent="0.3">
      <c r="L2718" s="427">
        <v>12224888.389</v>
      </c>
      <c r="BE2718" s="477">
        <v>3229808.932543098</v>
      </c>
      <c r="BF2718" s="458">
        <v>3.0671193522602946E-2</v>
      </c>
      <c r="BG2718" s="477">
        <v>8428420.3276972845</v>
      </c>
      <c r="BH2718" s="458">
        <v>3.890525438696435E-2</v>
      </c>
      <c r="BI2718" s="477">
        <v>23036137.012299452</v>
      </c>
      <c r="BJ2718" s="458">
        <v>0.10906197468276413</v>
      </c>
      <c r="BK2718" s="477">
        <v>98157828.505968824</v>
      </c>
      <c r="BL2718" s="458">
        <v>0.28365075466033929</v>
      </c>
      <c r="BM2718" s="468">
        <v>13.663243907548075</v>
      </c>
    </row>
    <row r="2719" spans="12:65" x14ac:dyDescent="0.3">
      <c r="L2719" s="427">
        <v>3291306.1316</v>
      </c>
      <c r="BE2719" s="477">
        <v>4113780.4689206993</v>
      </c>
      <c r="BF2719" s="458">
        <v>4.8567795091922994E-2</v>
      </c>
      <c r="BG2719" s="477">
        <v>9552825.4836950079</v>
      </c>
      <c r="BH2719" s="458">
        <v>5.6904027352955744E-2</v>
      </c>
      <c r="BI2719" s="477">
        <v>18006760.219901688</v>
      </c>
      <c r="BJ2719" s="458">
        <v>0.10570849274600436</v>
      </c>
      <c r="BK2719" s="477">
        <v>102082963.03979301</v>
      </c>
      <c r="BL2719" s="458">
        <v>0.30614427102530462</v>
      </c>
      <c r="BM2719" s="468">
        <v>7.9906654998177213</v>
      </c>
    </row>
    <row r="2720" spans="12:65" x14ac:dyDescent="0.3">
      <c r="L2720" s="427">
        <v>10133316.484200001</v>
      </c>
      <c r="BE2720" s="477">
        <v>5865142.5797967631</v>
      </c>
      <c r="BF2720" s="458">
        <v>5.4570409832173317E-2</v>
      </c>
      <c r="BG2720" s="477">
        <v>18672987.827780183</v>
      </c>
      <c r="BH2720" s="458">
        <v>7.4275161880622553E-2</v>
      </c>
      <c r="BI2720" s="477">
        <v>23523883.242070891</v>
      </c>
      <c r="BJ2720" s="458">
        <v>0.10279657230681649</v>
      </c>
      <c r="BK2720" s="477">
        <v>110889551.01074338</v>
      </c>
      <c r="BL2720" s="458">
        <v>0.24049955614694785</v>
      </c>
      <c r="BM2720" s="468">
        <v>3.1267785921885007</v>
      </c>
    </row>
    <row r="2721" spans="12:65" x14ac:dyDescent="0.3">
      <c r="L2721" s="427">
        <v>-18676352.853500001</v>
      </c>
      <c r="BE2721" s="477">
        <v>4648645.5562702753</v>
      </c>
      <c r="BF2721" s="458">
        <v>6.112151604936189E-2</v>
      </c>
      <c r="BG2721" s="477">
        <v>10303480.453009857</v>
      </c>
      <c r="BH2721" s="458">
        <v>6.1697072007666165E-2</v>
      </c>
      <c r="BI2721" s="477">
        <v>17941935.918581359</v>
      </c>
      <c r="BJ2721" s="458">
        <v>0.11949165853491905</v>
      </c>
      <c r="BK2721" s="477">
        <v>95815283.08223778</v>
      </c>
      <c r="BL2721" s="458">
        <v>0.25609417352113462</v>
      </c>
      <c r="BM2721" s="468">
        <v>9.6442867962026266</v>
      </c>
    </row>
    <row r="2722" spans="12:65" x14ac:dyDescent="0.3">
      <c r="L2722" s="427">
        <v>22696375.351799998</v>
      </c>
      <c r="BE2722" s="477">
        <v>5456501.4441930428</v>
      </c>
      <c r="BF2722" s="458">
        <v>2.8671271876719251E-2</v>
      </c>
      <c r="BG2722" s="477">
        <v>12484101.921939861</v>
      </c>
      <c r="BH2722" s="458">
        <v>9.4348433199045401E-2</v>
      </c>
      <c r="BI2722" s="477">
        <v>18312471.328194391</v>
      </c>
      <c r="BJ2722" s="458">
        <v>0.17101181239719732</v>
      </c>
      <c r="BK2722" s="477">
        <v>89457969.336551979</v>
      </c>
      <c r="BL2722" s="458">
        <v>0.27102952235271416</v>
      </c>
      <c r="BM2722" s="468">
        <v>7.4943116329469976</v>
      </c>
    </row>
    <row r="2723" spans="12:65" x14ac:dyDescent="0.3">
      <c r="L2723" s="427">
        <v>-1630460.0952000001</v>
      </c>
      <c r="BE2723" s="477">
        <v>1777965.8352011903</v>
      </c>
      <c r="BF2723" s="458">
        <v>3.5402943179746238E-2</v>
      </c>
      <c r="BG2723" s="477">
        <v>7990389.905196636</v>
      </c>
      <c r="BH2723" s="458">
        <v>6.3469141828559339E-2</v>
      </c>
      <c r="BI2723" s="477">
        <v>16890591.954212334</v>
      </c>
      <c r="BJ2723" s="458">
        <v>0.12598458966464121</v>
      </c>
      <c r="BK2723" s="477">
        <v>86820098.726723343</v>
      </c>
      <c r="BL2723" s="458">
        <v>0.26503757170785747</v>
      </c>
      <c r="BM2723" s="468">
        <v>11.663915948057053</v>
      </c>
    </row>
    <row r="2724" spans="12:65" x14ac:dyDescent="0.3">
      <c r="L2724" s="427">
        <v>14457957.486300001</v>
      </c>
      <c r="BE2724" s="477">
        <v>8113573.6167367641</v>
      </c>
      <c r="BF2724" s="458">
        <v>2.7325794283569849E-2</v>
      </c>
      <c r="BG2724" s="477">
        <v>5075609.2693398995</v>
      </c>
      <c r="BH2724" s="458">
        <v>6.0707317375518599E-2</v>
      </c>
      <c r="BI2724" s="477">
        <v>16785179.940833874</v>
      </c>
      <c r="BJ2724" s="458">
        <v>0.12832250695206615</v>
      </c>
      <c r="BK2724" s="477">
        <v>80743849.254591331</v>
      </c>
      <c r="BL2724" s="458">
        <v>0.26797958493570651</v>
      </c>
      <c r="BM2724" s="468">
        <v>9.5729309944817054</v>
      </c>
    </row>
    <row r="2725" spans="12:65" x14ac:dyDescent="0.3">
      <c r="L2725" s="427">
        <v>9309174.8910000008</v>
      </c>
      <c r="BE2725" s="477">
        <v>2739075.4791549132</v>
      </c>
      <c r="BF2725" s="458">
        <v>3.8007375134743393E-2</v>
      </c>
      <c r="BG2725" s="477">
        <v>13407896.15601852</v>
      </c>
      <c r="BH2725" s="458">
        <v>7.5874868611890189E-2</v>
      </c>
      <c r="BI2725" s="477">
        <v>24436867.021659318</v>
      </c>
      <c r="BJ2725" s="458">
        <v>9.3155379043157405E-2</v>
      </c>
      <c r="BK2725" s="477">
        <v>94654522.010671914</v>
      </c>
      <c r="BL2725" s="458">
        <v>0.26791686336926923</v>
      </c>
      <c r="BM2725" s="468">
        <v>4.5832263432934042</v>
      </c>
    </row>
    <row r="2726" spans="12:65" x14ac:dyDescent="0.3">
      <c r="L2726" s="427">
        <v>11805860.7223</v>
      </c>
      <c r="BE2726" s="477">
        <v>3791174.2203735472</v>
      </c>
      <c r="BF2726" s="458">
        <v>1.9350041626152281E-2</v>
      </c>
      <c r="BG2726" s="477">
        <v>5027836.1987449573</v>
      </c>
      <c r="BH2726" s="458">
        <v>6.0489409435303676E-2</v>
      </c>
      <c r="BI2726" s="477">
        <v>4239969.337239082</v>
      </c>
      <c r="BJ2726" s="458">
        <v>0.1096600224548141</v>
      </c>
      <c r="BK2726" s="477">
        <v>91634901.679337025</v>
      </c>
      <c r="BL2726" s="458">
        <v>0.26151578140655984</v>
      </c>
      <c r="BM2726" s="468">
        <v>12.329309617809638</v>
      </c>
    </row>
    <row r="2727" spans="12:65" x14ac:dyDescent="0.3">
      <c r="L2727" s="427">
        <v>8236616.1902000001</v>
      </c>
      <c r="BE2727" s="477">
        <v>7657062.728758797</v>
      </c>
      <c r="BF2727" s="458">
        <v>2.4797874815277732E-2</v>
      </c>
      <c r="BG2727" s="477">
        <v>8915772.6043732036</v>
      </c>
      <c r="BH2727" s="458">
        <v>8.032228136109798E-2</v>
      </c>
      <c r="BI2727" s="477">
        <v>16542805.572282733</v>
      </c>
      <c r="BJ2727" s="458">
        <v>0.11053830844145862</v>
      </c>
      <c r="BK2727" s="477">
        <v>106517799.93603133</v>
      </c>
      <c r="BL2727" s="458">
        <v>0.26581277565779904</v>
      </c>
      <c r="BM2727" s="468">
        <v>8.5884350356678052</v>
      </c>
    </row>
    <row r="2728" spans="12:65" x14ac:dyDescent="0.3">
      <c r="L2728" s="427">
        <v>7648761.3257999998</v>
      </c>
      <c r="BE2728" s="477">
        <v>8628890.8842198215</v>
      </c>
      <c r="BF2728" s="458">
        <v>4.4667679784425429E-2</v>
      </c>
      <c r="BG2728" s="477">
        <v>6902359.8683615904</v>
      </c>
      <c r="BH2728" s="458">
        <v>7.2746488970403256E-2</v>
      </c>
      <c r="BI2728" s="477">
        <v>18495407.563719403</v>
      </c>
      <c r="BJ2728" s="458">
        <v>0.10799693739227267</v>
      </c>
      <c r="BK2728" s="477">
        <v>93501117.101653025</v>
      </c>
      <c r="BL2728" s="458">
        <v>0.27095133595076715</v>
      </c>
      <c r="BM2728" s="468">
        <v>7.8266968192304391</v>
      </c>
    </row>
    <row r="2729" spans="12:65" x14ac:dyDescent="0.3">
      <c r="L2729" s="427">
        <v>-3891810.5603</v>
      </c>
      <c r="BE2729" s="477">
        <v>3556750.2756385538</v>
      </c>
      <c r="BF2729" s="458">
        <v>5.1819033805467152E-2</v>
      </c>
      <c r="BG2729" s="477">
        <v>7085431.7891247096</v>
      </c>
      <c r="BH2729" s="458">
        <v>6.6821056883807239E-2</v>
      </c>
      <c r="BI2729" s="477">
        <v>27122915.685027435</v>
      </c>
      <c r="BJ2729" s="458">
        <v>0.11066729333835879</v>
      </c>
      <c r="BK2729" s="477">
        <v>83724462.653903544</v>
      </c>
      <c r="BL2729" s="458">
        <v>0.27017463986497625</v>
      </c>
      <c r="BM2729" s="468">
        <v>8.9281267906177142</v>
      </c>
    </row>
    <row r="2730" spans="12:65" x14ac:dyDescent="0.3">
      <c r="L2730" s="427">
        <v>11924943.9541</v>
      </c>
      <c r="BE2730" s="477">
        <v>8681506.7344360221</v>
      </c>
      <c r="BF2730" s="458">
        <v>1.2957605284192431E-2</v>
      </c>
      <c r="BG2730" s="477">
        <v>13730054.914006736</v>
      </c>
      <c r="BH2730" s="458">
        <v>5.9135362591595353E-2</v>
      </c>
      <c r="BI2730" s="477">
        <v>9383294.0368408617</v>
      </c>
      <c r="BJ2730" s="458">
        <v>0.10629177217308783</v>
      </c>
      <c r="BK2730" s="477">
        <v>84864736.225664899</v>
      </c>
      <c r="BL2730" s="458">
        <v>0.26323887094493115</v>
      </c>
      <c r="BM2730" s="468">
        <v>6.9228019777618002</v>
      </c>
    </row>
    <row r="2731" spans="12:65" x14ac:dyDescent="0.3">
      <c r="L2731" s="427">
        <v>16483824.850500001</v>
      </c>
      <c r="BE2731" s="477">
        <v>9636767.5759304967</v>
      </c>
      <c r="BF2731" s="458">
        <v>5.9000980409044113E-2</v>
      </c>
      <c r="BG2731" s="477">
        <v>7145765.5398918614</v>
      </c>
      <c r="BH2731" s="458">
        <v>6.4500733355363327E-2</v>
      </c>
      <c r="BI2731" s="477">
        <v>18081590.821768414</v>
      </c>
      <c r="BJ2731" s="458">
        <v>0.1287946969688154</v>
      </c>
      <c r="BK2731" s="477">
        <v>85073922.217588127</v>
      </c>
      <c r="BL2731" s="458">
        <v>0.26659827413101933</v>
      </c>
      <c r="BM2731" s="468">
        <v>9.8062213633629671</v>
      </c>
    </row>
    <row r="2732" spans="12:65" x14ac:dyDescent="0.3">
      <c r="L2732" s="427">
        <v>6192048.6343</v>
      </c>
      <c r="BE2732" s="477">
        <v>1389768.6044679701</v>
      </c>
      <c r="BF2732" s="458">
        <v>6.2560370009661748E-2</v>
      </c>
      <c r="BG2732" s="477">
        <v>7502489.3096828246</v>
      </c>
      <c r="BH2732" s="458">
        <v>0.12566295040311504</v>
      </c>
      <c r="BI2732" s="477">
        <v>17212835.622537617</v>
      </c>
      <c r="BJ2732" s="458">
        <v>0.10553053341713725</v>
      </c>
      <c r="BK2732" s="477">
        <v>91447561.28996186</v>
      </c>
      <c r="BL2732" s="458">
        <v>0.25098953020208614</v>
      </c>
      <c r="BM2732" s="468">
        <v>4.6759931367318455</v>
      </c>
    </row>
    <row r="2733" spans="12:65" x14ac:dyDescent="0.3">
      <c r="L2733" s="427">
        <v>9307200.9300999995</v>
      </c>
      <c r="BE2733" s="477">
        <v>3426658.0099471742</v>
      </c>
      <c r="BF2733" s="458">
        <v>1.9310698259014769E-2</v>
      </c>
      <c r="BG2733" s="477">
        <v>13063504.412894916</v>
      </c>
      <c r="BH2733" s="458">
        <v>4.1784003047144358E-2</v>
      </c>
      <c r="BI2733" s="477">
        <v>16253711.393200539</v>
      </c>
      <c r="BJ2733" s="458">
        <v>0.13038210829543151</v>
      </c>
      <c r="BK2733" s="477">
        <v>72569823.749326125</v>
      </c>
      <c r="BL2733" s="458">
        <v>0.27294073026505128</v>
      </c>
      <c r="BM2733" s="468">
        <v>14.149021380266333</v>
      </c>
    </row>
    <row r="2734" spans="12:65" x14ac:dyDescent="0.3">
      <c r="L2734" s="427">
        <v>-6927593.8315000003</v>
      </c>
      <c r="BE2734" s="477">
        <v>5711484.7497446686</v>
      </c>
      <c r="BF2734" s="458">
        <v>1.4176290484338772E-2</v>
      </c>
      <c r="BG2734" s="477">
        <v>7635555.8953111619</v>
      </c>
      <c r="BH2734" s="458">
        <v>4.7697638238301199E-2</v>
      </c>
      <c r="BI2734" s="477">
        <v>29622861.436336786</v>
      </c>
      <c r="BJ2734" s="458">
        <v>0.11446548976827953</v>
      </c>
      <c r="BK2734" s="477">
        <v>93210346.291056082</v>
      </c>
      <c r="BL2734" s="458">
        <v>0.25932938055479138</v>
      </c>
      <c r="BM2734" s="468">
        <v>9.0322441989462128</v>
      </c>
    </row>
    <row r="2735" spans="12:65" x14ac:dyDescent="0.3">
      <c r="L2735" s="427">
        <v>10206129.614499999</v>
      </c>
      <c r="BE2735" s="477">
        <v>2883607.3485708456</v>
      </c>
      <c r="BF2735" s="458">
        <v>2.8692837403375693E-2</v>
      </c>
      <c r="BG2735" s="477">
        <v>11223206.983144239</v>
      </c>
      <c r="BH2735" s="458">
        <v>6.3960813638734626E-2</v>
      </c>
      <c r="BI2735" s="477">
        <v>18499992.293426052</v>
      </c>
      <c r="BJ2735" s="458">
        <v>0.1281828694509366</v>
      </c>
      <c r="BK2735" s="477">
        <v>97503848.159208149</v>
      </c>
      <c r="BL2735" s="458">
        <v>0.27180726793130727</v>
      </c>
      <c r="BM2735" s="468">
        <v>2.693747205932298</v>
      </c>
    </row>
    <row r="2736" spans="12:65" x14ac:dyDescent="0.3">
      <c r="L2736" s="427">
        <v>14870068.737199999</v>
      </c>
      <c r="BE2736" s="477">
        <v>-1059314.1630267838</v>
      </c>
      <c r="BF2736" s="458">
        <v>3.5171866678940455E-2</v>
      </c>
      <c r="BG2736" s="477">
        <v>14646690.939352894</v>
      </c>
      <c r="BH2736" s="458">
        <v>5.405931298496669E-2</v>
      </c>
      <c r="BI2736" s="477">
        <v>17892058.944269348</v>
      </c>
      <c r="BJ2736" s="458">
        <v>9.9385654842317317E-2</v>
      </c>
      <c r="BK2736" s="477">
        <v>83546542.250685826</v>
      </c>
      <c r="BL2736" s="458">
        <v>0.25960683895697412</v>
      </c>
      <c r="BM2736" s="468">
        <v>8.12144467580063</v>
      </c>
    </row>
    <row r="2737" spans="12:65" x14ac:dyDescent="0.3">
      <c r="L2737" s="427">
        <v>10117934.5518</v>
      </c>
      <c r="BE2737" s="477">
        <v>5875902.7497178167</v>
      </c>
      <c r="BF2737" s="458">
        <v>3.3924657467987895E-2</v>
      </c>
      <c r="BG2737" s="477">
        <v>12770965.520352961</v>
      </c>
      <c r="BH2737" s="458">
        <v>6.5328425596281603E-2</v>
      </c>
      <c r="BI2737" s="477">
        <v>11027768.844298063</v>
      </c>
      <c r="BJ2737" s="458">
        <v>0.10745202639031182</v>
      </c>
      <c r="BK2737" s="477">
        <v>84006223.504188702</v>
      </c>
      <c r="BL2737" s="458">
        <v>0.26508447655102962</v>
      </c>
      <c r="BM2737" s="468">
        <v>12.841170130861336</v>
      </c>
    </row>
    <row r="2738" spans="12:65" x14ac:dyDescent="0.3">
      <c r="L2738" s="427">
        <v>-1070922.5858</v>
      </c>
      <c r="BE2738" s="477">
        <v>2814909.4986324105</v>
      </c>
      <c r="BF2738" s="458">
        <v>5.1860637640060991E-2</v>
      </c>
      <c r="BG2738" s="477">
        <v>4759023.3454980552</v>
      </c>
      <c r="BH2738" s="458">
        <v>7.5225387000593003E-2</v>
      </c>
      <c r="BI2738" s="477">
        <v>16154583.902047692</v>
      </c>
      <c r="BJ2738" s="458">
        <v>0.11997752278204077</v>
      </c>
      <c r="BK2738" s="477">
        <v>92870132.232654989</v>
      </c>
      <c r="BL2738" s="458">
        <v>0.26386994176754075</v>
      </c>
      <c r="BM2738" s="468">
        <v>6.4877539181453336</v>
      </c>
    </row>
    <row r="2739" spans="12:65" x14ac:dyDescent="0.3">
      <c r="L2739" s="427">
        <v>3280104.0772000002</v>
      </c>
      <c r="BE2739" s="477">
        <v>5503295.7340387749</v>
      </c>
      <c r="BF2739" s="458">
        <v>4.4533269565720346E-2</v>
      </c>
      <c r="BG2739" s="477">
        <v>11795047.499023778</v>
      </c>
      <c r="BH2739" s="458">
        <v>5.3340871327778094E-2</v>
      </c>
      <c r="BI2739" s="477">
        <v>16473567.322704863</v>
      </c>
      <c r="BJ2739" s="458">
        <v>9.0443414922985799E-2</v>
      </c>
      <c r="BK2739" s="477">
        <v>77934282.741538078</v>
      </c>
      <c r="BL2739" s="458">
        <v>0.25837412780416957</v>
      </c>
      <c r="BM2739" s="468">
        <v>8.3186704579765731</v>
      </c>
    </row>
    <row r="2740" spans="12:65" x14ac:dyDescent="0.3">
      <c r="L2740" s="427">
        <v>17113537.8332</v>
      </c>
      <c r="BE2740" s="477">
        <v>3858545.9681700366</v>
      </c>
      <c r="BF2740" s="458">
        <v>5.436487769589049E-2</v>
      </c>
      <c r="BG2740" s="477">
        <v>4470360.5615018858</v>
      </c>
      <c r="BH2740" s="458">
        <v>5.7467519736306372E-2</v>
      </c>
      <c r="BI2740" s="477">
        <v>14119424.258966193</v>
      </c>
      <c r="BJ2740" s="458">
        <v>9.2067714314295168E-2</v>
      </c>
      <c r="BK2740" s="477">
        <v>90439905.40231359</v>
      </c>
      <c r="BL2740" s="458">
        <v>0.26192458213745562</v>
      </c>
      <c r="BM2740" s="468">
        <v>8.580505797109133</v>
      </c>
    </row>
    <row r="2741" spans="12:65" x14ac:dyDescent="0.3">
      <c r="L2741" s="427">
        <v>17537255.052200001</v>
      </c>
      <c r="BE2741" s="477">
        <v>1896091.857614754</v>
      </c>
      <c r="BF2741" s="458">
        <v>4.1145413588885793E-2</v>
      </c>
      <c r="BG2741" s="477">
        <v>12384168.215796508</v>
      </c>
      <c r="BH2741" s="458">
        <v>6.5020967613557357E-2</v>
      </c>
      <c r="BI2741" s="477">
        <v>24427096.109094586</v>
      </c>
      <c r="BJ2741" s="458">
        <v>0.11481573433001979</v>
      </c>
      <c r="BK2741" s="477">
        <v>105787606.16529231</v>
      </c>
      <c r="BL2741" s="458">
        <v>0.25899952653400127</v>
      </c>
      <c r="BM2741" s="468">
        <v>6.2120999368428311</v>
      </c>
    </row>
    <row r="2742" spans="12:65" x14ac:dyDescent="0.3">
      <c r="L2742" s="427">
        <v>9716372.8836000003</v>
      </c>
      <c r="BE2742" s="477">
        <v>5415786.2924978305</v>
      </c>
      <c r="BF2742" s="458">
        <v>1.6808951560383312E-2</v>
      </c>
      <c r="BG2742" s="477">
        <v>9381825.8432932328</v>
      </c>
      <c r="BH2742" s="458">
        <v>5.8153520753950971E-2</v>
      </c>
      <c r="BI2742" s="477">
        <v>23238334.559440654</v>
      </c>
      <c r="BJ2742" s="458">
        <v>0.12536084887900811</v>
      </c>
      <c r="BK2742" s="477">
        <v>81994842.044052526</v>
      </c>
      <c r="BL2742" s="458">
        <v>0.26053001644480411</v>
      </c>
      <c r="BM2742" s="468">
        <v>14.241763965863745</v>
      </c>
    </row>
    <row r="2743" spans="12:65" x14ac:dyDescent="0.3">
      <c r="L2743" s="427">
        <v>7901277.3863000004</v>
      </c>
      <c r="BE2743" s="477">
        <v>6172956.5302264821</v>
      </c>
      <c r="BF2743" s="458">
        <v>2.7455002198101486E-2</v>
      </c>
      <c r="BG2743" s="477">
        <v>9619669.7894403078</v>
      </c>
      <c r="BH2743" s="458">
        <v>4.1148875667321061E-2</v>
      </c>
      <c r="BI2743" s="477">
        <v>12695569.994606314</v>
      </c>
      <c r="BJ2743" s="458">
        <v>9.3495636357846967E-2</v>
      </c>
      <c r="BK2743" s="477">
        <v>92088186.250275329</v>
      </c>
      <c r="BL2743" s="458">
        <v>0.26255613770269348</v>
      </c>
      <c r="BM2743" s="468">
        <v>10.023861156158791</v>
      </c>
    </row>
    <row r="2744" spans="12:65" x14ac:dyDescent="0.3">
      <c r="L2744" s="427">
        <v>14658199.246200001</v>
      </c>
      <c r="BE2744" s="477">
        <v>4876063.8833052274</v>
      </c>
      <c r="BF2744" s="458">
        <v>3.8049619458685013E-2</v>
      </c>
      <c r="BG2744" s="477">
        <v>7253543.845505611</v>
      </c>
      <c r="BH2744" s="458">
        <v>6.4020138876088595E-2</v>
      </c>
      <c r="BI2744" s="477">
        <v>15834514.25569943</v>
      </c>
      <c r="BJ2744" s="458">
        <v>8.4438043792073092E-2</v>
      </c>
      <c r="BK2744" s="477">
        <v>102224734.84422711</v>
      </c>
      <c r="BL2744" s="458">
        <v>0.2665025159209593</v>
      </c>
      <c r="BM2744" s="468">
        <v>5.5110965396624749</v>
      </c>
    </row>
    <row r="2745" spans="12:65" x14ac:dyDescent="0.3">
      <c r="L2745" s="427">
        <v>15866142.585899999</v>
      </c>
      <c r="BE2745" s="477">
        <v>2054343.9858831661</v>
      </c>
      <c r="BF2745" s="458">
        <v>4.2459650808201577E-2</v>
      </c>
      <c r="BG2745" s="477">
        <v>3764588.2367158616</v>
      </c>
      <c r="BH2745" s="458">
        <v>7.1193121477547638E-2</v>
      </c>
      <c r="BI2745" s="477">
        <v>14710070.251550322</v>
      </c>
      <c r="BJ2745" s="458">
        <v>0.11504519072445207</v>
      </c>
      <c r="BK2745" s="477">
        <v>91187527.085321113</v>
      </c>
      <c r="BL2745" s="458">
        <v>0.25064004838542497</v>
      </c>
      <c r="BM2745" s="468">
        <v>15.05442567269068</v>
      </c>
    </row>
    <row r="2746" spans="12:65" x14ac:dyDescent="0.3">
      <c r="L2746" s="427">
        <v>14570320.259099999</v>
      </c>
      <c r="BE2746" s="477">
        <v>5960571.8843867294</v>
      </c>
      <c r="BF2746" s="458">
        <v>3.4199821988595058E-2</v>
      </c>
      <c r="BG2746" s="477">
        <v>-944451.51921831665</v>
      </c>
      <c r="BH2746" s="458">
        <v>4.5471963006617155E-2</v>
      </c>
      <c r="BI2746" s="477">
        <v>25357973.362544157</v>
      </c>
      <c r="BJ2746" s="458">
        <v>0.10199285190819096</v>
      </c>
      <c r="BK2746" s="477">
        <v>81494142.380481333</v>
      </c>
      <c r="BL2746" s="458">
        <v>0.26733360095813374</v>
      </c>
      <c r="BM2746" s="468">
        <v>10.065734045598525</v>
      </c>
    </row>
    <row r="2747" spans="12:65" x14ac:dyDescent="0.3">
      <c r="L2747" s="427">
        <v>15033710.4805</v>
      </c>
      <c r="BE2747" s="477">
        <v>4229429.6121075302</v>
      </c>
      <c r="BF2747" s="458">
        <v>7.1739826670280671E-3</v>
      </c>
      <c r="BG2747" s="477">
        <v>7308994.4273360884</v>
      </c>
      <c r="BH2747" s="458">
        <v>6.4531940294627388E-2</v>
      </c>
      <c r="BI2747" s="477">
        <v>17232547.476999741</v>
      </c>
      <c r="BJ2747" s="458">
        <v>9.8966335472936429E-2</v>
      </c>
      <c r="BK2747" s="477">
        <v>99077885.477216095</v>
      </c>
      <c r="BL2747" s="458">
        <v>0.27758839419240044</v>
      </c>
      <c r="BM2747" s="468">
        <v>9.8705522877334104</v>
      </c>
    </row>
    <row r="2748" spans="12:65" x14ac:dyDescent="0.3">
      <c r="L2748" s="427">
        <v>20636713.989300001</v>
      </c>
      <c r="BE2748" s="477">
        <v>10000.410705170616</v>
      </c>
      <c r="BF2748" s="458">
        <v>1.376878556286254E-2</v>
      </c>
      <c r="BG2748" s="477">
        <v>6951920.4464129107</v>
      </c>
      <c r="BH2748" s="458">
        <v>7.9915343977964293E-2</v>
      </c>
      <c r="BI2748" s="477">
        <v>14610509.999850975</v>
      </c>
      <c r="BJ2748" s="458">
        <v>0.11359319666627177</v>
      </c>
      <c r="BK2748" s="477">
        <v>99592832.277769908</v>
      </c>
      <c r="BL2748" s="458">
        <v>0.27641221616529643</v>
      </c>
      <c r="BM2748" s="468">
        <v>13.857766519114758</v>
      </c>
    </row>
    <row r="2749" spans="12:65" x14ac:dyDescent="0.3">
      <c r="L2749" s="427">
        <v>-1543934.4365999999</v>
      </c>
      <c r="BE2749" s="477">
        <v>5085602.6037919475</v>
      </c>
      <c r="BF2749" s="458">
        <v>3.5222039680268713E-2</v>
      </c>
      <c r="BG2749" s="477">
        <v>1923129.906407966</v>
      </c>
      <c r="BH2749" s="458">
        <v>6.5527755790883546E-2</v>
      </c>
      <c r="BI2749" s="477">
        <v>15286255.261595676</v>
      </c>
      <c r="BJ2749" s="458">
        <v>0.11704631131191601</v>
      </c>
      <c r="BK2749" s="477">
        <v>98030729.442309305</v>
      </c>
      <c r="BL2749" s="458">
        <v>0.27198086332732796</v>
      </c>
      <c r="BM2749" s="468">
        <v>11.242768886202377</v>
      </c>
    </row>
    <row r="2750" spans="12:65" x14ac:dyDescent="0.3">
      <c r="L2750" s="427">
        <v>16242376.4276</v>
      </c>
      <c r="BE2750" s="477">
        <v>624921.86080288619</v>
      </c>
      <c r="BF2750" s="458">
        <v>2.413495550695699E-2</v>
      </c>
      <c r="BG2750" s="477">
        <v>6482449.8946310962</v>
      </c>
      <c r="BH2750" s="458">
        <v>8.0974141848612735E-2</v>
      </c>
      <c r="BI2750" s="477">
        <v>23537201.20341507</v>
      </c>
      <c r="BJ2750" s="458">
        <v>0.12333826513615342</v>
      </c>
      <c r="BK2750" s="477">
        <v>75666310.948747367</v>
      </c>
      <c r="BL2750" s="458">
        <v>0.27380373818765968</v>
      </c>
      <c r="BM2750" s="468">
        <v>8.9973276138993992</v>
      </c>
    </row>
    <row r="2751" spans="12:65" x14ac:dyDescent="0.3">
      <c r="L2751" s="427">
        <v>-4878.9987000000001</v>
      </c>
      <c r="BE2751" s="477">
        <v>1989818.0545327503</v>
      </c>
      <c r="BF2751" s="458">
        <v>3.8901439526692672E-2</v>
      </c>
      <c r="BG2751" s="477">
        <v>9284425.1974402312</v>
      </c>
      <c r="BH2751" s="458">
        <v>6.4840905378705349E-2</v>
      </c>
      <c r="BI2751" s="477">
        <v>15327613.30323196</v>
      </c>
      <c r="BJ2751" s="458">
        <v>9.9947640332789911E-2</v>
      </c>
      <c r="BK2751" s="477">
        <v>92762266.117551789</v>
      </c>
      <c r="BL2751" s="458">
        <v>0.27281374405177616</v>
      </c>
      <c r="BM2751" s="468">
        <v>11.238124385161061</v>
      </c>
    </row>
    <row r="2752" spans="12:65" x14ac:dyDescent="0.3">
      <c r="L2752" s="427">
        <v>11536560.366599999</v>
      </c>
      <c r="BE2752" s="477">
        <v>6623695.2649860708</v>
      </c>
      <c r="BF2752" s="458">
        <v>3.4835924627307335E-2</v>
      </c>
      <c r="BG2752" s="477">
        <v>10893146.4300131</v>
      </c>
      <c r="BH2752" s="458">
        <v>8.17828274923873E-2</v>
      </c>
      <c r="BI2752" s="477">
        <v>10537941.162815118</v>
      </c>
      <c r="BJ2752" s="458">
        <v>0.1126281184657294</v>
      </c>
      <c r="BK2752" s="477">
        <v>80509302.890355647</v>
      </c>
      <c r="BL2752" s="458">
        <v>0.27501196230834846</v>
      </c>
      <c r="BM2752" s="468">
        <v>7.3356998462167864</v>
      </c>
    </row>
    <row r="2753" spans="12:65" x14ac:dyDescent="0.3">
      <c r="L2753" s="427">
        <v>11781400.2269</v>
      </c>
      <c r="BE2753" s="477">
        <v>7177672.7976875966</v>
      </c>
      <c r="BF2753" s="458">
        <v>4.491331328445658E-2</v>
      </c>
      <c r="BG2753" s="477">
        <v>3834514.1540821469</v>
      </c>
      <c r="BH2753" s="458">
        <v>6.567822608169438E-2</v>
      </c>
      <c r="BI2753" s="477">
        <v>23536035.09389795</v>
      </c>
      <c r="BJ2753" s="458">
        <v>0.10952918620622887</v>
      </c>
      <c r="BK2753" s="477">
        <v>94198976.845905975</v>
      </c>
      <c r="BL2753" s="458">
        <v>0.26781955966495352</v>
      </c>
      <c r="BM2753" s="468">
        <v>4.5330477319926752</v>
      </c>
    </row>
    <row r="2754" spans="12:65" x14ac:dyDescent="0.3">
      <c r="L2754" s="427">
        <v>12981594.379799999</v>
      </c>
      <c r="BE2754" s="477">
        <v>7369926.0391585557</v>
      </c>
      <c r="BF2754" s="458">
        <v>2.2783804662134033E-2</v>
      </c>
      <c r="BG2754" s="477">
        <v>6728061.2022478366</v>
      </c>
      <c r="BH2754" s="458">
        <v>6.5523472763937773E-2</v>
      </c>
      <c r="BI2754" s="477">
        <v>23327533.246396374</v>
      </c>
      <c r="BJ2754" s="458">
        <v>0.11426742366551079</v>
      </c>
      <c r="BK2754" s="477">
        <v>95338997.541911125</v>
      </c>
      <c r="BL2754" s="458">
        <v>0.28515720213188245</v>
      </c>
      <c r="BM2754" s="468">
        <v>14.840254905764514</v>
      </c>
    </row>
    <row r="2755" spans="12:65" x14ac:dyDescent="0.3">
      <c r="L2755" s="427">
        <v>1729382.1274999999</v>
      </c>
      <c r="BE2755" s="477">
        <v>-5609828.1802980928</v>
      </c>
      <c r="BF2755" s="458">
        <v>4.4022276023144791E-2</v>
      </c>
      <c r="BG2755" s="477">
        <v>11179095.201370159</v>
      </c>
      <c r="BH2755" s="458">
        <v>3.5832665544130338E-2</v>
      </c>
      <c r="BI2755" s="477">
        <v>9718699.6316926293</v>
      </c>
      <c r="BJ2755" s="458">
        <v>0.11386669309453312</v>
      </c>
      <c r="BK2755" s="477">
        <v>97733378.355183244</v>
      </c>
      <c r="BL2755" s="458">
        <v>0.27879243230808282</v>
      </c>
      <c r="BM2755" s="468">
        <v>11.029329794015304</v>
      </c>
    </row>
    <row r="2756" spans="12:65" x14ac:dyDescent="0.3">
      <c r="L2756" s="427">
        <v>13586828.376</v>
      </c>
      <c r="BE2756" s="477">
        <v>6535592.9490286913</v>
      </c>
      <c r="BF2756" s="458">
        <v>6.9618687807378121E-2</v>
      </c>
      <c r="BG2756" s="477">
        <v>6513700.8948127395</v>
      </c>
      <c r="BH2756" s="458">
        <v>5.4350277665685454E-2</v>
      </c>
      <c r="BI2756" s="477">
        <v>24315409.044580374</v>
      </c>
      <c r="BJ2756" s="458">
        <v>9.8938484183318742E-2</v>
      </c>
      <c r="BK2756" s="477">
        <v>91359134.456314564</v>
      </c>
      <c r="BL2756" s="458">
        <v>0.25864051620335249</v>
      </c>
      <c r="BM2756" s="468">
        <v>14.349794271983638</v>
      </c>
    </row>
    <row r="2757" spans="12:65" x14ac:dyDescent="0.3">
      <c r="L2757" s="427">
        <v>-2041923.4812</v>
      </c>
      <c r="BE2757" s="477">
        <v>3585994.2295586979</v>
      </c>
      <c r="BF2757" s="458">
        <v>1.6289095407689524E-2</v>
      </c>
      <c r="BG2757" s="477">
        <v>8913504.3603544924</v>
      </c>
      <c r="BH2757" s="458">
        <v>6.935856479375202E-2</v>
      </c>
      <c r="BI2757" s="477">
        <v>17426190.239063472</v>
      </c>
      <c r="BJ2757" s="458">
        <v>0.10375110999152692</v>
      </c>
      <c r="BK2757" s="477">
        <v>77547318.232146487</v>
      </c>
      <c r="BL2757" s="458">
        <v>0.25810778577592952</v>
      </c>
      <c r="BM2757" s="468">
        <v>6.0150257958828695</v>
      </c>
    </row>
    <row r="2758" spans="12:65" x14ac:dyDescent="0.3">
      <c r="L2758" s="427">
        <v>3128871.3127000001</v>
      </c>
      <c r="BE2758" s="477">
        <v>5640891.709229812</v>
      </c>
      <c r="BF2758" s="458">
        <v>0.10111521539701473</v>
      </c>
      <c r="BG2758" s="477">
        <v>3982482.710379581</v>
      </c>
      <c r="BH2758" s="458">
        <v>5.5693460942597639E-2</v>
      </c>
      <c r="BI2758" s="477">
        <v>21027007.763226923</v>
      </c>
      <c r="BJ2758" s="458">
        <v>0.11984564656906072</v>
      </c>
      <c r="BK2758" s="477">
        <v>75051910.771623805</v>
      </c>
      <c r="BL2758" s="458">
        <v>0.27615710085401646</v>
      </c>
      <c r="BM2758" s="468">
        <v>13.074425139519526</v>
      </c>
    </row>
    <row r="2759" spans="12:65" x14ac:dyDescent="0.3">
      <c r="L2759" s="427">
        <v>3376132.4627</v>
      </c>
      <c r="BE2759" s="477">
        <v>7285241.2038581539</v>
      </c>
      <c r="BF2759" s="458">
        <v>2.6621688597419757E-2</v>
      </c>
      <c r="BG2759" s="477">
        <v>3764013.6546291932</v>
      </c>
      <c r="BH2759" s="458">
        <v>7.9502898704121527E-2</v>
      </c>
      <c r="BI2759" s="477">
        <v>3548989.7109955479</v>
      </c>
      <c r="BJ2759" s="458">
        <v>0.12228405253124697</v>
      </c>
      <c r="BK2759" s="477">
        <v>91829724.127826676</v>
      </c>
      <c r="BL2759" s="458">
        <v>0.28128187325734766</v>
      </c>
      <c r="BM2759" s="468">
        <v>8.1875731266264964</v>
      </c>
    </row>
    <row r="2760" spans="12:65" x14ac:dyDescent="0.3">
      <c r="L2760" s="427">
        <v>16662306.170600001</v>
      </c>
      <c r="BE2760" s="477">
        <v>8492074.559066087</v>
      </c>
      <c r="BF2760" s="458">
        <v>5.3185731045388929E-2</v>
      </c>
      <c r="BG2760" s="477">
        <v>2847250.104950862</v>
      </c>
      <c r="BH2760" s="458">
        <v>8.2959315105338938E-2</v>
      </c>
      <c r="BI2760" s="477">
        <v>10438034.746381667</v>
      </c>
      <c r="BJ2760" s="458">
        <v>0.10273437600305901</v>
      </c>
      <c r="BK2760" s="477">
        <v>97053209.096479923</v>
      </c>
      <c r="BL2760" s="458">
        <v>0.27124782229063582</v>
      </c>
      <c r="BM2760" s="468">
        <v>0.81758936043164265</v>
      </c>
    </row>
    <row r="2761" spans="12:65" x14ac:dyDescent="0.3">
      <c r="L2761" s="427">
        <v>11391316.903899999</v>
      </c>
      <c r="BE2761" s="477">
        <v>3084260.5935743283</v>
      </c>
      <c r="BF2761" s="458">
        <v>4.7775182504514735E-2</v>
      </c>
      <c r="BG2761" s="477">
        <v>2662922.6567285554</v>
      </c>
      <c r="BH2761" s="458">
        <v>6.0745195078306891E-2</v>
      </c>
      <c r="BI2761" s="477">
        <v>17523505.535198003</v>
      </c>
      <c r="BJ2761" s="458">
        <v>0.10396101300412641</v>
      </c>
      <c r="BK2761" s="477">
        <v>86326281.938211665</v>
      </c>
      <c r="BL2761" s="458">
        <v>0.26452252859127423</v>
      </c>
      <c r="BM2761" s="468">
        <v>9.2961997529971043</v>
      </c>
    </row>
    <row r="2762" spans="12:65" x14ac:dyDescent="0.3">
      <c r="L2762" s="427">
        <v>1948510.7072000001</v>
      </c>
      <c r="BE2762" s="477">
        <v>6271212.670366697</v>
      </c>
      <c r="BF2762" s="458">
        <v>4.4232971465289372E-2</v>
      </c>
      <c r="BG2762" s="477">
        <v>6629095.6340958625</v>
      </c>
      <c r="BH2762" s="458">
        <v>8.3602614739946901E-2</v>
      </c>
      <c r="BI2762" s="477">
        <v>19585477.965766501</v>
      </c>
      <c r="BJ2762" s="458">
        <v>0.10672465452710633</v>
      </c>
      <c r="BK2762" s="477">
        <v>103002142.47549604</v>
      </c>
      <c r="BL2762" s="458">
        <v>0.25908174253289906</v>
      </c>
      <c r="BM2762" s="468">
        <v>8.2068130501245182</v>
      </c>
    </row>
    <row r="2763" spans="12:65" x14ac:dyDescent="0.3">
      <c r="L2763" s="427">
        <v>11773773.932800001</v>
      </c>
      <c r="BE2763" s="477">
        <v>5727951.1679118266</v>
      </c>
      <c r="BF2763" s="458">
        <v>7.6680548324272735E-2</v>
      </c>
      <c r="BG2763" s="477">
        <v>10932962.964768119</v>
      </c>
      <c r="BH2763" s="458">
        <v>6.8416309012350185E-2</v>
      </c>
      <c r="BI2763" s="477">
        <v>21803546.081034001</v>
      </c>
      <c r="BJ2763" s="458">
        <v>0.10071670563426438</v>
      </c>
      <c r="BK2763" s="477">
        <v>90223650.620801091</v>
      </c>
      <c r="BL2763" s="458">
        <v>0.25490345850308471</v>
      </c>
      <c r="BM2763" s="468">
        <v>5.0689801915796124</v>
      </c>
    </row>
    <row r="2764" spans="12:65" x14ac:dyDescent="0.3">
      <c r="L2764" s="427">
        <v>554258.27309999999</v>
      </c>
      <c r="BE2764" s="477">
        <v>7667728.3561175037</v>
      </c>
      <c r="BF2764" s="458">
        <v>1.7848597167396729E-2</v>
      </c>
      <c r="BG2764" s="477">
        <v>10806023.707567809</v>
      </c>
      <c r="BH2764" s="458">
        <v>9.136748683885676E-2</v>
      </c>
      <c r="BI2764" s="477">
        <v>9312886.7295265067</v>
      </c>
      <c r="BJ2764" s="458">
        <v>0.15312472880603156</v>
      </c>
      <c r="BK2764" s="477">
        <v>96858954.571615309</v>
      </c>
      <c r="BL2764" s="458">
        <v>0.24465138967972977</v>
      </c>
      <c r="BM2764" s="468">
        <v>10.501656358305043</v>
      </c>
    </row>
    <row r="2765" spans="12:65" x14ac:dyDescent="0.3">
      <c r="L2765" s="427">
        <v>14926689.398600001</v>
      </c>
      <c r="BE2765" s="477">
        <v>2284883.0002851337</v>
      </c>
      <c r="BF2765" s="458">
        <v>3.2353666319182128E-2</v>
      </c>
      <c r="BG2765" s="477">
        <v>7846846.6108599082</v>
      </c>
      <c r="BH2765" s="458">
        <v>6.5055090029286777E-2</v>
      </c>
      <c r="BI2765" s="477">
        <v>23310152.335997451</v>
      </c>
      <c r="BJ2765" s="458">
        <v>9.354033541501483E-2</v>
      </c>
      <c r="BK2765" s="477">
        <v>90086030.403446108</v>
      </c>
      <c r="BL2765" s="458">
        <v>0.30130666201589507</v>
      </c>
      <c r="BM2765" s="468">
        <v>9.2371571344361705</v>
      </c>
    </row>
    <row r="2766" spans="12:65" x14ac:dyDescent="0.3">
      <c r="L2766" s="427">
        <v>2986997.0375000001</v>
      </c>
      <c r="BE2766" s="477">
        <v>11030143.419260969</v>
      </c>
      <c r="BF2766" s="458">
        <v>4.8395499916514817E-2</v>
      </c>
      <c r="BG2766" s="477">
        <v>13057081.949178012</v>
      </c>
      <c r="BH2766" s="458">
        <v>6.4030057870964052E-2</v>
      </c>
      <c r="BI2766" s="477">
        <v>18623087.245404366</v>
      </c>
      <c r="BJ2766" s="458">
        <v>9.9399052059215398E-2</v>
      </c>
      <c r="BK2766" s="477">
        <v>100183587.13260914</v>
      </c>
      <c r="BL2766" s="458">
        <v>0.26958372471627201</v>
      </c>
      <c r="BM2766" s="468">
        <v>5.0546367169187665</v>
      </c>
    </row>
    <row r="2767" spans="12:65" x14ac:dyDescent="0.3">
      <c r="L2767" s="427">
        <v>8641684.0802999996</v>
      </c>
      <c r="BE2767" s="477">
        <v>6117916.713911036</v>
      </c>
      <c r="BF2767" s="458">
        <v>4.284839605102686E-2</v>
      </c>
      <c r="BG2767" s="477">
        <v>6300966.8757050335</v>
      </c>
      <c r="BH2767" s="458">
        <v>7.4111515089790414E-2</v>
      </c>
      <c r="BI2767" s="477">
        <v>13926282.475074252</v>
      </c>
      <c r="BJ2767" s="458">
        <v>9.3272572359077266E-2</v>
      </c>
      <c r="BK2767" s="477">
        <v>104566111.84997508</v>
      </c>
      <c r="BL2767" s="458">
        <v>0.25828485962078895</v>
      </c>
      <c r="BM2767" s="468">
        <v>5.4706951243286284</v>
      </c>
    </row>
    <row r="2768" spans="12:65" x14ac:dyDescent="0.3">
      <c r="L2768" s="427">
        <v>18253186.2117</v>
      </c>
      <c r="BE2768" s="477">
        <v>2712128.9203408142</v>
      </c>
      <c r="BF2768" s="458">
        <v>2.3644966293174363E-2</v>
      </c>
      <c r="BG2768" s="477">
        <v>9673583.0041972473</v>
      </c>
      <c r="BH2768" s="458">
        <v>7.2206794101634664E-2</v>
      </c>
      <c r="BI2768" s="477">
        <v>15526604.806112733</v>
      </c>
      <c r="BJ2768" s="458">
        <v>8.5660213628432791E-2</v>
      </c>
      <c r="BK2768" s="477">
        <v>84471155.269223541</v>
      </c>
      <c r="BL2768" s="458">
        <v>0.26231675477331673</v>
      </c>
      <c r="BM2768" s="468">
        <v>4.6049711295324123</v>
      </c>
    </row>
    <row r="2769" spans="12:65" x14ac:dyDescent="0.3">
      <c r="L2769" s="427">
        <v>26876682.997200001</v>
      </c>
      <c r="BE2769" s="477">
        <v>6905587.1143478798</v>
      </c>
      <c r="BF2769" s="458">
        <v>4.7902927994345479E-2</v>
      </c>
      <c r="BG2769" s="477">
        <v>11948396.071492314</v>
      </c>
      <c r="BH2769" s="458">
        <v>4.817732645161521E-2</v>
      </c>
      <c r="BI2769" s="477">
        <v>16884376.467894267</v>
      </c>
      <c r="BJ2769" s="458">
        <v>0.10750287576671513</v>
      </c>
      <c r="BK2769" s="477">
        <v>86711391.211042747</v>
      </c>
      <c r="BL2769" s="458">
        <v>0.27845198857813247</v>
      </c>
      <c r="BM2769" s="468">
        <v>6.3086937303228865</v>
      </c>
    </row>
    <row r="2770" spans="12:65" x14ac:dyDescent="0.3">
      <c r="L2770" s="427">
        <v>18196950.117600001</v>
      </c>
      <c r="BE2770" s="477">
        <v>1584505.3914214633</v>
      </c>
      <c r="BF2770" s="458">
        <v>7.4574131702870972E-2</v>
      </c>
      <c r="BG2770" s="477">
        <v>17543088.940867595</v>
      </c>
      <c r="BH2770" s="458">
        <v>6.7473932544844795E-2</v>
      </c>
      <c r="BI2770" s="477">
        <v>17887816.862112753</v>
      </c>
      <c r="BJ2770" s="458">
        <v>0.10253593471792732</v>
      </c>
      <c r="BK2770" s="477">
        <v>83769572.798351303</v>
      </c>
      <c r="BL2770" s="458">
        <v>0.26425120280640435</v>
      </c>
      <c r="BM2770" s="468">
        <v>5.0539771382379524</v>
      </c>
    </row>
    <row r="2771" spans="12:65" x14ac:dyDescent="0.3">
      <c r="L2771" s="427">
        <v>17612498.4388</v>
      </c>
      <c r="BE2771" s="477">
        <v>5211557.8571495106</v>
      </c>
      <c r="BF2771" s="458">
        <v>3.5893560850211337E-2</v>
      </c>
      <c r="BG2771" s="477">
        <v>7451929.1878706599</v>
      </c>
      <c r="BH2771" s="458">
        <v>6.0764755764428413E-2</v>
      </c>
      <c r="BI2771" s="477">
        <v>23510761.739404533</v>
      </c>
      <c r="BJ2771" s="458">
        <v>0.13142243596377878</v>
      </c>
      <c r="BK2771" s="477">
        <v>92267239.232676521</v>
      </c>
      <c r="BL2771" s="458">
        <v>0.29716370002498871</v>
      </c>
      <c r="BM2771" s="468">
        <v>7.9782652752287762</v>
      </c>
    </row>
    <row r="2772" spans="12:65" x14ac:dyDescent="0.3">
      <c r="L2772" s="427">
        <v>30692651.479499999</v>
      </c>
      <c r="BE2772" s="477">
        <v>6204028.215591196</v>
      </c>
      <c r="BF2772" s="458">
        <v>5.1284687060117795E-2</v>
      </c>
      <c r="BG2772" s="477">
        <v>5596848.6081542587</v>
      </c>
      <c r="BH2772" s="458">
        <v>7.2030546877627666E-2</v>
      </c>
      <c r="BI2772" s="477">
        <v>16670241.585448684</v>
      </c>
      <c r="BJ2772" s="458">
        <v>0.11791506922663508</v>
      </c>
      <c r="BK2772" s="477">
        <v>96988810.826193124</v>
      </c>
      <c r="BL2772" s="458">
        <v>0.27793874294885645</v>
      </c>
      <c r="BM2772" s="468">
        <v>6.6746373461974384</v>
      </c>
    </row>
    <row r="2773" spans="12:65" x14ac:dyDescent="0.3">
      <c r="L2773" s="427">
        <v>12865497.5195</v>
      </c>
      <c r="BE2773" s="477">
        <v>6030285.6813915204</v>
      </c>
      <c r="BF2773" s="458">
        <v>2.7320246413123694E-2</v>
      </c>
      <c r="BG2773" s="477">
        <v>14507058.373447279</v>
      </c>
      <c r="BH2773" s="458">
        <v>6.9849515874952139E-2</v>
      </c>
      <c r="BI2773" s="477">
        <v>21368417.679809723</v>
      </c>
      <c r="BJ2773" s="458">
        <v>0.1378880927991819</v>
      </c>
      <c r="BK2773" s="477">
        <v>89028344.59212178</v>
      </c>
      <c r="BL2773" s="458">
        <v>0.26527848130521803</v>
      </c>
      <c r="BM2773" s="468">
        <v>0.151787220626173</v>
      </c>
    </row>
    <row r="2774" spans="12:65" x14ac:dyDescent="0.3">
      <c r="L2774" s="427">
        <v>9235135.4634000007</v>
      </c>
      <c r="BE2774" s="477">
        <v>4143838.8480516565</v>
      </c>
      <c r="BF2774" s="458">
        <v>8.8152694157253908E-2</v>
      </c>
      <c r="BG2774" s="477">
        <v>11693758.347523218</v>
      </c>
      <c r="BH2774" s="458">
        <v>8.9124038549041273E-2</v>
      </c>
      <c r="BI2774" s="477">
        <v>18229930.127538759</v>
      </c>
      <c r="BJ2774" s="458">
        <v>0.11050523479526109</v>
      </c>
      <c r="BK2774" s="477">
        <v>99031398.905558705</v>
      </c>
      <c r="BL2774" s="458">
        <v>0.28478574498202791</v>
      </c>
      <c r="BM2774" s="468">
        <v>4.6143462182051067</v>
      </c>
    </row>
    <row r="2775" spans="12:65" x14ac:dyDescent="0.3">
      <c r="L2775" s="427">
        <v>7188124.7631000001</v>
      </c>
      <c r="BE2775" s="477">
        <v>1722101.8864300672</v>
      </c>
      <c r="BF2775" s="458">
        <v>5.030819865880054E-2</v>
      </c>
      <c r="BG2775" s="477">
        <v>10451748.097322455</v>
      </c>
      <c r="BH2775" s="458">
        <v>7.2193917766537608E-2</v>
      </c>
      <c r="BI2775" s="477">
        <v>14576158.26168382</v>
      </c>
      <c r="BJ2775" s="458">
        <v>0.13507480481305079</v>
      </c>
      <c r="BK2775" s="477">
        <v>81545509.554522827</v>
      </c>
      <c r="BL2775" s="458">
        <v>0.24558917781724876</v>
      </c>
      <c r="BM2775" s="468">
        <v>9.7906791253832299</v>
      </c>
    </row>
    <row r="2776" spans="12:65" x14ac:dyDescent="0.3">
      <c r="L2776" s="427">
        <v>-7277475.7830999997</v>
      </c>
      <c r="BE2776" s="477">
        <v>3126371.9554527993</v>
      </c>
      <c r="BF2776" s="458">
        <v>2.7515825851109899E-2</v>
      </c>
      <c r="BG2776" s="477">
        <v>9568138.5033852253</v>
      </c>
      <c r="BH2776" s="458">
        <v>6.3297001138654663E-2</v>
      </c>
      <c r="BI2776" s="477">
        <v>16828704.943898633</v>
      </c>
      <c r="BJ2776" s="458">
        <v>8.4847487169157576E-2</v>
      </c>
      <c r="BK2776" s="477">
        <v>82416390.904379815</v>
      </c>
      <c r="BL2776" s="458">
        <v>0.29480833630133585</v>
      </c>
      <c r="BM2776" s="468">
        <v>5.9758264620754113</v>
      </c>
    </row>
    <row r="2777" spans="12:65" x14ac:dyDescent="0.3">
      <c r="L2777" s="427">
        <v>20325535.467</v>
      </c>
      <c r="BE2777" s="477">
        <v>5132711.1206855197</v>
      </c>
      <c r="BF2777" s="458">
        <v>2.7435530991916757E-2</v>
      </c>
      <c r="BG2777" s="477">
        <v>5459345.5826707147</v>
      </c>
      <c r="BH2777" s="458">
        <v>3.9700966744236288E-2</v>
      </c>
      <c r="BI2777" s="477">
        <v>15883594.354930008</v>
      </c>
      <c r="BJ2777" s="458">
        <v>9.4075050338151112E-2</v>
      </c>
      <c r="BK2777" s="477">
        <v>85313708.690233633</v>
      </c>
      <c r="BL2777" s="458">
        <v>0.25122246242034296</v>
      </c>
      <c r="BM2777" s="468">
        <v>10.127431470042408</v>
      </c>
    </row>
    <row r="2778" spans="12:65" x14ac:dyDescent="0.3">
      <c r="L2778" s="427">
        <v>11283722.794</v>
      </c>
      <c r="BE2778" s="477">
        <v>4739703.1837015226</v>
      </c>
      <c r="BF2778" s="458">
        <v>3.221550978645582E-2</v>
      </c>
      <c r="BG2778" s="477">
        <v>10936009.149472246</v>
      </c>
      <c r="BH2778" s="458">
        <v>5.2216962816853396E-2</v>
      </c>
      <c r="BI2778" s="477">
        <v>12986584.875446111</v>
      </c>
      <c r="BJ2778" s="458">
        <v>0.11393212050124246</v>
      </c>
      <c r="BK2778" s="477">
        <v>85246433.102249518</v>
      </c>
      <c r="BL2778" s="458">
        <v>0.26205752602079979</v>
      </c>
      <c r="BM2778" s="468">
        <v>10.682960161822908</v>
      </c>
    </row>
    <row r="2779" spans="12:65" x14ac:dyDescent="0.3">
      <c r="L2779" s="427">
        <v>219383.21489999999</v>
      </c>
      <c r="BE2779" s="477">
        <v>8675960.0144698843</v>
      </c>
      <c r="BF2779" s="458">
        <v>3.1651149750654861E-2</v>
      </c>
      <c r="BG2779" s="477">
        <v>14133079.519835459</v>
      </c>
      <c r="BH2779" s="458">
        <v>5.4236889069951832E-2</v>
      </c>
      <c r="BI2779" s="477">
        <v>16104525.916205939</v>
      </c>
      <c r="BJ2779" s="458">
        <v>0.10780735030572774</v>
      </c>
      <c r="BK2779" s="477">
        <v>97390324.250871629</v>
      </c>
      <c r="BL2779" s="458">
        <v>0.27102460614265111</v>
      </c>
      <c r="BM2779" s="468">
        <v>13.02364796754382</v>
      </c>
    </row>
    <row r="2780" spans="12:65" x14ac:dyDescent="0.3">
      <c r="L2780" s="427">
        <v>6944053.9649999999</v>
      </c>
      <c r="BE2780" s="477">
        <v>6669158.4417947149</v>
      </c>
      <c r="BF2780" s="458">
        <v>4.5095152908966707E-2</v>
      </c>
      <c r="BG2780" s="477">
        <v>12988075.560017828</v>
      </c>
      <c r="BH2780" s="458">
        <v>6.2748015338166541E-2</v>
      </c>
      <c r="BI2780" s="477">
        <v>15838907.030139895</v>
      </c>
      <c r="BJ2780" s="458">
        <v>0.12504755727601724</v>
      </c>
      <c r="BK2780" s="477">
        <v>96238638.233256161</v>
      </c>
      <c r="BL2780" s="458">
        <v>0.28116894153703509</v>
      </c>
      <c r="BM2780" s="468">
        <v>9.6152361865106588</v>
      </c>
    </row>
    <row r="2781" spans="12:65" x14ac:dyDescent="0.3">
      <c r="L2781" s="427">
        <v>2805887.531</v>
      </c>
      <c r="BE2781" s="477">
        <v>3025002.5276754647</v>
      </c>
      <c r="BF2781" s="458">
        <v>3.1006548836889802E-2</v>
      </c>
      <c r="BG2781" s="477">
        <v>7801592.7037229007</v>
      </c>
      <c r="BH2781" s="458">
        <v>7.9736437538733496E-2</v>
      </c>
      <c r="BI2781" s="477">
        <v>10811558.071954569</v>
      </c>
      <c r="BJ2781" s="458">
        <v>0.12175450147945366</v>
      </c>
      <c r="BK2781" s="477">
        <v>84731258.220805779</v>
      </c>
      <c r="BL2781" s="458">
        <v>0.26916357320494444</v>
      </c>
      <c r="BM2781" s="468">
        <v>6.4281179837762359</v>
      </c>
    </row>
    <row r="2782" spans="12:65" x14ac:dyDescent="0.3">
      <c r="L2782" s="427">
        <v>9910420.4683999997</v>
      </c>
      <c r="BE2782" s="477">
        <v>3823386.1108536669</v>
      </c>
      <c r="BF2782" s="458">
        <v>4.1773860730196954E-2</v>
      </c>
      <c r="BG2782" s="477">
        <v>15570419.337086482</v>
      </c>
      <c r="BH2782" s="458">
        <v>7.7098605725362646E-2</v>
      </c>
      <c r="BI2782" s="477">
        <v>19911429.959379207</v>
      </c>
      <c r="BJ2782" s="458">
        <v>0.120391081083006</v>
      </c>
      <c r="BK2782" s="477">
        <v>77995820.572092295</v>
      </c>
      <c r="BL2782" s="458">
        <v>0.27636152036938877</v>
      </c>
      <c r="BM2782" s="468">
        <v>6.7381210805850653</v>
      </c>
    </row>
    <row r="2783" spans="12:65" x14ac:dyDescent="0.3">
      <c r="L2783" s="427">
        <v>11618485.471799999</v>
      </c>
      <c r="BE2783" s="477">
        <v>3747477.164709779</v>
      </c>
      <c r="BF2783" s="458">
        <v>3.5744469013694546E-2</v>
      </c>
      <c r="BG2783" s="477">
        <v>12826253.783040451</v>
      </c>
      <c r="BH2783" s="458">
        <v>4.6068329012335818E-2</v>
      </c>
      <c r="BI2783" s="477">
        <v>13867832.279439159</v>
      </c>
      <c r="BJ2783" s="458">
        <v>0.11555842922311954</v>
      </c>
      <c r="BK2783" s="477">
        <v>89348998.28134653</v>
      </c>
      <c r="BL2783" s="458">
        <v>0.26962398736984405</v>
      </c>
      <c r="BM2783" s="468">
        <v>6.8152912398035967</v>
      </c>
    </row>
    <row r="2784" spans="12:65" x14ac:dyDescent="0.3">
      <c r="L2784" s="427">
        <v>4389598.8828999996</v>
      </c>
      <c r="BE2784" s="477">
        <v>5908613.325158827</v>
      </c>
      <c r="BF2784" s="458">
        <v>3.6571365439497683E-2</v>
      </c>
      <c r="BG2784" s="477">
        <v>6102280.0388080487</v>
      </c>
      <c r="BH2784" s="458">
        <v>7.7211875208570202E-2</v>
      </c>
      <c r="BI2784" s="477">
        <v>11671260.312774332</v>
      </c>
      <c r="BJ2784" s="458">
        <v>0.12544863516611682</v>
      </c>
      <c r="BK2784" s="477">
        <v>94145911.652813643</v>
      </c>
      <c r="BL2784" s="458">
        <v>0.26039048361768913</v>
      </c>
      <c r="BM2784" s="468">
        <v>15.796624252304003</v>
      </c>
    </row>
    <row r="2785" spans="12:65" x14ac:dyDescent="0.3">
      <c r="L2785" s="427">
        <v>10750917.6614</v>
      </c>
      <c r="BE2785" s="477">
        <v>1659869.5095253314</v>
      </c>
      <c r="BF2785" s="458">
        <v>2.845546116671116E-2</v>
      </c>
      <c r="BG2785" s="477">
        <v>5113225.827008849</v>
      </c>
      <c r="BH2785" s="458">
        <v>5.0891572749460545E-2</v>
      </c>
      <c r="BI2785" s="477">
        <v>16281746.495304232</v>
      </c>
      <c r="BJ2785" s="458">
        <v>0.11806923137075964</v>
      </c>
      <c r="BK2785" s="477">
        <v>75292506.303833306</v>
      </c>
      <c r="BL2785" s="458">
        <v>0.27855604695460778</v>
      </c>
      <c r="BM2785" s="468">
        <v>5.5860365035075183</v>
      </c>
    </row>
    <row r="2786" spans="12:65" x14ac:dyDescent="0.3">
      <c r="L2786" s="427">
        <v>10619544.491800001</v>
      </c>
      <c r="BE2786" s="477">
        <v>2061729.0436012114</v>
      </c>
      <c r="BF2786" s="458">
        <v>5.3284015494529546E-2</v>
      </c>
      <c r="BG2786" s="477">
        <v>9114131.0110376552</v>
      </c>
      <c r="BH2786" s="458">
        <v>4.4121458621622311E-2</v>
      </c>
      <c r="BI2786" s="477">
        <v>18281263.495026063</v>
      </c>
      <c r="BJ2786" s="458">
        <v>9.3722354186721368E-2</v>
      </c>
      <c r="BK2786" s="477">
        <v>67904438.256238356</v>
      </c>
      <c r="BL2786" s="458">
        <v>0.25402910638744491</v>
      </c>
      <c r="BM2786" s="468">
        <v>3.485277946674441</v>
      </c>
    </row>
    <row r="2787" spans="12:65" x14ac:dyDescent="0.3">
      <c r="L2787" s="427">
        <v>22970262.110399999</v>
      </c>
      <c r="BE2787" s="477">
        <v>7076114.1408817451</v>
      </c>
      <c r="BF2787" s="458">
        <v>5.7458918808685588E-2</v>
      </c>
      <c r="BG2787" s="477">
        <v>1873367.9834052001</v>
      </c>
      <c r="BH2787" s="458">
        <v>3.0216369404653109E-2</v>
      </c>
      <c r="BI2787" s="477">
        <v>10065557.842722412</v>
      </c>
      <c r="BJ2787" s="458">
        <v>0.11990619682961712</v>
      </c>
      <c r="BK2787" s="477">
        <v>84378073.952149227</v>
      </c>
      <c r="BL2787" s="458">
        <v>0.26370096517270691</v>
      </c>
      <c r="BM2787" s="468">
        <v>10.729310913513313</v>
      </c>
    </row>
    <row r="2788" spans="12:65" x14ac:dyDescent="0.3">
      <c r="L2788" s="427">
        <v>4741780.4868000001</v>
      </c>
      <c r="BE2788" s="477">
        <v>1533888.3862441706</v>
      </c>
      <c r="BF2788" s="458">
        <v>5.2320096566892627E-2</v>
      </c>
      <c r="BG2788" s="477">
        <v>9875349.2866633385</v>
      </c>
      <c r="BH2788" s="458">
        <v>5.5073475821826756E-2</v>
      </c>
      <c r="BI2788" s="477">
        <v>18562156.471484501</v>
      </c>
      <c r="BJ2788" s="458">
        <v>0.11480966070473619</v>
      </c>
      <c r="BK2788" s="477">
        <v>97761330.085248888</v>
      </c>
      <c r="BL2788" s="458">
        <v>0.2842613133365941</v>
      </c>
      <c r="BM2788" s="468">
        <v>11.101239798903947</v>
      </c>
    </row>
    <row r="2789" spans="12:65" x14ac:dyDescent="0.3">
      <c r="L2789" s="427">
        <v>18771378.0462</v>
      </c>
      <c r="BE2789" s="477">
        <v>6715040.1480802344</v>
      </c>
      <c r="BF2789" s="458">
        <v>4.901697299115404E-2</v>
      </c>
      <c r="BG2789" s="477">
        <v>8940124.291815605</v>
      </c>
      <c r="BH2789" s="458">
        <v>8.724431856227155E-2</v>
      </c>
      <c r="BI2789" s="477">
        <v>22272302.360168219</v>
      </c>
      <c r="BJ2789" s="458">
        <v>0.10781224571354642</v>
      </c>
      <c r="BK2789" s="477">
        <v>96702926.511775672</v>
      </c>
      <c r="BL2789" s="458">
        <v>0.31115360839594164</v>
      </c>
      <c r="BM2789" s="468">
        <v>5.3318685181344865</v>
      </c>
    </row>
    <row r="2790" spans="12:65" x14ac:dyDescent="0.3">
      <c r="L2790" s="427">
        <v>-6892895.4186000004</v>
      </c>
      <c r="BE2790" s="477">
        <v>4386371.1417087922</v>
      </c>
      <c r="BF2790" s="458">
        <v>3.5158101656547203E-2</v>
      </c>
      <c r="BG2790" s="477">
        <v>5906998.4816788044</v>
      </c>
      <c r="BH2790" s="458">
        <v>4.9073218963977316E-2</v>
      </c>
      <c r="BI2790" s="477">
        <v>21925004.714977831</v>
      </c>
      <c r="BJ2790" s="458">
        <v>0.10137786308602625</v>
      </c>
      <c r="BK2790" s="477">
        <v>80839185.909694359</v>
      </c>
      <c r="BL2790" s="458">
        <v>0.27538389699288035</v>
      </c>
      <c r="BM2790" s="468">
        <v>8.3794534539821051</v>
      </c>
    </row>
    <row r="2791" spans="12:65" x14ac:dyDescent="0.3">
      <c r="L2791" s="427">
        <v>9756750.4791000001</v>
      </c>
      <c r="BE2791" s="477">
        <v>77465.345266701421</v>
      </c>
      <c r="BF2791" s="458">
        <v>4.4710858318669278E-2</v>
      </c>
      <c r="BG2791" s="477">
        <v>13067441.432982987</v>
      </c>
      <c r="BH2791" s="458">
        <v>7.2205237155490876E-2</v>
      </c>
      <c r="BI2791" s="477">
        <v>18278092.859937429</v>
      </c>
      <c r="BJ2791" s="458">
        <v>0.10501218723204842</v>
      </c>
      <c r="BK2791" s="477">
        <v>86846778.25957492</v>
      </c>
      <c r="BL2791" s="458">
        <v>0.26907245667344482</v>
      </c>
      <c r="BM2791" s="468">
        <v>11.786833596808894</v>
      </c>
    </row>
    <row r="2792" spans="12:65" x14ac:dyDescent="0.3">
      <c r="L2792" s="427">
        <v>13057005.482000001</v>
      </c>
      <c r="BE2792" s="477">
        <v>3912276.2062919326</v>
      </c>
      <c r="BF2792" s="458">
        <v>6.4144630226901977E-2</v>
      </c>
      <c r="BG2792" s="477">
        <v>5400626.5896064881</v>
      </c>
      <c r="BH2792" s="458">
        <v>5.71741426240433E-2</v>
      </c>
      <c r="BI2792" s="477">
        <v>13957024.955669837</v>
      </c>
      <c r="BJ2792" s="458">
        <v>0.1266492644905044</v>
      </c>
      <c r="BK2792" s="477">
        <v>88081420.294073537</v>
      </c>
      <c r="BL2792" s="458">
        <v>0.27087488663142767</v>
      </c>
      <c r="BM2792" s="468">
        <v>10.798265485945326</v>
      </c>
    </row>
    <row r="2793" spans="12:65" x14ac:dyDescent="0.3">
      <c r="L2793" s="427">
        <v>15873317.7289</v>
      </c>
      <c r="BE2793" s="477">
        <v>4452482.4928937433</v>
      </c>
      <c r="BF2793" s="458">
        <v>4.7586772789302456E-2</v>
      </c>
      <c r="BG2793" s="477">
        <v>7997246.1055998039</v>
      </c>
      <c r="BH2793" s="458">
        <v>6.1785853980420358E-2</v>
      </c>
      <c r="BI2793" s="477">
        <v>24076137.646314919</v>
      </c>
      <c r="BJ2793" s="458">
        <v>8.3090383363894293E-2</v>
      </c>
      <c r="BK2793" s="477">
        <v>86291487.242813975</v>
      </c>
      <c r="BL2793" s="458">
        <v>0.27274908748924487</v>
      </c>
      <c r="BM2793" s="468">
        <v>7.2047547665615221</v>
      </c>
    </row>
    <row r="2794" spans="12:65" x14ac:dyDescent="0.3">
      <c r="L2794" s="427">
        <v>1470045.3311999999</v>
      </c>
      <c r="BE2794" s="477">
        <v>8851185.6480276026</v>
      </c>
      <c r="BF2794" s="458">
        <v>4.2109110785183423E-2</v>
      </c>
      <c r="BG2794" s="477">
        <v>7478503.1949818721</v>
      </c>
      <c r="BH2794" s="458">
        <v>7.4334008220288572E-2</v>
      </c>
      <c r="BI2794" s="477">
        <v>7811211.7244233293</v>
      </c>
      <c r="BJ2794" s="458">
        <v>0.12050495770509162</v>
      </c>
      <c r="BK2794" s="477">
        <v>98871470.530990705</v>
      </c>
      <c r="BL2794" s="458">
        <v>0.27190293625505602</v>
      </c>
      <c r="BM2794" s="468">
        <v>8.6843796184331854</v>
      </c>
    </row>
    <row r="2795" spans="12:65" x14ac:dyDescent="0.3">
      <c r="L2795" s="427">
        <v>20307094.036699999</v>
      </c>
      <c r="BE2795" s="477">
        <v>4556065.6735394597</v>
      </c>
      <c r="BF2795" s="458">
        <v>2.5499639471800561E-2</v>
      </c>
      <c r="BG2795" s="477">
        <v>3597408.0860342351</v>
      </c>
      <c r="BH2795" s="458">
        <v>4.7795302769662484E-2</v>
      </c>
      <c r="BI2795" s="477">
        <v>20514118.077902775</v>
      </c>
      <c r="BJ2795" s="458">
        <v>0.11341738296274562</v>
      </c>
      <c r="BK2795" s="477">
        <v>92437252.050049886</v>
      </c>
      <c r="BL2795" s="458">
        <v>0.26187161659958624</v>
      </c>
      <c r="BM2795" s="468">
        <v>6.7811154274995964</v>
      </c>
    </row>
    <row r="2796" spans="12:65" x14ac:dyDescent="0.3">
      <c r="L2796" s="427">
        <v>18790881.5803</v>
      </c>
      <c r="BE2796" s="477">
        <v>6172196.0654890127</v>
      </c>
      <c r="BF2796" s="458">
        <v>4.9328148034429198E-2</v>
      </c>
      <c r="BG2796" s="477">
        <v>4123827.8070106246</v>
      </c>
      <c r="BH2796" s="458">
        <v>3.9016795220331968E-2</v>
      </c>
      <c r="BI2796" s="477">
        <v>13942932.142077947</v>
      </c>
      <c r="BJ2796" s="458">
        <v>0.11446128520951149</v>
      </c>
      <c r="BK2796" s="477">
        <v>101009842.08225095</v>
      </c>
      <c r="BL2796" s="458">
        <v>0.25782337823073709</v>
      </c>
      <c r="BM2796" s="468">
        <v>8.500630777073475</v>
      </c>
    </row>
    <row r="2797" spans="12:65" x14ac:dyDescent="0.3">
      <c r="L2797" s="427">
        <v>-9367349.6793000009</v>
      </c>
      <c r="BE2797" s="477">
        <v>4284763.9496658687</v>
      </c>
      <c r="BF2797" s="458">
        <v>2.7001040507016238E-2</v>
      </c>
      <c r="BG2797" s="477">
        <v>14481168.024969667</v>
      </c>
      <c r="BH2797" s="458">
        <v>5.500747785765836E-2</v>
      </c>
      <c r="BI2797" s="477">
        <v>14961878.307086764</v>
      </c>
      <c r="BJ2797" s="458">
        <v>0.10385730638679469</v>
      </c>
      <c r="BK2797" s="477">
        <v>101658519.42653485</v>
      </c>
      <c r="BL2797" s="458">
        <v>0.28943646007189594</v>
      </c>
      <c r="BM2797" s="468">
        <v>4.5127649279414479</v>
      </c>
    </row>
    <row r="2798" spans="12:65" x14ac:dyDescent="0.3">
      <c r="L2798" s="427">
        <v>849800.06610000005</v>
      </c>
      <c r="BE2798" s="477">
        <v>4069518.7749677533</v>
      </c>
      <c r="BF2798" s="458">
        <v>4.8268375663889973E-2</v>
      </c>
      <c r="BG2798" s="477">
        <v>11270150.058468003</v>
      </c>
      <c r="BH2798" s="458">
        <v>7.2777067264045092E-2</v>
      </c>
      <c r="BI2798" s="477">
        <v>18982401.796286557</v>
      </c>
      <c r="BJ2798" s="458">
        <v>0.10251091509236931</v>
      </c>
      <c r="BK2798" s="477">
        <v>95343428.36888589</v>
      </c>
      <c r="BL2798" s="458">
        <v>0.27290911591233802</v>
      </c>
      <c r="BM2798" s="468">
        <v>3.8149077024668525</v>
      </c>
    </row>
    <row r="2799" spans="12:65" x14ac:dyDescent="0.3">
      <c r="L2799" s="427">
        <v>-4885374.9440000001</v>
      </c>
      <c r="BE2799" s="477">
        <v>1969501.4451282234</v>
      </c>
      <c r="BF2799" s="458">
        <v>3.8489560753893093E-2</v>
      </c>
      <c r="BG2799" s="477">
        <v>5718460.876209138</v>
      </c>
      <c r="BH2799" s="458">
        <v>7.7694259227804263E-2</v>
      </c>
      <c r="BI2799" s="477">
        <v>14842178.250807149</v>
      </c>
      <c r="BJ2799" s="458">
        <v>0.12010950939341791</v>
      </c>
      <c r="BK2799" s="477">
        <v>86241225.199573293</v>
      </c>
      <c r="BL2799" s="458">
        <v>0.29479723755221254</v>
      </c>
      <c r="BM2799" s="468">
        <v>4.0148739498544366</v>
      </c>
    </row>
    <row r="2800" spans="12:65" x14ac:dyDescent="0.3">
      <c r="L2800" s="427">
        <v>19916257.932999998</v>
      </c>
      <c r="BE2800" s="477">
        <v>9784211.1324914061</v>
      </c>
      <c r="BF2800" s="458">
        <v>3.9302703779395598E-2</v>
      </c>
      <c r="BG2800" s="477">
        <v>6872202.5890533179</v>
      </c>
      <c r="BH2800" s="458">
        <v>9.4283687127048932E-2</v>
      </c>
      <c r="BI2800" s="477">
        <v>17767037.083357636</v>
      </c>
      <c r="BJ2800" s="458">
        <v>9.9022645384867936E-2</v>
      </c>
      <c r="BK2800" s="477">
        <v>82415845.081575274</v>
      </c>
      <c r="BL2800" s="458">
        <v>0.27271813249728294</v>
      </c>
      <c r="BM2800" s="468">
        <v>8.9006803808229904</v>
      </c>
    </row>
    <row r="2801" spans="12:65" x14ac:dyDescent="0.3">
      <c r="L2801" s="427">
        <v>11251949.857899999</v>
      </c>
      <c r="BE2801" s="477">
        <v>-2629929.2255457924</v>
      </c>
      <c r="BF2801" s="458">
        <v>2.3532029839610002E-2</v>
      </c>
      <c r="BG2801" s="477">
        <v>8266262.5782592501</v>
      </c>
      <c r="BH2801" s="458">
        <v>7.8277201630045923E-2</v>
      </c>
      <c r="BI2801" s="477">
        <v>12794629.414677601</v>
      </c>
      <c r="BJ2801" s="458">
        <v>8.4145920383093209E-2</v>
      </c>
      <c r="BK2801" s="477">
        <v>86191667.497290999</v>
      </c>
      <c r="BL2801" s="458">
        <v>0.2716816393259085</v>
      </c>
      <c r="BM2801" s="468">
        <v>13.655826681826644</v>
      </c>
    </row>
    <row r="2802" spans="12:65" x14ac:dyDescent="0.3">
      <c r="L2802" s="427">
        <v>16511866.655999999</v>
      </c>
      <c r="BE2802" s="477">
        <v>2398269.3681520796</v>
      </c>
      <c r="BF2802" s="458">
        <v>7.4378043791495596E-2</v>
      </c>
      <c r="BG2802" s="477">
        <v>8522784.1350602414</v>
      </c>
      <c r="BH2802" s="458">
        <v>5.8773410969302775E-2</v>
      </c>
      <c r="BI2802" s="477">
        <v>19414866.576908194</v>
      </c>
      <c r="BJ2802" s="458">
        <v>0.10762562425263811</v>
      </c>
      <c r="BK2802" s="477">
        <v>93586210.970946297</v>
      </c>
      <c r="BL2802" s="458">
        <v>0.2697140754205547</v>
      </c>
      <c r="BM2802" s="468">
        <v>9.7274846503076695</v>
      </c>
    </row>
    <row r="2803" spans="12:65" x14ac:dyDescent="0.3">
      <c r="L2803" s="427">
        <v>8159410.5193999996</v>
      </c>
      <c r="BE2803" s="477">
        <v>2621011.5292957341</v>
      </c>
      <c r="BF2803" s="458">
        <v>3.1453638006474716E-2</v>
      </c>
      <c r="BG2803" s="477">
        <v>4907385.5411865506</v>
      </c>
      <c r="BH2803" s="458">
        <v>4.7968660186288981E-2</v>
      </c>
      <c r="BI2803" s="477">
        <v>12274398.899887076</v>
      </c>
      <c r="BJ2803" s="458">
        <v>9.172614969533055E-2</v>
      </c>
      <c r="BK2803" s="477">
        <v>87943017.261341617</v>
      </c>
      <c r="BL2803" s="458">
        <v>0.27274111525299349</v>
      </c>
      <c r="BM2803" s="468">
        <v>9.6328842237185643</v>
      </c>
    </row>
    <row r="2804" spans="12:65" x14ac:dyDescent="0.3">
      <c r="L2804" s="427">
        <v>4477595.0094999997</v>
      </c>
      <c r="BE2804" s="477">
        <v>5027696.046827632</v>
      </c>
      <c r="BF2804" s="458">
        <v>3.8680295867767001E-2</v>
      </c>
      <c r="BG2804" s="477">
        <v>8788880.1429333426</v>
      </c>
      <c r="BH2804" s="458">
        <v>7.7933339112880251E-2</v>
      </c>
      <c r="BI2804" s="477">
        <v>18781627.797963839</v>
      </c>
      <c r="BJ2804" s="458">
        <v>0.11737064710706746</v>
      </c>
      <c r="BK2804" s="477">
        <v>87517242.646695241</v>
      </c>
      <c r="BL2804" s="458">
        <v>0.26142930932272268</v>
      </c>
      <c r="BM2804" s="468">
        <v>4.5304919988451022</v>
      </c>
    </row>
    <row r="2805" spans="12:65" x14ac:dyDescent="0.3">
      <c r="L2805" s="427">
        <v>5325068.3218999999</v>
      </c>
      <c r="BE2805" s="477">
        <v>6346762.1735104294</v>
      </c>
      <c r="BF2805" s="458">
        <v>4.9343794459295376E-2</v>
      </c>
      <c r="BG2805" s="477">
        <v>7640696.3242473463</v>
      </c>
      <c r="BH2805" s="458">
        <v>8.1940305545005865E-2</v>
      </c>
      <c r="BI2805" s="477">
        <v>9823597.8640585039</v>
      </c>
      <c r="BJ2805" s="458">
        <v>9.4970218228582093E-2</v>
      </c>
      <c r="BK2805" s="477">
        <v>82854169.931224525</v>
      </c>
      <c r="BL2805" s="458">
        <v>0.26072062469374946</v>
      </c>
      <c r="BM2805" s="468">
        <v>12.844058712338446</v>
      </c>
    </row>
    <row r="2806" spans="12:65" x14ac:dyDescent="0.3">
      <c r="L2806" s="427">
        <v>-4943573.2473999998</v>
      </c>
      <c r="BE2806" s="477">
        <v>2135899.212664654</v>
      </c>
      <c r="BF2806" s="458">
        <v>3.5253644128062422E-2</v>
      </c>
      <c r="BG2806" s="477">
        <v>3230525.9073655638</v>
      </c>
      <c r="BH2806" s="458">
        <v>7.507700085331126E-2</v>
      </c>
      <c r="BI2806" s="477">
        <v>24152699.615078345</v>
      </c>
      <c r="BJ2806" s="458">
        <v>0.12419343328344445</v>
      </c>
      <c r="BK2806" s="477">
        <v>88649552.941228643</v>
      </c>
      <c r="BL2806" s="458">
        <v>0.28526671139125459</v>
      </c>
      <c r="BM2806" s="468">
        <v>6.0763941763634737</v>
      </c>
    </row>
    <row r="2807" spans="12:65" x14ac:dyDescent="0.3">
      <c r="L2807" s="427">
        <v>6883351.5026000002</v>
      </c>
      <c r="BE2807" s="477">
        <v>2759064.3564478736</v>
      </c>
      <c r="BF2807" s="458">
        <v>3.7661869224214994E-2</v>
      </c>
      <c r="BG2807" s="477">
        <v>9775213.5356910862</v>
      </c>
      <c r="BH2807" s="458">
        <v>8.6727236096729499E-2</v>
      </c>
      <c r="BI2807" s="477">
        <v>19527168.629627313</v>
      </c>
      <c r="BJ2807" s="458">
        <v>0.10019274145909929</v>
      </c>
      <c r="BK2807" s="477">
        <v>80373661.742220268</v>
      </c>
      <c r="BL2807" s="458">
        <v>0.25974275063116758</v>
      </c>
      <c r="BM2807" s="468">
        <v>9.6091694934325282</v>
      </c>
    </row>
    <row r="2808" spans="12:65" x14ac:dyDescent="0.3">
      <c r="L2808" s="427">
        <v>17040396.061000001</v>
      </c>
      <c r="BE2808" s="477">
        <v>6096200.7094278336</v>
      </c>
      <c r="BF2808" s="458">
        <v>4.6367605660545763E-2</v>
      </c>
      <c r="BG2808" s="477">
        <v>12423137.116517127</v>
      </c>
      <c r="BH2808" s="458">
        <v>7.9320847703496788E-2</v>
      </c>
      <c r="BI2808" s="477">
        <v>16541802.051123874</v>
      </c>
      <c r="BJ2808" s="458">
        <v>9.9889904497830306E-2</v>
      </c>
      <c r="BK2808" s="477">
        <v>101937062.58904171</v>
      </c>
      <c r="BL2808" s="458">
        <v>0.27526547250539934</v>
      </c>
      <c r="BM2808" s="468">
        <v>7.0844238423444148</v>
      </c>
    </row>
    <row r="2809" spans="12:65" x14ac:dyDescent="0.3">
      <c r="L2809" s="427">
        <v>5849437.7592000002</v>
      </c>
      <c r="BE2809" s="477">
        <v>5628673.3918814063</v>
      </c>
      <c r="BF2809" s="458">
        <v>2.5533057250163749E-2</v>
      </c>
      <c r="BG2809" s="477">
        <v>10011180.74769925</v>
      </c>
      <c r="BH2809" s="458">
        <v>7.268532685387985E-2</v>
      </c>
      <c r="BI2809" s="477">
        <v>15319218.440147521</v>
      </c>
      <c r="BJ2809" s="458">
        <v>0.10755892732301975</v>
      </c>
      <c r="BK2809" s="477">
        <v>95234414.400811419</v>
      </c>
      <c r="BL2809" s="458">
        <v>0.25554518720576946</v>
      </c>
      <c r="BM2809" s="468">
        <v>4.5018430503711313</v>
      </c>
    </row>
    <row r="2810" spans="12:65" x14ac:dyDescent="0.3">
      <c r="L2810" s="427">
        <v>18704368.781199999</v>
      </c>
      <c r="BE2810" s="477">
        <v>5863920.3043552032</v>
      </c>
      <c r="BF2810" s="458">
        <v>4.1080476591061066E-2</v>
      </c>
      <c r="BG2810" s="477">
        <v>9292255.5066136606</v>
      </c>
      <c r="BH2810" s="458">
        <v>6.3869299423881198E-2</v>
      </c>
      <c r="BI2810" s="477">
        <v>10223996.415606225</v>
      </c>
      <c r="BJ2810" s="458">
        <v>0.10549264538307779</v>
      </c>
      <c r="BK2810" s="477">
        <v>81538757.410209879</v>
      </c>
      <c r="BL2810" s="458">
        <v>0.25684156158303351</v>
      </c>
      <c r="BM2810" s="468">
        <v>8.3643625071007932</v>
      </c>
    </row>
    <row r="2811" spans="12:65" x14ac:dyDescent="0.3">
      <c r="L2811" s="427">
        <v>9252932.9425000008</v>
      </c>
      <c r="BE2811" s="477">
        <v>2672401.5519689335</v>
      </c>
      <c r="BF2811" s="458">
        <v>4.5747085880473604E-2</v>
      </c>
      <c r="BG2811" s="477">
        <v>1527439.5245818952</v>
      </c>
      <c r="BH2811" s="458">
        <v>5.4689211940830651E-2</v>
      </c>
      <c r="BI2811" s="477">
        <v>18007090.649928264</v>
      </c>
      <c r="BJ2811" s="458">
        <v>0.11987003028982435</v>
      </c>
      <c r="BK2811" s="477">
        <v>82722370.037307829</v>
      </c>
      <c r="BL2811" s="458">
        <v>0.26586716203907046</v>
      </c>
      <c r="BM2811" s="468">
        <v>5.7964017763728997</v>
      </c>
    </row>
    <row r="2812" spans="12:65" x14ac:dyDescent="0.3">
      <c r="L2812" s="427">
        <v>-4793088.5143999998</v>
      </c>
      <c r="BE2812" s="477">
        <v>6626438.428569505</v>
      </c>
      <c r="BF2812" s="458">
        <v>4.5079309131553114E-2</v>
      </c>
      <c r="BG2812" s="477">
        <v>2059409.8460220061</v>
      </c>
      <c r="BH2812" s="458">
        <v>6.9558441077771205E-2</v>
      </c>
      <c r="BI2812" s="477">
        <v>14759612.881910998</v>
      </c>
      <c r="BJ2812" s="458">
        <v>0.10890001259661153</v>
      </c>
      <c r="BK2812" s="477">
        <v>88883103.722988099</v>
      </c>
      <c r="BL2812" s="458">
        <v>0.2538321882289214</v>
      </c>
      <c r="BM2812" s="468">
        <v>10.915203900233983</v>
      </c>
    </row>
    <row r="2813" spans="12:65" x14ac:dyDescent="0.3">
      <c r="L2813" s="427">
        <v>7144699.9940999998</v>
      </c>
      <c r="BE2813" s="477">
        <v>5164798.7894810848</v>
      </c>
      <c r="BF2813" s="458">
        <v>3.575076296689006E-2</v>
      </c>
      <c r="BG2813" s="477">
        <v>2605641.6264597522</v>
      </c>
      <c r="BH2813" s="458">
        <v>1.0974779936054224E-2</v>
      </c>
      <c r="BI2813" s="477">
        <v>15855992.464608407</v>
      </c>
      <c r="BJ2813" s="458">
        <v>0.10576533230982599</v>
      </c>
      <c r="BK2813" s="477">
        <v>76152450.914254993</v>
      </c>
      <c r="BL2813" s="458">
        <v>0.26183368346367786</v>
      </c>
      <c r="BM2813" s="468">
        <v>12.733428576458614</v>
      </c>
    </row>
    <row r="2814" spans="12:65" x14ac:dyDescent="0.3">
      <c r="L2814" s="427">
        <v>-1406726.8060999999</v>
      </c>
      <c r="BE2814" s="477">
        <v>7378952.1529917773</v>
      </c>
      <c r="BF2814" s="458">
        <v>3.9447228266300316E-2</v>
      </c>
      <c r="BG2814" s="477">
        <v>12027050.255721549</v>
      </c>
      <c r="BH2814" s="458">
        <v>5.8463127997040676E-2</v>
      </c>
      <c r="BI2814" s="477">
        <v>19002467.585939348</v>
      </c>
      <c r="BJ2814" s="458">
        <v>0.11164243830273746</v>
      </c>
      <c r="BK2814" s="477">
        <v>95893432.736427128</v>
      </c>
      <c r="BL2814" s="458">
        <v>0.25721441281794699</v>
      </c>
      <c r="BM2814" s="468">
        <v>11.643228086381212</v>
      </c>
    </row>
    <row r="2815" spans="12:65" x14ac:dyDescent="0.3">
      <c r="L2815" s="427">
        <v>760541.46310000005</v>
      </c>
      <c r="BE2815" s="477">
        <v>5534642.1102201883</v>
      </c>
      <c r="BF2815" s="458">
        <v>3.5474333512956147E-2</v>
      </c>
      <c r="BG2815" s="477">
        <v>10910719.040638939</v>
      </c>
      <c r="BH2815" s="458">
        <v>5.4643733719359489E-2</v>
      </c>
      <c r="BI2815" s="477">
        <v>18207455.295408186</v>
      </c>
      <c r="BJ2815" s="458">
        <v>0.11668636213247097</v>
      </c>
      <c r="BK2815" s="477">
        <v>88794315.089255959</v>
      </c>
      <c r="BL2815" s="458">
        <v>0.27253740363910683</v>
      </c>
      <c r="BM2815" s="468">
        <v>9.993035102522061</v>
      </c>
    </row>
    <row r="2816" spans="12:65" x14ac:dyDescent="0.3">
      <c r="L2816" s="427">
        <v>1895595.4931999999</v>
      </c>
      <c r="BE2816" s="477">
        <v>6721095.2719991012</v>
      </c>
      <c r="BF2816" s="458">
        <v>5.4623005103054956E-2</v>
      </c>
      <c r="BG2816" s="477">
        <v>8646769.2558608185</v>
      </c>
      <c r="BH2816" s="458">
        <v>4.6382201322350047E-2</v>
      </c>
      <c r="BI2816" s="477">
        <v>15908665.739626594</v>
      </c>
      <c r="BJ2816" s="458">
        <v>9.6907792227406198E-2</v>
      </c>
      <c r="BK2816" s="477">
        <v>89215761.584707379</v>
      </c>
      <c r="BL2816" s="458">
        <v>0.26982125025127535</v>
      </c>
      <c r="BM2816" s="468">
        <v>9.6271400063359849</v>
      </c>
    </row>
    <row r="2817" spans="12:65" x14ac:dyDescent="0.3">
      <c r="L2817" s="427">
        <v>26953397.825300001</v>
      </c>
      <c r="BE2817" s="477">
        <v>1031686.126865596</v>
      </c>
      <c r="BF2817" s="458">
        <v>4.4047837774532805E-2</v>
      </c>
      <c r="BG2817" s="477">
        <v>9377863.4101776499</v>
      </c>
      <c r="BH2817" s="458">
        <v>4.886157231774213E-2</v>
      </c>
      <c r="BI2817" s="477">
        <v>7929849.831550451</v>
      </c>
      <c r="BJ2817" s="458">
        <v>0.12304033770830336</v>
      </c>
      <c r="BK2817" s="477">
        <v>76611337.218925834</v>
      </c>
      <c r="BL2817" s="458">
        <v>0.28516235883239727</v>
      </c>
      <c r="BM2817" s="468">
        <v>8.3517393126242041</v>
      </c>
    </row>
    <row r="2818" spans="12:65" x14ac:dyDescent="0.3">
      <c r="L2818" s="427">
        <v>-5294938.4209000003</v>
      </c>
      <c r="BE2818" s="477">
        <v>6832181.9233925696</v>
      </c>
      <c r="BF2818" s="458">
        <v>2.6263882173115816E-2</v>
      </c>
      <c r="BG2818" s="477">
        <v>12256592.080661114</v>
      </c>
      <c r="BH2818" s="458">
        <v>6.3316617003851494E-2</v>
      </c>
      <c r="BI2818" s="477">
        <v>21667207.22934043</v>
      </c>
      <c r="BJ2818" s="458">
        <v>0.11636042961284065</v>
      </c>
      <c r="BK2818" s="477">
        <v>85037410.598748997</v>
      </c>
      <c r="BL2818" s="458">
        <v>0.27112257341807755</v>
      </c>
      <c r="BM2818" s="468">
        <v>11.74671603503614</v>
      </c>
    </row>
    <row r="2819" spans="12:65" x14ac:dyDescent="0.3">
      <c r="L2819" s="427">
        <v>20210195.764199998</v>
      </c>
      <c r="BE2819" s="477">
        <v>4713037.9845214207</v>
      </c>
      <c r="BF2819" s="458">
        <v>3.5213686917927811E-2</v>
      </c>
      <c r="BG2819" s="477">
        <v>-1245634.132014262</v>
      </c>
      <c r="BH2819" s="458">
        <v>7.6773883207051474E-2</v>
      </c>
      <c r="BI2819" s="477">
        <v>17824064.448373348</v>
      </c>
      <c r="BJ2819" s="458">
        <v>0.12317141693039746</v>
      </c>
      <c r="BK2819" s="477">
        <v>96750913.281133458</v>
      </c>
      <c r="BL2819" s="458">
        <v>0.26474036921714728</v>
      </c>
      <c r="BM2819" s="468">
        <v>12.000778090213139</v>
      </c>
    </row>
    <row r="2820" spans="12:65" x14ac:dyDescent="0.3">
      <c r="L2820" s="427">
        <v>-328816.96779999998</v>
      </c>
      <c r="BE2820" s="477">
        <v>9880040.6007997636</v>
      </c>
      <c r="BF2820" s="458">
        <v>4.2466484009879402E-2</v>
      </c>
      <c r="BG2820" s="477">
        <v>2795456.5674568391</v>
      </c>
      <c r="BH2820" s="458">
        <v>7.4350589652675714E-2</v>
      </c>
      <c r="BI2820" s="477">
        <v>21282090.872182012</v>
      </c>
      <c r="BJ2820" s="458">
        <v>0.13943220135532775</v>
      </c>
      <c r="BK2820" s="477">
        <v>87367157.492924362</v>
      </c>
      <c r="BL2820" s="458">
        <v>0.27999093417497534</v>
      </c>
      <c r="BM2820" s="468">
        <v>4.8375050019641757</v>
      </c>
    </row>
    <row r="2821" spans="12:65" x14ac:dyDescent="0.3">
      <c r="L2821" s="427">
        <v>13998273.157199999</v>
      </c>
      <c r="BE2821" s="477">
        <v>125359.55600124432</v>
      </c>
      <c r="BF2821" s="458">
        <v>3.619823098067787E-2</v>
      </c>
      <c r="BG2821" s="477">
        <v>11149429.408601888</v>
      </c>
      <c r="BH2821" s="458">
        <v>7.1928740129048707E-2</v>
      </c>
      <c r="BI2821" s="477">
        <v>16142154.028665422</v>
      </c>
      <c r="BJ2821" s="458">
        <v>9.4857254394331569E-2</v>
      </c>
      <c r="BK2821" s="477">
        <v>88450231.986072659</v>
      </c>
      <c r="BL2821" s="458">
        <v>0.26532428548227904</v>
      </c>
      <c r="BM2821" s="468">
        <v>9.6318916856096095</v>
      </c>
    </row>
    <row r="2822" spans="12:65" x14ac:dyDescent="0.3">
      <c r="L2822" s="427">
        <v>1040695.4578</v>
      </c>
      <c r="BE2822" s="477">
        <v>2141970.2940895385</v>
      </c>
      <c r="BF2822" s="458">
        <v>2.1571836782405818E-2</v>
      </c>
      <c r="BG2822" s="477">
        <v>7565427.6490346938</v>
      </c>
      <c r="BH2822" s="458">
        <v>7.2053848554068045E-2</v>
      </c>
      <c r="BI2822" s="477">
        <v>23632593.528689738</v>
      </c>
      <c r="BJ2822" s="458">
        <v>9.9491107200158302E-2</v>
      </c>
      <c r="BK2822" s="477">
        <v>98522678.097051427</v>
      </c>
      <c r="BL2822" s="458">
        <v>0.25627975081036269</v>
      </c>
      <c r="BM2822" s="468">
        <v>9.7960112576260912</v>
      </c>
    </row>
    <row r="2823" spans="12:65" x14ac:dyDescent="0.3">
      <c r="L2823" s="427">
        <v>32468798.1699</v>
      </c>
      <c r="BE2823" s="477">
        <v>2012782.5103747169</v>
      </c>
      <c r="BF2823" s="458">
        <v>5.603052739888037E-2</v>
      </c>
      <c r="BG2823" s="477">
        <v>3082000.2586663635</v>
      </c>
      <c r="BH2823" s="458">
        <v>5.6797968521479891E-2</v>
      </c>
      <c r="BI2823" s="477">
        <v>9157239.906966418</v>
      </c>
      <c r="BJ2823" s="458">
        <v>0.13774866321103296</v>
      </c>
      <c r="BK2823" s="477">
        <v>94724586.930348471</v>
      </c>
      <c r="BL2823" s="458">
        <v>0.29038273558970884</v>
      </c>
      <c r="BM2823" s="468">
        <v>11.375340563815852</v>
      </c>
    </row>
    <row r="2824" spans="12:65" x14ac:dyDescent="0.3">
      <c r="L2824" s="427">
        <v>18233269.701499999</v>
      </c>
      <c r="BE2824" s="477">
        <v>7181487.9120581085</v>
      </c>
      <c r="BF2824" s="458">
        <v>5.2245259320776727E-2</v>
      </c>
      <c r="BG2824" s="477">
        <v>8398172.6921374388</v>
      </c>
      <c r="BH2824" s="458">
        <v>8.9049328347720724E-2</v>
      </c>
      <c r="BI2824" s="477">
        <v>15467565.925881529</v>
      </c>
      <c r="BJ2824" s="458">
        <v>0.11158503333380598</v>
      </c>
      <c r="BK2824" s="477">
        <v>68354202.727005392</v>
      </c>
      <c r="BL2824" s="458">
        <v>0.26400736010598336</v>
      </c>
      <c r="BM2824" s="468">
        <v>10.128961842184914</v>
      </c>
    </row>
    <row r="2825" spans="12:65" x14ac:dyDescent="0.3">
      <c r="L2825" s="427">
        <v>5551389.5120999999</v>
      </c>
      <c r="BE2825" s="477">
        <v>6915700.758043699</v>
      </c>
      <c r="BF2825" s="458">
        <v>6.9396510100552922E-2</v>
      </c>
      <c r="BG2825" s="477">
        <v>8057386.0577112371</v>
      </c>
      <c r="BH2825" s="458">
        <v>7.0063410404537452E-2</v>
      </c>
      <c r="BI2825" s="477">
        <v>17010699.284565553</v>
      </c>
      <c r="BJ2825" s="458">
        <v>8.1577662424858977E-2</v>
      </c>
      <c r="BK2825" s="477">
        <v>98500827.512203097</v>
      </c>
      <c r="BL2825" s="458">
        <v>0.27441822858794684</v>
      </c>
      <c r="BM2825" s="468">
        <v>8.207660787456371</v>
      </c>
    </row>
    <row r="2826" spans="12:65" x14ac:dyDescent="0.3">
      <c r="L2826" s="427">
        <v>-6447723.6393999998</v>
      </c>
      <c r="BE2826" s="477">
        <v>1651672.566704731</v>
      </c>
      <c r="BF2826" s="458">
        <v>2.7609589541734314E-2</v>
      </c>
      <c r="BG2826" s="477">
        <v>4577659.3499041069</v>
      </c>
      <c r="BH2826" s="458">
        <v>6.9282286664032355E-2</v>
      </c>
      <c r="BI2826" s="477">
        <v>19668022.757286519</v>
      </c>
      <c r="BJ2826" s="458">
        <v>0.11173920185666941</v>
      </c>
      <c r="BK2826" s="477">
        <v>95441964.389409781</v>
      </c>
      <c r="BL2826" s="458">
        <v>0.27739912971433389</v>
      </c>
      <c r="BM2826" s="468">
        <v>14.157538766153102</v>
      </c>
    </row>
    <row r="2827" spans="12:65" x14ac:dyDescent="0.3">
      <c r="L2827" s="427">
        <v>234744.54519999999</v>
      </c>
      <c r="BE2827" s="477">
        <v>2703162.1892729076</v>
      </c>
      <c r="BF2827" s="458">
        <v>2.2689263599472653E-2</v>
      </c>
      <c r="BG2827" s="477">
        <v>10664422.920006439</v>
      </c>
      <c r="BH2827" s="458">
        <v>6.0245591426164813E-2</v>
      </c>
      <c r="BI2827" s="477">
        <v>10985132.798164763</v>
      </c>
      <c r="BJ2827" s="458">
        <v>0.14591408888896495</v>
      </c>
      <c r="BK2827" s="477">
        <v>90905565.427623823</v>
      </c>
      <c r="BL2827" s="458">
        <v>0.25067863099798404</v>
      </c>
      <c r="BM2827" s="468">
        <v>2.5825340447420357</v>
      </c>
    </row>
    <row r="2828" spans="12:65" x14ac:dyDescent="0.3">
      <c r="L2828" s="427">
        <v>-5516069.1069</v>
      </c>
      <c r="BE2828" s="477">
        <v>5318927.6795908427</v>
      </c>
      <c r="BF2828" s="458">
        <v>3.5582746735188575E-2</v>
      </c>
      <c r="BG2828" s="477">
        <v>11418518.333359675</v>
      </c>
      <c r="BH2828" s="458">
        <v>7.7259956379551076E-2</v>
      </c>
      <c r="BI2828" s="477">
        <v>12494895.30830358</v>
      </c>
      <c r="BJ2828" s="458">
        <v>0.1217662980400056</v>
      </c>
      <c r="BK2828" s="477">
        <v>98011575.463496983</v>
      </c>
      <c r="BL2828" s="458">
        <v>0.26602744393472055</v>
      </c>
      <c r="BM2828" s="468">
        <v>10.895753364982703</v>
      </c>
    </row>
    <row r="2829" spans="12:65" x14ac:dyDescent="0.3">
      <c r="L2829" s="427">
        <v>3120329.9593000002</v>
      </c>
      <c r="BE2829" s="477">
        <v>2640229.1787337675</v>
      </c>
      <c r="BF2829" s="458">
        <v>2.3502511453752151E-2</v>
      </c>
      <c r="BG2829" s="477">
        <v>4840808.6451203572</v>
      </c>
      <c r="BH2829" s="458">
        <v>4.0899921666166517E-2</v>
      </c>
      <c r="BI2829" s="477">
        <v>9681779.1575188376</v>
      </c>
      <c r="BJ2829" s="458">
        <v>0.11009786996392434</v>
      </c>
      <c r="BK2829" s="477">
        <v>90314828.55955781</v>
      </c>
      <c r="BL2829" s="458">
        <v>0.26118291728863618</v>
      </c>
      <c r="BM2829" s="468">
        <v>7.602986358757331</v>
      </c>
    </row>
    <row r="2830" spans="12:65" x14ac:dyDescent="0.3">
      <c r="L2830" s="427">
        <v>4831171.3307999996</v>
      </c>
      <c r="BE2830" s="477">
        <v>5317822.7396587823</v>
      </c>
      <c r="BF2830" s="458">
        <v>3.0134719150734401E-2</v>
      </c>
      <c r="BG2830" s="477">
        <v>6240731.8677884415</v>
      </c>
      <c r="BH2830" s="458">
        <v>4.3209606355461228E-2</v>
      </c>
      <c r="BI2830" s="477">
        <v>18647966.563871421</v>
      </c>
      <c r="BJ2830" s="458">
        <v>0.10564080203015869</v>
      </c>
      <c r="BK2830" s="477">
        <v>87240442.268245161</v>
      </c>
      <c r="BL2830" s="458">
        <v>0.35507471262062085</v>
      </c>
      <c r="BM2830" s="468">
        <v>7.7986301150098196</v>
      </c>
    </row>
    <row r="2831" spans="12:65" x14ac:dyDescent="0.3">
      <c r="L2831" s="427">
        <v>899031.7953</v>
      </c>
      <c r="BE2831" s="477">
        <v>5240507.5880294442</v>
      </c>
      <c r="BF2831" s="458">
        <v>3.2925142723712719E-2</v>
      </c>
      <c r="BG2831" s="477">
        <v>9693618.0869128853</v>
      </c>
      <c r="BH2831" s="458">
        <v>5.6764556381603493E-2</v>
      </c>
      <c r="BI2831" s="477">
        <v>14779731.36587506</v>
      </c>
      <c r="BJ2831" s="458">
        <v>0.12978027026641836</v>
      </c>
      <c r="BK2831" s="477">
        <v>85721586.457232401</v>
      </c>
      <c r="BL2831" s="458">
        <v>0.27362115467491077</v>
      </c>
      <c r="BM2831" s="468">
        <v>13.760839376256662</v>
      </c>
    </row>
    <row r="2832" spans="12:65" x14ac:dyDescent="0.3">
      <c r="L2832" s="427">
        <v>8807878.4869999997</v>
      </c>
      <c r="BE2832" s="477">
        <v>8055944.5663839784</v>
      </c>
      <c r="BF2832" s="458">
        <v>3.6194340449005047E-2</v>
      </c>
      <c r="BG2832" s="477">
        <v>8028775.2531729983</v>
      </c>
      <c r="BH2832" s="458">
        <v>7.8426877308100051E-2</v>
      </c>
      <c r="BI2832" s="477">
        <v>15378026.957619529</v>
      </c>
      <c r="BJ2832" s="458">
        <v>8.3332877682891215E-2</v>
      </c>
      <c r="BK2832" s="477">
        <v>78945539.473577201</v>
      </c>
      <c r="BL2832" s="458">
        <v>0.26333995380273456</v>
      </c>
      <c r="BM2832" s="468">
        <v>5.7064099460387467</v>
      </c>
    </row>
    <row r="2833" spans="12:65" x14ac:dyDescent="0.3">
      <c r="L2833" s="427">
        <v>-5230366.5096000005</v>
      </c>
      <c r="BE2833" s="477">
        <v>1807377.8603445007</v>
      </c>
      <c r="BF2833" s="458">
        <v>2.0947079004959956E-2</v>
      </c>
      <c r="BG2833" s="477">
        <v>12596815.95853884</v>
      </c>
      <c r="BH2833" s="458">
        <v>6.8310418213340496E-2</v>
      </c>
      <c r="BI2833" s="477">
        <v>8845424.466708418</v>
      </c>
      <c r="BJ2833" s="458">
        <v>8.0051558808569068E-2</v>
      </c>
      <c r="BK2833" s="477">
        <v>74362708.910121933</v>
      </c>
      <c r="BL2833" s="458">
        <v>0.28322961245143263</v>
      </c>
      <c r="BM2833" s="468">
        <v>9.3394372119954561</v>
      </c>
    </row>
    <row r="2834" spans="12:65" x14ac:dyDescent="0.3">
      <c r="L2834" s="427">
        <v>7937789.8574000001</v>
      </c>
      <c r="BE2834" s="477">
        <v>3719172.6015352323</v>
      </c>
      <c r="BF2834" s="458">
        <v>9.5921141912200802E-3</v>
      </c>
      <c r="BG2834" s="477">
        <v>8133330.3425873397</v>
      </c>
      <c r="BH2834" s="458">
        <v>7.4422969296137564E-2</v>
      </c>
      <c r="BI2834" s="477">
        <v>22613448.195815019</v>
      </c>
      <c r="BJ2834" s="458">
        <v>0.10317195760976627</v>
      </c>
      <c r="BK2834" s="477">
        <v>77042537.224053979</v>
      </c>
      <c r="BL2834" s="458">
        <v>0.27948311566050288</v>
      </c>
      <c r="BM2834" s="468">
        <v>1.8268790041402907</v>
      </c>
    </row>
    <row r="2835" spans="12:65" x14ac:dyDescent="0.3">
      <c r="L2835" s="427">
        <v>8929435.0561999995</v>
      </c>
      <c r="BE2835" s="477">
        <v>7600709.0094353873</v>
      </c>
      <c r="BF2835" s="458">
        <v>4.0660129266221423E-2</v>
      </c>
      <c r="BG2835" s="477">
        <v>9271655.9706891123</v>
      </c>
      <c r="BH2835" s="458">
        <v>8.4392258595825886E-2</v>
      </c>
      <c r="BI2835" s="477">
        <v>18352465.539708205</v>
      </c>
      <c r="BJ2835" s="458">
        <v>0.14878981500421484</v>
      </c>
      <c r="BK2835" s="477">
        <v>88213050.594154984</v>
      </c>
      <c r="BL2835" s="458">
        <v>0.25957863364160483</v>
      </c>
      <c r="BM2835" s="468">
        <v>1.2716617450615333</v>
      </c>
    </row>
    <row r="2836" spans="12:65" x14ac:dyDescent="0.3">
      <c r="L2836" s="427">
        <v>1263828.1893</v>
      </c>
      <c r="BE2836" s="477">
        <v>4916030.1035248376</v>
      </c>
      <c r="BF2836" s="458">
        <v>4.4733866851705217E-2</v>
      </c>
      <c r="BG2836" s="477">
        <v>2650650.1017185198</v>
      </c>
      <c r="BH2836" s="458">
        <v>6.6004940190225847E-2</v>
      </c>
      <c r="BI2836" s="477">
        <v>19515714.219869383</v>
      </c>
      <c r="BJ2836" s="458">
        <v>0.10636821521984641</v>
      </c>
      <c r="BK2836" s="477">
        <v>80983621.889759317</v>
      </c>
      <c r="BL2836" s="458">
        <v>0.27468467754658721</v>
      </c>
      <c r="BM2836" s="468">
        <v>10.78279812629698</v>
      </c>
    </row>
    <row r="2837" spans="12:65" x14ac:dyDescent="0.3">
      <c r="L2837" s="427">
        <v>-536854.7415</v>
      </c>
      <c r="BE2837" s="477">
        <v>4066121.8360154675</v>
      </c>
      <c r="BF2837" s="458">
        <v>4.3478349693494289E-2</v>
      </c>
      <c r="BG2837" s="477">
        <v>12605821.087901935</v>
      </c>
      <c r="BH2837" s="458">
        <v>7.0739590338756875E-2</v>
      </c>
      <c r="BI2837" s="477">
        <v>14581139.85828249</v>
      </c>
      <c r="BJ2837" s="458">
        <v>8.3825770846414516E-2</v>
      </c>
      <c r="BK2837" s="477">
        <v>91325130.791431546</v>
      </c>
      <c r="BL2837" s="458">
        <v>0.27081322981962308</v>
      </c>
      <c r="BM2837" s="468">
        <v>1.9501955035935357</v>
      </c>
    </row>
    <row r="2838" spans="12:65" x14ac:dyDescent="0.3">
      <c r="L2838" s="427">
        <v>2305636.7511</v>
      </c>
      <c r="BE2838" s="477">
        <v>6527185.6718023578</v>
      </c>
      <c r="BF2838" s="458">
        <v>3.6788055052827895E-2</v>
      </c>
      <c r="BG2838" s="477">
        <v>6848296.1662860401</v>
      </c>
      <c r="BH2838" s="458">
        <v>8.215870046092455E-2</v>
      </c>
      <c r="BI2838" s="477">
        <v>20166988.194108784</v>
      </c>
      <c r="BJ2838" s="458">
        <v>0.1095833651587188</v>
      </c>
      <c r="BK2838" s="477">
        <v>103199438.80868262</v>
      </c>
      <c r="BL2838" s="458">
        <v>0.26471728157483154</v>
      </c>
      <c r="BM2838" s="468">
        <v>4.0848113602303773</v>
      </c>
    </row>
    <row r="2839" spans="12:65" x14ac:dyDescent="0.3">
      <c r="L2839" s="427">
        <v>6473407.0455</v>
      </c>
      <c r="BE2839" s="477">
        <v>5919130.9006182663</v>
      </c>
      <c r="BF2839" s="458">
        <v>3.0669046301286862E-2</v>
      </c>
      <c r="BG2839" s="477">
        <v>2114218.3712136666</v>
      </c>
      <c r="BH2839" s="458">
        <v>6.1825603839768428E-2</v>
      </c>
      <c r="BI2839" s="477">
        <v>9002157.3284232207</v>
      </c>
      <c r="BJ2839" s="458">
        <v>0.10405313211672307</v>
      </c>
      <c r="BK2839" s="477">
        <v>89514866.424204439</v>
      </c>
      <c r="BL2839" s="458">
        <v>0.26932460147009962</v>
      </c>
      <c r="BM2839" s="468">
        <v>4.4093012270584655</v>
      </c>
    </row>
    <row r="2840" spans="12:65" x14ac:dyDescent="0.3">
      <c r="L2840" s="427">
        <v>811021.04760000005</v>
      </c>
      <c r="BE2840" s="477">
        <v>8229470.1325816223</v>
      </c>
      <c r="BF2840" s="458">
        <v>4.0074870011398644E-2</v>
      </c>
      <c r="BG2840" s="477">
        <v>12240411.065832345</v>
      </c>
      <c r="BH2840" s="458">
        <v>4.1169474607880563E-2</v>
      </c>
      <c r="BI2840" s="477">
        <v>18889280.890182041</v>
      </c>
      <c r="BJ2840" s="458">
        <v>9.1021580676569513E-2</v>
      </c>
      <c r="BK2840" s="477">
        <v>85608255.383696586</v>
      </c>
      <c r="BL2840" s="458">
        <v>0.27391462592374993</v>
      </c>
      <c r="BM2840" s="468">
        <v>3.3340572575696052</v>
      </c>
    </row>
    <row r="2841" spans="12:65" x14ac:dyDescent="0.3">
      <c r="L2841" s="427">
        <v>-2401174.0427999999</v>
      </c>
      <c r="BE2841" s="477">
        <v>533794.65983388526</v>
      </c>
      <c r="BF2841" s="458">
        <v>3.7069951694905789E-2</v>
      </c>
      <c r="BG2841" s="477">
        <v>6390439.0691275597</v>
      </c>
      <c r="BH2841" s="458">
        <v>7.5350255833720015E-2</v>
      </c>
      <c r="BI2841" s="477">
        <v>23640692.204620633</v>
      </c>
      <c r="BJ2841" s="458">
        <v>8.3804044926791388E-2</v>
      </c>
      <c r="BK2841" s="477">
        <v>74667803.328358948</v>
      </c>
      <c r="BL2841" s="458">
        <v>0.25307426544994738</v>
      </c>
      <c r="BM2841" s="468">
        <v>7.9398309558551308</v>
      </c>
    </row>
    <row r="2842" spans="12:65" x14ac:dyDescent="0.3">
      <c r="L2842" s="427">
        <v>7037922.0537</v>
      </c>
      <c r="BE2842" s="477">
        <v>6013265.6196823828</v>
      </c>
      <c r="BF2842" s="458">
        <v>3.9721059533223357E-2</v>
      </c>
      <c r="BG2842" s="477">
        <v>11221671.461402852</v>
      </c>
      <c r="BH2842" s="458">
        <v>6.5644612414740067E-2</v>
      </c>
      <c r="BI2842" s="477">
        <v>21806309.572069027</v>
      </c>
      <c r="BJ2842" s="458">
        <v>0.14255758517011308</v>
      </c>
      <c r="BK2842" s="477">
        <v>94157783.163942784</v>
      </c>
      <c r="BL2842" s="458">
        <v>0.30880884132930442</v>
      </c>
      <c r="BM2842" s="468">
        <v>5.3951964467455866</v>
      </c>
    </row>
    <row r="2843" spans="12:65" x14ac:dyDescent="0.3">
      <c r="L2843" s="427">
        <v>8995906.3957000002</v>
      </c>
      <c r="BE2843" s="477">
        <v>6255499.4199578101</v>
      </c>
      <c r="BF2843" s="458">
        <v>5.9101140041053712E-2</v>
      </c>
      <c r="BG2843" s="477">
        <v>4467677.0938253822</v>
      </c>
      <c r="BH2843" s="458">
        <v>7.7258506834508189E-2</v>
      </c>
      <c r="BI2843" s="477">
        <v>12338331.891542107</v>
      </c>
      <c r="BJ2843" s="458">
        <v>0.1046292861496334</v>
      </c>
      <c r="BK2843" s="477">
        <v>99197889.93712984</v>
      </c>
      <c r="BL2843" s="458">
        <v>0.2624469054881553</v>
      </c>
      <c r="BM2843" s="468">
        <v>9.2984173481469199</v>
      </c>
    </row>
    <row r="2844" spans="12:65" x14ac:dyDescent="0.3">
      <c r="L2844" s="427">
        <v>-8397106.1442000009</v>
      </c>
      <c r="BE2844" s="477">
        <v>618426.38157403842</v>
      </c>
      <c r="BF2844" s="458">
        <v>5.4968688562915924E-2</v>
      </c>
      <c r="BG2844" s="477">
        <v>11876935.016433347</v>
      </c>
      <c r="BH2844" s="458">
        <v>7.4417732021099026E-2</v>
      </c>
      <c r="BI2844" s="477">
        <v>18740111.885103449</v>
      </c>
      <c r="BJ2844" s="458">
        <v>9.1434069326961076E-2</v>
      </c>
      <c r="BK2844" s="477">
        <v>97847490.103817448</v>
      </c>
      <c r="BL2844" s="458">
        <v>0.25977509074394911</v>
      </c>
      <c r="BM2844" s="468">
        <v>9.2560993282540327</v>
      </c>
    </row>
    <row r="2845" spans="12:65" x14ac:dyDescent="0.3">
      <c r="L2845" s="427">
        <v>19514179.910399999</v>
      </c>
      <c r="BE2845" s="477">
        <v>1835426.3225191142</v>
      </c>
      <c r="BF2845" s="458">
        <v>2.6273733351738437E-2</v>
      </c>
      <c r="BG2845" s="477">
        <v>16289955.528970418</v>
      </c>
      <c r="BH2845" s="458">
        <v>0.11572601333559529</v>
      </c>
      <c r="BI2845" s="477">
        <v>25171065.507708155</v>
      </c>
      <c r="BJ2845" s="458">
        <v>0.11832193852618178</v>
      </c>
      <c r="BK2845" s="477">
        <v>86818357.212969959</v>
      </c>
      <c r="BL2845" s="458">
        <v>0.28762726229322477</v>
      </c>
      <c r="BM2845" s="468">
        <v>11.591713872773491</v>
      </c>
    </row>
    <row r="2846" spans="12:65" x14ac:dyDescent="0.3">
      <c r="L2846" s="427">
        <v>-12010527.2212</v>
      </c>
      <c r="BE2846" s="477">
        <v>8443465.1243650392</v>
      </c>
      <c r="BF2846" s="458">
        <v>5.1916544961629008E-2</v>
      </c>
      <c r="BG2846" s="477">
        <v>9808415.1489268262</v>
      </c>
      <c r="BH2846" s="458">
        <v>4.5135034243577232E-2</v>
      </c>
      <c r="BI2846" s="477">
        <v>15423242.052174585</v>
      </c>
      <c r="BJ2846" s="458">
        <v>0.12204496847022983</v>
      </c>
      <c r="BK2846" s="477">
        <v>99805856.895344362</v>
      </c>
      <c r="BL2846" s="458">
        <v>0.26232764676262788</v>
      </c>
      <c r="BM2846" s="468">
        <v>3.3075858880669147</v>
      </c>
    </row>
    <row r="2847" spans="12:65" x14ac:dyDescent="0.3">
      <c r="L2847" s="427">
        <v>15938186.130899999</v>
      </c>
      <c r="BE2847" s="477">
        <v>10691069.568458639</v>
      </c>
      <c r="BF2847" s="458">
        <v>3.8958173397320328E-2</v>
      </c>
      <c r="BG2847" s="477">
        <v>9820329.5887057148</v>
      </c>
      <c r="BH2847" s="458">
        <v>9.0997217962086818E-2</v>
      </c>
      <c r="BI2847" s="477">
        <v>23201533.82124681</v>
      </c>
      <c r="BJ2847" s="458">
        <v>0.107097803186051</v>
      </c>
      <c r="BK2847" s="477">
        <v>81331765.073155716</v>
      </c>
      <c r="BL2847" s="458">
        <v>0.26552169238153511</v>
      </c>
      <c r="BM2847" s="468">
        <v>4.3429765771641113</v>
      </c>
    </row>
    <row r="2848" spans="12:65" x14ac:dyDescent="0.3">
      <c r="L2848" s="427">
        <v>6202541.9211999997</v>
      </c>
      <c r="BE2848" s="477">
        <v>8479987.4217844866</v>
      </c>
      <c r="BF2848" s="458">
        <v>6.1599020839402163E-2</v>
      </c>
      <c r="BG2848" s="477">
        <v>9011834.0835804362</v>
      </c>
      <c r="BH2848" s="458">
        <v>6.7437253087138993E-2</v>
      </c>
      <c r="BI2848" s="477">
        <v>10754254.970180349</v>
      </c>
      <c r="BJ2848" s="458">
        <v>0.10550811113630054</v>
      </c>
      <c r="BK2848" s="477">
        <v>87428471.187752098</v>
      </c>
      <c r="BL2848" s="458">
        <v>0.28450669362450554</v>
      </c>
      <c r="BM2848" s="468">
        <v>6.4913731004343651</v>
      </c>
    </row>
    <row r="2849" spans="12:65" x14ac:dyDescent="0.3">
      <c r="L2849" s="427">
        <v>11654301.0397</v>
      </c>
      <c r="BE2849" s="477">
        <v>8080334.1065800237</v>
      </c>
      <c r="BF2849" s="458">
        <v>3.4633543546984891E-2</v>
      </c>
      <c r="BG2849" s="477">
        <v>9068016.5964607485</v>
      </c>
      <c r="BH2849" s="458">
        <v>6.7455072695346008E-2</v>
      </c>
      <c r="BI2849" s="477">
        <v>21046289.023388609</v>
      </c>
      <c r="BJ2849" s="458">
        <v>0.12777892183640605</v>
      </c>
      <c r="BK2849" s="477">
        <v>86809554.518806845</v>
      </c>
      <c r="BL2849" s="458">
        <v>0.28695327788493841</v>
      </c>
      <c r="BM2849" s="468">
        <v>7.3166011608826942</v>
      </c>
    </row>
    <row r="2850" spans="12:65" x14ac:dyDescent="0.3">
      <c r="L2850" s="427">
        <v>19543826.5438</v>
      </c>
      <c r="BE2850" s="477">
        <v>2612063.001753984</v>
      </c>
      <c r="BF2850" s="458">
        <v>3.3312061066733012E-2</v>
      </c>
      <c r="BG2850" s="477">
        <v>7066509.2006213581</v>
      </c>
      <c r="BH2850" s="458">
        <v>5.4895628920875739E-2</v>
      </c>
      <c r="BI2850" s="477">
        <v>16975608.545544557</v>
      </c>
      <c r="BJ2850" s="458">
        <v>0.12798817394590323</v>
      </c>
      <c r="BK2850" s="477">
        <v>92307639.749683231</v>
      </c>
      <c r="BL2850" s="458">
        <v>0.26375853056152931</v>
      </c>
      <c r="BM2850" s="468">
        <v>7.1164050368313543</v>
      </c>
    </row>
    <row r="2851" spans="12:65" x14ac:dyDescent="0.3">
      <c r="L2851" s="427">
        <v>169779.2292</v>
      </c>
      <c r="BE2851" s="477">
        <v>4998409.1212589527</v>
      </c>
      <c r="BF2851" s="458">
        <v>4.3074865713791599E-2</v>
      </c>
      <c r="BG2851" s="477">
        <v>1402642.9706763315</v>
      </c>
      <c r="BH2851" s="458">
        <v>5.4762565262832297E-2</v>
      </c>
      <c r="BI2851" s="477">
        <v>11167038.526892768</v>
      </c>
      <c r="BJ2851" s="458">
        <v>0.11433046273746217</v>
      </c>
      <c r="BK2851" s="477">
        <v>73973941.230894074</v>
      </c>
      <c r="BL2851" s="458">
        <v>0.26847812517548353</v>
      </c>
      <c r="BM2851" s="468">
        <v>8.3578948179427339</v>
      </c>
    </row>
    <row r="2852" spans="12:65" x14ac:dyDescent="0.3">
      <c r="L2852" s="427">
        <v>13033333.9802</v>
      </c>
      <c r="BE2852" s="477">
        <v>3939961.1821429576</v>
      </c>
      <c r="BF2852" s="458">
        <v>4.058550948745987E-2</v>
      </c>
      <c r="BG2852" s="477">
        <v>5089410.117132375</v>
      </c>
      <c r="BH2852" s="458">
        <v>5.6942565148378144E-2</v>
      </c>
      <c r="BI2852" s="477">
        <v>18653526.975586105</v>
      </c>
      <c r="BJ2852" s="458">
        <v>0.11109269562630941</v>
      </c>
      <c r="BK2852" s="477">
        <v>96499155.10457927</v>
      </c>
      <c r="BL2852" s="458">
        <v>0.25738308125251996</v>
      </c>
      <c r="BM2852" s="468">
        <v>6.0432382565915876</v>
      </c>
    </row>
    <row r="2853" spans="12:65" x14ac:dyDescent="0.3">
      <c r="L2853" s="427">
        <v>22445197.332400002</v>
      </c>
      <c r="BE2853" s="477">
        <v>2874137.6483134544</v>
      </c>
      <c r="BF2853" s="458">
        <v>3.4884920684660203E-2</v>
      </c>
      <c r="BG2853" s="477">
        <v>5540747.6821087357</v>
      </c>
      <c r="BH2853" s="458">
        <v>7.1428167202718607E-2</v>
      </c>
      <c r="BI2853" s="477">
        <v>19204612.777617075</v>
      </c>
      <c r="BJ2853" s="458">
        <v>0.13644556401702346</v>
      </c>
      <c r="BK2853" s="477">
        <v>77799712.710159883</v>
      </c>
      <c r="BL2853" s="458">
        <v>0.27221069413663623</v>
      </c>
      <c r="BM2853" s="468">
        <v>7.8333445024036683</v>
      </c>
    </row>
    <row r="2854" spans="12:65" x14ac:dyDescent="0.3">
      <c r="L2854" s="427">
        <v>11828299.8588</v>
      </c>
      <c r="BE2854" s="477">
        <v>7939994.8526388714</v>
      </c>
      <c r="BF2854" s="458">
        <v>3.7021676738403508E-2</v>
      </c>
      <c r="BG2854" s="477">
        <v>15970300.224275434</v>
      </c>
      <c r="BH2854" s="458">
        <v>5.0251485069799484E-2</v>
      </c>
      <c r="BI2854" s="477">
        <v>22900019.121499553</v>
      </c>
      <c r="BJ2854" s="458">
        <v>0.1104238389905341</v>
      </c>
      <c r="BK2854" s="477">
        <v>91309277.797769129</v>
      </c>
      <c r="BL2854" s="458">
        <v>0.27250820742742721</v>
      </c>
      <c r="BM2854" s="468">
        <v>8.4582215870156361</v>
      </c>
    </row>
    <row r="2855" spans="12:65" x14ac:dyDescent="0.3">
      <c r="L2855" s="427">
        <v>24540392.5495</v>
      </c>
      <c r="BE2855" s="477">
        <v>11677527.320355929</v>
      </c>
      <c r="BF2855" s="458">
        <v>3.6462655053713489E-2</v>
      </c>
      <c r="BG2855" s="477">
        <v>3531973.8618571651</v>
      </c>
      <c r="BH2855" s="458">
        <v>6.5088436234365554E-2</v>
      </c>
      <c r="BI2855" s="477">
        <v>10423482.825259708</v>
      </c>
      <c r="BJ2855" s="458">
        <v>9.8287292980949958E-2</v>
      </c>
      <c r="BK2855" s="477">
        <v>103872179.42037904</v>
      </c>
      <c r="BL2855" s="458">
        <v>0.2674020175464602</v>
      </c>
      <c r="BM2855" s="468">
        <v>5.3803728348889548</v>
      </c>
    </row>
    <row r="2856" spans="12:65" x14ac:dyDescent="0.3">
      <c r="L2856" s="427">
        <v>-1037547.3524</v>
      </c>
      <c r="BE2856" s="477">
        <v>7160058.6381413033</v>
      </c>
      <c r="BF2856" s="458">
        <v>4.3009657197557116E-2</v>
      </c>
      <c r="BG2856" s="477">
        <v>16019313.528160732</v>
      </c>
      <c r="BH2856" s="458">
        <v>3.7957310728287563E-2</v>
      </c>
      <c r="BI2856" s="477">
        <v>17243188.449290302</v>
      </c>
      <c r="BJ2856" s="458">
        <v>9.986370888789442E-2</v>
      </c>
      <c r="BK2856" s="477">
        <v>75830917.374317959</v>
      </c>
      <c r="BL2856" s="458">
        <v>0.26125791948440069</v>
      </c>
      <c r="BM2856" s="468">
        <v>7.0817881411210761</v>
      </c>
    </row>
    <row r="2857" spans="12:65" x14ac:dyDescent="0.3">
      <c r="L2857" s="427">
        <v>12217668.002699999</v>
      </c>
      <c r="BE2857" s="477">
        <v>5894019.4829581715</v>
      </c>
      <c r="BF2857" s="458">
        <v>5.2856788923877795E-2</v>
      </c>
      <c r="BG2857" s="477">
        <v>6759109.44015422</v>
      </c>
      <c r="BH2857" s="458">
        <v>5.164334227258216E-2</v>
      </c>
      <c r="BI2857" s="477">
        <v>20268656.447186857</v>
      </c>
      <c r="BJ2857" s="458">
        <v>8.6030791629461589E-2</v>
      </c>
      <c r="BK2857" s="477">
        <v>93233469.210807025</v>
      </c>
      <c r="BL2857" s="458">
        <v>0.26475429300617748</v>
      </c>
      <c r="BM2857" s="468">
        <v>6.1144675827256076</v>
      </c>
    </row>
    <row r="2858" spans="12:65" x14ac:dyDescent="0.3">
      <c r="L2858" s="427">
        <v>-11583508.1921</v>
      </c>
      <c r="BE2858" s="477">
        <v>6212542.6719878493</v>
      </c>
      <c r="BF2858" s="458">
        <v>4.7422923312970378E-2</v>
      </c>
      <c r="BG2858" s="477">
        <v>10054744.130265031</v>
      </c>
      <c r="BH2858" s="458">
        <v>5.5747394309842102E-2</v>
      </c>
      <c r="BI2858" s="477">
        <v>11698223.601563793</v>
      </c>
      <c r="BJ2858" s="458">
        <v>0.10708533633156114</v>
      </c>
      <c r="BK2858" s="477">
        <v>89858063.389672279</v>
      </c>
      <c r="BL2858" s="458">
        <v>0.23568710941481141</v>
      </c>
      <c r="BM2858" s="468">
        <v>11.029500351023733</v>
      </c>
    </row>
    <row r="2859" spans="12:65" x14ac:dyDescent="0.3">
      <c r="L2859" s="427">
        <v>8679157.7335000001</v>
      </c>
      <c r="BE2859" s="477">
        <v>4762921.8986153379</v>
      </c>
      <c r="BF2859" s="458">
        <v>3.7903663820035405E-2</v>
      </c>
      <c r="BG2859" s="477">
        <v>7193578.5758581711</v>
      </c>
      <c r="BH2859" s="458">
        <v>6.2116848614920617E-2</v>
      </c>
      <c r="BI2859" s="477">
        <v>12190576.98434715</v>
      </c>
      <c r="BJ2859" s="458">
        <v>8.4772491219017532E-2</v>
      </c>
      <c r="BK2859" s="477">
        <v>92484412.744506657</v>
      </c>
      <c r="BL2859" s="458">
        <v>0.25442773192312296</v>
      </c>
      <c r="BM2859" s="468">
        <v>11.456721129721451</v>
      </c>
    </row>
    <row r="2860" spans="12:65" x14ac:dyDescent="0.3">
      <c r="L2860" s="427">
        <v>18507792.705600001</v>
      </c>
      <c r="BE2860" s="477">
        <v>7055410.7853247272</v>
      </c>
      <c r="BF2860" s="458">
        <v>5.2909193590628512E-2</v>
      </c>
      <c r="BG2860" s="477">
        <v>7481391.6403985554</v>
      </c>
      <c r="BH2860" s="458">
        <v>6.355377654307226E-2</v>
      </c>
      <c r="BI2860" s="477">
        <v>20442745.222860515</v>
      </c>
      <c r="BJ2860" s="458">
        <v>0.11037909365116905</v>
      </c>
      <c r="BK2860" s="477">
        <v>80105470.509683266</v>
      </c>
      <c r="BL2860" s="458">
        <v>0.2818670024419121</v>
      </c>
      <c r="BM2860" s="468">
        <v>0.2366828877298035</v>
      </c>
    </row>
    <row r="2861" spans="12:65" x14ac:dyDescent="0.3">
      <c r="L2861" s="427">
        <v>8862245.9848999996</v>
      </c>
      <c r="BE2861" s="477">
        <v>5389845.8804534432</v>
      </c>
      <c r="BF2861" s="458">
        <v>5.4403867181078258E-2</v>
      </c>
      <c r="BG2861" s="477">
        <v>8556226.9873778168</v>
      </c>
      <c r="BH2861" s="458">
        <v>6.5339278164774584E-2</v>
      </c>
      <c r="BI2861" s="477">
        <v>17714737.754388575</v>
      </c>
      <c r="BJ2861" s="458">
        <v>0.1001234409771139</v>
      </c>
      <c r="BK2861" s="477">
        <v>88855464.396402955</v>
      </c>
      <c r="BL2861" s="458">
        <v>0.27667942175371985</v>
      </c>
      <c r="BM2861" s="468">
        <v>2.7871120405014524</v>
      </c>
    </row>
    <row r="2862" spans="12:65" x14ac:dyDescent="0.3">
      <c r="L2862" s="427">
        <v>29025829.638799999</v>
      </c>
      <c r="BE2862" s="477">
        <v>1828488.2602291526</v>
      </c>
      <c r="BF2862" s="458">
        <v>6.7424150893297563E-2</v>
      </c>
      <c r="BG2862" s="477">
        <v>5172725.2596973404</v>
      </c>
      <c r="BH2862" s="458">
        <v>7.8634842927506554E-2</v>
      </c>
      <c r="BI2862" s="477">
        <v>13726745.999898911</v>
      </c>
      <c r="BJ2862" s="458">
        <v>0.11257994627022594</v>
      </c>
      <c r="BK2862" s="477">
        <v>81859358.073247671</v>
      </c>
      <c r="BL2862" s="458">
        <v>0.28422573727546663</v>
      </c>
      <c r="BM2862" s="468">
        <v>10.208593772667223</v>
      </c>
    </row>
    <row r="2863" spans="12:65" x14ac:dyDescent="0.3">
      <c r="L2863" s="427">
        <v>-4121512.9681000002</v>
      </c>
      <c r="BE2863" s="477">
        <v>9243109.2454411648</v>
      </c>
      <c r="BF2863" s="458">
        <v>3.5298679011980028E-2</v>
      </c>
      <c r="BG2863" s="477">
        <v>13801230.904788498</v>
      </c>
      <c r="BH2863" s="458">
        <v>7.4601823523693822E-2</v>
      </c>
      <c r="BI2863" s="477">
        <v>17752591.610138554</v>
      </c>
      <c r="BJ2863" s="458">
        <v>0.10024026077946901</v>
      </c>
      <c r="BK2863" s="477">
        <v>85050367.235541493</v>
      </c>
      <c r="BL2863" s="458">
        <v>0.27778663265833914</v>
      </c>
      <c r="BM2863" s="468">
        <v>10.084184013673715</v>
      </c>
    </row>
    <row r="2864" spans="12:65" x14ac:dyDescent="0.3">
      <c r="L2864" s="427">
        <v>4209617.2078999998</v>
      </c>
      <c r="BE2864" s="477">
        <v>10597171.109439887</v>
      </c>
      <c r="BF2864" s="458">
        <v>2.0872805477953005E-2</v>
      </c>
      <c r="BG2864" s="477">
        <v>11876440.337833362</v>
      </c>
      <c r="BH2864" s="458">
        <v>8.0252378092943832E-2</v>
      </c>
      <c r="BI2864" s="477">
        <v>14538158.480091529</v>
      </c>
      <c r="BJ2864" s="458">
        <v>9.7594180929105878E-2</v>
      </c>
      <c r="BK2864" s="477">
        <v>86288406.34854278</v>
      </c>
      <c r="BL2864" s="458">
        <v>0.27054341181105301</v>
      </c>
      <c r="BM2864" s="468">
        <v>9.5297682650392765</v>
      </c>
    </row>
    <row r="2865" spans="12:65" x14ac:dyDescent="0.3">
      <c r="L2865" s="427">
        <v>20038972.7388</v>
      </c>
      <c r="BE2865" s="477">
        <v>4111049.5265149912</v>
      </c>
      <c r="BF2865" s="458">
        <v>3.5888052494301714E-2</v>
      </c>
      <c r="BG2865" s="477">
        <v>2117499.2270061583</v>
      </c>
      <c r="BH2865" s="458">
        <v>8.0071726006190058E-2</v>
      </c>
      <c r="BI2865" s="477">
        <v>24556043.385540083</v>
      </c>
      <c r="BJ2865" s="458">
        <v>0.12723605851780251</v>
      </c>
      <c r="BK2865" s="477">
        <v>100962671.13292868</v>
      </c>
      <c r="BL2865" s="458">
        <v>0.24922844691566404</v>
      </c>
      <c r="BM2865" s="468">
        <v>10.958795544770831</v>
      </c>
    </row>
    <row r="2866" spans="12:65" x14ac:dyDescent="0.3">
      <c r="L2866" s="427">
        <v>2625521.7702000001</v>
      </c>
      <c r="BE2866" s="477">
        <v>8724279.3773070797</v>
      </c>
      <c r="BF2866" s="458">
        <v>1.979574230545289E-2</v>
      </c>
      <c r="BG2866" s="477">
        <v>12924272.762513041</v>
      </c>
      <c r="BH2866" s="458">
        <v>5.8503191799240684E-2</v>
      </c>
      <c r="BI2866" s="477">
        <v>16293737.942319475</v>
      </c>
      <c r="BJ2866" s="458">
        <v>0.10244134913726533</v>
      </c>
      <c r="BK2866" s="477">
        <v>95726171.807164013</v>
      </c>
      <c r="BL2866" s="458">
        <v>0.27607817417306646</v>
      </c>
      <c r="BM2866" s="468">
        <v>9.6690235804441613</v>
      </c>
    </row>
    <row r="2867" spans="12:65" x14ac:dyDescent="0.3">
      <c r="L2867" s="427">
        <v>8796387.3942000009</v>
      </c>
      <c r="BE2867" s="477">
        <v>4409342.9990259055</v>
      </c>
      <c r="BF2867" s="458">
        <v>5.5282415645961702E-2</v>
      </c>
      <c r="BG2867" s="477">
        <v>10458378.306807224</v>
      </c>
      <c r="BH2867" s="458">
        <v>8.4685929657366765E-2</v>
      </c>
      <c r="BI2867" s="477">
        <v>13191548.363996342</v>
      </c>
      <c r="BJ2867" s="458">
        <v>8.1919377572285512E-2</v>
      </c>
      <c r="BK2867" s="477">
        <v>80321922.089805931</v>
      </c>
      <c r="BL2867" s="458">
        <v>0.28843243793012396</v>
      </c>
      <c r="BM2867" s="468">
        <v>8.9743469632690474</v>
      </c>
    </row>
    <row r="2868" spans="12:65" x14ac:dyDescent="0.3">
      <c r="L2868" s="427">
        <v>6594402.8826000001</v>
      </c>
      <c r="BE2868" s="477">
        <v>2955459.7204456772</v>
      </c>
      <c r="BF2868" s="458">
        <v>4.230942129019355E-2</v>
      </c>
      <c r="BG2868" s="477">
        <v>7378325.0203854665</v>
      </c>
      <c r="BH2868" s="458">
        <v>7.8060109404886058E-2</v>
      </c>
      <c r="BI2868" s="477">
        <v>24550820.71487442</v>
      </c>
      <c r="BJ2868" s="458">
        <v>0.12953064217406074</v>
      </c>
      <c r="BK2868" s="477">
        <v>85429164.315221235</v>
      </c>
      <c r="BL2868" s="458">
        <v>0.25590787348942357</v>
      </c>
      <c r="BM2868" s="468">
        <v>7.2610619531319482</v>
      </c>
    </row>
    <row r="2869" spans="12:65" x14ac:dyDescent="0.3">
      <c r="L2869" s="427">
        <v>-820668.76769999997</v>
      </c>
      <c r="BE2869" s="477">
        <v>4651857.8753202381</v>
      </c>
      <c r="BF2869" s="458">
        <v>6.6817145144985934E-2</v>
      </c>
      <c r="BG2869" s="477">
        <v>8416265.45618077</v>
      </c>
      <c r="BH2869" s="458">
        <v>0.12193626190377316</v>
      </c>
      <c r="BI2869" s="477">
        <v>7808369.0598473344</v>
      </c>
      <c r="BJ2869" s="458">
        <v>9.1798197025911854E-2</v>
      </c>
      <c r="BK2869" s="477">
        <v>103942858.73266716</v>
      </c>
      <c r="BL2869" s="458">
        <v>0.27225968354076313</v>
      </c>
      <c r="BM2869" s="468">
        <v>11.002570768481274</v>
      </c>
    </row>
    <row r="2870" spans="12:65" x14ac:dyDescent="0.3">
      <c r="L2870" s="427">
        <v>22140984.191399999</v>
      </c>
      <c r="BE2870" s="477">
        <v>9992226.1165924091</v>
      </c>
      <c r="BF2870" s="458">
        <v>3.0725104481888588E-2</v>
      </c>
      <c r="BG2870" s="477">
        <v>13872597.502232198</v>
      </c>
      <c r="BH2870" s="458">
        <v>5.4089909230668143E-2</v>
      </c>
      <c r="BI2870" s="477">
        <v>23371742.893437341</v>
      </c>
      <c r="BJ2870" s="458">
        <v>0.11834181563282797</v>
      </c>
      <c r="BK2870" s="477">
        <v>81151523.62342225</v>
      </c>
      <c r="BL2870" s="458">
        <v>0.28591116020444174</v>
      </c>
      <c r="BM2870" s="468">
        <v>7.4836483120021056</v>
      </c>
    </row>
    <row r="2871" spans="12:65" x14ac:dyDescent="0.3">
      <c r="L2871" s="427">
        <v>5630880.8551000003</v>
      </c>
      <c r="BE2871" s="477">
        <v>5442841.2987229219</v>
      </c>
      <c r="BF2871" s="458">
        <v>3.0876204214833392E-2</v>
      </c>
      <c r="BG2871" s="477">
        <v>8135191.4681028342</v>
      </c>
      <c r="BH2871" s="458">
        <v>6.5368558424948153E-2</v>
      </c>
      <c r="BI2871" s="477">
        <v>12092732.632719776</v>
      </c>
      <c r="BJ2871" s="458">
        <v>0.13490010770561511</v>
      </c>
      <c r="BK2871" s="477">
        <v>93749260.027710989</v>
      </c>
      <c r="BL2871" s="458">
        <v>0.26366743840774265</v>
      </c>
      <c r="BM2871" s="468">
        <v>4.4832509983869731</v>
      </c>
    </row>
    <row r="2872" spans="12:65" x14ac:dyDescent="0.3">
      <c r="L2872" s="427">
        <v>4131192.8757000002</v>
      </c>
      <c r="BE2872" s="477">
        <v>8569993.9801296983</v>
      </c>
      <c r="BF2872" s="458">
        <v>3.1367559449295035E-2</v>
      </c>
      <c r="BG2872" s="477">
        <v>14285846.123656265</v>
      </c>
      <c r="BH2872" s="458">
        <v>8.6106011518755965E-2</v>
      </c>
      <c r="BI2872" s="477">
        <v>14976377.251547912</v>
      </c>
      <c r="BJ2872" s="458">
        <v>0.12497398627454825</v>
      </c>
      <c r="BK2872" s="477">
        <v>94292945.94353044</v>
      </c>
      <c r="BL2872" s="458">
        <v>0.26953482696759479</v>
      </c>
      <c r="BM2872" s="468">
        <v>9.3996713600184609</v>
      </c>
    </row>
    <row r="2873" spans="12:65" x14ac:dyDescent="0.3">
      <c r="L2873" s="427">
        <v>3619976.1033999999</v>
      </c>
      <c r="BE2873" s="477">
        <v>4163764.5040093455</v>
      </c>
      <c r="BF2873" s="458">
        <v>2.3792887577804844E-2</v>
      </c>
      <c r="BG2873" s="477">
        <v>11911360.745690785</v>
      </c>
      <c r="BH2873" s="458">
        <v>5.0752007080175909E-2</v>
      </c>
      <c r="BI2873" s="477">
        <v>13968258.714024816</v>
      </c>
      <c r="BJ2873" s="458">
        <v>0.11139673848386522</v>
      </c>
      <c r="BK2873" s="477">
        <v>88370533.990008831</v>
      </c>
      <c r="BL2873" s="458">
        <v>0.26875554151105696</v>
      </c>
      <c r="BM2873" s="468">
        <v>17.671698129843911</v>
      </c>
    </row>
    <row r="2874" spans="12:65" x14ac:dyDescent="0.3">
      <c r="L2874" s="427">
        <v>476411.84970000002</v>
      </c>
      <c r="BE2874" s="477">
        <v>3608017.7738307817</v>
      </c>
      <c r="BF2874" s="458">
        <v>3.4576120766215634E-2</v>
      </c>
      <c r="BG2874" s="477">
        <v>7548220.8402490951</v>
      </c>
      <c r="BH2874" s="458">
        <v>0.10107888030499868</v>
      </c>
      <c r="BI2874" s="477">
        <v>22260134.470853917</v>
      </c>
      <c r="BJ2874" s="458">
        <v>0.11347371108333104</v>
      </c>
      <c r="BK2874" s="477">
        <v>101530580.4998346</v>
      </c>
      <c r="BL2874" s="458">
        <v>0.25527260792446915</v>
      </c>
      <c r="BM2874" s="468">
        <v>5.6051792700771381</v>
      </c>
    </row>
    <row r="2875" spans="12:65" x14ac:dyDescent="0.3">
      <c r="L2875" s="427">
        <v>22712898.302000001</v>
      </c>
      <c r="BE2875" s="477">
        <v>7413145.8116668761</v>
      </c>
      <c r="BF2875" s="458">
        <v>2.6603051483066631E-2</v>
      </c>
      <c r="BG2875" s="477">
        <v>5468041.3487169398</v>
      </c>
      <c r="BH2875" s="458">
        <v>6.6754459562309076E-2</v>
      </c>
      <c r="BI2875" s="477">
        <v>20098706.798775278</v>
      </c>
      <c r="BJ2875" s="458">
        <v>0.10624361209085031</v>
      </c>
      <c r="BK2875" s="477">
        <v>78196001.695433423</v>
      </c>
      <c r="BL2875" s="458">
        <v>0.26618220812335558</v>
      </c>
      <c r="BM2875" s="468">
        <v>8.0359441585441029</v>
      </c>
    </row>
    <row r="2876" spans="12:65" x14ac:dyDescent="0.3">
      <c r="L2876" s="427">
        <v>7120143.9456000002</v>
      </c>
      <c r="BE2876" s="477">
        <v>4811611.8972373689</v>
      </c>
      <c r="BF2876" s="458">
        <v>3.7224556656986207E-2</v>
      </c>
      <c r="BG2876" s="477">
        <v>6673640.7159167677</v>
      </c>
      <c r="BH2876" s="458">
        <v>3.9902631334844063E-2</v>
      </c>
      <c r="BI2876" s="477">
        <v>13494537.885093372</v>
      </c>
      <c r="BJ2876" s="458">
        <v>0.14359151784155122</v>
      </c>
      <c r="BK2876" s="477">
        <v>92609287.50090383</v>
      </c>
      <c r="BL2876" s="458">
        <v>0.26835771325609348</v>
      </c>
      <c r="BM2876" s="468">
        <v>3.9989615480022955</v>
      </c>
    </row>
    <row r="2877" spans="12:65" x14ac:dyDescent="0.3">
      <c r="L2877" s="427">
        <v>12272211.7324</v>
      </c>
      <c r="BE2877" s="477">
        <v>3005857.894144862</v>
      </c>
      <c r="BF2877" s="458">
        <v>2.6957573118876255E-2</v>
      </c>
      <c r="BG2877" s="477">
        <v>9303736.5230066646</v>
      </c>
      <c r="BH2877" s="458">
        <v>8.7434475995431749E-2</v>
      </c>
      <c r="BI2877" s="477">
        <v>9222201.4754959755</v>
      </c>
      <c r="BJ2877" s="458">
        <v>0.10631071496442845</v>
      </c>
      <c r="BK2877" s="477">
        <v>84928123.279056326</v>
      </c>
      <c r="BL2877" s="458">
        <v>0.29188094771758299</v>
      </c>
      <c r="BM2877" s="468">
        <v>9.8905800514544193</v>
      </c>
    </row>
    <row r="2878" spans="12:65" x14ac:dyDescent="0.3">
      <c r="L2878" s="427">
        <v>28263590.622400001</v>
      </c>
      <c r="BE2878" s="477">
        <v>-245386.34894805771</v>
      </c>
      <c r="BF2878" s="458">
        <v>5.3643746320764185E-2</v>
      </c>
      <c r="BG2878" s="477">
        <v>12684028.861605078</v>
      </c>
      <c r="BH2878" s="458">
        <v>7.2160414425428643E-2</v>
      </c>
      <c r="BI2878" s="477">
        <v>24384875.421024978</v>
      </c>
      <c r="BJ2878" s="458">
        <v>9.825958206799168E-2</v>
      </c>
      <c r="BK2878" s="477">
        <v>85088666.982453287</v>
      </c>
      <c r="BL2878" s="458">
        <v>0.29989776462506201</v>
      </c>
      <c r="BM2878" s="468">
        <v>7.4391065391907158</v>
      </c>
    </row>
    <row r="2879" spans="12:65" x14ac:dyDescent="0.3">
      <c r="L2879" s="427">
        <v>19080881.874400001</v>
      </c>
      <c r="BE2879" s="477">
        <v>6329569.3184099654</v>
      </c>
      <c r="BF2879" s="458">
        <v>4.7599056768124592E-2</v>
      </c>
      <c r="BG2879" s="477">
        <v>14466998.787164608</v>
      </c>
      <c r="BH2879" s="458">
        <v>7.0403808778855881E-2</v>
      </c>
      <c r="BI2879" s="477">
        <v>17603717.254091199</v>
      </c>
      <c r="BJ2879" s="458">
        <v>0.13313403252914746</v>
      </c>
      <c r="BK2879" s="477">
        <v>81779869.67456232</v>
      </c>
      <c r="BL2879" s="458">
        <v>0.26861922449981956</v>
      </c>
      <c r="BM2879" s="468">
        <v>5.2855296102111708</v>
      </c>
    </row>
    <row r="2880" spans="12:65" x14ac:dyDescent="0.3">
      <c r="L2880" s="427">
        <v>2929147.2044000002</v>
      </c>
      <c r="BE2880" s="477">
        <v>10802739.924731869</v>
      </c>
      <c r="BF2880" s="458">
        <v>4.846206414366927E-2</v>
      </c>
      <c r="BG2880" s="477">
        <v>-20526.249926501067</v>
      </c>
      <c r="BH2880" s="458">
        <v>6.8505493563931097E-2</v>
      </c>
      <c r="BI2880" s="477">
        <v>20764736.583614003</v>
      </c>
      <c r="BJ2880" s="458">
        <v>0.11494993950498178</v>
      </c>
      <c r="BK2880" s="477">
        <v>96359634.187568128</v>
      </c>
      <c r="BL2880" s="458">
        <v>0.26136367710528918</v>
      </c>
      <c r="BM2880" s="468">
        <v>16.170196082051483</v>
      </c>
    </row>
    <row r="2881" spans="12:65" x14ac:dyDescent="0.3">
      <c r="L2881" s="427">
        <v>27809612.108100001</v>
      </c>
      <c r="BE2881" s="477">
        <v>6511180.3884862829</v>
      </c>
      <c r="BF2881" s="458">
        <v>4.9331473903734935E-2</v>
      </c>
      <c r="BG2881" s="477">
        <v>8731051.4926960804</v>
      </c>
      <c r="BH2881" s="458">
        <v>4.6941344149448838E-2</v>
      </c>
      <c r="BI2881" s="477">
        <v>17825913.656383205</v>
      </c>
      <c r="BJ2881" s="458">
        <v>0.10357389206743473</v>
      </c>
      <c r="BK2881" s="477">
        <v>106358845.70168594</v>
      </c>
      <c r="BL2881" s="458">
        <v>0.26007777230710682</v>
      </c>
      <c r="BM2881" s="468">
        <v>9.3699878760832576</v>
      </c>
    </row>
    <row r="2882" spans="12:65" x14ac:dyDescent="0.3">
      <c r="L2882" s="427">
        <v>2369309.7228000001</v>
      </c>
      <c r="BE2882" s="477">
        <v>4580615.4939126465</v>
      </c>
      <c r="BF2882" s="458">
        <v>2.5968990140958992E-2</v>
      </c>
      <c r="BG2882" s="477">
        <v>9299254.127001239</v>
      </c>
      <c r="BH2882" s="458">
        <v>7.5304198366192399E-2</v>
      </c>
      <c r="BI2882" s="477">
        <v>31466675.394667309</v>
      </c>
      <c r="BJ2882" s="458">
        <v>0.11099556941297606</v>
      </c>
      <c r="BK2882" s="477">
        <v>93493021.921526119</v>
      </c>
      <c r="BL2882" s="458">
        <v>0.26594797844653839</v>
      </c>
      <c r="BM2882" s="468">
        <v>12.953786766380549</v>
      </c>
    </row>
    <row r="2883" spans="12:65" x14ac:dyDescent="0.3">
      <c r="L2883" s="427">
        <v>14446710.145300001</v>
      </c>
      <c r="BE2883" s="477">
        <v>4929016.9390794681</v>
      </c>
      <c r="BF2883" s="458">
        <v>4.228758632893248E-2</v>
      </c>
      <c r="BG2883" s="477">
        <v>11812282.96800405</v>
      </c>
      <c r="BH2883" s="458">
        <v>7.3639422682421074E-2</v>
      </c>
      <c r="BI2883" s="477">
        <v>16057987.511650039</v>
      </c>
      <c r="BJ2883" s="458">
        <v>0.10816551000771124</v>
      </c>
      <c r="BK2883" s="477">
        <v>75974976.572434738</v>
      </c>
      <c r="BL2883" s="458">
        <v>0.26086047974992344</v>
      </c>
      <c r="BM2883" s="468">
        <v>8.4054925473298567</v>
      </c>
    </row>
    <row r="2884" spans="12:65" x14ac:dyDescent="0.3">
      <c r="L2884" s="427">
        <v>11138938.0536</v>
      </c>
      <c r="BE2884" s="477">
        <v>4893304.9650498377</v>
      </c>
      <c r="BF2884" s="458">
        <v>4.8960852704809987E-2</v>
      </c>
      <c r="BG2884" s="477">
        <v>8948986.373866085</v>
      </c>
      <c r="BH2884" s="458">
        <v>5.9206852674566157E-2</v>
      </c>
      <c r="BI2884" s="477">
        <v>21330140.498824198</v>
      </c>
      <c r="BJ2884" s="458">
        <v>0.10387131709057074</v>
      </c>
      <c r="BK2884" s="477">
        <v>86137762.326408461</v>
      </c>
      <c r="BL2884" s="458">
        <v>0.27057947012888883</v>
      </c>
      <c r="BM2884" s="468">
        <v>10.558770270198558</v>
      </c>
    </row>
    <row r="2885" spans="12:65" x14ac:dyDescent="0.3">
      <c r="L2885" s="427">
        <v>-4978806.4220000003</v>
      </c>
      <c r="BE2885" s="477">
        <v>7491407.1523930188</v>
      </c>
      <c r="BF2885" s="458">
        <v>5.1513425911581034E-2</v>
      </c>
      <c r="BG2885" s="477">
        <v>11629466.172409877</v>
      </c>
      <c r="BH2885" s="458">
        <v>5.9580294142897339E-2</v>
      </c>
      <c r="BI2885" s="477">
        <v>20077155.964921713</v>
      </c>
      <c r="BJ2885" s="458">
        <v>0.10114197709133843</v>
      </c>
      <c r="BK2885" s="477">
        <v>91330044.539147183</v>
      </c>
      <c r="BL2885" s="458">
        <v>0.25896451411866295</v>
      </c>
      <c r="BM2885" s="468">
        <v>12.17553583699025</v>
      </c>
    </row>
    <row r="2886" spans="12:65" x14ac:dyDescent="0.3">
      <c r="L2886" s="427">
        <v>376795.29239999998</v>
      </c>
      <c r="BE2886" s="477">
        <v>5291966.7654612642</v>
      </c>
      <c r="BF2886" s="458">
        <v>3.9403419863016209E-2</v>
      </c>
      <c r="BG2886" s="477">
        <v>12086914.567899706</v>
      </c>
      <c r="BH2886" s="458">
        <v>7.0077476486525736E-2</v>
      </c>
      <c r="BI2886" s="477">
        <v>11842831.934608776</v>
      </c>
      <c r="BJ2886" s="458">
        <v>0.10079221858464127</v>
      </c>
      <c r="BK2886" s="477">
        <v>91979589.815206081</v>
      </c>
      <c r="BL2886" s="458">
        <v>0.29440748372373737</v>
      </c>
      <c r="BM2886" s="468">
        <v>7.6224000592180801</v>
      </c>
    </row>
    <row r="2887" spans="12:65" x14ac:dyDescent="0.3">
      <c r="L2887" s="427">
        <v>12498391.4735</v>
      </c>
      <c r="BE2887" s="477">
        <v>7239477.0412798338</v>
      </c>
      <c r="BF2887" s="458">
        <v>1.1340804961889495E-2</v>
      </c>
      <c r="BG2887" s="477">
        <v>10361857.730715102</v>
      </c>
      <c r="BH2887" s="458">
        <v>6.1053014714583576E-2</v>
      </c>
      <c r="BI2887" s="477">
        <v>16426843.330356257</v>
      </c>
      <c r="BJ2887" s="458">
        <v>0.11348284693263988</v>
      </c>
      <c r="BK2887" s="477">
        <v>94396604.571930721</v>
      </c>
      <c r="BL2887" s="458">
        <v>0.27130562250173673</v>
      </c>
      <c r="BM2887" s="468">
        <v>5.3844911061242282</v>
      </c>
    </row>
    <row r="2888" spans="12:65" x14ac:dyDescent="0.3">
      <c r="L2888" s="427">
        <v>4457156.8273999998</v>
      </c>
      <c r="BE2888" s="477">
        <v>4637417.6543289414</v>
      </c>
      <c r="BF2888" s="458">
        <v>4.3921844286291423E-2</v>
      </c>
      <c r="BG2888" s="477">
        <v>11367252.225168042</v>
      </c>
      <c r="BH2888" s="458">
        <v>7.5911502020119981E-2</v>
      </c>
      <c r="BI2888" s="477">
        <v>12616183.854238322</v>
      </c>
      <c r="BJ2888" s="458">
        <v>0.10146532978226475</v>
      </c>
      <c r="BK2888" s="477">
        <v>75541540.01188378</v>
      </c>
      <c r="BL2888" s="458">
        <v>0.25318374554161927</v>
      </c>
      <c r="BM2888" s="468">
        <v>10.935201324737479</v>
      </c>
    </row>
    <row r="2889" spans="12:65" x14ac:dyDescent="0.3">
      <c r="L2889" s="427">
        <v>9057959.0499000009</v>
      </c>
      <c r="BE2889" s="477">
        <v>4294620.6966722189</v>
      </c>
      <c r="BF2889" s="458">
        <v>4.3648985391764539E-2</v>
      </c>
      <c r="BG2889" s="477">
        <v>9982232.0365832057</v>
      </c>
      <c r="BH2889" s="458">
        <v>3.9426273548726298E-2</v>
      </c>
      <c r="BI2889" s="477">
        <v>15379222.331952898</v>
      </c>
      <c r="BJ2889" s="458">
        <v>0.10736656759975038</v>
      </c>
      <c r="BK2889" s="477">
        <v>89193389.666105524</v>
      </c>
      <c r="BL2889" s="458">
        <v>0.26328756108581919</v>
      </c>
      <c r="BM2889" s="468">
        <v>8.3789349279885244</v>
      </c>
    </row>
    <row r="2890" spans="12:65" x14ac:dyDescent="0.3">
      <c r="L2890" s="427">
        <v>10652005.247</v>
      </c>
      <c r="BE2890" s="477">
        <v>1862729.1092081054</v>
      </c>
      <c r="BF2890" s="458">
        <v>2.8570183560266749E-2</v>
      </c>
      <c r="BG2890" s="477">
        <v>7939548.8771512583</v>
      </c>
      <c r="BH2890" s="458">
        <v>3.5552014435589863E-2</v>
      </c>
      <c r="BI2890" s="477">
        <v>20720197.372550592</v>
      </c>
      <c r="BJ2890" s="458">
        <v>0.1088483724420628</v>
      </c>
      <c r="BK2890" s="477">
        <v>96484456.152341723</v>
      </c>
      <c r="BL2890" s="458">
        <v>0.26806404254317973</v>
      </c>
      <c r="BM2890" s="468">
        <v>6.7161777738925208</v>
      </c>
    </row>
    <row r="2891" spans="12:65" x14ac:dyDescent="0.3">
      <c r="L2891" s="427">
        <v>-1006800.9026</v>
      </c>
      <c r="BE2891" s="477">
        <v>2063826.4461739552</v>
      </c>
      <c r="BF2891" s="458">
        <v>3.7638369549706008E-2</v>
      </c>
      <c r="BG2891" s="477">
        <v>8613674.6235595774</v>
      </c>
      <c r="BH2891" s="458">
        <v>4.4297012975626604E-2</v>
      </c>
      <c r="BI2891" s="477">
        <v>15799767.490182022</v>
      </c>
      <c r="BJ2891" s="458">
        <v>0.12452736262514597</v>
      </c>
      <c r="BK2891" s="477">
        <v>76269063.090355158</v>
      </c>
      <c r="BL2891" s="458">
        <v>0.27736996512945278</v>
      </c>
      <c r="BM2891" s="468">
        <v>6.5853346451715993</v>
      </c>
    </row>
    <row r="2892" spans="12:65" x14ac:dyDescent="0.3">
      <c r="L2892" s="427">
        <v>7304084.2720999997</v>
      </c>
      <c r="BE2892" s="477">
        <v>10202381.19408959</v>
      </c>
      <c r="BF2892" s="458">
        <v>6.0671611132769199E-2</v>
      </c>
      <c r="BG2892" s="477">
        <v>4107667.8008122589</v>
      </c>
      <c r="BH2892" s="458">
        <v>8.1988046914874602E-2</v>
      </c>
      <c r="BI2892" s="477">
        <v>19680616.274581853</v>
      </c>
      <c r="BJ2892" s="458">
        <v>8.6520469012928869E-2</v>
      </c>
      <c r="BK2892" s="477">
        <v>87891550.115516737</v>
      </c>
      <c r="BL2892" s="458">
        <v>0.27915037947620958</v>
      </c>
      <c r="BM2892" s="468">
        <v>10.73034764210724</v>
      </c>
    </row>
    <row r="2893" spans="12:65" x14ac:dyDescent="0.3">
      <c r="L2893" s="427">
        <v>13616003.517000001</v>
      </c>
      <c r="BE2893" s="477">
        <v>5424728.9254714809</v>
      </c>
      <c r="BF2893" s="458">
        <v>1.4577025496844254E-2</v>
      </c>
      <c r="BG2893" s="477">
        <v>9381591.1527200174</v>
      </c>
      <c r="BH2893" s="458">
        <v>7.316602164645003E-2</v>
      </c>
      <c r="BI2893" s="477">
        <v>16924384.562165421</v>
      </c>
      <c r="BJ2893" s="458">
        <v>0.1130553222242503</v>
      </c>
      <c r="BK2893" s="477">
        <v>95478334.880730867</v>
      </c>
      <c r="BL2893" s="458">
        <v>0.25604246723783652</v>
      </c>
      <c r="BM2893" s="468">
        <v>4.9583280947452257</v>
      </c>
    </row>
    <row r="2894" spans="12:65" x14ac:dyDescent="0.3">
      <c r="L2894" s="427">
        <v>6503161.4919999996</v>
      </c>
      <c r="BE2894" s="477">
        <v>7013835.1670912197</v>
      </c>
      <c r="BF2894" s="458">
        <v>3.8130081560299178E-2</v>
      </c>
      <c r="BG2894" s="477">
        <v>10912968.221734431</v>
      </c>
      <c r="BH2894" s="458">
        <v>7.0713259523597083E-2</v>
      </c>
      <c r="BI2894" s="477">
        <v>8637889.2105771452</v>
      </c>
      <c r="BJ2894" s="458">
        <v>0.11877090180663497</v>
      </c>
      <c r="BK2894" s="477">
        <v>82487461.673723206</v>
      </c>
      <c r="BL2894" s="458">
        <v>0.24831433942420267</v>
      </c>
      <c r="BM2894" s="468">
        <v>5.5943543865870105</v>
      </c>
    </row>
    <row r="2895" spans="12:65" x14ac:dyDescent="0.3">
      <c r="L2895" s="427">
        <v>4248469.2027000003</v>
      </c>
      <c r="BE2895" s="477">
        <v>8007278.571307932</v>
      </c>
      <c r="BF2895" s="458">
        <v>2.8550539763597671E-2</v>
      </c>
      <c r="BG2895" s="477">
        <v>6801175.6587921111</v>
      </c>
      <c r="BH2895" s="458">
        <v>6.261745104488825E-2</v>
      </c>
      <c r="BI2895" s="477">
        <v>12380857.204980714</v>
      </c>
      <c r="BJ2895" s="458">
        <v>9.4884622598201407E-2</v>
      </c>
      <c r="BK2895" s="477">
        <v>90082027.036659047</v>
      </c>
      <c r="BL2895" s="458">
        <v>0.30591142530260207</v>
      </c>
      <c r="BM2895" s="468">
        <v>2.1630856424760729</v>
      </c>
    </row>
    <row r="2896" spans="12:65" x14ac:dyDescent="0.3">
      <c r="L2896" s="427">
        <v>-8323719.5159999998</v>
      </c>
      <c r="BE2896" s="477">
        <v>2869175.1042846637</v>
      </c>
      <c r="BF2896" s="458">
        <v>2.2191995486215088E-2</v>
      </c>
      <c r="BG2896" s="477">
        <v>8448789.5017492063</v>
      </c>
      <c r="BH2896" s="458">
        <v>4.8719982908164594E-2</v>
      </c>
      <c r="BI2896" s="477">
        <v>18680769.78610396</v>
      </c>
      <c r="BJ2896" s="458">
        <v>9.2704580420710059E-2</v>
      </c>
      <c r="BK2896" s="477">
        <v>88128336.206787646</v>
      </c>
      <c r="BL2896" s="458">
        <v>0.26885777431523539</v>
      </c>
      <c r="BM2896" s="468">
        <v>7.213868519076696</v>
      </c>
    </row>
    <row r="2897" spans="12:65" x14ac:dyDescent="0.3">
      <c r="L2897" s="427">
        <v>15945117.4564</v>
      </c>
      <c r="BE2897" s="477">
        <v>7777722.1572448052</v>
      </c>
      <c r="BF2897" s="458">
        <v>3.5807853332118889E-2</v>
      </c>
      <c r="BG2897" s="477">
        <v>6095656.0778472908</v>
      </c>
      <c r="BH2897" s="458">
        <v>8.2301278595397598E-2</v>
      </c>
      <c r="BI2897" s="477">
        <v>11134002.087753529</v>
      </c>
      <c r="BJ2897" s="458">
        <v>9.8356867956912453E-2</v>
      </c>
      <c r="BK2897" s="477">
        <v>81587560.043721497</v>
      </c>
      <c r="BL2897" s="458">
        <v>0.26655350111918996</v>
      </c>
      <c r="BM2897" s="468">
        <v>13.496555576100544</v>
      </c>
    </row>
    <row r="2898" spans="12:65" x14ac:dyDescent="0.3">
      <c r="L2898" s="427">
        <v>731258.26280000003</v>
      </c>
      <c r="BE2898" s="477">
        <v>4623533.0734908627</v>
      </c>
      <c r="BF2898" s="458">
        <v>5.4342885762155957E-2</v>
      </c>
      <c r="BG2898" s="477">
        <v>8640113.8493131232</v>
      </c>
      <c r="BH2898" s="458">
        <v>6.4065581695386342E-2</v>
      </c>
      <c r="BI2898" s="477">
        <v>14221536.310677728</v>
      </c>
      <c r="BJ2898" s="458">
        <v>0.10211313602974093</v>
      </c>
      <c r="BK2898" s="477">
        <v>95797099.83404389</v>
      </c>
      <c r="BL2898" s="458">
        <v>0.27902380224899859</v>
      </c>
      <c r="BM2898" s="468">
        <v>7.0285060472187251</v>
      </c>
    </row>
    <row r="2899" spans="12:65" x14ac:dyDescent="0.3">
      <c r="L2899" s="427">
        <v>3024305.8818000001</v>
      </c>
      <c r="BE2899" s="477">
        <v>5771596.5845709108</v>
      </c>
      <c r="BF2899" s="458">
        <v>4.4903476427584854E-2</v>
      </c>
      <c r="BG2899" s="477">
        <v>9151350.2252948862</v>
      </c>
      <c r="BH2899" s="458">
        <v>5.2469306752642053E-2</v>
      </c>
      <c r="BI2899" s="477">
        <v>13265695.238760864</v>
      </c>
      <c r="BJ2899" s="458">
        <v>0.12616664652511766</v>
      </c>
      <c r="BK2899" s="477">
        <v>107060804.06043193</v>
      </c>
      <c r="BL2899" s="458">
        <v>0.2747114710235774</v>
      </c>
      <c r="BM2899" s="468">
        <v>9.6889051598028217</v>
      </c>
    </row>
    <row r="2900" spans="12:65" x14ac:dyDescent="0.3">
      <c r="L2900" s="427">
        <v>4965159.4899000004</v>
      </c>
      <c r="BE2900" s="477">
        <v>8570475.4235510696</v>
      </c>
      <c r="BF2900" s="458">
        <v>6.2062592940389294E-2</v>
      </c>
      <c r="BG2900" s="477">
        <v>2949722.0362302233</v>
      </c>
      <c r="BH2900" s="458">
        <v>6.1952797134092741E-2</v>
      </c>
      <c r="BI2900" s="477">
        <v>20860591.460109334</v>
      </c>
      <c r="BJ2900" s="458">
        <v>0.12302743775525404</v>
      </c>
      <c r="BK2900" s="477">
        <v>93772095.803659946</v>
      </c>
      <c r="BL2900" s="458">
        <v>0.27884436824689018</v>
      </c>
      <c r="BM2900" s="468">
        <v>10.035709515471725</v>
      </c>
    </row>
    <row r="2901" spans="12:65" x14ac:dyDescent="0.3">
      <c r="L2901" s="427">
        <v>14711336.6797</v>
      </c>
      <c r="BE2901" s="477">
        <v>-132606.47727909294</v>
      </c>
      <c r="BF2901" s="458">
        <v>1.539215893324819E-2</v>
      </c>
      <c r="BG2901" s="477">
        <v>13572836.538364097</v>
      </c>
      <c r="BH2901" s="458">
        <v>4.448027697711443E-2</v>
      </c>
      <c r="BI2901" s="477">
        <v>18658342.595520448</v>
      </c>
      <c r="BJ2901" s="458">
        <v>0.10409033392341649</v>
      </c>
      <c r="BK2901" s="477">
        <v>79618150.104336396</v>
      </c>
      <c r="BL2901" s="458">
        <v>0.26452033789756935</v>
      </c>
      <c r="BM2901" s="468">
        <v>6.3954483650576286</v>
      </c>
    </row>
    <row r="2902" spans="12:65" x14ac:dyDescent="0.3">
      <c r="L2902" s="427">
        <v>15931510.4254</v>
      </c>
      <c r="BE2902" s="477">
        <v>5690837.0845761206</v>
      </c>
      <c r="BF2902" s="458">
        <v>5.7132774204055714E-2</v>
      </c>
      <c r="BG2902" s="477">
        <v>10533357.943262637</v>
      </c>
      <c r="BH2902" s="458">
        <v>5.8654635204911321E-2</v>
      </c>
      <c r="BI2902" s="477">
        <v>12677785.794120723</v>
      </c>
      <c r="BJ2902" s="458">
        <v>0.123495561574265</v>
      </c>
      <c r="BK2902" s="477">
        <v>91901165.222338542</v>
      </c>
      <c r="BL2902" s="458">
        <v>0.27350955184558234</v>
      </c>
      <c r="BM2902" s="468">
        <v>9.1297611241711252</v>
      </c>
    </row>
    <row r="2903" spans="12:65" x14ac:dyDescent="0.3">
      <c r="L2903" s="427">
        <v>10417066.996099999</v>
      </c>
      <c r="BE2903" s="477">
        <v>3137998.8957916652</v>
      </c>
      <c r="BF2903" s="458">
        <v>3.2703061164789604E-2</v>
      </c>
      <c r="BG2903" s="477">
        <v>8000349.4616580186</v>
      </c>
      <c r="BH2903" s="458">
        <v>6.1687338280737247E-2</v>
      </c>
      <c r="BI2903" s="477">
        <v>8846191.8393152896</v>
      </c>
      <c r="BJ2903" s="458">
        <v>9.7680512945927056E-2</v>
      </c>
      <c r="BK2903" s="477">
        <v>75479167.503673837</v>
      </c>
      <c r="BL2903" s="458">
        <v>0.25123885227929921</v>
      </c>
      <c r="BM2903" s="468">
        <v>8.0701701458649264</v>
      </c>
    </row>
    <row r="2904" spans="12:65" x14ac:dyDescent="0.3">
      <c r="L2904" s="427">
        <v>14591314.593699999</v>
      </c>
      <c r="BE2904" s="477">
        <v>540074.05939091113</v>
      </c>
      <c r="BF2904" s="458">
        <v>4.261557642997249E-2</v>
      </c>
      <c r="BG2904" s="477">
        <v>10651672.03754203</v>
      </c>
      <c r="BH2904" s="458">
        <v>4.9116587913988097E-2</v>
      </c>
      <c r="BI2904" s="477">
        <v>9718985.9624540433</v>
      </c>
      <c r="BJ2904" s="458">
        <v>0.12464989246324998</v>
      </c>
      <c r="BK2904" s="477">
        <v>88554066.621121824</v>
      </c>
      <c r="BL2904" s="458">
        <v>0.26590347889768284</v>
      </c>
      <c r="BM2904" s="468">
        <v>1.5086783477570673</v>
      </c>
    </row>
    <row r="2905" spans="12:65" x14ac:dyDescent="0.3">
      <c r="L2905" s="427">
        <v>8780371.8533999994</v>
      </c>
      <c r="BE2905" s="477">
        <v>3082706.8393105986</v>
      </c>
      <c r="BF2905" s="458">
        <v>3.111471567887647E-2</v>
      </c>
      <c r="BG2905" s="477">
        <v>454816.41020453192</v>
      </c>
      <c r="BH2905" s="458">
        <v>2.4069339531659795E-2</v>
      </c>
      <c r="BI2905" s="477">
        <v>9847243.2457743064</v>
      </c>
      <c r="BJ2905" s="458">
        <v>0.10596385652797102</v>
      </c>
      <c r="BK2905" s="477">
        <v>84792246.78889367</v>
      </c>
      <c r="BL2905" s="458">
        <v>0.24411691251645129</v>
      </c>
      <c r="BM2905" s="468">
        <v>12.934018577028253</v>
      </c>
    </row>
    <row r="2906" spans="12:65" x14ac:dyDescent="0.3">
      <c r="L2906" s="427">
        <v>19137059.2269</v>
      </c>
      <c r="BE2906" s="477">
        <v>4628021.1771415221</v>
      </c>
      <c r="BF2906" s="458">
        <v>8.1909128710575541E-2</v>
      </c>
      <c r="BG2906" s="477">
        <v>8738584.8337667976</v>
      </c>
      <c r="BH2906" s="458">
        <v>4.8894691085329178E-2</v>
      </c>
      <c r="BI2906" s="477">
        <v>18852835.891930584</v>
      </c>
      <c r="BJ2906" s="458">
        <v>8.7626006026640502E-2</v>
      </c>
      <c r="BK2906" s="477">
        <v>87152039.684800103</v>
      </c>
      <c r="BL2906" s="458">
        <v>0.25595313220023885</v>
      </c>
      <c r="BM2906" s="468">
        <v>1.3761989949022047</v>
      </c>
    </row>
    <row r="2907" spans="12:65" x14ac:dyDescent="0.3">
      <c r="L2907" s="427">
        <v>21464105.650899999</v>
      </c>
      <c r="BE2907" s="477">
        <v>7705534.8845370784</v>
      </c>
      <c r="BF2907" s="458">
        <v>1.3999512304889494E-2</v>
      </c>
      <c r="BG2907" s="477">
        <v>13199285.887168787</v>
      </c>
      <c r="BH2907" s="458">
        <v>5.062438984046036E-2</v>
      </c>
      <c r="BI2907" s="477">
        <v>10774596.434659155</v>
      </c>
      <c r="BJ2907" s="458">
        <v>0.10132114275173998</v>
      </c>
      <c r="BK2907" s="477">
        <v>91523959.448750094</v>
      </c>
      <c r="BL2907" s="458">
        <v>0.27820026726592628</v>
      </c>
      <c r="BM2907" s="468">
        <v>6.7781791524064294</v>
      </c>
    </row>
    <row r="2908" spans="12:65" x14ac:dyDescent="0.3">
      <c r="L2908" s="427">
        <v>17334659.900699999</v>
      </c>
      <c r="BE2908" s="477">
        <v>5382197.044378561</v>
      </c>
      <c r="BF2908" s="458">
        <v>3.7866499601411308E-2</v>
      </c>
      <c r="BG2908" s="477">
        <v>10717650.374436473</v>
      </c>
      <c r="BH2908" s="458">
        <v>4.8900080233961862E-2</v>
      </c>
      <c r="BI2908" s="477">
        <v>25359758.54652717</v>
      </c>
      <c r="BJ2908" s="458">
        <v>9.2010881874941886E-2</v>
      </c>
      <c r="BK2908" s="477">
        <v>97744924.954975978</v>
      </c>
      <c r="BL2908" s="458">
        <v>0.26741992995243291</v>
      </c>
      <c r="BM2908" s="468">
        <v>1.142236103799779</v>
      </c>
    </row>
    <row r="2909" spans="12:65" x14ac:dyDescent="0.3">
      <c r="L2909" s="427">
        <v>10039984.5766</v>
      </c>
      <c r="BE2909" s="477">
        <v>3389728.7868665671</v>
      </c>
      <c r="BF2909" s="458">
        <v>2.9384618253012418E-2</v>
      </c>
      <c r="BG2909" s="477">
        <v>10214346.101228699</v>
      </c>
      <c r="BH2909" s="458">
        <v>8.0772377928335581E-2</v>
      </c>
      <c r="BI2909" s="477">
        <v>14149969.175004398</v>
      </c>
      <c r="BJ2909" s="458">
        <v>0.10565653759320703</v>
      </c>
      <c r="BK2909" s="477">
        <v>101470191.7422538</v>
      </c>
      <c r="BL2909" s="458">
        <v>0.27060884355719184</v>
      </c>
      <c r="BM2909" s="468">
        <v>5.0291689467575216</v>
      </c>
    </row>
    <row r="2910" spans="12:65" x14ac:dyDescent="0.3">
      <c r="L2910" s="427">
        <v>7888329.6697000004</v>
      </c>
      <c r="BE2910" s="477">
        <v>4821552.727567859</v>
      </c>
      <c r="BF2910" s="458">
        <v>5.1426867804054144E-2</v>
      </c>
      <c r="BG2910" s="477">
        <v>10348351.427544134</v>
      </c>
      <c r="BH2910" s="458">
        <v>9.0235295870673582E-2</v>
      </c>
      <c r="BI2910" s="477">
        <v>16458615.5910233</v>
      </c>
      <c r="BJ2910" s="458">
        <v>0.11490800584458194</v>
      </c>
      <c r="BK2910" s="477">
        <v>90435422.52224654</v>
      </c>
      <c r="BL2910" s="458">
        <v>0.26953620645290388</v>
      </c>
      <c r="BM2910" s="468">
        <v>13.809334954490392</v>
      </c>
    </row>
    <row r="2911" spans="12:65" x14ac:dyDescent="0.3">
      <c r="L2911" s="427">
        <v>9288991.2869000006</v>
      </c>
      <c r="BE2911" s="477">
        <v>6324214.8133719219</v>
      </c>
      <c r="BF2911" s="458">
        <v>2.3986179573783462E-2</v>
      </c>
      <c r="BG2911" s="477">
        <v>11198769.320541248</v>
      </c>
      <c r="BH2911" s="458">
        <v>6.8199427812081215E-2</v>
      </c>
      <c r="BI2911" s="477">
        <v>15082264.439387826</v>
      </c>
      <c r="BJ2911" s="458">
        <v>9.4641315033755058E-2</v>
      </c>
      <c r="BK2911" s="477">
        <v>85432208.161207944</v>
      </c>
      <c r="BL2911" s="458">
        <v>0.25594542226312655</v>
      </c>
      <c r="BM2911" s="468">
        <v>9.2488705051060176</v>
      </c>
    </row>
    <row r="2912" spans="12:65" x14ac:dyDescent="0.3">
      <c r="L2912" s="427">
        <v>1916480.6514000001</v>
      </c>
      <c r="BE2912" s="477">
        <v>5586301.744161237</v>
      </c>
      <c r="BF2912" s="458">
        <v>4.3629865337914575E-2</v>
      </c>
      <c r="BG2912" s="477">
        <v>12257082.880802058</v>
      </c>
      <c r="BH2912" s="458">
        <v>3.5108300956075311E-2</v>
      </c>
      <c r="BI2912" s="477">
        <v>22247474.168125864</v>
      </c>
      <c r="BJ2912" s="458">
        <v>0.1237427670277047</v>
      </c>
      <c r="BK2912" s="477">
        <v>85508524.999429047</v>
      </c>
      <c r="BL2912" s="458">
        <v>0.26248790949096135</v>
      </c>
      <c r="BM2912" s="468">
        <v>1.7404610559205089</v>
      </c>
    </row>
    <row r="2913" spans="12:65" x14ac:dyDescent="0.3">
      <c r="L2913" s="427">
        <v>-2711956.4685999998</v>
      </c>
      <c r="BE2913" s="477">
        <v>9225266.241824219</v>
      </c>
      <c r="BF2913" s="458">
        <v>9.9102088910681951E-2</v>
      </c>
      <c r="BG2913" s="477">
        <v>7629112.1956971558</v>
      </c>
      <c r="BH2913" s="458">
        <v>5.723552667216536E-2</v>
      </c>
      <c r="BI2913" s="477">
        <v>14190585.147629982</v>
      </c>
      <c r="BJ2913" s="458">
        <v>6.8916065551438255E-2</v>
      </c>
      <c r="BK2913" s="477">
        <v>81777945.447369531</v>
      </c>
      <c r="BL2913" s="458">
        <v>0.27310706678296826</v>
      </c>
      <c r="BM2913" s="468">
        <v>6.3582233993317949</v>
      </c>
    </row>
    <row r="2914" spans="12:65" x14ac:dyDescent="0.3">
      <c r="L2914" s="427">
        <v>13019136.841600001</v>
      </c>
      <c r="BE2914" s="477">
        <v>1785019.5865711654</v>
      </c>
      <c r="BF2914" s="458">
        <v>5.052233101968695E-2</v>
      </c>
      <c r="BG2914" s="477">
        <v>11298540.729507744</v>
      </c>
      <c r="BH2914" s="458">
        <v>4.0120441605245416E-2</v>
      </c>
      <c r="BI2914" s="477">
        <v>23079791.011496186</v>
      </c>
      <c r="BJ2914" s="458">
        <v>9.8210836314040373E-2</v>
      </c>
      <c r="BK2914" s="477">
        <v>89295329.274716318</v>
      </c>
      <c r="BL2914" s="458">
        <v>0.26856065016122899</v>
      </c>
      <c r="BM2914" s="468">
        <v>10.139118298395147</v>
      </c>
    </row>
    <row r="2915" spans="12:65" x14ac:dyDescent="0.3">
      <c r="L2915" s="427">
        <v>740920.77879999997</v>
      </c>
      <c r="BE2915" s="477">
        <v>4636820.0493225921</v>
      </c>
      <c r="BF2915" s="458">
        <v>3.8235058672713151E-2</v>
      </c>
      <c r="BG2915" s="477">
        <v>3466082.5861806078</v>
      </c>
      <c r="BH2915" s="458">
        <v>7.1664345341731162E-2</v>
      </c>
      <c r="BI2915" s="477">
        <v>16305551.299302982</v>
      </c>
      <c r="BJ2915" s="458">
        <v>9.7629007239772747E-2</v>
      </c>
      <c r="BK2915" s="477">
        <v>83965131.540953681</v>
      </c>
      <c r="BL2915" s="458">
        <v>0.28043528122589589</v>
      </c>
      <c r="BM2915" s="468">
        <v>4.1390057970605136</v>
      </c>
    </row>
    <row r="2916" spans="12:65" x14ac:dyDescent="0.3">
      <c r="L2916" s="427">
        <v>8012516.4652000004</v>
      </c>
      <c r="BE2916" s="477">
        <v>6410275.4703208571</v>
      </c>
      <c r="BF2916" s="458">
        <v>4.2871934618183616E-2</v>
      </c>
      <c r="BG2916" s="477">
        <v>8155482.1087742522</v>
      </c>
      <c r="BH2916" s="458">
        <v>8.1877706840622011E-2</v>
      </c>
      <c r="BI2916" s="477">
        <v>21274270.39681752</v>
      </c>
      <c r="BJ2916" s="458">
        <v>0.12147707182070655</v>
      </c>
      <c r="BK2916" s="477">
        <v>96521111.716864288</v>
      </c>
      <c r="BL2916" s="458">
        <v>0.30350722307857536</v>
      </c>
      <c r="BM2916" s="468">
        <v>11.19176100392462</v>
      </c>
    </row>
    <row r="2917" spans="12:65" x14ac:dyDescent="0.3">
      <c r="L2917" s="427">
        <v>13192500.580399999</v>
      </c>
      <c r="BE2917" s="477">
        <v>4198604.4583744397</v>
      </c>
      <c r="BF2917" s="458">
        <v>3.3403784016029503E-2</v>
      </c>
      <c r="BG2917" s="477">
        <v>9121216.707886355</v>
      </c>
      <c r="BH2917" s="458">
        <v>8.6488613906605227E-2</v>
      </c>
      <c r="BI2917" s="477">
        <v>22681089.965579446</v>
      </c>
      <c r="BJ2917" s="458">
        <v>0.10359835256118255</v>
      </c>
      <c r="BK2917" s="477">
        <v>95604692.780369833</v>
      </c>
      <c r="BL2917" s="458">
        <v>0.27741085065913396</v>
      </c>
      <c r="BM2917" s="468">
        <v>13.943453969709001</v>
      </c>
    </row>
    <row r="2918" spans="12:65" x14ac:dyDescent="0.3">
      <c r="L2918" s="427">
        <v>6164478.6393999998</v>
      </c>
      <c r="BE2918" s="477">
        <v>3480819.129792179</v>
      </c>
      <c r="BF2918" s="458">
        <v>3.8394616441544294E-2</v>
      </c>
      <c r="BG2918" s="477">
        <v>13004218.776471769</v>
      </c>
      <c r="BH2918" s="458">
        <v>6.943586360152687E-2</v>
      </c>
      <c r="BI2918" s="477">
        <v>5417277.0740720881</v>
      </c>
      <c r="BJ2918" s="458">
        <v>0.11559998768788371</v>
      </c>
      <c r="BK2918" s="477">
        <v>90364427.082316324</v>
      </c>
      <c r="BL2918" s="458">
        <v>0.28536943316450758</v>
      </c>
      <c r="BM2918" s="468">
        <v>9.6120723029883237</v>
      </c>
    </row>
    <row r="2919" spans="12:65" x14ac:dyDescent="0.3">
      <c r="L2919" s="427">
        <v>523457.84210000001</v>
      </c>
      <c r="BE2919" s="477">
        <v>4259311.2018446373</v>
      </c>
      <c r="BF2919" s="458">
        <v>6.0283446240780192E-2</v>
      </c>
      <c r="BG2919" s="477">
        <v>6438521.7151837731</v>
      </c>
      <c r="BH2919" s="458">
        <v>6.6415486371209198E-2</v>
      </c>
      <c r="BI2919" s="477">
        <v>20584627.658137981</v>
      </c>
      <c r="BJ2919" s="458">
        <v>0.11983331781935025</v>
      </c>
      <c r="BK2919" s="477">
        <v>99311000.817111</v>
      </c>
      <c r="BL2919" s="458">
        <v>0.27164185296164822</v>
      </c>
      <c r="BM2919" s="468">
        <v>6.2139764223691838</v>
      </c>
    </row>
    <row r="2920" spans="12:65" x14ac:dyDescent="0.3">
      <c r="L2920" s="427">
        <v>15880442.2904</v>
      </c>
      <c r="BE2920" s="477">
        <v>4052813.7556372462</v>
      </c>
      <c r="BF2920" s="458">
        <v>2.2724930684798972E-2</v>
      </c>
      <c r="BG2920" s="477">
        <v>12956453.208368465</v>
      </c>
      <c r="BH2920" s="458">
        <v>4.4217159138485007E-2</v>
      </c>
      <c r="BI2920" s="477">
        <v>16614309.895739347</v>
      </c>
      <c r="BJ2920" s="458">
        <v>7.1954561136313266E-2</v>
      </c>
      <c r="BK2920" s="477">
        <v>79671542.3637968</v>
      </c>
      <c r="BL2920" s="458">
        <v>0.26762285785496576</v>
      </c>
      <c r="BM2920" s="468">
        <v>10.760210222772608</v>
      </c>
    </row>
    <row r="2921" spans="12:65" x14ac:dyDescent="0.3">
      <c r="L2921" s="427">
        <v>10623997.3354</v>
      </c>
      <c r="BE2921" s="477">
        <v>5902304.1121601984</v>
      </c>
      <c r="BF2921" s="458">
        <v>3.6036291173910273E-2</v>
      </c>
      <c r="BG2921" s="477">
        <v>-2002133.3423097136</v>
      </c>
      <c r="BH2921" s="458">
        <v>4.9322638342528702E-2</v>
      </c>
      <c r="BI2921" s="477">
        <v>17242610.919152398</v>
      </c>
      <c r="BJ2921" s="458">
        <v>9.3595746710626537E-2</v>
      </c>
      <c r="BK2921" s="477">
        <v>95866003.336487085</v>
      </c>
      <c r="BL2921" s="458">
        <v>0.27495743407110962</v>
      </c>
      <c r="BM2921" s="468">
        <v>4.8816539093735205</v>
      </c>
    </row>
    <row r="2922" spans="12:65" x14ac:dyDescent="0.3">
      <c r="L2922" s="427">
        <v>12388891.1856</v>
      </c>
      <c r="BE2922" s="477">
        <v>5908251.1347456267</v>
      </c>
      <c r="BF2922" s="458">
        <v>2.3916421461785964E-2</v>
      </c>
      <c r="BG2922" s="477">
        <v>6018077.3412052086</v>
      </c>
      <c r="BH2922" s="458">
        <v>4.0423631924913606E-2</v>
      </c>
      <c r="BI2922" s="477">
        <v>17782517.186016191</v>
      </c>
      <c r="BJ2922" s="458">
        <v>0.10853716450750861</v>
      </c>
      <c r="BK2922" s="477">
        <v>91394056.377686203</v>
      </c>
      <c r="BL2922" s="458">
        <v>0.27637403340017386</v>
      </c>
      <c r="BM2922" s="468">
        <v>4.8054991174385826</v>
      </c>
    </row>
    <row r="2923" spans="12:65" x14ac:dyDescent="0.3">
      <c r="L2923" s="427">
        <v>10522912.8466</v>
      </c>
      <c r="BE2923" s="477">
        <v>10116622.276581306</v>
      </c>
      <c r="BF2923" s="458">
        <v>3.8909313899239573E-2</v>
      </c>
      <c r="BG2923" s="477">
        <v>10185121.439774338</v>
      </c>
      <c r="BH2923" s="458">
        <v>8.6823057993675512E-2</v>
      </c>
      <c r="BI2923" s="477">
        <v>18701915.796555653</v>
      </c>
      <c r="BJ2923" s="458">
        <v>0.11733820455377164</v>
      </c>
      <c r="BK2923" s="477">
        <v>73616591.680632383</v>
      </c>
      <c r="BL2923" s="458">
        <v>0.26082430337284856</v>
      </c>
      <c r="BM2923" s="468">
        <v>7.6757034697505206</v>
      </c>
    </row>
    <row r="2924" spans="12:65" x14ac:dyDescent="0.3">
      <c r="L2924" s="427">
        <v>14762037.3379</v>
      </c>
      <c r="BE2924" s="477">
        <v>7105557.2844697749</v>
      </c>
      <c r="BF2924" s="458">
        <v>5.5646131038846081E-2</v>
      </c>
      <c r="BG2924" s="477">
        <v>4418554.7420561882</v>
      </c>
      <c r="BH2924" s="458">
        <v>5.5546753273395533E-2</v>
      </c>
      <c r="BI2924" s="477">
        <v>22174453.251202598</v>
      </c>
      <c r="BJ2924" s="458">
        <v>9.6688309554256335E-2</v>
      </c>
      <c r="BK2924" s="477">
        <v>88249014.751631439</v>
      </c>
      <c r="BL2924" s="458">
        <v>0.28708000195322692</v>
      </c>
      <c r="BM2924" s="468">
        <v>10.676101209993075</v>
      </c>
    </row>
    <row r="2925" spans="12:65" x14ac:dyDescent="0.3">
      <c r="L2925" s="427">
        <v>7160460.1086999997</v>
      </c>
      <c r="BE2925" s="477">
        <v>1573389.3166881034</v>
      </c>
      <c r="BF2925" s="458">
        <v>4.405697768088257E-2</v>
      </c>
      <c r="BG2925" s="477">
        <v>11527656.573877329</v>
      </c>
      <c r="BH2925" s="458">
        <v>8.427899218816215E-2</v>
      </c>
      <c r="BI2925" s="477">
        <v>18349689.019015513</v>
      </c>
      <c r="BJ2925" s="458">
        <v>0.11665237698027209</v>
      </c>
      <c r="BK2925" s="477">
        <v>82818822.165679708</v>
      </c>
      <c r="BL2925" s="458">
        <v>0.27779299104245947</v>
      </c>
      <c r="BM2925" s="468">
        <v>5.1084954991727169</v>
      </c>
    </row>
    <row r="2926" spans="12:65" x14ac:dyDescent="0.3">
      <c r="L2926" s="427">
        <v>-9573064.5635000002</v>
      </c>
      <c r="BE2926" s="477">
        <v>1785393.7335064744</v>
      </c>
      <c r="BF2926" s="458">
        <v>2.4217755942709696E-2</v>
      </c>
      <c r="BG2926" s="477">
        <v>3220755.5892310827</v>
      </c>
      <c r="BH2926" s="458">
        <v>8.2017031620654768E-2</v>
      </c>
      <c r="BI2926" s="477">
        <v>16814018.711601965</v>
      </c>
      <c r="BJ2926" s="458">
        <v>0.12003435835976406</v>
      </c>
      <c r="BK2926" s="477">
        <v>89833221.159369841</v>
      </c>
      <c r="BL2926" s="458">
        <v>0.27404084714762877</v>
      </c>
      <c r="BM2926" s="468">
        <v>10.014865899432857</v>
      </c>
    </row>
    <row r="2927" spans="12:65" x14ac:dyDescent="0.3">
      <c r="L2927" s="427">
        <v>16926584.620499998</v>
      </c>
      <c r="BE2927" s="477">
        <v>-1479914.4501623893</v>
      </c>
      <c r="BF2927" s="458">
        <v>4.7044966403543276E-2</v>
      </c>
      <c r="BG2927" s="477">
        <v>11112786.355300644</v>
      </c>
      <c r="BH2927" s="458">
        <v>5.5265040769511886E-2</v>
      </c>
      <c r="BI2927" s="477">
        <v>13893801.266267279</v>
      </c>
      <c r="BJ2927" s="458">
        <v>0.12556349821750046</v>
      </c>
      <c r="BK2927" s="477">
        <v>93104117.848135829</v>
      </c>
      <c r="BL2927" s="458">
        <v>0.25466336261707689</v>
      </c>
      <c r="BM2927" s="468">
        <v>7.7625287745582838</v>
      </c>
    </row>
    <row r="2928" spans="12:65" x14ac:dyDescent="0.3">
      <c r="L2928" s="427">
        <v>18324187.302499998</v>
      </c>
      <c r="BE2928" s="477">
        <v>1559919.9705244761</v>
      </c>
      <c r="BF2928" s="458">
        <v>2.9722583985189122E-2</v>
      </c>
      <c r="BG2928" s="477">
        <v>3740723.2323659249</v>
      </c>
      <c r="BH2928" s="458">
        <v>6.2375441353758498E-2</v>
      </c>
      <c r="BI2928" s="477">
        <v>17200134.664108317</v>
      </c>
      <c r="BJ2928" s="458">
        <v>0.10428138412392185</v>
      </c>
      <c r="BK2928" s="477">
        <v>90531712.720966771</v>
      </c>
      <c r="BL2928" s="458">
        <v>0.32480735191930754</v>
      </c>
      <c r="BM2928" s="468">
        <v>10.570472105499762</v>
      </c>
    </row>
    <row r="2929" spans="12:65" x14ac:dyDescent="0.3">
      <c r="L2929" s="427">
        <v>6932001.5256000003</v>
      </c>
      <c r="BE2929" s="477">
        <v>3006098.91158034</v>
      </c>
      <c r="BF2929" s="458">
        <v>4.2933418008133772E-2</v>
      </c>
      <c r="BG2929" s="477">
        <v>6631886.1054961085</v>
      </c>
      <c r="BH2929" s="458">
        <v>6.0569777958667581E-2</v>
      </c>
      <c r="BI2929" s="477">
        <v>17568641.723809484</v>
      </c>
      <c r="BJ2929" s="458">
        <v>0.12574365942694765</v>
      </c>
      <c r="BK2929" s="477">
        <v>78125905.221852869</v>
      </c>
      <c r="BL2929" s="458">
        <v>0.31109412194897801</v>
      </c>
      <c r="BM2929" s="468">
        <v>-0.50842175601530393</v>
      </c>
    </row>
    <row r="2930" spans="12:65" x14ac:dyDescent="0.3">
      <c r="L2930" s="427">
        <v>5707192.6742000002</v>
      </c>
      <c r="BE2930" s="477">
        <v>10018070.22039054</v>
      </c>
      <c r="BF2930" s="458">
        <v>3.8870549385747521E-2</v>
      </c>
      <c r="BG2930" s="477">
        <v>9078151.7629132271</v>
      </c>
      <c r="BH2930" s="458">
        <v>4.5863271006657991E-2</v>
      </c>
      <c r="BI2930" s="477">
        <v>14812127.048258403</v>
      </c>
      <c r="BJ2930" s="458">
        <v>9.4029319368778452E-2</v>
      </c>
      <c r="BK2930" s="477">
        <v>91384701.231841519</v>
      </c>
      <c r="BL2930" s="458">
        <v>0.25165428026704295</v>
      </c>
      <c r="BM2930" s="468">
        <v>3.8628648527034084</v>
      </c>
    </row>
    <row r="2931" spans="12:65" x14ac:dyDescent="0.3">
      <c r="L2931" s="427">
        <v>6411093.5118000004</v>
      </c>
      <c r="BE2931" s="477">
        <v>7317035.5908492208</v>
      </c>
      <c r="BF2931" s="458">
        <v>6.1935950288834807E-2</v>
      </c>
      <c r="BG2931" s="477">
        <v>2604192.7448951495</v>
      </c>
      <c r="BH2931" s="458">
        <v>5.7099757477480528E-2</v>
      </c>
      <c r="BI2931" s="477">
        <v>20793771.746525656</v>
      </c>
      <c r="BJ2931" s="458">
        <v>0.11622715353649138</v>
      </c>
      <c r="BK2931" s="477">
        <v>92040496.587297246</v>
      </c>
      <c r="BL2931" s="458">
        <v>0.26206859146142936</v>
      </c>
      <c r="BM2931" s="468">
        <v>8.4070926604618261</v>
      </c>
    </row>
    <row r="2932" spans="12:65" x14ac:dyDescent="0.3">
      <c r="L2932" s="427">
        <v>-8305628.5862999996</v>
      </c>
      <c r="BE2932" s="477">
        <v>423681.00092250656</v>
      </c>
      <c r="BF2932" s="458">
        <v>4.5110916782253652E-2</v>
      </c>
      <c r="BG2932" s="477">
        <v>6558793.1788403867</v>
      </c>
      <c r="BH2932" s="458">
        <v>7.8460165861611308E-2</v>
      </c>
      <c r="BI2932" s="477">
        <v>18724682.947559159</v>
      </c>
      <c r="BJ2932" s="458">
        <v>0.13278832317693867</v>
      </c>
      <c r="BK2932" s="477">
        <v>104702011.96108697</v>
      </c>
      <c r="BL2932" s="458">
        <v>0.26197949402253773</v>
      </c>
      <c r="BM2932" s="468">
        <v>4.3317432088892707</v>
      </c>
    </row>
    <row r="2933" spans="12:65" x14ac:dyDescent="0.3">
      <c r="L2933" s="427">
        <v>8870136.5752000008</v>
      </c>
      <c r="BE2933" s="477">
        <v>6007159.6804882428</v>
      </c>
      <c r="BF2933" s="458">
        <v>3.146579323835752E-2</v>
      </c>
      <c r="BG2933" s="477">
        <v>7839638.4074016865</v>
      </c>
      <c r="BH2933" s="458">
        <v>4.6326591782948512E-2</v>
      </c>
      <c r="BI2933" s="477">
        <v>19333517.579879589</v>
      </c>
      <c r="BJ2933" s="458">
        <v>9.8233884614381095E-2</v>
      </c>
      <c r="BK2933" s="477">
        <v>91039144.150110558</v>
      </c>
      <c r="BL2933" s="458">
        <v>0.29286667129680355</v>
      </c>
      <c r="BM2933" s="468">
        <v>7.9695822512757912</v>
      </c>
    </row>
    <row r="2934" spans="12:65" x14ac:dyDescent="0.3">
      <c r="L2934" s="427">
        <v>16145203.508300001</v>
      </c>
      <c r="BE2934" s="477">
        <v>3618113.3775619003</v>
      </c>
      <c r="BF2934" s="458">
        <v>3.6170645901276055E-2</v>
      </c>
      <c r="BG2934" s="477">
        <v>11842267.294555128</v>
      </c>
      <c r="BH2934" s="458">
        <v>9.0832832167475841E-2</v>
      </c>
      <c r="BI2934" s="477">
        <v>16694773.847897546</v>
      </c>
      <c r="BJ2934" s="458">
        <v>0.10245293527895249</v>
      </c>
      <c r="BK2934" s="477">
        <v>80607098.095221132</v>
      </c>
      <c r="BL2934" s="458">
        <v>0.27262285624492733</v>
      </c>
      <c r="BM2934" s="468">
        <v>11.721112598965977</v>
      </c>
    </row>
    <row r="2935" spans="12:65" x14ac:dyDescent="0.3">
      <c r="L2935" s="427">
        <v>12760792.642000001</v>
      </c>
      <c r="BE2935" s="477">
        <v>8786975.6480160914</v>
      </c>
      <c r="BF2935" s="458">
        <v>3.4361232179425105E-2</v>
      </c>
      <c r="BG2935" s="477">
        <v>8801053.1932155751</v>
      </c>
      <c r="BH2935" s="458">
        <v>7.7369256537719755E-2</v>
      </c>
      <c r="BI2935" s="477">
        <v>13137674.032418748</v>
      </c>
      <c r="BJ2935" s="458">
        <v>9.6037050251337686E-2</v>
      </c>
      <c r="BK2935" s="477">
        <v>107022827.34243222</v>
      </c>
      <c r="BL2935" s="458">
        <v>0.28529664048613146</v>
      </c>
      <c r="BM2935" s="468">
        <v>13.744667897296045</v>
      </c>
    </row>
    <row r="2936" spans="12:65" x14ac:dyDescent="0.3">
      <c r="L2936" s="427">
        <v>16312273.8455</v>
      </c>
      <c r="BE2936" s="477">
        <v>4043169.76901804</v>
      </c>
      <c r="BF2936" s="458">
        <v>2.5501171826510349E-2</v>
      </c>
      <c r="BG2936" s="477">
        <v>1908954.3312608546</v>
      </c>
      <c r="BH2936" s="458">
        <v>5.534151864677006E-2</v>
      </c>
      <c r="BI2936" s="477">
        <v>19372632.426834576</v>
      </c>
      <c r="BJ2936" s="458">
        <v>0.11214512450257308</v>
      </c>
      <c r="BK2936" s="477">
        <v>104853708.31714748</v>
      </c>
      <c r="BL2936" s="458">
        <v>0.26297560822751653</v>
      </c>
      <c r="BM2936" s="468">
        <v>11.118087044863815</v>
      </c>
    </row>
    <row r="2937" spans="12:65" x14ac:dyDescent="0.3">
      <c r="L2937" s="427">
        <v>-4692820.5345000001</v>
      </c>
      <c r="BE2937" s="477">
        <v>2009881.9458028504</v>
      </c>
      <c r="BF2937" s="458">
        <v>4.8774632186269429E-2</v>
      </c>
      <c r="BG2937" s="477">
        <v>13299650.509085765</v>
      </c>
      <c r="BH2937" s="458">
        <v>5.0783570192052707E-2</v>
      </c>
      <c r="BI2937" s="477">
        <v>17118399.657117955</v>
      </c>
      <c r="BJ2937" s="458">
        <v>0.10272193597716783</v>
      </c>
      <c r="BK2937" s="477">
        <v>90858860.120722473</v>
      </c>
      <c r="BL2937" s="458">
        <v>0.26802131880857272</v>
      </c>
      <c r="BM2937" s="468">
        <v>6.1119629839338243</v>
      </c>
    </row>
    <row r="2938" spans="12:65" x14ac:dyDescent="0.3">
      <c r="L2938" s="427">
        <v>20125714.979600001</v>
      </c>
      <c r="BE2938" s="477">
        <v>2375907.2887388477</v>
      </c>
      <c r="BF2938" s="458">
        <v>3.0207111513801843E-2</v>
      </c>
      <c r="BG2938" s="477">
        <v>1179504.9335106737</v>
      </c>
      <c r="BH2938" s="458">
        <v>3.2947080674429197E-2</v>
      </c>
      <c r="BI2938" s="477">
        <v>21250594.164149672</v>
      </c>
      <c r="BJ2938" s="458">
        <v>0.12406001628889363</v>
      </c>
      <c r="BK2938" s="477">
        <v>86677193.775775462</v>
      </c>
      <c r="BL2938" s="458">
        <v>0.25678041583461542</v>
      </c>
      <c r="BM2938" s="468">
        <v>11.611215303100233</v>
      </c>
    </row>
    <row r="2939" spans="12:65" x14ac:dyDescent="0.3">
      <c r="L2939" s="427">
        <v>9803263.4540999997</v>
      </c>
      <c r="BE2939" s="477">
        <v>4349486.4728771755</v>
      </c>
      <c r="BF2939" s="458">
        <v>5.4862691012824039E-2</v>
      </c>
      <c r="BG2939" s="477">
        <v>8720762.6402905174</v>
      </c>
      <c r="BH2939" s="458">
        <v>5.6964802985448149E-2</v>
      </c>
      <c r="BI2939" s="477">
        <v>16381436.929760797</v>
      </c>
      <c r="BJ2939" s="458">
        <v>0.12251302260569186</v>
      </c>
      <c r="BK2939" s="477">
        <v>95665340.041612804</v>
      </c>
      <c r="BL2939" s="458">
        <v>0.28547020651196076</v>
      </c>
      <c r="BM2939" s="468">
        <v>7.4179883455616231</v>
      </c>
    </row>
    <row r="2940" spans="12:65" x14ac:dyDescent="0.3">
      <c r="L2940" s="427">
        <v>5803227.5018999996</v>
      </c>
      <c r="BE2940" s="477">
        <v>3795501.1312701218</v>
      </c>
      <c r="BF2940" s="458">
        <v>3.2202605825651931E-2</v>
      </c>
      <c r="BG2940" s="477">
        <v>3461625.4827262219</v>
      </c>
      <c r="BH2940" s="458">
        <v>6.638676165630919E-2</v>
      </c>
      <c r="BI2940" s="477">
        <v>30499899.400404267</v>
      </c>
      <c r="BJ2940" s="458">
        <v>0.12359837613323066</v>
      </c>
      <c r="BK2940" s="477">
        <v>97852204.223574579</v>
      </c>
      <c r="BL2940" s="458">
        <v>0.26273824062819751</v>
      </c>
      <c r="BM2940" s="468">
        <v>5.3425218964557732</v>
      </c>
    </row>
    <row r="2941" spans="12:65" x14ac:dyDescent="0.3">
      <c r="L2941" s="427">
        <v>18611800.415899999</v>
      </c>
      <c r="BE2941" s="477">
        <v>5584712.2988240402</v>
      </c>
      <c r="BF2941" s="458">
        <v>3.3691398588565846E-2</v>
      </c>
      <c r="BG2941" s="477">
        <v>11483355.985603135</v>
      </c>
      <c r="BH2941" s="458">
        <v>8.7518853799447571E-2</v>
      </c>
      <c r="BI2941" s="477">
        <v>22232240.239909485</v>
      </c>
      <c r="BJ2941" s="458">
        <v>0.15364289022005151</v>
      </c>
      <c r="BK2941" s="477">
        <v>83561870.745055988</v>
      </c>
      <c r="BL2941" s="458">
        <v>0.27007976675690459</v>
      </c>
      <c r="BM2941" s="468">
        <v>9.7627212812693909</v>
      </c>
    </row>
    <row r="2942" spans="12:65" x14ac:dyDescent="0.3">
      <c r="L2942" s="427">
        <v>-123756.8475</v>
      </c>
      <c r="BE2942" s="477">
        <v>5265284.3661969742</v>
      </c>
      <c r="BF2942" s="458">
        <v>4.094214944380159E-2</v>
      </c>
      <c r="BG2942" s="477">
        <v>12143983.371523097</v>
      </c>
      <c r="BH2942" s="458">
        <v>6.7984587299245502E-2</v>
      </c>
      <c r="BI2942" s="477">
        <v>22423220.594320908</v>
      </c>
      <c r="BJ2942" s="458">
        <v>0.13108707464374869</v>
      </c>
      <c r="BK2942" s="477">
        <v>84264838.47174491</v>
      </c>
      <c r="BL2942" s="458">
        <v>0.26974151354617293</v>
      </c>
      <c r="BM2942" s="468">
        <v>7.554196588704901</v>
      </c>
    </row>
    <row r="2943" spans="12:65" x14ac:dyDescent="0.3">
      <c r="L2943" s="427">
        <v>15868932.6665</v>
      </c>
      <c r="BE2943" s="477">
        <v>7801316.0127847381</v>
      </c>
      <c r="BF2943" s="458">
        <v>5.7083477031228069E-2</v>
      </c>
      <c r="BG2943" s="477">
        <v>4729711.2046330776</v>
      </c>
      <c r="BH2943" s="458">
        <v>5.6940933102488822E-2</v>
      </c>
      <c r="BI2943" s="477">
        <v>20225050.739245918</v>
      </c>
      <c r="BJ2943" s="458">
        <v>0.10760017602758976</v>
      </c>
      <c r="BK2943" s="477">
        <v>106541371.66591685</v>
      </c>
      <c r="BL2943" s="458">
        <v>0.27506486881186287</v>
      </c>
      <c r="BM2943" s="468">
        <v>10.616972924179141</v>
      </c>
    </row>
    <row r="2944" spans="12:65" x14ac:dyDescent="0.3">
      <c r="L2944" s="427">
        <v>-2789444.2768999999</v>
      </c>
      <c r="BE2944" s="477">
        <v>6335555.1645126296</v>
      </c>
      <c r="BF2944" s="458">
        <v>7.0736295626034229E-2</v>
      </c>
      <c r="BG2944" s="477">
        <v>9694353.2372042444</v>
      </c>
      <c r="BH2944" s="458">
        <v>5.3909141852830134E-2</v>
      </c>
      <c r="BI2944" s="477">
        <v>13196391.315839414</v>
      </c>
      <c r="BJ2944" s="458">
        <v>0.11903908640696081</v>
      </c>
      <c r="BK2944" s="477">
        <v>98917121.689748123</v>
      </c>
      <c r="BL2944" s="458">
        <v>0.26514472600226013</v>
      </c>
      <c r="BM2944" s="468">
        <v>11.860721359835749</v>
      </c>
    </row>
    <row r="2945" spans="12:65" x14ac:dyDescent="0.3">
      <c r="L2945" s="427">
        <v>1443998.2943</v>
      </c>
      <c r="BE2945" s="477">
        <v>1273610.8533761958</v>
      </c>
      <c r="BF2945" s="458">
        <v>4.1723345048002791E-2</v>
      </c>
      <c r="BG2945" s="477">
        <v>11070129.17598602</v>
      </c>
      <c r="BH2945" s="458">
        <v>1.8230938056602142E-2</v>
      </c>
      <c r="BI2945" s="477">
        <v>13482259.427892212</v>
      </c>
      <c r="BJ2945" s="458">
        <v>0.10968605823440214</v>
      </c>
      <c r="BK2945" s="477">
        <v>91360572.12669304</v>
      </c>
      <c r="BL2945" s="458">
        <v>0.26003136229854773</v>
      </c>
      <c r="BM2945" s="468">
        <v>7.776112514665777</v>
      </c>
    </row>
    <row r="2946" spans="12:65" x14ac:dyDescent="0.3">
      <c r="L2946" s="427">
        <v>2365133.5123000001</v>
      </c>
      <c r="BE2946" s="477">
        <v>4431971.4607558697</v>
      </c>
      <c r="BF2946" s="458">
        <v>5.7958579982175795E-2</v>
      </c>
      <c r="BG2946" s="477">
        <v>11678485.599060124</v>
      </c>
      <c r="BH2946" s="458">
        <v>7.1468880392126843E-2</v>
      </c>
      <c r="BI2946" s="477">
        <v>21831368.526620109</v>
      </c>
      <c r="BJ2946" s="458">
        <v>0.11177143115906985</v>
      </c>
      <c r="BK2946" s="477">
        <v>84953022.045725271</v>
      </c>
      <c r="BL2946" s="458">
        <v>0.25827768975440701</v>
      </c>
      <c r="BM2946" s="468">
        <v>9.6919028489985219</v>
      </c>
    </row>
    <row r="2947" spans="12:65" x14ac:dyDescent="0.3">
      <c r="L2947" s="427">
        <v>5132202.1004999997</v>
      </c>
      <c r="BE2947" s="477">
        <v>7240389.3299976597</v>
      </c>
      <c r="BF2947" s="458">
        <v>2.5444696878051287E-2</v>
      </c>
      <c r="BG2947" s="477">
        <v>4751675.634226759</v>
      </c>
      <c r="BH2947" s="458">
        <v>7.5011094777745813E-2</v>
      </c>
      <c r="BI2947" s="477">
        <v>11873487.095854212</v>
      </c>
      <c r="BJ2947" s="458">
        <v>9.5998477132765991E-2</v>
      </c>
      <c r="BK2947" s="477">
        <v>89152492.170354962</v>
      </c>
      <c r="BL2947" s="458">
        <v>0.26890199031170381</v>
      </c>
      <c r="BM2947" s="468">
        <v>8.3633539370912082</v>
      </c>
    </row>
    <row r="2948" spans="12:65" x14ac:dyDescent="0.3">
      <c r="L2948" s="427">
        <v>8438259.7844999991</v>
      </c>
      <c r="BE2948" s="477">
        <v>5880195.1675704224</v>
      </c>
      <c r="BF2948" s="458">
        <v>4.14451172745538E-2</v>
      </c>
      <c r="BG2948" s="477">
        <v>1444081.7606632954</v>
      </c>
      <c r="BH2948" s="458">
        <v>5.5192471687181222E-2</v>
      </c>
      <c r="BI2948" s="477">
        <v>15951952.667930057</v>
      </c>
      <c r="BJ2948" s="458">
        <v>0.1009396985881752</v>
      </c>
      <c r="BK2948" s="477">
        <v>112202646.63631828</v>
      </c>
      <c r="BL2948" s="458">
        <v>0.26513812748695842</v>
      </c>
      <c r="BM2948" s="468">
        <v>9.2949197782901525</v>
      </c>
    </row>
    <row r="2949" spans="12:65" x14ac:dyDescent="0.3">
      <c r="L2949" s="427">
        <v>756936.99970000004</v>
      </c>
      <c r="BE2949" s="477">
        <v>4546779.1896666428</v>
      </c>
      <c r="BF2949" s="458">
        <v>1.9975584864118323E-2</v>
      </c>
      <c r="BG2949" s="477">
        <v>7828039.5535628693</v>
      </c>
      <c r="BH2949" s="458">
        <v>7.1023324116223252E-2</v>
      </c>
      <c r="BI2949" s="477">
        <v>18879867.638039157</v>
      </c>
      <c r="BJ2949" s="458">
        <v>0.10208406359017497</v>
      </c>
      <c r="BK2949" s="477">
        <v>86332549.136438847</v>
      </c>
      <c r="BL2949" s="458">
        <v>0.25671346718061816</v>
      </c>
      <c r="BM2949" s="468">
        <v>5.9218201318150445</v>
      </c>
    </row>
    <row r="2950" spans="12:65" x14ac:dyDescent="0.3">
      <c r="L2950" s="427">
        <v>21077316.232500002</v>
      </c>
      <c r="BE2950" s="477">
        <v>8937737.469530452</v>
      </c>
      <c r="BF2950" s="458">
        <v>8.2824934936543304E-2</v>
      </c>
      <c r="BG2950" s="477">
        <v>18156778.225990221</v>
      </c>
      <c r="BH2950" s="458">
        <v>7.9803705372348821E-2</v>
      </c>
      <c r="BI2950" s="477">
        <v>21173760.748060804</v>
      </c>
      <c r="BJ2950" s="458">
        <v>0.10913557974296673</v>
      </c>
      <c r="BK2950" s="477">
        <v>93220479.55208531</v>
      </c>
      <c r="BL2950" s="458">
        <v>0.27676038614332721</v>
      </c>
      <c r="BM2950" s="468">
        <v>6.7687198528344945</v>
      </c>
    </row>
    <row r="2951" spans="12:65" x14ac:dyDescent="0.3">
      <c r="L2951" s="427">
        <v>11863296.7644</v>
      </c>
      <c r="BE2951" s="477">
        <v>10230388.576931747</v>
      </c>
      <c r="BF2951" s="458">
        <v>2.856229043346592E-2</v>
      </c>
      <c r="BG2951" s="477">
        <v>7537822.0705239298</v>
      </c>
      <c r="BH2951" s="458">
        <v>5.3169030315742827E-2</v>
      </c>
      <c r="BI2951" s="477">
        <v>13643850.79155837</v>
      </c>
      <c r="BJ2951" s="458">
        <v>0.10623908488260581</v>
      </c>
      <c r="BK2951" s="477">
        <v>102846108.44575383</v>
      </c>
      <c r="BL2951" s="458">
        <v>0.26101570863244983</v>
      </c>
      <c r="BM2951" s="468">
        <v>8.3375255735618108</v>
      </c>
    </row>
    <row r="2952" spans="12:65" x14ac:dyDescent="0.3">
      <c r="L2952" s="427">
        <v>-4217754.7664999999</v>
      </c>
      <c r="BE2952" s="477">
        <v>7735986.4133350383</v>
      </c>
      <c r="BF2952" s="458">
        <v>5.2160164573103351E-2</v>
      </c>
      <c r="BG2952" s="477">
        <v>8231550.0106005315</v>
      </c>
      <c r="BH2952" s="458">
        <v>7.6186318871682035E-2</v>
      </c>
      <c r="BI2952" s="477">
        <v>12401497.06544452</v>
      </c>
      <c r="BJ2952" s="458">
        <v>0.1191512014090752</v>
      </c>
      <c r="BK2952" s="477">
        <v>96775637.69920966</v>
      </c>
      <c r="BL2952" s="458">
        <v>0.27745811988165126</v>
      </c>
      <c r="BM2952" s="468">
        <v>9.5329317542106953</v>
      </c>
    </row>
    <row r="2953" spans="12:65" x14ac:dyDescent="0.3">
      <c r="L2953" s="427">
        <v>15923480.91</v>
      </c>
      <c r="BE2953" s="477">
        <v>4700446.8862391924</v>
      </c>
      <c r="BF2953" s="458">
        <v>5.6369173759112101E-2</v>
      </c>
      <c r="BG2953" s="477">
        <v>3757311.8196897693</v>
      </c>
      <c r="BH2953" s="458">
        <v>6.2603195299981262E-2</v>
      </c>
      <c r="BI2953" s="477">
        <v>18770892.618950509</v>
      </c>
      <c r="BJ2953" s="458">
        <v>0.1186563786832211</v>
      </c>
      <c r="BK2953" s="477">
        <v>97724924.384585917</v>
      </c>
      <c r="BL2953" s="458">
        <v>0.25833059626963673</v>
      </c>
      <c r="BM2953" s="468">
        <v>7.4717460769768511</v>
      </c>
    </row>
    <row r="2954" spans="12:65" x14ac:dyDescent="0.3">
      <c r="L2954" s="427">
        <v>7460067.8647999996</v>
      </c>
      <c r="BE2954" s="477">
        <v>2407720.5511919917</v>
      </c>
      <c r="BF2954" s="458">
        <v>3.7195850190759883E-2</v>
      </c>
      <c r="BG2954" s="477">
        <v>6305677.2317493921</v>
      </c>
      <c r="BH2954" s="458">
        <v>6.2658006571357561E-2</v>
      </c>
      <c r="BI2954" s="477">
        <v>23008242.148799226</v>
      </c>
      <c r="BJ2954" s="458">
        <v>0.13154552079330117</v>
      </c>
      <c r="BK2954" s="477">
        <v>85559651.091254115</v>
      </c>
      <c r="BL2954" s="458">
        <v>0.26401197756107875</v>
      </c>
      <c r="BM2954" s="468">
        <v>12.92173992745793</v>
      </c>
    </row>
    <row r="2955" spans="12:65" x14ac:dyDescent="0.3">
      <c r="L2955" s="427">
        <v>-1635898.1719</v>
      </c>
      <c r="BE2955" s="477">
        <v>758817.63978870003</v>
      </c>
      <c r="BF2955" s="458">
        <v>3.8667827504101027E-2</v>
      </c>
      <c r="BG2955" s="477">
        <v>4178276.348303908</v>
      </c>
      <c r="BH2955" s="458">
        <v>0.1207335829308247</v>
      </c>
      <c r="BI2955" s="477">
        <v>18534323.822645344</v>
      </c>
      <c r="BJ2955" s="458">
        <v>9.6582926901277011E-2</v>
      </c>
      <c r="BK2955" s="477">
        <v>86543608.341291487</v>
      </c>
      <c r="BL2955" s="458">
        <v>0.27967122883817686</v>
      </c>
      <c r="BM2955" s="468">
        <v>-0.18974730875653911</v>
      </c>
    </row>
    <row r="2956" spans="12:65" x14ac:dyDescent="0.3">
      <c r="L2956" s="427">
        <v>15563834.296700001</v>
      </c>
      <c r="BE2956" s="477">
        <v>8098417.8349455697</v>
      </c>
      <c r="BF2956" s="458">
        <v>3.883531893742731E-2</v>
      </c>
      <c r="BG2956" s="477">
        <v>7857865.5648523616</v>
      </c>
      <c r="BH2956" s="458">
        <v>3.8513825960505788E-2</v>
      </c>
      <c r="BI2956" s="477">
        <v>16462128.468817344</v>
      </c>
      <c r="BJ2956" s="458">
        <v>0.11843960255307184</v>
      </c>
      <c r="BK2956" s="477">
        <v>97627564.892328992</v>
      </c>
      <c r="BL2956" s="458">
        <v>0.25381299262626422</v>
      </c>
      <c r="BM2956" s="468">
        <v>9.8439889929085993</v>
      </c>
    </row>
    <row r="2957" spans="12:65" x14ac:dyDescent="0.3">
      <c r="L2957" s="427">
        <v>14890727.197699999</v>
      </c>
      <c r="BE2957" s="477">
        <v>11136652.811154742</v>
      </c>
      <c r="BF2957" s="458">
        <v>3.099224579479154E-2</v>
      </c>
      <c r="BG2957" s="477">
        <v>6396001.0307713337</v>
      </c>
      <c r="BH2957" s="458">
        <v>8.9883020899946375E-2</v>
      </c>
      <c r="BI2957" s="477">
        <v>16957793.602854308</v>
      </c>
      <c r="BJ2957" s="458">
        <v>7.0910948157344E-2</v>
      </c>
      <c r="BK2957" s="477">
        <v>77888103.793865412</v>
      </c>
      <c r="BL2957" s="458">
        <v>0.29954710804185791</v>
      </c>
      <c r="BM2957" s="468">
        <v>8.680123480244843</v>
      </c>
    </row>
    <row r="2958" spans="12:65" x14ac:dyDescent="0.3">
      <c r="L2958" s="427">
        <v>2443309.8037</v>
      </c>
      <c r="BE2958" s="477">
        <v>6365136.5827792529</v>
      </c>
      <c r="BF2958" s="458">
        <v>4.6244585608770761E-2</v>
      </c>
      <c r="BG2958" s="477">
        <v>5131810.7945859479</v>
      </c>
      <c r="BH2958" s="458">
        <v>5.4373713616358677E-2</v>
      </c>
      <c r="BI2958" s="477">
        <v>16520519.815137485</v>
      </c>
      <c r="BJ2958" s="458">
        <v>0.10619886640141862</v>
      </c>
      <c r="BK2958" s="477">
        <v>82750456.451423779</v>
      </c>
      <c r="BL2958" s="458">
        <v>0.26335404386491224</v>
      </c>
      <c r="BM2958" s="468">
        <v>7.6115735839582577</v>
      </c>
    </row>
    <row r="2959" spans="12:65" x14ac:dyDescent="0.3">
      <c r="L2959" s="427">
        <v>20203489.900600001</v>
      </c>
      <c r="BE2959" s="477">
        <v>3280888.6631580382</v>
      </c>
      <c r="BF2959" s="458">
        <v>4.9603651985208108E-2</v>
      </c>
      <c r="BG2959" s="477">
        <v>7952677.1740991157</v>
      </c>
      <c r="BH2959" s="458">
        <v>9.6879529357707828E-2</v>
      </c>
      <c r="BI2959" s="477">
        <v>12341332.332098275</v>
      </c>
      <c r="BJ2959" s="458">
        <v>0.10093920024652947</v>
      </c>
      <c r="BK2959" s="477">
        <v>97217623.985105827</v>
      </c>
      <c r="BL2959" s="458">
        <v>0.2771188590343574</v>
      </c>
      <c r="BM2959" s="468">
        <v>7.2946115852934792</v>
      </c>
    </row>
    <row r="2960" spans="12:65" x14ac:dyDescent="0.3">
      <c r="L2960" s="427">
        <v>10390962.729</v>
      </c>
      <c r="BE2960" s="477">
        <v>5704919.6857819203</v>
      </c>
      <c r="BF2960" s="458">
        <v>3.0610807072505963E-2</v>
      </c>
      <c r="BG2960" s="477">
        <v>10157822.038843201</v>
      </c>
      <c r="BH2960" s="458">
        <v>6.7880431104561323E-2</v>
      </c>
      <c r="BI2960" s="477">
        <v>17342556.899860956</v>
      </c>
      <c r="BJ2960" s="458">
        <v>0.10346603134288546</v>
      </c>
      <c r="BK2960" s="477">
        <v>97531130.56074509</v>
      </c>
      <c r="BL2960" s="458">
        <v>0.25932481027652643</v>
      </c>
      <c r="BM2960" s="468">
        <v>9.2988237150124267</v>
      </c>
    </row>
    <row r="2961" spans="12:65" x14ac:dyDescent="0.3">
      <c r="L2961" s="427">
        <v>34541534.0132</v>
      </c>
      <c r="BE2961" s="477">
        <v>4323986.3617607541</v>
      </c>
      <c r="BF2961" s="458">
        <v>4.9778730675845484E-2</v>
      </c>
      <c r="BG2961" s="477">
        <v>10230316.71395606</v>
      </c>
      <c r="BH2961" s="458">
        <v>5.7166163117465141E-2</v>
      </c>
      <c r="BI2961" s="477">
        <v>14870783.367008233</v>
      </c>
      <c r="BJ2961" s="458">
        <v>0.10824204280269245</v>
      </c>
      <c r="BK2961" s="477">
        <v>100240554.01739873</v>
      </c>
      <c r="BL2961" s="458">
        <v>0.26183632975505189</v>
      </c>
      <c r="BM2961" s="468">
        <v>4.4143388449809375</v>
      </c>
    </row>
    <row r="2962" spans="12:65" x14ac:dyDescent="0.3">
      <c r="L2962" s="427">
        <v>1546410.9794999999</v>
      </c>
      <c r="BE2962" s="477">
        <v>7701399.4958757851</v>
      </c>
      <c r="BF2962" s="458">
        <v>2.7702570147555505E-2</v>
      </c>
      <c r="BG2962" s="477">
        <v>7688275.5643967781</v>
      </c>
      <c r="BH2962" s="458">
        <v>5.5126306567550687E-2</v>
      </c>
      <c r="BI2962" s="477">
        <v>23147137.47237334</v>
      </c>
      <c r="BJ2962" s="458">
        <v>0.10644319866669427</v>
      </c>
      <c r="BK2962" s="477">
        <v>88708712.182595417</v>
      </c>
      <c r="BL2962" s="458">
        <v>0.26027482040401928</v>
      </c>
      <c r="BM2962" s="468">
        <v>9.4185215364623005</v>
      </c>
    </row>
    <row r="2963" spans="12:65" x14ac:dyDescent="0.3">
      <c r="L2963" s="427">
        <v>5428189.0993999997</v>
      </c>
      <c r="BE2963" s="477">
        <v>4939705.7895295601</v>
      </c>
      <c r="BF2963" s="458">
        <v>3.2950983552664015E-2</v>
      </c>
      <c r="BG2963" s="477">
        <v>11022358.195852235</v>
      </c>
      <c r="BH2963" s="458">
        <v>3.7053700798688194E-2</v>
      </c>
      <c r="BI2963" s="477">
        <v>10151190.28079153</v>
      </c>
      <c r="BJ2963" s="458">
        <v>0.12974513892187267</v>
      </c>
      <c r="BK2963" s="477">
        <v>75112849.228317395</v>
      </c>
      <c r="BL2963" s="458">
        <v>0.26618907625445409</v>
      </c>
      <c r="BM2963" s="468">
        <v>12.085388459774126</v>
      </c>
    </row>
    <row r="2964" spans="12:65" x14ac:dyDescent="0.3">
      <c r="L2964" s="427">
        <v>12983440.413899999</v>
      </c>
      <c r="BE2964" s="477">
        <v>1563112.9693547897</v>
      </c>
      <c r="BF2964" s="458">
        <v>3.9263644421032362E-2</v>
      </c>
      <c r="BG2964" s="477">
        <v>16252517.113991022</v>
      </c>
      <c r="BH2964" s="458">
        <v>7.3750191583833002E-2</v>
      </c>
      <c r="BI2964" s="477">
        <v>21153869.358564083</v>
      </c>
      <c r="BJ2964" s="458">
        <v>0.11863168811282354</v>
      </c>
      <c r="BK2964" s="477">
        <v>87888806.137458473</v>
      </c>
      <c r="BL2964" s="458">
        <v>0.26308671432205877</v>
      </c>
      <c r="BM2964" s="468">
        <v>5.3729488542672232</v>
      </c>
    </row>
    <row r="2965" spans="12:65" x14ac:dyDescent="0.3">
      <c r="L2965" s="427">
        <v>12129548.1942</v>
      </c>
      <c r="BE2965" s="477">
        <v>5278141.0915429844</v>
      </c>
      <c r="BF2965" s="458">
        <v>3.1959534724008032E-2</v>
      </c>
      <c r="BG2965" s="477">
        <v>9258142.9962825943</v>
      </c>
      <c r="BH2965" s="458">
        <v>6.5102962562870736E-2</v>
      </c>
      <c r="BI2965" s="477">
        <v>15693347.35204507</v>
      </c>
      <c r="BJ2965" s="458">
        <v>0.10643379153588528</v>
      </c>
      <c r="BK2965" s="477">
        <v>93025360.042998508</v>
      </c>
      <c r="BL2965" s="458">
        <v>0.27313952212355108</v>
      </c>
      <c r="BM2965" s="468">
        <v>7.3363808102969204</v>
      </c>
    </row>
    <row r="2966" spans="12:65" x14ac:dyDescent="0.3">
      <c r="L2966" s="427">
        <v>10099865.9607</v>
      </c>
      <c r="BE2966" s="477">
        <v>5512256.1582219303</v>
      </c>
      <c r="BF2966" s="458">
        <v>2.6637044105422669E-2</v>
      </c>
      <c r="BG2966" s="477">
        <v>-1578240.8100353652</v>
      </c>
      <c r="BH2966" s="458">
        <v>8.9972281467995519E-2</v>
      </c>
      <c r="BI2966" s="477">
        <v>23111590.707688313</v>
      </c>
      <c r="BJ2966" s="458">
        <v>0.12461177419123737</v>
      </c>
      <c r="BK2966" s="477">
        <v>80611649.157224864</v>
      </c>
      <c r="BL2966" s="458">
        <v>0.26883793880557216</v>
      </c>
      <c r="BM2966" s="468">
        <v>7.2605055036664927</v>
      </c>
    </row>
    <row r="2967" spans="12:65" x14ac:dyDescent="0.3">
      <c r="L2967" s="427">
        <v>9093008.7422000002</v>
      </c>
      <c r="BE2967" s="477">
        <v>5783217.3924552184</v>
      </c>
      <c r="BF2967" s="458">
        <v>2.85772894800016E-2</v>
      </c>
      <c r="BG2967" s="477">
        <v>8518033.8756533302</v>
      </c>
      <c r="BH2967" s="458">
        <v>5.6663451683579558E-2</v>
      </c>
      <c r="BI2967" s="477">
        <v>18162972.400418714</v>
      </c>
      <c r="BJ2967" s="458">
        <v>9.3869401568137611E-2</v>
      </c>
      <c r="BK2967" s="477">
        <v>90623797.891939551</v>
      </c>
      <c r="BL2967" s="458">
        <v>0.25704106180563091</v>
      </c>
      <c r="BM2967" s="468">
        <v>3.5564027855949458</v>
      </c>
    </row>
    <row r="2968" spans="12:65" x14ac:dyDescent="0.3">
      <c r="L2968" s="427">
        <v>18530659.535999998</v>
      </c>
      <c r="BE2968" s="477">
        <v>8559081.109747313</v>
      </c>
      <c r="BF2968" s="458">
        <v>4.4404377919930793E-2</v>
      </c>
      <c r="BG2968" s="477">
        <v>5677535.5973664662</v>
      </c>
      <c r="BH2968" s="458">
        <v>8.9165471953089659E-2</v>
      </c>
      <c r="BI2968" s="477">
        <v>20234699.819121845</v>
      </c>
      <c r="BJ2968" s="458">
        <v>9.5853690561387594E-2</v>
      </c>
      <c r="BK2968" s="477">
        <v>95332714.669492349</v>
      </c>
      <c r="BL2968" s="458">
        <v>0.29849106812447856</v>
      </c>
      <c r="BM2968" s="468">
        <v>15.627304290307602</v>
      </c>
    </row>
    <row r="2969" spans="12:65" x14ac:dyDescent="0.3">
      <c r="L2969" s="427">
        <v>12534523.8039</v>
      </c>
      <c r="BE2969" s="477">
        <v>1524952.3267558285</v>
      </c>
      <c r="BF2969" s="458">
        <v>4.1916410230590673E-2</v>
      </c>
      <c r="BG2969" s="477">
        <v>7355086.3702033898</v>
      </c>
      <c r="BH2969" s="458">
        <v>5.030964347202227E-2</v>
      </c>
      <c r="BI2969" s="477">
        <v>16983976.1080072</v>
      </c>
      <c r="BJ2969" s="458">
        <v>0.12105902927180456</v>
      </c>
      <c r="BK2969" s="477">
        <v>90434390.403773621</v>
      </c>
      <c r="BL2969" s="458">
        <v>0.28135042781846198</v>
      </c>
      <c r="BM2969" s="468">
        <v>3.1621515155183495</v>
      </c>
    </row>
    <row r="2970" spans="12:65" x14ac:dyDescent="0.3">
      <c r="L2970" s="427">
        <v>16547273.661699999</v>
      </c>
      <c r="BE2970" s="477">
        <v>5956785.8150738385</v>
      </c>
      <c r="BF2970" s="458">
        <v>9.5466451041760436E-2</v>
      </c>
      <c r="BG2970" s="477">
        <v>3083014.0673225983</v>
      </c>
      <c r="BH2970" s="458">
        <v>5.6460245472179871E-2</v>
      </c>
      <c r="BI2970" s="477">
        <v>15428139.026391538</v>
      </c>
      <c r="BJ2970" s="458">
        <v>9.250460256080606E-2</v>
      </c>
      <c r="BK2970" s="477">
        <v>89142596.934658378</v>
      </c>
      <c r="BL2970" s="458">
        <v>0.26749494225613235</v>
      </c>
      <c r="BM2970" s="468">
        <v>12.486197312817469</v>
      </c>
    </row>
    <row r="2971" spans="12:65" x14ac:dyDescent="0.3">
      <c r="L2971" s="427">
        <v>5094690.7010000004</v>
      </c>
      <c r="BE2971" s="477">
        <v>5829627.7968677999</v>
      </c>
      <c r="BF2971" s="458">
        <v>3.6313308200063066E-2</v>
      </c>
      <c r="BG2971" s="477">
        <v>8873664.3194685373</v>
      </c>
      <c r="BH2971" s="458">
        <v>6.347532244028331E-2</v>
      </c>
      <c r="BI2971" s="477">
        <v>15263251.522307295</v>
      </c>
      <c r="BJ2971" s="458">
        <v>0.11555844927362258</v>
      </c>
      <c r="BK2971" s="477">
        <v>91275176.137401149</v>
      </c>
      <c r="BL2971" s="458">
        <v>0.27683433897979759</v>
      </c>
      <c r="BM2971" s="468">
        <v>0.92988663444991904</v>
      </c>
    </row>
    <row r="2972" spans="12:65" x14ac:dyDescent="0.3">
      <c r="L2972" s="427">
        <v>586753.64339999994</v>
      </c>
      <c r="BE2972" s="477">
        <v>7204845.7527822768</v>
      </c>
      <c r="BF2972" s="458">
        <v>5.812715939780011E-2</v>
      </c>
      <c r="BG2972" s="477">
        <v>5720255.7391456114</v>
      </c>
      <c r="BH2972" s="458">
        <v>4.2710961978995376E-2</v>
      </c>
      <c r="BI2972" s="477">
        <v>14928051.77029825</v>
      </c>
      <c r="BJ2972" s="458">
        <v>8.2303861060586403E-2</v>
      </c>
      <c r="BK2972" s="477">
        <v>86143782.895530745</v>
      </c>
      <c r="BL2972" s="458">
        <v>0.27458390495349638</v>
      </c>
      <c r="BM2972" s="468">
        <v>8.848601146798849</v>
      </c>
    </row>
    <row r="2973" spans="12:65" x14ac:dyDescent="0.3">
      <c r="L2973" s="427">
        <v>15553003.6982</v>
      </c>
      <c r="BE2973" s="477">
        <v>9478006.1173530687</v>
      </c>
      <c r="BF2973" s="458">
        <v>2.8478727695020023E-2</v>
      </c>
      <c r="BG2973" s="477">
        <v>2520989.9720078479</v>
      </c>
      <c r="BH2973" s="458">
        <v>4.5190191352895148E-2</v>
      </c>
      <c r="BI2973" s="477">
        <v>9952778.5842682421</v>
      </c>
      <c r="BJ2973" s="458">
        <v>0.12633467574052659</v>
      </c>
      <c r="BK2973" s="477">
        <v>89618191.1944765</v>
      </c>
      <c r="BL2973" s="458">
        <v>0.26961514473287695</v>
      </c>
      <c r="BM2973" s="468">
        <v>9.5661314231059684</v>
      </c>
    </row>
    <row r="2974" spans="12:65" x14ac:dyDescent="0.3">
      <c r="L2974" s="427">
        <v>9750774.6487000007</v>
      </c>
      <c r="BE2974" s="477">
        <v>5219391.4945458267</v>
      </c>
      <c r="BF2974" s="458">
        <v>4.7271841258324843E-2</v>
      </c>
      <c r="BG2974" s="477">
        <v>12387480.792821782</v>
      </c>
      <c r="BH2974" s="458">
        <v>5.7940800611849586E-2</v>
      </c>
      <c r="BI2974" s="477">
        <v>19530798.515152153</v>
      </c>
      <c r="BJ2974" s="458">
        <v>0.1140181717132851</v>
      </c>
      <c r="BK2974" s="477">
        <v>86937377.191741139</v>
      </c>
      <c r="BL2974" s="458">
        <v>0.27510442317067829</v>
      </c>
      <c r="BM2974" s="468">
        <v>9.8317914665128701</v>
      </c>
    </row>
    <row r="2975" spans="12:65" x14ac:dyDescent="0.3">
      <c r="L2975" s="427">
        <v>-2428810.4649999999</v>
      </c>
      <c r="BE2975" s="477">
        <v>8319485.8130024746</v>
      </c>
      <c r="BF2975" s="458">
        <v>4.3144807147004416E-2</v>
      </c>
      <c r="BG2975" s="477">
        <v>9217914.429396024</v>
      </c>
      <c r="BH2975" s="458">
        <v>5.2802431479662459E-2</v>
      </c>
      <c r="BI2975" s="477">
        <v>15203552.904002646</v>
      </c>
      <c r="BJ2975" s="458">
        <v>0.15799626969897673</v>
      </c>
      <c r="BK2975" s="477">
        <v>98224874.027951285</v>
      </c>
      <c r="BL2975" s="458">
        <v>0.28498676390934508</v>
      </c>
      <c r="BM2975" s="468">
        <v>-1.3920151043694631</v>
      </c>
    </row>
    <row r="2976" spans="12:65" x14ac:dyDescent="0.3">
      <c r="L2976" s="427">
        <v>617517.18389999995</v>
      </c>
      <c r="BE2976" s="477">
        <v>4186015.1849231273</v>
      </c>
      <c r="BF2976" s="458">
        <v>2.1902606883639208E-3</v>
      </c>
      <c r="BG2976" s="477">
        <v>4658674.3304052353</v>
      </c>
      <c r="BH2976" s="458">
        <v>9.0761799537796728E-2</v>
      </c>
      <c r="BI2976" s="477">
        <v>21423204.751868632</v>
      </c>
      <c r="BJ2976" s="458">
        <v>0.12647976051864873</v>
      </c>
      <c r="BK2976" s="477">
        <v>79994062.454431862</v>
      </c>
      <c r="BL2976" s="458">
        <v>0.26711253360796605</v>
      </c>
      <c r="BM2976" s="468">
        <v>2.8370872775547618</v>
      </c>
    </row>
    <row r="2977" spans="12:65" x14ac:dyDescent="0.3">
      <c r="L2977" s="427">
        <v>7013747.4611999998</v>
      </c>
      <c r="BE2977" s="477">
        <v>5062483.245822208</v>
      </c>
      <c r="BF2977" s="458">
        <v>4.2450878774143108E-2</v>
      </c>
      <c r="BG2977" s="477">
        <v>3294446.0081759985</v>
      </c>
      <c r="BH2977" s="458">
        <v>6.3383466594814974E-2</v>
      </c>
      <c r="BI2977" s="477">
        <v>20393134.197813105</v>
      </c>
      <c r="BJ2977" s="458">
        <v>0.12477179826144758</v>
      </c>
      <c r="BK2977" s="477">
        <v>92215346.300832823</v>
      </c>
      <c r="BL2977" s="458">
        <v>0.26052591531401159</v>
      </c>
      <c r="BM2977" s="468">
        <v>1.525824406387831</v>
      </c>
    </row>
    <row r="2978" spans="12:65" x14ac:dyDescent="0.3">
      <c r="L2978" s="427">
        <v>-574632.29700000002</v>
      </c>
      <c r="BE2978" s="477">
        <v>6257837.0658958964</v>
      </c>
      <c r="BF2978" s="458">
        <v>6.7212663022209851E-2</v>
      </c>
      <c r="BG2978" s="477">
        <v>8125585.8129632939</v>
      </c>
      <c r="BH2978" s="458">
        <v>5.387736746239602E-2</v>
      </c>
      <c r="BI2978" s="477">
        <v>7192825.2599409726</v>
      </c>
      <c r="BJ2978" s="458">
        <v>0.10424844771222563</v>
      </c>
      <c r="BK2978" s="477">
        <v>84798294.556761831</v>
      </c>
      <c r="BL2978" s="458">
        <v>0.25218101788197878</v>
      </c>
      <c r="BM2978" s="468">
        <v>6.4447133047832228</v>
      </c>
    </row>
    <row r="2979" spans="12:65" x14ac:dyDescent="0.3">
      <c r="L2979" s="427">
        <v>8959210.4956</v>
      </c>
      <c r="BE2979" s="477">
        <v>6417666.2740514036</v>
      </c>
      <c r="BF2979" s="458">
        <v>4.7983023838484851E-2</v>
      </c>
      <c r="BG2979" s="477">
        <v>12452885.637903195</v>
      </c>
      <c r="BH2979" s="458">
        <v>4.6382387186433949E-2</v>
      </c>
      <c r="BI2979" s="477">
        <v>23374837.411102735</v>
      </c>
      <c r="BJ2979" s="458">
        <v>0.143086150482995</v>
      </c>
      <c r="BK2979" s="477">
        <v>79885454.874654949</v>
      </c>
      <c r="BL2979" s="458">
        <v>0.2722308382675771</v>
      </c>
      <c r="BM2979" s="468">
        <v>8.5207840002212087</v>
      </c>
    </row>
    <row r="2980" spans="12:65" x14ac:dyDescent="0.3">
      <c r="L2980" s="427">
        <v>15228212.2042</v>
      </c>
      <c r="BE2980" s="477">
        <v>4965208.5354662091</v>
      </c>
      <c r="BF2980" s="458">
        <v>2.8640726001331274E-2</v>
      </c>
      <c r="BG2980" s="477">
        <v>9677864.2091764864</v>
      </c>
      <c r="BH2980" s="458">
        <v>6.8493858894377757E-2</v>
      </c>
      <c r="BI2980" s="477">
        <v>10259294.90580414</v>
      </c>
      <c r="BJ2980" s="458">
        <v>0.10762110895411214</v>
      </c>
      <c r="BK2980" s="477">
        <v>86381834.906691581</v>
      </c>
      <c r="BL2980" s="458">
        <v>0.26827177800948721</v>
      </c>
      <c r="BM2980" s="468">
        <v>7.7959417362692243</v>
      </c>
    </row>
    <row r="2981" spans="12:65" x14ac:dyDescent="0.3">
      <c r="L2981" s="427">
        <v>1518305.1266999999</v>
      </c>
      <c r="BE2981" s="477">
        <v>3803123.7939185286</v>
      </c>
      <c r="BF2981" s="458">
        <v>2.7849899355513186E-2</v>
      </c>
      <c r="BG2981" s="477">
        <v>14387320.519670203</v>
      </c>
      <c r="BH2981" s="458">
        <v>6.2297861886815076E-2</v>
      </c>
      <c r="BI2981" s="477">
        <v>17907846.377619792</v>
      </c>
      <c r="BJ2981" s="458">
        <v>0.10652490525245106</v>
      </c>
      <c r="BK2981" s="477">
        <v>82297132.584350079</v>
      </c>
      <c r="BL2981" s="458">
        <v>0.27644762845293314</v>
      </c>
      <c r="BM2981" s="468">
        <v>17.322867581832583</v>
      </c>
    </row>
    <row r="2982" spans="12:65" x14ac:dyDescent="0.3">
      <c r="L2982" s="427">
        <v>-15904802.8804</v>
      </c>
      <c r="BE2982" s="477">
        <v>4004841.8850823734</v>
      </c>
      <c r="BF2982" s="458">
        <v>7.0664950795751524E-2</v>
      </c>
      <c r="BG2982" s="477">
        <v>8789747.1606329307</v>
      </c>
      <c r="BH2982" s="458">
        <v>5.123821237826065E-2</v>
      </c>
      <c r="BI2982" s="477">
        <v>21608545.241904493</v>
      </c>
      <c r="BJ2982" s="458">
        <v>0.10630263519128547</v>
      </c>
      <c r="BK2982" s="477">
        <v>92431757.000339866</v>
      </c>
      <c r="BL2982" s="458">
        <v>0.27573337031581291</v>
      </c>
      <c r="BM2982" s="468">
        <v>6.0138841603094431</v>
      </c>
    </row>
    <row r="2983" spans="12:65" x14ac:dyDescent="0.3">
      <c r="L2983" s="427">
        <v>23487251.323800001</v>
      </c>
      <c r="BE2983" s="477">
        <v>3652222.316061636</v>
      </c>
      <c r="BF2983" s="458">
        <v>7.0810390260446221E-2</v>
      </c>
      <c r="BG2983" s="477">
        <v>11348046.486337552</v>
      </c>
      <c r="BH2983" s="458">
        <v>6.9797462350760231E-2</v>
      </c>
      <c r="BI2983" s="477">
        <v>20742178.807749547</v>
      </c>
      <c r="BJ2983" s="458">
        <v>8.8121991651912923E-2</v>
      </c>
      <c r="BK2983" s="477">
        <v>103728918.97537926</v>
      </c>
      <c r="BL2983" s="458">
        <v>0.26498587323105816</v>
      </c>
      <c r="BM2983" s="468">
        <v>9.5272213092177171</v>
      </c>
    </row>
    <row r="2984" spans="12:65" x14ac:dyDescent="0.3">
      <c r="L2984" s="427">
        <v>11907764.6041</v>
      </c>
      <c r="BE2984" s="477">
        <v>3246892.4938091123</v>
      </c>
      <c r="BF2984" s="458">
        <v>3.5015159806440543E-2</v>
      </c>
      <c r="BG2984" s="477">
        <v>11270141.82445747</v>
      </c>
      <c r="BH2984" s="458">
        <v>6.7373351224587541E-2</v>
      </c>
      <c r="BI2984" s="477">
        <v>22799054.384377994</v>
      </c>
      <c r="BJ2984" s="458">
        <v>8.4258011302933644E-2</v>
      </c>
      <c r="BK2984" s="477">
        <v>93590498.187684178</v>
      </c>
      <c r="BL2984" s="458">
        <v>0.26434092422317956</v>
      </c>
      <c r="BM2984" s="468">
        <v>16.444010539447095</v>
      </c>
    </row>
    <row r="2985" spans="12:65" x14ac:dyDescent="0.3">
      <c r="L2985" s="427">
        <v>5409186.2830999997</v>
      </c>
      <c r="BE2985" s="477">
        <v>2725732.4765929002</v>
      </c>
      <c r="BF2985" s="458">
        <v>6.4678198379964025E-2</v>
      </c>
      <c r="BG2985" s="477">
        <v>14801031.154813688</v>
      </c>
      <c r="BH2985" s="458">
        <v>5.5325654789306622E-2</v>
      </c>
      <c r="BI2985" s="477">
        <v>16882482.418331422</v>
      </c>
      <c r="BJ2985" s="458">
        <v>0.13306285154766129</v>
      </c>
      <c r="BK2985" s="477">
        <v>88321421.870364934</v>
      </c>
      <c r="BL2985" s="458">
        <v>0.26979865692259164</v>
      </c>
      <c r="BM2985" s="468">
        <v>11.806330187675359</v>
      </c>
    </row>
    <row r="2986" spans="12:65" x14ac:dyDescent="0.3">
      <c r="L2986" s="427">
        <v>5261728.7725</v>
      </c>
      <c r="BE2986" s="477">
        <v>2978790.0977203585</v>
      </c>
      <c r="BF2986" s="458">
        <v>5.090847081802452E-2</v>
      </c>
      <c r="BG2986" s="477">
        <v>10095887.530208061</v>
      </c>
      <c r="BH2986" s="458">
        <v>6.9266020023180053E-2</v>
      </c>
      <c r="BI2986" s="477">
        <v>12659192.647312721</v>
      </c>
      <c r="BJ2986" s="458">
        <v>0.11392267236407094</v>
      </c>
      <c r="BK2986" s="477">
        <v>86034021.64374356</v>
      </c>
      <c r="BL2986" s="458">
        <v>0.27787534190368368</v>
      </c>
      <c r="BM2986" s="468">
        <v>10.636285671068178</v>
      </c>
    </row>
    <row r="2987" spans="12:65" x14ac:dyDescent="0.3">
      <c r="L2987" s="427">
        <v>1919813.7416999999</v>
      </c>
      <c r="BE2987" s="477">
        <v>1487168.5124711688</v>
      </c>
      <c r="BF2987" s="458">
        <v>4.6641076745568499E-2</v>
      </c>
      <c r="BG2987" s="477">
        <v>9730673.3265988287</v>
      </c>
      <c r="BH2987" s="458">
        <v>7.0051727954538068E-2</v>
      </c>
      <c r="BI2987" s="477">
        <v>13649533.42795673</v>
      </c>
      <c r="BJ2987" s="458">
        <v>0.13939556614973614</v>
      </c>
      <c r="BK2987" s="477">
        <v>84839819.875766113</v>
      </c>
      <c r="BL2987" s="458">
        <v>0.2830908458468544</v>
      </c>
      <c r="BM2987" s="468">
        <v>5.7506030536390718</v>
      </c>
    </row>
    <row r="2988" spans="12:65" x14ac:dyDescent="0.3">
      <c r="L2988" s="427">
        <v>-2262518.2376999999</v>
      </c>
      <c r="BE2988" s="477">
        <v>7188752.92271169</v>
      </c>
      <c r="BF2988" s="458">
        <v>4.8384661999806067E-2</v>
      </c>
      <c r="BG2988" s="477">
        <v>10068658.439089002</v>
      </c>
      <c r="BH2988" s="458">
        <v>7.5505043918533854E-2</v>
      </c>
      <c r="BI2988" s="477">
        <v>10681127.204006972</v>
      </c>
      <c r="BJ2988" s="458">
        <v>7.8610825768498982E-2</v>
      </c>
      <c r="BK2988" s="477">
        <v>86103002.521685347</v>
      </c>
      <c r="BL2988" s="458">
        <v>0.27595238908950881</v>
      </c>
      <c r="BM2988" s="468">
        <v>10.012904704431335</v>
      </c>
    </row>
    <row r="2989" spans="12:65" x14ac:dyDescent="0.3">
      <c r="L2989" s="427">
        <v>15593704.1832</v>
      </c>
      <c r="BE2989" s="477">
        <v>6541296.2562874118</v>
      </c>
      <c r="BF2989" s="458">
        <v>2.7808009930607724E-2</v>
      </c>
      <c r="BG2989" s="477">
        <v>10129347.587733211</v>
      </c>
      <c r="BH2989" s="458">
        <v>6.0214276979123849E-2</v>
      </c>
      <c r="BI2989" s="477">
        <v>13547397.326651748</v>
      </c>
      <c r="BJ2989" s="458">
        <v>7.5557477946379015E-2</v>
      </c>
      <c r="BK2989" s="477">
        <v>101260058.32813388</v>
      </c>
      <c r="BL2989" s="458">
        <v>0.26094806001135118</v>
      </c>
      <c r="BM2989" s="468">
        <v>3.7269660036511283</v>
      </c>
    </row>
    <row r="2990" spans="12:65" x14ac:dyDescent="0.3">
      <c r="L2990" s="427">
        <v>17539119.855700001</v>
      </c>
      <c r="BE2990" s="477">
        <v>3162487.4987037643</v>
      </c>
      <c r="BF2990" s="458">
        <v>2.5660990568984188E-2</v>
      </c>
      <c r="BG2990" s="477">
        <v>12838009.910989203</v>
      </c>
      <c r="BH2990" s="458">
        <v>5.8854842332373813E-2</v>
      </c>
      <c r="BI2990" s="477">
        <v>16451147.69028239</v>
      </c>
      <c r="BJ2990" s="458">
        <v>0.12069978951329174</v>
      </c>
      <c r="BK2990" s="477">
        <v>89147553.641499281</v>
      </c>
      <c r="BL2990" s="458">
        <v>0.27365781536615241</v>
      </c>
      <c r="BM2990" s="468">
        <v>14.301395653376259</v>
      </c>
    </row>
    <row r="2991" spans="12:65" x14ac:dyDescent="0.3">
      <c r="L2991" s="427">
        <v>22982103.391600002</v>
      </c>
      <c r="BE2991" s="477">
        <v>8295031.8318608021</v>
      </c>
      <c r="BF2991" s="458">
        <v>3.1852063159185651E-2</v>
      </c>
      <c r="BG2991" s="477">
        <v>15300550.420515217</v>
      </c>
      <c r="BH2991" s="458">
        <v>8.227536750557829E-2</v>
      </c>
      <c r="BI2991" s="477">
        <v>13494506.625694828</v>
      </c>
      <c r="BJ2991" s="458">
        <v>0.10717193296616356</v>
      </c>
      <c r="BK2991" s="477">
        <v>86599312.077211037</v>
      </c>
      <c r="BL2991" s="458">
        <v>0.26709537170380715</v>
      </c>
      <c r="BM2991" s="468">
        <v>1.801461818430754</v>
      </c>
    </row>
    <row r="2992" spans="12:65" x14ac:dyDescent="0.3">
      <c r="L2992" s="427">
        <v>10107282.659399999</v>
      </c>
      <c r="BE2992" s="477">
        <v>7375157.216691372</v>
      </c>
      <c r="BF2992" s="458">
        <v>2.8398604241360426E-2</v>
      </c>
      <c r="BG2992" s="477">
        <v>1100251.3437774091</v>
      </c>
      <c r="BH2992" s="458">
        <v>8.3705466271386086E-2</v>
      </c>
      <c r="BI2992" s="477">
        <v>4652910.523266118</v>
      </c>
      <c r="BJ2992" s="458">
        <v>0.13466158310194443</v>
      </c>
      <c r="BK2992" s="477">
        <v>88815917.738935724</v>
      </c>
      <c r="BL2992" s="458">
        <v>0.28436035715641639</v>
      </c>
      <c r="BM2992" s="468">
        <v>3.1741231508491925</v>
      </c>
    </row>
    <row r="2993" spans="12:65" x14ac:dyDescent="0.3">
      <c r="L2993" s="427">
        <v>12901395.498</v>
      </c>
      <c r="BE2993" s="477">
        <v>6839851.9191569686</v>
      </c>
      <c r="BF2993" s="458">
        <v>5.3010538292161513E-2</v>
      </c>
      <c r="BG2993" s="477">
        <v>14801649.535506733</v>
      </c>
      <c r="BH2993" s="458">
        <v>7.2671380147116604E-2</v>
      </c>
      <c r="BI2993" s="477">
        <v>18688323.710211854</v>
      </c>
      <c r="BJ2993" s="458">
        <v>0.11568324941970842</v>
      </c>
      <c r="BK2993" s="477">
        <v>78182355.274291515</v>
      </c>
      <c r="BL2993" s="458">
        <v>0.24572720767419254</v>
      </c>
      <c r="BM2993" s="468">
        <v>3.4270708322714407</v>
      </c>
    </row>
    <row r="2994" spans="12:65" x14ac:dyDescent="0.3">
      <c r="L2994" s="427">
        <v>-2741092.361</v>
      </c>
      <c r="BE2994" s="477">
        <v>385832.6222924398</v>
      </c>
      <c r="BF2994" s="458">
        <v>4.9008678507611148E-2</v>
      </c>
      <c r="BG2994" s="477">
        <v>8893210.9061582647</v>
      </c>
      <c r="BH2994" s="458">
        <v>5.7938696996534755E-2</v>
      </c>
      <c r="BI2994" s="477">
        <v>18189713.248646215</v>
      </c>
      <c r="BJ2994" s="458">
        <v>0.12330941483222801</v>
      </c>
      <c r="BK2994" s="477">
        <v>85910784.303511724</v>
      </c>
      <c r="BL2994" s="458">
        <v>0.25090666818522744</v>
      </c>
      <c r="BM2994" s="468">
        <v>12.3870979627027</v>
      </c>
    </row>
    <row r="2995" spans="12:65" x14ac:dyDescent="0.3">
      <c r="L2995" s="427">
        <v>6190961.1875999998</v>
      </c>
      <c r="BE2995" s="477">
        <v>4496030.2764339643</v>
      </c>
      <c r="BF2995" s="458">
        <v>2.9954309181627892E-2</v>
      </c>
      <c r="BG2995" s="477">
        <v>4483374.7765763262</v>
      </c>
      <c r="BH2995" s="458">
        <v>8.5878635190228758E-2</v>
      </c>
      <c r="BI2995" s="477">
        <v>15858945.185182173</v>
      </c>
      <c r="BJ2995" s="458">
        <v>8.4808530418576833E-2</v>
      </c>
      <c r="BK2995" s="477">
        <v>85521038.684656978</v>
      </c>
      <c r="BL2995" s="458">
        <v>0.25087683457694787</v>
      </c>
      <c r="BM2995" s="468">
        <v>3.8650706576036393</v>
      </c>
    </row>
    <row r="2996" spans="12:65" x14ac:dyDescent="0.3">
      <c r="L2996" s="427">
        <v>-144757.86129999999</v>
      </c>
      <c r="BE2996" s="477">
        <v>2209565.9533707667</v>
      </c>
      <c r="BF2996" s="458">
        <v>4.2698445219891523E-2</v>
      </c>
      <c r="BG2996" s="477">
        <v>9554924.2649217695</v>
      </c>
      <c r="BH2996" s="458">
        <v>4.6450644647412442E-2</v>
      </c>
      <c r="BI2996" s="477">
        <v>10919813.680841882</v>
      </c>
      <c r="BJ2996" s="458">
        <v>0.11152921085032319</v>
      </c>
      <c r="BK2996" s="477">
        <v>66372170.603935204</v>
      </c>
      <c r="BL2996" s="458">
        <v>0.25984220680118475</v>
      </c>
      <c r="BM2996" s="468">
        <v>5.0719734312349463</v>
      </c>
    </row>
    <row r="2997" spans="12:65" x14ac:dyDescent="0.3">
      <c r="L2997" s="427">
        <v>5853256.3585999999</v>
      </c>
      <c r="BE2997" s="477">
        <v>6380156.9197065942</v>
      </c>
      <c r="BF2997" s="458">
        <v>2.8471522440466801E-2</v>
      </c>
      <c r="BG2997" s="477">
        <v>4687717.0058686687</v>
      </c>
      <c r="BH2997" s="458">
        <v>4.7745928034021778E-2</v>
      </c>
      <c r="BI2997" s="477">
        <v>18334484.615168042</v>
      </c>
      <c r="BJ2997" s="458">
        <v>9.6853942188063868E-2</v>
      </c>
      <c r="BK2997" s="477">
        <v>94570861.215865657</v>
      </c>
      <c r="BL2997" s="458">
        <v>0.27210595969830087</v>
      </c>
      <c r="BM2997" s="468">
        <v>13.023726804220592</v>
      </c>
    </row>
    <row r="2998" spans="12:65" x14ac:dyDescent="0.3">
      <c r="L2998" s="427">
        <v>6453349.8448999999</v>
      </c>
      <c r="BE2998" s="477">
        <v>7804785.4850367876</v>
      </c>
      <c r="BF2998" s="458">
        <v>3.2263580299497274E-2</v>
      </c>
      <c r="BG2998" s="477">
        <v>8282156.6758216564</v>
      </c>
      <c r="BH2998" s="458">
        <v>9.8807229411583597E-2</v>
      </c>
      <c r="BI2998" s="477">
        <v>15806245.619821928</v>
      </c>
      <c r="BJ2998" s="458">
        <v>6.4849490547418842E-2</v>
      </c>
      <c r="BK2998" s="477">
        <v>83035350.798051506</v>
      </c>
      <c r="BL2998" s="458">
        <v>0.25857512211982181</v>
      </c>
      <c r="BM2998" s="468">
        <v>6.7239877898758671</v>
      </c>
    </row>
    <row r="2999" spans="12:65" x14ac:dyDescent="0.3">
      <c r="L2999" s="427">
        <v>14255463.8572</v>
      </c>
      <c r="BE2999" s="477">
        <v>5980342.4740577824</v>
      </c>
      <c r="BF2999" s="458">
        <v>3.3446362167655508E-2</v>
      </c>
      <c r="BG2999" s="477">
        <v>10284817.121944852</v>
      </c>
      <c r="BH2999" s="458">
        <v>4.2477253338538468E-2</v>
      </c>
      <c r="BI2999" s="477">
        <v>14230808.868819389</v>
      </c>
      <c r="BJ2999" s="458">
        <v>9.6577499487811025E-2</v>
      </c>
      <c r="BK2999" s="477">
        <v>80704289.059504494</v>
      </c>
      <c r="BL2999" s="458">
        <v>0.28130067070229714</v>
      </c>
      <c r="BM2999" s="468">
        <v>7.7159943293127551</v>
      </c>
    </row>
    <row r="3000" spans="12:65" x14ac:dyDescent="0.3">
      <c r="L3000" s="427">
        <v>12278146.487500001</v>
      </c>
      <c r="BE3000" s="477">
        <v>5525901.2428461211</v>
      </c>
      <c r="BF3000" s="458">
        <v>3.2794754641027213E-2</v>
      </c>
      <c r="BG3000" s="477">
        <v>10318851.095634902</v>
      </c>
      <c r="BH3000" s="458">
        <v>5.6810287204521082E-2</v>
      </c>
      <c r="BI3000" s="477">
        <v>18790178.290582731</v>
      </c>
      <c r="BJ3000" s="458">
        <v>0.10764285310525912</v>
      </c>
      <c r="BK3000" s="477">
        <v>90355707.106340617</v>
      </c>
      <c r="BL3000" s="458">
        <v>0.27885037668592494</v>
      </c>
      <c r="BM3000" s="468">
        <v>5.917263558428532</v>
      </c>
    </row>
    <row r="3001" spans="12:65" x14ac:dyDescent="0.3">
      <c r="L3001" s="427">
        <v>18057559.1767</v>
      </c>
      <c r="BE3001" s="477">
        <v>10444047.187842464</v>
      </c>
      <c r="BF3001" s="458">
        <v>5.5591525474792514E-2</v>
      </c>
      <c r="BG3001" s="477">
        <v>7828508.0029482674</v>
      </c>
      <c r="BH3001" s="458">
        <v>8.5038860012085715E-2</v>
      </c>
      <c r="BI3001" s="477">
        <v>14316195.814713627</v>
      </c>
      <c r="BJ3001" s="458">
        <v>0.10162482157331709</v>
      </c>
      <c r="BK3001" s="477">
        <v>81614545.142843261</v>
      </c>
      <c r="BL3001" s="458">
        <v>0.26569408556738705</v>
      </c>
      <c r="BM3001" s="468">
        <v>11.123830894052794</v>
      </c>
    </row>
    <row r="3002" spans="12:65" x14ac:dyDescent="0.3">
      <c r="L3002" s="427">
        <v>15049990.9814</v>
      </c>
      <c r="BE3002" s="477">
        <v>7645823.0913465526</v>
      </c>
      <c r="BF3002" s="458">
        <v>2.4535743272059429E-2</v>
      </c>
      <c r="BG3002" s="477">
        <v>12382037.315955997</v>
      </c>
      <c r="BH3002" s="458">
        <v>6.9120076322505275E-2</v>
      </c>
      <c r="BI3002" s="477">
        <v>18357721.396588467</v>
      </c>
      <c r="BJ3002" s="458">
        <v>0.11714866764273202</v>
      </c>
      <c r="BK3002" s="477">
        <v>105987691.17957813</v>
      </c>
      <c r="BL3002" s="458">
        <v>0.26107084837670635</v>
      </c>
      <c r="BM3002" s="468">
        <v>9.5120852370765832</v>
      </c>
    </row>
    <row r="3003" spans="12:65" x14ac:dyDescent="0.3">
      <c r="L3003" s="427">
        <v>10218748.400599999</v>
      </c>
      <c r="BE3003" s="477">
        <v>3370208.1105989721</v>
      </c>
      <c r="BF3003" s="458">
        <v>5.8491093221088475E-2</v>
      </c>
      <c r="BG3003" s="477">
        <v>1178776.3937218492</v>
      </c>
      <c r="BH3003" s="458">
        <v>6.8225676044966654E-2</v>
      </c>
      <c r="BI3003" s="477">
        <v>20195563.804255385</v>
      </c>
      <c r="BJ3003" s="458">
        <v>0.11044609861721022</v>
      </c>
      <c r="BK3003" s="477">
        <v>87853846.142727613</v>
      </c>
      <c r="BL3003" s="458">
        <v>0.28216763523412491</v>
      </c>
      <c r="BM3003" s="468">
        <v>3.4524212962252712</v>
      </c>
    </row>
    <row r="3004" spans="12:65" x14ac:dyDescent="0.3">
      <c r="L3004" s="427">
        <v>7745701.3322999999</v>
      </c>
      <c r="BE3004" s="477">
        <v>4752711.3978218129</v>
      </c>
      <c r="BF3004" s="458">
        <v>2.8862337480737299E-2</v>
      </c>
      <c r="BG3004" s="477">
        <v>14205607.795364875</v>
      </c>
      <c r="BH3004" s="458">
        <v>3.8184565091981648E-2</v>
      </c>
      <c r="BI3004" s="477">
        <v>17825249.014677133</v>
      </c>
      <c r="BJ3004" s="458">
        <v>0.12036464290726423</v>
      </c>
      <c r="BK3004" s="477">
        <v>87822997.167683139</v>
      </c>
      <c r="BL3004" s="458">
        <v>0.26384336628015048</v>
      </c>
      <c r="BM3004" s="468">
        <v>6.6905263827177874</v>
      </c>
    </row>
    <row r="3005" spans="12:65" x14ac:dyDescent="0.3">
      <c r="L3005" s="427">
        <v>18179822.454999998</v>
      </c>
      <c r="BE3005" s="477">
        <v>6540384.6010492081</v>
      </c>
      <c r="BF3005" s="458">
        <v>3.3250160167942244E-2</v>
      </c>
      <c r="BG3005" s="477">
        <v>1866854.5931938614</v>
      </c>
      <c r="BH3005" s="458">
        <v>4.3993380171909457E-2</v>
      </c>
      <c r="BI3005" s="477">
        <v>18121770.418125898</v>
      </c>
      <c r="BJ3005" s="458">
        <v>0.11402824321875293</v>
      </c>
      <c r="BK3005" s="477">
        <v>80500018.801671609</v>
      </c>
      <c r="BL3005" s="458">
        <v>0.28419912573255135</v>
      </c>
      <c r="BM3005" s="468">
        <v>7.2221251482176516</v>
      </c>
    </row>
    <row r="3006" spans="12:65" x14ac:dyDescent="0.3">
      <c r="L3006" s="427">
        <v>28003292.285</v>
      </c>
      <c r="BE3006" s="477">
        <v>944347.76976265665</v>
      </c>
      <c r="BF3006" s="458">
        <v>4.0128134799718662E-2</v>
      </c>
      <c r="BG3006" s="477">
        <v>9100355.0100786332</v>
      </c>
      <c r="BH3006" s="458">
        <v>6.7054395667146105E-2</v>
      </c>
      <c r="BI3006" s="477">
        <v>19766926.643483125</v>
      </c>
      <c r="BJ3006" s="458">
        <v>9.8164331840045138E-2</v>
      </c>
      <c r="BK3006" s="477">
        <v>93394100.734855562</v>
      </c>
      <c r="BL3006" s="458">
        <v>0.27595129762538262</v>
      </c>
      <c r="BM3006" s="468">
        <v>9.7758492032111555</v>
      </c>
    </row>
    <row r="3007" spans="12:65" x14ac:dyDescent="0.3">
      <c r="L3007" s="427">
        <v>23429825.900400002</v>
      </c>
      <c r="BE3007" s="477">
        <v>5820238.0375002129</v>
      </c>
      <c r="BF3007" s="458">
        <v>5.1908435497328265E-2</v>
      </c>
      <c r="BG3007" s="477">
        <v>6375612.6015043659</v>
      </c>
      <c r="BH3007" s="458">
        <v>6.2302708511566163E-2</v>
      </c>
      <c r="BI3007" s="477">
        <v>22121090.480171766</v>
      </c>
      <c r="BJ3007" s="458">
        <v>0.12456495611926255</v>
      </c>
      <c r="BK3007" s="477">
        <v>81749002.442977026</v>
      </c>
      <c r="BL3007" s="458">
        <v>0.31232267835214866</v>
      </c>
      <c r="BM3007" s="468">
        <v>7.2061548431385463</v>
      </c>
    </row>
    <row r="3008" spans="12:65" x14ac:dyDescent="0.3">
      <c r="L3008" s="427">
        <v>19664100.374299999</v>
      </c>
      <c r="BE3008" s="477">
        <v>8698197.3459725771</v>
      </c>
      <c r="BF3008" s="458">
        <v>4.8497578116608819E-2</v>
      </c>
      <c r="BG3008" s="477">
        <v>11687695.269006286</v>
      </c>
      <c r="BH3008" s="458">
        <v>4.5146859875996537E-2</v>
      </c>
      <c r="BI3008" s="477">
        <v>16248310.400762796</v>
      </c>
      <c r="BJ3008" s="458">
        <v>9.3087661008774081E-2</v>
      </c>
      <c r="BK3008" s="477">
        <v>103018964.56890184</v>
      </c>
      <c r="BL3008" s="458">
        <v>0.25552000684499832</v>
      </c>
      <c r="BM3008" s="468">
        <v>8.1786071417728596</v>
      </c>
    </row>
    <row r="3009" spans="12:65" x14ac:dyDescent="0.3">
      <c r="L3009" s="427">
        <v>10121872.239700001</v>
      </c>
      <c r="BE3009" s="477">
        <v>4326704.9037115639</v>
      </c>
      <c r="BF3009" s="458">
        <v>2.3302390253539196E-2</v>
      </c>
      <c r="BG3009" s="477">
        <v>10179898.633904029</v>
      </c>
      <c r="BH3009" s="458">
        <v>5.5692054847046979E-2</v>
      </c>
      <c r="BI3009" s="477">
        <v>10323103.851961728</v>
      </c>
      <c r="BJ3009" s="458">
        <v>9.67686615683232E-2</v>
      </c>
      <c r="BK3009" s="477">
        <v>101479139.22547008</v>
      </c>
      <c r="BL3009" s="458">
        <v>0.28252420946611467</v>
      </c>
      <c r="BM3009" s="468">
        <v>14.17600306481077</v>
      </c>
    </row>
    <row r="3010" spans="12:65" x14ac:dyDescent="0.3">
      <c r="L3010" s="427">
        <v>-4638437.6835000003</v>
      </c>
      <c r="BE3010" s="477">
        <v>1006448.979064909</v>
      </c>
      <c r="BF3010" s="458">
        <v>5.2288544381877022E-2</v>
      </c>
      <c r="BG3010" s="477">
        <v>11546966.599635519</v>
      </c>
      <c r="BH3010" s="458">
        <v>8.248655393727411E-2</v>
      </c>
      <c r="BI3010" s="477">
        <v>16170102.538482364</v>
      </c>
      <c r="BJ3010" s="458">
        <v>9.458600394143124E-2</v>
      </c>
      <c r="BK3010" s="477">
        <v>96980136.763406172</v>
      </c>
      <c r="BL3010" s="458">
        <v>0.29665921782586513</v>
      </c>
      <c r="BM3010" s="468">
        <v>10.513819907960961</v>
      </c>
    </row>
    <row r="3011" spans="12:65" x14ac:dyDescent="0.3">
      <c r="L3011" s="427">
        <v>11302511.248400001</v>
      </c>
      <c r="BE3011" s="477">
        <v>7387988.3073231224</v>
      </c>
      <c r="BF3011" s="458">
        <v>2.6046147702346367E-2</v>
      </c>
      <c r="BG3011" s="477">
        <v>7894841.2510856185</v>
      </c>
      <c r="BH3011" s="458">
        <v>7.6647670326599915E-2</v>
      </c>
      <c r="BI3011" s="477">
        <v>24479384.158861548</v>
      </c>
      <c r="BJ3011" s="458">
        <v>9.886576268461944E-2</v>
      </c>
      <c r="BK3011" s="477">
        <v>85674037.44764626</v>
      </c>
      <c r="BL3011" s="458">
        <v>0.27053104497495228</v>
      </c>
      <c r="BM3011" s="468">
        <v>10.026445296820322</v>
      </c>
    </row>
    <row r="3012" spans="12:65" x14ac:dyDescent="0.3">
      <c r="L3012" s="427">
        <v>15500000.6164</v>
      </c>
      <c r="BE3012" s="477">
        <v>4714471.2178632719</v>
      </c>
      <c r="BF3012" s="458">
        <v>4.7051539452677815E-2</v>
      </c>
      <c r="BG3012" s="477">
        <v>10365167.489866825</v>
      </c>
      <c r="BH3012" s="458">
        <v>6.4893652603648322E-2</v>
      </c>
      <c r="BI3012" s="477">
        <v>16936491.015411966</v>
      </c>
      <c r="BJ3012" s="458">
        <v>0.12745135141872721</v>
      </c>
      <c r="BK3012" s="477">
        <v>89915554.912303388</v>
      </c>
      <c r="BL3012" s="458">
        <v>0.26341788812094413</v>
      </c>
      <c r="BM3012" s="468">
        <v>10.379328541310111</v>
      </c>
    </row>
    <row r="3013" spans="12:65" x14ac:dyDescent="0.3">
      <c r="L3013" s="427">
        <v>8632733.3957000002</v>
      </c>
      <c r="BE3013" s="477">
        <v>4345550.7533459468</v>
      </c>
      <c r="BF3013" s="458">
        <v>4.1457516033409858E-2</v>
      </c>
      <c r="BG3013" s="477">
        <v>3477285.4762302074</v>
      </c>
      <c r="BH3013" s="458">
        <v>7.4460751732783548E-2</v>
      </c>
      <c r="BI3013" s="477">
        <v>14176359.527218407</v>
      </c>
      <c r="BJ3013" s="458">
        <v>0.1050441587842077</v>
      </c>
      <c r="BK3013" s="477">
        <v>89650053.289128378</v>
      </c>
      <c r="BL3013" s="458">
        <v>0.26544817653228403</v>
      </c>
      <c r="BM3013" s="468">
        <v>8.0999944267409969</v>
      </c>
    </row>
    <row r="3014" spans="12:65" x14ac:dyDescent="0.3">
      <c r="L3014" s="427">
        <v>12991279.156099999</v>
      </c>
      <c r="BE3014" s="477">
        <v>7633957.966832771</v>
      </c>
      <c r="BF3014" s="458">
        <v>1.6926030113022517E-2</v>
      </c>
      <c r="BG3014" s="477">
        <v>2897192.4701573425</v>
      </c>
      <c r="BH3014" s="458">
        <v>7.8737346606943648E-2</v>
      </c>
      <c r="BI3014" s="477">
        <v>13355500.256390778</v>
      </c>
      <c r="BJ3014" s="458">
        <v>0.11428317749221484</v>
      </c>
      <c r="BK3014" s="477">
        <v>85486314.146894142</v>
      </c>
      <c r="BL3014" s="458">
        <v>0.28158344628676124</v>
      </c>
      <c r="BM3014" s="468">
        <v>0.36395220280565077</v>
      </c>
    </row>
    <row r="3015" spans="12:65" x14ac:dyDescent="0.3">
      <c r="L3015" s="427">
        <v>-452440.19640000002</v>
      </c>
      <c r="BE3015" s="477">
        <v>6279146.8208313538</v>
      </c>
      <c r="BF3015" s="458">
        <v>1.4209943846462902E-2</v>
      </c>
      <c r="BG3015" s="477">
        <v>7564205.6790185627</v>
      </c>
      <c r="BH3015" s="458">
        <v>7.5179909961222036E-2</v>
      </c>
      <c r="BI3015" s="477">
        <v>10546374.516262494</v>
      </c>
      <c r="BJ3015" s="458">
        <v>9.6210293328791607E-2</v>
      </c>
      <c r="BK3015" s="477">
        <v>106145022.45872331</v>
      </c>
      <c r="BL3015" s="458">
        <v>0.25707356217183652</v>
      </c>
      <c r="BM3015" s="468">
        <v>8.062132455824548</v>
      </c>
    </row>
    <row r="3016" spans="12:65" x14ac:dyDescent="0.3">
      <c r="L3016" s="427">
        <v>17500274.552700002</v>
      </c>
      <c r="BE3016" s="477">
        <v>4961499.0167198433</v>
      </c>
      <c r="BF3016" s="458">
        <v>6.4002202613095083E-2</v>
      </c>
      <c r="BG3016" s="477">
        <v>3959483.3705130531</v>
      </c>
      <c r="BH3016" s="458">
        <v>5.5336356473024706E-2</v>
      </c>
      <c r="BI3016" s="477">
        <v>11310165.318568822</v>
      </c>
      <c r="BJ3016" s="458">
        <v>0.1023679651468874</v>
      </c>
      <c r="BK3016" s="477">
        <v>98835352.870146021</v>
      </c>
      <c r="BL3016" s="458">
        <v>0.25623450128611913</v>
      </c>
      <c r="BM3016" s="468">
        <v>8.4348407735177435</v>
      </c>
    </row>
    <row r="3017" spans="12:65" x14ac:dyDescent="0.3">
      <c r="L3017" s="427">
        <v>9343497.5824999996</v>
      </c>
      <c r="BE3017" s="477">
        <v>554182.33402146306</v>
      </c>
      <c r="BF3017" s="458">
        <v>4.8014970650318567E-2</v>
      </c>
      <c r="BG3017" s="477">
        <v>11324770.781949328</v>
      </c>
      <c r="BH3017" s="458">
        <v>7.2614950167066317E-2</v>
      </c>
      <c r="BI3017" s="477">
        <v>22839272.823761683</v>
      </c>
      <c r="BJ3017" s="458">
        <v>8.7168769967212123E-2</v>
      </c>
      <c r="BK3017" s="477">
        <v>93639325.957040042</v>
      </c>
      <c r="BL3017" s="458">
        <v>0.27034070873942806</v>
      </c>
      <c r="BM3017" s="468">
        <v>10.394741789757248</v>
      </c>
    </row>
    <row r="3018" spans="12:65" x14ac:dyDescent="0.3">
      <c r="L3018" s="427">
        <v>9016143.4715</v>
      </c>
      <c r="BE3018" s="477">
        <v>4120332.6969053275</v>
      </c>
      <c r="BF3018" s="458">
        <v>2.2221707953565151E-2</v>
      </c>
      <c r="BG3018" s="477">
        <v>9582882.735141011</v>
      </c>
      <c r="BH3018" s="458">
        <v>7.2277015145438384E-2</v>
      </c>
      <c r="BI3018" s="477">
        <v>5718493.1949872375</v>
      </c>
      <c r="BJ3018" s="458">
        <v>0.11741672544819703</v>
      </c>
      <c r="BK3018" s="477">
        <v>86340949.619703576</v>
      </c>
      <c r="BL3018" s="458">
        <v>0.26596197726827842</v>
      </c>
      <c r="BM3018" s="468">
        <v>11.769351072840367</v>
      </c>
    </row>
    <row r="3019" spans="12:65" x14ac:dyDescent="0.3">
      <c r="L3019" s="427">
        <v>-56461.535799999998</v>
      </c>
      <c r="BE3019" s="477">
        <v>120396.42433023429</v>
      </c>
      <c r="BF3019" s="458">
        <v>2.3741589921433048E-2</v>
      </c>
      <c r="BG3019" s="477">
        <v>6973605.7287331242</v>
      </c>
      <c r="BH3019" s="458">
        <v>7.2269351276232907E-2</v>
      </c>
      <c r="BI3019" s="477">
        <v>19406647.565310057</v>
      </c>
      <c r="BJ3019" s="458">
        <v>0.10007140155997507</v>
      </c>
      <c r="BK3019" s="477">
        <v>92288373.630965099</v>
      </c>
      <c r="BL3019" s="458">
        <v>0.26168729933396584</v>
      </c>
      <c r="BM3019" s="468">
        <v>0.67937941325621676</v>
      </c>
    </row>
    <row r="3020" spans="12:65" x14ac:dyDescent="0.3">
      <c r="L3020" s="427">
        <v>3724148.7565000001</v>
      </c>
      <c r="BE3020" s="477">
        <v>11527854.214700677</v>
      </c>
      <c r="BF3020" s="458">
        <v>3.2480317020563421E-2</v>
      </c>
      <c r="BG3020" s="477">
        <v>7451944.1582635092</v>
      </c>
      <c r="BH3020" s="458">
        <v>8.8757503983304842E-2</v>
      </c>
      <c r="BI3020" s="477">
        <v>17925280.594011661</v>
      </c>
      <c r="BJ3020" s="458">
        <v>0.1116453815915246</v>
      </c>
      <c r="BK3020" s="477">
        <v>81630289.858181477</v>
      </c>
      <c r="BL3020" s="458">
        <v>0.27211428377181157</v>
      </c>
      <c r="BM3020" s="468">
        <v>1.7963504329325639</v>
      </c>
    </row>
    <row r="3021" spans="12:65" x14ac:dyDescent="0.3">
      <c r="L3021" s="427">
        <v>9611138.5445000008</v>
      </c>
      <c r="BE3021" s="477">
        <v>-210856.05196649968</v>
      </c>
      <c r="BF3021" s="458">
        <v>3.1902693101394153E-2</v>
      </c>
      <c r="BG3021" s="477">
        <v>7101521.5432231221</v>
      </c>
      <c r="BH3021" s="458">
        <v>7.7456675797852981E-2</v>
      </c>
      <c r="BI3021" s="477">
        <v>17333032.832284443</v>
      </c>
      <c r="BJ3021" s="458">
        <v>9.1366022090871635E-2</v>
      </c>
      <c r="BK3021" s="477">
        <v>92317987.267523289</v>
      </c>
      <c r="BL3021" s="458">
        <v>0.28604784666661032</v>
      </c>
      <c r="BM3021" s="468">
        <v>5.0475074907523458</v>
      </c>
    </row>
    <row r="3022" spans="12:65" x14ac:dyDescent="0.3">
      <c r="L3022" s="427">
        <v>-3602375.6480999999</v>
      </c>
      <c r="BE3022" s="477">
        <v>7509979.6137791798</v>
      </c>
      <c r="BF3022" s="458">
        <v>5.751913976771772E-2</v>
      </c>
      <c r="BG3022" s="477">
        <v>10998221.301949719</v>
      </c>
      <c r="BH3022" s="458">
        <v>5.4191333105567008E-2</v>
      </c>
      <c r="BI3022" s="477">
        <v>16353464.365109054</v>
      </c>
      <c r="BJ3022" s="458">
        <v>0.12054778830652246</v>
      </c>
      <c r="BK3022" s="477">
        <v>95694949.682364672</v>
      </c>
      <c r="BL3022" s="458">
        <v>0.25685181793754008</v>
      </c>
      <c r="BM3022" s="468">
        <v>11.003692504771934</v>
      </c>
    </row>
    <row r="3023" spans="12:65" x14ac:dyDescent="0.3">
      <c r="L3023" s="427">
        <v>13655245.411</v>
      </c>
      <c r="BE3023" s="477">
        <v>3565961.376422924</v>
      </c>
      <c r="BF3023" s="458">
        <v>3.715953022356433E-2</v>
      </c>
      <c r="BG3023" s="477">
        <v>11318063.358143883</v>
      </c>
      <c r="BH3023" s="458">
        <v>9.5966593253132171E-2</v>
      </c>
      <c r="BI3023" s="477">
        <v>16083953.733804073</v>
      </c>
      <c r="BJ3023" s="458">
        <v>0.10606319236514472</v>
      </c>
      <c r="BK3023" s="477">
        <v>83963597.680614099</v>
      </c>
      <c r="BL3023" s="458">
        <v>0.30222917202440325</v>
      </c>
      <c r="BM3023" s="468">
        <v>7.0170573991542593</v>
      </c>
    </row>
    <row r="3024" spans="12:65" x14ac:dyDescent="0.3">
      <c r="L3024" s="427">
        <v>-5234988.2835999997</v>
      </c>
      <c r="BE3024" s="477">
        <v>7157932.6683666417</v>
      </c>
      <c r="BF3024" s="458">
        <v>3.9075577572043718E-2</v>
      </c>
      <c r="BG3024" s="477">
        <v>10280724.447174763</v>
      </c>
      <c r="BH3024" s="458">
        <v>8.1178978217784969E-2</v>
      </c>
      <c r="BI3024" s="477">
        <v>23751920.521819267</v>
      </c>
      <c r="BJ3024" s="458">
        <v>9.64606425313288E-2</v>
      </c>
      <c r="BK3024" s="477">
        <v>97340135.058580965</v>
      </c>
      <c r="BL3024" s="458">
        <v>0.28886427166740414</v>
      </c>
      <c r="BM3024" s="468">
        <v>7.8235825670136379</v>
      </c>
    </row>
    <row r="3025" spans="12:65" x14ac:dyDescent="0.3">
      <c r="L3025" s="427">
        <v>9202283.6903000008</v>
      </c>
      <c r="BE3025" s="477">
        <v>4816987.2951276964</v>
      </c>
      <c r="BF3025" s="458">
        <v>4.7843865268722086E-2</v>
      </c>
      <c r="BG3025" s="477">
        <v>10271460.686979841</v>
      </c>
      <c r="BH3025" s="458">
        <v>2.329064767898581E-2</v>
      </c>
      <c r="BI3025" s="477">
        <v>21121218.937984411</v>
      </c>
      <c r="BJ3025" s="458">
        <v>0.10004152379661879</v>
      </c>
      <c r="BK3025" s="477">
        <v>93996434.220247447</v>
      </c>
      <c r="BL3025" s="458">
        <v>0.31148853271472077</v>
      </c>
      <c r="BM3025" s="468">
        <v>6.9614450432825956</v>
      </c>
    </row>
    <row r="3026" spans="12:65" x14ac:dyDescent="0.3">
      <c r="L3026" s="427">
        <v>-3189116.3152000001</v>
      </c>
      <c r="BE3026" s="477">
        <v>7842405.0873726355</v>
      </c>
      <c r="BF3026" s="458">
        <v>4.4063661124432052E-2</v>
      </c>
      <c r="BG3026" s="477">
        <v>11295284.121182524</v>
      </c>
      <c r="BH3026" s="458">
        <v>4.9573780531379397E-2</v>
      </c>
      <c r="BI3026" s="477">
        <v>8901969.7025921568</v>
      </c>
      <c r="BJ3026" s="458">
        <v>9.5070003627569122E-2</v>
      </c>
      <c r="BK3026" s="477">
        <v>98245197.726568565</v>
      </c>
      <c r="BL3026" s="458">
        <v>0.25210471438262139</v>
      </c>
      <c r="BM3026" s="468">
        <v>7.2030527138118101</v>
      </c>
    </row>
    <row r="3027" spans="12:65" x14ac:dyDescent="0.3">
      <c r="L3027" s="427">
        <v>-3405670.1927</v>
      </c>
      <c r="BE3027" s="477">
        <v>5345649.7072975729</v>
      </c>
      <c r="BF3027" s="458">
        <v>2.7966793353006558E-2</v>
      </c>
      <c r="BG3027" s="477">
        <v>14691593.502538217</v>
      </c>
      <c r="BH3027" s="458">
        <v>6.9623390606312174E-2</v>
      </c>
      <c r="BI3027" s="477">
        <v>16744560.977665205</v>
      </c>
      <c r="BJ3027" s="458">
        <v>0.13202076090776238</v>
      </c>
      <c r="BK3027" s="477">
        <v>102931404.12016015</v>
      </c>
      <c r="BL3027" s="458">
        <v>0.28069894349578139</v>
      </c>
      <c r="BM3027" s="468">
        <v>0.54158624027237501</v>
      </c>
    </row>
    <row r="3028" spans="12:65" x14ac:dyDescent="0.3">
      <c r="L3028" s="427">
        <v>3278382.4002</v>
      </c>
      <c r="BE3028" s="477">
        <v>9317766.3250711262</v>
      </c>
      <c r="BF3028" s="458">
        <v>3.322488089001463E-2</v>
      </c>
      <c r="BG3028" s="477">
        <v>6480345.1709769629</v>
      </c>
      <c r="BH3028" s="458">
        <v>5.3645682003551798E-2</v>
      </c>
      <c r="BI3028" s="477">
        <v>12906216.6616691</v>
      </c>
      <c r="BJ3028" s="458">
        <v>0.10744552553653564</v>
      </c>
      <c r="BK3028" s="477">
        <v>93727510.01713267</v>
      </c>
      <c r="BL3028" s="458">
        <v>0.27978581803873981</v>
      </c>
      <c r="BM3028" s="468">
        <v>9.0507446930534563</v>
      </c>
    </row>
    <row r="3029" spans="12:65" x14ac:dyDescent="0.3">
      <c r="L3029" s="427">
        <v>27535582.2194</v>
      </c>
      <c r="BE3029" s="477">
        <v>6199392.3789766682</v>
      </c>
      <c r="BF3029" s="458">
        <v>5.4436016384645125E-2</v>
      </c>
      <c r="BG3029" s="477">
        <v>8614213.7174811698</v>
      </c>
      <c r="BH3029" s="458">
        <v>0.11162025514558493</v>
      </c>
      <c r="BI3029" s="477">
        <v>16099574.45254069</v>
      </c>
      <c r="BJ3029" s="458">
        <v>0.10679689976051954</v>
      </c>
      <c r="BK3029" s="477">
        <v>78375356.6554849</v>
      </c>
      <c r="BL3029" s="458">
        <v>0.27738721081058459</v>
      </c>
      <c r="BM3029" s="468">
        <v>10.787655199521367</v>
      </c>
    </row>
    <row r="3030" spans="12:65" x14ac:dyDescent="0.3">
      <c r="L3030" s="427">
        <v>23343630.7874</v>
      </c>
      <c r="BE3030" s="477">
        <v>8144474.9757242762</v>
      </c>
      <c r="BF3030" s="458">
        <v>3.1992744703579934E-2</v>
      </c>
      <c r="BG3030" s="477">
        <v>10897305.259753618</v>
      </c>
      <c r="BH3030" s="458">
        <v>4.9646925595881575E-2</v>
      </c>
      <c r="BI3030" s="477">
        <v>16547500.787703997</v>
      </c>
      <c r="BJ3030" s="458">
        <v>0.11405983573005329</v>
      </c>
      <c r="BK3030" s="477">
        <v>86828860.289724305</v>
      </c>
      <c r="BL3030" s="458">
        <v>0.29714496960707848</v>
      </c>
      <c r="BM3030" s="468">
        <v>12.222762255775834</v>
      </c>
    </row>
    <row r="3031" spans="12:65" x14ac:dyDescent="0.3">
      <c r="L3031" s="427">
        <v>8722966.0512000006</v>
      </c>
      <c r="BE3031" s="477">
        <v>8755260.6908728741</v>
      </c>
      <c r="BF3031" s="458">
        <v>5.7781607660236878E-2</v>
      </c>
      <c r="BG3031" s="477">
        <v>10052644.597493587</v>
      </c>
      <c r="BH3031" s="458">
        <v>6.2945869649111863E-2</v>
      </c>
      <c r="BI3031" s="477">
        <v>19822950.096862633</v>
      </c>
      <c r="BJ3031" s="458">
        <v>0.11099349369036271</v>
      </c>
      <c r="BK3031" s="477">
        <v>79326450.170166865</v>
      </c>
      <c r="BL3031" s="458">
        <v>0.3014980510283376</v>
      </c>
      <c r="BM3031" s="468">
        <v>4.0263457837431949</v>
      </c>
    </row>
    <row r="3032" spans="12:65" x14ac:dyDescent="0.3">
      <c r="L3032" s="427">
        <v>7303122.1485000001</v>
      </c>
      <c r="BE3032" s="477">
        <v>6334859.5829214482</v>
      </c>
      <c r="BF3032" s="458">
        <v>5.8196867432493971E-2</v>
      </c>
      <c r="BG3032" s="477">
        <v>11291336.83736161</v>
      </c>
      <c r="BH3032" s="458">
        <v>6.0797521079715366E-2</v>
      </c>
      <c r="BI3032" s="477">
        <v>15588425.732368823</v>
      </c>
      <c r="BJ3032" s="458">
        <v>9.3008280643172236E-2</v>
      </c>
      <c r="BK3032" s="477">
        <v>81067903.655403867</v>
      </c>
      <c r="BL3032" s="458">
        <v>0.27566751914648879</v>
      </c>
      <c r="BM3032" s="468">
        <v>6.3812796288474578</v>
      </c>
    </row>
    <row r="3033" spans="12:65" x14ac:dyDescent="0.3">
      <c r="L3033" s="427">
        <v>8765888.4910000004</v>
      </c>
      <c r="BE3033" s="477">
        <v>5718368.8125038119</v>
      </c>
      <c r="BF3033" s="458">
        <v>4.987308331478113E-2</v>
      </c>
      <c r="BG3033" s="477">
        <v>8815329.1286525894</v>
      </c>
      <c r="BH3033" s="458">
        <v>6.9278807696476097E-2</v>
      </c>
      <c r="BI3033" s="477">
        <v>21451796.431604993</v>
      </c>
      <c r="BJ3033" s="458">
        <v>0.11768440755144405</v>
      </c>
      <c r="BK3033" s="477">
        <v>90222851.7538822</v>
      </c>
      <c r="BL3033" s="458">
        <v>0.27417336361311051</v>
      </c>
      <c r="BM3033" s="468">
        <v>10.839945728878266</v>
      </c>
    </row>
    <row r="3034" spans="12:65" x14ac:dyDescent="0.3">
      <c r="L3034" s="427">
        <v>-6417339.9031999996</v>
      </c>
      <c r="BE3034" s="477">
        <v>9304754.2472414821</v>
      </c>
      <c r="BF3034" s="458">
        <v>5.5950081696926279E-2</v>
      </c>
      <c r="BG3034" s="477">
        <v>7716313.1252630306</v>
      </c>
      <c r="BH3034" s="458">
        <v>4.8268979866114226E-2</v>
      </c>
      <c r="BI3034" s="477">
        <v>16793220.433416862</v>
      </c>
      <c r="BJ3034" s="458">
        <v>0.1143059006650462</v>
      </c>
      <c r="BK3034" s="477">
        <v>94097961.889399156</v>
      </c>
      <c r="BL3034" s="458">
        <v>0.25215439393836503</v>
      </c>
      <c r="BM3034" s="468">
        <v>6.8635892144665291</v>
      </c>
    </row>
    <row r="3035" spans="12:65" x14ac:dyDescent="0.3">
      <c r="L3035" s="427">
        <v>12830309.739700001</v>
      </c>
      <c r="BE3035" s="477">
        <v>1875256.4497941285</v>
      </c>
      <c r="BF3035" s="458">
        <v>2.6637907026791696E-2</v>
      </c>
      <c r="BG3035" s="477">
        <v>4799853.4199327417</v>
      </c>
      <c r="BH3035" s="458">
        <v>6.1690812724903843E-2</v>
      </c>
      <c r="BI3035" s="477">
        <v>7538989.4058337184</v>
      </c>
      <c r="BJ3035" s="458">
        <v>0.11912985558063749</v>
      </c>
      <c r="BK3035" s="477">
        <v>85885487.978029862</v>
      </c>
      <c r="BL3035" s="458">
        <v>0.26665207014495684</v>
      </c>
      <c r="BM3035" s="468">
        <v>9.3185983642538357</v>
      </c>
    </row>
    <row r="3036" spans="12:65" x14ac:dyDescent="0.3">
      <c r="L3036" s="427">
        <v>-2267380.3925000001</v>
      </c>
      <c r="BE3036" s="477">
        <v>3285350.0440552756</v>
      </c>
      <c r="BF3036" s="458">
        <v>2.6238982707287084E-2</v>
      </c>
      <c r="BG3036" s="477">
        <v>7553746.6743799848</v>
      </c>
      <c r="BH3036" s="458">
        <v>4.780475354335878E-2</v>
      </c>
      <c r="BI3036" s="477">
        <v>18895585.594060529</v>
      </c>
      <c r="BJ3036" s="458">
        <v>0.1216438005053424</v>
      </c>
      <c r="BK3036" s="477">
        <v>89526233.445589513</v>
      </c>
      <c r="BL3036" s="458">
        <v>0.27655476194500528</v>
      </c>
      <c r="BM3036" s="468">
        <v>8.5502298329533719</v>
      </c>
    </row>
    <row r="3037" spans="12:65" x14ac:dyDescent="0.3">
      <c r="L3037" s="427">
        <v>-6691895.2578999996</v>
      </c>
      <c r="BE3037" s="477">
        <v>2800998.5394587624</v>
      </c>
      <c r="BF3037" s="458">
        <v>3.40820517516085E-2</v>
      </c>
      <c r="BG3037" s="477">
        <v>-3143848.346786717</v>
      </c>
      <c r="BH3037" s="458">
        <v>7.7990168537033E-2</v>
      </c>
      <c r="BI3037" s="477">
        <v>12576055.174801655</v>
      </c>
      <c r="BJ3037" s="458">
        <v>0.10346015419217247</v>
      </c>
      <c r="BK3037" s="477">
        <v>92774204.880038306</v>
      </c>
      <c r="BL3037" s="458">
        <v>0.24722651666912387</v>
      </c>
      <c r="BM3037" s="468">
        <v>6.7383806419493117</v>
      </c>
    </row>
    <row r="3038" spans="12:65" x14ac:dyDescent="0.3">
      <c r="L3038" s="427">
        <v>14479363.7435</v>
      </c>
      <c r="BE3038" s="477">
        <v>-1550385.6565263022</v>
      </c>
      <c r="BF3038" s="458">
        <v>4.5025556447434445E-2</v>
      </c>
      <c r="BG3038" s="477">
        <v>10417201.070907369</v>
      </c>
      <c r="BH3038" s="458">
        <v>5.5345005798488334E-2</v>
      </c>
      <c r="BI3038" s="477">
        <v>14957553.860595345</v>
      </c>
      <c r="BJ3038" s="458">
        <v>8.4077074572744159E-2</v>
      </c>
      <c r="BK3038" s="477">
        <v>84116626.277491048</v>
      </c>
      <c r="BL3038" s="458">
        <v>0.28842869520889503</v>
      </c>
      <c r="BM3038" s="468">
        <v>17.168061351087026</v>
      </c>
    </row>
    <row r="3039" spans="12:65" x14ac:dyDescent="0.3">
      <c r="L3039" s="427">
        <v>16065191.2675</v>
      </c>
      <c r="BE3039" s="477">
        <v>5003165.3996739844</v>
      </c>
      <c r="BF3039" s="458">
        <v>5.1097714055373666E-2</v>
      </c>
      <c r="BG3039" s="477">
        <v>14097099.702684602</v>
      </c>
      <c r="BH3039" s="458">
        <v>0.10099393286281866</v>
      </c>
      <c r="BI3039" s="477">
        <v>17528830.338291552</v>
      </c>
      <c r="BJ3039" s="458">
        <v>0.12725897833488831</v>
      </c>
      <c r="BK3039" s="477">
        <v>88850261.217252955</v>
      </c>
      <c r="BL3039" s="458">
        <v>0.28584145507883241</v>
      </c>
      <c r="BM3039" s="468">
        <v>11.611925607251806</v>
      </c>
    </row>
    <row r="3040" spans="12:65" x14ac:dyDescent="0.3">
      <c r="L3040" s="427">
        <v>13408935.457</v>
      </c>
      <c r="BE3040" s="477">
        <v>2395647.701362608</v>
      </c>
      <c r="BF3040" s="458">
        <v>6.7423311113078421E-2</v>
      </c>
      <c r="BG3040" s="477">
        <v>13083695.06697816</v>
      </c>
      <c r="BH3040" s="458">
        <v>6.158740539018992E-2</v>
      </c>
      <c r="BI3040" s="477">
        <v>19652953.608367298</v>
      </c>
      <c r="BJ3040" s="458">
        <v>7.8241084776080605E-2</v>
      </c>
      <c r="BK3040" s="477">
        <v>98407353.954906613</v>
      </c>
      <c r="BL3040" s="458">
        <v>0.25684967221021826</v>
      </c>
      <c r="BM3040" s="468">
        <v>5.1040221448660024</v>
      </c>
    </row>
    <row r="3041" spans="12:65" x14ac:dyDescent="0.3">
      <c r="L3041" s="427">
        <v>6312128.6257999996</v>
      </c>
      <c r="BE3041" s="477">
        <v>8384086.7848122818</v>
      </c>
      <c r="BF3041" s="458">
        <v>3.8454668727599284E-2</v>
      </c>
      <c r="BG3041" s="477">
        <v>4871629.4075580891</v>
      </c>
      <c r="BH3041" s="458">
        <v>9.1939048053158112E-2</v>
      </c>
      <c r="BI3041" s="477">
        <v>22609909.282923583</v>
      </c>
      <c r="BJ3041" s="458">
        <v>0.12904981686816863</v>
      </c>
      <c r="BK3041" s="477">
        <v>90618069.749620572</v>
      </c>
      <c r="BL3041" s="458">
        <v>0.25731437365586296</v>
      </c>
      <c r="BM3041" s="468">
        <v>8.0078731063578719</v>
      </c>
    </row>
    <row r="3042" spans="12:65" x14ac:dyDescent="0.3">
      <c r="L3042" s="427">
        <v>724346.15590000001</v>
      </c>
      <c r="BE3042" s="477">
        <v>5646849.3838341963</v>
      </c>
      <c r="BF3042" s="458">
        <v>3.7249581514632979E-2</v>
      </c>
      <c r="BG3042" s="477">
        <v>8655456.4479642175</v>
      </c>
      <c r="BH3042" s="458">
        <v>5.6291648095037283E-2</v>
      </c>
      <c r="BI3042" s="477">
        <v>16874411.629786838</v>
      </c>
      <c r="BJ3042" s="458">
        <v>9.6647332678521991E-2</v>
      </c>
      <c r="BK3042" s="477">
        <v>96316538.866513968</v>
      </c>
      <c r="BL3042" s="458">
        <v>0.27864179002874878</v>
      </c>
      <c r="BM3042" s="468">
        <v>6.1428164973654233</v>
      </c>
    </row>
    <row r="3043" spans="12:65" x14ac:dyDescent="0.3">
      <c r="L3043" s="427">
        <v>20753720.489799999</v>
      </c>
      <c r="BE3043" s="477">
        <v>10612451.568361597</v>
      </c>
      <c r="BF3043" s="458">
        <v>3.2970342814714781E-2</v>
      </c>
      <c r="BG3043" s="477">
        <v>6128724.6902308809</v>
      </c>
      <c r="BH3043" s="458">
        <v>6.5104390626416597E-2</v>
      </c>
      <c r="BI3043" s="477">
        <v>17266742.068259284</v>
      </c>
      <c r="BJ3043" s="458">
        <v>0.11331922243363568</v>
      </c>
      <c r="BK3043" s="477">
        <v>77988197.60255748</v>
      </c>
      <c r="BL3043" s="458">
        <v>0.28325705857061378</v>
      </c>
      <c r="BM3043" s="468">
        <v>1.5973911739784041</v>
      </c>
    </row>
    <row r="3044" spans="12:65" x14ac:dyDescent="0.3">
      <c r="L3044" s="427">
        <v>-7846048.2085999995</v>
      </c>
      <c r="BE3044" s="477">
        <v>3198084.1459010867</v>
      </c>
      <c r="BF3044" s="458">
        <v>6.7510138606265535E-2</v>
      </c>
      <c r="BG3044" s="477">
        <v>12154191.862713533</v>
      </c>
      <c r="BH3044" s="458">
        <v>6.8013705840625605E-2</v>
      </c>
      <c r="BI3044" s="477">
        <v>20639943.853957433</v>
      </c>
      <c r="BJ3044" s="458">
        <v>8.6189886688182948E-2</v>
      </c>
      <c r="BK3044" s="477">
        <v>80114174.603113934</v>
      </c>
      <c r="BL3044" s="458">
        <v>0.26418434450982753</v>
      </c>
      <c r="BM3044" s="468">
        <v>6.0025714101991721</v>
      </c>
    </row>
    <row r="3045" spans="12:65" x14ac:dyDescent="0.3">
      <c r="L3045" s="427">
        <v>13190318.677100001</v>
      </c>
      <c r="BE3045" s="477">
        <v>5997848.0507915178</v>
      </c>
      <c r="BF3045" s="458">
        <v>2.4681494015150518E-2</v>
      </c>
      <c r="BG3045" s="477">
        <v>5023376.8582670745</v>
      </c>
      <c r="BH3045" s="458">
        <v>6.180117669934293E-2</v>
      </c>
      <c r="BI3045" s="477">
        <v>12805248.945051443</v>
      </c>
      <c r="BJ3045" s="458">
        <v>9.4412721243258169E-2</v>
      </c>
      <c r="BK3045" s="477">
        <v>92878740.251097932</v>
      </c>
      <c r="BL3045" s="458">
        <v>0.26460839978736028</v>
      </c>
      <c r="BM3045" s="468">
        <v>11.332223772405724</v>
      </c>
    </row>
    <row r="3046" spans="12:65" x14ac:dyDescent="0.3">
      <c r="L3046" s="427">
        <v>31452173.510299999</v>
      </c>
      <c r="BE3046" s="477">
        <v>8259166.9475671798</v>
      </c>
      <c r="BF3046" s="458">
        <v>3.0411326387411286E-2</v>
      </c>
      <c r="BG3046" s="477">
        <v>8508217.5927670412</v>
      </c>
      <c r="BH3046" s="458">
        <v>6.6435037921817264E-2</v>
      </c>
      <c r="BI3046" s="477">
        <v>15848199.518510705</v>
      </c>
      <c r="BJ3046" s="458">
        <v>0.11041790152303621</v>
      </c>
      <c r="BK3046" s="477">
        <v>91632233.379271597</v>
      </c>
      <c r="BL3046" s="458">
        <v>0.25385372423573971</v>
      </c>
      <c r="BM3046" s="468">
        <v>9.1602653576608226</v>
      </c>
    </row>
    <row r="3047" spans="12:65" x14ac:dyDescent="0.3">
      <c r="L3047" s="427">
        <v>11122013.7939</v>
      </c>
      <c r="BE3047" s="477">
        <v>4265729.1986243799</v>
      </c>
      <c r="BF3047" s="458">
        <v>4.2229644547736589E-2</v>
      </c>
      <c r="BG3047" s="477">
        <v>10668430.354639223</v>
      </c>
      <c r="BH3047" s="458">
        <v>6.7029136405721168E-2</v>
      </c>
      <c r="BI3047" s="477">
        <v>21241853.975082085</v>
      </c>
      <c r="BJ3047" s="458">
        <v>0.13785163099417619</v>
      </c>
      <c r="BK3047" s="477">
        <v>92416989.449120015</v>
      </c>
      <c r="BL3047" s="458">
        <v>0.2880285038110193</v>
      </c>
      <c r="BM3047" s="468">
        <v>6.6245150617096922</v>
      </c>
    </row>
    <row r="3048" spans="12:65" x14ac:dyDescent="0.3">
      <c r="L3048" s="427">
        <v>3200833.2368999999</v>
      </c>
      <c r="BE3048" s="477">
        <v>4717521.6631305898</v>
      </c>
      <c r="BF3048" s="458">
        <v>2.6352746350440048E-2</v>
      </c>
      <c r="BG3048" s="477">
        <v>12910656.679146469</v>
      </c>
      <c r="BH3048" s="458">
        <v>6.9209580428482687E-2</v>
      </c>
      <c r="BI3048" s="477">
        <v>17290348.773369607</v>
      </c>
      <c r="BJ3048" s="458">
        <v>9.6259712978703504E-2</v>
      </c>
      <c r="BK3048" s="477">
        <v>80046249.025064096</v>
      </c>
      <c r="BL3048" s="458">
        <v>0.26580739291571764</v>
      </c>
      <c r="BM3048" s="468">
        <v>10.034841446094084</v>
      </c>
    </row>
    <row r="3049" spans="12:65" x14ac:dyDescent="0.3">
      <c r="L3049" s="427">
        <v>-5514714.3820000002</v>
      </c>
      <c r="BE3049" s="477">
        <v>5437303.609849466</v>
      </c>
      <c r="BF3049" s="458">
        <v>3.0710260674302825E-2</v>
      </c>
      <c r="BG3049" s="477">
        <v>13894307.469102537</v>
      </c>
      <c r="BH3049" s="458">
        <v>8.1351467087045437E-2</v>
      </c>
      <c r="BI3049" s="477">
        <v>16362987.642340241</v>
      </c>
      <c r="BJ3049" s="458">
        <v>0.11477118752816473</v>
      </c>
      <c r="BK3049" s="477">
        <v>83492320.430656865</v>
      </c>
      <c r="BL3049" s="458">
        <v>0.26777866836985531</v>
      </c>
      <c r="BM3049" s="468">
        <v>10.128855177075142</v>
      </c>
    </row>
    <row r="3050" spans="12:65" x14ac:dyDescent="0.3">
      <c r="L3050" s="427">
        <v>8655297.2476000004</v>
      </c>
      <c r="BE3050" s="477">
        <v>3132304.7092648163</v>
      </c>
      <c r="BF3050" s="458">
        <v>4.5004678243299789E-2</v>
      </c>
      <c r="BG3050" s="477">
        <v>18272884.688851379</v>
      </c>
      <c r="BH3050" s="458">
        <v>7.0116951447788178E-2</v>
      </c>
      <c r="BI3050" s="477">
        <v>15281645.568969712</v>
      </c>
      <c r="BJ3050" s="458">
        <v>0.10399929759318205</v>
      </c>
      <c r="BK3050" s="477">
        <v>93430955.462032005</v>
      </c>
      <c r="BL3050" s="458">
        <v>0.2931124733023649</v>
      </c>
      <c r="BM3050" s="468">
        <v>6.7959008226766846</v>
      </c>
    </row>
    <row r="3051" spans="12:65" x14ac:dyDescent="0.3">
      <c r="L3051" s="427">
        <v>10481869.427200001</v>
      </c>
      <c r="BE3051" s="477">
        <v>2842345.5904126619</v>
      </c>
      <c r="BF3051" s="458">
        <v>2.8373182156756327E-2</v>
      </c>
      <c r="BG3051" s="477">
        <v>2957574.4605822037</v>
      </c>
      <c r="BH3051" s="458">
        <v>7.6769006792094974E-2</v>
      </c>
      <c r="BI3051" s="477">
        <v>21617917.337352917</v>
      </c>
      <c r="BJ3051" s="458">
        <v>0.1137549572610308</v>
      </c>
      <c r="BK3051" s="477">
        <v>91139855.846208811</v>
      </c>
      <c r="BL3051" s="458">
        <v>0.28105621652814494</v>
      </c>
      <c r="BM3051" s="468">
        <v>6.9201047596069065</v>
      </c>
    </row>
    <row r="3052" spans="12:65" x14ac:dyDescent="0.3">
      <c r="L3052" s="427">
        <v>9750511.5116000008</v>
      </c>
      <c r="BE3052" s="477">
        <v>6733652.4857578222</v>
      </c>
      <c r="BF3052" s="458">
        <v>4.6918862180236331E-2</v>
      </c>
      <c r="BG3052" s="477">
        <v>11672361.60961543</v>
      </c>
      <c r="BH3052" s="458">
        <v>4.3583129902806661E-2</v>
      </c>
      <c r="BI3052" s="477">
        <v>21199325.252013791</v>
      </c>
      <c r="BJ3052" s="458">
        <v>0.11731336033762818</v>
      </c>
      <c r="BK3052" s="477">
        <v>99378263.064001217</v>
      </c>
      <c r="BL3052" s="458">
        <v>0.28872643163864131</v>
      </c>
      <c r="BM3052" s="468">
        <v>10.485506202624586</v>
      </c>
    </row>
    <row r="3053" spans="12:65" x14ac:dyDescent="0.3">
      <c r="L3053" s="427">
        <v>14546997.5307</v>
      </c>
      <c r="BE3053" s="477">
        <v>3766325.1699023456</v>
      </c>
      <c r="BF3053" s="458">
        <v>1.2380310459719546E-2</v>
      </c>
      <c r="BG3053" s="477">
        <v>11569480.220770977</v>
      </c>
      <c r="BH3053" s="458">
        <v>6.2355753150267201E-2</v>
      </c>
      <c r="BI3053" s="477">
        <v>5482091.703930134</v>
      </c>
      <c r="BJ3053" s="458">
        <v>0.10674680243794676</v>
      </c>
      <c r="BK3053" s="477">
        <v>97465571.586583197</v>
      </c>
      <c r="BL3053" s="458">
        <v>0.2621360408396376</v>
      </c>
      <c r="BM3053" s="468">
        <v>6.8855724167280581</v>
      </c>
    </row>
    <row r="3054" spans="12:65" x14ac:dyDescent="0.3">
      <c r="L3054" s="427">
        <v>7344920.7237999998</v>
      </c>
      <c r="BE3054" s="477">
        <v>7597722.3526283428</v>
      </c>
      <c r="BF3054" s="458">
        <v>4.2051687562454587E-2</v>
      </c>
      <c r="BG3054" s="477">
        <v>10840540.121228717</v>
      </c>
      <c r="BH3054" s="458">
        <v>8.5522065916987744E-2</v>
      </c>
      <c r="BI3054" s="477">
        <v>24421795.828338761</v>
      </c>
      <c r="BJ3054" s="458">
        <v>0.10112547569838926</v>
      </c>
      <c r="BK3054" s="477">
        <v>93237732.513508096</v>
      </c>
      <c r="BL3054" s="458">
        <v>0.25718518394260181</v>
      </c>
      <c r="BM3054" s="468">
        <v>1.9516922752932473</v>
      </c>
    </row>
    <row r="3055" spans="12:65" x14ac:dyDescent="0.3">
      <c r="L3055" s="427">
        <v>145483.47390000001</v>
      </c>
      <c r="BE3055" s="477">
        <v>6906426.1601140508</v>
      </c>
      <c r="BF3055" s="458">
        <v>4.9785417307286473E-2</v>
      </c>
      <c r="BG3055" s="477">
        <v>5432807.7056174986</v>
      </c>
      <c r="BH3055" s="458">
        <v>7.0154619118911299E-2</v>
      </c>
      <c r="BI3055" s="477">
        <v>8302463.9498861078</v>
      </c>
      <c r="BJ3055" s="458">
        <v>0.11626819463212068</v>
      </c>
      <c r="BK3055" s="477">
        <v>101008975.30599859</v>
      </c>
      <c r="BL3055" s="458">
        <v>0.25339949212186208</v>
      </c>
      <c r="BM3055" s="468">
        <v>14.237381518120305</v>
      </c>
    </row>
    <row r="3056" spans="12:65" x14ac:dyDescent="0.3">
      <c r="L3056" s="427">
        <v>8807348.9840999991</v>
      </c>
      <c r="BE3056" s="477">
        <v>4826043.0359420348</v>
      </c>
      <c r="BF3056" s="458">
        <v>1.9858325389372711E-2</v>
      </c>
      <c r="BG3056" s="477">
        <v>6275935.6730606435</v>
      </c>
      <c r="BH3056" s="458">
        <v>5.2726003663162491E-2</v>
      </c>
      <c r="BI3056" s="477">
        <v>14145532.574050596</v>
      </c>
      <c r="BJ3056" s="458">
        <v>0.12070912006157908</v>
      </c>
      <c r="BK3056" s="477">
        <v>82132844.130607471</v>
      </c>
      <c r="BL3056" s="458">
        <v>0.26777189445661453</v>
      </c>
      <c r="BM3056" s="468">
        <v>9.3007560540271736</v>
      </c>
    </row>
    <row r="3057" spans="12:65" x14ac:dyDescent="0.3">
      <c r="L3057" s="427">
        <v>-867791.15040000004</v>
      </c>
      <c r="BE3057" s="477">
        <v>5563547.5243822401</v>
      </c>
      <c r="BF3057" s="458">
        <v>4.6933541726319916E-2</v>
      </c>
      <c r="BG3057" s="477">
        <v>6449627.4836045364</v>
      </c>
      <c r="BH3057" s="458">
        <v>8.2902356972048397E-2</v>
      </c>
      <c r="BI3057" s="477">
        <v>18890451.970210407</v>
      </c>
      <c r="BJ3057" s="458">
        <v>0.10685718236571762</v>
      </c>
      <c r="BK3057" s="477">
        <v>89181358.520442218</v>
      </c>
      <c r="BL3057" s="458">
        <v>0.25380212194802731</v>
      </c>
      <c r="BM3057" s="468">
        <v>4.3294881702943986</v>
      </c>
    </row>
    <row r="3058" spans="12:65" x14ac:dyDescent="0.3">
      <c r="L3058" s="427">
        <v>-12894397.7587</v>
      </c>
      <c r="BE3058" s="477">
        <v>4308969.1116356784</v>
      </c>
      <c r="BF3058" s="458">
        <v>4.5280891440836468E-2</v>
      </c>
      <c r="BG3058" s="477">
        <v>8225309.383267371</v>
      </c>
      <c r="BH3058" s="458">
        <v>7.2962813725335751E-2</v>
      </c>
      <c r="BI3058" s="477">
        <v>14459646.719153406</v>
      </c>
      <c r="BJ3058" s="458">
        <v>8.8018512899025847E-2</v>
      </c>
      <c r="BK3058" s="477">
        <v>85098886.558644578</v>
      </c>
      <c r="BL3058" s="458">
        <v>0.27990045958653842</v>
      </c>
      <c r="BM3058" s="468">
        <v>10.281486865014744</v>
      </c>
    </row>
    <row r="3059" spans="12:65" x14ac:dyDescent="0.3">
      <c r="L3059" s="427">
        <v>5347871.6085000001</v>
      </c>
      <c r="BE3059" s="477">
        <v>8107283.7836998599</v>
      </c>
      <c r="BF3059" s="458">
        <v>5.9755813732113916E-2</v>
      </c>
      <c r="BG3059" s="477">
        <v>10351989.354468986</v>
      </c>
      <c r="BH3059" s="458">
        <v>9.635144667284723E-2</v>
      </c>
      <c r="BI3059" s="477">
        <v>16835617.07284433</v>
      </c>
      <c r="BJ3059" s="458">
        <v>0.12845750827517821</v>
      </c>
      <c r="BK3059" s="477">
        <v>98644099.849789798</v>
      </c>
      <c r="BL3059" s="458">
        <v>0.26544958190535528</v>
      </c>
      <c r="BM3059" s="468">
        <v>7.4535992072551478</v>
      </c>
    </row>
    <row r="3060" spans="12:65" x14ac:dyDescent="0.3">
      <c r="L3060" s="427">
        <v>-23559074.887200002</v>
      </c>
      <c r="BE3060" s="477">
        <v>7737952.9288046909</v>
      </c>
      <c r="BF3060" s="458">
        <v>5.2824758417110873E-2</v>
      </c>
      <c r="BG3060" s="477">
        <v>6858621.7854779204</v>
      </c>
      <c r="BH3060" s="458">
        <v>6.5455675108198275E-2</v>
      </c>
      <c r="BI3060" s="477">
        <v>17072998.886844657</v>
      </c>
      <c r="BJ3060" s="458">
        <v>9.8138985937699097E-2</v>
      </c>
      <c r="BK3060" s="477">
        <v>105099742.83754717</v>
      </c>
      <c r="BL3060" s="458">
        <v>0.29173891165962362</v>
      </c>
      <c r="BM3060" s="468">
        <v>2.5400023297383134</v>
      </c>
    </row>
    <row r="3061" spans="12:65" x14ac:dyDescent="0.3">
      <c r="L3061" s="427">
        <v>14774429.4562</v>
      </c>
      <c r="BE3061" s="477">
        <v>3463315.5520366398</v>
      </c>
      <c r="BF3061" s="458">
        <v>5.045486102779817E-2</v>
      </c>
      <c r="BG3061" s="477">
        <v>9364764.1806878373</v>
      </c>
      <c r="BH3061" s="458">
        <v>7.9217217337846257E-2</v>
      </c>
      <c r="BI3061" s="477">
        <v>13562152.03315904</v>
      </c>
      <c r="BJ3061" s="458">
        <v>0.1208903987679224</v>
      </c>
      <c r="BK3061" s="477">
        <v>89473126.533295333</v>
      </c>
      <c r="BL3061" s="458">
        <v>0.26573547733379455</v>
      </c>
      <c r="BM3061" s="468">
        <v>9.0658958696079335</v>
      </c>
    </row>
    <row r="3062" spans="12:65" x14ac:dyDescent="0.3">
      <c r="L3062" s="427">
        <v>-634147.15789999999</v>
      </c>
      <c r="BE3062" s="477">
        <v>6594232.1655046316</v>
      </c>
      <c r="BF3062" s="458">
        <v>6.1594896862290582E-2</v>
      </c>
      <c r="BG3062" s="477">
        <v>9807778.5449849647</v>
      </c>
      <c r="BH3062" s="458">
        <v>7.4190116457308664E-2</v>
      </c>
      <c r="BI3062" s="477">
        <v>25175888.121913552</v>
      </c>
      <c r="BJ3062" s="458">
        <v>0.10582938521379059</v>
      </c>
      <c r="BK3062" s="477">
        <v>96733648.835445389</v>
      </c>
      <c r="BL3062" s="458">
        <v>0.28745843679552108</v>
      </c>
      <c r="BM3062" s="468">
        <v>16.415080260386684</v>
      </c>
    </row>
    <row r="3063" spans="12:65" x14ac:dyDescent="0.3">
      <c r="L3063" s="427">
        <v>13340404.307700001</v>
      </c>
      <c r="BE3063" s="477">
        <v>5627707.8381935777</v>
      </c>
      <c r="BF3063" s="458">
        <v>2.8706128574033318E-2</v>
      </c>
      <c r="BG3063" s="477">
        <v>12788202.529236181</v>
      </c>
      <c r="BH3063" s="458">
        <v>5.0204880460782197E-2</v>
      </c>
      <c r="BI3063" s="477">
        <v>19367436.415746938</v>
      </c>
      <c r="BJ3063" s="458">
        <v>0.13672825968736602</v>
      </c>
      <c r="BK3063" s="477">
        <v>91060077.98708725</v>
      </c>
      <c r="BL3063" s="458">
        <v>0.28510325071027065</v>
      </c>
      <c r="BM3063" s="468">
        <v>6.9209855350553067</v>
      </c>
    </row>
    <row r="3064" spans="12:65" x14ac:dyDescent="0.3">
      <c r="L3064" s="427">
        <v>3733483.8854999999</v>
      </c>
      <c r="BE3064" s="477">
        <v>5283977.7776515754</v>
      </c>
      <c r="BF3064" s="458">
        <v>4.2967802135447153E-2</v>
      </c>
      <c r="BG3064" s="477">
        <v>2311323.0485834279</v>
      </c>
      <c r="BH3064" s="458">
        <v>3.7334330674844152E-2</v>
      </c>
      <c r="BI3064" s="477">
        <v>18270614.93485783</v>
      </c>
      <c r="BJ3064" s="458">
        <v>8.885017748769819E-2</v>
      </c>
      <c r="BK3064" s="477">
        <v>79405838.045200393</v>
      </c>
      <c r="BL3064" s="458">
        <v>0.25527035530854891</v>
      </c>
      <c r="BM3064" s="468">
        <v>9.9842810372627415</v>
      </c>
    </row>
    <row r="3065" spans="12:65" x14ac:dyDescent="0.3">
      <c r="L3065" s="427">
        <v>16703922.9155</v>
      </c>
      <c r="BE3065" s="477">
        <v>7121647.2188904919</v>
      </c>
      <c r="BF3065" s="458">
        <v>4.518234655022213E-2</v>
      </c>
      <c r="BG3065" s="477">
        <v>14874719.785305467</v>
      </c>
      <c r="BH3065" s="458">
        <v>6.6402921037681084E-2</v>
      </c>
      <c r="BI3065" s="477">
        <v>13091860.475317255</v>
      </c>
      <c r="BJ3065" s="458">
        <v>0.1085171848424642</v>
      </c>
      <c r="BK3065" s="477">
        <v>93304010.908186898</v>
      </c>
      <c r="BL3065" s="458">
        <v>0.28449510480427231</v>
      </c>
      <c r="BM3065" s="468">
        <v>-1.292071508998248</v>
      </c>
    </row>
    <row r="3066" spans="12:65" x14ac:dyDescent="0.3">
      <c r="L3066" s="427">
        <v>10971981.879000001</v>
      </c>
      <c r="BE3066" s="477">
        <v>-2369250.1236953074</v>
      </c>
      <c r="BF3066" s="458">
        <v>3.1949993150725886E-2</v>
      </c>
      <c r="BG3066" s="477">
        <v>13915116.745226581</v>
      </c>
      <c r="BH3066" s="458">
        <v>5.1290558199565961E-2</v>
      </c>
      <c r="BI3066" s="477">
        <v>20253877.275312409</v>
      </c>
      <c r="BJ3066" s="458">
        <v>0.11345842913478132</v>
      </c>
      <c r="BK3066" s="477">
        <v>79414020.983739436</v>
      </c>
      <c r="BL3066" s="458">
        <v>0.29314200637048238</v>
      </c>
      <c r="BM3066" s="468">
        <v>4.0914151639170164</v>
      </c>
    </row>
    <row r="3067" spans="12:65" x14ac:dyDescent="0.3">
      <c r="L3067" s="427">
        <v>15072433.3621</v>
      </c>
      <c r="BE3067" s="477">
        <v>5636132.7845561299</v>
      </c>
      <c r="BF3067" s="458">
        <v>2.4321162027530763E-2</v>
      </c>
      <c r="BG3067" s="477">
        <v>12844894.6088227</v>
      </c>
      <c r="BH3067" s="458">
        <v>6.6488476629378068E-2</v>
      </c>
      <c r="BI3067" s="477">
        <v>20330563.872289147</v>
      </c>
      <c r="BJ3067" s="458">
        <v>0.13215582621441047</v>
      </c>
      <c r="BK3067" s="477">
        <v>94628799.186955214</v>
      </c>
      <c r="BL3067" s="458">
        <v>0.27083649058515569</v>
      </c>
      <c r="BM3067" s="468">
        <v>3.1195125569372539</v>
      </c>
    </row>
    <row r="3068" spans="12:65" x14ac:dyDescent="0.3">
      <c r="L3068" s="427">
        <v>8127141.1360999998</v>
      </c>
      <c r="BE3068" s="477">
        <v>6199076.5026661279</v>
      </c>
      <c r="BF3068" s="458">
        <v>2.4700093234083731E-2</v>
      </c>
      <c r="BG3068" s="477">
        <v>9415587.6561598349</v>
      </c>
      <c r="BH3068" s="458">
        <v>8.3454007974659961E-2</v>
      </c>
      <c r="BI3068" s="477">
        <v>16192068.312859477</v>
      </c>
      <c r="BJ3068" s="458">
        <v>0.12797489518338101</v>
      </c>
      <c r="BK3068" s="477">
        <v>75189542.492178023</v>
      </c>
      <c r="BL3068" s="458">
        <v>0.26175956392464106</v>
      </c>
      <c r="BM3068" s="468">
        <v>16.317133015759666</v>
      </c>
    </row>
    <row r="3069" spans="12:65" x14ac:dyDescent="0.3">
      <c r="L3069" s="427">
        <v>7289683.4314000001</v>
      </c>
      <c r="BE3069" s="477">
        <v>8518768.4827550929</v>
      </c>
      <c r="BF3069" s="458">
        <v>6.3252948124739916E-2</v>
      </c>
      <c r="BG3069" s="477">
        <v>-459742.92092685873</v>
      </c>
      <c r="BH3069" s="458">
        <v>7.7349962229366964E-2</v>
      </c>
      <c r="BI3069" s="477">
        <v>13257472.87580155</v>
      </c>
      <c r="BJ3069" s="458">
        <v>8.4809826981790515E-2</v>
      </c>
      <c r="BK3069" s="477">
        <v>102894903.26968269</v>
      </c>
      <c r="BL3069" s="458">
        <v>0.27595505642078155</v>
      </c>
      <c r="BM3069" s="468">
        <v>2.8851579851903004</v>
      </c>
    </row>
    <row r="3070" spans="12:65" x14ac:dyDescent="0.3">
      <c r="L3070" s="427">
        <v>3882644.6277999999</v>
      </c>
      <c r="BE3070" s="477">
        <v>8513629.4089682959</v>
      </c>
      <c r="BF3070" s="458">
        <v>4.5343196842621225E-2</v>
      </c>
      <c r="BG3070" s="477">
        <v>3493751.9290123838</v>
      </c>
      <c r="BH3070" s="458">
        <v>7.6721439084646903E-2</v>
      </c>
      <c r="BI3070" s="477">
        <v>9165519.6356533784</v>
      </c>
      <c r="BJ3070" s="458">
        <v>9.371206220104833E-2</v>
      </c>
      <c r="BK3070" s="477">
        <v>85530835.340680182</v>
      </c>
      <c r="BL3070" s="458">
        <v>0.2821487852396023</v>
      </c>
      <c r="BM3070" s="468">
        <v>11.542772107669769</v>
      </c>
    </row>
    <row r="3071" spans="12:65" x14ac:dyDescent="0.3">
      <c r="L3071" s="427">
        <v>24034445.826499999</v>
      </c>
      <c r="BE3071" s="477">
        <v>6075053.2588554816</v>
      </c>
      <c r="BF3071" s="458">
        <v>5.950361968782647E-2</v>
      </c>
      <c r="BG3071" s="477">
        <v>10437394.650797138</v>
      </c>
      <c r="BH3071" s="458">
        <v>6.4073964846511178E-2</v>
      </c>
      <c r="BI3071" s="477">
        <v>13469839.646493535</v>
      </c>
      <c r="BJ3071" s="458">
        <v>9.6390833973262646E-2</v>
      </c>
      <c r="BK3071" s="477">
        <v>80216548.591876045</v>
      </c>
      <c r="BL3071" s="458">
        <v>0.27202456710448808</v>
      </c>
      <c r="BM3071" s="468">
        <v>2.1420147117522808</v>
      </c>
    </row>
    <row r="3072" spans="12:65" x14ac:dyDescent="0.3">
      <c r="L3072" s="427">
        <v>18510454.012899999</v>
      </c>
      <c r="BE3072" s="477">
        <v>5263471.3306594491</v>
      </c>
      <c r="BF3072" s="458">
        <v>3.2016410743637369E-2</v>
      </c>
      <c r="BG3072" s="477">
        <v>9182123.1763311159</v>
      </c>
      <c r="BH3072" s="458">
        <v>7.0763297425535887E-2</v>
      </c>
      <c r="BI3072" s="477">
        <v>13372157.703668812</v>
      </c>
      <c r="BJ3072" s="458">
        <v>0.13480839922575583</v>
      </c>
      <c r="BK3072" s="477">
        <v>110487541.17878366</v>
      </c>
      <c r="BL3072" s="458">
        <v>0.2958208845679664</v>
      </c>
      <c r="BM3072" s="468">
        <v>9.0262030650486622</v>
      </c>
    </row>
    <row r="3073" spans="12:65" x14ac:dyDescent="0.3">
      <c r="L3073" s="427">
        <v>10845004.492000001</v>
      </c>
      <c r="BE3073" s="477">
        <v>4107172.7976323827</v>
      </c>
      <c r="BF3073" s="458">
        <v>3.2296258564088465E-2</v>
      </c>
      <c r="BG3073" s="477">
        <v>6461893.5612258017</v>
      </c>
      <c r="BH3073" s="458">
        <v>6.5103414515519376E-2</v>
      </c>
      <c r="BI3073" s="477">
        <v>16462169.330336461</v>
      </c>
      <c r="BJ3073" s="458">
        <v>0.1019233410295326</v>
      </c>
      <c r="BK3073" s="477">
        <v>87561782.854638666</v>
      </c>
      <c r="BL3073" s="458">
        <v>0.28604549047768435</v>
      </c>
      <c r="BM3073" s="468">
        <v>11.261178951370034</v>
      </c>
    </row>
    <row r="3074" spans="12:65" x14ac:dyDescent="0.3">
      <c r="L3074" s="427">
        <v>1418443.8687</v>
      </c>
      <c r="BE3074" s="477">
        <v>4665469.5200973256</v>
      </c>
      <c r="BF3074" s="458">
        <v>4.1931488561761654E-2</v>
      </c>
      <c r="BG3074" s="477">
        <v>10361581.426602839</v>
      </c>
      <c r="BH3074" s="458">
        <v>5.2296298694058274E-2</v>
      </c>
      <c r="BI3074" s="477">
        <v>15428683.399569364</v>
      </c>
      <c r="BJ3074" s="458">
        <v>9.6133456915803439E-2</v>
      </c>
      <c r="BK3074" s="477">
        <v>89520320.949223846</v>
      </c>
      <c r="BL3074" s="458">
        <v>0.26655122488513072</v>
      </c>
      <c r="BM3074" s="468">
        <v>4.6887906145487008</v>
      </c>
    </row>
    <row r="3075" spans="12:65" x14ac:dyDescent="0.3">
      <c r="L3075" s="427">
        <v>20655379.829</v>
      </c>
      <c r="BE3075" s="477">
        <v>7310697.2459526947</v>
      </c>
      <c r="BF3075" s="458">
        <v>5.6160174942506913E-2</v>
      </c>
      <c r="BG3075" s="477">
        <v>2282000.5218456215</v>
      </c>
      <c r="BH3075" s="458">
        <v>6.7572342834163024E-2</v>
      </c>
      <c r="BI3075" s="477">
        <v>20032898.912899908</v>
      </c>
      <c r="BJ3075" s="458">
        <v>0.11244729639377549</v>
      </c>
      <c r="BK3075" s="477">
        <v>87686195.582239032</v>
      </c>
      <c r="BL3075" s="458">
        <v>0.2778388960811895</v>
      </c>
      <c r="BM3075" s="468">
        <v>5.5706717163707991</v>
      </c>
    </row>
    <row r="3076" spans="12:65" x14ac:dyDescent="0.3">
      <c r="L3076" s="427">
        <v>12204853.658299999</v>
      </c>
      <c r="BE3076" s="477">
        <v>12518246.927906945</v>
      </c>
      <c r="BF3076" s="458">
        <v>3.943850867185783E-2</v>
      </c>
      <c r="BG3076" s="477">
        <v>11383744.34483001</v>
      </c>
      <c r="BH3076" s="458">
        <v>7.6210592801152055E-2</v>
      </c>
      <c r="BI3076" s="477">
        <v>18555545.614258457</v>
      </c>
      <c r="BJ3076" s="458">
        <v>0.12425888861268541</v>
      </c>
      <c r="BK3076" s="477">
        <v>96891099.361124009</v>
      </c>
      <c r="BL3076" s="458">
        <v>0.26451284475734749</v>
      </c>
      <c r="BM3076" s="468">
        <v>4.2699256657942932</v>
      </c>
    </row>
    <row r="3077" spans="12:65" x14ac:dyDescent="0.3">
      <c r="L3077" s="427">
        <v>12977757.556700001</v>
      </c>
      <c r="BE3077" s="477">
        <v>7358079.4350369656</v>
      </c>
      <c r="BF3077" s="458">
        <v>3.2745523979168967E-2</v>
      </c>
      <c r="BG3077" s="477">
        <v>11227277.692458391</v>
      </c>
      <c r="BH3077" s="458">
        <v>5.3227187032827805E-2</v>
      </c>
      <c r="BI3077" s="477">
        <v>11974008.719160831</v>
      </c>
      <c r="BJ3077" s="458">
        <v>0.10996124641581306</v>
      </c>
      <c r="BK3077" s="477">
        <v>73968005.103172749</v>
      </c>
      <c r="BL3077" s="458">
        <v>0.2772401613638058</v>
      </c>
      <c r="BM3077" s="468">
        <v>10.32485693031321</v>
      </c>
    </row>
    <row r="3078" spans="12:65" x14ac:dyDescent="0.3">
      <c r="L3078" s="427">
        <v>-19544373.8138</v>
      </c>
      <c r="BE3078" s="477">
        <v>3726285.606430165</v>
      </c>
      <c r="BF3078" s="458">
        <v>3.6743099171619331E-2</v>
      </c>
      <c r="BG3078" s="477">
        <v>12204603.073535603</v>
      </c>
      <c r="BH3078" s="458">
        <v>8.1219397609245458E-2</v>
      </c>
      <c r="BI3078" s="477">
        <v>14610288.382943124</v>
      </c>
      <c r="BJ3078" s="458">
        <v>0.11434127720909704</v>
      </c>
      <c r="BK3078" s="477">
        <v>94526289.170530632</v>
      </c>
      <c r="BL3078" s="458">
        <v>0.28523481578488319</v>
      </c>
      <c r="BM3078" s="468">
        <v>2.7010140380590366</v>
      </c>
    </row>
    <row r="3079" spans="12:65" x14ac:dyDescent="0.3">
      <c r="L3079" s="427">
        <v>14922500.086100001</v>
      </c>
      <c r="BE3079" s="477">
        <v>6799055.214796802</v>
      </c>
      <c r="BF3079" s="458">
        <v>2.5834892534142506E-2</v>
      </c>
      <c r="BG3079" s="477">
        <v>4704223.2749763448</v>
      </c>
      <c r="BH3079" s="458">
        <v>6.6374865972376851E-2</v>
      </c>
      <c r="BI3079" s="477">
        <v>9220623.9964197334</v>
      </c>
      <c r="BJ3079" s="458">
        <v>0.11892307248069334</v>
      </c>
      <c r="BK3079" s="477">
        <v>88048324.656280667</v>
      </c>
      <c r="BL3079" s="458">
        <v>0.27454698535383604</v>
      </c>
      <c r="BM3079" s="468">
        <v>4.120294196889442</v>
      </c>
    </row>
    <row r="3080" spans="12:65" x14ac:dyDescent="0.3">
      <c r="L3080" s="427">
        <v>4333417.2931000004</v>
      </c>
      <c r="BE3080" s="477">
        <v>2958486.8339658878</v>
      </c>
      <c r="BF3080" s="458">
        <v>2.7527083022881538E-2</v>
      </c>
      <c r="BG3080" s="477">
        <v>5570726.1170862531</v>
      </c>
      <c r="BH3080" s="458">
        <v>7.0729084307176615E-2</v>
      </c>
      <c r="BI3080" s="477">
        <v>21659439.123240083</v>
      </c>
      <c r="BJ3080" s="458">
        <v>0.10119524108320577</v>
      </c>
      <c r="BK3080" s="477">
        <v>72986643.11659041</v>
      </c>
      <c r="BL3080" s="458">
        <v>0.26696692313766079</v>
      </c>
      <c r="BM3080" s="468">
        <v>6.7883485305736952</v>
      </c>
    </row>
    <row r="3081" spans="12:65" x14ac:dyDescent="0.3">
      <c r="L3081" s="427">
        <v>16794309.8321</v>
      </c>
      <c r="BE3081" s="477">
        <v>1992788.5197782812</v>
      </c>
      <c r="BF3081" s="458">
        <v>2.6661038166374107E-2</v>
      </c>
      <c r="BG3081" s="477">
        <v>9380128.7110060342</v>
      </c>
      <c r="BH3081" s="458">
        <v>8.3354474131871914E-2</v>
      </c>
      <c r="BI3081" s="477">
        <v>19353614.628861278</v>
      </c>
      <c r="BJ3081" s="458">
        <v>9.7494175645784331E-2</v>
      </c>
      <c r="BK3081" s="477">
        <v>96495605.988911346</v>
      </c>
      <c r="BL3081" s="458">
        <v>0.29826269470513656</v>
      </c>
      <c r="BM3081" s="468">
        <v>12.646269396046355</v>
      </c>
    </row>
    <row r="3082" spans="12:65" x14ac:dyDescent="0.3">
      <c r="L3082" s="427">
        <v>-3985063.4008999998</v>
      </c>
      <c r="BE3082" s="477">
        <v>6775919.6234241948</v>
      </c>
      <c r="BF3082" s="458">
        <v>3.6618879830072615E-2</v>
      </c>
      <c r="BG3082" s="477">
        <v>10396906.141410939</v>
      </c>
      <c r="BH3082" s="458">
        <v>5.8192287741605675E-2</v>
      </c>
      <c r="BI3082" s="477">
        <v>6890019.8534872727</v>
      </c>
      <c r="BJ3082" s="458">
        <v>0.12719524694967799</v>
      </c>
      <c r="BK3082" s="477">
        <v>102109277.87245955</v>
      </c>
      <c r="BL3082" s="458">
        <v>0.25042089324522165</v>
      </c>
      <c r="BM3082" s="468">
        <v>9.6330888085609097</v>
      </c>
    </row>
    <row r="3083" spans="12:65" x14ac:dyDescent="0.3">
      <c r="L3083" s="427">
        <v>11997650.4527</v>
      </c>
      <c r="BE3083" s="477">
        <v>1662203.8969837883</v>
      </c>
      <c r="BF3083" s="458">
        <v>4.7404291366915929E-2</v>
      </c>
      <c r="BG3083" s="477">
        <v>14127155.57854257</v>
      </c>
      <c r="BH3083" s="458">
        <v>6.7716554788973093E-2</v>
      </c>
      <c r="BI3083" s="477">
        <v>20770721.855806269</v>
      </c>
      <c r="BJ3083" s="458">
        <v>0.11324388918205841</v>
      </c>
      <c r="BK3083" s="477">
        <v>88798544.582167909</v>
      </c>
      <c r="BL3083" s="458">
        <v>0.2709450074321107</v>
      </c>
      <c r="BM3083" s="468">
        <v>12.518040065196757</v>
      </c>
    </row>
    <row r="3084" spans="12:65" x14ac:dyDescent="0.3">
      <c r="L3084" s="427">
        <v>-2707764.5057999999</v>
      </c>
      <c r="BE3084" s="477">
        <v>7493716.130856297</v>
      </c>
      <c r="BF3084" s="458">
        <v>4.1715337141311037E-2</v>
      </c>
      <c r="BG3084" s="477">
        <v>13606086.011411304</v>
      </c>
      <c r="BH3084" s="458">
        <v>4.9491324108885459E-2</v>
      </c>
      <c r="BI3084" s="477">
        <v>10832912.419312255</v>
      </c>
      <c r="BJ3084" s="458">
        <v>9.8083885824135519E-2</v>
      </c>
      <c r="BK3084" s="477">
        <v>88015172.719656959</v>
      </c>
      <c r="BL3084" s="458">
        <v>0.27350704498069445</v>
      </c>
      <c r="BM3084" s="468">
        <v>9.0355542579805199</v>
      </c>
    </row>
    <row r="3085" spans="12:65" x14ac:dyDescent="0.3">
      <c r="L3085" s="427">
        <v>22640645.9476</v>
      </c>
      <c r="BE3085" s="477">
        <v>6362612.5137001937</v>
      </c>
      <c r="BF3085" s="458">
        <v>4.4735028000602917E-2</v>
      </c>
      <c r="BG3085" s="477">
        <v>2732072.9464668073</v>
      </c>
      <c r="BH3085" s="458">
        <v>6.7928207712464328E-2</v>
      </c>
      <c r="BI3085" s="477">
        <v>14432950.686452486</v>
      </c>
      <c r="BJ3085" s="458">
        <v>0.11181526463711999</v>
      </c>
      <c r="BK3085" s="477">
        <v>101050134.35778424</v>
      </c>
      <c r="BL3085" s="458">
        <v>0.28652090184366474</v>
      </c>
      <c r="BM3085" s="468">
        <v>12.453543414261201</v>
      </c>
    </row>
    <row r="3086" spans="12:65" x14ac:dyDescent="0.3">
      <c r="L3086" s="427">
        <v>-3919975.6542000002</v>
      </c>
      <c r="BE3086" s="477">
        <v>2215847.0097616892</v>
      </c>
      <c r="BF3086" s="458">
        <v>3.4559008239387845E-2</v>
      </c>
      <c r="BG3086" s="477">
        <v>10491892.191840259</v>
      </c>
      <c r="BH3086" s="458">
        <v>4.8851855760835949E-2</v>
      </c>
      <c r="BI3086" s="477">
        <v>13600279.460523473</v>
      </c>
      <c r="BJ3086" s="458">
        <v>0.10551059623279535</v>
      </c>
      <c r="BK3086" s="477">
        <v>81313898.778885677</v>
      </c>
      <c r="BL3086" s="458">
        <v>0.27587849289153654</v>
      </c>
      <c r="BM3086" s="468">
        <v>11.808460823152759</v>
      </c>
    </row>
    <row r="3087" spans="12:65" x14ac:dyDescent="0.3">
      <c r="L3087" s="427">
        <v>21681601.473900001</v>
      </c>
      <c r="BE3087" s="477">
        <v>5755232.4629460955</v>
      </c>
      <c r="BF3087" s="458">
        <v>3.7391411017956067E-2</v>
      </c>
      <c r="BG3087" s="477">
        <v>10475909.473487463</v>
      </c>
      <c r="BH3087" s="458">
        <v>8.3328486335934482E-2</v>
      </c>
      <c r="BI3087" s="477">
        <v>22160573.599003401</v>
      </c>
      <c r="BJ3087" s="458">
        <v>0.10580752502196544</v>
      </c>
      <c r="BK3087" s="477">
        <v>81661837.920044586</v>
      </c>
      <c r="BL3087" s="458">
        <v>0.27302336343466505</v>
      </c>
      <c r="BM3087" s="468">
        <v>8.6345219312799024</v>
      </c>
    </row>
    <row r="3088" spans="12:65" x14ac:dyDescent="0.3">
      <c r="L3088" s="427">
        <v>10583568.127699999</v>
      </c>
      <c r="BE3088" s="477">
        <v>1883060.1756300449</v>
      </c>
      <c r="BF3088" s="458">
        <v>4.1005444445121997E-2</v>
      </c>
      <c r="BG3088" s="477">
        <v>-448517.77471595269</v>
      </c>
      <c r="BH3088" s="458">
        <v>6.7515094009301002E-2</v>
      </c>
      <c r="BI3088" s="477">
        <v>17596696.980306439</v>
      </c>
      <c r="BJ3088" s="458">
        <v>0.11008380273014762</v>
      </c>
      <c r="BK3088" s="477">
        <v>82101645.147543132</v>
      </c>
      <c r="BL3088" s="458">
        <v>0.27125748095351065</v>
      </c>
      <c r="BM3088" s="468">
        <v>5.0940433354984087</v>
      </c>
    </row>
    <row r="3089" spans="12:65" x14ac:dyDescent="0.3">
      <c r="L3089" s="427">
        <v>-1502017.0588</v>
      </c>
      <c r="BE3089" s="477">
        <v>7054096.9082985846</v>
      </c>
      <c r="BF3089" s="458">
        <v>3.3132006714665874E-2</v>
      </c>
      <c r="BG3089" s="477">
        <v>6411085.6885707257</v>
      </c>
      <c r="BH3089" s="458">
        <v>5.9312223324603286E-2</v>
      </c>
      <c r="BI3089" s="477">
        <v>17545952.450758282</v>
      </c>
      <c r="BJ3089" s="458">
        <v>0.11249121152294328</v>
      </c>
      <c r="BK3089" s="477">
        <v>88685969.941257641</v>
      </c>
      <c r="BL3089" s="458">
        <v>0.26507651318989622</v>
      </c>
      <c r="BM3089" s="468">
        <v>7.6309417253970704</v>
      </c>
    </row>
    <row r="3090" spans="12:65" x14ac:dyDescent="0.3">
      <c r="L3090" s="427">
        <v>30638326.671599999</v>
      </c>
      <c r="BE3090" s="477">
        <v>5562994.0923022525</v>
      </c>
      <c r="BF3090" s="458">
        <v>2.8927689693877712E-2</v>
      </c>
      <c r="BG3090" s="477">
        <v>2963478.5271121059</v>
      </c>
      <c r="BH3090" s="458">
        <v>7.7697856486155237E-2</v>
      </c>
      <c r="BI3090" s="477">
        <v>20262115.301017653</v>
      </c>
      <c r="BJ3090" s="458">
        <v>0.13932314092898612</v>
      </c>
      <c r="BK3090" s="477">
        <v>96444078.032873586</v>
      </c>
      <c r="BL3090" s="458">
        <v>0.25521630767381476</v>
      </c>
      <c r="BM3090" s="468">
        <v>8.882715562176541</v>
      </c>
    </row>
    <row r="3091" spans="12:65" x14ac:dyDescent="0.3">
      <c r="L3091" s="427">
        <v>32662539.962900002</v>
      </c>
      <c r="BE3091" s="477">
        <v>5924964.5001326259</v>
      </c>
      <c r="BF3091" s="458">
        <v>4.7620861189100916E-2</v>
      </c>
      <c r="BG3091" s="477">
        <v>11430474.636249682</v>
      </c>
      <c r="BH3091" s="458">
        <v>9.1419201887144919E-2</v>
      </c>
      <c r="BI3091" s="477">
        <v>22625809.176941469</v>
      </c>
      <c r="BJ3091" s="458">
        <v>8.9001644291023974E-2</v>
      </c>
      <c r="BK3091" s="477">
        <v>97666497.190701798</v>
      </c>
      <c r="BL3091" s="458">
        <v>0.26946297722878487</v>
      </c>
      <c r="BM3091" s="468">
        <v>12.780136460282517</v>
      </c>
    </row>
    <row r="3092" spans="12:65" x14ac:dyDescent="0.3">
      <c r="L3092" s="427">
        <v>25367384.969300002</v>
      </c>
      <c r="BE3092" s="477">
        <v>507066.08914029924</v>
      </c>
      <c r="BF3092" s="458">
        <v>7.2292327372589282E-2</v>
      </c>
      <c r="BG3092" s="477">
        <v>8871330.1090853047</v>
      </c>
      <c r="BH3092" s="458">
        <v>7.5977789712954769E-2</v>
      </c>
      <c r="BI3092" s="477">
        <v>16729340.617788434</v>
      </c>
      <c r="BJ3092" s="458">
        <v>0.13721427358710314</v>
      </c>
      <c r="BK3092" s="477">
        <v>81906808.484908968</v>
      </c>
      <c r="BL3092" s="458">
        <v>0.26404548135968642</v>
      </c>
      <c r="BM3092" s="468">
        <v>5.6742161732284586</v>
      </c>
    </row>
    <row r="3093" spans="12:65" x14ac:dyDescent="0.3">
      <c r="L3093" s="427">
        <v>1730528.2816000001</v>
      </c>
      <c r="BE3093" s="477">
        <v>3884365.7925484222</v>
      </c>
      <c r="BF3093" s="458">
        <v>2.2245145590263915E-2</v>
      </c>
      <c r="BG3093" s="477">
        <v>8442834.5854041595</v>
      </c>
      <c r="BH3093" s="458">
        <v>6.5652021469413402E-2</v>
      </c>
      <c r="BI3093" s="477">
        <v>24865900.529332295</v>
      </c>
      <c r="BJ3093" s="458">
        <v>0.12005454143668248</v>
      </c>
      <c r="BK3093" s="477">
        <v>81270306.844362929</v>
      </c>
      <c r="BL3093" s="458">
        <v>0.29733901792916484</v>
      </c>
      <c r="BM3093" s="468">
        <v>5.7549799772827059</v>
      </c>
    </row>
    <row r="3094" spans="12:65" x14ac:dyDescent="0.3">
      <c r="L3094" s="427">
        <v>29986707.198800001</v>
      </c>
      <c r="BE3094" s="477">
        <v>3426739.001542178</v>
      </c>
      <c r="BF3094" s="458">
        <v>3.7014578943326049E-2</v>
      </c>
      <c r="BG3094" s="477">
        <v>10406045.668672966</v>
      </c>
      <c r="BH3094" s="458">
        <v>5.1260337122288391E-2</v>
      </c>
      <c r="BI3094" s="477">
        <v>15184208.940591957</v>
      </c>
      <c r="BJ3094" s="458">
        <v>0.13951601738071706</v>
      </c>
      <c r="BK3094" s="477">
        <v>90532632.355976641</v>
      </c>
      <c r="BL3094" s="458">
        <v>0.2654577413253747</v>
      </c>
      <c r="BM3094" s="468">
        <v>14.739729628139663</v>
      </c>
    </row>
    <row r="3095" spans="12:65" x14ac:dyDescent="0.3">
      <c r="L3095" s="427">
        <v>8189623.9495999999</v>
      </c>
      <c r="BE3095" s="477">
        <v>5589582.2554993117</v>
      </c>
      <c r="BF3095" s="458">
        <v>4.7080080690817594E-2</v>
      </c>
      <c r="BG3095" s="477">
        <v>2975422.2986138859</v>
      </c>
      <c r="BH3095" s="458">
        <v>8.343270901828892E-2</v>
      </c>
      <c r="BI3095" s="477">
        <v>14583829.605040357</v>
      </c>
      <c r="BJ3095" s="458">
        <v>0.12705188097650666</v>
      </c>
      <c r="BK3095" s="477">
        <v>83482848.588415906</v>
      </c>
      <c r="BL3095" s="458">
        <v>0.27417522742569966</v>
      </c>
      <c r="BM3095" s="468">
        <v>11.644930384035172</v>
      </c>
    </row>
    <row r="3096" spans="12:65" x14ac:dyDescent="0.3">
      <c r="L3096" s="427">
        <v>5234531.4682999998</v>
      </c>
      <c r="BE3096" s="477">
        <v>8900106.2350069731</v>
      </c>
      <c r="BF3096" s="458">
        <v>3.8665177740849987E-2</v>
      </c>
      <c r="BG3096" s="477">
        <v>4836915.1347236494</v>
      </c>
      <c r="BH3096" s="458">
        <v>6.1134395137076414E-2</v>
      </c>
      <c r="BI3096" s="477">
        <v>12213774.764727427</v>
      </c>
      <c r="BJ3096" s="458">
        <v>0.12305997088235432</v>
      </c>
      <c r="BK3096" s="477">
        <v>87810666.523798078</v>
      </c>
      <c r="BL3096" s="458">
        <v>0.27787703193623048</v>
      </c>
      <c r="BM3096" s="468">
        <v>10.472216108747821</v>
      </c>
    </row>
    <row r="3097" spans="12:65" x14ac:dyDescent="0.3">
      <c r="L3097" s="427">
        <v>16008293.6526</v>
      </c>
      <c r="BE3097" s="477">
        <v>7475302.1904091937</v>
      </c>
      <c r="BF3097" s="458">
        <v>3.7038526886673973E-2</v>
      </c>
      <c r="BG3097" s="477">
        <v>8306724.6659898162</v>
      </c>
      <c r="BH3097" s="458">
        <v>5.3214658093461598E-2</v>
      </c>
      <c r="BI3097" s="477">
        <v>20011982.472014658</v>
      </c>
      <c r="BJ3097" s="458">
        <v>0.12137253198601439</v>
      </c>
      <c r="BK3097" s="477">
        <v>96113106.65548864</v>
      </c>
      <c r="BL3097" s="458">
        <v>0.26816816298446211</v>
      </c>
      <c r="BM3097" s="468">
        <v>8.4398847901667047</v>
      </c>
    </row>
    <row r="3098" spans="12:65" x14ac:dyDescent="0.3">
      <c r="L3098" s="427">
        <v>17090451.8497</v>
      </c>
      <c r="BE3098" s="477">
        <v>6422202.6127780154</v>
      </c>
      <c r="BF3098" s="458">
        <v>3.1448670606756712E-2</v>
      </c>
      <c r="BG3098" s="477">
        <v>10666197.729841933</v>
      </c>
      <c r="BH3098" s="458">
        <v>9.7098309549777717E-2</v>
      </c>
      <c r="BI3098" s="477">
        <v>20731292.498896807</v>
      </c>
      <c r="BJ3098" s="458">
        <v>0.14581059670114338</v>
      </c>
      <c r="BK3098" s="477">
        <v>80339898.624743253</v>
      </c>
      <c r="BL3098" s="458">
        <v>0.28280135643465965</v>
      </c>
      <c r="BM3098" s="468">
        <v>12.507506201579435</v>
      </c>
    </row>
    <row r="3099" spans="12:65" x14ac:dyDescent="0.3">
      <c r="L3099" s="427">
        <v>9770983.4685999993</v>
      </c>
      <c r="BE3099" s="477">
        <v>9433322.2376381345</v>
      </c>
      <c r="BF3099" s="458">
        <v>4.4521089405324954E-2</v>
      </c>
      <c r="BG3099" s="477">
        <v>15372879.502098145</v>
      </c>
      <c r="BH3099" s="458">
        <v>7.2054467766391017E-2</v>
      </c>
      <c r="BI3099" s="477">
        <v>16986074.378394958</v>
      </c>
      <c r="BJ3099" s="458">
        <v>0.12272982442655223</v>
      </c>
      <c r="BK3099" s="477">
        <v>82374369.91598174</v>
      </c>
      <c r="BL3099" s="458">
        <v>0.26201556234518142</v>
      </c>
      <c r="BM3099" s="468">
        <v>6.3252042259396823</v>
      </c>
    </row>
    <row r="3100" spans="12:65" x14ac:dyDescent="0.3">
      <c r="L3100" s="427">
        <v>-8337174.6301999995</v>
      </c>
      <c r="BE3100" s="477">
        <v>1872729.8418799057</v>
      </c>
      <c r="BF3100" s="458">
        <v>3.6182664814165877E-2</v>
      </c>
      <c r="BG3100" s="477">
        <v>11259605.136376698</v>
      </c>
      <c r="BH3100" s="458">
        <v>5.3456474392836073E-2</v>
      </c>
      <c r="BI3100" s="477">
        <v>16339112.121798571</v>
      </c>
      <c r="BJ3100" s="458">
        <v>0.10822963510108163</v>
      </c>
      <c r="BK3100" s="477">
        <v>93686300.626375601</v>
      </c>
      <c r="BL3100" s="458">
        <v>0.27580610287581275</v>
      </c>
      <c r="BM3100" s="468">
        <v>4.033581348031241</v>
      </c>
    </row>
    <row r="3101" spans="12:65" x14ac:dyDescent="0.3">
      <c r="L3101" s="427">
        <v>14839590.494100001</v>
      </c>
      <c r="BE3101" s="477">
        <v>4984847.053157296</v>
      </c>
      <c r="BF3101" s="458">
        <v>4.2184003817948845E-2</v>
      </c>
      <c r="BG3101" s="477">
        <v>4162555.5195639594</v>
      </c>
      <c r="BH3101" s="458">
        <v>5.3545220087681367E-2</v>
      </c>
      <c r="BI3101" s="477">
        <v>6157921.296508099</v>
      </c>
      <c r="BJ3101" s="458">
        <v>0.10381585638885737</v>
      </c>
      <c r="BK3101" s="477">
        <v>76959075.937126055</v>
      </c>
      <c r="BL3101" s="458">
        <v>0.27431877491470957</v>
      </c>
      <c r="BM3101" s="468">
        <v>12.230696131326772</v>
      </c>
    </row>
    <row r="3102" spans="12:65" x14ac:dyDescent="0.3">
      <c r="L3102" s="427">
        <v>6258180.9848999996</v>
      </c>
      <c r="BE3102" s="477">
        <v>993465.30792114395</v>
      </c>
      <c r="BF3102" s="458">
        <v>3.0340716227726494E-2</v>
      </c>
      <c r="BG3102" s="477">
        <v>7797701.6286646817</v>
      </c>
      <c r="BH3102" s="458">
        <v>5.7199076925982473E-2</v>
      </c>
      <c r="BI3102" s="477">
        <v>23871519.351657011</v>
      </c>
      <c r="BJ3102" s="458">
        <v>0.11111786690149716</v>
      </c>
      <c r="BK3102" s="477">
        <v>82732329.582225338</v>
      </c>
      <c r="BL3102" s="458">
        <v>0.2608135369782858</v>
      </c>
      <c r="BM3102" s="468">
        <v>6.8099442493034577</v>
      </c>
    </row>
    <row r="3103" spans="12:65" x14ac:dyDescent="0.3">
      <c r="L3103" s="427">
        <v>18791688.469000001</v>
      </c>
      <c r="BE3103" s="477">
        <v>-918884.23573545623</v>
      </c>
      <c r="BF3103" s="458">
        <v>2.7758757413829827E-2</v>
      </c>
      <c r="BG3103" s="477">
        <v>8199320.9720303332</v>
      </c>
      <c r="BH3103" s="458">
        <v>8.1702317914501332E-2</v>
      </c>
      <c r="BI3103" s="477">
        <v>2945740.9258389603</v>
      </c>
      <c r="BJ3103" s="458">
        <v>8.733036331422972E-2</v>
      </c>
      <c r="BK3103" s="477">
        <v>90916900.523001909</v>
      </c>
      <c r="BL3103" s="458">
        <v>0.26045251777178113</v>
      </c>
      <c r="BM3103" s="468">
        <v>9.1411198155441795</v>
      </c>
    </row>
    <row r="3104" spans="12:65" x14ac:dyDescent="0.3">
      <c r="L3104" s="427">
        <v>7031697.4839000003</v>
      </c>
      <c r="BE3104" s="477">
        <v>5782226.0808141883</v>
      </c>
      <c r="BF3104" s="458">
        <v>4.7448651292521404E-2</v>
      </c>
      <c r="BG3104" s="477">
        <v>6414638.4531408846</v>
      </c>
      <c r="BH3104" s="458">
        <v>0.10320700226106982</v>
      </c>
      <c r="BI3104" s="477">
        <v>15693930.732261904</v>
      </c>
      <c r="BJ3104" s="458">
        <v>0.12277853901498936</v>
      </c>
      <c r="BK3104" s="477">
        <v>95492013.798689052</v>
      </c>
      <c r="BL3104" s="458">
        <v>0.25783321114956914</v>
      </c>
      <c r="BM3104" s="468">
        <v>13.265468831749448</v>
      </c>
    </row>
    <row r="3105" spans="12:65" x14ac:dyDescent="0.3">
      <c r="L3105" s="427">
        <v>5004409.591</v>
      </c>
      <c r="BE3105" s="477">
        <v>4612389.6317821499</v>
      </c>
      <c r="BF3105" s="458">
        <v>4.3132674034052743E-2</v>
      </c>
      <c r="BG3105" s="477">
        <v>8186195.4656665791</v>
      </c>
      <c r="BH3105" s="458">
        <v>4.842894146908705E-2</v>
      </c>
      <c r="BI3105" s="477">
        <v>9254173.476969149</v>
      </c>
      <c r="BJ3105" s="458">
        <v>0.10708204670111665</v>
      </c>
      <c r="BK3105" s="477">
        <v>86220657.077892423</v>
      </c>
      <c r="BL3105" s="458">
        <v>0.26827067449155617</v>
      </c>
      <c r="BM3105" s="468">
        <v>10.726302557361421</v>
      </c>
    </row>
    <row r="3106" spans="12:65" x14ac:dyDescent="0.3">
      <c r="L3106" s="427">
        <v>-7165532.483</v>
      </c>
      <c r="BE3106" s="477">
        <v>861959.42797014141</v>
      </c>
      <c r="BF3106" s="458">
        <v>3.8380783198297852E-2</v>
      </c>
      <c r="BG3106" s="477">
        <v>14593288.936255902</v>
      </c>
      <c r="BH3106" s="458">
        <v>1.9715093632957092E-2</v>
      </c>
      <c r="BI3106" s="477">
        <v>14342219.77038658</v>
      </c>
      <c r="BJ3106" s="458">
        <v>9.0735378419839918E-2</v>
      </c>
      <c r="BK3106" s="477">
        <v>88352433.231881946</v>
      </c>
      <c r="BL3106" s="458">
        <v>0.27480504654307425</v>
      </c>
      <c r="BM3106" s="468">
        <v>3.5133521491590551</v>
      </c>
    </row>
    <row r="3107" spans="12:65" x14ac:dyDescent="0.3">
      <c r="L3107" s="427">
        <v>7427008.7074999996</v>
      </c>
      <c r="BE3107" s="477">
        <v>2531185.495046251</v>
      </c>
      <c r="BF3107" s="458">
        <v>1.8482568886272643E-2</v>
      </c>
      <c r="BG3107" s="477">
        <v>3761881.3737288648</v>
      </c>
      <c r="BH3107" s="458">
        <v>8.0466228049854482E-2</v>
      </c>
      <c r="BI3107" s="477">
        <v>20356328.696175244</v>
      </c>
      <c r="BJ3107" s="458">
        <v>0.1175264694538527</v>
      </c>
      <c r="BK3107" s="477">
        <v>75236618.228851557</v>
      </c>
      <c r="BL3107" s="458">
        <v>0.26773075980375616</v>
      </c>
      <c r="BM3107" s="468">
        <v>10.243131136554402</v>
      </c>
    </row>
    <row r="3108" spans="12:65" x14ac:dyDescent="0.3">
      <c r="L3108" s="427">
        <v>9985425.6569999997</v>
      </c>
      <c r="BE3108" s="477">
        <v>4692662.6898996504</v>
      </c>
      <c r="BF3108" s="458">
        <v>5.3428770170403039E-2</v>
      </c>
      <c r="BG3108" s="477">
        <v>12058570.9134549</v>
      </c>
      <c r="BH3108" s="458">
        <v>5.8729003850958694E-2</v>
      </c>
      <c r="BI3108" s="477">
        <v>10387016.712195233</v>
      </c>
      <c r="BJ3108" s="458">
        <v>0.11737352897095765</v>
      </c>
      <c r="BK3108" s="477">
        <v>94140417.974283472</v>
      </c>
      <c r="BL3108" s="458">
        <v>0.29365132305760899</v>
      </c>
      <c r="BM3108" s="468">
        <v>6.6760807927356085</v>
      </c>
    </row>
    <row r="3109" spans="12:65" x14ac:dyDescent="0.3">
      <c r="L3109" s="427">
        <v>7157784.0281999996</v>
      </c>
      <c r="BE3109" s="477">
        <v>7748217.2096215533</v>
      </c>
      <c r="BF3109" s="458">
        <v>3.9219563865948048E-2</v>
      </c>
      <c r="BG3109" s="477">
        <v>7234477.9807646107</v>
      </c>
      <c r="BH3109" s="458">
        <v>5.3083110396785482E-2</v>
      </c>
      <c r="BI3109" s="477">
        <v>16940263.784388945</v>
      </c>
      <c r="BJ3109" s="458">
        <v>0.10011573947854857</v>
      </c>
      <c r="BK3109" s="477">
        <v>98898780.285196245</v>
      </c>
      <c r="BL3109" s="458">
        <v>0.2928378497266948</v>
      </c>
      <c r="BM3109" s="468">
        <v>9.473448658648433</v>
      </c>
    </row>
    <row r="3110" spans="12:65" x14ac:dyDescent="0.3">
      <c r="L3110" s="427">
        <v>8538834.1673000008</v>
      </c>
      <c r="BE3110" s="477">
        <v>7176048.5636239629</v>
      </c>
      <c r="BF3110" s="458">
        <v>2.4409378788097236E-2</v>
      </c>
      <c r="BG3110" s="477">
        <v>7159361.8649340626</v>
      </c>
      <c r="BH3110" s="458">
        <v>6.0197209666805973E-2</v>
      </c>
      <c r="BI3110" s="477">
        <v>20631357.609055318</v>
      </c>
      <c r="BJ3110" s="458">
        <v>9.5414948916644038E-2</v>
      </c>
      <c r="BK3110" s="477">
        <v>98403480.805836335</v>
      </c>
      <c r="BL3110" s="458">
        <v>0.27460681851407309</v>
      </c>
      <c r="BM3110" s="468">
        <v>9.1016093573611929</v>
      </c>
    </row>
    <row r="3111" spans="12:65" x14ac:dyDescent="0.3">
      <c r="L3111" s="427">
        <v>2975174.3305000002</v>
      </c>
      <c r="BE3111" s="477">
        <v>8037139.9493626645</v>
      </c>
      <c r="BF3111" s="458">
        <v>3.0070661474477012E-2</v>
      </c>
      <c r="BG3111" s="477">
        <v>10974094.798848094</v>
      </c>
      <c r="BH3111" s="458">
        <v>4.8956011905308072E-2</v>
      </c>
      <c r="BI3111" s="477">
        <v>17348554.479824025</v>
      </c>
      <c r="BJ3111" s="458">
        <v>0.11153942602161315</v>
      </c>
      <c r="BK3111" s="477">
        <v>84082690.60796541</v>
      </c>
      <c r="BL3111" s="458">
        <v>0.2598133514186991</v>
      </c>
      <c r="BM3111" s="468">
        <v>9.0595022004568317</v>
      </c>
    </row>
    <row r="3112" spans="12:65" x14ac:dyDescent="0.3">
      <c r="L3112" s="427">
        <v>14418260.071699999</v>
      </c>
      <c r="BE3112" s="477">
        <v>-178217.20944346482</v>
      </c>
      <c r="BF3112" s="458">
        <v>5.8971763832702528E-2</v>
      </c>
      <c r="BG3112" s="477">
        <v>13955484.587050403</v>
      </c>
      <c r="BH3112" s="458">
        <v>5.4246490221919075E-2</v>
      </c>
      <c r="BI3112" s="477">
        <v>20132279.93885893</v>
      </c>
      <c r="BJ3112" s="458">
        <v>9.733457778537602E-2</v>
      </c>
      <c r="BK3112" s="477">
        <v>92532204.871356964</v>
      </c>
      <c r="BL3112" s="458">
        <v>0.24520266440042593</v>
      </c>
      <c r="BM3112" s="468">
        <v>6.3812913080737514</v>
      </c>
    </row>
    <row r="3113" spans="12:65" x14ac:dyDescent="0.3">
      <c r="L3113" s="427">
        <v>8772052.1102000009</v>
      </c>
      <c r="BE3113" s="477">
        <v>4426817.3787358897</v>
      </c>
      <c r="BF3113" s="458">
        <v>4.1244241003278059E-2</v>
      </c>
      <c r="BG3113" s="477">
        <v>9453067.3656370919</v>
      </c>
      <c r="BH3113" s="458">
        <v>7.8510516521370644E-2</v>
      </c>
      <c r="BI3113" s="477">
        <v>18069855.09926879</v>
      </c>
      <c r="BJ3113" s="458">
        <v>0.10997414971332176</v>
      </c>
      <c r="BK3113" s="477">
        <v>103084523.25531811</v>
      </c>
      <c r="BL3113" s="458">
        <v>0.27596890376447547</v>
      </c>
      <c r="BM3113" s="468">
        <v>0.13794664916912502</v>
      </c>
    </row>
    <row r="3114" spans="12:65" x14ac:dyDescent="0.3">
      <c r="L3114" s="427">
        <v>34894919.850100003</v>
      </c>
      <c r="BE3114" s="477">
        <v>8181016.9600274451</v>
      </c>
      <c r="BF3114" s="458">
        <v>2.5607417816714051E-2</v>
      </c>
      <c r="BG3114" s="477">
        <v>10976636.097564807</v>
      </c>
      <c r="BH3114" s="458">
        <v>4.7834000565597279E-2</v>
      </c>
      <c r="BI3114" s="477">
        <v>2895078.0225798511</v>
      </c>
      <c r="BJ3114" s="458">
        <v>0.10319877602527017</v>
      </c>
      <c r="BK3114" s="477">
        <v>77706300.784057409</v>
      </c>
      <c r="BL3114" s="458">
        <v>0.26347021389162295</v>
      </c>
      <c r="BM3114" s="468">
        <v>14.31247599302371</v>
      </c>
    </row>
    <row r="3115" spans="12:65" x14ac:dyDescent="0.3">
      <c r="L3115" s="427">
        <v>21475158.249400001</v>
      </c>
      <c r="BE3115" s="477">
        <v>5471268.5036023343</v>
      </c>
      <c r="BF3115" s="458">
        <v>5.6254991652255448E-2</v>
      </c>
      <c r="BG3115" s="477">
        <v>12860731.05247736</v>
      </c>
      <c r="BH3115" s="458">
        <v>5.0234327279099933E-2</v>
      </c>
      <c r="BI3115" s="477">
        <v>18733032.229496349</v>
      </c>
      <c r="BJ3115" s="458">
        <v>0.11947646533503642</v>
      </c>
      <c r="BK3115" s="477">
        <v>84606004.196764559</v>
      </c>
      <c r="BL3115" s="458">
        <v>0.27185382377283274</v>
      </c>
      <c r="BM3115" s="468">
        <v>13.814720905042996</v>
      </c>
    </row>
    <row r="3116" spans="12:65" x14ac:dyDescent="0.3">
      <c r="L3116" s="427">
        <v>6161905.9856000002</v>
      </c>
      <c r="BE3116" s="477">
        <v>6671223.5555612855</v>
      </c>
      <c r="BF3116" s="458">
        <v>6.2790305569276894E-2</v>
      </c>
      <c r="BG3116" s="477">
        <v>11250289.620746944</v>
      </c>
      <c r="BH3116" s="458">
        <v>8.0129323145610387E-2</v>
      </c>
      <c r="BI3116" s="477">
        <v>20306515.179937232</v>
      </c>
      <c r="BJ3116" s="458">
        <v>9.2939510974799022E-2</v>
      </c>
      <c r="BK3116" s="477">
        <v>87238809.791559815</v>
      </c>
      <c r="BL3116" s="458">
        <v>0.27563287646184609</v>
      </c>
      <c r="BM3116" s="468">
        <v>8.8828875202625976</v>
      </c>
    </row>
    <row r="3117" spans="12:65" x14ac:dyDescent="0.3">
      <c r="L3117" s="427">
        <v>11835531.9538</v>
      </c>
      <c r="BE3117" s="477">
        <v>3576353.1597885066</v>
      </c>
      <c r="BF3117" s="458">
        <v>3.1338941712355295E-2</v>
      </c>
      <c r="BG3117" s="477">
        <v>14052591.307733405</v>
      </c>
      <c r="BH3117" s="458">
        <v>3.62075127361281E-2</v>
      </c>
      <c r="BI3117" s="477">
        <v>21128263.089709565</v>
      </c>
      <c r="BJ3117" s="458">
        <v>0.11531897942900238</v>
      </c>
      <c r="BK3117" s="477">
        <v>81019948.636906013</v>
      </c>
      <c r="BL3117" s="458">
        <v>0.27462015529159478</v>
      </c>
      <c r="BM3117" s="468">
        <v>8.2068286089499551</v>
      </c>
    </row>
    <row r="3118" spans="12:65" x14ac:dyDescent="0.3">
      <c r="L3118" s="427">
        <v>24052309.035999998</v>
      </c>
      <c r="BE3118" s="477">
        <v>5666099.302143164</v>
      </c>
      <c r="BF3118" s="458">
        <v>3.3910461966602856E-2</v>
      </c>
      <c r="BG3118" s="477">
        <v>12199569.042359889</v>
      </c>
      <c r="BH3118" s="458">
        <v>5.6868885312668205E-2</v>
      </c>
      <c r="BI3118" s="477">
        <v>20885402.508523591</v>
      </c>
      <c r="BJ3118" s="458">
        <v>0.12279806192893483</v>
      </c>
      <c r="BK3118" s="477">
        <v>94979088.847893685</v>
      </c>
      <c r="BL3118" s="458">
        <v>0.26834958150507715</v>
      </c>
      <c r="BM3118" s="468">
        <v>11.572478291857477</v>
      </c>
    </row>
    <row r="3119" spans="12:65" x14ac:dyDescent="0.3">
      <c r="L3119" s="427">
        <v>15045617.954700001</v>
      </c>
      <c r="BE3119" s="477">
        <v>8663222.2942282762</v>
      </c>
      <c r="BF3119" s="458">
        <v>4.9731192319960593E-2</v>
      </c>
      <c r="BG3119" s="477">
        <v>11218018.457667388</v>
      </c>
      <c r="BH3119" s="458">
        <v>5.1073240532754749E-2</v>
      </c>
      <c r="BI3119" s="477">
        <v>14874617.121768722</v>
      </c>
      <c r="BJ3119" s="458">
        <v>0.1162323708377857</v>
      </c>
      <c r="BK3119" s="477">
        <v>107662676.15568872</v>
      </c>
      <c r="BL3119" s="458">
        <v>0.27991390333839927</v>
      </c>
      <c r="BM3119" s="468">
        <v>9.8504522069372218</v>
      </c>
    </row>
    <row r="3120" spans="12:65" x14ac:dyDescent="0.3">
      <c r="L3120" s="427">
        <v>18000927.821699999</v>
      </c>
      <c r="BE3120" s="477">
        <v>7206668.5933997538</v>
      </c>
      <c r="BF3120" s="458">
        <v>3.9019915267061389E-2</v>
      </c>
      <c r="BG3120" s="477">
        <v>6803516.888123665</v>
      </c>
      <c r="BH3120" s="458">
        <v>6.8352903600265247E-2</v>
      </c>
      <c r="BI3120" s="477">
        <v>11539209.565250536</v>
      </c>
      <c r="BJ3120" s="458">
        <v>8.6466370457004782E-2</v>
      </c>
      <c r="BK3120" s="477">
        <v>93114402.890639693</v>
      </c>
      <c r="BL3120" s="458">
        <v>0.2969132714446856</v>
      </c>
      <c r="BM3120" s="468">
        <v>12.839002053880332</v>
      </c>
    </row>
    <row r="3121" spans="12:65" x14ac:dyDescent="0.3">
      <c r="L3121" s="427">
        <v>20812061.7148</v>
      </c>
      <c r="BE3121" s="477">
        <v>932845.10058270337</v>
      </c>
      <c r="BF3121" s="458">
        <v>5.0391378635484152E-2</v>
      </c>
      <c r="BG3121" s="477">
        <v>9163072.3481267132</v>
      </c>
      <c r="BH3121" s="458">
        <v>9.1367150782777573E-2</v>
      </c>
      <c r="BI3121" s="477">
        <v>13256739.648519119</v>
      </c>
      <c r="BJ3121" s="458">
        <v>0.11306399892391172</v>
      </c>
      <c r="BK3121" s="477">
        <v>106896613.74635197</v>
      </c>
      <c r="BL3121" s="458">
        <v>0.27335663463096482</v>
      </c>
      <c r="BM3121" s="468">
        <v>10.620751098556511</v>
      </c>
    </row>
    <row r="3122" spans="12:65" x14ac:dyDescent="0.3">
      <c r="L3122" s="427">
        <v>16452655.0382</v>
      </c>
      <c r="BE3122" s="477">
        <v>7301763.5376874069</v>
      </c>
      <c r="BF3122" s="458">
        <v>3.493556361113126E-2</v>
      </c>
      <c r="BG3122" s="477">
        <v>5685895.1163422717</v>
      </c>
      <c r="BH3122" s="458">
        <v>5.5364512271796507E-2</v>
      </c>
      <c r="BI3122" s="477">
        <v>24440385.923295554</v>
      </c>
      <c r="BJ3122" s="458">
        <v>9.9872260499650922E-2</v>
      </c>
      <c r="BK3122" s="477">
        <v>87832398.840000391</v>
      </c>
      <c r="BL3122" s="458">
        <v>0.26912018453813236</v>
      </c>
      <c r="BM3122" s="468">
        <v>9.1192966982266128</v>
      </c>
    </row>
    <row r="3123" spans="12:65" x14ac:dyDescent="0.3">
      <c r="L3123" s="427">
        <v>-4867322.8750999998</v>
      </c>
      <c r="BE3123" s="477">
        <v>2649489.5605710731</v>
      </c>
      <c r="BF3123" s="458">
        <v>4.0121476610687212E-2</v>
      </c>
      <c r="BG3123" s="477">
        <v>5342529.3768785829</v>
      </c>
      <c r="BH3123" s="458">
        <v>7.5773757629973071E-2</v>
      </c>
      <c r="BI3123" s="477">
        <v>17109832.670749214</v>
      </c>
      <c r="BJ3123" s="458">
        <v>0.1101209725378558</v>
      </c>
      <c r="BK3123" s="477">
        <v>93482964.079570815</v>
      </c>
      <c r="BL3123" s="458">
        <v>0.27150606581053971</v>
      </c>
      <c r="BM3123" s="468">
        <v>10.520381797911472</v>
      </c>
    </row>
    <row r="3124" spans="12:65" x14ac:dyDescent="0.3">
      <c r="L3124" s="427">
        <v>17927745.180300001</v>
      </c>
      <c r="BE3124" s="477">
        <v>6985460.4016886493</v>
      </c>
      <c r="BF3124" s="458">
        <v>4.6668481151547647E-2</v>
      </c>
      <c r="BG3124" s="477">
        <v>5686868.7898396403</v>
      </c>
      <c r="BH3124" s="458">
        <v>3.7556271105862571E-2</v>
      </c>
      <c r="BI3124" s="477">
        <v>15294680.674739415</v>
      </c>
      <c r="BJ3124" s="458">
        <v>0.12260623878376409</v>
      </c>
      <c r="BK3124" s="477">
        <v>101172224.60718201</v>
      </c>
      <c r="BL3124" s="458">
        <v>0.27507474918120112</v>
      </c>
      <c r="BM3124" s="468">
        <v>8.0267845529497297</v>
      </c>
    </row>
    <row r="3125" spans="12:65" x14ac:dyDescent="0.3">
      <c r="L3125" s="427">
        <v>8974782.6279000007</v>
      </c>
      <c r="BE3125" s="477">
        <v>4119871.4016557308</v>
      </c>
      <c r="BF3125" s="458">
        <v>4.8333661510912673E-2</v>
      </c>
      <c r="BG3125" s="477">
        <v>10186929.177037397</v>
      </c>
      <c r="BH3125" s="458">
        <v>6.1639155981570104E-2</v>
      </c>
      <c r="BI3125" s="477">
        <v>14088645.746973699</v>
      </c>
      <c r="BJ3125" s="458">
        <v>9.6170550348435357E-2</v>
      </c>
      <c r="BK3125" s="477">
        <v>81071824.977545634</v>
      </c>
      <c r="BL3125" s="458">
        <v>0.25316788404584489</v>
      </c>
      <c r="BM3125" s="468">
        <v>12.988824341022049</v>
      </c>
    </row>
    <row r="3126" spans="12:65" x14ac:dyDescent="0.3">
      <c r="L3126" s="427">
        <v>19769488.562199999</v>
      </c>
      <c r="BE3126" s="477">
        <v>5542880.8637768161</v>
      </c>
      <c r="BF3126" s="458">
        <v>5.2079981460116498E-2</v>
      </c>
      <c r="BG3126" s="477">
        <v>6393830.9479750702</v>
      </c>
      <c r="BH3126" s="458">
        <v>8.4122969079595711E-2</v>
      </c>
      <c r="BI3126" s="477">
        <v>16410107.928231101</v>
      </c>
      <c r="BJ3126" s="458">
        <v>0.10354888101702997</v>
      </c>
      <c r="BK3126" s="477">
        <v>85205476.450682387</v>
      </c>
      <c r="BL3126" s="458">
        <v>0.26931536371419562</v>
      </c>
      <c r="BM3126" s="468">
        <v>1.0373461364131176</v>
      </c>
    </row>
    <row r="3127" spans="12:65" x14ac:dyDescent="0.3">
      <c r="L3127" s="427">
        <v>8557199.2115000002</v>
      </c>
      <c r="BE3127" s="477">
        <v>4486653.5539479516</v>
      </c>
      <c r="BF3127" s="458">
        <v>4.7453089932343095E-2</v>
      </c>
      <c r="BG3127" s="477">
        <v>7533884.5847788034</v>
      </c>
      <c r="BH3127" s="458">
        <v>7.1644105870289465E-2</v>
      </c>
      <c r="BI3127" s="477">
        <v>21238030.842312302</v>
      </c>
      <c r="BJ3127" s="458">
        <v>8.8977696364187508E-2</v>
      </c>
      <c r="BK3127" s="477">
        <v>94470087.093187734</v>
      </c>
      <c r="BL3127" s="458">
        <v>0.26728599980477807</v>
      </c>
      <c r="BM3127" s="468">
        <v>5.8160909605264255</v>
      </c>
    </row>
    <row r="3128" spans="12:65" x14ac:dyDescent="0.3">
      <c r="L3128" s="427">
        <v>5102647.5396999996</v>
      </c>
      <c r="BE3128" s="477">
        <v>6402086.7755440995</v>
      </c>
      <c r="BF3128" s="458">
        <v>4.6392523499655169E-2</v>
      </c>
      <c r="BG3128" s="477">
        <v>7385308.7986084996</v>
      </c>
      <c r="BH3128" s="458">
        <v>5.1130138262015734E-2</v>
      </c>
      <c r="BI3128" s="477">
        <v>16102479.863501064</v>
      </c>
      <c r="BJ3128" s="458">
        <v>0.12325468788548921</v>
      </c>
      <c r="BK3128" s="477">
        <v>104344014.32825625</v>
      </c>
      <c r="BL3128" s="458">
        <v>0.26625689165788868</v>
      </c>
      <c r="BM3128" s="468">
        <v>10.633632061113385</v>
      </c>
    </row>
    <row r="3129" spans="12:65" x14ac:dyDescent="0.3">
      <c r="L3129" s="427">
        <v>-1351788.7052</v>
      </c>
      <c r="BE3129" s="477">
        <v>3285481.6105230991</v>
      </c>
      <c r="BF3129" s="458">
        <v>1.6983843042335911E-2</v>
      </c>
      <c r="BG3129" s="477">
        <v>4559794.1078324998</v>
      </c>
      <c r="BH3129" s="458">
        <v>6.7919276800561867E-2</v>
      </c>
      <c r="BI3129" s="477">
        <v>15161351.176541982</v>
      </c>
      <c r="BJ3129" s="458">
        <v>0.10872201266085257</v>
      </c>
      <c r="BK3129" s="477">
        <v>81439977.938110292</v>
      </c>
      <c r="BL3129" s="458">
        <v>0.27020671479126035</v>
      </c>
      <c r="BM3129" s="468">
        <v>16.238934494580015</v>
      </c>
    </row>
    <row r="3130" spans="12:65" x14ac:dyDescent="0.3">
      <c r="L3130" s="427">
        <v>11867525.3342</v>
      </c>
      <c r="BE3130" s="477">
        <v>6161558.9311716976</v>
      </c>
      <c r="BF3130" s="458">
        <v>3.9518287568713228E-2</v>
      </c>
      <c r="BG3130" s="477">
        <v>10338442.875244608</v>
      </c>
      <c r="BH3130" s="458">
        <v>6.5272820564374667E-2</v>
      </c>
      <c r="BI3130" s="477">
        <v>15589499.932922395</v>
      </c>
      <c r="BJ3130" s="458">
        <v>9.205217143001132E-2</v>
      </c>
      <c r="BK3130" s="477">
        <v>93378944.103343055</v>
      </c>
      <c r="BL3130" s="458">
        <v>0.26307395488943475</v>
      </c>
      <c r="BM3130" s="468">
        <v>3.1557417086590247</v>
      </c>
    </row>
    <row r="3131" spans="12:65" x14ac:dyDescent="0.3">
      <c r="L3131" s="427">
        <v>539348.82519999996</v>
      </c>
      <c r="BE3131" s="477">
        <v>2929581.2809945149</v>
      </c>
      <c r="BF3131" s="458">
        <v>4.2192295942245384E-2</v>
      </c>
      <c r="BG3131" s="477">
        <v>11859184.903934646</v>
      </c>
      <c r="BH3131" s="458">
        <v>6.0180763771715329E-2</v>
      </c>
      <c r="BI3131" s="477">
        <v>19509375.087269381</v>
      </c>
      <c r="BJ3131" s="458">
        <v>8.8453958154371515E-2</v>
      </c>
      <c r="BK3131" s="477">
        <v>83361089.867736593</v>
      </c>
      <c r="BL3131" s="458">
        <v>0.25678920012759066</v>
      </c>
      <c r="BM3131" s="468">
        <v>13.115799170108593</v>
      </c>
    </row>
    <row r="3132" spans="12:65" x14ac:dyDescent="0.3">
      <c r="L3132" s="427">
        <v>3593872.6252000001</v>
      </c>
      <c r="BE3132" s="477">
        <v>7203956.0878724884</v>
      </c>
      <c r="BF3132" s="458">
        <v>4.5522942025617352E-2</v>
      </c>
      <c r="BG3132" s="477">
        <v>2877054.8518633288</v>
      </c>
      <c r="BH3132" s="458">
        <v>8.2544376063352631E-2</v>
      </c>
      <c r="BI3132" s="477">
        <v>8669100.4305689931</v>
      </c>
      <c r="BJ3132" s="458">
        <v>0.100730403163652</v>
      </c>
      <c r="BK3132" s="477">
        <v>84806297.538711056</v>
      </c>
      <c r="BL3132" s="458">
        <v>0.27316369580949784</v>
      </c>
      <c r="BM3132" s="468">
        <v>4.7050027017421048</v>
      </c>
    </row>
    <row r="3133" spans="12:65" x14ac:dyDescent="0.3">
      <c r="L3133" s="427">
        <v>13369534.5595</v>
      </c>
      <c r="BE3133" s="477">
        <v>2557086.3172102715</v>
      </c>
      <c r="BF3133" s="458">
        <v>5.6476651695893887E-2</v>
      </c>
      <c r="BG3133" s="477">
        <v>241108.94082255155</v>
      </c>
      <c r="BH3133" s="458">
        <v>7.8957459756920922E-2</v>
      </c>
      <c r="BI3133" s="477">
        <v>8255827.9368589213</v>
      </c>
      <c r="BJ3133" s="458">
        <v>0.11743124180210152</v>
      </c>
      <c r="BK3133" s="477">
        <v>93514618.224293545</v>
      </c>
      <c r="BL3133" s="458">
        <v>0.26484498916750643</v>
      </c>
      <c r="BM3133" s="468">
        <v>7.6287883548609203</v>
      </c>
    </row>
    <row r="3134" spans="12:65" x14ac:dyDescent="0.3">
      <c r="L3134" s="427">
        <v>6651777.6482999995</v>
      </c>
      <c r="BE3134" s="477">
        <v>8272399.909166432</v>
      </c>
      <c r="BF3134" s="458">
        <v>4.0645482232123387E-2</v>
      </c>
      <c r="BG3134" s="477">
        <v>9773896.8320098501</v>
      </c>
      <c r="BH3134" s="458">
        <v>6.6611064513787621E-2</v>
      </c>
      <c r="BI3134" s="477">
        <v>19636729.360131219</v>
      </c>
      <c r="BJ3134" s="458">
        <v>0.11520886996396462</v>
      </c>
      <c r="BK3134" s="477">
        <v>85489441.819771051</v>
      </c>
      <c r="BL3134" s="458">
        <v>0.30111231951246276</v>
      </c>
      <c r="BM3134" s="468">
        <v>9.2780066328663455</v>
      </c>
    </row>
    <row r="3135" spans="12:65" x14ac:dyDescent="0.3">
      <c r="L3135" s="427">
        <v>3492503.5756000001</v>
      </c>
      <c r="BE3135" s="477">
        <v>8014841.7236740049</v>
      </c>
      <c r="BF3135" s="458">
        <v>6.1520469551741952E-2</v>
      </c>
      <c r="BG3135" s="477">
        <v>13066714.823045176</v>
      </c>
      <c r="BH3135" s="458">
        <v>9.9445712104918815E-2</v>
      </c>
      <c r="BI3135" s="477">
        <v>22397690.234608106</v>
      </c>
      <c r="BJ3135" s="458">
        <v>0.10938380613457976</v>
      </c>
      <c r="BK3135" s="477">
        <v>88519724.21775724</v>
      </c>
      <c r="BL3135" s="458">
        <v>0.26963128928553948</v>
      </c>
      <c r="BM3135" s="468">
        <v>5.6267175099767135</v>
      </c>
    </row>
    <row r="3136" spans="12:65" x14ac:dyDescent="0.3">
      <c r="L3136" s="427">
        <v>16026194.844799999</v>
      </c>
      <c r="BE3136" s="477">
        <v>2985874.9220425133</v>
      </c>
      <c r="BF3136" s="458">
        <v>3.5248811513274081E-2</v>
      </c>
      <c r="BG3136" s="477">
        <v>-386329.01659905061</v>
      </c>
      <c r="BH3136" s="458">
        <v>6.5380189809519651E-2</v>
      </c>
      <c r="BI3136" s="477">
        <v>17041556.897105943</v>
      </c>
      <c r="BJ3136" s="458">
        <v>0.108935984988759</v>
      </c>
      <c r="BK3136" s="477">
        <v>89263404.260239884</v>
      </c>
      <c r="BL3136" s="458">
        <v>0.27961693092764994</v>
      </c>
      <c r="BM3136" s="468">
        <v>4.1354388572344671</v>
      </c>
    </row>
    <row r="3137" spans="12:65" x14ac:dyDescent="0.3">
      <c r="L3137" s="427">
        <v>-5807241.1255999999</v>
      </c>
      <c r="BE3137" s="477">
        <v>5478715.2529778183</v>
      </c>
      <c r="BF3137" s="458">
        <v>8.4680124301358628E-2</v>
      </c>
      <c r="BG3137" s="477">
        <v>3512069.4519838579</v>
      </c>
      <c r="BH3137" s="458">
        <v>6.8744736099236148E-2</v>
      </c>
      <c r="BI3137" s="477">
        <v>26514698.650320083</v>
      </c>
      <c r="BJ3137" s="458">
        <v>0.11658325075205633</v>
      </c>
      <c r="BK3137" s="477">
        <v>82357671.295139253</v>
      </c>
      <c r="BL3137" s="458">
        <v>0.2931471895847102</v>
      </c>
      <c r="BM3137" s="468">
        <v>6.7977258778595768</v>
      </c>
    </row>
    <row r="3138" spans="12:65" x14ac:dyDescent="0.3">
      <c r="L3138" s="427">
        <v>-491473.72129999998</v>
      </c>
      <c r="BE3138" s="477">
        <v>5904797.7440737691</v>
      </c>
      <c r="BF3138" s="458">
        <v>4.6091152268946445E-2</v>
      </c>
      <c r="BG3138" s="477">
        <v>9979010.4165386073</v>
      </c>
      <c r="BH3138" s="458">
        <v>8.6577801778856323E-2</v>
      </c>
      <c r="BI3138" s="477">
        <v>24884646.980744999</v>
      </c>
      <c r="BJ3138" s="458">
        <v>0.12340088833244378</v>
      </c>
      <c r="BK3138" s="477">
        <v>79591092.56701383</v>
      </c>
      <c r="BL3138" s="458">
        <v>0.27964723244401957</v>
      </c>
      <c r="BM3138" s="468">
        <v>9.7045549793727943</v>
      </c>
    </row>
    <row r="3139" spans="12:65" x14ac:dyDescent="0.3">
      <c r="L3139" s="427">
        <v>11388503.6106</v>
      </c>
      <c r="BE3139" s="477">
        <v>2272292.3795558843</v>
      </c>
      <c r="BF3139" s="458">
        <v>2.6108087191741847E-2</v>
      </c>
      <c r="BG3139" s="477">
        <v>5738466.2557614557</v>
      </c>
      <c r="BH3139" s="458">
        <v>4.9220909782949018E-2</v>
      </c>
      <c r="BI3139" s="477">
        <v>9189459.5016743802</v>
      </c>
      <c r="BJ3139" s="458">
        <v>0.15040016666763889</v>
      </c>
      <c r="BK3139" s="477">
        <v>76520147.148755029</v>
      </c>
      <c r="BL3139" s="458">
        <v>0.28254541929812427</v>
      </c>
      <c r="BM3139" s="468">
        <v>12.433508379799722</v>
      </c>
    </row>
    <row r="3140" spans="12:65" x14ac:dyDescent="0.3">
      <c r="L3140" s="427">
        <v>11656209.3354</v>
      </c>
      <c r="BE3140" s="477">
        <v>-1541863.7444189442</v>
      </c>
      <c r="BF3140" s="458">
        <v>3.9672721852259674E-2</v>
      </c>
      <c r="BG3140" s="477">
        <v>10674210.431639511</v>
      </c>
      <c r="BH3140" s="458">
        <v>4.8126612600751351E-2</v>
      </c>
      <c r="BI3140" s="477">
        <v>10372519.699649647</v>
      </c>
      <c r="BJ3140" s="458">
        <v>0.13008681885150031</v>
      </c>
      <c r="BK3140" s="477">
        <v>78099542.125851467</v>
      </c>
      <c r="BL3140" s="458">
        <v>0.26183008316461565</v>
      </c>
      <c r="BM3140" s="468">
        <v>5.4434159969943936</v>
      </c>
    </row>
    <row r="3141" spans="12:65" x14ac:dyDescent="0.3">
      <c r="L3141" s="427">
        <v>6273629.9424000001</v>
      </c>
      <c r="BE3141" s="477">
        <v>4476127.9865659345</v>
      </c>
      <c r="BF3141" s="458">
        <v>3.0261783088988858E-2</v>
      </c>
      <c r="BG3141" s="477">
        <v>6670098.8582720142</v>
      </c>
      <c r="BH3141" s="458">
        <v>7.8607275204487292E-2</v>
      </c>
      <c r="BI3141" s="477">
        <v>21587658.475796342</v>
      </c>
      <c r="BJ3141" s="458">
        <v>9.2394423094299682E-2</v>
      </c>
      <c r="BK3141" s="477">
        <v>96410930.683434799</v>
      </c>
      <c r="BL3141" s="458">
        <v>0.26732885274585239</v>
      </c>
      <c r="BM3141" s="468">
        <v>3.9166338064451036</v>
      </c>
    </row>
    <row r="3142" spans="12:65" x14ac:dyDescent="0.3">
      <c r="L3142" s="427">
        <v>24773280.320099998</v>
      </c>
      <c r="BE3142" s="477">
        <v>9020653.82163582</v>
      </c>
      <c r="BF3142" s="458">
        <v>3.9942270458243501E-2</v>
      </c>
      <c r="BG3142" s="477">
        <v>8736630.7318241615</v>
      </c>
      <c r="BH3142" s="458">
        <v>5.3965339205729324E-2</v>
      </c>
      <c r="BI3142" s="477">
        <v>20910763.516242817</v>
      </c>
      <c r="BJ3142" s="458">
        <v>0.10824912444361345</v>
      </c>
      <c r="BK3142" s="477">
        <v>83186073.650272191</v>
      </c>
      <c r="BL3142" s="458">
        <v>0.25938991488225493</v>
      </c>
      <c r="BM3142" s="468">
        <v>13.521062342994423</v>
      </c>
    </row>
    <row r="3143" spans="12:65" x14ac:dyDescent="0.3">
      <c r="L3143" s="427">
        <v>10217615.883199999</v>
      </c>
      <c r="BE3143" s="477">
        <v>6192232.3476480534</v>
      </c>
      <c r="BF3143" s="458">
        <v>5.1647332211198549E-2</v>
      </c>
      <c r="BG3143" s="477">
        <v>17947542.513426285</v>
      </c>
      <c r="BH3143" s="458">
        <v>6.4173978639783247E-2</v>
      </c>
      <c r="BI3143" s="477">
        <v>8889442.9034892693</v>
      </c>
      <c r="BJ3143" s="458">
        <v>8.7347151650047028E-2</v>
      </c>
      <c r="BK3143" s="477">
        <v>77813349.631068856</v>
      </c>
      <c r="BL3143" s="458">
        <v>0.2839855837116132</v>
      </c>
      <c r="BM3143" s="468">
        <v>14.06538097278843</v>
      </c>
    </row>
    <row r="3144" spans="12:65" x14ac:dyDescent="0.3">
      <c r="L3144" s="427">
        <v>479986.15700000001</v>
      </c>
      <c r="BE3144" s="477">
        <v>4653304.4114294956</v>
      </c>
      <c r="BF3144" s="458">
        <v>4.3084739954480034E-2</v>
      </c>
      <c r="BG3144" s="477">
        <v>9881720.8621802125</v>
      </c>
      <c r="BH3144" s="458">
        <v>5.9258356138291335E-2</v>
      </c>
      <c r="BI3144" s="477">
        <v>14743019.00625468</v>
      </c>
      <c r="BJ3144" s="458">
        <v>0.10883921518538209</v>
      </c>
      <c r="BK3144" s="477">
        <v>89202465.696896806</v>
      </c>
      <c r="BL3144" s="458">
        <v>0.26277055670924376</v>
      </c>
      <c r="BM3144" s="468">
        <v>8.0567641867670989</v>
      </c>
    </row>
    <row r="3145" spans="12:65" x14ac:dyDescent="0.3">
      <c r="L3145" s="427">
        <v>21428343.296799999</v>
      </c>
      <c r="BE3145" s="477">
        <v>4801245.3720546877</v>
      </c>
      <c r="BF3145" s="458">
        <v>8.1106679393364134E-2</v>
      </c>
      <c r="BG3145" s="477">
        <v>11482134.67237624</v>
      </c>
      <c r="BH3145" s="458">
        <v>6.772935533952773E-2</v>
      </c>
      <c r="BI3145" s="477">
        <v>14887919.179996161</v>
      </c>
      <c r="BJ3145" s="458">
        <v>8.1230510037663795E-2</v>
      </c>
      <c r="BK3145" s="477">
        <v>89980548.653526679</v>
      </c>
      <c r="BL3145" s="458">
        <v>0.2751928649561457</v>
      </c>
      <c r="BM3145" s="468">
        <v>12.889614052954943</v>
      </c>
    </row>
    <row r="3146" spans="12:65" x14ac:dyDescent="0.3">
      <c r="L3146" s="427">
        <v>-3812870.3451</v>
      </c>
      <c r="BE3146" s="477">
        <v>5776268.3867151225</v>
      </c>
      <c r="BF3146" s="458">
        <v>3.5988410152613337E-2</v>
      </c>
      <c r="BG3146" s="477">
        <v>10175731.912115155</v>
      </c>
      <c r="BH3146" s="458">
        <v>6.7192318310655974E-2</v>
      </c>
      <c r="BI3146" s="477">
        <v>17203975.80533829</v>
      </c>
      <c r="BJ3146" s="458">
        <v>0.10956355782617355</v>
      </c>
      <c r="BK3146" s="477">
        <v>96196845.767493352</v>
      </c>
      <c r="BL3146" s="458">
        <v>0.26221160748011085</v>
      </c>
      <c r="BM3146" s="468">
        <v>10.2370063401446</v>
      </c>
    </row>
    <row r="3147" spans="12:65" x14ac:dyDescent="0.3">
      <c r="L3147" s="427">
        <v>-2910813.8892999999</v>
      </c>
      <c r="BE3147" s="477">
        <v>2254462.6446766607</v>
      </c>
      <c r="BF3147" s="458">
        <v>6.0279079162946614E-2</v>
      </c>
      <c r="BG3147" s="477">
        <v>8315389.9476739345</v>
      </c>
      <c r="BH3147" s="458">
        <v>6.4128448325844412E-2</v>
      </c>
      <c r="BI3147" s="477">
        <v>16026368.014463363</v>
      </c>
      <c r="BJ3147" s="458">
        <v>0.10461309667075858</v>
      </c>
      <c r="BK3147" s="477">
        <v>90593469.78621681</v>
      </c>
      <c r="BL3147" s="458">
        <v>0.27594411027767496</v>
      </c>
      <c r="BM3147" s="468">
        <v>7.5262714159057209</v>
      </c>
    </row>
    <row r="3148" spans="12:65" x14ac:dyDescent="0.3">
      <c r="L3148" s="427">
        <v>12096306.146500001</v>
      </c>
      <c r="BE3148" s="477">
        <v>3263317.8833014281</v>
      </c>
      <c r="BF3148" s="458">
        <v>4.6377639019121952E-2</v>
      </c>
      <c r="BG3148" s="477">
        <v>8122419.6916551786</v>
      </c>
      <c r="BH3148" s="458">
        <v>8.1123890639739793E-2</v>
      </c>
      <c r="BI3148" s="477">
        <v>16084022.375328192</v>
      </c>
      <c r="BJ3148" s="458">
        <v>0.13251233650053806</v>
      </c>
      <c r="BK3148" s="477">
        <v>83392584.322199255</v>
      </c>
      <c r="BL3148" s="458">
        <v>0.29104903071150834</v>
      </c>
      <c r="BM3148" s="468">
        <v>2.2723956007932946</v>
      </c>
    </row>
    <row r="3149" spans="12:65" x14ac:dyDescent="0.3">
      <c r="L3149" s="427">
        <v>24531815.303800002</v>
      </c>
      <c r="BE3149" s="477">
        <v>6341454.1348416228</v>
      </c>
      <c r="BF3149" s="458">
        <v>2.6427464165482473E-2</v>
      </c>
      <c r="BG3149" s="477">
        <v>7417903.0277086701</v>
      </c>
      <c r="BH3149" s="458">
        <v>4.955722749626168E-2</v>
      </c>
      <c r="BI3149" s="477">
        <v>17430159.208838981</v>
      </c>
      <c r="BJ3149" s="458">
        <v>0.10694773998407237</v>
      </c>
      <c r="BK3149" s="477">
        <v>93826789.921315342</v>
      </c>
      <c r="BL3149" s="458">
        <v>0.27262042345864868</v>
      </c>
      <c r="BM3149" s="468">
        <v>5.8261041543343346</v>
      </c>
    </row>
    <row r="3150" spans="12:65" x14ac:dyDescent="0.3">
      <c r="L3150" s="427">
        <v>-1960712.7925</v>
      </c>
      <c r="BE3150" s="477">
        <v>5419115.6705359733</v>
      </c>
      <c r="BF3150" s="458">
        <v>3.1316479474900794E-2</v>
      </c>
      <c r="BG3150" s="477">
        <v>10346905.613418274</v>
      </c>
      <c r="BH3150" s="458">
        <v>4.3929759855954709E-2</v>
      </c>
      <c r="BI3150" s="477">
        <v>14764010.460926792</v>
      </c>
      <c r="BJ3150" s="458">
        <v>0.10920368305759842</v>
      </c>
      <c r="BK3150" s="477">
        <v>86788628.201490223</v>
      </c>
      <c r="BL3150" s="458">
        <v>0.2972575296070461</v>
      </c>
      <c r="BM3150" s="468">
        <v>10.18434753867194</v>
      </c>
    </row>
    <row r="3151" spans="12:65" x14ac:dyDescent="0.3">
      <c r="L3151" s="427">
        <v>4841196.9426999995</v>
      </c>
      <c r="BE3151" s="477">
        <v>6296429.2127286196</v>
      </c>
      <c r="BF3151" s="458">
        <v>4.0499996955132955E-2</v>
      </c>
      <c r="BG3151" s="477">
        <v>7336696.9671987612</v>
      </c>
      <c r="BH3151" s="458">
        <v>6.1422657705465733E-2</v>
      </c>
      <c r="BI3151" s="477">
        <v>13075461.126348533</v>
      </c>
      <c r="BJ3151" s="458">
        <v>9.7442442419743092E-2</v>
      </c>
      <c r="BK3151" s="477">
        <v>93805832.253277987</v>
      </c>
      <c r="BL3151" s="458">
        <v>0.25837226554424397</v>
      </c>
      <c r="BM3151" s="468">
        <v>-0.1969604521368602</v>
      </c>
    </row>
    <row r="3152" spans="12:65" x14ac:dyDescent="0.3">
      <c r="L3152" s="427">
        <v>-7558154.3190000001</v>
      </c>
      <c r="BE3152" s="477">
        <v>3190845.2991691926</v>
      </c>
      <c r="BF3152" s="458">
        <v>1.1075355486992233E-2</v>
      </c>
      <c r="BG3152" s="477">
        <v>8354609.4757838948</v>
      </c>
      <c r="BH3152" s="458">
        <v>6.6460946693725376E-2</v>
      </c>
      <c r="BI3152" s="477">
        <v>11177217.848819677</v>
      </c>
      <c r="BJ3152" s="458">
        <v>0.12820814130480307</v>
      </c>
      <c r="BK3152" s="477">
        <v>87461700.757752955</v>
      </c>
      <c r="BL3152" s="458">
        <v>0.27593965956447852</v>
      </c>
      <c r="BM3152" s="468">
        <v>7.4586870060582617</v>
      </c>
    </row>
    <row r="3153" spans="12:65" x14ac:dyDescent="0.3">
      <c r="L3153" s="427">
        <v>19953423.298799999</v>
      </c>
      <c r="BE3153" s="477">
        <v>2064990.9826168187</v>
      </c>
      <c r="BF3153" s="458">
        <v>3.7154018120471921E-2</v>
      </c>
      <c r="BG3153" s="477">
        <v>7702239.5812351499</v>
      </c>
      <c r="BH3153" s="458">
        <v>3.6666431184037451E-2</v>
      </c>
      <c r="BI3153" s="477">
        <v>18307445.928806625</v>
      </c>
      <c r="BJ3153" s="458">
        <v>9.5797208834041303E-2</v>
      </c>
      <c r="BK3153" s="477">
        <v>85360476.196966872</v>
      </c>
      <c r="BL3153" s="458">
        <v>0.25513333200199506</v>
      </c>
      <c r="BM3153" s="468">
        <v>10.895647518455503</v>
      </c>
    </row>
    <row r="3154" spans="12:65" x14ac:dyDescent="0.3">
      <c r="L3154" s="427">
        <v>18524795.7434</v>
      </c>
      <c r="BE3154" s="477">
        <v>6343220.9859085325</v>
      </c>
      <c r="BF3154" s="458">
        <v>5.1301901009030981E-2</v>
      </c>
      <c r="BG3154" s="477">
        <v>2203692.807735099</v>
      </c>
      <c r="BH3154" s="458">
        <v>4.4189990116841882E-2</v>
      </c>
      <c r="BI3154" s="477">
        <v>7858636.5808745809</v>
      </c>
      <c r="BJ3154" s="458">
        <v>9.5419307958830357E-2</v>
      </c>
      <c r="BK3154" s="477">
        <v>109092321.66970429</v>
      </c>
      <c r="BL3154" s="458">
        <v>0.25723314583615053</v>
      </c>
      <c r="BM3154" s="468">
        <v>8.6092295556528118</v>
      </c>
    </row>
    <row r="3155" spans="12:65" x14ac:dyDescent="0.3">
      <c r="L3155" s="427">
        <v>6481576.8378999997</v>
      </c>
      <c r="BE3155" s="477">
        <v>12011230.499808617</v>
      </c>
      <c r="BF3155" s="458">
        <v>3.2631320474510339E-2</v>
      </c>
      <c r="BG3155" s="477">
        <v>9218722.0651148688</v>
      </c>
      <c r="BH3155" s="458">
        <v>6.9721559738745054E-2</v>
      </c>
      <c r="BI3155" s="477">
        <v>25572046.992222644</v>
      </c>
      <c r="BJ3155" s="458">
        <v>0.11326116230167971</v>
      </c>
      <c r="BK3155" s="477">
        <v>96609897.821997896</v>
      </c>
      <c r="BL3155" s="458">
        <v>0.27609150877927058</v>
      </c>
      <c r="BM3155" s="468">
        <v>0.99933592876758137</v>
      </c>
    </row>
    <row r="3156" spans="12:65" x14ac:dyDescent="0.3">
      <c r="L3156" s="427">
        <v>-11976102.0317</v>
      </c>
      <c r="BE3156" s="477">
        <v>7027437.3270109566</v>
      </c>
      <c r="BF3156" s="458">
        <v>8.4721524676132143E-2</v>
      </c>
      <c r="BG3156" s="477">
        <v>13039355.614771431</v>
      </c>
      <c r="BH3156" s="458">
        <v>4.2235458377575252E-2</v>
      </c>
      <c r="BI3156" s="477">
        <v>13200135.693680039</v>
      </c>
      <c r="BJ3156" s="458">
        <v>0.12760334098924497</v>
      </c>
      <c r="BK3156" s="477">
        <v>73127337.189203337</v>
      </c>
      <c r="BL3156" s="458">
        <v>0.25756724050345636</v>
      </c>
      <c r="BM3156" s="468">
        <v>9.8753493083311117</v>
      </c>
    </row>
    <row r="3157" spans="12:65" x14ac:dyDescent="0.3">
      <c r="L3157" s="427">
        <v>12203021.990599999</v>
      </c>
      <c r="BE3157" s="477">
        <v>3669146.4391916902</v>
      </c>
      <c r="BF3157" s="458">
        <v>4.1797295879174579E-2</v>
      </c>
      <c r="BG3157" s="477">
        <v>7056172.1484652311</v>
      </c>
      <c r="BH3157" s="458">
        <v>4.02697073456324E-2</v>
      </c>
      <c r="BI3157" s="477">
        <v>12273488.836789483</v>
      </c>
      <c r="BJ3157" s="458">
        <v>0.12357688799116784</v>
      </c>
      <c r="BK3157" s="477">
        <v>87462153.69443123</v>
      </c>
      <c r="BL3157" s="458">
        <v>0.26328173320047532</v>
      </c>
      <c r="BM3157" s="468">
        <v>8.0540216911189884</v>
      </c>
    </row>
    <row r="3158" spans="12:65" x14ac:dyDescent="0.3">
      <c r="L3158" s="427">
        <v>3194854.9216</v>
      </c>
      <c r="BE3158" s="477">
        <v>4696304.6383530963</v>
      </c>
      <c r="BF3158" s="458">
        <v>3.5352357846642812E-2</v>
      </c>
      <c r="BG3158" s="477">
        <v>11621938.964542946</v>
      </c>
      <c r="BH3158" s="458">
        <v>5.5820684633274276E-2</v>
      </c>
      <c r="BI3158" s="477">
        <v>10070277.738235019</v>
      </c>
      <c r="BJ3158" s="458">
        <v>0.10137301039151336</v>
      </c>
      <c r="BK3158" s="477">
        <v>82841255.205931932</v>
      </c>
      <c r="BL3158" s="458">
        <v>0.265368028680673</v>
      </c>
      <c r="BM3158" s="468">
        <v>14.183947363114051</v>
      </c>
    </row>
    <row r="3159" spans="12:65" x14ac:dyDescent="0.3">
      <c r="L3159" s="427">
        <v>-8306343.9336000001</v>
      </c>
      <c r="BE3159" s="477">
        <v>466015.56501634163</v>
      </c>
      <c r="BF3159" s="458">
        <v>3.5587865086771142E-2</v>
      </c>
      <c r="BG3159" s="477">
        <v>8128669.1259354195</v>
      </c>
      <c r="BH3159" s="458">
        <v>6.4469616451924727E-2</v>
      </c>
      <c r="BI3159" s="477">
        <v>13214687.805659683</v>
      </c>
      <c r="BJ3159" s="458">
        <v>0.14075080434644538</v>
      </c>
      <c r="BK3159" s="477">
        <v>97387438.805213958</v>
      </c>
      <c r="BL3159" s="458">
        <v>0.27038555063438863</v>
      </c>
      <c r="BM3159" s="468">
        <v>14.952877907334202</v>
      </c>
    </row>
    <row r="3160" spans="12:65" x14ac:dyDescent="0.3">
      <c r="L3160" s="427">
        <v>8504567.7013000008</v>
      </c>
      <c r="BE3160" s="477">
        <v>5961742.4509324953</v>
      </c>
      <c r="BF3160" s="458">
        <v>2.3986727639369043E-2</v>
      </c>
      <c r="BG3160" s="477">
        <v>12914522.464252869</v>
      </c>
      <c r="BH3160" s="458">
        <v>6.7515574130263101E-2</v>
      </c>
      <c r="BI3160" s="477">
        <v>10238011.479986615</v>
      </c>
      <c r="BJ3160" s="458">
        <v>9.8119549014560103E-2</v>
      </c>
      <c r="BK3160" s="477">
        <v>104197921.1667721</v>
      </c>
      <c r="BL3160" s="458">
        <v>0.2667848805029871</v>
      </c>
      <c r="BM3160" s="468">
        <v>2.6098764786450008</v>
      </c>
    </row>
    <row r="3161" spans="12:65" x14ac:dyDescent="0.3">
      <c r="L3161" s="427">
        <v>-3757923.8012000001</v>
      </c>
      <c r="BE3161" s="477">
        <v>9287605.4035761319</v>
      </c>
      <c r="BF3161" s="458">
        <v>4.6085022498465245E-2</v>
      </c>
      <c r="BG3161" s="477">
        <v>5625485.652909969</v>
      </c>
      <c r="BH3161" s="458">
        <v>7.6815888630983542E-2</v>
      </c>
      <c r="BI3161" s="477">
        <v>13674034.838141475</v>
      </c>
      <c r="BJ3161" s="458">
        <v>0.10102158308778053</v>
      </c>
      <c r="BK3161" s="477">
        <v>79982919.341888294</v>
      </c>
      <c r="BL3161" s="458">
        <v>0.27599620120914459</v>
      </c>
      <c r="BM3161" s="468">
        <v>10.188440437808305</v>
      </c>
    </row>
    <row r="3162" spans="12:65" x14ac:dyDescent="0.3">
      <c r="L3162" s="427">
        <v>12673455.8168</v>
      </c>
      <c r="BE3162" s="477">
        <v>4687994.1329171583</v>
      </c>
      <c r="BF3162" s="458">
        <v>5.4729017162331806E-2</v>
      </c>
      <c r="BG3162" s="477">
        <v>11045152.729033176</v>
      </c>
      <c r="BH3162" s="458">
        <v>2.8386171410974548E-2</v>
      </c>
      <c r="BI3162" s="477">
        <v>12704153.997042943</v>
      </c>
      <c r="BJ3162" s="458">
        <v>0.11201037895026023</v>
      </c>
      <c r="BK3162" s="477">
        <v>96297112.974409223</v>
      </c>
      <c r="BL3162" s="458">
        <v>0.27008244627365507</v>
      </c>
      <c r="BM3162" s="468">
        <v>4.3070080758868352</v>
      </c>
    </row>
    <row r="3163" spans="12:65" x14ac:dyDescent="0.3">
      <c r="L3163" s="427">
        <v>625802.96900000004</v>
      </c>
      <c r="BE3163" s="477">
        <v>467857.84627009113</v>
      </c>
      <c r="BF3163" s="458">
        <v>4.4053026477657076E-2</v>
      </c>
      <c r="BG3163" s="477">
        <v>11055298.867795026</v>
      </c>
      <c r="BH3163" s="458">
        <v>5.5203765825222462E-2</v>
      </c>
      <c r="BI3163" s="477">
        <v>18176569.959014826</v>
      </c>
      <c r="BJ3163" s="458">
        <v>6.6309289122075343E-2</v>
      </c>
      <c r="BK3163" s="477">
        <v>97395567.681125119</v>
      </c>
      <c r="BL3163" s="458">
        <v>0.27201329900480054</v>
      </c>
      <c r="BM3163" s="468">
        <v>3.5837126075165848</v>
      </c>
    </row>
    <row r="3164" spans="12:65" x14ac:dyDescent="0.3">
      <c r="L3164" s="427">
        <v>10642496.962099999</v>
      </c>
      <c r="BE3164" s="477">
        <v>5133080.9697291451</v>
      </c>
      <c r="BF3164" s="458">
        <v>4.8307487231554536E-2</v>
      </c>
      <c r="BG3164" s="477">
        <v>17013774.405593228</v>
      </c>
      <c r="BH3164" s="458">
        <v>4.1974691432246969E-2</v>
      </c>
      <c r="BI3164" s="477">
        <v>17198015.110628001</v>
      </c>
      <c r="BJ3164" s="458">
        <v>0.1013894637179078</v>
      </c>
      <c r="BK3164" s="477">
        <v>99543127.104524314</v>
      </c>
      <c r="BL3164" s="458">
        <v>0.2628052148715263</v>
      </c>
      <c r="BM3164" s="468">
        <v>9.7243141995763196</v>
      </c>
    </row>
    <row r="3165" spans="12:65" x14ac:dyDescent="0.3">
      <c r="L3165" s="427">
        <v>1595255.453</v>
      </c>
      <c r="BE3165" s="477">
        <v>8370525.3336768486</v>
      </c>
      <c r="BF3165" s="458">
        <v>6.020006112853804E-2</v>
      </c>
      <c r="BG3165" s="477">
        <v>10809897.874914575</v>
      </c>
      <c r="BH3165" s="458">
        <v>8.772129949746077E-2</v>
      </c>
      <c r="BI3165" s="477">
        <v>13448177.790181758</v>
      </c>
      <c r="BJ3165" s="458">
        <v>8.3865424246133413E-2</v>
      </c>
      <c r="BK3165" s="477">
        <v>91768560.14138113</v>
      </c>
      <c r="BL3165" s="458">
        <v>0.27842625763846796</v>
      </c>
      <c r="BM3165" s="468">
        <v>10.296573038234405</v>
      </c>
    </row>
    <row r="3166" spans="12:65" x14ac:dyDescent="0.3">
      <c r="L3166" s="427">
        <v>16958681.5504</v>
      </c>
      <c r="BE3166" s="477">
        <v>8915281.4571545776</v>
      </c>
      <c r="BF3166" s="458">
        <v>4.5036843900817303E-2</v>
      </c>
      <c r="BG3166" s="477">
        <v>8014464.2737336615</v>
      </c>
      <c r="BH3166" s="458">
        <v>5.9420419667301605E-2</v>
      </c>
      <c r="BI3166" s="477">
        <v>11964599.996560331</v>
      </c>
      <c r="BJ3166" s="458">
        <v>0.11435656669419147</v>
      </c>
      <c r="BK3166" s="477">
        <v>103451128.97962928</v>
      </c>
      <c r="BL3166" s="458">
        <v>0.26979268220856412</v>
      </c>
      <c r="BM3166" s="468">
        <v>5.638211966553615</v>
      </c>
    </row>
    <row r="3167" spans="12:65" x14ac:dyDescent="0.3">
      <c r="L3167" s="427">
        <v>29724058.816399999</v>
      </c>
      <c r="BE3167" s="477">
        <v>5746386.1675725766</v>
      </c>
      <c r="BF3167" s="458">
        <v>3.1872648939979875E-2</v>
      </c>
      <c r="BG3167" s="477">
        <v>11955916.532040603</v>
      </c>
      <c r="BH3167" s="458">
        <v>4.2434369789930315E-2</v>
      </c>
      <c r="BI3167" s="477">
        <v>17236143.218613487</v>
      </c>
      <c r="BJ3167" s="458">
        <v>9.1904809345734639E-2</v>
      </c>
      <c r="BK3167" s="477">
        <v>108052182.0081767</v>
      </c>
      <c r="BL3167" s="458">
        <v>0.27483044917164534</v>
      </c>
      <c r="BM3167" s="468">
        <v>7.8669896099545138</v>
      </c>
    </row>
    <row r="3168" spans="12:65" x14ac:dyDescent="0.3">
      <c r="L3168" s="427">
        <v>19692521.738400001</v>
      </c>
      <c r="BE3168" s="477">
        <v>1789197.5815325757</v>
      </c>
      <c r="BF3168" s="458">
        <v>7.4456608285227821E-2</v>
      </c>
      <c r="BG3168" s="477">
        <v>7525723.6553651923</v>
      </c>
      <c r="BH3168" s="458">
        <v>6.5148001794967936E-2</v>
      </c>
      <c r="BI3168" s="477">
        <v>24940489.269621082</v>
      </c>
      <c r="BJ3168" s="458">
        <v>0.11250411990164522</v>
      </c>
      <c r="BK3168" s="477">
        <v>98123427.52171196</v>
      </c>
      <c r="BL3168" s="458">
        <v>0.28443797225055634</v>
      </c>
      <c r="BM3168" s="468">
        <v>3.684381499925018</v>
      </c>
    </row>
    <row r="3169" spans="12:65" x14ac:dyDescent="0.3">
      <c r="L3169" s="427">
        <v>18412501.588</v>
      </c>
      <c r="BE3169" s="477">
        <v>5162958.3040387798</v>
      </c>
      <c r="BF3169" s="458">
        <v>5.8590731540355323E-2</v>
      </c>
      <c r="BG3169" s="477">
        <v>11587983.865318304</v>
      </c>
      <c r="BH3169" s="458">
        <v>3.541109562181477E-2</v>
      </c>
      <c r="BI3169" s="477">
        <v>6089117.8705069125</v>
      </c>
      <c r="BJ3169" s="458">
        <v>9.7951649736019553E-2</v>
      </c>
      <c r="BK3169" s="477">
        <v>97188616.835798576</v>
      </c>
      <c r="BL3169" s="458">
        <v>0.25360221614189138</v>
      </c>
      <c r="BM3169" s="468">
        <v>5.9029380029740368</v>
      </c>
    </row>
    <row r="3170" spans="12:65" x14ac:dyDescent="0.3">
      <c r="L3170" s="427">
        <v>22044113.372099999</v>
      </c>
      <c r="BE3170" s="477">
        <v>-323258.50799799443</v>
      </c>
      <c r="BF3170" s="458">
        <v>3.7334749510069765E-2</v>
      </c>
      <c r="BG3170" s="477">
        <v>13921119.933529038</v>
      </c>
      <c r="BH3170" s="458">
        <v>7.9996334277051329E-2</v>
      </c>
      <c r="BI3170" s="477">
        <v>13251505.329488032</v>
      </c>
      <c r="BJ3170" s="458">
        <v>9.7643237685432815E-2</v>
      </c>
      <c r="BK3170" s="477">
        <v>88750553.968934163</v>
      </c>
      <c r="BL3170" s="458">
        <v>0.26820795343877357</v>
      </c>
      <c r="BM3170" s="468">
        <v>2.7510862299853498</v>
      </c>
    </row>
    <row r="3171" spans="12:65" x14ac:dyDescent="0.3">
      <c r="L3171" s="427">
        <v>16402767.630999999</v>
      </c>
      <c r="BE3171" s="477">
        <v>2324550.6505384762</v>
      </c>
      <c r="BF3171" s="458">
        <v>4.8284316284739726E-2</v>
      </c>
      <c r="BG3171" s="477">
        <v>8480148.9659934901</v>
      </c>
      <c r="BH3171" s="458">
        <v>7.9770600392346402E-2</v>
      </c>
      <c r="BI3171" s="477">
        <v>11033726.150284238</v>
      </c>
      <c r="BJ3171" s="458">
        <v>9.8583658106645489E-2</v>
      </c>
      <c r="BK3171" s="477">
        <v>102314961.91643867</v>
      </c>
      <c r="BL3171" s="458">
        <v>0.25692845731138125</v>
      </c>
      <c r="BM3171" s="468">
        <v>6.7250367198257841</v>
      </c>
    </row>
    <row r="3172" spans="12:65" x14ac:dyDescent="0.3">
      <c r="L3172" s="427">
        <v>19921865.793099999</v>
      </c>
      <c r="BE3172" s="477">
        <v>7029271.682760735</v>
      </c>
      <c r="BF3172" s="458">
        <v>4.3703271835746849E-2</v>
      </c>
      <c r="BG3172" s="477">
        <v>4206781.8167821337</v>
      </c>
      <c r="BH3172" s="458">
        <v>6.3866421832781128E-2</v>
      </c>
      <c r="BI3172" s="477">
        <v>12138680.703166967</v>
      </c>
      <c r="BJ3172" s="458">
        <v>0.1144940594723951</v>
      </c>
      <c r="BK3172" s="477">
        <v>94977725.295018092</v>
      </c>
      <c r="BL3172" s="458">
        <v>0.26191437367078896</v>
      </c>
      <c r="BM3172" s="468">
        <v>5.5789548629758201</v>
      </c>
    </row>
    <row r="3173" spans="12:65" x14ac:dyDescent="0.3">
      <c r="L3173" s="427">
        <v>2800348.1658000001</v>
      </c>
      <c r="BE3173" s="477">
        <v>5675159.3265041411</v>
      </c>
      <c r="BF3173" s="458">
        <v>2.4579710209303052E-2</v>
      </c>
      <c r="BG3173" s="477">
        <v>10848985.478875587</v>
      </c>
      <c r="BH3173" s="458">
        <v>6.7443678002590435E-2</v>
      </c>
      <c r="BI3173" s="477">
        <v>17122790.648850165</v>
      </c>
      <c r="BJ3173" s="458">
        <v>0.11533574741393116</v>
      </c>
      <c r="BK3173" s="477">
        <v>81525233.244153678</v>
      </c>
      <c r="BL3173" s="458">
        <v>0.27443627292399997</v>
      </c>
      <c r="BM3173" s="468">
        <v>7.4471422914317467</v>
      </c>
    </row>
    <row r="3174" spans="12:65" x14ac:dyDescent="0.3">
      <c r="L3174" s="427">
        <v>-121493.48880000001</v>
      </c>
      <c r="BE3174" s="477">
        <v>6128553.3328736648</v>
      </c>
      <c r="BF3174" s="458">
        <v>3.0102492086168553E-2</v>
      </c>
      <c r="BG3174" s="477">
        <v>5133890.4401317853</v>
      </c>
      <c r="BH3174" s="458">
        <v>0.11203330355757846</v>
      </c>
      <c r="BI3174" s="477">
        <v>15709191.289266307</v>
      </c>
      <c r="BJ3174" s="458">
        <v>0.11584962276471922</v>
      </c>
      <c r="BK3174" s="477">
        <v>75113307.946675733</v>
      </c>
      <c r="BL3174" s="458">
        <v>0.27743173637626573</v>
      </c>
      <c r="BM3174" s="468">
        <v>8.8137789770640715</v>
      </c>
    </row>
    <row r="3175" spans="12:65" x14ac:dyDescent="0.3">
      <c r="L3175" s="427">
        <v>-14435292.1149</v>
      </c>
      <c r="BE3175" s="477">
        <v>6499386.0219006203</v>
      </c>
      <c r="BF3175" s="458">
        <v>2.465953100994378E-2</v>
      </c>
      <c r="BG3175" s="477">
        <v>7129298.470829404</v>
      </c>
      <c r="BH3175" s="458">
        <v>3.157529928475844E-2</v>
      </c>
      <c r="BI3175" s="477">
        <v>7882878.6443402944</v>
      </c>
      <c r="BJ3175" s="458">
        <v>0.13016272292541342</v>
      </c>
      <c r="BK3175" s="477">
        <v>90230494.321183056</v>
      </c>
      <c r="BL3175" s="458">
        <v>0.27389154084170797</v>
      </c>
      <c r="BM3175" s="468">
        <v>2.1056429275371187</v>
      </c>
    </row>
    <row r="3176" spans="12:65" x14ac:dyDescent="0.3">
      <c r="L3176" s="427">
        <v>20874036.408399999</v>
      </c>
      <c r="BE3176" s="477">
        <v>5219965.6047703438</v>
      </c>
      <c r="BF3176" s="458">
        <v>3.9530945738741607E-2</v>
      </c>
      <c r="BG3176" s="477">
        <v>8232842.740339282</v>
      </c>
      <c r="BH3176" s="458">
        <v>4.4158798563684654E-2</v>
      </c>
      <c r="BI3176" s="477">
        <v>8146646.4120517038</v>
      </c>
      <c r="BJ3176" s="458">
        <v>0.10468038503655808</v>
      </c>
      <c r="BK3176" s="477">
        <v>99673485.649186313</v>
      </c>
      <c r="BL3176" s="458">
        <v>0.25547979327794956</v>
      </c>
      <c r="BM3176" s="468">
        <v>5.6786587910342607</v>
      </c>
    </row>
    <row r="3177" spans="12:65" x14ac:dyDescent="0.3">
      <c r="L3177" s="427">
        <v>-7755721.2768000001</v>
      </c>
      <c r="BE3177" s="477">
        <v>4225699.0750969965</v>
      </c>
      <c r="BF3177" s="458">
        <v>2.9519528159183794E-2</v>
      </c>
      <c r="BG3177" s="477">
        <v>11488721.053261345</v>
      </c>
      <c r="BH3177" s="458">
        <v>7.9265785208181949E-2</v>
      </c>
      <c r="BI3177" s="477">
        <v>15328802.916720176</v>
      </c>
      <c r="BJ3177" s="458">
        <v>0.11534212268600741</v>
      </c>
      <c r="BK3177" s="477">
        <v>82086140.375225425</v>
      </c>
      <c r="BL3177" s="458">
        <v>0.26744289872438842</v>
      </c>
      <c r="BM3177" s="468">
        <v>9.1090967867869921</v>
      </c>
    </row>
    <row r="3178" spans="12:65" x14ac:dyDescent="0.3">
      <c r="L3178" s="427">
        <v>21387483.736299999</v>
      </c>
      <c r="BE3178" s="477">
        <v>10713433.336092051</v>
      </c>
      <c r="BF3178" s="458">
        <v>3.421886946708308E-2</v>
      </c>
      <c r="BG3178" s="477">
        <v>8993798.6684339494</v>
      </c>
      <c r="BH3178" s="458">
        <v>4.5609409371048404E-2</v>
      </c>
      <c r="BI3178" s="477">
        <v>18619613.272626374</v>
      </c>
      <c r="BJ3178" s="458">
        <v>9.5425995581094769E-2</v>
      </c>
      <c r="BK3178" s="477">
        <v>83188981.405682176</v>
      </c>
      <c r="BL3178" s="458">
        <v>0.30571256405434122</v>
      </c>
      <c r="BM3178" s="468">
        <v>10.969391126233882</v>
      </c>
    </row>
    <row r="3179" spans="12:65" x14ac:dyDescent="0.3">
      <c r="L3179" s="427">
        <v>4984657.7752999999</v>
      </c>
      <c r="BE3179" s="477">
        <v>1305805.9633882449</v>
      </c>
      <c r="BF3179" s="458">
        <v>3.0426407139777067E-2</v>
      </c>
      <c r="BG3179" s="477">
        <v>8096346.431895853</v>
      </c>
      <c r="BH3179" s="458">
        <v>6.6619588493377346E-2</v>
      </c>
      <c r="BI3179" s="477">
        <v>21938020.625957672</v>
      </c>
      <c r="BJ3179" s="458">
        <v>9.6492557740731844E-2</v>
      </c>
      <c r="BK3179" s="477">
        <v>92357176.36782068</v>
      </c>
      <c r="BL3179" s="458">
        <v>0.25836783332053548</v>
      </c>
      <c r="BM3179" s="468">
        <v>6.6121569944497027</v>
      </c>
    </row>
    <row r="3180" spans="12:65" x14ac:dyDescent="0.3">
      <c r="L3180" s="427">
        <v>9940451.4747000001</v>
      </c>
      <c r="BE3180" s="477">
        <v>4688527.4606876485</v>
      </c>
      <c r="BF3180" s="458">
        <v>4.313801293797237E-2</v>
      </c>
      <c r="BG3180" s="477">
        <v>11949310.708657248</v>
      </c>
      <c r="BH3180" s="458">
        <v>3.4598571640221065E-2</v>
      </c>
      <c r="BI3180" s="477">
        <v>6802949.3819295159</v>
      </c>
      <c r="BJ3180" s="458">
        <v>0.11308846573199527</v>
      </c>
      <c r="BK3180" s="477">
        <v>82482784.335305825</v>
      </c>
      <c r="BL3180" s="458">
        <v>0.27138209992339712</v>
      </c>
      <c r="BM3180" s="468">
        <v>9.5978021377198299</v>
      </c>
    </row>
    <row r="3181" spans="12:65" x14ac:dyDescent="0.3">
      <c r="L3181" s="427">
        <v>28483031.424400002</v>
      </c>
      <c r="BE3181" s="477">
        <v>4211215.0343365492</v>
      </c>
      <c r="BF3181" s="458">
        <v>2.9750071957533653E-2</v>
      </c>
      <c r="BG3181" s="477">
        <v>11759339.432881322</v>
      </c>
      <c r="BH3181" s="458">
        <v>7.6323738965829557E-2</v>
      </c>
      <c r="BI3181" s="477">
        <v>14697661.10021962</v>
      </c>
      <c r="BJ3181" s="458">
        <v>9.2800755158478632E-2</v>
      </c>
      <c r="BK3181" s="477">
        <v>86444426.176608205</v>
      </c>
      <c r="BL3181" s="458">
        <v>0.25433532148140658</v>
      </c>
      <c r="BM3181" s="468">
        <v>8.8156928468516238</v>
      </c>
    </row>
    <row r="3182" spans="12:65" x14ac:dyDescent="0.3">
      <c r="L3182" s="427">
        <v>3023675.4197999998</v>
      </c>
      <c r="BE3182" s="477">
        <v>2565360.9835629435</v>
      </c>
      <c r="BF3182" s="458">
        <v>3.023131759057951E-2</v>
      </c>
      <c r="BG3182" s="477">
        <v>7972888.5159090171</v>
      </c>
      <c r="BH3182" s="458">
        <v>5.9984539106653356E-2</v>
      </c>
      <c r="BI3182" s="477">
        <v>26824881.163634699</v>
      </c>
      <c r="BJ3182" s="458">
        <v>0.13533422465116174</v>
      </c>
      <c r="BK3182" s="477">
        <v>93772098.43640554</v>
      </c>
      <c r="BL3182" s="458">
        <v>0.27109858004030696</v>
      </c>
      <c r="BM3182" s="468">
        <v>10.165937235349945</v>
      </c>
    </row>
    <row r="3183" spans="12:65" x14ac:dyDescent="0.3">
      <c r="L3183" s="427">
        <v>8544624.4469000008</v>
      </c>
      <c r="BE3183" s="477">
        <v>5519992.5268742573</v>
      </c>
      <c r="BF3183" s="458">
        <v>5.3308078080758436E-2</v>
      </c>
      <c r="BG3183" s="477">
        <v>7766082.073395269</v>
      </c>
      <c r="BH3183" s="458">
        <v>8.3294095227315124E-2</v>
      </c>
      <c r="BI3183" s="477">
        <v>8874356.6871694457</v>
      </c>
      <c r="BJ3183" s="458">
        <v>0.10080546963581782</v>
      </c>
      <c r="BK3183" s="477">
        <v>93988347.585542083</v>
      </c>
      <c r="BL3183" s="458">
        <v>0.27487890376461199</v>
      </c>
      <c r="BM3183" s="468">
        <v>2.9767870168690909</v>
      </c>
    </row>
    <row r="3184" spans="12:65" x14ac:dyDescent="0.3">
      <c r="L3184" s="427">
        <v>-4839979.9441</v>
      </c>
      <c r="BE3184" s="477">
        <v>3318428.219260185</v>
      </c>
      <c r="BF3184" s="458">
        <v>3.9842610469720263E-2</v>
      </c>
      <c r="BG3184" s="477">
        <v>12343555.766224613</v>
      </c>
      <c r="BH3184" s="458">
        <v>6.2103230234801465E-2</v>
      </c>
      <c r="BI3184" s="477">
        <v>15368018.972373443</v>
      </c>
      <c r="BJ3184" s="458">
        <v>0.11327606484148722</v>
      </c>
      <c r="BK3184" s="477">
        <v>92803288.359823376</v>
      </c>
      <c r="BL3184" s="458">
        <v>0.26610237996642305</v>
      </c>
      <c r="BM3184" s="468">
        <v>7.9862556709740504</v>
      </c>
    </row>
    <row r="3185" spans="12:65" x14ac:dyDescent="0.3">
      <c r="L3185" s="427">
        <v>13466441.2717</v>
      </c>
      <c r="BE3185" s="477">
        <v>3267892.6427505049</v>
      </c>
      <c r="BF3185" s="458">
        <v>2.3484280196161667E-2</v>
      </c>
      <c r="BG3185" s="477">
        <v>6466450.601230504</v>
      </c>
      <c r="BH3185" s="458">
        <v>5.4769222132745154E-2</v>
      </c>
      <c r="BI3185" s="477">
        <v>21891958.442967795</v>
      </c>
      <c r="BJ3185" s="458">
        <v>8.7496118833459757E-2</v>
      </c>
      <c r="BK3185" s="477">
        <v>96399676.609713674</v>
      </c>
      <c r="BL3185" s="458">
        <v>0.27251357203911719</v>
      </c>
      <c r="BM3185" s="468">
        <v>11.54834991551756</v>
      </c>
    </row>
    <row r="3186" spans="12:65" x14ac:dyDescent="0.3">
      <c r="L3186" s="427">
        <v>-3573728.2566</v>
      </c>
      <c r="BE3186" s="477">
        <v>7313906.6801822148</v>
      </c>
      <c r="BF3186" s="458">
        <v>3.1507063659039325E-2</v>
      </c>
      <c r="BG3186" s="477">
        <v>5815069.8979121493</v>
      </c>
      <c r="BH3186" s="458">
        <v>3.8107769849423434E-2</v>
      </c>
      <c r="BI3186" s="477">
        <v>17675820.195852604</v>
      </c>
      <c r="BJ3186" s="458">
        <v>0.12355046048904406</v>
      </c>
      <c r="BK3186" s="477">
        <v>76103950.43133232</v>
      </c>
      <c r="BL3186" s="458">
        <v>0.29008835895540641</v>
      </c>
      <c r="BM3186" s="468">
        <v>1.7676606077685335</v>
      </c>
    </row>
    <row r="3187" spans="12:65" x14ac:dyDescent="0.3">
      <c r="L3187" s="427">
        <v>7328989.0220999997</v>
      </c>
      <c r="BE3187" s="477">
        <v>6276897.2959390674</v>
      </c>
      <c r="BF3187" s="458">
        <v>2.9108641712923378E-2</v>
      </c>
      <c r="BG3187" s="477">
        <v>16147206.373567056</v>
      </c>
      <c r="BH3187" s="458">
        <v>5.5292646779891097E-2</v>
      </c>
      <c r="BI3187" s="477">
        <v>13635117.042918228</v>
      </c>
      <c r="BJ3187" s="458">
        <v>0.11427463973581387</v>
      </c>
      <c r="BK3187" s="477">
        <v>84841046.562900856</v>
      </c>
      <c r="BL3187" s="458">
        <v>0.26593882984115136</v>
      </c>
      <c r="BM3187" s="468">
        <v>11.491303612373576</v>
      </c>
    </row>
    <row r="3188" spans="12:65" x14ac:dyDescent="0.3">
      <c r="L3188" s="427">
        <v>2319194.9566000002</v>
      </c>
      <c r="BE3188" s="477">
        <v>10890359.384597491</v>
      </c>
      <c r="BF3188" s="458">
        <v>4.6666906317625045E-2</v>
      </c>
      <c r="BG3188" s="477">
        <v>10903758.970021615</v>
      </c>
      <c r="BH3188" s="458">
        <v>6.9580066372393778E-2</v>
      </c>
      <c r="BI3188" s="477">
        <v>16728882.531022809</v>
      </c>
      <c r="BJ3188" s="458">
        <v>0.11845623896426849</v>
      </c>
      <c r="BK3188" s="477">
        <v>84936444.364966929</v>
      </c>
      <c r="BL3188" s="458">
        <v>0.2488046784258533</v>
      </c>
      <c r="BM3188" s="468">
        <v>12.41237746925631</v>
      </c>
    </row>
    <row r="3189" spans="12:65" x14ac:dyDescent="0.3">
      <c r="L3189" s="427">
        <v>19353104.452799998</v>
      </c>
      <c r="BE3189" s="477">
        <v>7301111.4647061983</v>
      </c>
      <c r="BF3189" s="458">
        <v>1.8391066309156656E-2</v>
      </c>
      <c r="BG3189" s="477">
        <v>11545139.565265603</v>
      </c>
      <c r="BH3189" s="458">
        <v>2.8815728676958585E-2</v>
      </c>
      <c r="BI3189" s="477">
        <v>21255929.305049058</v>
      </c>
      <c r="BJ3189" s="458">
        <v>9.836821814250496E-2</v>
      </c>
      <c r="BK3189" s="477">
        <v>101019101.17552534</v>
      </c>
      <c r="BL3189" s="458">
        <v>0.26404234771813506</v>
      </c>
      <c r="BM3189" s="468">
        <v>10.853945167970675</v>
      </c>
    </row>
    <row r="3190" spans="12:65" x14ac:dyDescent="0.3">
      <c r="L3190" s="427">
        <v>17486271.011300001</v>
      </c>
      <c r="BE3190" s="477">
        <v>4189399.6159944371</v>
      </c>
      <c r="BF3190" s="458">
        <v>5.0873255474882972E-2</v>
      </c>
      <c r="BG3190" s="477">
        <v>6460855.3203474246</v>
      </c>
      <c r="BH3190" s="458">
        <v>3.4550018710323593E-2</v>
      </c>
      <c r="BI3190" s="477">
        <v>10235089.810993236</v>
      </c>
      <c r="BJ3190" s="458">
        <v>0.11278753780333894</v>
      </c>
      <c r="BK3190" s="477">
        <v>82245323.437834874</v>
      </c>
      <c r="BL3190" s="458">
        <v>0.26170404091073363</v>
      </c>
      <c r="BM3190" s="468">
        <v>7.1905260937014113</v>
      </c>
    </row>
    <row r="3191" spans="12:65" x14ac:dyDescent="0.3">
      <c r="L3191" s="427">
        <v>8873914.7344000004</v>
      </c>
      <c r="BE3191" s="477">
        <v>3680433.3119899561</v>
      </c>
      <c r="BF3191" s="458">
        <v>2.8765666049792582E-2</v>
      </c>
      <c r="BG3191" s="477">
        <v>5828438.5742314672</v>
      </c>
      <c r="BH3191" s="458">
        <v>7.7561153701012353E-2</v>
      </c>
      <c r="BI3191" s="477">
        <v>21612969.673745435</v>
      </c>
      <c r="BJ3191" s="458">
        <v>0.13823261754296001</v>
      </c>
      <c r="BK3191" s="477">
        <v>94174653.422681674</v>
      </c>
      <c r="BL3191" s="458">
        <v>0.25910405575272044</v>
      </c>
      <c r="BM3191" s="468">
        <v>11.141634922909496</v>
      </c>
    </row>
    <row r="3192" spans="12:65" x14ac:dyDescent="0.3">
      <c r="L3192" s="427">
        <v>10269570.954600001</v>
      </c>
      <c r="BE3192" s="477">
        <v>4614579.3830294032</v>
      </c>
      <c r="BF3192" s="458">
        <v>2.2375735497140559E-2</v>
      </c>
      <c r="BG3192" s="477">
        <v>5301639.5734113408</v>
      </c>
      <c r="BH3192" s="458">
        <v>6.4741681332124879E-2</v>
      </c>
      <c r="BI3192" s="477">
        <v>20576487.062082969</v>
      </c>
      <c r="BJ3192" s="458">
        <v>9.1995243362860801E-2</v>
      </c>
      <c r="BK3192" s="477">
        <v>87435740.334932119</v>
      </c>
      <c r="BL3192" s="458">
        <v>0.25109849875530355</v>
      </c>
      <c r="BM3192" s="468">
        <v>11.370836618077448</v>
      </c>
    </row>
    <row r="3193" spans="12:65" x14ac:dyDescent="0.3">
      <c r="L3193" s="427">
        <v>-11068863.005100001</v>
      </c>
      <c r="BE3193" s="477">
        <v>9739969.5309486166</v>
      </c>
      <c r="BF3193" s="458">
        <v>1.5731362476840483E-2</v>
      </c>
      <c r="BG3193" s="477">
        <v>9202588.804720208</v>
      </c>
      <c r="BH3193" s="458">
        <v>5.8935617177007682E-2</v>
      </c>
      <c r="BI3193" s="477">
        <v>9385201.6677458603</v>
      </c>
      <c r="BJ3193" s="458">
        <v>0.12911108374292057</v>
      </c>
      <c r="BK3193" s="477">
        <v>101013139.97934499</v>
      </c>
      <c r="BL3193" s="458">
        <v>0.25296095104662797</v>
      </c>
      <c r="BM3193" s="468">
        <v>9.9448091424393184</v>
      </c>
    </row>
    <row r="3194" spans="12:65" x14ac:dyDescent="0.3">
      <c r="L3194" s="427">
        <v>12624595.011600001</v>
      </c>
      <c r="BE3194" s="477">
        <v>8717249.5831187498</v>
      </c>
      <c r="BF3194" s="458">
        <v>4.3804940144940296E-2</v>
      </c>
      <c r="BG3194" s="477">
        <v>9430375.066960562</v>
      </c>
      <c r="BH3194" s="458">
        <v>5.1718311488542001E-2</v>
      </c>
      <c r="BI3194" s="477">
        <v>21011419.034228124</v>
      </c>
      <c r="BJ3194" s="458">
        <v>0.10441595532116121</v>
      </c>
      <c r="BK3194" s="477">
        <v>81319463.762689367</v>
      </c>
      <c r="BL3194" s="458">
        <v>0.2690013483936915</v>
      </c>
      <c r="BM3194" s="468">
        <v>5.1733815007791755</v>
      </c>
    </row>
    <row r="3195" spans="12:65" x14ac:dyDescent="0.3">
      <c r="L3195" s="427">
        <v>11768631.165899999</v>
      </c>
      <c r="BE3195" s="477">
        <v>3473826.396048584</v>
      </c>
      <c r="BF3195" s="458">
        <v>4.3505448966410176E-2</v>
      </c>
      <c r="BG3195" s="477">
        <v>12706060.242009034</v>
      </c>
      <c r="BH3195" s="458">
        <v>7.0215657411086374E-2</v>
      </c>
      <c r="BI3195" s="477">
        <v>16730586.124262139</v>
      </c>
      <c r="BJ3195" s="458">
        <v>0.14687244283035339</v>
      </c>
      <c r="BK3195" s="477">
        <v>101331253.74285723</v>
      </c>
      <c r="BL3195" s="458">
        <v>0.28523975673605206</v>
      </c>
      <c r="BM3195" s="468">
        <v>9.6421216086728769</v>
      </c>
    </row>
    <row r="3196" spans="12:65" x14ac:dyDescent="0.3">
      <c r="L3196" s="427">
        <v>14613369.665999999</v>
      </c>
      <c r="BE3196" s="477">
        <v>7470412.2642181199</v>
      </c>
      <c r="BF3196" s="458">
        <v>2.6631375688093595E-2</v>
      </c>
      <c r="BG3196" s="477">
        <v>5776603.6405074336</v>
      </c>
      <c r="BH3196" s="458">
        <v>7.0955926625276167E-2</v>
      </c>
      <c r="BI3196" s="477">
        <v>16663272.322581071</v>
      </c>
      <c r="BJ3196" s="458">
        <v>0.10337612032804411</v>
      </c>
      <c r="BK3196" s="477">
        <v>87174078.788541585</v>
      </c>
      <c r="BL3196" s="458">
        <v>0.28700722220302199</v>
      </c>
      <c r="BM3196" s="468">
        <v>-2.54943211204567</v>
      </c>
    </row>
    <row r="3197" spans="12:65" x14ac:dyDescent="0.3">
      <c r="L3197" s="427">
        <v>-4290195.1064999998</v>
      </c>
      <c r="BE3197" s="477">
        <v>5325690.0135611501</v>
      </c>
      <c r="BF3197" s="458">
        <v>5.8281912177126749E-2</v>
      </c>
      <c r="BG3197" s="477">
        <v>6078787.5699389782</v>
      </c>
      <c r="BH3197" s="458">
        <v>6.8830917404714365E-2</v>
      </c>
      <c r="BI3197" s="477">
        <v>9378008.2565787733</v>
      </c>
      <c r="BJ3197" s="458">
        <v>0.10532487872161633</v>
      </c>
      <c r="BK3197" s="477">
        <v>86920273.477395236</v>
      </c>
      <c r="BL3197" s="458">
        <v>0.28572245428005005</v>
      </c>
      <c r="BM3197" s="468">
        <v>4.3312602476032289</v>
      </c>
    </row>
    <row r="3198" spans="12:65" x14ac:dyDescent="0.3">
      <c r="L3198" s="427">
        <v>-65739.305699999997</v>
      </c>
      <c r="BE3198" s="477">
        <v>4370397.3589404142</v>
      </c>
      <c r="BF3198" s="458">
        <v>5.7450891740013832E-2</v>
      </c>
      <c r="BG3198" s="477">
        <v>9000808.2601996474</v>
      </c>
      <c r="BH3198" s="458">
        <v>6.7321026175847898E-2</v>
      </c>
      <c r="BI3198" s="477">
        <v>13874927.161287116</v>
      </c>
      <c r="BJ3198" s="458">
        <v>0.11475471000046666</v>
      </c>
      <c r="BK3198" s="477">
        <v>98582217.095650151</v>
      </c>
      <c r="BL3198" s="458">
        <v>0.28046326713470826</v>
      </c>
      <c r="BM3198" s="468">
        <v>3.4127512601445638</v>
      </c>
    </row>
    <row r="3199" spans="12:65" x14ac:dyDescent="0.3">
      <c r="L3199" s="427">
        <v>21474650.617800001</v>
      </c>
      <c r="BE3199" s="477">
        <v>7193456.5562543273</v>
      </c>
      <c r="BF3199" s="458">
        <v>4.9465671976767212E-2</v>
      </c>
      <c r="BG3199" s="477">
        <v>5201510.3680739645</v>
      </c>
      <c r="BH3199" s="458">
        <v>5.7627206469362147E-2</v>
      </c>
      <c r="BI3199" s="477">
        <v>22536543.541845184</v>
      </c>
      <c r="BJ3199" s="458">
        <v>0.101195777673319</v>
      </c>
      <c r="BK3199" s="477">
        <v>97201912.251147687</v>
      </c>
      <c r="BL3199" s="458">
        <v>0.28028471786528586</v>
      </c>
      <c r="BM3199" s="468">
        <v>6.7379976447749499</v>
      </c>
    </row>
    <row r="3200" spans="12:65" x14ac:dyDescent="0.3">
      <c r="L3200" s="427">
        <v>11961194.665999999</v>
      </c>
      <c r="BE3200" s="477">
        <v>4075747.2076554461</v>
      </c>
      <c r="BF3200" s="458">
        <v>2.3805919191901781E-2</v>
      </c>
      <c r="BG3200" s="477">
        <v>10184313.013499781</v>
      </c>
      <c r="BH3200" s="458">
        <v>6.5560938133791602E-2</v>
      </c>
      <c r="BI3200" s="477">
        <v>20516671.157606769</v>
      </c>
      <c r="BJ3200" s="458">
        <v>0.12316350092496942</v>
      </c>
      <c r="BK3200" s="477">
        <v>93772399.631392375</v>
      </c>
      <c r="BL3200" s="458">
        <v>0.27515318385125753</v>
      </c>
      <c r="BM3200" s="468">
        <v>10.222814037389792</v>
      </c>
    </row>
    <row r="3201" spans="12:65" x14ac:dyDescent="0.3">
      <c r="L3201" s="427">
        <v>2879550.7711</v>
      </c>
      <c r="BE3201" s="477">
        <v>4108987.1518368991</v>
      </c>
      <c r="BF3201" s="458">
        <v>1.767748716844264E-2</v>
      </c>
      <c r="BG3201" s="477">
        <v>8256097.6588657275</v>
      </c>
      <c r="BH3201" s="458">
        <v>8.0811852550604968E-2</v>
      </c>
      <c r="BI3201" s="477">
        <v>12548196.122165263</v>
      </c>
      <c r="BJ3201" s="458">
        <v>0.13217088441745495</v>
      </c>
      <c r="BK3201" s="477">
        <v>74248339.356161565</v>
      </c>
      <c r="BL3201" s="458">
        <v>0.2668486162720094</v>
      </c>
      <c r="BM3201" s="468">
        <v>7.9316849634548108</v>
      </c>
    </row>
    <row r="3202" spans="12:65" x14ac:dyDescent="0.3">
      <c r="L3202" s="427">
        <v>21536661.323199999</v>
      </c>
      <c r="BE3202" s="477">
        <v>9141847.775316447</v>
      </c>
      <c r="BF3202" s="458">
        <v>7.9049706716144197E-2</v>
      </c>
      <c r="BG3202" s="477">
        <v>7518090.0909944493</v>
      </c>
      <c r="BH3202" s="458">
        <v>9.3013910719216053E-2</v>
      </c>
      <c r="BI3202" s="477">
        <v>15796339.834777381</v>
      </c>
      <c r="BJ3202" s="458">
        <v>0.12197820723544139</v>
      </c>
      <c r="BK3202" s="477">
        <v>98072045.440485671</v>
      </c>
      <c r="BL3202" s="458">
        <v>0.27377258209785293</v>
      </c>
      <c r="BM3202" s="468">
        <v>6.6038202852951953</v>
      </c>
    </row>
    <row r="3203" spans="12:65" x14ac:dyDescent="0.3">
      <c r="L3203" s="427">
        <v>17713607.048</v>
      </c>
      <c r="BE3203" s="477">
        <v>7251358.2340209056</v>
      </c>
      <c r="BF3203" s="458">
        <v>4.3578881629491972E-2</v>
      </c>
      <c r="BG3203" s="477">
        <v>4135413.4319719486</v>
      </c>
      <c r="BH3203" s="458">
        <v>6.4154854888322177E-2</v>
      </c>
      <c r="BI3203" s="477">
        <v>14449252.096031522</v>
      </c>
      <c r="BJ3203" s="458">
        <v>9.5082103869904566E-2</v>
      </c>
      <c r="BK3203" s="477">
        <v>102059476.40372151</v>
      </c>
      <c r="BL3203" s="458">
        <v>0.28183097431046633</v>
      </c>
      <c r="BM3203" s="468">
        <v>1.2465248913474944</v>
      </c>
    </row>
    <row r="3204" spans="12:65" x14ac:dyDescent="0.3">
      <c r="L3204" s="427">
        <v>-7045707.0169000002</v>
      </c>
      <c r="BE3204" s="477">
        <v>6374711.9905978078</v>
      </c>
      <c r="BF3204" s="458">
        <v>3.9769340574544954E-2</v>
      </c>
      <c r="BG3204" s="477">
        <v>7334803.6461746981</v>
      </c>
      <c r="BH3204" s="458">
        <v>6.0030977216686709E-2</v>
      </c>
      <c r="BI3204" s="477">
        <v>13235118.981897181</v>
      </c>
      <c r="BJ3204" s="458">
        <v>0.10543931926044414</v>
      </c>
      <c r="BK3204" s="477">
        <v>86636266.02931419</v>
      </c>
      <c r="BL3204" s="458">
        <v>0.26136712930536521</v>
      </c>
      <c r="BM3204" s="468">
        <v>7.6621870732594761</v>
      </c>
    </row>
    <row r="3205" spans="12:65" x14ac:dyDescent="0.3">
      <c r="L3205" s="427">
        <v>-850712.05850000004</v>
      </c>
      <c r="BE3205" s="477">
        <v>4163699.0653216573</v>
      </c>
      <c r="BF3205" s="458">
        <v>4.3947140805087326E-2</v>
      </c>
      <c r="BG3205" s="477">
        <v>8611165.7398477588</v>
      </c>
      <c r="BH3205" s="458">
        <v>7.7910726320994161E-2</v>
      </c>
      <c r="BI3205" s="477">
        <v>14905675.647525316</v>
      </c>
      <c r="BJ3205" s="458">
        <v>0.12153436499154746</v>
      </c>
      <c r="BK3205" s="477">
        <v>97647418.291731536</v>
      </c>
      <c r="BL3205" s="458">
        <v>0.2851468356670126</v>
      </c>
      <c r="BM3205" s="468">
        <v>7.7638224471050092</v>
      </c>
    </row>
    <row r="3206" spans="12:65" x14ac:dyDescent="0.3">
      <c r="L3206" s="427">
        <v>20898080.840700001</v>
      </c>
      <c r="BE3206" s="477">
        <v>7493118.6639409382</v>
      </c>
      <c r="BF3206" s="458">
        <v>2.7284956489132428E-2</v>
      </c>
      <c r="BG3206" s="477">
        <v>8182913.9087324142</v>
      </c>
      <c r="BH3206" s="458">
        <v>3.6765345231791979E-2</v>
      </c>
      <c r="BI3206" s="477">
        <v>20361929.486611035</v>
      </c>
      <c r="BJ3206" s="458">
        <v>0.11512606737889319</v>
      </c>
      <c r="BK3206" s="477">
        <v>87038369.320086196</v>
      </c>
      <c r="BL3206" s="458">
        <v>0.28995307955286176</v>
      </c>
      <c r="BM3206" s="468">
        <v>10.824560182255114</v>
      </c>
    </row>
    <row r="3207" spans="12:65" x14ac:dyDescent="0.3">
      <c r="L3207" s="427">
        <v>-3329310.0247</v>
      </c>
      <c r="BE3207" s="477">
        <v>6930738.1264051562</v>
      </c>
      <c r="BF3207" s="458">
        <v>4.0666923597588278E-2</v>
      </c>
      <c r="BG3207" s="477">
        <v>6188686.1606502999</v>
      </c>
      <c r="BH3207" s="458">
        <v>8.9837967501713356E-2</v>
      </c>
      <c r="BI3207" s="477">
        <v>14929368.758069595</v>
      </c>
      <c r="BJ3207" s="458">
        <v>0.11446574902169648</v>
      </c>
      <c r="BK3207" s="477">
        <v>98688630.766476393</v>
      </c>
      <c r="BL3207" s="458">
        <v>0.26921226941899956</v>
      </c>
      <c r="BM3207" s="468">
        <v>11.707045971331503</v>
      </c>
    </row>
    <row r="3208" spans="12:65" x14ac:dyDescent="0.3">
      <c r="L3208" s="427">
        <v>4013296.4278000002</v>
      </c>
      <c r="BE3208" s="477">
        <v>2039149.5213410072</v>
      </c>
      <c r="BF3208" s="458">
        <v>9.4080616906371262E-3</v>
      </c>
      <c r="BG3208" s="477">
        <v>1304385.9446216784</v>
      </c>
      <c r="BH3208" s="458">
        <v>3.7863570867487484E-2</v>
      </c>
      <c r="BI3208" s="477">
        <v>20367971.739262335</v>
      </c>
      <c r="BJ3208" s="458">
        <v>9.9352402838081666E-2</v>
      </c>
      <c r="BK3208" s="477">
        <v>97847305.989570707</v>
      </c>
      <c r="BL3208" s="458">
        <v>0.28962813818409816</v>
      </c>
      <c r="BM3208" s="468">
        <v>4.4041495345047705</v>
      </c>
    </row>
    <row r="3209" spans="12:65" x14ac:dyDescent="0.3">
      <c r="L3209" s="427">
        <v>3151971.0484000002</v>
      </c>
      <c r="BE3209" s="477">
        <v>7692866.9654603889</v>
      </c>
      <c r="BF3209" s="458">
        <v>3.7787947727364601E-2</v>
      </c>
      <c r="BG3209" s="477">
        <v>11090781.95811772</v>
      </c>
      <c r="BH3209" s="458">
        <v>5.38350629815052E-2</v>
      </c>
      <c r="BI3209" s="477">
        <v>13557148.726314213</v>
      </c>
      <c r="BJ3209" s="458">
        <v>0.10661290016031555</v>
      </c>
      <c r="BK3209" s="477">
        <v>89058184.502414167</v>
      </c>
      <c r="BL3209" s="458">
        <v>0.2517678103668648</v>
      </c>
      <c r="BM3209" s="468">
        <v>2.8374110568858475</v>
      </c>
    </row>
    <row r="3210" spans="12:65" x14ac:dyDescent="0.3">
      <c r="L3210" s="427">
        <v>6012079.9813999999</v>
      </c>
      <c r="BE3210" s="477">
        <v>5820617.1365354527</v>
      </c>
      <c r="BF3210" s="458">
        <v>3.9458975144337716E-2</v>
      </c>
      <c r="BG3210" s="477">
        <v>14837673.854094759</v>
      </c>
      <c r="BH3210" s="458">
        <v>6.3773735525826769E-2</v>
      </c>
      <c r="BI3210" s="477">
        <v>21758370.327558555</v>
      </c>
      <c r="BJ3210" s="458">
        <v>0.10699166412932271</v>
      </c>
      <c r="BK3210" s="477">
        <v>97383296.939941078</v>
      </c>
      <c r="BL3210" s="458">
        <v>0.2891553489430696</v>
      </c>
      <c r="BM3210" s="468">
        <v>7.5116583224298941</v>
      </c>
    </row>
    <row r="3211" spans="12:65" x14ac:dyDescent="0.3">
      <c r="L3211" s="427">
        <v>26161362.490899999</v>
      </c>
      <c r="BE3211" s="477">
        <v>5276026.3166047167</v>
      </c>
      <c r="BF3211" s="458">
        <v>5.333631465556965E-2</v>
      </c>
      <c r="BG3211" s="477">
        <v>10351081.897773761</v>
      </c>
      <c r="BH3211" s="458">
        <v>6.4661313724080793E-2</v>
      </c>
      <c r="BI3211" s="477">
        <v>24893532.968559805</v>
      </c>
      <c r="BJ3211" s="458">
        <v>0.1168788262267253</v>
      </c>
      <c r="BK3211" s="477">
        <v>93221939.013478458</v>
      </c>
      <c r="BL3211" s="458">
        <v>0.25643803401491994</v>
      </c>
      <c r="BM3211" s="468">
        <v>8.5087554208194334</v>
      </c>
    </row>
    <row r="3212" spans="12:65" x14ac:dyDescent="0.3">
      <c r="L3212" s="427">
        <v>2563925.1074999999</v>
      </c>
      <c r="BE3212" s="477">
        <v>5916245.2878984222</v>
      </c>
      <c r="BF3212" s="458">
        <v>3.4594224805644336E-2</v>
      </c>
      <c r="BG3212" s="477">
        <v>13282303.386375008</v>
      </c>
      <c r="BH3212" s="458">
        <v>4.2166156008881739E-2</v>
      </c>
      <c r="BI3212" s="477">
        <v>12675267.741787894</v>
      </c>
      <c r="BJ3212" s="458">
        <v>0.10097484756193431</v>
      </c>
      <c r="BK3212" s="477">
        <v>75566736.261938497</v>
      </c>
      <c r="BL3212" s="458">
        <v>0.28274300529616192</v>
      </c>
      <c r="BM3212" s="468">
        <v>3.7839864287787668</v>
      </c>
    </row>
    <row r="3213" spans="12:65" x14ac:dyDescent="0.3">
      <c r="L3213" s="427">
        <v>-825975.33849999995</v>
      </c>
      <c r="BE3213" s="477">
        <v>1854202.3844665769</v>
      </c>
      <c r="BF3213" s="458">
        <v>6.6944884264799054E-2</v>
      </c>
      <c r="BG3213" s="477">
        <v>11284350.996446712</v>
      </c>
      <c r="BH3213" s="458">
        <v>5.2369135141901113E-2</v>
      </c>
      <c r="BI3213" s="477">
        <v>14655281.131080512</v>
      </c>
      <c r="BJ3213" s="458">
        <v>0.10909430713059209</v>
      </c>
      <c r="BK3213" s="477">
        <v>100095187.36747198</v>
      </c>
      <c r="BL3213" s="458">
        <v>0.2659493400327575</v>
      </c>
      <c r="BM3213" s="468">
        <v>11.288446674101444</v>
      </c>
    </row>
    <row r="3214" spans="12:65" x14ac:dyDescent="0.3">
      <c r="L3214" s="427">
        <v>-322138.13250000001</v>
      </c>
      <c r="BE3214" s="477">
        <v>9231593.9483359382</v>
      </c>
      <c r="BF3214" s="458">
        <v>2.8466800739924691E-2</v>
      </c>
      <c r="BG3214" s="477">
        <v>6760478.1635599807</v>
      </c>
      <c r="BH3214" s="458">
        <v>4.9960571381073127E-2</v>
      </c>
      <c r="BI3214" s="477">
        <v>17347153.07682021</v>
      </c>
      <c r="BJ3214" s="458">
        <v>0.11913515572521516</v>
      </c>
      <c r="BK3214" s="477">
        <v>96750574.833714813</v>
      </c>
      <c r="BL3214" s="458">
        <v>0.30100884302366948</v>
      </c>
      <c r="BM3214" s="468">
        <v>6.8314932506579122</v>
      </c>
    </row>
    <row r="3215" spans="12:65" x14ac:dyDescent="0.3">
      <c r="L3215" s="427">
        <v>-9610860.3573000003</v>
      </c>
      <c r="BE3215" s="477">
        <v>5473679.3889706135</v>
      </c>
      <c r="BF3215" s="458">
        <v>2.5750654194547584E-2</v>
      </c>
      <c r="BG3215" s="477">
        <v>10948912.520186227</v>
      </c>
      <c r="BH3215" s="458">
        <v>6.9711956516065321E-2</v>
      </c>
      <c r="BI3215" s="477">
        <v>12225451.989652406</v>
      </c>
      <c r="BJ3215" s="458">
        <v>6.5386378822653635E-2</v>
      </c>
      <c r="BK3215" s="477">
        <v>96604163.338521451</v>
      </c>
      <c r="BL3215" s="458">
        <v>0.26202247411479451</v>
      </c>
      <c r="BM3215" s="468">
        <v>8.0540670047863454</v>
      </c>
    </row>
    <row r="3216" spans="12:65" x14ac:dyDescent="0.3">
      <c r="L3216" s="427">
        <v>25170615.516199999</v>
      </c>
      <c r="BE3216" s="477">
        <v>4968737.0580329048</v>
      </c>
      <c r="BF3216" s="458">
        <v>9.9294034552350752E-3</v>
      </c>
      <c r="BG3216" s="477">
        <v>15556403.086911865</v>
      </c>
      <c r="BH3216" s="458">
        <v>5.1254965099518657E-2</v>
      </c>
      <c r="BI3216" s="477">
        <v>17748372.977320999</v>
      </c>
      <c r="BJ3216" s="458">
        <v>0.11071631144125704</v>
      </c>
      <c r="BK3216" s="477">
        <v>84807174.124379277</v>
      </c>
      <c r="BL3216" s="458">
        <v>0.27498687067629168</v>
      </c>
      <c r="BM3216" s="468">
        <v>5.098568973854487</v>
      </c>
    </row>
    <row r="3217" spans="12:65" x14ac:dyDescent="0.3">
      <c r="L3217" s="427">
        <v>27041606.717599999</v>
      </c>
      <c r="BE3217" s="477">
        <v>6553666.2955535613</v>
      </c>
      <c r="BF3217" s="458">
        <v>4.0791874039462606E-2</v>
      </c>
      <c r="BG3217" s="477">
        <v>11817954.782123065</v>
      </c>
      <c r="BH3217" s="458">
        <v>7.0416809956355131E-2</v>
      </c>
      <c r="BI3217" s="477">
        <v>19276364.366547119</v>
      </c>
      <c r="BJ3217" s="458">
        <v>0.12151999353749932</v>
      </c>
      <c r="BK3217" s="477">
        <v>84686019.705784902</v>
      </c>
      <c r="BL3217" s="458">
        <v>0.25897517715082641</v>
      </c>
      <c r="BM3217" s="468">
        <v>2.4352907274129567</v>
      </c>
    </row>
    <row r="3218" spans="12:65" x14ac:dyDescent="0.3">
      <c r="L3218" s="427">
        <v>15334298.254000001</v>
      </c>
      <c r="BE3218" s="477">
        <v>4667380.9975035656</v>
      </c>
      <c r="BF3218" s="458">
        <v>2.8233886127793983E-2</v>
      </c>
      <c r="BG3218" s="477">
        <v>6447233.7922101719</v>
      </c>
      <c r="BH3218" s="458">
        <v>6.0517819148987684E-2</v>
      </c>
      <c r="BI3218" s="477">
        <v>17953168.197134167</v>
      </c>
      <c r="BJ3218" s="458">
        <v>0.1021731533589092</v>
      </c>
      <c r="BK3218" s="477">
        <v>83012663.125932187</v>
      </c>
      <c r="BL3218" s="458">
        <v>0.26131138080585559</v>
      </c>
      <c r="BM3218" s="468">
        <v>13.559651465789932</v>
      </c>
    </row>
    <row r="3219" spans="12:65" x14ac:dyDescent="0.3">
      <c r="L3219" s="427">
        <v>8020679.5586000001</v>
      </c>
      <c r="BE3219" s="477">
        <v>6454942.8745011343</v>
      </c>
      <c r="BF3219" s="458">
        <v>5.0986945001860073E-2</v>
      </c>
      <c r="BG3219" s="477">
        <v>8381802.3685801374</v>
      </c>
      <c r="BH3219" s="458">
        <v>5.7147584948119112E-2</v>
      </c>
      <c r="BI3219" s="477">
        <v>10885546.230530091</v>
      </c>
      <c r="BJ3219" s="458">
        <v>8.199378955961345E-2</v>
      </c>
      <c r="BK3219" s="477">
        <v>100951914.83565545</v>
      </c>
      <c r="BL3219" s="458">
        <v>0.25954353494692084</v>
      </c>
      <c r="BM3219" s="468">
        <v>5.0290096803681621</v>
      </c>
    </row>
    <row r="3220" spans="12:65" x14ac:dyDescent="0.3">
      <c r="L3220" s="427">
        <v>14093470.948899999</v>
      </c>
      <c r="BE3220" s="477">
        <v>5769535.827458512</v>
      </c>
      <c r="BF3220" s="458">
        <v>4.6596454316385261E-2</v>
      </c>
      <c r="BG3220" s="477">
        <v>10902719.129978048</v>
      </c>
      <c r="BH3220" s="458">
        <v>8.7657627469693411E-2</v>
      </c>
      <c r="BI3220" s="477">
        <v>18134317.309992123</v>
      </c>
      <c r="BJ3220" s="458">
        <v>0.10363160073146727</v>
      </c>
      <c r="BK3220" s="477">
        <v>91206629.745833084</v>
      </c>
      <c r="BL3220" s="458">
        <v>0.2620019816846233</v>
      </c>
      <c r="BM3220" s="468">
        <v>13.200638184832865</v>
      </c>
    </row>
    <row r="3221" spans="12:65" x14ac:dyDescent="0.3">
      <c r="L3221" s="427">
        <v>6676350.2812999999</v>
      </c>
      <c r="BE3221" s="477">
        <v>4908453.9703639438</v>
      </c>
      <c r="BF3221" s="458">
        <v>2.636301788490969E-2</v>
      </c>
      <c r="BG3221" s="477">
        <v>13854247.241462609</v>
      </c>
      <c r="BH3221" s="458">
        <v>8.9299107243322462E-2</v>
      </c>
      <c r="BI3221" s="477">
        <v>19155109.269392613</v>
      </c>
      <c r="BJ3221" s="458">
        <v>9.430536687156188E-2</v>
      </c>
      <c r="BK3221" s="477">
        <v>83546830.816245437</v>
      </c>
      <c r="BL3221" s="458">
        <v>0.27298089672616288</v>
      </c>
      <c r="BM3221" s="468">
        <v>3.3224581171259828</v>
      </c>
    </row>
    <row r="3222" spans="12:65" x14ac:dyDescent="0.3">
      <c r="L3222" s="427">
        <v>7109827.2547000004</v>
      </c>
      <c r="BE3222" s="477">
        <v>3541218.7436920237</v>
      </c>
      <c r="BF3222" s="458">
        <v>5.0341430555222777E-2</v>
      </c>
      <c r="BG3222" s="477">
        <v>4072321.5049245176</v>
      </c>
      <c r="BH3222" s="458">
        <v>8.1263359753655395E-2</v>
      </c>
      <c r="BI3222" s="477">
        <v>18035120.076769587</v>
      </c>
      <c r="BJ3222" s="458">
        <v>0.13200515102214427</v>
      </c>
      <c r="BK3222" s="477">
        <v>103579290.22245093</v>
      </c>
      <c r="BL3222" s="458">
        <v>0.27649422302648219</v>
      </c>
      <c r="BM3222" s="468">
        <v>9.2766191801505862</v>
      </c>
    </row>
    <row r="3223" spans="12:65" x14ac:dyDescent="0.3">
      <c r="L3223" s="427">
        <v>13465440.0131</v>
      </c>
      <c r="BE3223" s="477">
        <v>2175487.7794874366</v>
      </c>
      <c r="BF3223" s="458">
        <v>4.7500825419423132E-2</v>
      </c>
      <c r="BG3223" s="477">
        <v>7470128.6099464139</v>
      </c>
      <c r="BH3223" s="458">
        <v>5.5067253888367862E-2</v>
      </c>
      <c r="BI3223" s="477">
        <v>18200253.084750958</v>
      </c>
      <c r="BJ3223" s="458">
        <v>0.10800968051589854</v>
      </c>
      <c r="BK3223" s="477">
        <v>93601310.172522813</v>
      </c>
      <c r="BL3223" s="458">
        <v>0.25393925735659217</v>
      </c>
      <c r="BM3223" s="468">
        <v>6.6406782118567316</v>
      </c>
    </row>
    <row r="3224" spans="12:65" x14ac:dyDescent="0.3">
      <c r="L3224" s="427">
        <v>10741510.7919</v>
      </c>
      <c r="BE3224" s="477">
        <v>2307113.8627357678</v>
      </c>
      <c r="BF3224" s="458">
        <v>4.6847899226262868E-2</v>
      </c>
      <c r="BG3224" s="477">
        <v>9474278.5441573486</v>
      </c>
      <c r="BH3224" s="458">
        <v>6.4015931596269171E-2</v>
      </c>
      <c r="BI3224" s="477">
        <v>10818364.615159266</v>
      </c>
      <c r="BJ3224" s="458">
        <v>0.12377590762669688</v>
      </c>
      <c r="BK3224" s="477">
        <v>85900578.955311969</v>
      </c>
      <c r="BL3224" s="458">
        <v>0.28413477659896014</v>
      </c>
      <c r="BM3224" s="468">
        <v>8.2317664164637492</v>
      </c>
    </row>
    <row r="3225" spans="12:65" x14ac:dyDescent="0.3">
      <c r="L3225" s="427">
        <v>71541.756899999993</v>
      </c>
      <c r="BE3225" s="477">
        <v>8094048.2484402293</v>
      </c>
      <c r="BF3225" s="458">
        <v>5.1999523899221023E-2</v>
      </c>
      <c r="BG3225" s="477">
        <v>10090117.798435593</v>
      </c>
      <c r="BH3225" s="458">
        <v>5.3547032256292093E-2</v>
      </c>
      <c r="BI3225" s="477">
        <v>16960585.258292936</v>
      </c>
      <c r="BJ3225" s="458">
        <v>0.11564967386728364</v>
      </c>
      <c r="BK3225" s="477">
        <v>87014779.266715944</v>
      </c>
      <c r="BL3225" s="458">
        <v>0.25910335627843217</v>
      </c>
      <c r="BM3225" s="468">
        <v>3.7032068265497466</v>
      </c>
    </row>
    <row r="3226" spans="12:65" x14ac:dyDescent="0.3">
      <c r="L3226" s="427">
        <v>25992715.1853</v>
      </c>
      <c r="BE3226" s="477">
        <v>9568418.544507565</v>
      </c>
      <c r="BF3226" s="458">
        <v>3.1474502035877316E-2</v>
      </c>
      <c r="BG3226" s="477">
        <v>9370810.2728168704</v>
      </c>
      <c r="BH3226" s="458">
        <v>4.7590260166216369E-2</v>
      </c>
      <c r="BI3226" s="477">
        <v>19359752.528551899</v>
      </c>
      <c r="BJ3226" s="458">
        <v>0.11951430652120187</v>
      </c>
      <c r="BK3226" s="477">
        <v>84030796.901147768</v>
      </c>
      <c r="BL3226" s="458">
        <v>0.27998682197551616</v>
      </c>
      <c r="BM3226" s="468">
        <v>12.806983733175166</v>
      </c>
    </row>
    <row r="3227" spans="12:65" x14ac:dyDescent="0.3">
      <c r="L3227" s="427">
        <v>15943271.8585</v>
      </c>
      <c r="BE3227" s="477">
        <v>4368005.9156823354</v>
      </c>
      <c r="BF3227" s="458">
        <v>4.5770365906765642E-2</v>
      </c>
      <c r="BG3227" s="477">
        <v>6327374.7492227312</v>
      </c>
      <c r="BH3227" s="458">
        <v>4.667433941826693E-2</v>
      </c>
      <c r="BI3227" s="477">
        <v>9349497.373414401</v>
      </c>
      <c r="BJ3227" s="458">
        <v>0.10462226954892206</v>
      </c>
      <c r="BK3227" s="477">
        <v>93723924.303305775</v>
      </c>
      <c r="BL3227" s="458">
        <v>0.25981507186083475</v>
      </c>
      <c r="BM3227" s="468">
        <v>8.2245154057728804</v>
      </c>
    </row>
    <row r="3228" spans="12:65" x14ac:dyDescent="0.3">
      <c r="L3228" s="427">
        <v>4544042.8861999996</v>
      </c>
      <c r="BE3228" s="477">
        <v>6826227.06828875</v>
      </c>
      <c r="BF3228" s="458">
        <v>4.0145246638197296E-2</v>
      </c>
      <c r="BG3228" s="477">
        <v>5223713.2582947072</v>
      </c>
      <c r="BH3228" s="458">
        <v>8.5710292736046245E-2</v>
      </c>
      <c r="BI3228" s="477">
        <v>7745030.5204653991</v>
      </c>
      <c r="BJ3228" s="458">
        <v>8.7384497351628898E-2</v>
      </c>
      <c r="BK3228" s="477">
        <v>96083547.187635511</v>
      </c>
      <c r="BL3228" s="458">
        <v>0.29033163209339352</v>
      </c>
      <c r="BM3228" s="468">
        <v>6.9835368057698215</v>
      </c>
    </row>
    <row r="3229" spans="12:65" x14ac:dyDescent="0.3">
      <c r="L3229" s="427">
        <v>-17202233.065299999</v>
      </c>
      <c r="BE3229" s="477">
        <v>1625931.1926815882</v>
      </c>
      <c r="BF3229" s="458">
        <v>4.0446555325551969E-2</v>
      </c>
      <c r="BG3229" s="477">
        <v>7668691.469351002</v>
      </c>
      <c r="BH3229" s="458">
        <v>5.6487013583482737E-2</v>
      </c>
      <c r="BI3229" s="477">
        <v>17013328.965378027</v>
      </c>
      <c r="BJ3229" s="458">
        <v>0.12583154600664548</v>
      </c>
      <c r="BK3229" s="477">
        <v>91889336.853069067</v>
      </c>
      <c r="BL3229" s="458">
        <v>0.26588312464999042</v>
      </c>
      <c r="BM3229" s="468">
        <v>6.4728251495735289</v>
      </c>
    </row>
    <row r="3230" spans="12:65" x14ac:dyDescent="0.3">
      <c r="L3230" s="427">
        <v>4832856.8852000004</v>
      </c>
      <c r="BE3230" s="477">
        <v>9478709.7124118768</v>
      </c>
      <c r="BF3230" s="458">
        <v>5.8304203257110387E-2</v>
      </c>
      <c r="BG3230" s="477">
        <v>11533273.067182858</v>
      </c>
      <c r="BH3230" s="458">
        <v>6.8228915749536378E-2</v>
      </c>
      <c r="BI3230" s="477">
        <v>18412001.705674198</v>
      </c>
      <c r="BJ3230" s="458">
        <v>0.12971017258912054</v>
      </c>
      <c r="BK3230" s="477">
        <v>98041674.135143042</v>
      </c>
      <c r="BL3230" s="458">
        <v>0.2678402133897535</v>
      </c>
      <c r="BM3230" s="468">
        <v>9.5235073067401679</v>
      </c>
    </row>
    <row r="3231" spans="12:65" x14ac:dyDescent="0.3">
      <c r="L3231" s="427">
        <v>1029491.0087</v>
      </c>
      <c r="BE3231" s="477">
        <v>2654724.4846060118</v>
      </c>
      <c r="BF3231" s="458">
        <v>5.611214385608454E-2</v>
      </c>
      <c r="BG3231" s="477">
        <v>9167971.4094279837</v>
      </c>
      <c r="BH3231" s="458">
        <v>5.8388288275571965E-2</v>
      </c>
      <c r="BI3231" s="477">
        <v>13137658.015962154</v>
      </c>
      <c r="BJ3231" s="458">
        <v>0.1039556603006746</v>
      </c>
      <c r="BK3231" s="477">
        <v>83957610.048043624</v>
      </c>
      <c r="BL3231" s="458">
        <v>0.27404467318273462</v>
      </c>
      <c r="BM3231" s="468">
        <v>9.4879101017561887</v>
      </c>
    </row>
    <row r="3232" spans="12:65" x14ac:dyDescent="0.3">
      <c r="L3232" s="427">
        <v>9014302.8574999999</v>
      </c>
      <c r="BE3232" s="477">
        <v>7924373.455398093</v>
      </c>
      <c r="BF3232" s="458">
        <v>3.2334570316349787E-2</v>
      </c>
      <c r="BG3232" s="477">
        <v>13264521.62487</v>
      </c>
      <c r="BH3232" s="458">
        <v>5.3943969265526803E-2</v>
      </c>
      <c r="BI3232" s="477">
        <v>13259187.562413037</v>
      </c>
      <c r="BJ3232" s="458">
        <v>0.1139875471539924</v>
      </c>
      <c r="BK3232" s="477">
        <v>78916217.36953944</v>
      </c>
      <c r="BL3232" s="458">
        <v>0.29808463311824829</v>
      </c>
      <c r="BM3232" s="468">
        <v>8.395270318251276</v>
      </c>
    </row>
    <row r="3233" spans="12:65" x14ac:dyDescent="0.3">
      <c r="L3233" s="427">
        <v>6253081.2004000004</v>
      </c>
      <c r="BE3233" s="477">
        <v>5125784.2828853261</v>
      </c>
      <c r="BF3233" s="458">
        <v>3.5159239886015881E-2</v>
      </c>
      <c r="BG3233" s="477">
        <v>8739166.652149668</v>
      </c>
      <c r="BH3233" s="458">
        <v>6.5955034418373915E-2</v>
      </c>
      <c r="BI3233" s="477">
        <v>18846294.382620916</v>
      </c>
      <c r="BJ3233" s="458">
        <v>0.10933985474202923</v>
      </c>
      <c r="BK3233" s="477">
        <v>98482506.063865393</v>
      </c>
      <c r="BL3233" s="458">
        <v>0.25082916797528965</v>
      </c>
      <c r="BM3233" s="468">
        <v>6.35905579821301</v>
      </c>
    </row>
    <row r="3234" spans="12:65" x14ac:dyDescent="0.3">
      <c r="L3234" s="427">
        <v>6157727.9486999996</v>
      </c>
      <c r="BE3234" s="477">
        <v>4121010.2864628849</v>
      </c>
      <c r="BF3234" s="458">
        <v>3.101192345153625E-2</v>
      </c>
      <c r="BG3234" s="477">
        <v>14003302.360858224</v>
      </c>
      <c r="BH3234" s="458">
        <v>2.2367481960765323E-2</v>
      </c>
      <c r="BI3234" s="477">
        <v>14659562.539202739</v>
      </c>
      <c r="BJ3234" s="458">
        <v>0.10456699687140802</v>
      </c>
      <c r="BK3234" s="477">
        <v>90262104.529794544</v>
      </c>
      <c r="BL3234" s="458">
        <v>0.29562791589529458</v>
      </c>
      <c r="BM3234" s="468">
        <v>4.6179823927864492</v>
      </c>
    </row>
    <row r="3235" spans="12:65" x14ac:dyDescent="0.3">
      <c r="L3235" s="427">
        <v>-2272266.2508</v>
      </c>
      <c r="BE3235" s="477">
        <v>6095432.6974646701</v>
      </c>
      <c r="BF3235" s="458">
        <v>6.0263812232089986E-2</v>
      </c>
      <c r="BG3235" s="477">
        <v>4832274.9786593681</v>
      </c>
      <c r="BH3235" s="458">
        <v>6.9363520074391616E-2</v>
      </c>
      <c r="BI3235" s="477">
        <v>24603160.435020056</v>
      </c>
      <c r="BJ3235" s="458">
        <v>0.1005387970926519</v>
      </c>
      <c r="BK3235" s="477">
        <v>86100653.029343218</v>
      </c>
      <c r="BL3235" s="458">
        <v>0.27667607071469114</v>
      </c>
      <c r="BM3235" s="468">
        <v>4.4872516552012778</v>
      </c>
    </row>
    <row r="3236" spans="12:65" x14ac:dyDescent="0.3">
      <c r="L3236" s="427">
        <v>2487551.2538999999</v>
      </c>
      <c r="BE3236" s="477">
        <v>6143981.1455169627</v>
      </c>
      <c r="BF3236" s="458">
        <v>1.3859271210174828E-2</v>
      </c>
      <c r="BG3236" s="477">
        <v>9949839.8963723537</v>
      </c>
      <c r="BH3236" s="458">
        <v>6.8594201830486146E-2</v>
      </c>
      <c r="BI3236" s="477">
        <v>12668047.373661349</v>
      </c>
      <c r="BJ3236" s="458">
        <v>0.11522204911971645</v>
      </c>
      <c r="BK3236" s="477">
        <v>83211968.277825505</v>
      </c>
      <c r="BL3236" s="458">
        <v>0.27249716087742204</v>
      </c>
      <c r="BM3236" s="468">
        <v>8.0244487191469194</v>
      </c>
    </row>
    <row r="3237" spans="12:65" x14ac:dyDescent="0.3">
      <c r="L3237" s="427">
        <v>6622947.7362000002</v>
      </c>
      <c r="BE3237" s="477">
        <v>5440784.7106262324</v>
      </c>
      <c r="BF3237" s="458">
        <v>6.6816973269886226E-2</v>
      </c>
      <c r="BG3237" s="477">
        <v>9779217.6792609431</v>
      </c>
      <c r="BH3237" s="458">
        <v>7.7793515434657179E-2</v>
      </c>
      <c r="BI3237" s="477">
        <v>10574690.682315947</v>
      </c>
      <c r="BJ3237" s="458">
        <v>8.0019511531194576E-2</v>
      </c>
      <c r="BK3237" s="477">
        <v>92126735.892326683</v>
      </c>
      <c r="BL3237" s="458">
        <v>0.30317424908173063</v>
      </c>
      <c r="BM3237" s="468">
        <v>10.215113937831777</v>
      </c>
    </row>
    <row r="3238" spans="12:65" x14ac:dyDescent="0.3">
      <c r="L3238" s="427">
        <v>6870866.3896000003</v>
      </c>
      <c r="BE3238" s="477">
        <v>3097563.6200006469</v>
      </c>
      <c r="BF3238" s="458">
        <v>6.5543907940786683E-2</v>
      </c>
      <c r="BG3238" s="477">
        <v>12534092.092510395</v>
      </c>
      <c r="BH3238" s="458">
        <v>6.187406182514521E-2</v>
      </c>
      <c r="BI3238" s="477">
        <v>19465448.368800212</v>
      </c>
      <c r="BJ3238" s="458">
        <v>0.10495477453995039</v>
      </c>
      <c r="BK3238" s="477">
        <v>82302795.654909402</v>
      </c>
      <c r="BL3238" s="458">
        <v>0.26789122905612173</v>
      </c>
      <c r="BM3238" s="468">
        <v>8.8191488997811724</v>
      </c>
    </row>
    <row r="3239" spans="12:65" x14ac:dyDescent="0.3">
      <c r="L3239" s="427">
        <v>7979328.6194000002</v>
      </c>
      <c r="BE3239" s="477">
        <v>4258612.3478444768</v>
      </c>
      <c r="BF3239" s="458">
        <v>3.1356769232778747E-2</v>
      </c>
      <c r="BG3239" s="477">
        <v>10610000.876983188</v>
      </c>
      <c r="BH3239" s="458">
        <v>3.8068135502087763E-2</v>
      </c>
      <c r="BI3239" s="477">
        <v>26392264.086389847</v>
      </c>
      <c r="BJ3239" s="458">
        <v>0.11084684922411681</v>
      </c>
      <c r="BK3239" s="477">
        <v>98652985.869452596</v>
      </c>
      <c r="BL3239" s="458">
        <v>0.26706053576291655</v>
      </c>
      <c r="BM3239" s="468">
        <v>9.6161691361636024</v>
      </c>
    </row>
    <row r="3240" spans="12:65" x14ac:dyDescent="0.3">
      <c r="L3240" s="427">
        <v>-7468879.9759999998</v>
      </c>
      <c r="BE3240" s="477">
        <v>4468416.9847994968</v>
      </c>
      <c r="BF3240" s="458">
        <v>2.5755248815714893E-2</v>
      </c>
      <c r="BG3240" s="477">
        <v>8522431.5690185968</v>
      </c>
      <c r="BH3240" s="458">
        <v>5.6371278728935659E-2</v>
      </c>
      <c r="BI3240" s="477">
        <v>20025332.674069677</v>
      </c>
      <c r="BJ3240" s="458">
        <v>0.1054351823973585</v>
      </c>
      <c r="BK3240" s="477">
        <v>95203583.052200064</v>
      </c>
      <c r="BL3240" s="458">
        <v>0.25097454387606066</v>
      </c>
      <c r="BM3240" s="468">
        <v>6.8720366338820851</v>
      </c>
    </row>
    <row r="3241" spans="12:65" x14ac:dyDescent="0.3">
      <c r="L3241" s="427">
        <v>10885377.4276</v>
      </c>
      <c r="BE3241" s="477">
        <v>5785231.9962655567</v>
      </c>
      <c r="BF3241" s="458">
        <v>4.0754227068670712E-2</v>
      </c>
      <c r="BG3241" s="477">
        <v>8803810.0862041321</v>
      </c>
      <c r="BH3241" s="458">
        <v>6.4840514675964744E-2</v>
      </c>
      <c r="BI3241" s="477">
        <v>22385100.010625459</v>
      </c>
      <c r="BJ3241" s="458">
        <v>0.14143784706598073</v>
      </c>
      <c r="BK3241" s="477">
        <v>102151045.27871533</v>
      </c>
      <c r="BL3241" s="458">
        <v>0.26438040015898978</v>
      </c>
      <c r="BM3241" s="468">
        <v>3.6351525260169595</v>
      </c>
    </row>
    <row r="3242" spans="12:65" x14ac:dyDescent="0.3">
      <c r="L3242" s="427">
        <v>8186720.1168999998</v>
      </c>
      <c r="BE3242" s="477">
        <v>-1183285.7205121962</v>
      </c>
      <c r="BF3242" s="458">
        <v>4.0322384517520238E-2</v>
      </c>
      <c r="BG3242" s="477">
        <v>4836900.1017220104</v>
      </c>
      <c r="BH3242" s="458">
        <v>6.5967478458712536E-2</v>
      </c>
      <c r="BI3242" s="477">
        <v>21689200.935794275</v>
      </c>
      <c r="BJ3242" s="458">
        <v>9.2506033510430852E-2</v>
      </c>
      <c r="BK3242" s="477">
        <v>92282657.622230068</v>
      </c>
      <c r="BL3242" s="458">
        <v>0.26854749013152923</v>
      </c>
      <c r="BM3242" s="468">
        <v>6.0824936430016496</v>
      </c>
    </row>
    <row r="3243" spans="12:65" x14ac:dyDescent="0.3">
      <c r="L3243" s="427">
        <v>31784658.1602</v>
      </c>
      <c r="BE3243" s="477">
        <v>9062636.35322503</v>
      </c>
      <c r="BF3243" s="458">
        <v>5.6901001945490304E-2</v>
      </c>
      <c r="BG3243" s="477">
        <v>10974531.82029633</v>
      </c>
      <c r="BH3243" s="458">
        <v>6.9751858375409981E-2</v>
      </c>
      <c r="BI3243" s="477">
        <v>14267202.274480805</v>
      </c>
      <c r="BJ3243" s="458">
        <v>9.189207683436651E-2</v>
      </c>
      <c r="BK3243" s="477">
        <v>80843112.693936095</v>
      </c>
      <c r="BL3243" s="458">
        <v>0.26137062692226487</v>
      </c>
      <c r="BM3243" s="468">
        <v>3.4909405945828507</v>
      </c>
    </row>
    <row r="3244" spans="12:65" x14ac:dyDescent="0.3">
      <c r="L3244" s="427">
        <v>13915330.1833</v>
      </c>
      <c r="BE3244" s="477">
        <v>5022637.9013978094</v>
      </c>
      <c r="BF3244" s="458">
        <v>5.2383236337236516E-2</v>
      </c>
      <c r="BG3244" s="477">
        <v>7335696.7865941497</v>
      </c>
      <c r="BH3244" s="458">
        <v>7.5993215383960644E-2</v>
      </c>
      <c r="BI3244" s="477">
        <v>10627475.914866852</v>
      </c>
      <c r="BJ3244" s="458">
        <v>0.12875116386944763</v>
      </c>
      <c r="BK3244" s="477">
        <v>86853828.460034817</v>
      </c>
      <c r="BL3244" s="458">
        <v>0.27392286227861251</v>
      </c>
      <c r="BM3244" s="468">
        <v>15.5443790565112</v>
      </c>
    </row>
    <row r="3245" spans="12:65" x14ac:dyDescent="0.3">
      <c r="L3245" s="427">
        <v>-2417558.2521000002</v>
      </c>
      <c r="BE3245" s="477">
        <v>4655113.0169341872</v>
      </c>
      <c r="BF3245" s="458">
        <v>2.9345604237134948E-2</v>
      </c>
      <c r="BG3245" s="477">
        <v>13533169.387961837</v>
      </c>
      <c r="BH3245" s="458">
        <v>5.5779768567832066E-2</v>
      </c>
      <c r="BI3245" s="477">
        <v>18201043.694349546</v>
      </c>
      <c r="BJ3245" s="458">
        <v>0.10639793145990284</v>
      </c>
      <c r="BK3245" s="477">
        <v>100086849.94732633</v>
      </c>
      <c r="BL3245" s="458">
        <v>0.2716631763274977</v>
      </c>
      <c r="BM3245" s="468">
        <v>9.8526446875441032</v>
      </c>
    </row>
    <row r="3246" spans="12:65" x14ac:dyDescent="0.3">
      <c r="L3246" s="427">
        <v>14615866.653899999</v>
      </c>
      <c r="BE3246" s="477">
        <v>7832420.9728621775</v>
      </c>
      <c r="BF3246" s="458">
        <v>4.4087347814340649E-2</v>
      </c>
      <c r="BG3246" s="477">
        <v>10010594.534113765</v>
      </c>
      <c r="BH3246" s="458">
        <v>6.5140502310512272E-2</v>
      </c>
      <c r="BI3246" s="477">
        <v>11219495.547694881</v>
      </c>
      <c r="BJ3246" s="458">
        <v>0.1089174254290064</v>
      </c>
      <c r="BK3246" s="477">
        <v>97253022.368922174</v>
      </c>
      <c r="BL3246" s="458">
        <v>0.26253036691980514</v>
      </c>
      <c r="BM3246" s="468">
        <v>11.693146088038681</v>
      </c>
    </row>
    <row r="3247" spans="12:65" x14ac:dyDescent="0.3">
      <c r="L3247" s="427">
        <v>-3580518.0723000001</v>
      </c>
      <c r="BE3247" s="477">
        <v>5113604.6522479514</v>
      </c>
      <c r="BF3247" s="458">
        <v>6.0856269109706984E-2</v>
      </c>
      <c r="BG3247" s="477">
        <v>7726515.5775980055</v>
      </c>
      <c r="BH3247" s="458">
        <v>4.913313954520393E-2</v>
      </c>
      <c r="BI3247" s="477">
        <v>11826948.212199477</v>
      </c>
      <c r="BJ3247" s="458">
        <v>0.11746926223048093</v>
      </c>
      <c r="BK3247" s="477">
        <v>89083955.440917164</v>
      </c>
      <c r="BL3247" s="458">
        <v>0.25267593452197512</v>
      </c>
      <c r="BM3247" s="468">
        <v>8.8651665223387326</v>
      </c>
    </row>
    <row r="3248" spans="12:65" x14ac:dyDescent="0.3">
      <c r="L3248" s="427">
        <v>484205.22379999998</v>
      </c>
      <c r="BE3248" s="477">
        <v>4346012.7409676146</v>
      </c>
      <c r="BF3248" s="458">
        <v>2.5783569720734034E-2</v>
      </c>
      <c r="BG3248" s="477">
        <v>15462135.229117207</v>
      </c>
      <c r="BH3248" s="458">
        <v>6.2494648265581709E-2</v>
      </c>
      <c r="BI3248" s="477">
        <v>15189767.785003139</v>
      </c>
      <c r="BJ3248" s="458">
        <v>0.10324852065023027</v>
      </c>
      <c r="BK3248" s="477">
        <v>107266567.51370113</v>
      </c>
      <c r="BL3248" s="458">
        <v>0.28185935849475974</v>
      </c>
      <c r="BM3248" s="468">
        <v>4.7626931625737363</v>
      </c>
    </row>
    <row r="3249" spans="12:65" x14ac:dyDescent="0.3">
      <c r="L3249" s="427">
        <v>-2421822.0024999999</v>
      </c>
      <c r="BE3249" s="477">
        <v>8891530.2219259925</v>
      </c>
      <c r="BF3249" s="458">
        <v>1.8493486269575587E-2</v>
      </c>
      <c r="BG3249" s="477">
        <v>10896795.360752439</v>
      </c>
      <c r="BH3249" s="458">
        <v>7.8772912402032436E-2</v>
      </c>
      <c r="BI3249" s="477">
        <v>11478341.056218415</v>
      </c>
      <c r="BJ3249" s="458">
        <v>0.12951962185278743</v>
      </c>
      <c r="BK3249" s="477">
        <v>81011283.386963576</v>
      </c>
      <c r="BL3249" s="458">
        <v>0.28479992825705525</v>
      </c>
      <c r="BM3249" s="468">
        <v>8.8710210035997186</v>
      </c>
    </row>
    <row r="3250" spans="12:65" x14ac:dyDescent="0.3">
      <c r="L3250" s="427">
        <v>17584693.7049</v>
      </c>
      <c r="BE3250" s="477">
        <v>5897076.1396499937</v>
      </c>
      <c r="BF3250" s="458">
        <v>4.342213269593298E-2</v>
      </c>
      <c r="BG3250" s="477">
        <v>6430593.3317995239</v>
      </c>
      <c r="BH3250" s="458">
        <v>6.5472000230092586E-2</v>
      </c>
      <c r="BI3250" s="477">
        <v>20724015.34109718</v>
      </c>
      <c r="BJ3250" s="458">
        <v>9.1336992851755117E-2</v>
      </c>
      <c r="BK3250" s="477">
        <v>93930659.686257452</v>
      </c>
      <c r="BL3250" s="458">
        <v>0.26336088359483556</v>
      </c>
      <c r="BM3250" s="468">
        <v>8.2523781711297524</v>
      </c>
    </row>
    <row r="3251" spans="12:65" x14ac:dyDescent="0.3">
      <c r="L3251" s="427">
        <v>6751166.4978</v>
      </c>
      <c r="BE3251" s="477">
        <v>6376099.8542273305</v>
      </c>
      <c r="BF3251" s="458">
        <v>4.7951770268871652E-2</v>
      </c>
      <c r="BG3251" s="477">
        <v>2352592.665659707</v>
      </c>
      <c r="BH3251" s="458">
        <v>5.3599858441450765E-2</v>
      </c>
      <c r="BI3251" s="477">
        <v>14894582.077360239</v>
      </c>
      <c r="BJ3251" s="458">
        <v>0.10845117879576849</v>
      </c>
      <c r="BK3251" s="477">
        <v>88404433.763578951</v>
      </c>
      <c r="BL3251" s="458">
        <v>0.25840258317644937</v>
      </c>
      <c r="BM3251" s="468">
        <v>7.9709612722130991</v>
      </c>
    </row>
    <row r="3252" spans="12:65" x14ac:dyDescent="0.3">
      <c r="L3252" s="427">
        <v>8439229.6302000005</v>
      </c>
      <c r="BE3252" s="477">
        <v>8129377.1685000081</v>
      </c>
      <c r="BF3252" s="458">
        <v>4.1174680686735687E-2</v>
      </c>
      <c r="BG3252" s="477">
        <v>5756202.6040363899</v>
      </c>
      <c r="BH3252" s="458">
        <v>7.3060661850913533E-2</v>
      </c>
      <c r="BI3252" s="477">
        <v>12032492.583730904</v>
      </c>
      <c r="BJ3252" s="458">
        <v>9.9010766319018728E-2</v>
      </c>
      <c r="BK3252" s="477">
        <v>83395903.572721511</v>
      </c>
      <c r="BL3252" s="458">
        <v>0.25563723701552354</v>
      </c>
      <c r="BM3252" s="468">
        <v>7.6716870471190353</v>
      </c>
    </row>
    <row r="3253" spans="12:65" x14ac:dyDescent="0.3">
      <c r="L3253" s="427">
        <v>-3517145.0202000001</v>
      </c>
      <c r="BE3253" s="477">
        <v>4394606.8056588955</v>
      </c>
      <c r="BF3253" s="458">
        <v>3.6856305378021093E-2</v>
      </c>
      <c r="BG3253" s="477">
        <v>1588282.5469322477</v>
      </c>
      <c r="BH3253" s="458">
        <v>5.0022973151450101E-2</v>
      </c>
      <c r="BI3253" s="477">
        <v>15357399.763715938</v>
      </c>
      <c r="BJ3253" s="458">
        <v>0.10134954811242003</v>
      </c>
      <c r="BK3253" s="477">
        <v>99598697.713734984</v>
      </c>
      <c r="BL3253" s="458">
        <v>0.25234331379175501</v>
      </c>
      <c r="BM3253" s="468">
        <v>5.316328850647416</v>
      </c>
    </row>
    <row r="3254" spans="12:65" x14ac:dyDescent="0.3">
      <c r="L3254" s="427">
        <v>25202777.162500001</v>
      </c>
      <c r="BE3254" s="477">
        <v>769449.38373232039</v>
      </c>
      <c r="BF3254" s="458">
        <v>2.9583856990827551E-2</v>
      </c>
      <c r="BG3254" s="477">
        <v>3612135.2829823289</v>
      </c>
      <c r="BH3254" s="458">
        <v>8.0190928519195515E-2</v>
      </c>
      <c r="BI3254" s="477">
        <v>25663756.330534082</v>
      </c>
      <c r="BJ3254" s="458">
        <v>9.3129262428585768E-2</v>
      </c>
      <c r="BK3254" s="477">
        <v>92846169.848599315</v>
      </c>
      <c r="BL3254" s="458">
        <v>0.26842835648245322</v>
      </c>
      <c r="BM3254" s="468">
        <v>14.310165558999579</v>
      </c>
    </row>
    <row r="3255" spans="12:65" x14ac:dyDescent="0.3">
      <c r="L3255" s="427">
        <v>4985734.2401000001</v>
      </c>
      <c r="BE3255" s="477">
        <v>8042415.7825373327</v>
      </c>
      <c r="BF3255" s="458">
        <v>2.1769227971240479E-2</v>
      </c>
      <c r="BG3255" s="477">
        <v>8537339.1798230484</v>
      </c>
      <c r="BH3255" s="458">
        <v>0.10609923629570917</v>
      </c>
      <c r="BI3255" s="477">
        <v>15812396.798861131</v>
      </c>
      <c r="BJ3255" s="458">
        <v>0.11685638234299245</v>
      </c>
      <c r="BK3255" s="477">
        <v>90981690.221133769</v>
      </c>
      <c r="BL3255" s="458">
        <v>0.29664767371696166</v>
      </c>
      <c r="BM3255" s="468">
        <v>10.236564924303085</v>
      </c>
    </row>
    <row r="3256" spans="12:65" x14ac:dyDescent="0.3">
      <c r="L3256" s="427">
        <v>10492214.1656</v>
      </c>
      <c r="BE3256" s="477">
        <v>2699626.454506706</v>
      </c>
      <c r="BF3256" s="458">
        <v>3.9682776069805525E-2</v>
      </c>
      <c r="BG3256" s="477">
        <v>4791639.4914588574</v>
      </c>
      <c r="BH3256" s="458">
        <v>6.4890366480996997E-2</v>
      </c>
      <c r="BI3256" s="477">
        <v>21152219.195725359</v>
      </c>
      <c r="BJ3256" s="458">
        <v>0.12109854122766617</v>
      </c>
      <c r="BK3256" s="477">
        <v>90110963.980221033</v>
      </c>
      <c r="BL3256" s="458">
        <v>0.27667561855371914</v>
      </c>
      <c r="BM3256" s="468">
        <v>5.7168076397307503</v>
      </c>
    </row>
    <row r="3257" spans="12:65" x14ac:dyDescent="0.3">
      <c r="L3257" s="427">
        <v>24041084.489999998</v>
      </c>
      <c r="BE3257" s="477">
        <v>5686304.5049821474</v>
      </c>
      <c r="BF3257" s="458">
        <v>5.5177068864256329E-2</v>
      </c>
      <c r="BG3257" s="477">
        <v>8021055.7466913275</v>
      </c>
      <c r="BH3257" s="458">
        <v>7.7795663010219673E-2</v>
      </c>
      <c r="BI3257" s="477">
        <v>11027605.054635795</v>
      </c>
      <c r="BJ3257" s="458">
        <v>8.8454026483245629E-2</v>
      </c>
      <c r="BK3257" s="477">
        <v>94968316.662024572</v>
      </c>
      <c r="BL3257" s="458">
        <v>0.29781799475352821</v>
      </c>
      <c r="BM3257" s="468">
        <v>11.917845846847621</v>
      </c>
    </row>
    <row r="3258" spans="12:65" x14ac:dyDescent="0.3">
      <c r="L3258" s="427">
        <v>2393232.3796000001</v>
      </c>
      <c r="BE3258" s="477">
        <v>6664213.0076791337</v>
      </c>
      <c r="BF3258" s="458">
        <v>4.0703852644332184E-2</v>
      </c>
      <c r="BG3258" s="477">
        <v>11829918.46659437</v>
      </c>
      <c r="BH3258" s="458">
        <v>6.8960205597788704E-2</v>
      </c>
      <c r="BI3258" s="477">
        <v>16458654.740221504</v>
      </c>
      <c r="BJ3258" s="458">
        <v>9.6977271763038608E-2</v>
      </c>
      <c r="BK3258" s="477">
        <v>95273928.50528875</v>
      </c>
      <c r="BL3258" s="458">
        <v>0.25692428011287505</v>
      </c>
      <c r="BM3258" s="468">
        <v>8.0843720144357043</v>
      </c>
    </row>
    <row r="3259" spans="12:65" x14ac:dyDescent="0.3">
      <c r="L3259" s="427">
        <v>24393786.7689</v>
      </c>
      <c r="BE3259" s="477">
        <v>307874.68301864638</v>
      </c>
      <c r="BF3259" s="458">
        <v>8.7087879605030061E-3</v>
      </c>
      <c r="BG3259" s="477">
        <v>8487548.004166415</v>
      </c>
      <c r="BH3259" s="458">
        <v>8.3721657496289792E-2</v>
      </c>
      <c r="BI3259" s="477">
        <v>18549476.728580195</v>
      </c>
      <c r="BJ3259" s="458">
        <v>0.10582391355283338</v>
      </c>
      <c r="BK3259" s="477">
        <v>86335580.079457179</v>
      </c>
      <c r="BL3259" s="458">
        <v>0.28132770501084314</v>
      </c>
      <c r="BM3259" s="468">
        <v>3.5695445435055362</v>
      </c>
    </row>
    <row r="3260" spans="12:65" x14ac:dyDescent="0.3">
      <c r="L3260" s="427">
        <v>19190363.915600002</v>
      </c>
      <c r="BE3260" s="477">
        <v>4113719.5071485173</v>
      </c>
      <c r="BF3260" s="458">
        <v>6.467323062664132E-2</v>
      </c>
      <c r="BG3260" s="477">
        <v>8844405.0848149527</v>
      </c>
      <c r="BH3260" s="458">
        <v>8.2503520713814726E-2</v>
      </c>
      <c r="BI3260" s="477">
        <v>12855462.214044418</v>
      </c>
      <c r="BJ3260" s="458">
        <v>0.11227250926657062</v>
      </c>
      <c r="BK3260" s="477">
        <v>87841253.560296714</v>
      </c>
      <c r="BL3260" s="458">
        <v>0.27765639694602751</v>
      </c>
      <c r="BM3260" s="468">
        <v>5.9744612072158372</v>
      </c>
    </row>
    <row r="3261" spans="12:65" x14ac:dyDescent="0.3">
      <c r="L3261" s="427">
        <v>10315422.6405</v>
      </c>
      <c r="BE3261" s="477">
        <v>6654115.8719096323</v>
      </c>
      <c r="BF3261" s="458">
        <v>5.2642017565910804E-2</v>
      </c>
      <c r="BG3261" s="477">
        <v>7858251.6239732634</v>
      </c>
      <c r="BH3261" s="458">
        <v>7.1281096590254833E-2</v>
      </c>
      <c r="BI3261" s="477">
        <v>10742064.728934556</v>
      </c>
      <c r="BJ3261" s="458">
        <v>9.8750725594114463E-2</v>
      </c>
      <c r="BK3261" s="477">
        <v>87485971.33543542</v>
      </c>
      <c r="BL3261" s="458">
        <v>0.26004986511840023</v>
      </c>
      <c r="BM3261" s="468">
        <v>10.377435123338373</v>
      </c>
    </row>
    <row r="3262" spans="12:65" x14ac:dyDescent="0.3">
      <c r="L3262" s="427">
        <v>-562061.96030000004</v>
      </c>
      <c r="BE3262" s="477">
        <v>6381900.7854293492</v>
      </c>
      <c r="BF3262" s="458">
        <v>3.0231933304597502E-2</v>
      </c>
      <c r="BG3262" s="477">
        <v>6051921.7315935846</v>
      </c>
      <c r="BH3262" s="458">
        <v>5.8855044766388698E-2</v>
      </c>
      <c r="BI3262" s="477">
        <v>18959587.731658027</v>
      </c>
      <c r="BJ3262" s="458">
        <v>9.8979073108011795E-2</v>
      </c>
      <c r="BK3262" s="477">
        <v>89643556.732933134</v>
      </c>
      <c r="BL3262" s="458">
        <v>0.26578873094037303</v>
      </c>
      <c r="BM3262" s="468">
        <v>5.4780223240051411</v>
      </c>
    </row>
    <row r="3263" spans="12:65" x14ac:dyDescent="0.3">
      <c r="L3263" s="427">
        <v>15816753.1537</v>
      </c>
      <c r="BE3263" s="477">
        <v>2606167.0444112299</v>
      </c>
      <c r="BF3263" s="458">
        <v>3.404309685245388E-2</v>
      </c>
      <c r="BG3263" s="477">
        <v>2613675.0469790655</v>
      </c>
      <c r="BH3263" s="458">
        <v>6.7400435570885042E-2</v>
      </c>
      <c r="BI3263" s="477">
        <v>24812196.760177732</v>
      </c>
      <c r="BJ3263" s="458">
        <v>9.6843698187210947E-2</v>
      </c>
      <c r="BK3263" s="477">
        <v>87222562.89390029</v>
      </c>
      <c r="BL3263" s="458">
        <v>0.25841611587762259</v>
      </c>
      <c r="BM3263" s="468">
        <v>9.9124931146887896</v>
      </c>
    </row>
    <row r="3264" spans="12:65" x14ac:dyDescent="0.3">
      <c r="L3264" s="427">
        <v>-15423311.412</v>
      </c>
      <c r="BE3264" s="477">
        <v>4169949.4092573859</v>
      </c>
      <c r="BF3264" s="458">
        <v>4.1059821214218362E-2</v>
      </c>
      <c r="BG3264" s="477">
        <v>8933156.8600518461</v>
      </c>
      <c r="BH3264" s="458">
        <v>5.547009880182463E-2</v>
      </c>
      <c r="BI3264" s="477">
        <v>25711747.65024659</v>
      </c>
      <c r="BJ3264" s="458">
        <v>8.8719291654205445E-2</v>
      </c>
      <c r="BK3264" s="477">
        <v>107146258.50948252</v>
      </c>
      <c r="BL3264" s="458">
        <v>0.26034877067573148</v>
      </c>
      <c r="BM3264" s="468">
        <v>13.302933608011461</v>
      </c>
    </row>
    <row r="3265" spans="12:65" x14ac:dyDescent="0.3">
      <c r="L3265" s="427">
        <v>3423749.9539000001</v>
      </c>
      <c r="BE3265" s="477">
        <v>3205552.5681678196</v>
      </c>
      <c r="BF3265" s="458">
        <v>4.0997055768671631E-2</v>
      </c>
      <c r="BG3265" s="477">
        <v>10008546.099333446</v>
      </c>
      <c r="BH3265" s="458">
        <v>6.4281992761959561E-2</v>
      </c>
      <c r="BI3265" s="477">
        <v>14984539.987413332</v>
      </c>
      <c r="BJ3265" s="458">
        <v>0.1045721659473986</v>
      </c>
      <c r="BK3265" s="477">
        <v>91886763.354680389</v>
      </c>
      <c r="BL3265" s="458">
        <v>0.27868506341364618</v>
      </c>
      <c r="BM3265" s="468">
        <v>5.815908356145564</v>
      </c>
    </row>
    <row r="3266" spans="12:65" x14ac:dyDescent="0.3">
      <c r="L3266" s="427">
        <v>353697.69900000002</v>
      </c>
      <c r="BE3266" s="477">
        <v>3454068.4922937565</v>
      </c>
      <c r="BF3266" s="458">
        <v>3.2783738300962151E-2</v>
      </c>
      <c r="BG3266" s="477">
        <v>14120173.090866975</v>
      </c>
      <c r="BH3266" s="458">
        <v>8.0164005945948968E-2</v>
      </c>
      <c r="BI3266" s="477">
        <v>16012059.617751393</v>
      </c>
      <c r="BJ3266" s="458">
        <v>6.946441892919375E-2</v>
      </c>
      <c r="BK3266" s="477">
        <v>90857052.976234198</v>
      </c>
      <c r="BL3266" s="458">
        <v>0.28789649055119648</v>
      </c>
      <c r="BM3266" s="468">
        <v>4.5649911358010407</v>
      </c>
    </row>
    <row r="3267" spans="12:65" x14ac:dyDescent="0.3">
      <c r="L3267" s="427">
        <v>6375550.4846000001</v>
      </c>
      <c r="BE3267" s="477">
        <v>2581795.0867699119</v>
      </c>
      <c r="BF3267" s="458">
        <v>3.9503452162455766E-2</v>
      </c>
      <c r="BG3267" s="477">
        <v>11342854.912992878</v>
      </c>
      <c r="BH3267" s="458">
        <v>8.3215104764667203E-2</v>
      </c>
      <c r="BI3267" s="477">
        <v>8661832.4900665972</v>
      </c>
      <c r="BJ3267" s="458">
        <v>0.12743133403074314</v>
      </c>
      <c r="BK3267" s="477">
        <v>92645948.561326876</v>
      </c>
      <c r="BL3267" s="458">
        <v>0.27233878288241575</v>
      </c>
      <c r="BM3267" s="468">
        <v>5.7495202860096111</v>
      </c>
    </row>
    <row r="3268" spans="12:65" x14ac:dyDescent="0.3">
      <c r="L3268" s="427">
        <v>18223873.8411</v>
      </c>
      <c r="BE3268" s="477">
        <v>2098353.2542549991</v>
      </c>
      <c r="BF3268" s="458">
        <v>3.5475691825682665E-2</v>
      </c>
      <c r="BG3268" s="477">
        <v>10608350.943625821</v>
      </c>
      <c r="BH3268" s="458">
        <v>7.6628897746255697E-2</v>
      </c>
      <c r="BI3268" s="477">
        <v>16765954.584145484</v>
      </c>
      <c r="BJ3268" s="458">
        <v>0.14357317254479374</v>
      </c>
      <c r="BK3268" s="477">
        <v>90604132.625428617</v>
      </c>
      <c r="BL3268" s="458">
        <v>0.2862660583237413</v>
      </c>
      <c r="BM3268" s="468">
        <v>6.1648612138101937</v>
      </c>
    </row>
    <row r="3269" spans="12:65" x14ac:dyDescent="0.3">
      <c r="L3269" s="427">
        <v>2803411.8154000002</v>
      </c>
      <c r="BE3269" s="477">
        <v>6455162.9931685301</v>
      </c>
      <c r="BF3269" s="458">
        <v>3.6051769116572485E-2</v>
      </c>
      <c r="BG3269" s="477">
        <v>8939078.6370167658</v>
      </c>
      <c r="BH3269" s="458">
        <v>4.8794126822304884E-2</v>
      </c>
      <c r="BI3269" s="477">
        <v>20437186.069410168</v>
      </c>
      <c r="BJ3269" s="458">
        <v>9.2510955988511556E-2</v>
      </c>
      <c r="BK3269" s="477">
        <v>86052001.146449208</v>
      </c>
      <c r="BL3269" s="458">
        <v>0.25527552181019764</v>
      </c>
      <c r="BM3269" s="468">
        <v>8.5691531224612199</v>
      </c>
    </row>
    <row r="3270" spans="12:65" x14ac:dyDescent="0.3">
      <c r="L3270" s="427">
        <v>9745464.5226000007</v>
      </c>
      <c r="BE3270" s="477">
        <v>6017630.0661657788</v>
      </c>
      <c r="BF3270" s="458">
        <v>1.0433777706708947E-2</v>
      </c>
      <c r="BG3270" s="477">
        <v>9845468.6895999182</v>
      </c>
      <c r="BH3270" s="458">
        <v>7.9190883238140053E-2</v>
      </c>
      <c r="BI3270" s="477">
        <v>17734863.974547535</v>
      </c>
      <c r="BJ3270" s="458">
        <v>0.11683153561572834</v>
      </c>
      <c r="BK3270" s="477">
        <v>94479982.045901731</v>
      </c>
      <c r="BL3270" s="458">
        <v>0.27514534696923487</v>
      </c>
      <c r="BM3270" s="468">
        <v>12.150382102988551</v>
      </c>
    </row>
    <row r="3271" spans="12:65" x14ac:dyDescent="0.3">
      <c r="L3271" s="427">
        <v>-670192.95319999999</v>
      </c>
      <c r="BE3271" s="477">
        <v>4121179.1106294207</v>
      </c>
      <c r="BF3271" s="458">
        <v>3.6651264538023698E-2</v>
      </c>
      <c r="BG3271" s="477">
        <v>7299175.3503041267</v>
      </c>
      <c r="BH3271" s="458">
        <v>7.2989499906158439E-2</v>
      </c>
      <c r="BI3271" s="477">
        <v>15878931.106019394</v>
      </c>
      <c r="BJ3271" s="458">
        <v>0.10732430158388162</v>
      </c>
      <c r="BK3271" s="477">
        <v>87898076.509120375</v>
      </c>
      <c r="BL3271" s="458">
        <v>0.28405972226620091</v>
      </c>
      <c r="BM3271" s="468">
        <v>15.97182968902441</v>
      </c>
    </row>
    <row r="3272" spans="12:65" x14ac:dyDescent="0.3">
      <c r="L3272" s="427">
        <v>-13837279.7568</v>
      </c>
      <c r="BE3272" s="477">
        <v>3363059.682983988</v>
      </c>
      <c r="BF3272" s="458">
        <v>4.1014170157819274E-2</v>
      </c>
      <c r="BG3272" s="477">
        <v>6812197.60959512</v>
      </c>
      <c r="BH3272" s="458">
        <v>8.2765600607631162E-2</v>
      </c>
      <c r="BI3272" s="477">
        <v>19195926.293047473</v>
      </c>
      <c r="BJ3272" s="458">
        <v>0.10974470948189197</v>
      </c>
      <c r="BK3272" s="477">
        <v>94157326.401448488</v>
      </c>
      <c r="BL3272" s="458">
        <v>0.2622626214708812</v>
      </c>
      <c r="BM3272" s="468">
        <v>9.2135339716516054</v>
      </c>
    </row>
    <row r="3273" spans="12:65" x14ac:dyDescent="0.3">
      <c r="L3273" s="427">
        <v>14387625.034499999</v>
      </c>
      <c r="BE3273" s="477">
        <v>2155613.7764961827</v>
      </c>
      <c r="BF3273" s="458">
        <v>3.5265239837239948E-2</v>
      </c>
      <c r="BG3273" s="477">
        <v>11683856.289882056</v>
      </c>
      <c r="BH3273" s="458">
        <v>4.965893658006082E-2</v>
      </c>
      <c r="BI3273" s="477">
        <v>14401112.414156007</v>
      </c>
      <c r="BJ3273" s="458">
        <v>0.11841016470170551</v>
      </c>
      <c r="BK3273" s="477">
        <v>92380636.468592808</v>
      </c>
      <c r="BL3273" s="458">
        <v>0.26944773315313042</v>
      </c>
      <c r="BM3273" s="468">
        <v>8.4532577678906229</v>
      </c>
    </row>
    <row r="3274" spans="12:65" x14ac:dyDescent="0.3">
      <c r="L3274" s="427">
        <v>14261136.6401</v>
      </c>
      <c r="BE3274" s="477">
        <v>11239117.959823554</v>
      </c>
      <c r="BF3274" s="458">
        <v>3.260145306529294E-2</v>
      </c>
      <c r="BG3274" s="477">
        <v>8632367.1143195946</v>
      </c>
      <c r="BH3274" s="458">
        <v>9.191856402563725E-2</v>
      </c>
      <c r="BI3274" s="477">
        <v>16751328.401869586</v>
      </c>
      <c r="BJ3274" s="458">
        <v>8.8581668391752633E-2</v>
      </c>
      <c r="BK3274" s="477">
        <v>98907763.256177381</v>
      </c>
      <c r="BL3274" s="458">
        <v>0.2581710703427873</v>
      </c>
      <c r="BM3274" s="468">
        <v>14.519976454943306</v>
      </c>
    </row>
    <row r="3275" spans="12:65" x14ac:dyDescent="0.3">
      <c r="L3275" s="427">
        <v>4977887.8126999997</v>
      </c>
      <c r="BE3275" s="477">
        <v>9480252.1569766849</v>
      </c>
      <c r="BF3275" s="458">
        <v>7.0149476009368161E-2</v>
      </c>
      <c r="BG3275" s="477">
        <v>-3052629.7195458408</v>
      </c>
      <c r="BH3275" s="458">
        <v>5.5041446607446254E-2</v>
      </c>
      <c r="BI3275" s="477">
        <v>14529533.051627478</v>
      </c>
      <c r="BJ3275" s="458">
        <v>0.1204901840324959</v>
      </c>
      <c r="BK3275" s="477">
        <v>97010960.836037204</v>
      </c>
      <c r="BL3275" s="458">
        <v>0.26222545460239499</v>
      </c>
      <c r="BM3275" s="468">
        <v>6.4749239792670945</v>
      </c>
    </row>
    <row r="3276" spans="12:65" x14ac:dyDescent="0.3">
      <c r="L3276" s="427">
        <v>598540.32909999997</v>
      </c>
      <c r="BE3276" s="477">
        <v>6721771.3525998918</v>
      </c>
      <c r="BF3276" s="458">
        <v>4.9657894984340922E-2</v>
      </c>
      <c r="BG3276" s="477">
        <v>3187689.6994867064</v>
      </c>
      <c r="BH3276" s="458">
        <v>4.3369519851127025E-2</v>
      </c>
      <c r="BI3276" s="477">
        <v>20990926.163432464</v>
      </c>
      <c r="BJ3276" s="458">
        <v>9.1769865106346327E-2</v>
      </c>
      <c r="BK3276" s="477">
        <v>78456015.870500758</v>
      </c>
      <c r="BL3276" s="458">
        <v>0.25809187652183696</v>
      </c>
      <c r="BM3276" s="468">
        <v>9.4062809389643824</v>
      </c>
    </row>
    <row r="3277" spans="12:65" x14ac:dyDescent="0.3">
      <c r="L3277" s="427">
        <v>7147355.3317</v>
      </c>
      <c r="BE3277" s="477">
        <v>3873368.0238236128</v>
      </c>
      <c r="BF3277" s="458">
        <v>2.6286701649387068E-2</v>
      </c>
      <c r="BG3277" s="477">
        <v>6167295.8241212899</v>
      </c>
      <c r="BH3277" s="458">
        <v>4.1675935145365273E-2</v>
      </c>
      <c r="BI3277" s="477">
        <v>20475831.651736498</v>
      </c>
      <c r="BJ3277" s="458">
        <v>0.11538727780952573</v>
      </c>
      <c r="BK3277" s="477">
        <v>89444655.299665555</v>
      </c>
      <c r="BL3277" s="458">
        <v>0.26737963038133983</v>
      </c>
      <c r="BM3277" s="468">
        <v>4.2743473482620091</v>
      </c>
    </row>
    <row r="3278" spans="12:65" x14ac:dyDescent="0.3">
      <c r="L3278" s="427">
        <v>-3355379.3969000001</v>
      </c>
      <c r="BE3278" s="477">
        <v>47835.997571818785</v>
      </c>
      <c r="BF3278" s="458">
        <v>5.9794107191551982E-2</v>
      </c>
      <c r="BG3278" s="477">
        <v>12727036.453077387</v>
      </c>
      <c r="BH3278" s="458">
        <v>6.0751287484740679E-2</v>
      </c>
      <c r="BI3278" s="477">
        <v>16033682.882237965</v>
      </c>
      <c r="BJ3278" s="458">
        <v>0.11128036246761375</v>
      </c>
      <c r="BK3278" s="477">
        <v>103632392.06326199</v>
      </c>
      <c r="BL3278" s="458">
        <v>0.26069710206771979</v>
      </c>
      <c r="BM3278" s="468">
        <v>10.428646527238495</v>
      </c>
    </row>
    <row r="3279" spans="12:65" x14ac:dyDescent="0.3">
      <c r="L3279" s="427">
        <v>9522727.1477000006</v>
      </c>
      <c r="BE3279" s="477">
        <v>-184202.56450518966</v>
      </c>
      <c r="BF3279" s="458">
        <v>3.860273625777455E-2</v>
      </c>
      <c r="BG3279" s="477">
        <v>9666280.5301526021</v>
      </c>
      <c r="BH3279" s="458">
        <v>5.9431951149029105E-2</v>
      </c>
      <c r="BI3279" s="477">
        <v>14612867.84726106</v>
      </c>
      <c r="BJ3279" s="458">
        <v>0.13045242264844159</v>
      </c>
      <c r="BK3279" s="477">
        <v>95523232.164511845</v>
      </c>
      <c r="BL3279" s="458">
        <v>0.2812610637877071</v>
      </c>
      <c r="BM3279" s="468">
        <v>6.9802545425520703</v>
      </c>
    </row>
    <row r="3280" spans="12:65" x14ac:dyDescent="0.3">
      <c r="L3280" s="427">
        <v>23511166.668699998</v>
      </c>
      <c r="BE3280" s="477">
        <v>6136085.8512442308</v>
      </c>
      <c r="BF3280" s="458">
        <v>4.0799382021605046E-2</v>
      </c>
      <c r="BG3280" s="477">
        <v>16081766.845176632</v>
      </c>
      <c r="BH3280" s="458">
        <v>6.8770129655874479E-2</v>
      </c>
      <c r="BI3280" s="477">
        <v>16971046.766408358</v>
      </c>
      <c r="BJ3280" s="458">
        <v>8.4602771084994588E-2</v>
      </c>
      <c r="BK3280" s="477">
        <v>94152019.933115631</v>
      </c>
      <c r="BL3280" s="458">
        <v>0.28643988424539013</v>
      </c>
      <c r="BM3280" s="468">
        <v>6.7436259136598569</v>
      </c>
    </row>
    <row r="3281" spans="12:65" x14ac:dyDescent="0.3">
      <c r="L3281" s="427">
        <v>15322021.6491</v>
      </c>
      <c r="BE3281" s="477">
        <v>6607518.9012677381</v>
      </c>
      <c r="BF3281" s="458">
        <v>3.4108795117398172E-2</v>
      </c>
      <c r="BG3281" s="477">
        <v>8080584.305804871</v>
      </c>
      <c r="BH3281" s="458">
        <v>5.9740100442786437E-2</v>
      </c>
      <c r="BI3281" s="477">
        <v>23577857.257899851</v>
      </c>
      <c r="BJ3281" s="458">
        <v>0.10703036974971103</v>
      </c>
      <c r="BK3281" s="477">
        <v>71442587.226943821</v>
      </c>
      <c r="BL3281" s="458">
        <v>0.25545914923686253</v>
      </c>
      <c r="BM3281" s="468">
        <v>7.8741755501948099</v>
      </c>
    </row>
    <row r="3282" spans="12:65" x14ac:dyDescent="0.3">
      <c r="L3282" s="427">
        <v>-13636112.628599999</v>
      </c>
      <c r="BE3282" s="477">
        <v>2112087.8914130875</v>
      </c>
      <c r="BF3282" s="458">
        <v>4.6079046263575396E-2</v>
      </c>
      <c r="BG3282" s="477">
        <v>2783545.4035196383</v>
      </c>
      <c r="BH3282" s="458">
        <v>7.403837885001141E-2</v>
      </c>
      <c r="BI3282" s="477">
        <v>24542014.884437844</v>
      </c>
      <c r="BJ3282" s="458">
        <v>0.11270226408982253</v>
      </c>
      <c r="BK3282" s="477">
        <v>76926520.011826798</v>
      </c>
      <c r="BL3282" s="458">
        <v>0.27093349077460749</v>
      </c>
      <c r="BM3282" s="468">
        <v>11.163611228892881</v>
      </c>
    </row>
    <row r="3283" spans="12:65" x14ac:dyDescent="0.3">
      <c r="L3283" s="427">
        <v>21268985.638</v>
      </c>
      <c r="BE3283" s="477">
        <v>7427879.5013606064</v>
      </c>
      <c r="BF3283" s="458">
        <v>3.7854410601277699E-2</v>
      </c>
      <c r="BG3283" s="477">
        <v>8371081.2915700777</v>
      </c>
      <c r="BH3283" s="458">
        <v>6.4183468233216523E-2</v>
      </c>
      <c r="BI3283" s="477">
        <v>11585093.858986452</v>
      </c>
      <c r="BJ3283" s="458">
        <v>0.12381879983806399</v>
      </c>
      <c r="BK3283" s="477">
        <v>101528282.06259823</v>
      </c>
      <c r="BL3283" s="458">
        <v>0.28255601053054202</v>
      </c>
      <c r="BM3283" s="468">
        <v>9.1298379870269351</v>
      </c>
    </row>
    <row r="3284" spans="12:65" x14ac:dyDescent="0.3">
      <c r="L3284" s="427">
        <v>-2808188.8761</v>
      </c>
      <c r="BE3284" s="477">
        <v>5870827.5341562526</v>
      </c>
      <c r="BF3284" s="458">
        <v>3.5783365772761311E-2</v>
      </c>
      <c r="BG3284" s="477">
        <v>9065938.9922099374</v>
      </c>
      <c r="BH3284" s="458">
        <v>0.12142326426714112</v>
      </c>
      <c r="BI3284" s="477">
        <v>11193825.286758812</v>
      </c>
      <c r="BJ3284" s="458">
        <v>0.10680945831470212</v>
      </c>
      <c r="BK3284" s="477">
        <v>82777985.167990685</v>
      </c>
      <c r="BL3284" s="458">
        <v>0.25751659301693741</v>
      </c>
      <c r="BM3284" s="468">
        <v>9.1961549483475107</v>
      </c>
    </row>
    <row r="3285" spans="12:65" x14ac:dyDescent="0.3">
      <c r="L3285" s="427">
        <v>8333430.1108999997</v>
      </c>
      <c r="BE3285" s="477">
        <v>7775979.4595588613</v>
      </c>
      <c r="BF3285" s="458">
        <v>3.8035835672240559E-2</v>
      </c>
      <c r="BG3285" s="477">
        <v>7238298.3437280301</v>
      </c>
      <c r="BH3285" s="458">
        <v>6.2391276953187802E-2</v>
      </c>
      <c r="BI3285" s="477">
        <v>18633339.871423572</v>
      </c>
      <c r="BJ3285" s="458">
        <v>0.11067669685530901</v>
      </c>
      <c r="BK3285" s="477">
        <v>87855636.538283482</v>
      </c>
      <c r="BL3285" s="458">
        <v>0.26588149503528635</v>
      </c>
      <c r="BM3285" s="468">
        <v>1.4016674332283943</v>
      </c>
    </row>
    <row r="3286" spans="12:65" x14ac:dyDescent="0.3">
      <c r="L3286" s="427">
        <v>7634507.1172000002</v>
      </c>
      <c r="BE3286" s="477">
        <v>5074862.8456024919</v>
      </c>
      <c r="BF3286" s="458">
        <v>2.5043829545953411E-2</v>
      </c>
      <c r="BG3286" s="477">
        <v>11256579.032540973</v>
      </c>
      <c r="BH3286" s="458">
        <v>5.8291471239521497E-2</v>
      </c>
      <c r="BI3286" s="477">
        <v>21543213.48175621</v>
      </c>
      <c r="BJ3286" s="458">
        <v>0.11659364081842227</v>
      </c>
      <c r="BK3286" s="477">
        <v>102200451.92814606</v>
      </c>
      <c r="BL3286" s="458">
        <v>0.24877187487194563</v>
      </c>
      <c r="BM3286" s="468">
        <v>1.7234697273814854</v>
      </c>
    </row>
    <row r="3287" spans="12:65" x14ac:dyDescent="0.3">
      <c r="L3287" s="427">
        <v>12731480.7849</v>
      </c>
      <c r="BE3287" s="477">
        <v>2653023.6913590841</v>
      </c>
      <c r="BF3287" s="458">
        <v>3.9533659645604624E-2</v>
      </c>
      <c r="BG3287" s="477">
        <v>15403375.291454071</v>
      </c>
      <c r="BH3287" s="458">
        <v>5.1885649812418722E-2</v>
      </c>
      <c r="BI3287" s="477">
        <v>9249387.4761986844</v>
      </c>
      <c r="BJ3287" s="458">
        <v>0.11630784555621432</v>
      </c>
      <c r="BK3287" s="477">
        <v>87090218.660807207</v>
      </c>
      <c r="BL3287" s="458">
        <v>0.27778164858774446</v>
      </c>
      <c r="BM3287" s="468">
        <v>2.8586485368654939</v>
      </c>
    </row>
    <row r="3288" spans="12:65" x14ac:dyDescent="0.3">
      <c r="L3288" s="427">
        <v>8281431.6884000003</v>
      </c>
      <c r="BE3288" s="477">
        <v>9357137.0812121574</v>
      </c>
      <c r="BF3288" s="458">
        <v>2.6255447003594501E-2</v>
      </c>
      <c r="BG3288" s="477">
        <v>8535746.1813730523</v>
      </c>
      <c r="BH3288" s="458">
        <v>5.8764763216725191E-2</v>
      </c>
      <c r="BI3288" s="477">
        <v>14968445.97353196</v>
      </c>
      <c r="BJ3288" s="458">
        <v>0.11120240323272101</v>
      </c>
      <c r="BK3288" s="477">
        <v>107224304.62116949</v>
      </c>
      <c r="BL3288" s="458">
        <v>0.27365000535632578</v>
      </c>
      <c r="BM3288" s="468">
        <v>7.2212883516662894</v>
      </c>
    </row>
    <row r="3289" spans="12:65" x14ac:dyDescent="0.3">
      <c r="L3289" s="427">
        <v>4338335.4088000003</v>
      </c>
      <c r="BE3289" s="477">
        <v>7721402.5788866878</v>
      </c>
      <c r="BF3289" s="458">
        <v>4.8155515750488265E-2</v>
      </c>
      <c r="BG3289" s="477">
        <v>13637486.792166263</v>
      </c>
      <c r="BH3289" s="458">
        <v>5.2389623086617654E-2</v>
      </c>
      <c r="BI3289" s="477">
        <v>15216304.943026291</v>
      </c>
      <c r="BJ3289" s="458">
        <v>9.4432082360773162E-2</v>
      </c>
      <c r="BK3289" s="477">
        <v>96154510.04490371</v>
      </c>
      <c r="BL3289" s="458">
        <v>0.25637054027268547</v>
      </c>
      <c r="BM3289" s="468">
        <v>6.1465328226472531</v>
      </c>
    </row>
    <row r="3290" spans="12:65" x14ac:dyDescent="0.3">
      <c r="L3290" s="427">
        <v>21359367.91</v>
      </c>
      <c r="BE3290" s="477">
        <v>5850677.158106884</v>
      </c>
      <c r="BF3290" s="458">
        <v>4.4097041008349436E-2</v>
      </c>
      <c r="BG3290" s="477">
        <v>11067932.302135484</v>
      </c>
      <c r="BH3290" s="458">
        <v>6.7824907958910385E-2</v>
      </c>
      <c r="BI3290" s="477">
        <v>13406196.348775474</v>
      </c>
      <c r="BJ3290" s="458">
        <v>9.6487841667131979E-2</v>
      </c>
      <c r="BK3290" s="477">
        <v>103819853.29186647</v>
      </c>
      <c r="BL3290" s="458">
        <v>0.26160955164496169</v>
      </c>
      <c r="BM3290" s="468">
        <v>4.1471091370754634</v>
      </c>
    </row>
    <row r="3291" spans="12:65" x14ac:dyDescent="0.3">
      <c r="L3291" s="427">
        <v>3518331.7751000002</v>
      </c>
      <c r="BE3291" s="477">
        <v>1783392.6442910156</v>
      </c>
      <c r="BF3291" s="458">
        <v>4.6871631085803944E-2</v>
      </c>
      <c r="BG3291" s="477">
        <v>12419377.599435519</v>
      </c>
      <c r="BH3291" s="458">
        <v>6.8828756039911454E-2</v>
      </c>
      <c r="BI3291" s="477">
        <v>20792689.963271786</v>
      </c>
      <c r="BJ3291" s="458">
        <v>0.10560572944617697</v>
      </c>
      <c r="BK3291" s="477">
        <v>82701895.04289107</v>
      </c>
      <c r="BL3291" s="458">
        <v>0.27199031394955298</v>
      </c>
      <c r="BM3291" s="468">
        <v>11.766367432999882</v>
      </c>
    </row>
    <row r="3292" spans="12:65" x14ac:dyDescent="0.3">
      <c r="L3292" s="427">
        <v>6225955.9471000005</v>
      </c>
      <c r="BE3292" s="477">
        <v>6642473.6455328465</v>
      </c>
      <c r="BF3292" s="458">
        <v>3.1775656609631442E-2</v>
      </c>
      <c r="BG3292" s="477">
        <v>13697475.449954316</v>
      </c>
      <c r="BH3292" s="458">
        <v>8.3654625198791299E-2</v>
      </c>
      <c r="BI3292" s="477">
        <v>9242809.556852283</v>
      </c>
      <c r="BJ3292" s="458">
        <v>0.10892160760687086</v>
      </c>
      <c r="BK3292" s="477">
        <v>83336584.627673358</v>
      </c>
      <c r="BL3292" s="458">
        <v>0.25605535703262228</v>
      </c>
      <c r="BM3292" s="468">
        <v>10.235249661978722</v>
      </c>
    </row>
    <row r="3293" spans="12:65" x14ac:dyDescent="0.3">
      <c r="L3293" s="427">
        <v>21230855.333799999</v>
      </c>
      <c r="BE3293" s="477">
        <v>6839202.8834119393</v>
      </c>
      <c r="BF3293" s="458">
        <v>3.3423735617098327E-2</v>
      </c>
      <c r="BG3293" s="477">
        <v>6240741.7213479551</v>
      </c>
      <c r="BH3293" s="458">
        <v>5.5737171857963341E-2</v>
      </c>
      <c r="BI3293" s="477">
        <v>25380395.608691331</v>
      </c>
      <c r="BJ3293" s="458">
        <v>0.12328250872407365</v>
      </c>
      <c r="BK3293" s="477">
        <v>87993325.698386461</v>
      </c>
      <c r="BL3293" s="458">
        <v>0.26075037253374544</v>
      </c>
      <c r="BM3293" s="468">
        <v>15.95385147294235</v>
      </c>
    </row>
    <row r="3294" spans="12:65" x14ac:dyDescent="0.3">
      <c r="L3294" s="427">
        <v>2125684.5987</v>
      </c>
      <c r="BE3294" s="477">
        <v>3246095.2178036557</v>
      </c>
      <c r="BF3294" s="458">
        <v>2.4806570086879365E-2</v>
      </c>
      <c r="BG3294" s="477">
        <v>9362552.8600187413</v>
      </c>
      <c r="BH3294" s="458">
        <v>7.9241308659537379E-2</v>
      </c>
      <c r="BI3294" s="477">
        <v>14055985.107338738</v>
      </c>
      <c r="BJ3294" s="458">
        <v>9.7503772590952664E-2</v>
      </c>
      <c r="BK3294" s="477">
        <v>92392107.800696194</v>
      </c>
      <c r="BL3294" s="458">
        <v>0.30296613629344482</v>
      </c>
      <c r="BM3294" s="468">
        <v>14.230803995466495</v>
      </c>
    </row>
    <row r="3295" spans="12:65" x14ac:dyDescent="0.3">
      <c r="L3295" s="427">
        <v>7190934.9669000003</v>
      </c>
      <c r="BE3295" s="477">
        <v>6778245.909980719</v>
      </c>
      <c r="BF3295" s="458">
        <v>4.8158943119822606E-2</v>
      </c>
      <c r="BG3295" s="477">
        <v>8357359.321829428</v>
      </c>
      <c r="BH3295" s="458">
        <v>6.3616024109413249E-2</v>
      </c>
      <c r="BI3295" s="477">
        <v>18572044.942336518</v>
      </c>
      <c r="BJ3295" s="458">
        <v>0.1028367597762847</v>
      </c>
      <c r="BK3295" s="477">
        <v>92009625.184814811</v>
      </c>
      <c r="BL3295" s="458">
        <v>0.26825854421521744</v>
      </c>
      <c r="BM3295" s="468">
        <v>12.403043851528828</v>
      </c>
    </row>
    <row r="3296" spans="12:65" x14ac:dyDescent="0.3">
      <c r="L3296" s="427">
        <v>11836246.3035</v>
      </c>
      <c r="BE3296" s="477">
        <v>6127240.5814129934</v>
      </c>
      <c r="BF3296" s="458">
        <v>3.5247805320235637E-2</v>
      </c>
      <c r="BG3296" s="477">
        <v>9487799.296137739</v>
      </c>
      <c r="BH3296" s="458">
        <v>4.6227495237693761E-2</v>
      </c>
      <c r="BI3296" s="477">
        <v>19273819.980339549</v>
      </c>
      <c r="BJ3296" s="458">
        <v>0.10602825935704963</v>
      </c>
      <c r="BK3296" s="477">
        <v>111361956.37012506</v>
      </c>
      <c r="BL3296" s="458">
        <v>0.25602639455374288</v>
      </c>
      <c r="BM3296" s="468">
        <v>4.4918819695748287</v>
      </c>
    </row>
    <row r="3297" spans="12:65" x14ac:dyDescent="0.3">
      <c r="L3297" s="427">
        <v>-3594600.4555000002</v>
      </c>
      <c r="BE3297" s="477">
        <v>7690662.6804476473</v>
      </c>
      <c r="BF3297" s="458">
        <v>4.2289475979668367E-2</v>
      </c>
      <c r="BG3297" s="477">
        <v>8687412.6230121814</v>
      </c>
      <c r="BH3297" s="458">
        <v>6.7209380664112084E-2</v>
      </c>
      <c r="BI3297" s="477">
        <v>17602980.515724625</v>
      </c>
      <c r="BJ3297" s="458">
        <v>0.10165555484617017</v>
      </c>
      <c r="BK3297" s="477">
        <v>109137007.83230922</v>
      </c>
      <c r="BL3297" s="458">
        <v>0.27524520864505608</v>
      </c>
      <c r="BM3297" s="468">
        <v>10.975809311356098</v>
      </c>
    </row>
    <row r="3298" spans="12:65" x14ac:dyDescent="0.3">
      <c r="L3298" s="427">
        <v>12830532.6272</v>
      </c>
      <c r="BE3298" s="477">
        <v>6964761.4722324824</v>
      </c>
      <c r="BF3298" s="458">
        <v>5.3085504921354998E-2</v>
      </c>
      <c r="BG3298" s="477">
        <v>12329552.342543541</v>
      </c>
      <c r="BH3298" s="458">
        <v>7.7025852051656907E-2</v>
      </c>
      <c r="BI3298" s="477">
        <v>13334544.402537649</v>
      </c>
      <c r="BJ3298" s="458">
        <v>0.11352136588374928</v>
      </c>
      <c r="BK3298" s="477">
        <v>98498684.35820581</v>
      </c>
      <c r="BL3298" s="458">
        <v>0.28644569339250836</v>
      </c>
      <c r="BM3298" s="468">
        <v>7.5330145405640847</v>
      </c>
    </row>
    <row r="3299" spans="12:65" x14ac:dyDescent="0.3">
      <c r="L3299" s="427">
        <v>18333535.888099998</v>
      </c>
      <c r="BE3299" s="477">
        <v>686425.68263332266</v>
      </c>
      <c r="BF3299" s="458">
        <v>3.9457738740312776E-2</v>
      </c>
      <c r="BG3299" s="477">
        <v>10640430.806945955</v>
      </c>
      <c r="BH3299" s="458">
        <v>6.4411813980004951E-2</v>
      </c>
      <c r="BI3299" s="477">
        <v>15799877.241939081</v>
      </c>
      <c r="BJ3299" s="458">
        <v>9.563772149933758E-2</v>
      </c>
      <c r="BK3299" s="477">
        <v>98722456.179963723</v>
      </c>
      <c r="BL3299" s="458">
        <v>0.26115375812655528</v>
      </c>
      <c r="BM3299" s="468">
        <v>11.435988331492226</v>
      </c>
    </row>
    <row r="3300" spans="12:65" x14ac:dyDescent="0.3">
      <c r="L3300" s="427">
        <v>12645949.1658</v>
      </c>
      <c r="BE3300" s="477">
        <v>6912420.5771264397</v>
      </c>
      <c r="BF3300" s="458">
        <v>2.9675356825693999E-2</v>
      </c>
      <c r="BG3300" s="477">
        <v>8755829.6353377663</v>
      </c>
      <c r="BH3300" s="458">
        <v>8.0451176263187651E-2</v>
      </c>
      <c r="BI3300" s="477">
        <v>15828276.567381777</v>
      </c>
      <c r="BJ3300" s="458">
        <v>0.12156873200465879</v>
      </c>
      <c r="BK3300" s="477">
        <v>83223164.919685364</v>
      </c>
      <c r="BL3300" s="458">
        <v>0.26345053803452645</v>
      </c>
      <c r="BM3300" s="468">
        <v>10.543952053942096</v>
      </c>
    </row>
    <row r="3301" spans="12:65" x14ac:dyDescent="0.3">
      <c r="L3301" s="427">
        <v>13964978.926899999</v>
      </c>
      <c r="BE3301" s="477">
        <v>7760146.0433425214</v>
      </c>
      <c r="BF3301" s="458">
        <v>2.3185615961078376E-2</v>
      </c>
      <c r="BG3301" s="477">
        <v>1186259.63267241</v>
      </c>
      <c r="BH3301" s="458">
        <v>4.9306841345231556E-2</v>
      </c>
      <c r="BI3301" s="477">
        <v>15439273.046493687</v>
      </c>
      <c r="BJ3301" s="458">
        <v>0.11808209664070857</v>
      </c>
      <c r="BK3301" s="477">
        <v>76773636.583750486</v>
      </c>
      <c r="BL3301" s="458">
        <v>0.27017957536535731</v>
      </c>
      <c r="BM3301" s="468">
        <v>12.118602502378366</v>
      </c>
    </row>
    <row r="3302" spans="12:65" x14ac:dyDescent="0.3">
      <c r="L3302" s="427">
        <v>7777658.4665999999</v>
      </c>
      <c r="BE3302" s="477">
        <v>5367374.7919353815</v>
      </c>
      <c r="BF3302" s="458">
        <v>5.0242255848855555E-2</v>
      </c>
      <c r="BG3302" s="477">
        <v>6209500.6774548795</v>
      </c>
      <c r="BH3302" s="458">
        <v>6.8760852849008014E-2</v>
      </c>
      <c r="BI3302" s="477">
        <v>24582298.563194558</v>
      </c>
      <c r="BJ3302" s="458">
        <v>9.5880652037992231E-2</v>
      </c>
      <c r="BK3302" s="477">
        <v>91113726.053453982</v>
      </c>
      <c r="BL3302" s="458">
        <v>0.27862989542861949</v>
      </c>
      <c r="BM3302" s="468">
        <v>5.3975707314338344</v>
      </c>
    </row>
    <row r="3303" spans="12:65" x14ac:dyDescent="0.3">
      <c r="L3303" s="427">
        <v>-2806182.6512000002</v>
      </c>
      <c r="BE3303" s="477">
        <v>5529791.6225847509</v>
      </c>
      <c r="BF3303" s="458">
        <v>3.9428561656275507E-2</v>
      </c>
      <c r="BG3303" s="477">
        <v>7011241.9178925278</v>
      </c>
      <c r="BH3303" s="458">
        <v>6.4216134193363361E-2</v>
      </c>
      <c r="BI3303" s="477">
        <v>10740367.698843969</v>
      </c>
      <c r="BJ3303" s="458">
        <v>7.0323543905487451E-2</v>
      </c>
      <c r="BK3303" s="477">
        <v>88247925.821779564</v>
      </c>
      <c r="BL3303" s="458">
        <v>0.26021126602369815</v>
      </c>
      <c r="BM3303" s="468">
        <v>6.8645160770457698</v>
      </c>
    </row>
    <row r="3304" spans="12:65" x14ac:dyDescent="0.3">
      <c r="L3304" s="427">
        <v>11618069.795399999</v>
      </c>
      <c r="BE3304" s="477">
        <v>2678524.4346208503</v>
      </c>
      <c r="BF3304" s="458">
        <v>4.2822778645505988E-2</v>
      </c>
      <c r="BG3304" s="477">
        <v>7327547.3694246579</v>
      </c>
      <c r="BH3304" s="458">
        <v>4.9896227304572438E-2</v>
      </c>
      <c r="BI3304" s="477">
        <v>13713792.555966286</v>
      </c>
      <c r="BJ3304" s="458">
        <v>0.14737649296663879</v>
      </c>
      <c r="BK3304" s="477">
        <v>91122216.915765643</v>
      </c>
      <c r="BL3304" s="458">
        <v>0.26692246229106464</v>
      </c>
      <c r="BM3304" s="468">
        <v>8.568339479910847</v>
      </c>
    </row>
    <row r="3305" spans="12:65" x14ac:dyDescent="0.3">
      <c r="L3305" s="427">
        <v>14168755.054099999</v>
      </c>
      <c r="BE3305" s="477">
        <v>10915429.540357558</v>
      </c>
      <c r="BF3305" s="458">
        <v>3.6017049361431797E-2</v>
      </c>
      <c r="BG3305" s="477">
        <v>7205566.1129006175</v>
      </c>
      <c r="BH3305" s="458">
        <v>8.2406874986368228E-2</v>
      </c>
      <c r="BI3305" s="477">
        <v>16576779.61134232</v>
      </c>
      <c r="BJ3305" s="458">
        <v>0.12707806718707459</v>
      </c>
      <c r="BK3305" s="477">
        <v>85324377.922072873</v>
      </c>
      <c r="BL3305" s="458">
        <v>0.26897702348732966</v>
      </c>
      <c r="BM3305" s="468">
        <v>2.388252010710727</v>
      </c>
    </row>
    <row r="3306" spans="12:65" x14ac:dyDescent="0.3">
      <c r="L3306" s="427">
        <v>14017631.3299</v>
      </c>
      <c r="BE3306" s="477">
        <v>5234291.1114150211</v>
      </c>
      <c r="BF3306" s="458">
        <v>4.1215747580411577E-2</v>
      </c>
      <c r="BG3306" s="477">
        <v>12329336.051885853</v>
      </c>
      <c r="BH3306" s="458">
        <v>4.4361786575934259E-2</v>
      </c>
      <c r="BI3306" s="477">
        <v>14932393.052812086</v>
      </c>
      <c r="BJ3306" s="458">
        <v>0.10880043926152161</v>
      </c>
      <c r="BK3306" s="477">
        <v>86543280.149301887</v>
      </c>
      <c r="BL3306" s="458">
        <v>0.28052034589322572</v>
      </c>
      <c r="BM3306" s="468">
        <v>8.605985114328714</v>
      </c>
    </row>
    <row r="3307" spans="12:65" x14ac:dyDescent="0.3">
      <c r="L3307" s="427">
        <v>24569237.635499999</v>
      </c>
      <c r="BE3307" s="477">
        <v>3632233.4197884449</v>
      </c>
      <c r="BF3307" s="458">
        <v>5.2846879135093561E-2</v>
      </c>
      <c r="BG3307" s="477">
        <v>13629781.289400704</v>
      </c>
      <c r="BH3307" s="458">
        <v>8.3190295289865546E-2</v>
      </c>
      <c r="BI3307" s="477">
        <v>13692076.594686154</v>
      </c>
      <c r="BJ3307" s="458">
        <v>0.1225828687043351</v>
      </c>
      <c r="BK3307" s="477">
        <v>98320571.067695022</v>
      </c>
      <c r="BL3307" s="458">
        <v>0.25313541233553316</v>
      </c>
      <c r="BM3307" s="468">
        <v>11.396081759251317</v>
      </c>
    </row>
    <row r="3308" spans="12:65" x14ac:dyDescent="0.3">
      <c r="L3308" s="427">
        <v>12210583.8873</v>
      </c>
      <c r="BE3308" s="477">
        <v>1712865.2485779675</v>
      </c>
      <c r="BF3308" s="458">
        <v>4.44418708812786E-2</v>
      </c>
      <c r="BG3308" s="477">
        <v>6555777.5467494717</v>
      </c>
      <c r="BH3308" s="458">
        <v>9.981688293036628E-2</v>
      </c>
      <c r="BI3308" s="477">
        <v>17703921.08578179</v>
      </c>
      <c r="BJ3308" s="458">
        <v>0.12135365110197882</v>
      </c>
      <c r="BK3308" s="477">
        <v>84628241.48689279</v>
      </c>
      <c r="BL3308" s="458">
        <v>0.25405097094942897</v>
      </c>
      <c r="BM3308" s="468">
        <v>7.721597700848509</v>
      </c>
    </row>
    <row r="3309" spans="12:65" x14ac:dyDescent="0.3">
      <c r="L3309" s="427">
        <v>8804620.3562000003</v>
      </c>
      <c r="BE3309" s="477">
        <v>9151907.5848612245</v>
      </c>
      <c r="BF3309" s="458">
        <v>4.4974192802480717E-2</v>
      </c>
      <c r="BG3309" s="477">
        <v>6775381.7924123034</v>
      </c>
      <c r="BH3309" s="458">
        <v>8.0556173627101879E-2</v>
      </c>
      <c r="BI3309" s="477">
        <v>11624309.118721344</v>
      </c>
      <c r="BJ3309" s="458">
        <v>0.15571666598657163</v>
      </c>
      <c r="BK3309" s="477">
        <v>86882112.325291812</v>
      </c>
      <c r="BL3309" s="458">
        <v>0.26466926179633865</v>
      </c>
      <c r="BM3309" s="468">
        <v>9.4602150651417638</v>
      </c>
    </row>
    <row r="3310" spans="12:65" x14ac:dyDescent="0.3">
      <c r="L3310" s="427">
        <v>8850659.6932999995</v>
      </c>
      <c r="BE3310" s="477">
        <v>3512657.8605872551</v>
      </c>
      <c r="BF3310" s="458">
        <v>5.4436090307697249E-2</v>
      </c>
      <c r="BG3310" s="477">
        <v>5377282.623727168</v>
      </c>
      <c r="BH3310" s="458">
        <v>6.2062996882249921E-2</v>
      </c>
      <c r="BI3310" s="477">
        <v>17776281.558184419</v>
      </c>
      <c r="BJ3310" s="458">
        <v>0.10800870176742738</v>
      </c>
      <c r="BK3310" s="477">
        <v>98463835.50894396</v>
      </c>
      <c r="BL3310" s="458">
        <v>0.27241638808833568</v>
      </c>
      <c r="BM3310" s="468">
        <v>10.851370629022657</v>
      </c>
    </row>
    <row r="3311" spans="12:65" x14ac:dyDescent="0.3">
      <c r="L3311" s="427">
        <v>2232487.0296999998</v>
      </c>
      <c r="BE3311" s="477">
        <v>3641965.580130972</v>
      </c>
      <c r="BF3311" s="458">
        <v>3.2120263937269078E-2</v>
      </c>
      <c r="BG3311" s="477">
        <v>7865016.9957548697</v>
      </c>
      <c r="BH3311" s="458">
        <v>5.227660536073242E-2</v>
      </c>
      <c r="BI3311" s="477">
        <v>15774116.065196104</v>
      </c>
      <c r="BJ3311" s="458">
        <v>0.15561593315084843</v>
      </c>
      <c r="BK3311" s="477">
        <v>81361411.567055151</v>
      </c>
      <c r="BL3311" s="458">
        <v>0.27223928497231697</v>
      </c>
      <c r="BM3311" s="468">
        <v>8.8221698297942144</v>
      </c>
    </row>
    <row r="3312" spans="12:65" x14ac:dyDescent="0.3">
      <c r="L3312" s="427">
        <v>24529687.933499999</v>
      </c>
      <c r="BE3312" s="477">
        <v>5086249.4744699309</v>
      </c>
      <c r="BF3312" s="458">
        <v>5.4662616732339631E-2</v>
      </c>
      <c r="BG3312" s="477">
        <v>6107111.9296716712</v>
      </c>
      <c r="BH3312" s="458">
        <v>0.10371363547976764</v>
      </c>
      <c r="BI3312" s="477">
        <v>15911152.776595</v>
      </c>
      <c r="BJ3312" s="458">
        <v>0.1184451228160508</v>
      </c>
      <c r="BK3312" s="477">
        <v>103471933.62314878</v>
      </c>
      <c r="BL3312" s="458">
        <v>0.2592127883574411</v>
      </c>
      <c r="BM3312" s="468">
        <v>2.0132749104556433</v>
      </c>
    </row>
    <row r="3313" spans="12:65" x14ac:dyDescent="0.3">
      <c r="L3313" s="427">
        <v>15201523.038899999</v>
      </c>
      <c r="BE3313" s="477">
        <v>6181045.6092925845</v>
      </c>
      <c r="BF3313" s="458">
        <v>5.2656073531109904E-2</v>
      </c>
      <c r="BG3313" s="477">
        <v>13482752.847250422</v>
      </c>
      <c r="BH3313" s="458">
        <v>6.7852894310881151E-2</v>
      </c>
      <c r="BI3313" s="477">
        <v>16568191.858669262</v>
      </c>
      <c r="BJ3313" s="458">
        <v>0.11189676682806615</v>
      </c>
      <c r="BK3313" s="477">
        <v>84195308.636572838</v>
      </c>
      <c r="BL3313" s="458">
        <v>0.26152743292907865</v>
      </c>
      <c r="BM3313" s="468">
        <v>5.2331801770273882</v>
      </c>
    </row>
    <row r="3314" spans="12:65" x14ac:dyDescent="0.3">
      <c r="L3314" s="427">
        <v>13999518.8124</v>
      </c>
      <c r="BE3314" s="477">
        <v>1084944.8974732039</v>
      </c>
      <c r="BF3314" s="458">
        <v>8.1401674057440365E-2</v>
      </c>
      <c r="BG3314" s="477">
        <v>7149593.4490537765</v>
      </c>
      <c r="BH3314" s="458">
        <v>7.554221081166812E-2</v>
      </c>
      <c r="BI3314" s="477">
        <v>14192310.777932135</v>
      </c>
      <c r="BJ3314" s="458">
        <v>0.11197107609762225</v>
      </c>
      <c r="BK3314" s="477">
        <v>98123724.468939543</v>
      </c>
      <c r="BL3314" s="458">
        <v>0.2655670436572295</v>
      </c>
      <c r="BM3314" s="468">
        <v>9.7369347408956699</v>
      </c>
    </row>
    <row r="3315" spans="12:65" x14ac:dyDescent="0.3">
      <c r="L3315" s="427">
        <v>18083725.158599999</v>
      </c>
      <c r="BE3315" s="477">
        <v>4575207.3635281716</v>
      </c>
      <c r="BF3315" s="458">
        <v>4.5773627191800559E-2</v>
      </c>
      <c r="BG3315" s="477">
        <v>10857572.633510992</v>
      </c>
      <c r="BH3315" s="458">
        <v>6.3489356552319132E-2</v>
      </c>
      <c r="BI3315" s="477">
        <v>18806413.649717879</v>
      </c>
      <c r="BJ3315" s="458">
        <v>0.10212142791156564</v>
      </c>
      <c r="BK3315" s="477">
        <v>95501075.245783344</v>
      </c>
      <c r="BL3315" s="458">
        <v>0.250981771097464</v>
      </c>
      <c r="BM3315" s="468">
        <v>1.2372307967565774</v>
      </c>
    </row>
    <row r="3316" spans="12:65" x14ac:dyDescent="0.3">
      <c r="L3316" s="427">
        <v>5993052.9408999998</v>
      </c>
      <c r="BE3316" s="477">
        <v>10432425.740979619</v>
      </c>
      <c r="BF3316" s="458">
        <v>3.2812058087945628E-2</v>
      </c>
      <c r="BG3316" s="477">
        <v>10696556.178745769</v>
      </c>
      <c r="BH3316" s="458">
        <v>6.7149498347311987E-2</v>
      </c>
      <c r="BI3316" s="477">
        <v>15057913.313570669</v>
      </c>
      <c r="BJ3316" s="458">
        <v>0.13886545980109899</v>
      </c>
      <c r="BK3316" s="477">
        <v>91915671.895927697</v>
      </c>
      <c r="BL3316" s="458">
        <v>0.2621837981396471</v>
      </c>
      <c r="BM3316" s="468">
        <v>11.146488236402288</v>
      </c>
    </row>
    <row r="3317" spans="12:65" x14ac:dyDescent="0.3">
      <c r="L3317" s="427">
        <v>-7856265.5460000001</v>
      </c>
      <c r="BE3317" s="477">
        <v>131077.78028238719</v>
      </c>
      <c r="BF3317" s="458">
        <v>2.5553353966182302E-2</v>
      </c>
      <c r="BG3317" s="477">
        <v>13818473.444247492</v>
      </c>
      <c r="BH3317" s="458">
        <v>3.4618502841108123E-2</v>
      </c>
      <c r="BI3317" s="477">
        <v>20548601.02860263</v>
      </c>
      <c r="BJ3317" s="458">
        <v>0.1174406384569131</v>
      </c>
      <c r="BK3317" s="477">
        <v>92824644.643933117</v>
      </c>
      <c r="BL3317" s="458">
        <v>0.28014929384422627</v>
      </c>
      <c r="BM3317" s="468">
        <v>4.3880514350673021</v>
      </c>
    </row>
    <row r="3318" spans="12:65" x14ac:dyDescent="0.3">
      <c r="L3318" s="427">
        <v>26655815.584800001</v>
      </c>
      <c r="BE3318" s="477">
        <v>9949992.309445383</v>
      </c>
      <c r="BF3318" s="458">
        <v>3.4935892152969661E-2</v>
      </c>
      <c r="BG3318" s="477">
        <v>6663604.5372296479</v>
      </c>
      <c r="BH3318" s="458">
        <v>7.0988877199273714E-2</v>
      </c>
      <c r="BI3318" s="477">
        <v>5196359.784061552</v>
      </c>
      <c r="BJ3318" s="458">
        <v>0.1069822845334909</v>
      </c>
      <c r="BK3318" s="477">
        <v>100220369.42214195</v>
      </c>
      <c r="BL3318" s="458">
        <v>0.26239897223374298</v>
      </c>
      <c r="BM3318" s="468">
        <v>4.2411550909691043</v>
      </c>
    </row>
    <row r="3319" spans="12:65" x14ac:dyDescent="0.3">
      <c r="L3319" s="427">
        <v>14218690.2063</v>
      </c>
      <c r="BE3319" s="477">
        <v>5071179.7167551601</v>
      </c>
      <c r="BF3319" s="458">
        <v>5.6149011306069196E-2</v>
      </c>
      <c r="BG3319" s="477">
        <v>13266890.347734112</v>
      </c>
      <c r="BH3319" s="458">
        <v>5.1837921723909997E-2</v>
      </c>
      <c r="BI3319" s="477">
        <v>21153210.148328934</v>
      </c>
      <c r="BJ3319" s="458">
        <v>0.11004184876936041</v>
      </c>
      <c r="BK3319" s="477">
        <v>82727495.278761461</v>
      </c>
      <c r="BL3319" s="458">
        <v>0.27911971351882991</v>
      </c>
      <c r="BM3319" s="468">
        <v>6.1984977376595012</v>
      </c>
    </row>
    <row r="3320" spans="12:65" x14ac:dyDescent="0.3">
      <c r="L3320" s="427">
        <v>6443060.2292999998</v>
      </c>
      <c r="BE3320" s="477">
        <v>3196015.6696394417</v>
      </c>
      <c r="BF3320" s="458">
        <v>3.3274022846427886E-2</v>
      </c>
      <c r="BG3320" s="477">
        <v>9586010.6829694882</v>
      </c>
      <c r="BH3320" s="458">
        <v>6.4364173589539275E-2</v>
      </c>
      <c r="BI3320" s="477">
        <v>15871437.859125594</v>
      </c>
      <c r="BJ3320" s="458">
        <v>0.11944909779058865</v>
      </c>
      <c r="BK3320" s="477">
        <v>82571244.387877643</v>
      </c>
      <c r="BL3320" s="458">
        <v>0.26629800857812413</v>
      </c>
      <c r="BM3320" s="468">
        <v>-8.7218722597905085E-2</v>
      </c>
    </row>
    <row r="3321" spans="12:65" x14ac:dyDescent="0.3">
      <c r="L3321" s="427">
        <v>13068993.0942</v>
      </c>
      <c r="BE3321" s="477">
        <v>6217663.3337076996</v>
      </c>
      <c r="BF3321" s="458">
        <v>5.1272128082972435E-2</v>
      </c>
      <c r="BG3321" s="477">
        <v>9026938.109500533</v>
      </c>
      <c r="BH3321" s="458">
        <v>8.1016092930722428E-2</v>
      </c>
      <c r="BI3321" s="477">
        <v>9770511.5740315262</v>
      </c>
      <c r="BJ3321" s="458">
        <v>0.10669562870400706</v>
      </c>
      <c r="BK3321" s="477">
        <v>93701937.548000216</v>
      </c>
      <c r="BL3321" s="458">
        <v>0.28892076529492128</v>
      </c>
      <c r="BM3321" s="468">
        <v>10.517178962194622</v>
      </c>
    </row>
    <row r="3322" spans="12:65" x14ac:dyDescent="0.3">
      <c r="L3322" s="427">
        <v>-2068309.9739999999</v>
      </c>
      <c r="BE3322" s="477">
        <v>3921277.4923471394</v>
      </c>
      <c r="BF3322" s="458">
        <v>6.5434992777283485E-2</v>
      </c>
      <c r="BG3322" s="477">
        <v>5663313.0901194485</v>
      </c>
      <c r="BH3322" s="458">
        <v>6.4839247782794374E-2</v>
      </c>
      <c r="BI3322" s="477">
        <v>12609782.273708029</v>
      </c>
      <c r="BJ3322" s="458">
        <v>9.7917579164686019E-2</v>
      </c>
      <c r="BK3322" s="477">
        <v>86544183.84907721</v>
      </c>
      <c r="BL3322" s="458">
        <v>0.28361144871321642</v>
      </c>
      <c r="BM3322" s="468">
        <v>7.4557984841632461</v>
      </c>
    </row>
    <row r="3323" spans="12:65" x14ac:dyDescent="0.3">
      <c r="L3323" s="427">
        <v>3966027.378</v>
      </c>
      <c r="BE3323" s="477">
        <v>6096049.0602654926</v>
      </c>
      <c r="BF3323" s="458">
        <v>4.6160985443001401E-2</v>
      </c>
      <c r="BG3323" s="477">
        <v>12089806.220914256</v>
      </c>
      <c r="BH3323" s="458">
        <v>8.5768654257314614E-2</v>
      </c>
      <c r="BI3323" s="477">
        <v>14977383.749306375</v>
      </c>
      <c r="BJ3323" s="458">
        <v>0.11510704480071077</v>
      </c>
      <c r="BK3323" s="477">
        <v>97647651.331690311</v>
      </c>
      <c r="BL3323" s="458">
        <v>0.25430005832570979</v>
      </c>
      <c r="BM3323" s="468">
        <v>13.594243195420324</v>
      </c>
    </row>
    <row r="3324" spans="12:65" x14ac:dyDescent="0.3">
      <c r="L3324" s="427">
        <v>4550435.7452999996</v>
      </c>
      <c r="BE3324" s="477">
        <v>4333153.3038843013</v>
      </c>
      <c r="BF3324" s="458">
        <v>3.7078072027869391E-2</v>
      </c>
      <c r="BG3324" s="477">
        <v>11166145.255742475</v>
      </c>
      <c r="BH3324" s="458">
        <v>5.5551743659135511E-2</v>
      </c>
      <c r="BI3324" s="477">
        <v>19372642.887279622</v>
      </c>
      <c r="BJ3324" s="458">
        <v>0.10027235689297176</v>
      </c>
      <c r="BK3324" s="477">
        <v>92616724.783011228</v>
      </c>
      <c r="BL3324" s="458">
        <v>0.26251164443523667</v>
      </c>
      <c r="BM3324" s="468">
        <v>9.733841700803616</v>
      </c>
    </row>
    <row r="3325" spans="12:65" x14ac:dyDescent="0.3">
      <c r="L3325" s="427">
        <v>12763813.2467</v>
      </c>
      <c r="BE3325" s="477">
        <v>9060963.2212098353</v>
      </c>
      <c r="BF3325" s="458">
        <v>2.9507504056603517E-2</v>
      </c>
      <c r="BG3325" s="477">
        <v>356101.80158109992</v>
      </c>
      <c r="BH3325" s="458">
        <v>6.8725881624557061E-2</v>
      </c>
      <c r="BI3325" s="477">
        <v>24141626.777535267</v>
      </c>
      <c r="BJ3325" s="458">
        <v>0.12359168003384569</v>
      </c>
      <c r="BK3325" s="477">
        <v>96711851.106621444</v>
      </c>
      <c r="BL3325" s="458">
        <v>0.25057327353279213</v>
      </c>
      <c r="BM3325" s="468">
        <v>7.9246015950323407</v>
      </c>
    </row>
    <row r="3326" spans="12:65" x14ac:dyDescent="0.3">
      <c r="L3326" s="427">
        <v>-42724.866600000001</v>
      </c>
      <c r="BE3326" s="477">
        <v>3302839.9832564248</v>
      </c>
      <c r="BF3326" s="458">
        <v>3.4037341597072723E-2</v>
      </c>
      <c r="BG3326" s="477">
        <v>12992474.72148183</v>
      </c>
      <c r="BH3326" s="458">
        <v>8.494086688425484E-2</v>
      </c>
      <c r="BI3326" s="477">
        <v>18365587.693291124</v>
      </c>
      <c r="BJ3326" s="458">
        <v>0.13280162349661584</v>
      </c>
      <c r="BK3326" s="477">
        <v>98784596.055581406</v>
      </c>
      <c r="BL3326" s="458">
        <v>0.26660093992627898</v>
      </c>
      <c r="BM3326" s="468">
        <v>8.7453368141883185</v>
      </c>
    </row>
    <row r="3327" spans="12:65" x14ac:dyDescent="0.3">
      <c r="L3327" s="427">
        <v>14240092.1011</v>
      </c>
      <c r="BE3327" s="477">
        <v>4572436.0644882517</v>
      </c>
      <c r="BF3327" s="458">
        <v>3.0481801339182324E-2</v>
      </c>
      <c r="BG3327" s="477">
        <v>10078700.990010254</v>
      </c>
      <c r="BH3327" s="458">
        <v>4.2931528342306846E-2</v>
      </c>
      <c r="BI3327" s="477">
        <v>15952892.224702207</v>
      </c>
      <c r="BJ3327" s="458">
        <v>9.9958824409053459E-2</v>
      </c>
      <c r="BK3327" s="477">
        <v>81241089.691033304</v>
      </c>
      <c r="BL3327" s="458">
        <v>0.24901303073228687</v>
      </c>
      <c r="BM3327" s="468">
        <v>12.450780855823048</v>
      </c>
    </row>
    <row r="3328" spans="12:65" x14ac:dyDescent="0.3">
      <c r="L3328" s="427">
        <v>-4177516.7725</v>
      </c>
      <c r="BE3328" s="477">
        <v>5902840.3676810544</v>
      </c>
      <c r="BF3328" s="458">
        <v>4.5410163070788157E-2</v>
      </c>
      <c r="BG3328" s="477">
        <v>9306178.4363313168</v>
      </c>
      <c r="BH3328" s="458">
        <v>3.9045664572520122E-2</v>
      </c>
      <c r="BI3328" s="477">
        <v>18148467.67693539</v>
      </c>
      <c r="BJ3328" s="458">
        <v>9.7894732512738392E-2</v>
      </c>
      <c r="BK3328" s="477">
        <v>100150708.83829017</v>
      </c>
      <c r="BL3328" s="458">
        <v>0.28856563114603562</v>
      </c>
      <c r="BM3328" s="468">
        <v>2.4595871931080113</v>
      </c>
    </row>
    <row r="3329" spans="12:65" x14ac:dyDescent="0.3">
      <c r="L3329" s="427">
        <v>13476721.4539</v>
      </c>
      <c r="BE3329" s="477">
        <v>4102094.3493406768</v>
      </c>
      <c r="BF3329" s="458">
        <v>4.6209187419907538E-2</v>
      </c>
      <c r="BG3329" s="477">
        <v>10152615.575254815</v>
      </c>
      <c r="BH3329" s="458">
        <v>9.4552229556705836E-2</v>
      </c>
      <c r="BI3329" s="477">
        <v>12978665.307657355</v>
      </c>
      <c r="BJ3329" s="458">
        <v>0.13290995590229215</v>
      </c>
      <c r="BK3329" s="477">
        <v>97663601.222283795</v>
      </c>
      <c r="BL3329" s="458">
        <v>0.28029105730284076</v>
      </c>
      <c r="BM3329" s="468">
        <v>11.106766036338243</v>
      </c>
    </row>
    <row r="3330" spans="12:65" x14ac:dyDescent="0.3">
      <c r="L3330" s="427">
        <v>11040051.872099999</v>
      </c>
      <c r="BE3330" s="477">
        <v>3250353.9207562176</v>
      </c>
      <c r="BF3330" s="458">
        <v>3.899417060533783E-2</v>
      </c>
      <c r="BG3330" s="477">
        <v>11707476.344725616</v>
      </c>
      <c r="BH3330" s="458">
        <v>6.6655525452999909E-2</v>
      </c>
      <c r="BI3330" s="477">
        <v>20562727.015250921</v>
      </c>
      <c r="BJ3330" s="458">
        <v>8.0496187379005102E-2</v>
      </c>
      <c r="BK3330" s="477">
        <v>95465176.855135679</v>
      </c>
      <c r="BL3330" s="458">
        <v>0.2663614456162533</v>
      </c>
      <c r="BM3330" s="468">
        <v>8.7490504432971328</v>
      </c>
    </row>
    <row r="3331" spans="12:65" x14ac:dyDescent="0.3">
      <c r="L3331" s="427">
        <v>8481451.1315000001</v>
      </c>
      <c r="BE3331" s="477">
        <v>3179596.8661483638</v>
      </c>
      <c r="BF3331" s="458">
        <v>4.308080893585764E-2</v>
      </c>
      <c r="BG3331" s="477">
        <v>13269525.796609506</v>
      </c>
      <c r="BH3331" s="458">
        <v>6.889773722147341E-2</v>
      </c>
      <c r="BI3331" s="477">
        <v>19678984.671874139</v>
      </c>
      <c r="BJ3331" s="458">
        <v>0.11120891141973344</v>
      </c>
      <c r="BK3331" s="477">
        <v>97210221.825089961</v>
      </c>
      <c r="BL3331" s="458">
        <v>0.29380537650651695</v>
      </c>
      <c r="BM3331" s="468">
        <v>10.799588853248782</v>
      </c>
    </row>
    <row r="3332" spans="12:65" x14ac:dyDescent="0.3">
      <c r="L3332" s="427">
        <v>11181155.202500001</v>
      </c>
      <c r="BE3332" s="477">
        <v>5069999.7320498079</v>
      </c>
      <c r="BF3332" s="458">
        <v>5.718105561537179E-2</v>
      </c>
      <c r="BG3332" s="477">
        <v>11913049.635920031</v>
      </c>
      <c r="BH3332" s="458">
        <v>9.0559543419181487E-2</v>
      </c>
      <c r="BI3332" s="477">
        <v>7739068.8333582841</v>
      </c>
      <c r="BJ3332" s="458">
        <v>0.11299830143790612</v>
      </c>
      <c r="BK3332" s="477">
        <v>76024736.456605762</v>
      </c>
      <c r="BL3332" s="458">
        <v>0.27316110474251243</v>
      </c>
      <c r="BM3332" s="468">
        <v>5.0370801301045187</v>
      </c>
    </row>
    <row r="3333" spans="12:65" x14ac:dyDescent="0.3">
      <c r="L3333" s="427">
        <v>17462941.879099999</v>
      </c>
      <c r="BE3333" s="477">
        <v>3809241.0189981014</v>
      </c>
      <c r="BF3333" s="458">
        <v>3.468218948683055E-2</v>
      </c>
      <c r="BG3333" s="477">
        <v>12606594.284793671</v>
      </c>
      <c r="BH3333" s="458">
        <v>0.20132680675210635</v>
      </c>
      <c r="BI3333" s="477">
        <v>17755748.604903948</v>
      </c>
      <c r="BJ3333" s="458">
        <v>0.10389894455665716</v>
      </c>
      <c r="BK3333" s="477">
        <v>96196195.742583483</v>
      </c>
      <c r="BL3333" s="458">
        <v>0.26862987214314038</v>
      </c>
      <c r="BM3333" s="468">
        <v>11.67351588885214</v>
      </c>
    </row>
    <row r="3334" spans="12:65" x14ac:dyDescent="0.3">
      <c r="L3334" s="427">
        <v>17010936.934300002</v>
      </c>
      <c r="BE3334" s="477">
        <v>4027279.9387268801</v>
      </c>
      <c r="BF3334" s="458">
        <v>3.0592276327419121E-2</v>
      </c>
      <c r="BG3334" s="477">
        <v>4803550.6768014869</v>
      </c>
      <c r="BH3334" s="458">
        <v>7.1656843737492926E-2</v>
      </c>
      <c r="BI3334" s="477">
        <v>13756525.476701258</v>
      </c>
      <c r="BJ3334" s="458">
        <v>0.10589365134736428</v>
      </c>
      <c r="BK3334" s="477">
        <v>97837497.088972256</v>
      </c>
      <c r="BL3334" s="458">
        <v>0.28132491770111323</v>
      </c>
      <c r="BM3334" s="468">
        <v>5.5189744208971607</v>
      </c>
    </row>
    <row r="3335" spans="12:65" x14ac:dyDescent="0.3">
      <c r="L3335" s="427">
        <v>-5944085.8655000003</v>
      </c>
      <c r="BE3335" s="477">
        <v>7191467.147341406</v>
      </c>
      <c r="BF3335" s="458">
        <v>4.705891800070261E-2</v>
      </c>
      <c r="BG3335" s="477">
        <v>6140207.6480204379</v>
      </c>
      <c r="BH3335" s="458">
        <v>7.0698291258244117E-2</v>
      </c>
      <c r="BI3335" s="477">
        <v>17037184.767573271</v>
      </c>
      <c r="BJ3335" s="458">
        <v>9.2426053351730486E-2</v>
      </c>
      <c r="BK3335" s="477">
        <v>79934465.2711934</v>
      </c>
      <c r="BL3335" s="458">
        <v>0.28115384874594973</v>
      </c>
      <c r="BM3335" s="468">
        <v>10.374443423532554</v>
      </c>
    </row>
    <row r="3336" spans="12:65" x14ac:dyDescent="0.3">
      <c r="L3336" s="427">
        <v>15041531.6566</v>
      </c>
      <c r="BE3336" s="477">
        <v>7723891.7798016099</v>
      </c>
      <c r="BF3336" s="458">
        <v>4.3671285921563996E-2</v>
      </c>
      <c r="BG3336" s="477">
        <v>14150900.498575473</v>
      </c>
      <c r="BH3336" s="458">
        <v>6.6897207814114346E-2</v>
      </c>
      <c r="BI3336" s="477">
        <v>23657765.627164509</v>
      </c>
      <c r="BJ3336" s="458">
        <v>0.10824419098534732</v>
      </c>
      <c r="BK3336" s="477">
        <v>87571763.002295524</v>
      </c>
      <c r="BL3336" s="458">
        <v>0.27619447126369234</v>
      </c>
      <c r="BM3336" s="468">
        <v>7.8788675370445311</v>
      </c>
    </row>
    <row r="3337" spans="12:65" x14ac:dyDescent="0.3">
      <c r="L3337" s="427">
        <v>13640527.237600001</v>
      </c>
      <c r="BE3337" s="477">
        <v>3598984.4696089313</v>
      </c>
      <c r="BF3337" s="458">
        <v>5.6255382272052401E-2</v>
      </c>
      <c r="BG3337" s="477">
        <v>10599909.937569633</v>
      </c>
      <c r="BH3337" s="458">
        <v>7.1658703373537191E-2</v>
      </c>
      <c r="BI3337" s="477">
        <v>25747452.083551336</v>
      </c>
      <c r="BJ3337" s="458">
        <v>9.0868347750360901E-2</v>
      </c>
      <c r="BK3337" s="477">
        <v>92546886.478251964</v>
      </c>
      <c r="BL3337" s="458">
        <v>0.2735207829334676</v>
      </c>
      <c r="BM3337" s="468">
        <v>4.7458672004750753</v>
      </c>
    </row>
    <row r="3338" spans="12:65" x14ac:dyDescent="0.3">
      <c r="L3338" s="427">
        <v>5572701.6868000003</v>
      </c>
      <c r="BE3338" s="477">
        <v>5171679.5058162557</v>
      </c>
      <c r="BF3338" s="458">
        <v>3.6303749305888866E-2</v>
      </c>
      <c r="BG3338" s="477">
        <v>-1219015.9531216032</v>
      </c>
      <c r="BH3338" s="458">
        <v>5.3491993308129926E-2</v>
      </c>
      <c r="BI3338" s="477">
        <v>12721638.415636288</v>
      </c>
      <c r="BJ3338" s="458">
        <v>0.10795432607993405</v>
      </c>
      <c r="BK3338" s="477">
        <v>86993313.946112737</v>
      </c>
      <c r="BL3338" s="458">
        <v>0.26180299287476649</v>
      </c>
      <c r="BM3338" s="468">
        <v>8.630757223065693</v>
      </c>
    </row>
    <row r="3339" spans="12:65" x14ac:dyDescent="0.3">
      <c r="L3339" s="427">
        <v>1253086.8744999999</v>
      </c>
      <c r="BE3339" s="477">
        <v>6138735.7287779441</v>
      </c>
      <c r="BF3339" s="458">
        <v>6.9191898206176106E-2</v>
      </c>
      <c r="BG3339" s="477">
        <v>11632165.669232266</v>
      </c>
      <c r="BH3339" s="458">
        <v>5.5331390153303683E-2</v>
      </c>
      <c r="BI3339" s="477">
        <v>21150388.892291386</v>
      </c>
      <c r="BJ3339" s="458">
        <v>0.1318459418992366</v>
      </c>
      <c r="BK3339" s="477">
        <v>102086542.94086671</v>
      </c>
      <c r="BL3339" s="458">
        <v>0.28548839037825524</v>
      </c>
      <c r="BM3339" s="468">
        <v>6.1888065042175446</v>
      </c>
    </row>
    <row r="3340" spans="12:65" x14ac:dyDescent="0.3">
      <c r="L3340" s="427">
        <v>-16921425.968899999</v>
      </c>
      <c r="BE3340" s="477">
        <v>977831.71673862671</v>
      </c>
      <c r="BF3340" s="458">
        <v>4.1996265735845029E-2</v>
      </c>
      <c r="BG3340" s="477">
        <v>9907560.9985769019</v>
      </c>
      <c r="BH3340" s="458">
        <v>2.4822960248429338E-2</v>
      </c>
      <c r="BI3340" s="477">
        <v>19518686.989407655</v>
      </c>
      <c r="BJ3340" s="458">
        <v>0.10279522745742842</v>
      </c>
      <c r="BK3340" s="477">
        <v>75208151.124516711</v>
      </c>
      <c r="BL3340" s="458">
        <v>0.28034283605244115</v>
      </c>
      <c r="BM3340" s="468">
        <v>11.148852702958138</v>
      </c>
    </row>
    <row r="3341" spans="12:65" x14ac:dyDescent="0.3">
      <c r="L3341" s="427">
        <v>8135033.9334000004</v>
      </c>
      <c r="BE3341" s="477">
        <v>12728104.837545132</v>
      </c>
      <c r="BF3341" s="458">
        <v>2.9916430579495223E-2</v>
      </c>
      <c r="BG3341" s="477">
        <v>6083460.0821818942</v>
      </c>
      <c r="BH3341" s="458">
        <v>5.3187354576729851E-2</v>
      </c>
      <c r="BI3341" s="477">
        <v>14967397.751764089</v>
      </c>
      <c r="BJ3341" s="458">
        <v>0.10039853634580687</v>
      </c>
      <c r="BK3341" s="477">
        <v>84553267.291206077</v>
      </c>
      <c r="BL3341" s="458">
        <v>0.25871484266668943</v>
      </c>
      <c r="BM3341" s="468">
        <v>13.969455182624584</v>
      </c>
    </row>
    <row r="3342" spans="12:65" x14ac:dyDescent="0.3">
      <c r="L3342" s="427">
        <v>26926020.822099999</v>
      </c>
      <c r="BE3342" s="477">
        <v>4016943.7038413766</v>
      </c>
      <c r="BF3342" s="458">
        <v>3.6954007449788495E-2</v>
      </c>
      <c r="BG3342" s="477">
        <v>10080010.029359292</v>
      </c>
      <c r="BH3342" s="458">
        <v>5.7855508504820907E-2</v>
      </c>
      <c r="BI3342" s="477">
        <v>19818494.541448489</v>
      </c>
      <c r="BJ3342" s="458">
        <v>7.2941373465442494E-2</v>
      </c>
      <c r="BK3342" s="477">
        <v>78760777.150492102</v>
      </c>
      <c r="BL3342" s="458">
        <v>0.27068435719949435</v>
      </c>
      <c r="BM3342" s="468">
        <v>12.570382794142732</v>
      </c>
    </row>
    <row r="3343" spans="12:65" x14ac:dyDescent="0.3">
      <c r="L3343" s="427">
        <v>4993669.4024999999</v>
      </c>
      <c r="BE3343" s="477">
        <v>4151589.3358996976</v>
      </c>
      <c r="BF3343" s="458">
        <v>5.3571619823493233E-2</v>
      </c>
      <c r="BG3343" s="477">
        <v>9775950.902357582</v>
      </c>
      <c r="BH3343" s="458">
        <v>2.0181750551851785E-2</v>
      </c>
      <c r="BI3343" s="477">
        <v>20578903.443948112</v>
      </c>
      <c r="BJ3343" s="458">
        <v>8.9267278244443471E-2</v>
      </c>
      <c r="BK3343" s="477">
        <v>86525551.111159071</v>
      </c>
      <c r="BL3343" s="458">
        <v>0.25544689673805454</v>
      </c>
      <c r="BM3343" s="468">
        <v>10.152724944586508</v>
      </c>
    </row>
    <row r="3344" spans="12:65" x14ac:dyDescent="0.3">
      <c r="L3344" s="427">
        <v>4236844.8875000002</v>
      </c>
      <c r="BE3344" s="477">
        <v>-108380.76041251706</v>
      </c>
      <c r="BF3344" s="458">
        <v>4.1099161773596071E-2</v>
      </c>
      <c r="BG3344" s="477">
        <v>2701502.547732173</v>
      </c>
      <c r="BH3344" s="458">
        <v>4.6950868369720844E-2</v>
      </c>
      <c r="BI3344" s="477">
        <v>14094943.363013517</v>
      </c>
      <c r="BJ3344" s="458">
        <v>0.1050380791458132</v>
      </c>
      <c r="BK3344" s="477">
        <v>83918312.099164084</v>
      </c>
      <c r="BL3344" s="458">
        <v>0.26608645141097553</v>
      </c>
      <c r="BM3344" s="468">
        <v>9.5095109857897633</v>
      </c>
    </row>
    <row r="3345" spans="12:65" x14ac:dyDescent="0.3">
      <c r="L3345" s="427">
        <v>15353883.8926</v>
      </c>
      <c r="BE3345" s="477">
        <v>7746406.9286041185</v>
      </c>
      <c r="BF3345" s="458">
        <v>3.8754362589624503E-2</v>
      </c>
      <c r="BG3345" s="477">
        <v>12572642.018314399</v>
      </c>
      <c r="BH3345" s="458">
        <v>6.6543838518926757E-2</v>
      </c>
      <c r="BI3345" s="477">
        <v>22209767.987304822</v>
      </c>
      <c r="BJ3345" s="458">
        <v>0.11750128436344687</v>
      </c>
      <c r="BK3345" s="477">
        <v>85362402.144470662</v>
      </c>
      <c r="BL3345" s="458">
        <v>0.25550734215070836</v>
      </c>
      <c r="BM3345" s="468">
        <v>16.005224260048731</v>
      </c>
    </row>
    <row r="3346" spans="12:65" x14ac:dyDescent="0.3">
      <c r="L3346" s="427">
        <v>-955093.34809999994</v>
      </c>
      <c r="BE3346" s="477">
        <v>5090009.04668089</v>
      </c>
      <c r="BF3346" s="458">
        <v>1.7484240306695709E-2</v>
      </c>
      <c r="BG3346" s="477">
        <v>3829675.8429305563</v>
      </c>
      <c r="BH3346" s="458">
        <v>6.3311409289788845E-2</v>
      </c>
      <c r="BI3346" s="477">
        <v>19080980.592307776</v>
      </c>
      <c r="BJ3346" s="458">
        <v>0.10649658701098796</v>
      </c>
      <c r="BK3346" s="477">
        <v>88743663.830119506</v>
      </c>
      <c r="BL3346" s="458">
        <v>0.25698864116146591</v>
      </c>
      <c r="BM3346" s="468">
        <v>12.58197104074155</v>
      </c>
    </row>
    <row r="3347" spans="12:65" x14ac:dyDescent="0.3">
      <c r="L3347" s="427">
        <v>13850644.305299999</v>
      </c>
      <c r="BE3347" s="477">
        <v>2904773.7264265036</v>
      </c>
      <c r="BF3347" s="458">
        <v>2.9283382112402778E-2</v>
      </c>
      <c r="BG3347" s="477">
        <v>11770942.000665506</v>
      </c>
      <c r="BH3347" s="458">
        <v>7.0523613756910075E-2</v>
      </c>
      <c r="BI3347" s="477">
        <v>13535191.413848594</v>
      </c>
      <c r="BJ3347" s="458">
        <v>6.7056240542106682E-2</v>
      </c>
      <c r="BK3347" s="477">
        <v>80922667.508313701</v>
      </c>
      <c r="BL3347" s="458">
        <v>0.25980831861088238</v>
      </c>
      <c r="BM3347" s="468">
        <v>8.4232420772168357</v>
      </c>
    </row>
    <row r="3348" spans="12:65" x14ac:dyDescent="0.3">
      <c r="L3348" s="427">
        <v>-927217.80669999996</v>
      </c>
      <c r="BE3348" s="477">
        <v>5062286.9623628156</v>
      </c>
      <c r="BF3348" s="458">
        <v>3.7829783676786022E-2</v>
      </c>
      <c r="BG3348" s="477">
        <v>6898007.4891083939</v>
      </c>
      <c r="BH3348" s="458">
        <v>7.6315282184646893E-2</v>
      </c>
      <c r="BI3348" s="477">
        <v>20936336.087302998</v>
      </c>
      <c r="BJ3348" s="458">
        <v>0.10647632532085693</v>
      </c>
      <c r="BK3348" s="477">
        <v>88288702.617454901</v>
      </c>
      <c r="BL3348" s="458">
        <v>0.26869869423728265</v>
      </c>
      <c r="BM3348" s="468">
        <v>7.5650812564091634</v>
      </c>
    </row>
    <row r="3349" spans="12:65" x14ac:dyDescent="0.3">
      <c r="L3349" s="427">
        <v>10410283.8277</v>
      </c>
      <c r="BE3349" s="477">
        <v>6915153.7398775984</v>
      </c>
      <c r="BF3349" s="458">
        <v>3.5482074845657019E-2</v>
      </c>
      <c r="BG3349" s="477">
        <v>14660538.930938819</v>
      </c>
      <c r="BH3349" s="458">
        <v>6.0752749298617514E-2</v>
      </c>
      <c r="BI3349" s="477">
        <v>20282810.719372235</v>
      </c>
      <c r="BJ3349" s="458">
        <v>0.13255829766962046</v>
      </c>
      <c r="BK3349" s="477">
        <v>67310835.799246639</v>
      </c>
      <c r="BL3349" s="458">
        <v>0.26904182721649272</v>
      </c>
      <c r="BM3349" s="468">
        <v>11.811349143476168</v>
      </c>
    </row>
    <row r="3350" spans="12:65" x14ac:dyDescent="0.3">
      <c r="L3350" s="427">
        <v>-5154021.7674000002</v>
      </c>
      <c r="BE3350" s="477">
        <v>8252977.6765749687</v>
      </c>
      <c r="BF3350" s="458">
        <v>2.758769755392998E-2</v>
      </c>
      <c r="BG3350" s="477">
        <v>12585489.760782052</v>
      </c>
      <c r="BH3350" s="458">
        <v>9.9216508517787627E-2</v>
      </c>
      <c r="BI3350" s="477">
        <v>15490188.807920609</v>
      </c>
      <c r="BJ3350" s="458">
        <v>0.10520114931115065</v>
      </c>
      <c r="BK3350" s="477">
        <v>98350500.967736781</v>
      </c>
      <c r="BL3350" s="458">
        <v>0.24292394291272212</v>
      </c>
      <c r="BM3350" s="468">
        <v>10.592818128321904</v>
      </c>
    </row>
    <row r="3351" spans="12:65" x14ac:dyDescent="0.3">
      <c r="L3351" s="427">
        <v>14809292.188200001</v>
      </c>
      <c r="BE3351" s="477">
        <v>6359946.1274627326</v>
      </c>
      <c r="BF3351" s="458">
        <v>2.8260994967649555E-2</v>
      </c>
      <c r="BG3351" s="477">
        <v>6166749.8710444402</v>
      </c>
      <c r="BH3351" s="458">
        <v>8.3576434034667857E-2</v>
      </c>
      <c r="BI3351" s="477">
        <v>11888359.363948802</v>
      </c>
      <c r="BJ3351" s="458">
        <v>0.1038875309898537</v>
      </c>
      <c r="BK3351" s="477">
        <v>77915500.18017222</v>
      </c>
      <c r="BL3351" s="458">
        <v>0.25453133742692624</v>
      </c>
      <c r="BM3351" s="468">
        <v>10.444985950401552</v>
      </c>
    </row>
    <row r="3352" spans="12:65" x14ac:dyDescent="0.3">
      <c r="L3352" s="427">
        <v>12372440.521500001</v>
      </c>
      <c r="BE3352" s="477">
        <v>3546676.1132308356</v>
      </c>
      <c r="BF3352" s="458">
        <v>4.649682348066575E-2</v>
      </c>
      <c r="BG3352" s="477">
        <v>9278702.2559028044</v>
      </c>
      <c r="BH3352" s="458">
        <v>4.8439862663560929E-2</v>
      </c>
      <c r="BI3352" s="477">
        <v>11793457.890304318</v>
      </c>
      <c r="BJ3352" s="458">
        <v>0.10885629258035912</v>
      </c>
      <c r="BK3352" s="477">
        <v>95959460.731621742</v>
      </c>
      <c r="BL3352" s="458">
        <v>0.26732710166638696</v>
      </c>
      <c r="BM3352" s="468">
        <v>11.666736087759084</v>
      </c>
    </row>
    <row r="3353" spans="12:65" x14ac:dyDescent="0.3">
      <c r="L3353" s="427">
        <v>16339990.3364</v>
      </c>
      <c r="BE3353" s="477">
        <v>2363725.3097143811</v>
      </c>
      <c r="BF3353" s="458">
        <v>4.5488614959484197E-2</v>
      </c>
      <c r="BG3353" s="477">
        <v>17346783.30617854</v>
      </c>
      <c r="BH3353" s="458">
        <v>7.8153425562248469E-2</v>
      </c>
      <c r="BI3353" s="477">
        <v>23226789.259231631</v>
      </c>
      <c r="BJ3353" s="458">
        <v>0.11670132203830219</v>
      </c>
      <c r="BK3353" s="477">
        <v>101087189.90268588</v>
      </c>
      <c r="BL3353" s="458">
        <v>0.28649693824271849</v>
      </c>
      <c r="BM3353" s="468">
        <v>7.9905795142689255</v>
      </c>
    </row>
    <row r="3354" spans="12:65" x14ac:dyDescent="0.3">
      <c r="L3354" s="427">
        <v>515241.46750000003</v>
      </c>
      <c r="BE3354" s="477">
        <v>2528176.0351929641</v>
      </c>
      <c r="BF3354" s="458">
        <v>3.7078002812505062E-2</v>
      </c>
      <c r="BG3354" s="477">
        <v>8689948.1120841913</v>
      </c>
      <c r="BH3354" s="458">
        <v>5.0558278054067651E-2</v>
      </c>
      <c r="BI3354" s="477">
        <v>18702901.246734161</v>
      </c>
      <c r="BJ3354" s="458">
        <v>9.4759666243786844E-2</v>
      </c>
      <c r="BK3354" s="477">
        <v>91506671.564860821</v>
      </c>
      <c r="BL3354" s="458">
        <v>0.28556018164415464</v>
      </c>
      <c r="BM3354" s="468">
        <v>4.6733473005497137</v>
      </c>
    </row>
    <row r="3355" spans="12:65" x14ac:dyDescent="0.3">
      <c r="L3355" s="427">
        <v>7172739.3631999996</v>
      </c>
      <c r="BE3355" s="477">
        <v>2942043.3683548225</v>
      </c>
      <c r="BF3355" s="458">
        <v>3.9584094670413128E-2</v>
      </c>
      <c r="BG3355" s="477">
        <v>5460047.9514763383</v>
      </c>
      <c r="BH3355" s="458">
        <v>9.186700824877958E-2</v>
      </c>
      <c r="BI3355" s="477">
        <v>15370311.109193254</v>
      </c>
      <c r="BJ3355" s="458">
        <v>9.019668305807893E-2</v>
      </c>
      <c r="BK3355" s="477">
        <v>86964028.7074233</v>
      </c>
      <c r="BL3355" s="458">
        <v>0.25858423086164173</v>
      </c>
      <c r="BM3355" s="468">
        <v>16.10437226534625</v>
      </c>
    </row>
    <row r="3356" spans="12:65" x14ac:dyDescent="0.3">
      <c r="L3356" s="427">
        <v>5608803.3722000001</v>
      </c>
      <c r="BE3356" s="477">
        <v>3349559.5297751059</v>
      </c>
      <c r="BF3356" s="458">
        <v>1.7849808507649501E-2</v>
      </c>
      <c r="BG3356" s="477">
        <v>14767697.973719366</v>
      </c>
      <c r="BH3356" s="458">
        <v>5.9712624767670253E-2</v>
      </c>
      <c r="BI3356" s="477">
        <v>19722590.754074667</v>
      </c>
      <c r="BJ3356" s="458">
        <v>9.5236760907909224E-2</v>
      </c>
      <c r="BK3356" s="477">
        <v>98469796.58310087</v>
      </c>
      <c r="BL3356" s="458">
        <v>0.25502621456278041</v>
      </c>
      <c r="BM3356" s="468">
        <v>4.9178939890427227</v>
      </c>
    </row>
    <row r="3357" spans="12:65" x14ac:dyDescent="0.3">
      <c r="L3357" s="427">
        <v>11228021.123600001</v>
      </c>
      <c r="BE3357" s="477">
        <v>6146932.1688692896</v>
      </c>
      <c r="BF3357" s="458">
        <v>6.7061285535978454E-2</v>
      </c>
      <c r="BG3357" s="477">
        <v>6031889.6793238539</v>
      </c>
      <c r="BH3357" s="458">
        <v>4.3442128665493129E-2</v>
      </c>
      <c r="BI3357" s="477">
        <v>16967148.461752698</v>
      </c>
      <c r="BJ3357" s="458">
        <v>0.10115161300029607</v>
      </c>
      <c r="BK3357" s="477">
        <v>87050424.649503946</v>
      </c>
      <c r="BL3357" s="458">
        <v>0.26015458961777216</v>
      </c>
      <c r="BM3357" s="468">
        <v>1.9826075234434342</v>
      </c>
    </row>
    <row r="3358" spans="12:65" x14ac:dyDescent="0.3">
      <c r="L3358" s="427">
        <v>11331787.1665</v>
      </c>
      <c r="BE3358" s="477">
        <v>2629221.5542270173</v>
      </c>
      <c r="BF3358" s="458">
        <v>5.4116786136342299E-2</v>
      </c>
      <c r="BG3358" s="477">
        <v>13112559.066840498</v>
      </c>
      <c r="BH3358" s="458">
        <v>6.5002034618703686E-2</v>
      </c>
      <c r="BI3358" s="477">
        <v>9009658.7578102276</v>
      </c>
      <c r="BJ3358" s="458">
        <v>8.6664941609746915E-2</v>
      </c>
      <c r="BK3358" s="477">
        <v>97968984.940793395</v>
      </c>
      <c r="BL3358" s="458">
        <v>0.27268375748385654</v>
      </c>
      <c r="BM3358" s="468">
        <v>8.6585794319917273</v>
      </c>
    </row>
    <row r="3359" spans="12:65" x14ac:dyDescent="0.3">
      <c r="L3359" s="427">
        <v>18729688.031100001</v>
      </c>
      <c r="BE3359" s="477">
        <v>7372495.6213398278</v>
      </c>
      <c r="BF3359" s="458">
        <v>4.4780441678696326E-2</v>
      </c>
      <c r="BG3359" s="477">
        <v>5766320.9314333033</v>
      </c>
      <c r="BH3359" s="458">
        <v>5.9484689361680276E-2</v>
      </c>
      <c r="BI3359" s="477">
        <v>13657298.145583656</v>
      </c>
      <c r="BJ3359" s="458">
        <v>0.10264844202058798</v>
      </c>
      <c r="BK3359" s="477">
        <v>93072166.185998425</v>
      </c>
      <c r="BL3359" s="458">
        <v>0.27398911076352728</v>
      </c>
      <c r="BM3359" s="468">
        <v>2.9046775724440179</v>
      </c>
    </row>
    <row r="3360" spans="12:65" x14ac:dyDescent="0.3">
      <c r="L3360" s="427">
        <v>16595998.403899999</v>
      </c>
      <c r="BE3360" s="477">
        <v>8340088.9678179426</v>
      </c>
      <c r="BF3360" s="458">
        <v>5.0103701362258946E-2</v>
      </c>
      <c r="BG3360" s="477">
        <v>11816653.277079055</v>
      </c>
      <c r="BH3360" s="458">
        <v>8.5521765676591643E-2</v>
      </c>
      <c r="BI3360" s="477">
        <v>14897638.302682202</v>
      </c>
      <c r="BJ3360" s="458">
        <v>0.10284928335736865</v>
      </c>
      <c r="BK3360" s="477">
        <v>74955539.599282384</v>
      </c>
      <c r="BL3360" s="458">
        <v>0.28435359261991722</v>
      </c>
      <c r="BM3360" s="468">
        <v>8.751649097704739</v>
      </c>
    </row>
    <row r="3361" spans="12:65" x14ac:dyDescent="0.3">
      <c r="L3361" s="427">
        <v>8481091.7118999995</v>
      </c>
      <c r="BE3361" s="477">
        <v>6366455.2548741428</v>
      </c>
      <c r="BF3361" s="458">
        <v>4.5136074460456754E-2</v>
      </c>
      <c r="BG3361" s="477">
        <v>4099528.78145546</v>
      </c>
      <c r="BH3361" s="458">
        <v>4.2470872584249753E-2</v>
      </c>
      <c r="BI3361" s="477">
        <v>19323498.96966162</v>
      </c>
      <c r="BJ3361" s="458">
        <v>0.12245466078737199</v>
      </c>
      <c r="BK3361" s="477">
        <v>76513290.205697894</v>
      </c>
      <c r="BL3361" s="458">
        <v>0.26570395343061559</v>
      </c>
      <c r="BM3361" s="468">
        <v>11.807711622652608</v>
      </c>
    </row>
    <row r="3362" spans="12:65" x14ac:dyDescent="0.3">
      <c r="L3362" s="427">
        <v>15071013.6702</v>
      </c>
      <c r="BE3362" s="477">
        <v>1127291.6534649462</v>
      </c>
      <c r="BF3362" s="458">
        <v>5.0326892066641093E-2</v>
      </c>
      <c r="BG3362" s="477">
        <v>7857933.9724255409</v>
      </c>
      <c r="BH3362" s="458">
        <v>5.3597152075850474E-2</v>
      </c>
      <c r="BI3362" s="477">
        <v>16642384.083634155</v>
      </c>
      <c r="BJ3362" s="458">
        <v>0.12975997530032912</v>
      </c>
      <c r="BK3362" s="477">
        <v>74460004.484317496</v>
      </c>
      <c r="BL3362" s="458">
        <v>0.26187077206579823</v>
      </c>
      <c r="BM3362" s="468">
        <v>15.212617058887655</v>
      </c>
    </row>
    <row r="3363" spans="12:65" x14ac:dyDescent="0.3">
      <c r="L3363" s="427">
        <v>4657559.7570000002</v>
      </c>
      <c r="BE3363" s="477">
        <v>1028638.2821566754</v>
      </c>
      <c r="BF3363" s="458">
        <v>2.9742432553776732E-2</v>
      </c>
      <c r="BG3363" s="477">
        <v>6238575.93978847</v>
      </c>
      <c r="BH3363" s="458">
        <v>4.5292793522501151E-2</v>
      </c>
      <c r="BI3363" s="477">
        <v>13863606.837251985</v>
      </c>
      <c r="BJ3363" s="458">
        <v>0.10691144775253814</v>
      </c>
      <c r="BK3363" s="477">
        <v>84507116.959455833</v>
      </c>
      <c r="BL3363" s="458">
        <v>0.27048091430677945</v>
      </c>
      <c r="BM3363" s="468">
        <v>5.1427906349777146</v>
      </c>
    </row>
    <row r="3364" spans="12:65" x14ac:dyDescent="0.3">
      <c r="L3364" s="427">
        <v>-2131570.9619</v>
      </c>
      <c r="BE3364" s="477">
        <v>7032041.0739462711</v>
      </c>
      <c r="BF3364" s="458">
        <v>5.0817121276792498E-2</v>
      </c>
      <c r="BG3364" s="477">
        <v>4313084.518475634</v>
      </c>
      <c r="BH3364" s="458">
        <v>5.6091404710421067E-2</v>
      </c>
      <c r="BI3364" s="477">
        <v>15817555.818516189</v>
      </c>
      <c r="BJ3364" s="458">
        <v>9.0882424609221468E-2</v>
      </c>
      <c r="BK3364" s="477">
        <v>101455561.12053378</v>
      </c>
      <c r="BL3364" s="458">
        <v>0.26764438849037564</v>
      </c>
      <c r="BM3364" s="468">
        <v>10.465893487285806</v>
      </c>
    </row>
    <row r="3365" spans="12:65" x14ac:dyDescent="0.3">
      <c r="L3365" s="427">
        <v>8051533.0174000002</v>
      </c>
      <c r="BE3365" s="477">
        <v>4736482.2124848189</v>
      </c>
      <c r="BF3365" s="458">
        <v>4.1839738119463066E-2</v>
      </c>
      <c r="BG3365" s="477">
        <v>9903762.9218120798</v>
      </c>
      <c r="BH3365" s="458">
        <v>4.583918535036946E-2</v>
      </c>
      <c r="BI3365" s="477">
        <v>7951364.8177591339</v>
      </c>
      <c r="BJ3365" s="458">
        <v>8.8883836891403556E-2</v>
      </c>
      <c r="BK3365" s="477">
        <v>89531508.012473658</v>
      </c>
      <c r="BL3365" s="458">
        <v>0.25894376622260262</v>
      </c>
      <c r="BM3365" s="468">
        <v>8.6180966759996007</v>
      </c>
    </row>
    <row r="3366" spans="12:65" x14ac:dyDescent="0.3">
      <c r="L3366" s="427">
        <v>18079518.664000001</v>
      </c>
      <c r="BE3366" s="477">
        <v>6088073.7369044824</v>
      </c>
      <c r="BF3366" s="458">
        <v>8.1920241871619393E-2</v>
      </c>
      <c r="BG3366" s="477">
        <v>11337472.031860242</v>
      </c>
      <c r="BH3366" s="458">
        <v>8.5567006295133918E-2</v>
      </c>
      <c r="BI3366" s="477">
        <v>12237149.897970406</v>
      </c>
      <c r="BJ3366" s="458">
        <v>8.7117063534218664E-2</v>
      </c>
      <c r="BK3366" s="477">
        <v>85472523.259251013</v>
      </c>
      <c r="BL3366" s="458">
        <v>0.27510979330376162</v>
      </c>
      <c r="BM3366" s="468">
        <v>1.1632863902227575</v>
      </c>
    </row>
    <row r="3367" spans="12:65" x14ac:dyDescent="0.3">
      <c r="L3367" s="427">
        <v>-6685001.4069999997</v>
      </c>
      <c r="BE3367" s="477">
        <v>621808.52087608632</v>
      </c>
      <c r="BF3367" s="458">
        <v>5.7977211396542438E-2</v>
      </c>
      <c r="BG3367" s="477">
        <v>14208206.63080954</v>
      </c>
      <c r="BH3367" s="458">
        <v>5.5275003432200265E-2</v>
      </c>
      <c r="BI3367" s="477">
        <v>22804575.481501915</v>
      </c>
      <c r="BJ3367" s="458">
        <v>0.13043719237197204</v>
      </c>
      <c r="BK3367" s="477">
        <v>92379507.969747737</v>
      </c>
      <c r="BL3367" s="458">
        <v>0.28481468749216265</v>
      </c>
      <c r="BM3367" s="468">
        <v>5.7960740145282843</v>
      </c>
    </row>
    <row r="3368" spans="12:65" x14ac:dyDescent="0.3">
      <c r="L3368" s="427">
        <v>10476448.240599999</v>
      </c>
      <c r="BE3368" s="477">
        <v>8620854.3520988263</v>
      </c>
      <c r="BF3368" s="458">
        <v>3.9031881354093745E-2</v>
      </c>
      <c r="BG3368" s="477">
        <v>5072109.2090840135</v>
      </c>
      <c r="BH3368" s="458">
        <v>5.6850080395493219E-2</v>
      </c>
      <c r="BI3368" s="477">
        <v>17770237.305684231</v>
      </c>
      <c r="BJ3368" s="458">
        <v>0.14068776821415896</v>
      </c>
      <c r="BK3368" s="477">
        <v>99306225.078466162</v>
      </c>
      <c r="BL3368" s="458">
        <v>0.27298948266511003</v>
      </c>
      <c r="BM3368" s="468">
        <v>13.908921484259199</v>
      </c>
    </row>
    <row r="3369" spans="12:65" x14ac:dyDescent="0.3">
      <c r="L3369" s="427">
        <v>9119752.0561999995</v>
      </c>
      <c r="BE3369" s="477">
        <v>6739121.6382873477</v>
      </c>
      <c r="BF3369" s="458">
        <v>3.4131255612382505E-2</v>
      </c>
      <c r="BG3369" s="477">
        <v>8004151.3856665501</v>
      </c>
      <c r="BH3369" s="458">
        <v>7.7713260736051559E-2</v>
      </c>
      <c r="BI3369" s="477">
        <v>16892648.391933925</v>
      </c>
      <c r="BJ3369" s="458">
        <v>0.11704809534960403</v>
      </c>
      <c r="BK3369" s="477">
        <v>89290057.265208706</v>
      </c>
      <c r="BL3369" s="458">
        <v>0.26661504302927996</v>
      </c>
      <c r="BM3369" s="468">
        <v>3.85025683174044</v>
      </c>
    </row>
    <row r="3370" spans="12:65" x14ac:dyDescent="0.3">
      <c r="L3370" s="427">
        <v>3975627.4824999999</v>
      </c>
      <c r="BE3370" s="477">
        <v>-1850275.8330663452</v>
      </c>
      <c r="BF3370" s="458">
        <v>4.7789508259880265E-2</v>
      </c>
      <c r="BG3370" s="477">
        <v>9981701.3256083354</v>
      </c>
      <c r="BH3370" s="458">
        <v>6.3123498105936315E-2</v>
      </c>
      <c r="BI3370" s="477">
        <v>21092326.429094855</v>
      </c>
      <c r="BJ3370" s="458">
        <v>0.10779317913297648</v>
      </c>
      <c r="BK3370" s="477">
        <v>95196146.844375372</v>
      </c>
      <c r="BL3370" s="458">
        <v>0.27351754074261536</v>
      </c>
      <c r="BM3370" s="468">
        <v>3.062445309240859</v>
      </c>
    </row>
    <row r="3371" spans="12:65" x14ac:dyDescent="0.3">
      <c r="L3371" s="427">
        <v>5727120.8870999999</v>
      </c>
      <c r="BE3371" s="477">
        <v>2816229.806169657</v>
      </c>
      <c r="BF3371" s="458">
        <v>1.6274719976164143E-2</v>
      </c>
      <c r="BG3371" s="477">
        <v>10890609.590464687</v>
      </c>
      <c r="BH3371" s="458">
        <v>6.4345606175729486E-2</v>
      </c>
      <c r="BI3371" s="477">
        <v>9756877.3461172469</v>
      </c>
      <c r="BJ3371" s="458">
        <v>0.10244621190148218</v>
      </c>
      <c r="BK3371" s="477">
        <v>83993056.692838073</v>
      </c>
      <c r="BL3371" s="458">
        <v>0.26570367467813383</v>
      </c>
      <c r="BM3371" s="468">
        <v>6.6657054196803847</v>
      </c>
    </row>
    <row r="3372" spans="12:65" x14ac:dyDescent="0.3">
      <c r="L3372" s="427">
        <v>10419743.5758</v>
      </c>
      <c r="BE3372" s="477">
        <v>9107733.2769698277</v>
      </c>
      <c r="BF3372" s="458">
        <v>2.1446842485407958E-2</v>
      </c>
      <c r="BG3372" s="477">
        <v>15168064.383546825</v>
      </c>
      <c r="BH3372" s="458">
        <v>7.0105336389369333E-2</v>
      </c>
      <c r="BI3372" s="477">
        <v>16888777.574850582</v>
      </c>
      <c r="BJ3372" s="458">
        <v>0.10701079923842438</v>
      </c>
      <c r="BK3372" s="477">
        <v>86986864.586634547</v>
      </c>
      <c r="BL3372" s="458">
        <v>0.27972565018296169</v>
      </c>
      <c r="BM3372" s="468">
        <v>5.0828725999286721</v>
      </c>
    </row>
    <row r="3373" spans="12:65" x14ac:dyDescent="0.3">
      <c r="L3373" s="427">
        <v>752386.90689999994</v>
      </c>
      <c r="BE3373" s="477">
        <v>5125510.4867855711</v>
      </c>
      <c r="BF3373" s="458">
        <v>3.2870977811015889E-2</v>
      </c>
      <c r="BG3373" s="477">
        <v>6273052.8122412544</v>
      </c>
      <c r="BH3373" s="458">
        <v>7.3638531150538755E-2</v>
      </c>
      <c r="BI3373" s="477">
        <v>17864540.171618342</v>
      </c>
      <c r="BJ3373" s="458">
        <v>9.547618387250667E-2</v>
      </c>
      <c r="BK3373" s="477">
        <v>84770480.335055232</v>
      </c>
      <c r="BL3373" s="458">
        <v>0.27241322626362008</v>
      </c>
      <c r="BM3373" s="468">
        <v>7.2364908363422877</v>
      </c>
    </row>
    <row r="3374" spans="12:65" x14ac:dyDescent="0.3">
      <c r="L3374" s="427">
        <v>19846296.448100001</v>
      </c>
      <c r="BE3374" s="477">
        <v>4976413.5339600518</v>
      </c>
      <c r="BF3374" s="458">
        <v>4.7790025954345783E-2</v>
      </c>
      <c r="BG3374" s="477">
        <v>3519968.0034836759</v>
      </c>
      <c r="BH3374" s="458">
        <v>0.11666524095742403</v>
      </c>
      <c r="BI3374" s="477">
        <v>16813123.082859393</v>
      </c>
      <c r="BJ3374" s="458">
        <v>0.11388855882970916</v>
      </c>
      <c r="BK3374" s="477">
        <v>80434292.572423652</v>
      </c>
      <c r="BL3374" s="458">
        <v>0.25485312988117004</v>
      </c>
      <c r="BM3374" s="468">
        <v>5.7233987376481794</v>
      </c>
    </row>
    <row r="3375" spans="12:65" x14ac:dyDescent="0.3">
      <c r="L3375" s="427">
        <v>1330448.8984000001</v>
      </c>
      <c r="BE3375" s="477">
        <v>4468925.4804147752</v>
      </c>
      <c r="BF3375" s="458">
        <v>2.7612770436162837E-2</v>
      </c>
      <c r="BG3375" s="477">
        <v>15207657.321382448</v>
      </c>
      <c r="BH3375" s="458">
        <v>8.3225036553960852E-2</v>
      </c>
      <c r="BI3375" s="477">
        <v>16363668.958341699</v>
      </c>
      <c r="BJ3375" s="458">
        <v>9.9109781445241962E-2</v>
      </c>
      <c r="BK3375" s="477">
        <v>97139859.924647406</v>
      </c>
      <c r="BL3375" s="458">
        <v>0.27234047925118943</v>
      </c>
      <c r="BM3375" s="468">
        <v>7.9258139238844381</v>
      </c>
    </row>
    <row r="3376" spans="12:65" x14ac:dyDescent="0.3">
      <c r="L3376" s="427">
        <v>-4810556.8751999997</v>
      </c>
      <c r="BE3376" s="477">
        <v>4660351.7509763474</v>
      </c>
      <c r="BF3376" s="458">
        <v>4.2425109404314654E-2</v>
      </c>
      <c r="BG3376" s="477">
        <v>14139126.265531817</v>
      </c>
      <c r="BH3376" s="458">
        <v>6.4050546426572819E-2</v>
      </c>
      <c r="BI3376" s="477">
        <v>14349268.363488184</v>
      </c>
      <c r="BJ3376" s="458">
        <v>7.8641577340313518E-2</v>
      </c>
      <c r="BK3376" s="477">
        <v>95239817.207007989</v>
      </c>
      <c r="BL3376" s="458">
        <v>0.29764330356103064</v>
      </c>
      <c r="BM3376" s="468">
        <v>5.333192235527493</v>
      </c>
    </row>
    <row r="3377" spans="12:65" x14ac:dyDescent="0.3">
      <c r="L3377" s="427">
        <v>14760570.279100001</v>
      </c>
      <c r="BE3377" s="477">
        <v>2859659.6753651421</v>
      </c>
      <c r="BF3377" s="458">
        <v>3.7919896932248509E-2</v>
      </c>
      <c r="BG3377" s="477">
        <v>7691922.2540758615</v>
      </c>
      <c r="BH3377" s="458">
        <v>4.8479852664656597E-2</v>
      </c>
      <c r="BI3377" s="477">
        <v>18250117.34976225</v>
      </c>
      <c r="BJ3377" s="458">
        <v>0.10230425246187136</v>
      </c>
      <c r="BK3377" s="477">
        <v>72719755.124813259</v>
      </c>
      <c r="BL3377" s="458">
        <v>0.25903519309866629</v>
      </c>
      <c r="BM3377" s="468">
        <v>7.4122312145993057</v>
      </c>
    </row>
    <row r="3378" spans="12:65" x14ac:dyDescent="0.3">
      <c r="L3378" s="427">
        <v>-1427131.6713</v>
      </c>
      <c r="BE3378" s="477">
        <v>9975589.5983580127</v>
      </c>
      <c r="BF3378" s="458">
        <v>3.9936638833670157E-2</v>
      </c>
      <c r="BG3378" s="477">
        <v>9346840.081748955</v>
      </c>
      <c r="BH3378" s="458">
        <v>6.023427246548807E-2</v>
      </c>
      <c r="BI3378" s="477">
        <v>20858446.011398695</v>
      </c>
      <c r="BJ3378" s="458">
        <v>0.11207366433863597</v>
      </c>
      <c r="BK3378" s="477">
        <v>87479637.764844805</v>
      </c>
      <c r="BL3378" s="458">
        <v>0.27595151595941281</v>
      </c>
      <c r="BM3378" s="468">
        <v>7.0120164242945497</v>
      </c>
    </row>
    <row r="3379" spans="12:65" x14ac:dyDescent="0.3">
      <c r="L3379" s="427">
        <v>7992848.5356000001</v>
      </c>
      <c r="BE3379" s="477">
        <v>1810940.5476615902</v>
      </c>
      <c r="BF3379" s="458">
        <v>2.4615340048838252E-2</v>
      </c>
      <c r="BG3379" s="477">
        <v>6231215.0046678213</v>
      </c>
      <c r="BH3379" s="458">
        <v>9.2652901448275538E-2</v>
      </c>
      <c r="BI3379" s="477">
        <v>6059773.4411340095</v>
      </c>
      <c r="BJ3379" s="458">
        <v>0.10772826713580996</v>
      </c>
      <c r="BK3379" s="477">
        <v>93816649.145348325</v>
      </c>
      <c r="BL3379" s="458">
        <v>0.27197760013832584</v>
      </c>
      <c r="BM3379" s="468">
        <v>7.9281568095204253</v>
      </c>
    </row>
    <row r="3380" spans="12:65" x14ac:dyDescent="0.3">
      <c r="L3380" s="427">
        <v>27663275.3904</v>
      </c>
      <c r="BE3380" s="477">
        <v>4190483.2210740028</v>
      </c>
      <c r="BF3380" s="458">
        <v>3.7701379459239126E-2</v>
      </c>
      <c r="BG3380" s="477">
        <v>13418385.483743185</v>
      </c>
      <c r="BH3380" s="458">
        <v>8.5636599747107578E-2</v>
      </c>
      <c r="BI3380" s="477">
        <v>22992097.91904388</v>
      </c>
      <c r="BJ3380" s="458">
        <v>9.3353248077050921E-2</v>
      </c>
      <c r="BK3380" s="477">
        <v>81372004.141418785</v>
      </c>
      <c r="BL3380" s="458">
        <v>0.24929690920326641</v>
      </c>
      <c r="BM3380" s="468">
        <v>11.714595896537515</v>
      </c>
    </row>
    <row r="3381" spans="12:65" x14ac:dyDescent="0.3">
      <c r="L3381" s="427">
        <v>14833041.5397</v>
      </c>
      <c r="BE3381" s="477">
        <v>1104547.6000297291</v>
      </c>
      <c r="BF3381" s="458">
        <v>4.2632558508717722E-2</v>
      </c>
      <c r="BG3381" s="477">
        <v>12394172.321976142</v>
      </c>
      <c r="BH3381" s="458">
        <v>8.5602246892208189E-2</v>
      </c>
      <c r="BI3381" s="477">
        <v>19136390.129113153</v>
      </c>
      <c r="BJ3381" s="458">
        <v>0.11966391052615832</v>
      </c>
      <c r="BK3381" s="477">
        <v>88977212.923187435</v>
      </c>
      <c r="BL3381" s="458">
        <v>0.26857080597744432</v>
      </c>
      <c r="BM3381" s="468">
        <v>8.2462535609730541</v>
      </c>
    </row>
    <row r="3382" spans="12:65" x14ac:dyDescent="0.3">
      <c r="L3382" s="427">
        <v>2604833.3357000002</v>
      </c>
      <c r="BE3382" s="477">
        <v>3611619.5153044998</v>
      </c>
      <c r="BF3382" s="458">
        <v>5.8440347943436555E-2</v>
      </c>
      <c r="BG3382" s="477">
        <v>11074065.719109382</v>
      </c>
      <c r="BH3382" s="458">
        <v>5.0468140643639803E-2</v>
      </c>
      <c r="BI3382" s="477">
        <v>19111191.581849642</v>
      </c>
      <c r="BJ3382" s="458">
        <v>7.3226358148996473E-2</v>
      </c>
      <c r="BK3382" s="477">
        <v>86542201.99316667</v>
      </c>
      <c r="BL3382" s="458">
        <v>0.25653822370142487</v>
      </c>
      <c r="BM3382" s="468">
        <v>2.8235547106666452</v>
      </c>
    </row>
    <row r="3383" spans="12:65" x14ac:dyDescent="0.3">
      <c r="L3383" s="427">
        <v>13059543.202500001</v>
      </c>
      <c r="BE3383" s="477">
        <v>4300965.9047736507</v>
      </c>
      <c r="BF3383" s="458">
        <v>5.5841119763830438E-2</v>
      </c>
      <c r="BG3383" s="477">
        <v>10663928.469158662</v>
      </c>
      <c r="BH3383" s="458">
        <v>6.6582769869334424E-2</v>
      </c>
      <c r="BI3383" s="477">
        <v>9734469.937479591</v>
      </c>
      <c r="BJ3383" s="458">
        <v>9.7305990468251169E-2</v>
      </c>
      <c r="BK3383" s="477">
        <v>75130645.438805372</v>
      </c>
      <c r="BL3383" s="458">
        <v>0.25304011641097479</v>
      </c>
      <c r="BM3383" s="468">
        <v>18.042374618273584</v>
      </c>
    </row>
    <row r="3384" spans="12:65" x14ac:dyDescent="0.3">
      <c r="L3384" s="427">
        <v>13136731.8181</v>
      </c>
      <c r="BE3384" s="477">
        <v>262202.418494365</v>
      </c>
      <c r="BF3384" s="458">
        <v>3.916289319053412E-2</v>
      </c>
      <c r="BG3384" s="477">
        <v>7179795.4236581381</v>
      </c>
      <c r="BH3384" s="458">
        <v>7.9692149509328347E-2</v>
      </c>
      <c r="BI3384" s="477">
        <v>8188586.9201108171</v>
      </c>
      <c r="BJ3384" s="458">
        <v>0.1514213648330236</v>
      </c>
      <c r="BK3384" s="477">
        <v>84438513.117707521</v>
      </c>
      <c r="BL3384" s="458">
        <v>0.30667765608779796</v>
      </c>
      <c r="BM3384" s="468">
        <v>8.8601306333737195</v>
      </c>
    </row>
    <row r="3385" spans="12:65" x14ac:dyDescent="0.3">
      <c r="L3385" s="427">
        <v>18378465.8171</v>
      </c>
      <c r="BE3385" s="477">
        <v>4070076.5518473415</v>
      </c>
      <c r="BF3385" s="458">
        <v>6.0725496270912283E-2</v>
      </c>
      <c r="BG3385" s="477">
        <v>15554776.564085087</v>
      </c>
      <c r="BH3385" s="458">
        <v>7.6936770609591587E-2</v>
      </c>
      <c r="BI3385" s="477">
        <v>9183054.5786905065</v>
      </c>
      <c r="BJ3385" s="458">
        <v>9.667477192140761E-2</v>
      </c>
      <c r="BK3385" s="477">
        <v>85738554.624596357</v>
      </c>
      <c r="BL3385" s="458">
        <v>0.29704879725934297</v>
      </c>
      <c r="BM3385" s="468">
        <v>6.0887792693339193</v>
      </c>
    </row>
    <row r="3386" spans="12:65" x14ac:dyDescent="0.3">
      <c r="L3386" s="427">
        <v>12744410.699999999</v>
      </c>
      <c r="BE3386" s="477">
        <v>3733149.0484899301</v>
      </c>
      <c r="BF3386" s="458">
        <v>1.200070607769077E-2</v>
      </c>
      <c r="BG3386" s="477">
        <v>10957159.983261174</v>
      </c>
      <c r="BH3386" s="458">
        <v>7.015412203448057E-2</v>
      </c>
      <c r="BI3386" s="477">
        <v>19567344.801269766</v>
      </c>
      <c r="BJ3386" s="458">
        <v>9.6127642964548565E-2</v>
      </c>
      <c r="BK3386" s="477">
        <v>95837028.299580395</v>
      </c>
      <c r="BL3386" s="458">
        <v>0.28135485710002839</v>
      </c>
      <c r="BM3386" s="468">
        <v>-0.16574008986086142</v>
      </c>
    </row>
    <row r="3387" spans="12:65" x14ac:dyDescent="0.3">
      <c r="L3387" s="427">
        <v>1326807.781</v>
      </c>
      <c r="BE3387" s="477">
        <v>2025526.8881424605</v>
      </c>
      <c r="BF3387" s="458">
        <v>4.4457197949447691E-2</v>
      </c>
      <c r="BG3387" s="477">
        <v>13064445.4561192</v>
      </c>
      <c r="BH3387" s="458">
        <v>6.9505716029955478E-2</v>
      </c>
      <c r="BI3387" s="477">
        <v>11731819.902645836</v>
      </c>
      <c r="BJ3387" s="458">
        <v>9.0435312773528009E-2</v>
      </c>
      <c r="BK3387" s="477">
        <v>90113400.563680828</v>
      </c>
      <c r="BL3387" s="458">
        <v>0.27843987284154581</v>
      </c>
      <c r="BM3387" s="468">
        <v>6.1314121917982076</v>
      </c>
    </row>
    <row r="3388" spans="12:65" x14ac:dyDescent="0.3">
      <c r="L3388" s="427">
        <v>18160458.730700001</v>
      </c>
      <c r="BE3388" s="477">
        <v>3817310.6668549171</v>
      </c>
      <c r="BF3388" s="458">
        <v>2.890416739254964E-2</v>
      </c>
      <c r="BG3388" s="477">
        <v>13460089.904293649</v>
      </c>
      <c r="BH3388" s="458">
        <v>6.7701684195799361E-2</v>
      </c>
      <c r="BI3388" s="477">
        <v>15191140.507484673</v>
      </c>
      <c r="BJ3388" s="458">
        <v>0.11528209572966208</v>
      </c>
      <c r="BK3388" s="477">
        <v>101961981.20409077</v>
      </c>
      <c r="BL3388" s="458">
        <v>0.28804320475894274</v>
      </c>
      <c r="BM3388" s="468">
        <v>6.7745494641949939</v>
      </c>
    </row>
    <row r="3389" spans="12:65" x14ac:dyDescent="0.3">
      <c r="L3389" s="427">
        <v>9917534.9372000005</v>
      </c>
      <c r="BE3389" s="477">
        <v>6539594.5118876221</v>
      </c>
      <c r="BF3389" s="458">
        <v>4.4359456569456945E-2</v>
      </c>
      <c r="BG3389" s="477">
        <v>10279120.426116606</v>
      </c>
      <c r="BH3389" s="458">
        <v>6.0950301414840258E-2</v>
      </c>
      <c r="BI3389" s="477">
        <v>14501846.813898349</v>
      </c>
      <c r="BJ3389" s="458">
        <v>0.1117291868314263</v>
      </c>
      <c r="BK3389" s="477">
        <v>83588912.557667762</v>
      </c>
      <c r="BL3389" s="458">
        <v>0.27551561391844936</v>
      </c>
      <c r="BM3389" s="468">
        <v>11.476915597846368</v>
      </c>
    </row>
    <row r="3390" spans="12:65" x14ac:dyDescent="0.3">
      <c r="L3390" s="427">
        <v>12232482.7027</v>
      </c>
      <c r="BE3390" s="477">
        <v>6735276.1557957381</v>
      </c>
      <c r="BF3390" s="458">
        <v>3.7953433828767924E-2</v>
      </c>
      <c r="BG3390" s="477">
        <v>9343957.1751550715</v>
      </c>
      <c r="BH3390" s="458">
        <v>5.7445952124140387E-2</v>
      </c>
      <c r="BI3390" s="477">
        <v>21582847.886873513</v>
      </c>
      <c r="BJ3390" s="458">
        <v>7.8863008464169937E-2</v>
      </c>
      <c r="BK3390" s="477">
        <v>78235126.934488729</v>
      </c>
      <c r="BL3390" s="458">
        <v>0.26437632497654451</v>
      </c>
      <c r="BM3390" s="468">
        <v>10.43940523064947</v>
      </c>
    </row>
    <row r="3391" spans="12:65" x14ac:dyDescent="0.3">
      <c r="L3391" s="427">
        <v>9813943.6241999995</v>
      </c>
      <c r="BE3391" s="477">
        <v>1986305.3162288943</v>
      </c>
      <c r="BF3391" s="458">
        <v>3.8114516611374549E-2</v>
      </c>
      <c r="BG3391" s="477">
        <v>1924139.4556787009</v>
      </c>
      <c r="BH3391" s="458">
        <v>2.7613027312632266E-2</v>
      </c>
      <c r="BI3391" s="477">
        <v>10771828.901738444</v>
      </c>
      <c r="BJ3391" s="458">
        <v>0.11819445210044144</v>
      </c>
      <c r="BK3391" s="477">
        <v>107672883.1123458</v>
      </c>
      <c r="BL3391" s="458">
        <v>0.272268378357305</v>
      </c>
      <c r="BM3391" s="468">
        <v>7.6928157050608004</v>
      </c>
    </row>
    <row r="3392" spans="12:65" x14ac:dyDescent="0.3">
      <c r="L3392" s="427">
        <v>14001396.9114</v>
      </c>
      <c r="BE3392" s="477">
        <v>8170649.7670106543</v>
      </c>
      <c r="BF3392" s="458">
        <v>5.8225075933455051E-2</v>
      </c>
      <c r="BG3392" s="477">
        <v>8987552.7915634196</v>
      </c>
      <c r="BH3392" s="458">
        <v>4.1028508060136692E-2</v>
      </c>
      <c r="BI3392" s="477">
        <v>22341161.626129679</v>
      </c>
      <c r="BJ3392" s="458">
        <v>8.7912540508646275E-2</v>
      </c>
      <c r="BK3392" s="477">
        <v>94361291.409126654</v>
      </c>
      <c r="BL3392" s="458">
        <v>0.26204235307785195</v>
      </c>
      <c r="BM3392" s="468">
        <v>3.8972474972576272</v>
      </c>
    </row>
    <row r="3393" spans="12:65" x14ac:dyDescent="0.3">
      <c r="L3393" s="427">
        <v>7601592.6588000003</v>
      </c>
      <c r="BE3393" s="477">
        <v>-378734.55921170331</v>
      </c>
      <c r="BF3393" s="458">
        <v>2.9576547715869594E-2</v>
      </c>
      <c r="BG3393" s="477">
        <v>2802563.314450541</v>
      </c>
      <c r="BH3393" s="458">
        <v>4.9623896243177645E-2</v>
      </c>
      <c r="BI3393" s="477">
        <v>10434768.419605192</v>
      </c>
      <c r="BJ3393" s="458">
        <v>0.13051746095775574</v>
      </c>
      <c r="BK3393" s="477">
        <v>79284668.117808416</v>
      </c>
      <c r="BL3393" s="458">
        <v>0.28722064186501606</v>
      </c>
      <c r="BM3393" s="468">
        <v>9.1527391298169434</v>
      </c>
    </row>
    <row r="3394" spans="12:65" x14ac:dyDescent="0.3">
      <c r="L3394" s="427">
        <v>9552851.3868000004</v>
      </c>
      <c r="BE3394" s="477">
        <v>5220721.2513840981</v>
      </c>
      <c r="BF3394" s="458">
        <v>3.174441552258922E-2</v>
      </c>
      <c r="BG3394" s="477">
        <v>12840399.318698274</v>
      </c>
      <c r="BH3394" s="458">
        <v>6.4435083326813025E-2</v>
      </c>
      <c r="BI3394" s="477">
        <v>11261088.655734938</v>
      </c>
      <c r="BJ3394" s="458">
        <v>9.2622037198613061E-2</v>
      </c>
      <c r="BK3394" s="477">
        <v>98670683.00816144</v>
      </c>
      <c r="BL3394" s="458">
        <v>0.26274278840455656</v>
      </c>
      <c r="BM3394" s="468">
        <v>5.8530698575899471</v>
      </c>
    </row>
    <row r="3395" spans="12:65" x14ac:dyDescent="0.3">
      <c r="L3395" s="427">
        <v>12216351.300000001</v>
      </c>
      <c r="BE3395" s="477">
        <v>4895133.0724972012</v>
      </c>
      <c r="BF3395" s="458">
        <v>3.096312850286842E-2</v>
      </c>
      <c r="BG3395" s="477">
        <v>4977552.0818919661</v>
      </c>
      <c r="BH3395" s="458">
        <v>8.8312750434382359E-2</v>
      </c>
      <c r="BI3395" s="477">
        <v>10398017.228662744</v>
      </c>
      <c r="BJ3395" s="458">
        <v>0.10828257562250254</v>
      </c>
      <c r="BK3395" s="477">
        <v>96601672.131611615</v>
      </c>
      <c r="BL3395" s="458">
        <v>0.27481615439581897</v>
      </c>
      <c r="BM3395" s="468">
        <v>3.8906690701760596</v>
      </c>
    </row>
    <row r="3396" spans="12:65" x14ac:dyDescent="0.3">
      <c r="L3396" s="427">
        <v>10909233.796700001</v>
      </c>
      <c r="BE3396" s="477">
        <v>9423448.1946707647</v>
      </c>
      <c r="BF3396" s="458">
        <v>5.9952318201023536E-2</v>
      </c>
      <c r="BG3396" s="477">
        <v>8949260.422448149</v>
      </c>
      <c r="BH3396" s="458">
        <v>7.0336181866782033E-2</v>
      </c>
      <c r="BI3396" s="477">
        <v>18888163.675725345</v>
      </c>
      <c r="BJ3396" s="458">
        <v>0.13276530151380528</v>
      </c>
      <c r="BK3396" s="477">
        <v>92492047.083992437</v>
      </c>
      <c r="BL3396" s="458">
        <v>0.28316016137007649</v>
      </c>
      <c r="BM3396" s="468">
        <v>5.2936727289041485</v>
      </c>
    </row>
    <row r="3397" spans="12:65" x14ac:dyDescent="0.3">
      <c r="L3397" s="427">
        <v>2987129.6383000002</v>
      </c>
      <c r="BE3397" s="477">
        <v>3375576.7933657151</v>
      </c>
      <c r="BF3397" s="458">
        <v>4.0084199778542606E-2</v>
      </c>
      <c r="BG3397" s="477">
        <v>7180726.4414604418</v>
      </c>
      <c r="BH3397" s="458">
        <v>5.3010034515479809E-2</v>
      </c>
      <c r="BI3397" s="477">
        <v>15374015.925593229</v>
      </c>
      <c r="BJ3397" s="458">
        <v>0.14189482848486956</v>
      </c>
      <c r="BK3397" s="477">
        <v>83461206.077883378</v>
      </c>
      <c r="BL3397" s="458">
        <v>0.26506922787305132</v>
      </c>
      <c r="BM3397" s="468">
        <v>8.273400342170067</v>
      </c>
    </row>
    <row r="3398" spans="12:65" x14ac:dyDescent="0.3">
      <c r="L3398" s="427">
        <v>-1986354.8707000001</v>
      </c>
      <c r="BE3398" s="477">
        <v>7179590.0617662435</v>
      </c>
      <c r="BF3398" s="458">
        <v>1.8965419740076372E-2</v>
      </c>
      <c r="BG3398" s="477">
        <v>2677256.9774080128</v>
      </c>
      <c r="BH3398" s="458">
        <v>5.6572763696080886E-2</v>
      </c>
      <c r="BI3398" s="477">
        <v>17734592.674972635</v>
      </c>
      <c r="BJ3398" s="458">
        <v>0.1188447383714244</v>
      </c>
      <c r="BK3398" s="477">
        <v>84776289.606923208</v>
      </c>
      <c r="BL3398" s="458">
        <v>0.26260681608730585</v>
      </c>
      <c r="BM3398" s="468">
        <v>7.4730014289293045</v>
      </c>
    </row>
    <row r="3399" spans="12:65" x14ac:dyDescent="0.3">
      <c r="L3399" s="427">
        <v>-8746418.1447000001</v>
      </c>
      <c r="BE3399" s="477">
        <v>7831696.4319932414</v>
      </c>
      <c r="BF3399" s="458">
        <v>2.3867483774734577E-2</v>
      </c>
      <c r="BG3399" s="477">
        <v>4602857.7375905327</v>
      </c>
      <c r="BH3399" s="458">
        <v>6.1863248890771771E-2</v>
      </c>
      <c r="BI3399" s="477">
        <v>19365133.438609123</v>
      </c>
      <c r="BJ3399" s="458">
        <v>0.10287008554387733</v>
      </c>
      <c r="BK3399" s="477">
        <v>91583804.761627465</v>
      </c>
      <c r="BL3399" s="458">
        <v>0.27953371490825352</v>
      </c>
      <c r="BM3399" s="468">
        <v>2.417021093867346</v>
      </c>
    </row>
    <row r="3400" spans="12:65" x14ac:dyDescent="0.3">
      <c r="L3400" s="427">
        <v>28117486.4987</v>
      </c>
      <c r="BE3400" s="477">
        <v>4336436.8143847585</v>
      </c>
      <c r="BF3400" s="458">
        <v>3.2428363202181343E-2</v>
      </c>
      <c r="BG3400" s="477">
        <v>7279803.7164865052</v>
      </c>
      <c r="BH3400" s="458">
        <v>2.6034475157436177E-2</v>
      </c>
      <c r="BI3400" s="477">
        <v>4633988.0295690289</v>
      </c>
      <c r="BJ3400" s="458">
        <v>0.12579779575864714</v>
      </c>
      <c r="BK3400" s="477">
        <v>95652730.762916476</v>
      </c>
      <c r="BL3400" s="458">
        <v>0.272720827889678</v>
      </c>
      <c r="BM3400" s="468">
        <v>9.9234375461731172</v>
      </c>
    </row>
    <row r="3401" spans="12:65" x14ac:dyDescent="0.3">
      <c r="L3401" s="427">
        <v>16997156.456099998</v>
      </c>
      <c r="BE3401" s="477">
        <v>8085247.4481881252</v>
      </c>
      <c r="BF3401" s="458">
        <v>4.7376466916434934E-2</v>
      </c>
      <c r="BG3401" s="477">
        <v>13759087.96793106</v>
      </c>
      <c r="BH3401" s="458">
        <v>6.4194776770775785E-2</v>
      </c>
      <c r="BI3401" s="477">
        <v>19268156.758782052</v>
      </c>
      <c r="BJ3401" s="458">
        <v>0.11547929875687557</v>
      </c>
      <c r="BK3401" s="477">
        <v>85387876.594112456</v>
      </c>
      <c r="BL3401" s="458">
        <v>0.25740870416460693</v>
      </c>
      <c r="BM3401" s="468">
        <v>3.1235983484970173</v>
      </c>
    </row>
    <row r="3402" spans="12:65" x14ac:dyDescent="0.3">
      <c r="L3402" s="427">
        <v>7254935.9436999997</v>
      </c>
      <c r="BE3402" s="477">
        <v>3557638.4911695793</v>
      </c>
      <c r="BF3402" s="458">
        <v>3.9468101003925948E-2</v>
      </c>
      <c r="BG3402" s="477">
        <v>14047426.999901474</v>
      </c>
      <c r="BH3402" s="458">
        <v>8.4179187325213345E-2</v>
      </c>
      <c r="BI3402" s="477">
        <v>7920663.0103568621</v>
      </c>
      <c r="BJ3402" s="458">
        <v>0.10349701298368119</v>
      </c>
      <c r="BK3402" s="477">
        <v>97821555.473278433</v>
      </c>
      <c r="BL3402" s="458">
        <v>0.27522311452429249</v>
      </c>
      <c r="BM3402" s="468">
        <v>12.684860157848121</v>
      </c>
    </row>
    <row r="3403" spans="12:65" x14ac:dyDescent="0.3">
      <c r="L3403" s="427">
        <v>2693260.3717999998</v>
      </c>
      <c r="BE3403" s="477">
        <v>7602020.715333689</v>
      </c>
      <c r="BF3403" s="458">
        <v>5.5685798296108091E-2</v>
      </c>
      <c r="BG3403" s="477">
        <v>7994792.0404655272</v>
      </c>
      <c r="BH3403" s="458">
        <v>7.1833153474583522E-2</v>
      </c>
      <c r="BI3403" s="477">
        <v>10344858.491684983</v>
      </c>
      <c r="BJ3403" s="458">
        <v>0.11865483290739798</v>
      </c>
      <c r="BK3403" s="477">
        <v>86913152.897059411</v>
      </c>
      <c r="BL3403" s="458">
        <v>0.29055124103423302</v>
      </c>
      <c r="BM3403" s="468">
        <v>9.3132330201864235</v>
      </c>
    </row>
    <row r="3404" spans="12:65" x14ac:dyDescent="0.3">
      <c r="L3404" s="427">
        <v>14732847.716</v>
      </c>
      <c r="BE3404" s="477">
        <v>-991105.68246238923</v>
      </c>
      <c r="BF3404" s="458">
        <v>3.5865862058142017E-2</v>
      </c>
      <c r="BG3404" s="477">
        <v>5507987.0257638469</v>
      </c>
      <c r="BH3404" s="458">
        <v>4.2789306773016289E-2</v>
      </c>
      <c r="BI3404" s="477">
        <v>19388907.805735338</v>
      </c>
      <c r="BJ3404" s="458">
        <v>0.11552941190606703</v>
      </c>
      <c r="BK3404" s="477">
        <v>94655341.345550135</v>
      </c>
      <c r="BL3404" s="458">
        <v>0.26526963999238018</v>
      </c>
      <c r="BM3404" s="468">
        <v>8.801535719581068</v>
      </c>
    </row>
    <row r="3405" spans="12:65" x14ac:dyDescent="0.3">
      <c r="L3405" s="427">
        <v>26575376.8334</v>
      </c>
      <c r="BE3405" s="477">
        <v>8149703.3052928848</v>
      </c>
      <c r="BF3405" s="458">
        <v>4.4001501489787875E-2</v>
      </c>
      <c r="BG3405" s="477">
        <v>5415268.7269667154</v>
      </c>
      <c r="BH3405" s="458">
        <v>5.6515431727642396E-2</v>
      </c>
      <c r="BI3405" s="477">
        <v>23777518.764008887</v>
      </c>
      <c r="BJ3405" s="458">
        <v>0.13816454534802136</v>
      </c>
      <c r="BK3405" s="477">
        <v>95197106.603542</v>
      </c>
      <c r="BL3405" s="458">
        <v>0.25693385800830337</v>
      </c>
      <c r="BM3405" s="468">
        <v>10.302518881274171</v>
      </c>
    </row>
    <row r="3406" spans="12:65" x14ac:dyDescent="0.3">
      <c r="L3406" s="427">
        <v>9915731.3225999996</v>
      </c>
      <c r="BE3406" s="477">
        <v>5540064.8563864334</v>
      </c>
      <c r="BF3406" s="458">
        <v>3.6918948087258707E-2</v>
      </c>
      <c r="BG3406" s="477">
        <v>9169412.2098204698</v>
      </c>
      <c r="BH3406" s="458">
        <v>8.4871527435337768E-2</v>
      </c>
      <c r="BI3406" s="477">
        <v>21372016.491538536</v>
      </c>
      <c r="BJ3406" s="458">
        <v>0.1022297795020608</v>
      </c>
      <c r="BK3406" s="477">
        <v>88304976.120958209</v>
      </c>
      <c r="BL3406" s="458">
        <v>0.27544798144410221</v>
      </c>
      <c r="BM3406" s="468">
        <v>7.7756445839792816</v>
      </c>
    </row>
    <row r="3407" spans="12:65" x14ac:dyDescent="0.3">
      <c r="L3407" s="427">
        <v>6627348.9757000003</v>
      </c>
      <c r="BE3407" s="477">
        <v>3635396.3886936293</v>
      </c>
      <c r="BF3407" s="458">
        <v>5.1183401736142553E-2</v>
      </c>
      <c r="BG3407" s="477">
        <v>877472.93970804103</v>
      </c>
      <c r="BH3407" s="458">
        <v>3.5126534092074113E-2</v>
      </c>
      <c r="BI3407" s="477">
        <v>19639612.740174592</v>
      </c>
      <c r="BJ3407" s="458">
        <v>0.10003100784707675</v>
      </c>
      <c r="BK3407" s="477">
        <v>71426070.682766363</v>
      </c>
      <c r="BL3407" s="458">
        <v>0.27675844722077669</v>
      </c>
      <c r="BM3407" s="468">
        <v>8.3517017372466302</v>
      </c>
    </row>
    <row r="3408" spans="12:65" x14ac:dyDescent="0.3">
      <c r="L3408" s="427">
        <v>5450659.3718999997</v>
      </c>
      <c r="BE3408" s="477">
        <v>2584685.2860701829</v>
      </c>
      <c r="BF3408" s="458">
        <v>3.9805965118560271E-2</v>
      </c>
      <c r="BG3408" s="477">
        <v>2205355.073775115</v>
      </c>
      <c r="BH3408" s="458">
        <v>1.0823756318905975E-2</v>
      </c>
      <c r="BI3408" s="477">
        <v>18495531.828785289</v>
      </c>
      <c r="BJ3408" s="458">
        <v>0.1300765072190686</v>
      </c>
      <c r="BK3408" s="477">
        <v>86433967.883946255</v>
      </c>
      <c r="BL3408" s="458">
        <v>0.28212167498639884</v>
      </c>
      <c r="BM3408" s="468">
        <v>8.4047822028020409</v>
      </c>
    </row>
    <row r="3409" spans="12:65" x14ac:dyDescent="0.3">
      <c r="L3409" s="427">
        <v>-2083474.6691000001</v>
      </c>
      <c r="BE3409" s="477">
        <v>8680304.1460355725</v>
      </c>
      <c r="BF3409" s="458">
        <v>4.0382894800891744E-2</v>
      </c>
      <c r="BG3409" s="477">
        <v>8213752.8488319032</v>
      </c>
      <c r="BH3409" s="458">
        <v>9.3236844722256906E-2</v>
      </c>
      <c r="BI3409" s="477">
        <v>19591786.383239161</v>
      </c>
      <c r="BJ3409" s="458">
        <v>0.12081137131838959</v>
      </c>
      <c r="BK3409" s="477">
        <v>87684263.486713096</v>
      </c>
      <c r="BL3409" s="458">
        <v>0.26468968625255851</v>
      </c>
      <c r="BM3409" s="468">
        <v>10.984616791382841</v>
      </c>
    </row>
    <row r="3410" spans="12:65" x14ac:dyDescent="0.3">
      <c r="L3410" s="427">
        <v>-4356121.1913999999</v>
      </c>
      <c r="BE3410" s="477">
        <v>8900597.5519856308</v>
      </c>
      <c r="BF3410" s="458">
        <v>5.7957678730797157E-2</v>
      </c>
      <c r="BG3410" s="477">
        <v>6990493.9332515784</v>
      </c>
      <c r="BH3410" s="458">
        <v>5.3018730555849825E-2</v>
      </c>
      <c r="BI3410" s="477">
        <v>13253587.19487418</v>
      </c>
      <c r="BJ3410" s="458">
        <v>0.1221551790221751</v>
      </c>
      <c r="BK3410" s="477">
        <v>82401246.257570282</v>
      </c>
      <c r="BL3410" s="458">
        <v>0.25172620887277075</v>
      </c>
      <c r="BM3410" s="468">
        <v>5.8387063446634846</v>
      </c>
    </row>
    <row r="3411" spans="12:65" x14ac:dyDescent="0.3">
      <c r="L3411" s="427">
        <v>3172426.1346999998</v>
      </c>
      <c r="BE3411" s="477">
        <v>7752950.2080815211</v>
      </c>
      <c r="BF3411" s="458">
        <v>5.0485256722193839E-2</v>
      </c>
      <c r="BG3411" s="477">
        <v>10244085.575624263</v>
      </c>
      <c r="BH3411" s="458">
        <v>7.8330963253954389E-2</v>
      </c>
      <c r="BI3411" s="477">
        <v>10038808.605394155</v>
      </c>
      <c r="BJ3411" s="458">
        <v>0.1094248738631447</v>
      </c>
      <c r="BK3411" s="477">
        <v>85362485.114361316</v>
      </c>
      <c r="BL3411" s="458">
        <v>0.24760372987041412</v>
      </c>
      <c r="BM3411" s="468">
        <v>2.4821191201144766</v>
      </c>
    </row>
    <row r="3412" spans="12:65" x14ac:dyDescent="0.3">
      <c r="L3412" s="427">
        <v>-10942013.165200001</v>
      </c>
      <c r="BE3412" s="477">
        <v>4770755.4986366248</v>
      </c>
      <c r="BF3412" s="458">
        <v>4.8952393408341344E-2</v>
      </c>
      <c r="BG3412" s="477">
        <v>8453637.8929792996</v>
      </c>
      <c r="BH3412" s="458">
        <v>6.0288688843144644E-2</v>
      </c>
      <c r="BI3412" s="477">
        <v>18646761.585063253</v>
      </c>
      <c r="BJ3412" s="458">
        <v>0.13403204832417437</v>
      </c>
      <c r="BK3412" s="477">
        <v>96334771.25923045</v>
      </c>
      <c r="BL3412" s="458">
        <v>0.31065351834990595</v>
      </c>
      <c r="BM3412" s="468">
        <v>4.3419102431326735</v>
      </c>
    </row>
    <row r="3413" spans="12:65" x14ac:dyDescent="0.3">
      <c r="L3413" s="427">
        <v>22003136.819600001</v>
      </c>
      <c r="BE3413" s="477">
        <v>6393590.9612366799</v>
      </c>
      <c r="BF3413" s="458">
        <v>3.2034068510374825E-2</v>
      </c>
      <c r="BG3413" s="477">
        <v>9375482.33336078</v>
      </c>
      <c r="BH3413" s="458">
        <v>5.810021768917184E-2</v>
      </c>
      <c r="BI3413" s="477">
        <v>17579737.202591058</v>
      </c>
      <c r="BJ3413" s="458">
        <v>0.10270229166316414</v>
      </c>
      <c r="BK3413" s="477">
        <v>99212185.683303207</v>
      </c>
      <c r="BL3413" s="458">
        <v>0.25344931353912359</v>
      </c>
      <c r="BM3413" s="468">
        <v>8.3265826962241523</v>
      </c>
    </row>
    <row r="3414" spans="12:65" x14ac:dyDescent="0.3">
      <c r="L3414" s="427">
        <v>4131913.7017999999</v>
      </c>
      <c r="BE3414" s="477">
        <v>5790811.9582712967</v>
      </c>
      <c r="BF3414" s="458">
        <v>3.5972494352456641E-2</v>
      </c>
      <c r="BG3414" s="477">
        <v>8873849.5162059218</v>
      </c>
      <c r="BH3414" s="458">
        <v>3.0525821713197399E-2</v>
      </c>
      <c r="BI3414" s="477">
        <v>13633820.97337627</v>
      </c>
      <c r="BJ3414" s="458">
        <v>0.13330137012251719</v>
      </c>
      <c r="BK3414" s="477">
        <v>75268778.138828114</v>
      </c>
      <c r="BL3414" s="458">
        <v>0.25381085010946469</v>
      </c>
      <c r="BM3414" s="468">
        <v>3.5926357250131744</v>
      </c>
    </row>
    <row r="3415" spans="12:65" x14ac:dyDescent="0.3">
      <c r="L3415" s="427">
        <v>4773596.0124000004</v>
      </c>
      <c r="BE3415" s="477">
        <v>6099498.0408716928</v>
      </c>
      <c r="BF3415" s="458">
        <v>4.3496631438628475E-2</v>
      </c>
      <c r="BG3415" s="477">
        <v>6393919.7747865822</v>
      </c>
      <c r="BH3415" s="458">
        <v>5.0612446344297402E-2</v>
      </c>
      <c r="BI3415" s="477">
        <v>10690860.721055485</v>
      </c>
      <c r="BJ3415" s="458">
        <v>0.10180070560547128</v>
      </c>
      <c r="BK3415" s="477">
        <v>95367829.661846057</v>
      </c>
      <c r="BL3415" s="458">
        <v>0.28397863526848122</v>
      </c>
      <c r="BM3415" s="468">
        <v>12.924498140296873</v>
      </c>
    </row>
    <row r="3416" spans="12:65" x14ac:dyDescent="0.3">
      <c r="L3416" s="427">
        <v>12355554.9671</v>
      </c>
      <c r="BE3416" s="477">
        <v>3874889.4295224231</v>
      </c>
      <c r="BF3416" s="458">
        <v>4.0462178121819958E-2</v>
      </c>
      <c r="BG3416" s="477">
        <v>9545680.561912246</v>
      </c>
      <c r="BH3416" s="458">
        <v>5.5787868685984066E-2</v>
      </c>
      <c r="BI3416" s="477">
        <v>15994374.505018841</v>
      </c>
      <c r="BJ3416" s="458">
        <v>9.274048972068516E-2</v>
      </c>
      <c r="BK3416" s="477">
        <v>76032417.968299836</v>
      </c>
      <c r="BL3416" s="458">
        <v>0.23803798790816311</v>
      </c>
      <c r="BM3416" s="468">
        <v>6.5458018969070793</v>
      </c>
    </row>
    <row r="3417" spans="12:65" x14ac:dyDescent="0.3">
      <c r="L3417" s="427">
        <v>8398867.6235000007</v>
      </c>
      <c r="BE3417" s="477">
        <v>3316736.3654814321</v>
      </c>
      <c r="BF3417" s="458">
        <v>2.7438236218667145E-2</v>
      </c>
      <c r="BG3417" s="477">
        <v>6131778.6311478298</v>
      </c>
      <c r="BH3417" s="458">
        <v>7.1195645307781552E-2</v>
      </c>
      <c r="BI3417" s="477">
        <v>16230314.364688147</v>
      </c>
      <c r="BJ3417" s="458">
        <v>0.12692123744646699</v>
      </c>
      <c r="BK3417" s="477">
        <v>99697485.826484084</v>
      </c>
      <c r="BL3417" s="458">
        <v>0.27344270819707361</v>
      </c>
      <c r="BM3417" s="468">
        <v>12.100380585788383</v>
      </c>
    </row>
    <row r="3418" spans="12:65" x14ac:dyDescent="0.3">
      <c r="L3418" s="427">
        <v>-6684959.7325999998</v>
      </c>
      <c r="BE3418" s="477">
        <v>3716137.4000992426</v>
      </c>
      <c r="BF3418" s="458">
        <v>4.6702652684388779E-2</v>
      </c>
      <c r="BG3418" s="477">
        <v>369131.12197257904</v>
      </c>
      <c r="BH3418" s="458">
        <v>5.0458688251220352E-2</v>
      </c>
      <c r="BI3418" s="477">
        <v>18688728.135219198</v>
      </c>
      <c r="BJ3418" s="458">
        <v>9.3491568123261759E-2</v>
      </c>
      <c r="BK3418" s="477">
        <v>87075913.367433771</v>
      </c>
      <c r="BL3418" s="458">
        <v>0.26308618901245473</v>
      </c>
      <c r="BM3418" s="468">
        <v>4.7680898533598537</v>
      </c>
    </row>
    <row r="3419" spans="12:65" x14ac:dyDescent="0.3">
      <c r="L3419" s="427">
        <v>22414475.3838</v>
      </c>
      <c r="BE3419" s="477">
        <v>4614786.0512355771</v>
      </c>
      <c r="BF3419" s="458">
        <v>4.0197763341887072E-2</v>
      </c>
      <c r="BG3419" s="477">
        <v>10855913.483629802</v>
      </c>
      <c r="BH3419" s="458">
        <v>5.8640247685849411E-2</v>
      </c>
      <c r="BI3419" s="477">
        <v>15392691.797179673</v>
      </c>
      <c r="BJ3419" s="458">
        <v>7.9343583301430876E-2</v>
      </c>
      <c r="BK3419" s="477">
        <v>84132109.931511655</v>
      </c>
      <c r="BL3419" s="458">
        <v>0.27399739269860279</v>
      </c>
      <c r="BM3419" s="468">
        <v>2.3480588837681422</v>
      </c>
    </row>
    <row r="3420" spans="12:65" x14ac:dyDescent="0.3">
      <c r="L3420" s="427">
        <v>4175727.8716000002</v>
      </c>
      <c r="BE3420" s="477">
        <v>4124019.2419669256</v>
      </c>
      <c r="BF3420" s="458">
        <v>1.7375188060281932E-2</v>
      </c>
      <c r="BG3420" s="477">
        <v>6698412.1358779473</v>
      </c>
      <c r="BH3420" s="458">
        <v>4.4690683183717939E-2</v>
      </c>
      <c r="BI3420" s="477">
        <v>18604052.163874492</v>
      </c>
      <c r="BJ3420" s="458">
        <v>0.11368854518481708</v>
      </c>
      <c r="BK3420" s="477">
        <v>90184792.6060718</v>
      </c>
      <c r="BL3420" s="458">
        <v>0.26970736713775101</v>
      </c>
      <c r="BM3420" s="468">
        <v>8.6865621852195538</v>
      </c>
    </row>
    <row r="3421" spans="12:65" x14ac:dyDescent="0.3">
      <c r="L3421" s="427">
        <v>27414164.1098</v>
      </c>
      <c r="BE3421" s="477">
        <v>4841470.3592599528</v>
      </c>
      <c r="BF3421" s="458">
        <v>3.3716480480010302E-2</v>
      </c>
      <c r="BG3421" s="477">
        <v>13473370.491529996</v>
      </c>
      <c r="BH3421" s="458">
        <v>6.7969294131317248E-2</v>
      </c>
      <c r="BI3421" s="477">
        <v>13843781.682131577</v>
      </c>
      <c r="BJ3421" s="458">
        <v>9.6295386176379338E-2</v>
      </c>
      <c r="BK3421" s="477">
        <v>85841528.982371464</v>
      </c>
      <c r="BL3421" s="458">
        <v>0.26766266508619108</v>
      </c>
      <c r="BM3421" s="468">
        <v>6.3788209795778119</v>
      </c>
    </row>
    <row r="3422" spans="12:65" x14ac:dyDescent="0.3">
      <c r="L3422" s="427">
        <v>18163402.977299999</v>
      </c>
      <c r="BE3422" s="477">
        <v>8404375.0825955626</v>
      </c>
      <c r="BF3422" s="458">
        <v>3.7532225800952279E-2</v>
      </c>
      <c r="BG3422" s="477">
        <v>11196596.06491344</v>
      </c>
      <c r="BH3422" s="458">
        <v>5.700386398460866E-2</v>
      </c>
      <c r="BI3422" s="477">
        <v>19580656.441663641</v>
      </c>
      <c r="BJ3422" s="458">
        <v>0.10024244899708701</v>
      </c>
      <c r="BK3422" s="477">
        <v>91891301.218159273</v>
      </c>
      <c r="BL3422" s="458">
        <v>0.2596245277786482</v>
      </c>
      <c r="BM3422" s="468">
        <v>3.3559086826928146</v>
      </c>
    </row>
    <row r="3423" spans="12:65" x14ac:dyDescent="0.3">
      <c r="L3423" s="427">
        <v>2013833.2768999999</v>
      </c>
      <c r="BE3423" s="477">
        <v>5218184.4098239243</v>
      </c>
      <c r="BF3423" s="458">
        <v>3.0100523303596693E-2</v>
      </c>
      <c r="BG3423" s="477">
        <v>17302872.548764087</v>
      </c>
      <c r="BH3423" s="458">
        <v>8.7745098083537476E-2</v>
      </c>
      <c r="BI3423" s="477">
        <v>27300516.766057964</v>
      </c>
      <c r="BJ3423" s="458">
        <v>0.11565181222148446</v>
      </c>
      <c r="BK3423" s="477">
        <v>99384546.564543188</v>
      </c>
      <c r="BL3423" s="458">
        <v>0.27501476890479126</v>
      </c>
      <c r="BM3423" s="468">
        <v>10.121085272764251</v>
      </c>
    </row>
    <row r="3424" spans="12:65" x14ac:dyDescent="0.3">
      <c r="L3424" s="427">
        <v>7015206.4270000001</v>
      </c>
      <c r="BE3424" s="477">
        <v>6621508.554794115</v>
      </c>
      <c r="BF3424" s="458">
        <v>4.2332550585203021E-2</v>
      </c>
      <c r="BG3424" s="477">
        <v>11022753.98541268</v>
      </c>
      <c r="BH3424" s="458">
        <v>6.4708171151109939E-2</v>
      </c>
      <c r="BI3424" s="477">
        <v>18920692.1912174</v>
      </c>
      <c r="BJ3424" s="458">
        <v>0.11548004178548932</v>
      </c>
      <c r="BK3424" s="477">
        <v>81207365.204752028</v>
      </c>
      <c r="BL3424" s="458">
        <v>0.26876631635053227</v>
      </c>
      <c r="BM3424" s="468">
        <v>8.0554073512538036</v>
      </c>
    </row>
    <row r="3425" spans="12:65" x14ac:dyDescent="0.3">
      <c r="L3425" s="427">
        <v>3187257.6176</v>
      </c>
      <c r="BE3425" s="477">
        <v>3448942.2052327851</v>
      </c>
      <c r="BF3425" s="458">
        <v>3.156792427141597E-2</v>
      </c>
      <c r="BG3425" s="477">
        <v>10735360.943651132</v>
      </c>
      <c r="BH3425" s="458">
        <v>4.4823456852880472E-2</v>
      </c>
      <c r="BI3425" s="477">
        <v>22019343.744889077</v>
      </c>
      <c r="BJ3425" s="458">
        <v>0.10873375896990134</v>
      </c>
      <c r="BK3425" s="477">
        <v>85054585.661924511</v>
      </c>
      <c r="BL3425" s="458">
        <v>0.25521114931001754</v>
      </c>
      <c r="BM3425" s="468">
        <v>8.3089593125555741</v>
      </c>
    </row>
    <row r="3426" spans="12:65" x14ac:dyDescent="0.3">
      <c r="L3426" s="427">
        <v>18530796.706700001</v>
      </c>
      <c r="BE3426" s="477">
        <v>5974543.0565264197</v>
      </c>
      <c r="BF3426" s="458">
        <v>3.2514258251367334E-2</v>
      </c>
      <c r="BG3426" s="477">
        <v>3777893.7653161925</v>
      </c>
      <c r="BH3426" s="458">
        <v>7.6945077393786532E-2</v>
      </c>
      <c r="BI3426" s="477">
        <v>16694338.455201397</v>
      </c>
      <c r="BJ3426" s="458">
        <v>0.14650974008109441</v>
      </c>
      <c r="BK3426" s="477">
        <v>91319538.058674037</v>
      </c>
      <c r="BL3426" s="458">
        <v>0.2739587866730564</v>
      </c>
      <c r="BM3426" s="468">
        <v>14.096844448980338</v>
      </c>
    </row>
    <row r="3427" spans="12:65" x14ac:dyDescent="0.3">
      <c r="L3427" s="427">
        <v>3167954.9095999999</v>
      </c>
      <c r="BE3427" s="477">
        <v>5740085.8930632463</v>
      </c>
      <c r="BF3427" s="458">
        <v>4.3413646407387541E-2</v>
      </c>
      <c r="BG3427" s="477">
        <v>12299353.739513338</v>
      </c>
      <c r="BH3427" s="458">
        <v>5.3716381503197352E-2</v>
      </c>
      <c r="BI3427" s="477">
        <v>17984425.638934005</v>
      </c>
      <c r="BJ3427" s="458">
        <v>0.10549188217459315</v>
      </c>
      <c r="BK3427" s="477">
        <v>87868180.515852123</v>
      </c>
      <c r="BL3427" s="458">
        <v>0.26664382754467186</v>
      </c>
      <c r="BM3427" s="468">
        <v>8.3608178732751384</v>
      </c>
    </row>
    <row r="3428" spans="12:65" x14ac:dyDescent="0.3">
      <c r="L3428" s="427">
        <v>16815574.609700002</v>
      </c>
      <c r="BE3428" s="477">
        <v>3657238.4033631864</v>
      </c>
      <c r="BF3428" s="458">
        <v>4.0646080116598204E-2</v>
      </c>
      <c r="BG3428" s="477">
        <v>9015772.2296873908</v>
      </c>
      <c r="BH3428" s="458">
        <v>6.6656624635843764E-2</v>
      </c>
      <c r="BI3428" s="477">
        <v>26751485.692312464</v>
      </c>
      <c r="BJ3428" s="458">
        <v>0.12947105004889869</v>
      </c>
      <c r="BK3428" s="477">
        <v>88476363.422091857</v>
      </c>
      <c r="BL3428" s="458">
        <v>0.25423570670664963</v>
      </c>
      <c r="BM3428" s="468">
        <v>9.8139841749841548</v>
      </c>
    </row>
    <row r="3429" spans="12:65" x14ac:dyDescent="0.3">
      <c r="L3429" s="427">
        <v>8165283.6881999997</v>
      </c>
      <c r="BE3429" s="477">
        <v>992420.36896206101</v>
      </c>
      <c r="BF3429" s="458">
        <v>2.482203189316623E-2</v>
      </c>
      <c r="BG3429" s="477">
        <v>3090207.4408469116</v>
      </c>
      <c r="BH3429" s="458">
        <v>7.6102172214545183E-2</v>
      </c>
      <c r="BI3429" s="477">
        <v>11409103.306927145</v>
      </c>
      <c r="BJ3429" s="458">
        <v>0.10391399831844872</v>
      </c>
      <c r="BK3429" s="477">
        <v>95677014.434679016</v>
      </c>
      <c r="BL3429" s="458">
        <v>0.29249561263670376</v>
      </c>
      <c r="BM3429" s="468">
        <v>9.0825688057112384</v>
      </c>
    </row>
    <row r="3430" spans="12:65" x14ac:dyDescent="0.3">
      <c r="L3430" s="427">
        <v>-1227954.2760000001</v>
      </c>
      <c r="BE3430" s="477">
        <v>1941193.7876009864</v>
      </c>
      <c r="BF3430" s="458">
        <v>3.3403622097110341E-2</v>
      </c>
      <c r="BG3430" s="477">
        <v>5920437.9544076789</v>
      </c>
      <c r="BH3430" s="458">
        <v>6.3554146367628794E-2</v>
      </c>
      <c r="BI3430" s="477">
        <v>19035212.624756023</v>
      </c>
      <c r="BJ3430" s="458">
        <v>0.10493972844543098</v>
      </c>
      <c r="BK3430" s="477">
        <v>107624136.55168161</v>
      </c>
      <c r="BL3430" s="458">
        <v>0.28374227431845345</v>
      </c>
      <c r="BM3430" s="468">
        <v>9.2306599392915114</v>
      </c>
    </row>
    <row r="3431" spans="12:65" x14ac:dyDescent="0.3">
      <c r="L3431" s="427">
        <v>-1618806.1255000001</v>
      </c>
      <c r="BE3431" s="477">
        <v>6319280.6361707449</v>
      </c>
      <c r="BF3431" s="458">
        <v>3.9195091732302734E-2</v>
      </c>
      <c r="BG3431" s="477">
        <v>9807441.4667873271</v>
      </c>
      <c r="BH3431" s="458">
        <v>0.10173877510376506</v>
      </c>
      <c r="BI3431" s="477">
        <v>22622715.57851221</v>
      </c>
      <c r="BJ3431" s="458">
        <v>0.11438970370605284</v>
      </c>
      <c r="BK3431" s="477">
        <v>95010481.800710753</v>
      </c>
      <c r="BL3431" s="458">
        <v>0.27184383016046754</v>
      </c>
      <c r="BM3431" s="468">
        <v>15.205019673172764</v>
      </c>
    </row>
    <row r="3432" spans="12:65" x14ac:dyDescent="0.3">
      <c r="L3432" s="427">
        <v>16137518.7709</v>
      </c>
      <c r="BE3432" s="477">
        <v>5646507.1965082688</v>
      </c>
      <c r="BF3432" s="458">
        <v>3.0039428876857732E-2</v>
      </c>
      <c r="BG3432" s="477">
        <v>9537283.2492783796</v>
      </c>
      <c r="BH3432" s="458">
        <v>7.6038974411548388E-2</v>
      </c>
      <c r="BI3432" s="477">
        <v>23934965.635559753</v>
      </c>
      <c r="BJ3432" s="458">
        <v>0.10603741828632729</v>
      </c>
      <c r="BK3432" s="477">
        <v>77434943.896388382</v>
      </c>
      <c r="BL3432" s="458">
        <v>0.27096366646389436</v>
      </c>
      <c r="BM3432" s="468">
        <v>10.22434633203993</v>
      </c>
    </row>
    <row r="3433" spans="12:65" x14ac:dyDescent="0.3">
      <c r="L3433" s="427">
        <v>6662563.9749999996</v>
      </c>
      <c r="BE3433" s="477">
        <v>1632088.3830189866</v>
      </c>
      <c r="BF3433" s="458">
        <v>2.0962091731745458E-2</v>
      </c>
      <c r="BG3433" s="477">
        <v>11545079.070446029</v>
      </c>
      <c r="BH3433" s="458">
        <v>6.1710667788997142E-2</v>
      </c>
      <c r="BI3433" s="477">
        <v>14667650.475750379</v>
      </c>
      <c r="BJ3433" s="458">
        <v>0.11468652163234982</v>
      </c>
      <c r="BK3433" s="477">
        <v>95874483.264010131</v>
      </c>
      <c r="BL3433" s="458">
        <v>0.26838255217017082</v>
      </c>
      <c r="BM3433" s="468">
        <v>1.5146858594429267</v>
      </c>
    </row>
    <row r="3434" spans="12:65" x14ac:dyDescent="0.3">
      <c r="L3434" s="427">
        <v>5073374.2297</v>
      </c>
      <c r="BE3434" s="477">
        <v>4836868.8033051565</v>
      </c>
      <c r="BF3434" s="458">
        <v>3.4108367329986455E-2</v>
      </c>
      <c r="BG3434" s="477">
        <v>11250585.589105783</v>
      </c>
      <c r="BH3434" s="458">
        <v>5.4809084175033496E-2</v>
      </c>
      <c r="BI3434" s="477">
        <v>11656509.432401501</v>
      </c>
      <c r="BJ3434" s="458">
        <v>0.14354439807160557</v>
      </c>
      <c r="BK3434" s="477">
        <v>92539830.338370144</v>
      </c>
      <c r="BL3434" s="458">
        <v>0.29586014731540211</v>
      </c>
      <c r="BM3434" s="468">
        <v>9.8615581098038501</v>
      </c>
    </row>
    <row r="3435" spans="12:65" x14ac:dyDescent="0.3">
      <c r="L3435" s="427">
        <v>5456238.3250000002</v>
      </c>
      <c r="BE3435" s="477">
        <v>4809826.0045302482</v>
      </c>
      <c r="BF3435" s="458">
        <v>5.0785509298657994E-2</v>
      </c>
      <c r="BG3435" s="477">
        <v>3720965.4770833077</v>
      </c>
      <c r="BH3435" s="458">
        <v>4.2262585715543644E-2</v>
      </c>
      <c r="BI3435" s="477">
        <v>21151520.835594505</v>
      </c>
      <c r="BJ3435" s="458">
        <v>0.1068775373372286</v>
      </c>
      <c r="BK3435" s="477">
        <v>96421638.212089688</v>
      </c>
      <c r="BL3435" s="458">
        <v>0.25368679722247833</v>
      </c>
      <c r="BM3435" s="468">
        <v>7.4438368977822407</v>
      </c>
    </row>
    <row r="3436" spans="12:65" x14ac:dyDescent="0.3">
      <c r="L3436" s="427">
        <v>-1986441.3814000001</v>
      </c>
      <c r="BE3436" s="477">
        <v>9970594.2690766193</v>
      </c>
      <c r="BF3436" s="458">
        <v>4.7642459270483384E-2</v>
      </c>
      <c r="BG3436" s="477">
        <v>4862841.6647507828</v>
      </c>
      <c r="BH3436" s="458">
        <v>4.2406329441153634E-2</v>
      </c>
      <c r="BI3436" s="477">
        <v>16433044.343419008</v>
      </c>
      <c r="BJ3436" s="458">
        <v>8.1057390033884458E-2</v>
      </c>
      <c r="BK3436" s="477">
        <v>81300825.479328305</v>
      </c>
      <c r="BL3436" s="458">
        <v>0.27771984118635418</v>
      </c>
      <c r="BM3436" s="468">
        <v>11.731647905479617</v>
      </c>
    </row>
    <row r="3437" spans="12:65" x14ac:dyDescent="0.3">
      <c r="L3437" s="427">
        <v>11859449.224400001</v>
      </c>
      <c r="BE3437" s="477">
        <v>3981283.1622873889</v>
      </c>
      <c r="BF3437" s="458">
        <v>2.760754791295672E-2</v>
      </c>
      <c r="BG3437" s="477">
        <v>11679088.08613041</v>
      </c>
      <c r="BH3437" s="458">
        <v>9.0150531196870443E-2</v>
      </c>
      <c r="BI3437" s="477">
        <v>17280132.063162986</v>
      </c>
      <c r="BJ3437" s="458">
        <v>0.14493485679612284</v>
      </c>
      <c r="BK3437" s="477">
        <v>97280409.477796584</v>
      </c>
      <c r="BL3437" s="458">
        <v>0.28594661821155132</v>
      </c>
      <c r="BM3437" s="468">
        <v>1.3061903877948389</v>
      </c>
    </row>
    <row r="3438" spans="12:65" x14ac:dyDescent="0.3">
      <c r="L3438" s="427">
        <v>-2043273.0533</v>
      </c>
      <c r="BE3438" s="477">
        <v>3207133.5181993232</v>
      </c>
      <c r="BF3438" s="458">
        <v>3.2967142880640177E-2</v>
      </c>
      <c r="BG3438" s="477">
        <v>11708051.137587501</v>
      </c>
      <c r="BH3438" s="458">
        <v>8.3319367492966423E-2</v>
      </c>
      <c r="BI3438" s="477">
        <v>19748773.517053027</v>
      </c>
      <c r="BJ3438" s="458">
        <v>0.10278964093810705</v>
      </c>
      <c r="BK3438" s="477">
        <v>95277713.988389641</v>
      </c>
      <c r="BL3438" s="458">
        <v>0.27944915884842825</v>
      </c>
      <c r="BM3438" s="468">
        <v>9.1261039288052412</v>
      </c>
    </row>
    <row r="3439" spans="12:65" x14ac:dyDescent="0.3">
      <c r="L3439" s="427">
        <v>14035952.5677</v>
      </c>
      <c r="BE3439" s="477">
        <v>4786245.5413222034</v>
      </c>
      <c r="BF3439" s="458">
        <v>3.0641515676503639E-2</v>
      </c>
      <c r="BG3439" s="477">
        <v>11045395.472756688</v>
      </c>
      <c r="BH3439" s="458">
        <v>0.10191888994390164</v>
      </c>
      <c r="BI3439" s="477">
        <v>21252457.037337545</v>
      </c>
      <c r="BJ3439" s="458">
        <v>0.12846949407966801</v>
      </c>
      <c r="BK3439" s="477">
        <v>77844932.549991608</v>
      </c>
      <c r="BL3439" s="458">
        <v>0.27598420038980875</v>
      </c>
      <c r="BM3439" s="468">
        <v>6.7828353529039145</v>
      </c>
    </row>
    <row r="3440" spans="12:65" x14ac:dyDescent="0.3">
      <c r="L3440" s="427">
        <v>10445255.608899999</v>
      </c>
      <c r="BE3440" s="477">
        <v>8633687.4005822707</v>
      </c>
      <c r="BF3440" s="458">
        <v>3.7958529260192275E-2</v>
      </c>
      <c r="BG3440" s="477">
        <v>9855099.6869186386</v>
      </c>
      <c r="BH3440" s="458">
        <v>8.0140476494353186E-2</v>
      </c>
      <c r="BI3440" s="477">
        <v>20913432.197459187</v>
      </c>
      <c r="BJ3440" s="458">
        <v>0.10558944477480114</v>
      </c>
      <c r="BK3440" s="477">
        <v>85437466.048825994</v>
      </c>
      <c r="BL3440" s="458">
        <v>0.25826664546060485</v>
      </c>
      <c r="BM3440" s="468">
        <v>7.2794657821480531</v>
      </c>
    </row>
    <row r="3441" spans="12:65" x14ac:dyDescent="0.3">
      <c r="L3441" s="427">
        <v>18439998.443300001</v>
      </c>
      <c r="BE3441" s="477">
        <v>5044735.983284696</v>
      </c>
      <c r="BF3441" s="458">
        <v>8.0385873115691009E-2</v>
      </c>
      <c r="BG3441" s="477">
        <v>12803804.093944306</v>
      </c>
      <c r="BH3441" s="458">
        <v>4.8168788458748502E-2</v>
      </c>
      <c r="BI3441" s="477">
        <v>13183408.196368717</v>
      </c>
      <c r="BJ3441" s="458">
        <v>0.10861059814710505</v>
      </c>
      <c r="BK3441" s="477">
        <v>96260833.761549726</v>
      </c>
      <c r="BL3441" s="458">
        <v>0.27389037275460781</v>
      </c>
      <c r="BM3441" s="468">
        <v>5.6720305061043117</v>
      </c>
    </row>
    <row r="3442" spans="12:65" x14ac:dyDescent="0.3">
      <c r="L3442" s="427">
        <v>-968783.49690000003</v>
      </c>
      <c r="BE3442" s="477">
        <v>-551760.98060206173</v>
      </c>
      <c r="BF3442" s="458">
        <v>2.0401472976021795E-2</v>
      </c>
      <c r="BG3442" s="477">
        <v>4901534.2425468648</v>
      </c>
      <c r="BH3442" s="458">
        <v>7.6833777552523186E-2</v>
      </c>
      <c r="BI3442" s="477">
        <v>20132979.943606574</v>
      </c>
      <c r="BJ3442" s="458">
        <v>0.11436751381134935</v>
      </c>
      <c r="BK3442" s="477">
        <v>101025917.60083652</v>
      </c>
      <c r="BL3442" s="458">
        <v>0.25852614667847695</v>
      </c>
      <c r="BM3442" s="468">
        <v>9.1832709070828109</v>
      </c>
    </row>
    <row r="3443" spans="12:65" x14ac:dyDescent="0.3">
      <c r="L3443" s="427">
        <v>12635319.944499999</v>
      </c>
      <c r="BE3443" s="477">
        <v>4897992.4008117868</v>
      </c>
      <c r="BF3443" s="458">
        <v>4.9021043057030367E-2</v>
      </c>
      <c r="BG3443" s="477">
        <v>14894022.654860176</v>
      </c>
      <c r="BH3443" s="458">
        <v>8.7162508958863683E-2</v>
      </c>
      <c r="BI3443" s="477">
        <v>15819457.709835371</v>
      </c>
      <c r="BJ3443" s="458">
        <v>0.122176005624552</v>
      </c>
      <c r="BK3443" s="477">
        <v>76661864.248853102</v>
      </c>
      <c r="BL3443" s="458">
        <v>0.26487327752709322</v>
      </c>
      <c r="BM3443" s="468">
        <v>4.672450932763156</v>
      </c>
    </row>
    <row r="3444" spans="12:65" x14ac:dyDescent="0.3">
      <c r="L3444" s="427">
        <v>14125867.9958</v>
      </c>
      <c r="BE3444" s="477">
        <v>6372333.7046862217</v>
      </c>
      <c r="BF3444" s="458">
        <v>3.436811678549101E-2</v>
      </c>
      <c r="BG3444" s="477">
        <v>2117824.5511429678</v>
      </c>
      <c r="BH3444" s="458">
        <v>6.3736290258242123E-2</v>
      </c>
      <c r="BI3444" s="477">
        <v>22056346.193713319</v>
      </c>
      <c r="BJ3444" s="458">
        <v>0.12663236694325097</v>
      </c>
      <c r="BK3444" s="477">
        <v>81500501.804739386</v>
      </c>
      <c r="BL3444" s="458">
        <v>0.28201476691206384</v>
      </c>
      <c r="BM3444" s="468">
        <v>6.2869886945247169</v>
      </c>
    </row>
    <row r="3445" spans="12:65" x14ac:dyDescent="0.3">
      <c r="L3445" s="427">
        <v>7823592.1223999998</v>
      </c>
      <c r="BE3445" s="477">
        <v>4272514.7392765256</v>
      </c>
      <c r="BF3445" s="458">
        <v>4.8600000092505091E-2</v>
      </c>
      <c r="BG3445" s="477">
        <v>4865242.8767792499</v>
      </c>
      <c r="BH3445" s="458">
        <v>4.866422082405597E-2</v>
      </c>
      <c r="BI3445" s="477">
        <v>20820133.86340009</v>
      </c>
      <c r="BJ3445" s="458">
        <v>0.10071235060422312</v>
      </c>
      <c r="BK3445" s="477">
        <v>109188186.59251235</v>
      </c>
      <c r="BL3445" s="458">
        <v>0.27096712884556329</v>
      </c>
      <c r="BM3445" s="468">
        <v>4.7697271357170923</v>
      </c>
    </row>
    <row r="3446" spans="12:65" x14ac:dyDescent="0.3">
      <c r="L3446" s="427">
        <v>20988731.4419</v>
      </c>
      <c r="BE3446" s="477">
        <v>8333167.2467577597</v>
      </c>
      <c r="BF3446" s="458">
        <v>3.5731423335681356E-2</v>
      </c>
      <c r="BG3446" s="477">
        <v>4936051.5819841158</v>
      </c>
      <c r="BH3446" s="458">
        <v>5.6651651061590202E-2</v>
      </c>
      <c r="BI3446" s="477">
        <v>10124878.098457118</v>
      </c>
      <c r="BJ3446" s="458">
        <v>9.1277079592112953E-2</v>
      </c>
      <c r="BK3446" s="477">
        <v>86074220.73505038</v>
      </c>
      <c r="BL3446" s="458">
        <v>0.2652508579210533</v>
      </c>
      <c r="BM3446" s="468">
        <v>3.559450847749515</v>
      </c>
    </row>
    <row r="3447" spans="12:65" x14ac:dyDescent="0.3">
      <c r="L3447" s="427">
        <v>12613504.737400001</v>
      </c>
      <c r="BE3447" s="477">
        <v>2903765.7543311501</v>
      </c>
      <c r="BF3447" s="458">
        <v>5.1011782304979159E-2</v>
      </c>
      <c r="BG3447" s="477">
        <v>3540675.5452899612</v>
      </c>
      <c r="BH3447" s="458">
        <v>5.2083931311142528E-2</v>
      </c>
      <c r="BI3447" s="477">
        <v>7537575.8215815434</v>
      </c>
      <c r="BJ3447" s="458">
        <v>9.5295011719406242E-2</v>
      </c>
      <c r="BK3447" s="477">
        <v>90497631.390008345</v>
      </c>
      <c r="BL3447" s="458">
        <v>0.27707028745711559</v>
      </c>
      <c r="BM3447" s="468">
        <v>4.0439360563934246</v>
      </c>
    </row>
    <row r="3448" spans="12:65" x14ac:dyDescent="0.3">
      <c r="L3448" s="427">
        <v>9893201.0004999992</v>
      </c>
      <c r="BE3448" s="477">
        <v>6258972.3364191148</v>
      </c>
      <c r="BF3448" s="458">
        <v>4.6520502978845135E-2</v>
      </c>
      <c r="BG3448" s="477">
        <v>7278394.8102312936</v>
      </c>
      <c r="BH3448" s="458">
        <v>7.4166822060402371E-2</v>
      </c>
      <c r="BI3448" s="477">
        <v>15274054.153759429</v>
      </c>
      <c r="BJ3448" s="458">
        <v>9.839957969471036E-2</v>
      </c>
      <c r="BK3448" s="477">
        <v>103370346.19901523</v>
      </c>
      <c r="BL3448" s="458">
        <v>0.28194208082186734</v>
      </c>
      <c r="BM3448" s="468">
        <v>2.7963199765666422</v>
      </c>
    </row>
    <row r="3449" spans="12:65" x14ac:dyDescent="0.3">
      <c r="L3449" s="427">
        <v>9643936.4927999992</v>
      </c>
      <c r="BE3449" s="477">
        <v>5914652.775936137</v>
      </c>
      <c r="BF3449" s="458">
        <v>3.5555576120093857E-2</v>
      </c>
      <c r="BG3449" s="477">
        <v>16364988.591036374</v>
      </c>
      <c r="BH3449" s="458">
        <v>9.5535416381085758E-2</v>
      </c>
      <c r="BI3449" s="477">
        <v>20421389.721084744</v>
      </c>
      <c r="BJ3449" s="458">
        <v>9.7246066017175004E-2</v>
      </c>
      <c r="BK3449" s="477">
        <v>99041707.640023306</v>
      </c>
      <c r="BL3449" s="458">
        <v>0.27823609167615193</v>
      </c>
      <c r="BM3449" s="468">
        <v>7.0145467646161723</v>
      </c>
    </row>
    <row r="3450" spans="12:65" x14ac:dyDescent="0.3">
      <c r="L3450" s="427">
        <v>-4384906.9901999999</v>
      </c>
      <c r="BE3450" s="477">
        <v>7013080.6737303641</v>
      </c>
      <c r="BF3450" s="458">
        <v>6.0737845919702771E-2</v>
      </c>
      <c r="BG3450" s="477">
        <v>11537436.157664536</v>
      </c>
      <c r="BH3450" s="458">
        <v>6.8416175868887041E-2</v>
      </c>
      <c r="BI3450" s="477">
        <v>16706881.740770731</v>
      </c>
      <c r="BJ3450" s="458">
        <v>0.11647165937095805</v>
      </c>
      <c r="BK3450" s="477">
        <v>108127250.75088812</v>
      </c>
      <c r="BL3450" s="458">
        <v>0.28837702151828126</v>
      </c>
      <c r="BM3450" s="468">
        <v>4.6190506406164005</v>
      </c>
    </row>
    <row r="3451" spans="12:65" x14ac:dyDescent="0.3">
      <c r="L3451" s="427">
        <v>3611986.0043000001</v>
      </c>
      <c r="BE3451" s="477">
        <v>7634869.7712604273</v>
      </c>
      <c r="BF3451" s="458">
        <v>2.5605963287360645E-2</v>
      </c>
      <c r="BG3451" s="477">
        <v>11578194.82195691</v>
      </c>
      <c r="BH3451" s="458">
        <v>5.2725152506406525E-2</v>
      </c>
      <c r="BI3451" s="477">
        <v>13616252.544976637</v>
      </c>
      <c r="BJ3451" s="458">
        <v>0.10290680477318936</v>
      </c>
      <c r="BK3451" s="477">
        <v>81322852.915132284</v>
      </c>
      <c r="BL3451" s="458">
        <v>0.26979894575779562</v>
      </c>
      <c r="BM3451" s="468">
        <v>9.4431257214233266</v>
      </c>
    </row>
    <row r="3452" spans="12:65" x14ac:dyDescent="0.3">
      <c r="L3452" s="427">
        <v>16365416.3441</v>
      </c>
      <c r="BE3452" s="477">
        <v>3440991.3756050267</v>
      </c>
      <c r="BF3452" s="458">
        <v>2.2163765743800967E-2</v>
      </c>
      <c r="BG3452" s="477">
        <v>10885792.645551013</v>
      </c>
      <c r="BH3452" s="458">
        <v>7.0905589094984123E-2</v>
      </c>
      <c r="BI3452" s="477">
        <v>20399822.129508119</v>
      </c>
      <c r="BJ3452" s="458">
        <v>0.1163691088412786</v>
      </c>
      <c r="BK3452" s="477">
        <v>90812256.024434924</v>
      </c>
      <c r="BL3452" s="458">
        <v>0.26327237197333297</v>
      </c>
      <c r="BM3452" s="468">
        <v>9.3807976809079889</v>
      </c>
    </row>
    <row r="3453" spans="12:65" x14ac:dyDescent="0.3">
      <c r="L3453" s="427">
        <v>9122129.0397999994</v>
      </c>
      <c r="BE3453" s="477">
        <v>7633274.7738045203</v>
      </c>
      <c r="BF3453" s="458">
        <v>6.7709427298512814E-2</v>
      </c>
      <c r="BG3453" s="477">
        <v>8572720.8975666631</v>
      </c>
      <c r="BH3453" s="458">
        <v>7.2023470184867877E-2</v>
      </c>
      <c r="BI3453" s="477">
        <v>14413703.205112888</v>
      </c>
      <c r="BJ3453" s="458">
        <v>7.6328963644268111E-2</v>
      </c>
      <c r="BK3453" s="477">
        <v>79374280.174900338</v>
      </c>
      <c r="BL3453" s="458">
        <v>0.27442697990228804</v>
      </c>
      <c r="BM3453" s="468">
        <v>5.7209114173687619</v>
      </c>
    </row>
    <row r="3454" spans="12:65" x14ac:dyDescent="0.3">
      <c r="L3454" s="427">
        <v>21374196.867800001</v>
      </c>
      <c r="BE3454" s="477">
        <v>7277672.2562923273</v>
      </c>
      <c r="BF3454" s="458">
        <v>3.8343284640946163E-2</v>
      </c>
      <c r="BG3454" s="477">
        <v>8490651.4642252214</v>
      </c>
      <c r="BH3454" s="458">
        <v>5.9502978976573306E-2</v>
      </c>
      <c r="BI3454" s="477">
        <v>19245916.237862352</v>
      </c>
      <c r="BJ3454" s="458">
        <v>0.10943933209723489</v>
      </c>
      <c r="BK3454" s="477">
        <v>118289829.25651313</v>
      </c>
      <c r="BL3454" s="458">
        <v>0.27736623892991918</v>
      </c>
      <c r="BM3454" s="468">
        <v>10.392099801835343</v>
      </c>
    </row>
    <row r="3455" spans="12:65" x14ac:dyDescent="0.3">
      <c r="L3455" s="427">
        <v>12548526.4209</v>
      </c>
      <c r="BE3455" s="477">
        <v>3968975.487444811</v>
      </c>
      <c r="BF3455" s="458">
        <v>4.3199047267954871E-2</v>
      </c>
      <c r="BG3455" s="477">
        <v>12226833.224329025</v>
      </c>
      <c r="BH3455" s="458">
        <v>5.7393358995602162E-2</v>
      </c>
      <c r="BI3455" s="477">
        <v>21175480.317119624</v>
      </c>
      <c r="BJ3455" s="458">
        <v>0.11123831969389641</v>
      </c>
      <c r="BK3455" s="477">
        <v>82613500.945766658</v>
      </c>
      <c r="BL3455" s="458">
        <v>0.28213042281123091</v>
      </c>
      <c r="BM3455" s="468">
        <v>11.731548155173956</v>
      </c>
    </row>
    <row r="3456" spans="12:65" x14ac:dyDescent="0.3">
      <c r="L3456" s="427">
        <v>4490240.7851</v>
      </c>
      <c r="BE3456" s="477">
        <v>8780574.8047856595</v>
      </c>
      <c r="BF3456" s="458">
        <v>3.1722589317791705E-2</v>
      </c>
      <c r="BG3456" s="477">
        <v>5389553.5289422451</v>
      </c>
      <c r="BH3456" s="458">
        <v>6.2168675833374154E-2</v>
      </c>
      <c r="BI3456" s="477">
        <v>13942547.370974122</v>
      </c>
      <c r="BJ3456" s="458">
        <v>0.11262087407406085</v>
      </c>
      <c r="BK3456" s="477">
        <v>100705249.72195855</v>
      </c>
      <c r="BL3456" s="458">
        <v>0.24617934912298201</v>
      </c>
      <c r="BM3456" s="468">
        <v>5.7378415032892622</v>
      </c>
    </row>
    <row r="3457" spans="12:65" x14ac:dyDescent="0.3">
      <c r="L3457" s="427">
        <v>-974549.70180000004</v>
      </c>
      <c r="BE3457" s="477">
        <v>6872449.4737549722</v>
      </c>
      <c r="BF3457" s="458">
        <v>3.2152678832544135E-2</v>
      </c>
      <c r="BG3457" s="477">
        <v>5709138.1329840273</v>
      </c>
      <c r="BH3457" s="458">
        <v>6.5659508908855635E-2</v>
      </c>
      <c r="BI3457" s="477">
        <v>20541579.002329197</v>
      </c>
      <c r="BJ3457" s="458">
        <v>0.10582219492750378</v>
      </c>
      <c r="BK3457" s="477">
        <v>99656036.932710379</v>
      </c>
      <c r="BL3457" s="458">
        <v>0.26438888440254082</v>
      </c>
      <c r="BM3457" s="468">
        <v>5.5843351341941512</v>
      </c>
    </row>
    <row r="3458" spans="12:65" x14ac:dyDescent="0.3">
      <c r="L3458" s="427">
        <v>3272417.0534000001</v>
      </c>
      <c r="BE3458" s="477">
        <v>2339029.690942497</v>
      </c>
      <c r="BF3458" s="458">
        <v>3.2976725285667863E-2</v>
      </c>
      <c r="BG3458" s="477">
        <v>9211372.0966986157</v>
      </c>
      <c r="BH3458" s="458">
        <v>8.9470649568326843E-2</v>
      </c>
      <c r="BI3458" s="477">
        <v>29291996.943089273</v>
      </c>
      <c r="BJ3458" s="458">
        <v>7.9964533600838772E-2</v>
      </c>
      <c r="BK3458" s="477">
        <v>85218958.678326845</v>
      </c>
      <c r="BL3458" s="458">
        <v>0.26600972137110812</v>
      </c>
      <c r="BM3458" s="468">
        <v>7.3631246857257651</v>
      </c>
    </row>
    <row r="3459" spans="12:65" x14ac:dyDescent="0.3">
      <c r="L3459" s="427">
        <v>15399584.215700001</v>
      </c>
      <c r="BE3459" s="477">
        <v>6688483.0993923536</v>
      </c>
      <c r="BF3459" s="458">
        <v>4.202528186305754E-2</v>
      </c>
      <c r="BG3459" s="477">
        <v>16199074.414863871</v>
      </c>
      <c r="BH3459" s="458">
        <v>9.2500834957624845E-2</v>
      </c>
      <c r="BI3459" s="477">
        <v>15807248.302072497</v>
      </c>
      <c r="BJ3459" s="458">
        <v>0.12245043737094452</v>
      </c>
      <c r="BK3459" s="477">
        <v>82151123.421622023</v>
      </c>
      <c r="BL3459" s="458">
        <v>0.26527525112296235</v>
      </c>
      <c r="BM3459" s="468">
        <v>13.353528507098023</v>
      </c>
    </row>
    <row r="3460" spans="12:65" x14ac:dyDescent="0.3">
      <c r="L3460" s="427">
        <v>-14250396.848300001</v>
      </c>
      <c r="BE3460" s="477">
        <v>5337176.5335264076</v>
      </c>
      <c r="BF3460" s="458">
        <v>3.9037503740347423E-2</v>
      </c>
      <c r="BG3460" s="477">
        <v>5334910.051735878</v>
      </c>
      <c r="BH3460" s="458">
        <v>6.4559670226679078E-2</v>
      </c>
      <c r="BI3460" s="477">
        <v>15580006.429523252</v>
      </c>
      <c r="BJ3460" s="458">
        <v>0.10512089186261608</v>
      </c>
      <c r="BK3460" s="477">
        <v>79908552.599068284</v>
      </c>
      <c r="BL3460" s="458">
        <v>0.26826895435252118</v>
      </c>
      <c r="BM3460" s="468">
        <v>5.0287383574657003</v>
      </c>
    </row>
    <row r="3461" spans="12:65" x14ac:dyDescent="0.3">
      <c r="L3461" s="427">
        <v>3572966.0830000001</v>
      </c>
      <c r="BE3461" s="477">
        <v>6181515.6540053226</v>
      </c>
      <c r="BF3461" s="458">
        <v>2.688888555894664E-2</v>
      </c>
      <c r="BG3461" s="477">
        <v>-997382.15251094231</v>
      </c>
      <c r="BH3461" s="458">
        <v>5.761208050699862E-2</v>
      </c>
      <c r="BI3461" s="477">
        <v>12967645.026116202</v>
      </c>
      <c r="BJ3461" s="458">
        <v>0.10388903786940862</v>
      </c>
      <c r="BK3461" s="477">
        <v>99494787.89439024</v>
      </c>
      <c r="BL3461" s="458">
        <v>0.27924784128602154</v>
      </c>
      <c r="BM3461" s="468">
        <v>9.5604272243016073</v>
      </c>
    </row>
    <row r="3462" spans="12:65" x14ac:dyDescent="0.3">
      <c r="L3462" s="427">
        <v>8376690.4687999999</v>
      </c>
      <c r="BE3462" s="477">
        <v>5253575.1724923486</v>
      </c>
      <c r="BF3462" s="458">
        <v>1.8234123814589998E-2</v>
      </c>
      <c r="BG3462" s="477">
        <v>1732759.4631592252</v>
      </c>
      <c r="BH3462" s="458">
        <v>6.75920336517144E-2</v>
      </c>
      <c r="BI3462" s="477">
        <v>10720102.843286702</v>
      </c>
      <c r="BJ3462" s="458">
        <v>0.11480485397881202</v>
      </c>
      <c r="BK3462" s="477">
        <v>84849906.028445497</v>
      </c>
      <c r="BL3462" s="458">
        <v>0.26620438966593762</v>
      </c>
      <c r="BM3462" s="468">
        <v>6.1162026052547613</v>
      </c>
    </row>
    <row r="3463" spans="12:65" x14ac:dyDescent="0.3">
      <c r="L3463" s="427">
        <v>-8123829.3400999997</v>
      </c>
      <c r="BE3463" s="477">
        <v>5837414.2861170741</v>
      </c>
      <c r="BF3463" s="458">
        <v>3.5027613482378595E-2</v>
      </c>
      <c r="BG3463" s="477">
        <v>13446676.208333448</v>
      </c>
      <c r="BH3463" s="458">
        <v>5.2585932555630377E-2</v>
      </c>
      <c r="BI3463" s="477">
        <v>21606733.990731791</v>
      </c>
      <c r="BJ3463" s="458">
        <v>8.9259414295355555E-2</v>
      </c>
      <c r="BK3463" s="477">
        <v>106430522.38038184</v>
      </c>
      <c r="BL3463" s="458">
        <v>0.256894690538503</v>
      </c>
      <c r="BM3463" s="468">
        <v>12.846130301361608</v>
      </c>
    </row>
    <row r="3464" spans="12:65" x14ac:dyDescent="0.3">
      <c r="L3464" s="427">
        <v>24947111.535700001</v>
      </c>
      <c r="BE3464" s="477">
        <v>3069409.7644938864</v>
      </c>
      <c r="BF3464" s="458">
        <v>3.8411511861434988E-2</v>
      </c>
      <c r="BG3464" s="477">
        <v>10191971.652822763</v>
      </c>
      <c r="BH3464" s="458">
        <v>3.7263359984034627E-2</v>
      </c>
      <c r="BI3464" s="477">
        <v>19910577.936366316</v>
      </c>
      <c r="BJ3464" s="458">
        <v>0.1198483063096687</v>
      </c>
      <c r="BK3464" s="477">
        <v>102726709.89279321</v>
      </c>
      <c r="BL3464" s="458">
        <v>0.26702725129519567</v>
      </c>
      <c r="BM3464" s="468">
        <v>10.026398564347707</v>
      </c>
    </row>
    <row r="3465" spans="12:65" x14ac:dyDescent="0.3">
      <c r="L3465" s="427">
        <v>13582081.604900001</v>
      </c>
      <c r="BE3465" s="477">
        <v>6450643.2783837235</v>
      </c>
      <c r="BF3465" s="458">
        <v>4.9593248151498237E-2</v>
      </c>
      <c r="BG3465" s="477">
        <v>10789352.144874498</v>
      </c>
      <c r="BH3465" s="458">
        <v>3.9598850553028697E-2</v>
      </c>
      <c r="BI3465" s="477">
        <v>14418477.878084242</v>
      </c>
      <c r="BJ3465" s="458">
        <v>0.11050587776652865</v>
      </c>
      <c r="BK3465" s="477">
        <v>86549754.422901824</v>
      </c>
      <c r="BL3465" s="458">
        <v>0.26504988963743714</v>
      </c>
      <c r="BM3465" s="468">
        <v>7.1016598010029393</v>
      </c>
    </row>
    <row r="3466" spans="12:65" x14ac:dyDescent="0.3">
      <c r="L3466" s="427">
        <v>10719678.8652</v>
      </c>
      <c r="BE3466" s="477">
        <v>4316525.7923328811</v>
      </c>
      <c r="BF3466" s="458">
        <v>4.3490056715885128E-2</v>
      </c>
      <c r="BG3466" s="477">
        <v>12079331.417724254</v>
      </c>
      <c r="BH3466" s="458">
        <v>2.680155295083253E-2</v>
      </c>
      <c r="BI3466" s="477">
        <v>24155827.474905081</v>
      </c>
      <c r="BJ3466" s="458">
        <v>0.11434036778966861</v>
      </c>
      <c r="BK3466" s="477">
        <v>99290705.611164808</v>
      </c>
      <c r="BL3466" s="458">
        <v>0.29317322453110228</v>
      </c>
      <c r="BM3466" s="468">
        <v>4.7272439520931417</v>
      </c>
    </row>
    <row r="3467" spans="12:65" x14ac:dyDescent="0.3">
      <c r="L3467" s="427">
        <v>27975960.353799999</v>
      </c>
      <c r="BE3467" s="477">
        <v>8526502.2341747154</v>
      </c>
      <c r="BF3467" s="458">
        <v>6.0720893767562512E-2</v>
      </c>
      <c r="BG3467" s="477">
        <v>11179739.015358435</v>
      </c>
      <c r="BH3467" s="458">
        <v>3.9180209166571611E-2</v>
      </c>
      <c r="BI3467" s="477">
        <v>7766742.898997061</v>
      </c>
      <c r="BJ3467" s="458">
        <v>0.12131872914716157</v>
      </c>
      <c r="BK3467" s="477">
        <v>91842118.049343482</v>
      </c>
      <c r="BL3467" s="458">
        <v>0.27317640128033505</v>
      </c>
      <c r="BM3467" s="468">
        <v>10.875651082502994</v>
      </c>
    </row>
    <row r="3468" spans="12:65" x14ac:dyDescent="0.3">
      <c r="L3468" s="427">
        <v>5763212.1948999995</v>
      </c>
      <c r="BE3468" s="477">
        <v>7521920.759766168</v>
      </c>
      <c r="BF3468" s="458">
        <v>6.0534824614221883E-2</v>
      </c>
      <c r="BG3468" s="477">
        <v>8858302.7490839846</v>
      </c>
      <c r="BH3468" s="458">
        <v>5.7908985603398744E-2</v>
      </c>
      <c r="BI3468" s="477">
        <v>15612088.701734327</v>
      </c>
      <c r="BJ3468" s="458">
        <v>8.508979693960983E-2</v>
      </c>
      <c r="BK3468" s="477">
        <v>94934415.810332492</v>
      </c>
      <c r="BL3468" s="458">
        <v>0.25527581190579895</v>
      </c>
      <c r="BM3468" s="468">
        <v>4.2930319378032316</v>
      </c>
    </row>
    <row r="3469" spans="12:65" x14ac:dyDescent="0.3">
      <c r="L3469" s="427">
        <v>-3141826.7173000001</v>
      </c>
      <c r="BE3469" s="477">
        <v>5629983.2213659305</v>
      </c>
      <c r="BF3469" s="458">
        <v>3.3290810090427225E-2</v>
      </c>
      <c r="BG3469" s="477">
        <v>7254652.7932579648</v>
      </c>
      <c r="BH3469" s="458">
        <v>7.9300317909142048E-2</v>
      </c>
      <c r="BI3469" s="477">
        <v>13864106.359207949</v>
      </c>
      <c r="BJ3469" s="458">
        <v>0.14315501114076246</v>
      </c>
      <c r="BK3469" s="477">
        <v>97864931.733371273</v>
      </c>
      <c r="BL3469" s="458">
        <v>0.28075954908659817</v>
      </c>
      <c r="BM3469" s="468">
        <v>6.4093468481374005</v>
      </c>
    </row>
    <row r="3470" spans="12:65" x14ac:dyDescent="0.3">
      <c r="L3470" s="427">
        <v>736970.95409999997</v>
      </c>
      <c r="BE3470" s="477">
        <v>1069329.8368814767</v>
      </c>
      <c r="BF3470" s="458">
        <v>2.595571589710377E-2</v>
      </c>
      <c r="BG3470" s="477">
        <v>10757126.327658823</v>
      </c>
      <c r="BH3470" s="458">
        <v>5.474806341264693E-2</v>
      </c>
      <c r="BI3470" s="477">
        <v>14654141.47479225</v>
      </c>
      <c r="BJ3470" s="458">
        <v>0.104246038414886</v>
      </c>
      <c r="BK3470" s="477">
        <v>94008499.1819354</v>
      </c>
      <c r="BL3470" s="458">
        <v>0.2799516761872678</v>
      </c>
      <c r="BM3470" s="468">
        <v>7.3529035392072455</v>
      </c>
    </row>
    <row r="3471" spans="12:65" x14ac:dyDescent="0.3">
      <c r="L3471" s="427">
        <v>4050099.6367000001</v>
      </c>
      <c r="BE3471" s="477">
        <v>6810720.1049288856</v>
      </c>
      <c r="BF3471" s="458">
        <v>-6.0287876630399362E-3</v>
      </c>
      <c r="BG3471" s="477">
        <v>3698436.4771476383</v>
      </c>
      <c r="BH3471" s="458">
        <v>5.7954284898593444E-2</v>
      </c>
      <c r="BI3471" s="477">
        <v>14670701.071781762</v>
      </c>
      <c r="BJ3471" s="458">
        <v>0.13201083096893695</v>
      </c>
      <c r="BK3471" s="477">
        <v>94974948.985181406</v>
      </c>
      <c r="BL3471" s="458">
        <v>0.25344059717320322</v>
      </c>
      <c r="BM3471" s="468">
        <v>8.0681686212166124</v>
      </c>
    </row>
    <row r="3472" spans="12:65" x14ac:dyDescent="0.3">
      <c r="L3472" s="427">
        <v>4083192.0447999998</v>
      </c>
      <c r="BE3472" s="477">
        <v>-531836.46763962018</v>
      </c>
      <c r="BF3472" s="458">
        <v>7.3997648228194324E-2</v>
      </c>
      <c r="BG3472" s="477">
        <v>9665598.2330520377</v>
      </c>
      <c r="BH3472" s="458">
        <v>7.4973701364630996E-2</v>
      </c>
      <c r="BI3472" s="477">
        <v>15840139.470503496</v>
      </c>
      <c r="BJ3472" s="458">
        <v>0.13128869834845247</v>
      </c>
      <c r="BK3472" s="477">
        <v>90619492.663465887</v>
      </c>
      <c r="BL3472" s="458">
        <v>0.28010788451752267</v>
      </c>
      <c r="BM3472" s="468">
        <v>10.338761028724955</v>
      </c>
    </row>
    <row r="3473" spans="12:65" x14ac:dyDescent="0.3">
      <c r="L3473" s="427">
        <v>5523800.5478999997</v>
      </c>
      <c r="BE3473" s="477">
        <v>5911545.5777028836</v>
      </c>
      <c r="BF3473" s="458">
        <v>7.957559887824206E-2</v>
      </c>
      <c r="BG3473" s="477">
        <v>5911337.1446004724</v>
      </c>
      <c r="BH3473" s="458">
        <v>6.4189702311651997E-2</v>
      </c>
      <c r="BI3473" s="477">
        <v>14607644.583922917</v>
      </c>
      <c r="BJ3473" s="458">
        <v>0.13172977250993667</v>
      </c>
      <c r="BK3473" s="477">
        <v>98906720.240205422</v>
      </c>
      <c r="BL3473" s="458">
        <v>0.2696212731412797</v>
      </c>
      <c r="BM3473" s="468">
        <v>9.7979159228078494</v>
      </c>
    </row>
    <row r="3474" spans="12:65" x14ac:dyDescent="0.3">
      <c r="L3474" s="427">
        <v>20549417.9135</v>
      </c>
      <c r="BE3474" s="477">
        <v>8081937.0538657736</v>
      </c>
      <c r="BF3474" s="458">
        <v>2.7243711105468194E-2</v>
      </c>
      <c r="BG3474" s="477">
        <v>2254837.4814694035</v>
      </c>
      <c r="BH3474" s="458">
        <v>4.2959749068119724E-2</v>
      </c>
      <c r="BI3474" s="477">
        <v>18503529.102027554</v>
      </c>
      <c r="BJ3474" s="458">
        <v>0.10491510633557755</v>
      </c>
      <c r="BK3474" s="477">
        <v>73582268.251010031</v>
      </c>
      <c r="BL3474" s="458">
        <v>0.28037928236690046</v>
      </c>
      <c r="BM3474" s="468">
        <v>5.5050650727552259</v>
      </c>
    </row>
    <row r="3475" spans="12:65" x14ac:dyDescent="0.3">
      <c r="L3475" s="427">
        <v>10350688.5822</v>
      </c>
      <c r="BE3475" s="477">
        <v>4214049.5393868722</v>
      </c>
      <c r="BF3475" s="458">
        <v>3.4457251305166192E-2</v>
      </c>
      <c r="BG3475" s="477">
        <v>8890888.3362994958</v>
      </c>
      <c r="BH3475" s="458">
        <v>9.4722681427388711E-2</v>
      </c>
      <c r="BI3475" s="477">
        <v>7955171.3903161176</v>
      </c>
      <c r="BJ3475" s="458">
        <v>0.11661198796207217</v>
      </c>
      <c r="BK3475" s="477">
        <v>99893453.658981338</v>
      </c>
      <c r="BL3475" s="458">
        <v>0.25879470918505598</v>
      </c>
      <c r="BM3475" s="468">
        <v>14.914678969201848</v>
      </c>
    </row>
    <row r="3476" spans="12:65" x14ac:dyDescent="0.3">
      <c r="L3476" s="427">
        <v>1870784.5900999999</v>
      </c>
      <c r="BE3476" s="477">
        <v>5678680.6158486456</v>
      </c>
      <c r="BF3476" s="458">
        <v>3.4298928227915804E-2</v>
      </c>
      <c r="BG3476" s="477">
        <v>8300189.7722155973</v>
      </c>
      <c r="BH3476" s="458">
        <v>0.10277248622960844</v>
      </c>
      <c r="BI3476" s="477">
        <v>12133768.92813397</v>
      </c>
      <c r="BJ3476" s="458">
        <v>0.11817714457655804</v>
      </c>
      <c r="BK3476" s="477">
        <v>78437577.790277541</v>
      </c>
      <c r="BL3476" s="458">
        <v>0.25937533809656355</v>
      </c>
      <c r="BM3476" s="468">
        <v>12.940833034381907</v>
      </c>
    </row>
    <row r="3477" spans="12:65" x14ac:dyDescent="0.3">
      <c r="L3477" s="427">
        <v>14132269.6625</v>
      </c>
      <c r="BE3477" s="477">
        <v>4382634.4567679167</v>
      </c>
      <c r="BF3477" s="458">
        <v>4.2038844930886166E-2</v>
      </c>
      <c r="BG3477" s="477">
        <v>5423031.4946320318</v>
      </c>
      <c r="BH3477" s="458">
        <v>4.0188449727834419E-2</v>
      </c>
      <c r="BI3477" s="477">
        <v>5727954.5369018447</v>
      </c>
      <c r="BJ3477" s="458">
        <v>0.11653447730420208</v>
      </c>
      <c r="BK3477" s="477">
        <v>92942790.071581051</v>
      </c>
      <c r="BL3477" s="458">
        <v>0.28196940052511543</v>
      </c>
      <c r="BM3477" s="468">
        <v>3.4584668927599038</v>
      </c>
    </row>
    <row r="3478" spans="12:65" x14ac:dyDescent="0.3">
      <c r="L3478" s="427">
        <v>1833939.2890000001</v>
      </c>
      <c r="BE3478" s="477">
        <v>3346293.830927873</v>
      </c>
      <c r="BF3478" s="458">
        <v>3.4254782128107397E-2</v>
      </c>
      <c r="BG3478" s="477">
        <v>11989555.266298572</v>
      </c>
      <c r="BH3478" s="458">
        <v>8.8605070274837772E-2</v>
      </c>
      <c r="BI3478" s="477">
        <v>12707263.587676972</v>
      </c>
      <c r="BJ3478" s="458">
        <v>0.10746527747013634</v>
      </c>
      <c r="BK3478" s="477">
        <v>92355011.579137549</v>
      </c>
      <c r="BL3478" s="458">
        <v>0.27431332458307423</v>
      </c>
      <c r="BM3478" s="468">
        <v>5.0425024929721545</v>
      </c>
    </row>
    <row r="3479" spans="12:65" x14ac:dyDescent="0.3">
      <c r="L3479" s="427">
        <v>4807584.6825000001</v>
      </c>
      <c r="BE3479" s="477">
        <v>8051872.6657493934</v>
      </c>
      <c r="BF3479" s="458">
        <v>3.0530864727568385E-2</v>
      </c>
      <c r="BG3479" s="477">
        <v>12411719.073136412</v>
      </c>
      <c r="BH3479" s="458">
        <v>6.6554846218296548E-2</v>
      </c>
      <c r="BI3479" s="477">
        <v>14591470.0218703</v>
      </c>
      <c r="BJ3479" s="458">
        <v>0.12696355346460142</v>
      </c>
      <c r="BK3479" s="477">
        <v>79681315.513844311</v>
      </c>
      <c r="BL3479" s="458">
        <v>0.26568689119528033</v>
      </c>
      <c r="BM3479" s="468">
        <v>7.7831087444730036</v>
      </c>
    </row>
    <row r="3480" spans="12:65" x14ac:dyDescent="0.3">
      <c r="L3480" s="427">
        <v>20094697.5579</v>
      </c>
      <c r="BE3480" s="477">
        <v>3326885.160613487</v>
      </c>
      <c r="BF3480" s="458">
        <v>4.2685919891892965E-2</v>
      </c>
      <c r="BG3480" s="477">
        <v>4367321.5913184099</v>
      </c>
      <c r="BH3480" s="458">
        <v>8.5809174210664363E-2</v>
      </c>
      <c r="BI3480" s="477">
        <v>15600872.492896903</v>
      </c>
      <c r="BJ3480" s="458">
        <v>0.10735816755388017</v>
      </c>
      <c r="BK3480" s="477">
        <v>98480231.119196936</v>
      </c>
      <c r="BL3480" s="458">
        <v>0.25077544603705104</v>
      </c>
      <c r="BM3480" s="468">
        <v>11.19877788315574</v>
      </c>
    </row>
    <row r="3481" spans="12:65" x14ac:dyDescent="0.3">
      <c r="L3481" s="427">
        <v>-1099622.6561</v>
      </c>
      <c r="BE3481" s="477">
        <v>7089614.8935311921</v>
      </c>
      <c r="BF3481" s="458">
        <v>5.6110003764580307E-2</v>
      </c>
      <c r="BG3481" s="477">
        <v>13727643.476290731</v>
      </c>
      <c r="BH3481" s="458">
        <v>6.8162254874168937E-2</v>
      </c>
      <c r="BI3481" s="477">
        <v>15398961.506245445</v>
      </c>
      <c r="BJ3481" s="458">
        <v>9.558965635392358E-2</v>
      </c>
      <c r="BK3481" s="477">
        <v>89603218.299777001</v>
      </c>
      <c r="BL3481" s="458">
        <v>0.27345258766219649</v>
      </c>
      <c r="BM3481" s="468">
        <v>6.8078678321899453</v>
      </c>
    </row>
    <row r="3482" spans="12:65" x14ac:dyDescent="0.3">
      <c r="L3482" s="427">
        <v>18497776.5557</v>
      </c>
      <c r="BE3482" s="477">
        <v>4465287.8501652582</v>
      </c>
      <c r="BF3482" s="458">
        <v>5.6510758650395676E-2</v>
      </c>
      <c r="BG3482" s="477">
        <v>7331455.7104319418</v>
      </c>
      <c r="BH3482" s="458">
        <v>7.1571646063938621E-2</v>
      </c>
      <c r="BI3482" s="477">
        <v>16869457.320892446</v>
      </c>
      <c r="BJ3482" s="458">
        <v>0.11987553739366064</v>
      </c>
      <c r="BK3482" s="477">
        <v>80587780.486083016</v>
      </c>
      <c r="BL3482" s="458">
        <v>0.26005133779855427</v>
      </c>
      <c r="BM3482" s="468">
        <v>12.31276399817839</v>
      </c>
    </row>
    <row r="3483" spans="12:65" x14ac:dyDescent="0.3">
      <c r="L3483" s="427">
        <v>10310097.5242</v>
      </c>
      <c r="BE3483" s="477">
        <v>3839055.1074272674</v>
      </c>
      <c r="BF3483" s="458">
        <v>4.0734402004197312E-2</v>
      </c>
      <c r="BG3483" s="477">
        <v>11251536.649432246</v>
      </c>
      <c r="BH3483" s="458">
        <v>5.9474140038072942E-2</v>
      </c>
      <c r="BI3483" s="477">
        <v>8913064.3300653361</v>
      </c>
      <c r="BJ3483" s="458">
        <v>9.8171496303988581E-2</v>
      </c>
      <c r="BK3483" s="477">
        <v>89313768.15665482</v>
      </c>
      <c r="BL3483" s="458">
        <v>0.27154865926639915</v>
      </c>
      <c r="BM3483" s="468">
        <v>4.4537757697045937</v>
      </c>
    </row>
    <row r="3484" spans="12:65" x14ac:dyDescent="0.3">
      <c r="L3484" s="427">
        <v>28872085.0724</v>
      </c>
      <c r="BE3484" s="477">
        <v>8800326.4491628148</v>
      </c>
      <c r="BF3484" s="458">
        <v>3.6623391757445889E-2</v>
      </c>
      <c r="BG3484" s="477">
        <v>7720747.7463346263</v>
      </c>
      <c r="BH3484" s="458">
        <v>6.9409552053153467E-2</v>
      </c>
      <c r="BI3484" s="477">
        <v>19816500.093462229</v>
      </c>
      <c r="BJ3484" s="458">
        <v>0.10363945714536871</v>
      </c>
      <c r="BK3484" s="477">
        <v>81705855.351865679</v>
      </c>
      <c r="BL3484" s="458">
        <v>0.29532039389616282</v>
      </c>
      <c r="BM3484" s="468">
        <v>10.519321388746903</v>
      </c>
    </row>
    <row r="3485" spans="12:65" x14ac:dyDescent="0.3">
      <c r="L3485" s="427">
        <v>19832891.978</v>
      </c>
      <c r="BE3485" s="477">
        <v>3392367.4951252579</v>
      </c>
      <c r="BF3485" s="458">
        <v>4.6773472170138941E-2</v>
      </c>
      <c r="BG3485" s="477">
        <v>5921143.5764068039</v>
      </c>
      <c r="BH3485" s="458">
        <v>7.8572671285308759E-2</v>
      </c>
      <c r="BI3485" s="477">
        <v>19258384.531485736</v>
      </c>
      <c r="BJ3485" s="458">
        <v>0.1064049897067505</v>
      </c>
      <c r="BK3485" s="477">
        <v>89972254.226405665</v>
      </c>
      <c r="BL3485" s="458">
        <v>0.27973124925845516</v>
      </c>
      <c r="BM3485" s="468">
        <v>8.4303255447393255</v>
      </c>
    </row>
    <row r="3486" spans="12:65" x14ac:dyDescent="0.3">
      <c r="L3486" s="427">
        <v>19200432.830800001</v>
      </c>
      <c r="BE3486" s="477">
        <v>6535367.8536237981</v>
      </c>
      <c r="BF3486" s="458">
        <v>5.5471746779705455E-2</v>
      </c>
      <c r="BG3486" s="477">
        <v>12345027.289918318</v>
      </c>
      <c r="BH3486" s="458">
        <v>7.4387187255341214E-2</v>
      </c>
      <c r="BI3486" s="477">
        <v>15419962.372567263</v>
      </c>
      <c r="BJ3486" s="458">
        <v>9.3114078333116579E-2</v>
      </c>
      <c r="BK3486" s="477">
        <v>89981791.543382883</v>
      </c>
      <c r="BL3486" s="458">
        <v>0.28428811913760743</v>
      </c>
      <c r="BM3486" s="468">
        <v>4.5897087764720244</v>
      </c>
    </row>
    <row r="3487" spans="12:65" x14ac:dyDescent="0.3">
      <c r="L3487" s="427">
        <v>18659147.8563</v>
      </c>
      <c r="BE3487" s="477">
        <v>9039568.1262782998</v>
      </c>
      <c r="BF3487" s="458">
        <v>3.7388158377461345E-2</v>
      </c>
      <c r="BG3487" s="477">
        <v>7871327.293726651</v>
      </c>
      <c r="BH3487" s="458">
        <v>5.6309454985450813E-2</v>
      </c>
      <c r="BI3487" s="477">
        <v>14507167.302596783</v>
      </c>
      <c r="BJ3487" s="458">
        <v>0.12857869361511165</v>
      </c>
      <c r="BK3487" s="477">
        <v>85958877.657495022</v>
      </c>
      <c r="BL3487" s="458">
        <v>0.25699454880221473</v>
      </c>
      <c r="BM3487" s="468">
        <v>11.725311646954671</v>
      </c>
    </row>
    <row r="3488" spans="12:65" x14ac:dyDescent="0.3">
      <c r="L3488" s="427">
        <v>12560040.129000001</v>
      </c>
      <c r="BE3488" s="477">
        <v>7006593.1274061361</v>
      </c>
      <c r="BF3488" s="458">
        <v>4.7664818395768416E-2</v>
      </c>
      <c r="BG3488" s="477">
        <v>8274304.422798438</v>
      </c>
      <c r="BH3488" s="458">
        <v>4.4726135010077606E-2</v>
      </c>
      <c r="BI3488" s="477">
        <v>14880075.30611282</v>
      </c>
      <c r="BJ3488" s="458">
        <v>0.1105256588089234</v>
      </c>
      <c r="BK3488" s="477">
        <v>92165046.088042125</v>
      </c>
      <c r="BL3488" s="458">
        <v>0.25866827721085173</v>
      </c>
      <c r="BM3488" s="468">
        <v>6.6077021607772233</v>
      </c>
    </row>
    <row r="3489" spans="12:65" x14ac:dyDescent="0.3">
      <c r="L3489" s="427">
        <v>20948369.960999999</v>
      </c>
      <c r="BE3489" s="477">
        <v>3220166.1050353292</v>
      </c>
      <c r="BF3489" s="458">
        <v>4.5145901710279768E-2</v>
      </c>
      <c r="BG3489" s="477">
        <v>12477037.106567642</v>
      </c>
      <c r="BH3489" s="458">
        <v>5.5186661039043239E-2</v>
      </c>
      <c r="BI3489" s="477">
        <v>16283864.662542842</v>
      </c>
      <c r="BJ3489" s="458">
        <v>0.10868243508078201</v>
      </c>
      <c r="BK3489" s="477">
        <v>88371870.367004901</v>
      </c>
      <c r="BL3489" s="458">
        <v>0.26327185092977401</v>
      </c>
      <c r="BM3489" s="468">
        <v>3.7596436070521237</v>
      </c>
    </row>
    <row r="3490" spans="12:65" x14ac:dyDescent="0.3">
      <c r="L3490" s="427">
        <v>-2937537.5473000002</v>
      </c>
      <c r="BE3490" s="477">
        <v>4838429.5984085156</v>
      </c>
      <c r="BF3490" s="458">
        <v>9.3457886596902906E-2</v>
      </c>
      <c r="BG3490" s="477">
        <v>2542020.7777406937</v>
      </c>
      <c r="BH3490" s="458">
        <v>6.0742940087182395E-2</v>
      </c>
      <c r="BI3490" s="477">
        <v>2304848.8914839821</v>
      </c>
      <c r="BJ3490" s="458">
        <v>0.11715459035282816</v>
      </c>
      <c r="BK3490" s="477">
        <v>98550123.162155584</v>
      </c>
      <c r="BL3490" s="458">
        <v>0.26638522739870707</v>
      </c>
      <c r="BM3490" s="468">
        <v>12.5492365550898</v>
      </c>
    </row>
    <row r="3491" spans="12:65" x14ac:dyDescent="0.3">
      <c r="L3491" s="427">
        <v>13677875.7378</v>
      </c>
      <c r="BE3491" s="477">
        <v>8259034.4906018302</v>
      </c>
      <c r="BF3491" s="458">
        <v>3.9549682328759328E-2</v>
      </c>
      <c r="BG3491" s="477">
        <v>8451417.9440864306</v>
      </c>
      <c r="BH3491" s="458">
        <v>8.466031428409182E-2</v>
      </c>
      <c r="BI3491" s="477">
        <v>19745477.86222329</v>
      </c>
      <c r="BJ3491" s="458">
        <v>0.10751792801269189</v>
      </c>
      <c r="BK3491" s="477">
        <v>101965808.61676231</v>
      </c>
      <c r="BL3491" s="458">
        <v>0.25584478789202625</v>
      </c>
      <c r="BM3491" s="468">
        <v>7.3550753933178985</v>
      </c>
    </row>
    <row r="3492" spans="12:65" x14ac:dyDescent="0.3">
      <c r="L3492" s="427">
        <v>2646455.9774000002</v>
      </c>
      <c r="BE3492" s="477">
        <v>2734341.6915560435</v>
      </c>
      <c r="BF3492" s="458">
        <v>5.7113261394973858E-2</v>
      </c>
      <c r="BG3492" s="477">
        <v>12955207.339894522</v>
      </c>
      <c r="BH3492" s="458">
        <v>8.4695163917496208E-2</v>
      </c>
      <c r="BI3492" s="477">
        <v>20568281.207791191</v>
      </c>
      <c r="BJ3492" s="458">
        <v>0.11102563490229955</v>
      </c>
      <c r="BK3492" s="477">
        <v>93236072.254185095</v>
      </c>
      <c r="BL3492" s="458">
        <v>0.25588890820391441</v>
      </c>
      <c r="BM3492" s="468">
        <v>13.074911784552411</v>
      </c>
    </row>
    <row r="3493" spans="12:65" x14ac:dyDescent="0.3">
      <c r="L3493" s="427">
        <v>16457244.757200001</v>
      </c>
      <c r="BE3493" s="477">
        <v>2342679.9327261327</v>
      </c>
      <c r="BF3493" s="458">
        <v>3.6639247231701866E-2</v>
      </c>
      <c r="BG3493" s="477">
        <v>9391109.6623277124</v>
      </c>
      <c r="BH3493" s="458">
        <v>4.9843648141509878E-2</v>
      </c>
      <c r="BI3493" s="477">
        <v>13350850.641653566</v>
      </c>
      <c r="BJ3493" s="458">
        <v>0.12339527166898234</v>
      </c>
      <c r="BK3493" s="477">
        <v>83698810.306503505</v>
      </c>
      <c r="BL3493" s="458">
        <v>0.26542863684953599</v>
      </c>
      <c r="BM3493" s="468">
        <v>8.7834059786870533</v>
      </c>
    </row>
    <row r="3494" spans="12:65" x14ac:dyDescent="0.3">
      <c r="L3494" s="427">
        <v>-2161596.247</v>
      </c>
      <c r="BE3494" s="477">
        <v>2441363.1725560869</v>
      </c>
      <c r="BF3494" s="458">
        <v>3.5251658566712418E-2</v>
      </c>
      <c r="BG3494" s="477">
        <v>12087121.713405315</v>
      </c>
      <c r="BH3494" s="458">
        <v>0.1062760637387461</v>
      </c>
      <c r="BI3494" s="477">
        <v>7408126.6230161134</v>
      </c>
      <c r="BJ3494" s="458">
        <v>0.10720876015613423</v>
      </c>
      <c r="BK3494" s="477">
        <v>95982937.537309796</v>
      </c>
      <c r="BL3494" s="458">
        <v>0.2728077895278509</v>
      </c>
      <c r="BM3494" s="468">
        <v>9.7227999082169756</v>
      </c>
    </row>
    <row r="3495" spans="12:65" x14ac:dyDescent="0.3">
      <c r="L3495" s="427">
        <v>-10672132.2444</v>
      </c>
      <c r="BE3495" s="477">
        <v>5336500.2110475749</v>
      </c>
      <c r="BF3495" s="458">
        <v>4.296497457759485E-2</v>
      </c>
      <c r="BG3495" s="477">
        <v>8056048.2564179553</v>
      </c>
      <c r="BH3495" s="458">
        <v>4.0649481348999705E-2</v>
      </c>
      <c r="BI3495" s="477">
        <v>9294384.4341661856</v>
      </c>
      <c r="BJ3495" s="458">
        <v>0.10586578289369153</v>
      </c>
      <c r="BK3495" s="477">
        <v>97860264.330985233</v>
      </c>
      <c r="BL3495" s="458">
        <v>0.27060603960179441</v>
      </c>
      <c r="BM3495" s="468">
        <v>7.0596234390117409</v>
      </c>
    </row>
    <row r="3496" spans="12:65" x14ac:dyDescent="0.3">
      <c r="L3496" s="427">
        <v>15712607.932700001</v>
      </c>
      <c r="BE3496" s="477">
        <v>2154255.4806925049</v>
      </c>
      <c r="BF3496" s="458">
        <v>4.9012907061797506E-2</v>
      </c>
      <c r="BG3496" s="477">
        <v>9664212.5087516122</v>
      </c>
      <c r="BH3496" s="458">
        <v>5.902206965665191E-2</v>
      </c>
      <c r="BI3496" s="477">
        <v>21210536.98734466</v>
      </c>
      <c r="BJ3496" s="458">
        <v>9.9718325471833236E-2</v>
      </c>
      <c r="BK3496" s="477">
        <v>80965580.797672331</v>
      </c>
      <c r="BL3496" s="458">
        <v>0.26874455544044684</v>
      </c>
      <c r="BM3496" s="468">
        <v>5.5806488705755015</v>
      </c>
    </row>
    <row r="3497" spans="12:65" x14ac:dyDescent="0.3">
      <c r="L3497" s="427">
        <v>-6924657.9632999999</v>
      </c>
      <c r="BE3497" s="477">
        <v>5158561.5223070933</v>
      </c>
      <c r="BF3497" s="458">
        <v>3.3056949110858325E-2</v>
      </c>
      <c r="BG3497" s="477">
        <v>11335130.932283616</v>
      </c>
      <c r="BH3497" s="458">
        <v>6.3949494756824876E-2</v>
      </c>
      <c r="BI3497" s="477">
        <v>12638938.604856379</v>
      </c>
      <c r="BJ3497" s="458">
        <v>0.13692933977908495</v>
      </c>
      <c r="BK3497" s="477">
        <v>88674616.792917222</v>
      </c>
      <c r="BL3497" s="458">
        <v>0.26894331708654828</v>
      </c>
      <c r="BM3497" s="468">
        <v>10.376371020572723</v>
      </c>
    </row>
    <row r="3498" spans="12:65" x14ac:dyDescent="0.3">
      <c r="L3498" s="427">
        <v>10212946.917199999</v>
      </c>
      <c r="BE3498" s="477">
        <v>522317.60358075838</v>
      </c>
      <c r="BF3498" s="458">
        <v>3.9958414386714658E-2</v>
      </c>
      <c r="BG3498" s="477">
        <v>7258670.4600781426</v>
      </c>
      <c r="BH3498" s="458">
        <v>6.7419607154286965E-2</v>
      </c>
      <c r="BI3498" s="477">
        <v>13331859.785294008</v>
      </c>
      <c r="BJ3498" s="458">
        <v>0.10571677595609041</v>
      </c>
      <c r="BK3498" s="477">
        <v>89490178.110604271</v>
      </c>
      <c r="BL3498" s="458">
        <v>0.25816079591494789</v>
      </c>
      <c r="BM3498" s="468">
        <v>7.177496263588572</v>
      </c>
    </row>
    <row r="3499" spans="12:65" x14ac:dyDescent="0.3">
      <c r="L3499" s="427">
        <v>-1700414.8243</v>
      </c>
      <c r="BE3499" s="477">
        <v>3154828.7557216855</v>
      </c>
      <c r="BF3499" s="458">
        <v>5.4428369037024416E-2</v>
      </c>
      <c r="BG3499" s="477">
        <v>8694044.152182173</v>
      </c>
      <c r="BH3499" s="458">
        <v>5.1584488090254954E-2</v>
      </c>
      <c r="BI3499" s="477">
        <v>18814195.384054862</v>
      </c>
      <c r="BJ3499" s="458">
        <v>0.11448964884776758</v>
      </c>
      <c r="BK3499" s="477">
        <v>78395456.57163915</v>
      </c>
      <c r="BL3499" s="458">
        <v>0.26712404554512381</v>
      </c>
      <c r="BM3499" s="468">
        <v>12.041442162612679</v>
      </c>
    </row>
    <row r="3500" spans="12:65" x14ac:dyDescent="0.3">
      <c r="L3500" s="427">
        <v>15448191.4255</v>
      </c>
      <c r="BE3500" s="477">
        <v>785864.92123701877</v>
      </c>
      <c r="BF3500" s="458">
        <v>2.9927252884326183E-2</v>
      </c>
      <c r="BG3500" s="477">
        <v>10951821.291704124</v>
      </c>
      <c r="BH3500" s="458">
        <v>3.8051171660824057E-2</v>
      </c>
      <c r="BI3500" s="477">
        <v>20964874.206887592</v>
      </c>
      <c r="BJ3500" s="458">
        <v>9.7281539024429708E-2</v>
      </c>
      <c r="BK3500" s="477">
        <v>104123575.22318713</v>
      </c>
      <c r="BL3500" s="458">
        <v>0.2657799271434631</v>
      </c>
      <c r="BM3500" s="468">
        <v>9.5140357048691833</v>
      </c>
    </row>
    <row r="3501" spans="12:65" x14ac:dyDescent="0.3">
      <c r="L3501" s="427">
        <v>18018838.5185</v>
      </c>
      <c r="BE3501" s="477">
        <v>8413557.8477122895</v>
      </c>
      <c r="BF3501" s="458">
        <v>4.0019378417304852E-2</v>
      </c>
      <c r="BG3501" s="477">
        <v>3267297.1307395161</v>
      </c>
      <c r="BH3501" s="458">
        <v>6.8200445136323617E-2</v>
      </c>
      <c r="BI3501" s="477">
        <v>14884106.327864291</v>
      </c>
      <c r="BJ3501" s="458">
        <v>0.12047102357366923</v>
      </c>
      <c r="BK3501" s="477">
        <v>85007887.357077971</v>
      </c>
      <c r="BL3501" s="458">
        <v>0.27664814669067961</v>
      </c>
      <c r="BM3501" s="468">
        <v>5.0596326360995949</v>
      </c>
    </row>
    <row r="3502" spans="12:65" x14ac:dyDescent="0.3">
      <c r="L3502" s="427">
        <v>8154498.0657000002</v>
      </c>
      <c r="BE3502" s="477">
        <v>11315388.885788593</v>
      </c>
      <c r="BF3502" s="458">
        <v>4.0718153770755272E-2</v>
      </c>
      <c r="BG3502" s="477">
        <v>9320498.6548243836</v>
      </c>
      <c r="BH3502" s="458">
        <v>6.8976074168469514E-2</v>
      </c>
      <c r="BI3502" s="477">
        <v>9213461.2585714087</v>
      </c>
      <c r="BJ3502" s="458">
        <v>0.11590368887926994</v>
      </c>
      <c r="BK3502" s="477">
        <v>81325324.274812579</v>
      </c>
      <c r="BL3502" s="458">
        <v>0.26620872586585453</v>
      </c>
      <c r="BM3502" s="468">
        <v>7.9120668589114915</v>
      </c>
    </row>
    <row r="3503" spans="12:65" x14ac:dyDescent="0.3">
      <c r="L3503" s="427">
        <v>1860000.2194000001</v>
      </c>
      <c r="BE3503" s="477">
        <v>10835927.793936558</v>
      </c>
      <c r="BF3503" s="458">
        <v>4.4805276181468345E-2</v>
      </c>
      <c r="BG3503" s="477">
        <v>1917771.5506777563</v>
      </c>
      <c r="BH3503" s="458">
        <v>7.0963593853958784E-2</v>
      </c>
      <c r="BI3503" s="477">
        <v>23067766.865360823</v>
      </c>
      <c r="BJ3503" s="458">
        <v>0.11038010654564578</v>
      </c>
      <c r="BK3503" s="477">
        <v>93529847.714672878</v>
      </c>
      <c r="BL3503" s="458">
        <v>0.27068331795507827</v>
      </c>
      <c r="BM3503" s="468">
        <v>7.8161839888446707</v>
      </c>
    </row>
    <row r="3504" spans="12:65" x14ac:dyDescent="0.3">
      <c r="L3504" s="427">
        <v>1634336.9134</v>
      </c>
      <c r="BE3504" s="477">
        <v>1283548.4631774724</v>
      </c>
      <c r="BF3504" s="458">
        <v>5.0634920053063803E-2</v>
      </c>
      <c r="BG3504" s="477">
        <v>11580437.780574126</v>
      </c>
      <c r="BH3504" s="458">
        <v>5.2630554406105201E-2</v>
      </c>
      <c r="BI3504" s="477">
        <v>22346406.950584415</v>
      </c>
      <c r="BJ3504" s="458">
        <v>0.11976762925037043</v>
      </c>
      <c r="BK3504" s="477">
        <v>86385649.345312834</v>
      </c>
      <c r="BL3504" s="458">
        <v>0.2683291124753695</v>
      </c>
      <c r="BM3504" s="468">
        <v>9.8788477494999007</v>
      </c>
    </row>
    <row r="3505" spans="12:65" x14ac:dyDescent="0.3">
      <c r="L3505" s="427">
        <v>12458862.406099999</v>
      </c>
      <c r="BE3505" s="477">
        <v>9348562.1805026438</v>
      </c>
      <c r="BF3505" s="458">
        <v>3.4518927904488406E-2</v>
      </c>
      <c r="BG3505" s="477">
        <v>4994569.0554048233</v>
      </c>
      <c r="BH3505" s="458">
        <v>4.8955644090597161E-2</v>
      </c>
      <c r="BI3505" s="477">
        <v>13245943.576770891</v>
      </c>
      <c r="BJ3505" s="458">
        <v>9.1902929016412394E-2</v>
      </c>
      <c r="BK3505" s="477">
        <v>102310214.9767393</v>
      </c>
      <c r="BL3505" s="458">
        <v>0.26644264286497044</v>
      </c>
      <c r="BM3505" s="468">
        <v>16.319901171143066</v>
      </c>
    </row>
    <row r="3506" spans="12:65" x14ac:dyDescent="0.3">
      <c r="L3506" s="427">
        <v>-5654535.4220000003</v>
      </c>
      <c r="BE3506" s="477">
        <v>8021831.0235778308</v>
      </c>
      <c r="BF3506" s="458">
        <v>3.0650558237024228E-2</v>
      </c>
      <c r="BG3506" s="477">
        <v>6088455.5075720455</v>
      </c>
      <c r="BH3506" s="458">
        <v>2.7441592329544573E-2</v>
      </c>
      <c r="BI3506" s="477">
        <v>16440768.56589946</v>
      </c>
      <c r="BJ3506" s="458">
        <v>0.12404662600842364</v>
      </c>
      <c r="BK3506" s="477">
        <v>79377662.352019444</v>
      </c>
      <c r="BL3506" s="458">
        <v>0.25596352175864223</v>
      </c>
      <c r="BM3506" s="468">
        <v>2.0312340274071854</v>
      </c>
    </row>
    <row r="3507" spans="12:65" x14ac:dyDescent="0.3">
      <c r="L3507" s="427">
        <v>7153834.9675000003</v>
      </c>
      <c r="BE3507" s="477">
        <v>5618300.6441727951</v>
      </c>
      <c r="BF3507" s="458">
        <v>3.7403351143955099E-2</v>
      </c>
      <c r="BG3507" s="477">
        <v>12673744.017667463</v>
      </c>
      <c r="BH3507" s="458">
        <v>5.1002364156478075E-2</v>
      </c>
      <c r="BI3507" s="477">
        <v>25390174.789235864</v>
      </c>
      <c r="BJ3507" s="458">
        <v>0.10711439301448489</v>
      </c>
      <c r="BK3507" s="477">
        <v>103493427.29897389</v>
      </c>
      <c r="BL3507" s="458">
        <v>0.24423112887276455</v>
      </c>
      <c r="BM3507" s="468">
        <v>5.1697858041746745</v>
      </c>
    </row>
    <row r="3508" spans="12:65" x14ac:dyDescent="0.3">
      <c r="L3508" s="427">
        <v>-4180186.4391999999</v>
      </c>
      <c r="BE3508" s="477">
        <v>3556277.6386735942</v>
      </c>
      <c r="BF3508" s="458">
        <v>6.0566958868378151E-2</v>
      </c>
      <c r="BG3508" s="477">
        <v>7640328.7716989182</v>
      </c>
      <c r="BH3508" s="458">
        <v>5.505034645225626E-2</v>
      </c>
      <c r="BI3508" s="477">
        <v>18183083.029107358</v>
      </c>
      <c r="BJ3508" s="458">
        <v>0.1044791952412818</v>
      </c>
      <c r="BK3508" s="477">
        <v>97085162.351554662</v>
      </c>
      <c r="BL3508" s="458">
        <v>0.26858969677811961</v>
      </c>
      <c r="BM3508" s="468">
        <v>4.209509414019049</v>
      </c>
    </row>
    <row r="3509" spans="12:65" x14ac:dyDescent="0.3">
      <c r="L3509" s="427">
        <v>16219389.909499999</v>
      </c>
      <c r="BE3509" s="477">
        <v>7252238.5581563357</v>
      </c>
      <c r="BF3509" s="458">
        <v>6.9455960952222506E-2</v>
      </c>
      <c r="BG3509" s="477">
        <v>1631607.5500645642</v>
      </c>
      <c r="BH3509" s="458">
        <v>3.8649453341555784E-2</v>
      </c>
      <c r="BI3509" s="477">
        <v>22489124.940738432</v>
      </c>
      <c r="BJ3509" s="458">
        <v>0.10303316090908288</v>
      </c>
      <c r="BK3509" s="477">
        <v>100254079.73859629</v>
      </c>
      <c r="BL3509" s="458">
        <v>0.28486482171716365</v>
      </c>
      <c r="BM3509" s="468">
        <v>12.295087804988746</v>
      </c>
    </row>
    <row r="3510" spans="12:65" x14ac:dyDescent="0.3">
      <c r="L3510" s="427">
        <v>33320135.489599999</v>
      </c>
      <c r="BE3510" s="477">
        <v>5420116.9545196062</v>
      </c>
      <c r="BF3510" s="458">
        <v>3.1772247120888109E-2</v>
      </c>
      <c r="BG3510" s="477">
        <v>10781226.868781023</v>
      </c>
      <c r="BH3510" s="458">
        <v>7.5617203581797021E-2</v>
      </c>
      <c r="BI3510" s="477">
        <v>21612868.670515396</v>
      </c>
      <c r="BJ3510" s="458">
        <v>0.11393025959460457</v>
      </c>
      <c r="BK3510" s="477">
        <v>82133391.881093994</v>
      </c>
      <c r="BL3510" s="458">
        <v>0.27278195975613007</v>
      </c>
      <c r="BM3510" s="468">
        <v>8.4897375719081829</v>
      </c>
    </row>
    <row r="3511" spans="12:65" x14ac:dyDescent="0.3">
      <c r="L3511" s="427">
        <v>8837346.9572999999</v>
      </c>
      <c r="BE3511" s="477">
        <v>5679851.2720284946</v>
      </c>
      <c r="BF3511" s="458">
        <v>9.7201155539121009E-2</v>
      </c>
      <c r="BG3511" s="477">
        <v>11571622.804188075</v>
      </c>
      <c r="BH3511" s="458">
        <v>7.8014471593105483E-2</v>
      </c>
      <c r="BI3511" s="477">
        <v>22927655.122950524</v>
      </c>
      <c r="BJ3511" s="458">
        <v>0.11365493365703871</v>
      </c>
      <c r="BK3511" s="477">
        <v>71015222.996673152</v>
      </c>
      <c r="BL3511" s="458">
        <v>0.25821778266384476</v>
      </c>
      <c r="BM3511" s="468">
        <v>11.828224251212065</v>
      </c>
    </row>
    <row r="3512" spans="12:65" x14ac:dyDescent="0.3">
      <c r="L3512" s="427">
        <v>16564719.808700001</v>
      </c>
      <c r="BE3512" s="477">
        <v>4667669.7751714317</v>
      </c>
      <c r="BF3512" s="458">
        <v>4.2590532517569057E-2</v>
      </c>
      <c r="BG3512" s="477">
        <v>6915003.3635810306</v>
      </c>
      <c r="BH3512" s="458">
        <v>6.856346866754115E-2</v>
      </c>
      <c r="BI3512" s="477">
        <v>14144880.697458722</v>
      </c>
      <c r="BJ3512" s="458">
        <v>0.12587633511577812</v>
      </c>
      <c r="BK3512" s="477">
        <v>87765225.001852289</v>
      </c>
      <c r="BL3512" s="458">
        <v>0.28267615391429324</v>
      </c>
      <c r="BM3512" s="468">
        <v>5.2648783425332075</v>
      </c>
    </row>
    <row r="3513" spans="12:65" x14ac:dyDescent="0.3">
      <c r="L3513" s="427">
        <v>12720171.628599999</v>
      </c>
      <c r="BE3513" s="477">
        <v>8414344.6159571968</v>
      </c>
      <c r="BF3513" s="458">
        <v>3.3950302349223138E-2</v>
      </c>
      <c r="BG3513" s="477">
        <v>9339851.4215493631</v>
      </c>
      <c r="BH3513" s="458">
        <v>4.7003681261311048E-2</v>
      </c>
      <c r="BI3513" s="477">
        <v>7793593.6961920848</v>
      </c>
      <c r="BJ3513" s="458">
        <v>0.11648352208040147</v>
      </c>
      <c r="BK3513" s="477">
        <v>81796104.561828658</v>
      </c>
      <c r="BL3513" s="458">
        <v>0.26179699765158726</v>
      </c>
      <c r="BM3513" s="468">
        <v>5.6415448583686114</v>
      </c>
    </row>
    <row r="3514" spans="12:65" x14ac:dyDescent="0.3">
      <c r="L3514" s="427">
        <v>1911067.9809999999</v>
      </c>
      <c r="BE3514" s="477">
        <v>1113761.9648988137</v>
      </c>
      <c r="BF3514" s="458">
        <v>4.136481325074115E-2</v>
      </c>
      <c r="BG3514" s="477">
        <v>12835557.912544943</v>
      </c>
      <c r="BH3514" s="458">
        <v>7.4139236784644513E-2</v>
      </c>
      <c r="BI3514" s="477">
        <v>7193816.3064021496</v>
      </c>
      <c r="BJ3514" s="458">
        <v>0.11287164371545799</v>
      </c>
      <c r="BK3514" s="477">
        <v>85673133.439823896</v>
      </c>
      <c r="BL3514" s="458">
        <v>0.26919040366341851</v>
      </c>
      <c r="BM3514" s="468">
        <v>0.20892279412094172</v>
      </c>
    </row>
    <row r="3515" spans="12:65" x14ac:dyDescent="0.3">
      <c r="L3515" s="427">
        <v>13638087.683800001</v>
      </c>
      <c r="BE3515" s="477">
        <v>8141850.9030105472</v>
      </c>
      <c r="BF3515" s="458">
        <v>5.3212375781443555E-2</v>
      </c>
      <c r="BG3515" s="477">
        <v>12589454.601828204</v>
      </c>
      <c r="BH3515" s="458">
        <v>5.3922983944317382E-2</v>
      </c>
      <c r="BI3515" s="477">
        <v>7949079.4932799386</v>
      </c>
      <c r="BJ3515" s="458">
        <v>0.13522317514343873</v>
      </c>
      <c r="BK3515" s="477">
        <v>94934891.701466367</v>
      </c>
      <c r="BL3515" s="458">
        <v>0.26337870024925181</v>
      </c>
      <c r="BM3515" s="468">
        <v>9.1383700131101389</v>
      </c>
    </row>
    <row r="3516" spans="12:65" x14ac:dyDescent="0.3">
      <c r="L3516" s="427">
        <v>6163368.0182999996</v>
      </c>
      <c r="BE3516" s="477">
        <v>8992944.6954063941</v>
      </c>
      <c r="BF3516" s="458">
        <v>3.9241617174934351E-2</v>
      </c>
      <c r="BG3516" s="477">
        <v>6003426.1356261121</v>
      </c>
      <c r="BH3516" s="458">
        <v>6.4408285212930627E-2</v>
      </c>
      <c r="BI3516" s="477">
        <v>7940256.3515598439</v>
      </c>
      <c r="BJ3516" s="458">
        <v>9.5633851471864428E-2</v>
      </c>
      <c r="BK3516" s="477">
        <v>93363110.794018194</v>
      </c>
      <c r="BL3516" s="458">
        <v>0.26740444230689731</v>
      </c>
      <c r="BM3516" s="468">
        <v>11.600810161895348</v>
      </c>
    </row>
    <row r="3517" spans="12:65" x14ac:dyDescent="0.3">
      <c r="L3517" s="427">
        <v>5822168.0998</v>
      </c>
      <c r="BE3517" s="477">
        <v>1171738.9834637267</v>
      </c>
      <c r="BF3517" s="458">
        <v>4.6293624649693443E-2</v>
      </c>
      <c r="BG3517" s="477">
        <v>8853164.8399836272</v>
      </c>
      <c r="BH3517" s="458">
        <v>6.5637447801393911E-2</v>
      </c>
      <c r="BI3517" s="477">
        <v>21370403.428510144</v>
      </c>
      <c r="BJ3517" s="458">
        <v>0.10269308985930192</v>
      </c>
      <c r="BK3517" s="477">
        <v>82386286.626036316</v>
      </c>
      <c r="BL3517" s="458">
        <v>0.28038784000601824</v>
      </c>
      <c r="BM3517" s="468">
        <v>8.6304672788036534</v>
      </c>
    </row>
    <row r="3518" spans="12:65" x14ac:dyDescent="0.3">
      <c r="L3518" s="427">
        <v>8324560.5475000003</v>
      </c>
      <c r="BE3518" s="477">
        <v>6332431.1304291161</v>
      </c>
      <c r="BF3518" s="458">
        <v>6.1209434279616781E-2</v>
      </c>
      <c r="BG3518" s="477">
        <v>1681254.6116983143</v>
      </c>
      <c r="BH3518" s="458">
        <v>7.3471781077419474E-2</v>
      </c>
      <c r="BI3518" s="477">
        <v>14997958.191814162</v>
      </c>
      <c r="BJ3518" s="458">
        <v>8.9512370783809025E-2</v>
      </c>
      <c r="BK3518" s="477">
        <v>96609568.129861236</v>
      </c>
      <c r="BL3518" s="458">
        <v>0.25415208019596447</v>
      </c>
      <c r="BM3518" s="468">
        <v>12.60773555052965</v>
      </c>
    </row>
    <row r="3519" spans="12:65" x14ac:dyDescent="0.3">
      <c r="L3519" s="427">
        <v>8743599.2758000009</v>
      </c>
      <c r="BE3519" s="477">
        <v>4913372.0535998363</v>
      </c>
      <c r="BF3519" s="458">
        <v>2.5072114258053002E-2</v>
      </c>
      <c r="BG3519" s="477">
        <v>7798415.7621681225</v>
      </c>
      <c r="BH3519" s="458">
        <v>6.8909806905673499E-2</v>
      </c>
      <c r="BI3519" s="477">
        <v>8915982.5882436298</v>
      </c>
      <c r="BJ3519" s="458">
        <v>0.12130223820954367</v>
      </c>
      <c r="BK3519" s="477">
        <v>84910872.881429121</v>
      </c>
      <c r="BL3519" s="458">
        <v>0.2826610747042495</v>
      </c>
      <c r="BM3519" s="468">
        <v>8.9046334078057434</v>
      </c>
    </row>
    <row r="3520" spans="12:65" x14ac:dyDescent="0.3">
      <c r="L3520" s="427">
        <v>744219.00970000005</v>
      </c>
      <c r="BE3520" s="477">
        <v>162634.55930873845</v>
      </c>
      <c r="BF3520" s="458">
        <v>6.5450779409415238E-2</v>
      </c>
      <c r="BG3520" s="477">
        <v>6735385.1897292817</v>
      </c>
      <c r="BH3520" s="458">
        <v>6.9513970817993265E-2</v>
      </c>
      <c r="BI3520" s="477">
        <v>20102576.832107376</v>
      </c>
      <c r="BJ3520" s="458">
        <v>0.11115837793838845</v>
      </c>
      <c r="BK3520" s="477">
        <v>70868161.985042736</v>
      </c>
      <c r="BL3520" s="458">
        <v>0.26917801896578064</v>
      </c>
      <c r="BM3520" s="468">
        <v>9.7047441654020545</v>
      </c>
    </row>
    <row r="3521" spans="12:65" x14ac:dyDescent="0.3">
      <c r="L3521" s="427">
        <v>13561960.219599999</v>
      </c>
      <c r="BE3521" s="477">
        <v>5492572.9237604355</v>
      </c>
      <c r="BF3521" s="458">
        <v>3.2304964911693101E-2</v>
      </c>
      <c r="BG3521" s="477">
        <v>15585847.037715957</v>
      </c>
      <c r="BH3521" s="458">
        <v>8.0561459690144721E-2</v>
      </c>
      <c r="BI3521" s="477">
        <v>10452119.871302694</v>
      </c>
      <c r="BJ3521" s="458">
        <v>8.0587508344219794E-2</v>
      </c>
      <c r="BK3521" s="477">
        <v>85816437.317251116</v>
      </c>
      <c r="BL3521" s="458">
        <v>0.28072480983043713</v>
      </c>
      <c r="BM3521" s="468">
        <v>5.3226890220703638</v>
      </c>
    </row>
    <row r="3522" spans="12:65" x14ac:dyDescent="0.3">
      <c r="L3522" s="427">
        <v>11240427.1347</v>
      </c>
      <c r="BE3522" s="477">
        <v>4921587.6353461109</v>
      </c>
      <c r="BF3522" s="458">
        <v>4.1794992837044687E-2</v>
      </c>
      <c r="BG3522" s="477">
        <v>13752991.552404977</v>
      </c>
      <c r="BH3522" s="458">
        <v>4.5217355917677615E-2</v>
      </c>
      <c r="BI3522" s="477">
        <v>20526123.446602147</v>
      </c>
      <c r="BJ3522" s="458">
        <v>0.13251211890228598</v>
      </c>
      <c r="BK3522" s="477">
        <v>86817841.528524414</v>
      </c>
      <c r="BL3522" s="458">
        <v>0.27329323007573736</v>
      </c>
      <c r="BM3522" s="468">
        <v>10.238932506107369</v>
      </c>
    </row>
    <row r="3523" spans="12:65" x14ac:dyDescent="0.3">
      <c r="L3523" s="427">
        <v>14541739.792300001</v>
      </c>
      <c r="BE3523" s="477">
        <v>5824794.3414808959</v>
      </c>
      <c r="BF3523" s="458">
        <v>6.1227634530075292E-2</v>
      </c>
      <c r="BG3523" s="477">
        <v>6235816.2790597528</v>
      </c>
      <c r="BH3523" s="458">
        <v>3.775489221345607E-2</v>
      </c>
      <c r="BI3523" s="477">
        <v>16672152.831788698</v>
      </c>
      <c r="BJ3523" s="458">
        <v>0.12491008360219036</v>
      </c>
      <c r="BK3523" s="477">
        <v>87826600.315748155</v>
      </c>
      <c r="BL3523" s="458">
        <v>0.262545089389155</v>
      </c>
      <c r="BM3523" s="468">
        <v>4.8541288932212474</v>
      </c>
    </row>
    <row r="3524" spans="12:65" x14ac:dyDescent="0.3">
      <c r="L3524" s="427">
        <v>11249564.9022</v>
      </c>
      <c r="BE3524" s="477">
        <v>4704007.9083909607</v>
      </c>
      <c r="BF3524" s="458">
        <v>2.9502983760098189E-2</v>
      </c>
      <c r="BG3524" s="477">
        <v>11417543.956645366</v>
      </c>
      <c r="BH3524" s="458">
        <v>0.12129301199834308</v>
      </c>
      <c r="BI3524" s="477">
        <v>16717275.501127893</v>
      </c>
      <c r="BJ3524" s="458">
        <v>0.13229007222598055</v>
      </c>
      <c r="BK3524" s="477">
        <v>96487778.559574053</v>
      </c>
      <c r="BL3524" s="458">
        <v>0.25080851900711099</v>
      </c>
      <c r="BM3524" s="468">
        <v>7.4441108670797513</v>
      </c>
    </row>
    <row r="3525" spans="12:65" x14ac:dyDescent="0.3">
      <c r="L3525" s="427">
        <v>5198539.9214000003</v>
      </c>
      <c r="BE3525" s="477">
        <v>6455687.0361878509</v>
      </c>
      <c r="BF3525" s="458">
        <v>4.8898989331157106E-2</v>
      </c>
      <c r="BG3525" s="477">
        <v>11413016.094667969</v>
      </c>
      <c r="BH3525" s="458">
        <v>5.0088262621492463E-2</v>
      </c>
      <c r="BI3525" s="477">
        <v>19799944.192576546</v>
      </c>
      <c r="BJ3525" s="458">
        <v>0.13328758470558166</v>
      </c>
      <c r="BK3525" s="477">
        <v>103690931.1180416</v>
      </c>
      <c r="BL3525" s="458">
        <v>0.26489831372993344</v>
      </c>
      <c r="BM3525" s="468">
        <v>12.118326108044048</v>
      </c>
    </row>
    <row r="3526" spans="12:65" x14ac:dyDescent="0.3">
      <c r="L3526" s="427">
        <v>2265500.8242000001</v>
      </c>
      <c r="BE3526" s="477">
        <v>10496470.319618732</v>
      </c>
      <c r="BF3526" s="458">
        <v>5.5206185253335205E-2</v>
      </c>
      <c r="BG3526" s="477">
        <v>8296732.9730230458</v>
      </c>
      <c r="BH3526" s="458">
        <v>5.7338771680690126E-2</v>
      </c>
      <c r="BI3526" s="477">
        <v>17236028.216548618</v>
      </c>
      <c r="BJ3526" s="458">
        <v>0.10164791121371985</v>
      </c>
      <c r="BK3526" s="477">
        <v>80282667.835568592</v>
      </c>
      <c r="BL3526" s="458">
        <v>0.25461634923991405</v>
      </c>
      <c r="BM3526" s="468">
        <v>12.391499385101469</v>
      </c>
    </row>
    <row r="3527" spans="12:65" x14ac:dyDescent="0.3">
      <c r="L3527" s="427">
        <v>975024.04040000006</v>
      </c>
      <c r="BE3527" s="477">
        <v>3931195.79556116</v>
      </c>
      <c r="BF3527" s="458">
        <v>5.3425471051898654E-2</v>
      </c>
      <c r="BG3527" s="477">
        <v>3453528.6926476918</v>
      </c>
      <c r="BH3527" s="458">
        <v>3.6312423752834944E-2</v>
      </c>
      <c r="BI3527" s="477">
        <v>19012222.635462992</v>
      </c>
      <c r="BJ3527" s="458">
        <v>0.11858518767040249</v>
      </c>
      <c r="BK3527" s="477">
        <v>88924533.847110897</v>
      </c>
      <c r="BL3527" s="458">
        <v>0.27167356425904599</v>
      </c>
      <c r="BM3527" s="468">
        <v>9.1591732679603481</v>
      </c>
    </row>
    <row r="3528" spans="12:65" x14ac:dyDescent="0.3">
      <c r="L3528" s="427">
        <v>4007541.3531999998</v>
      </c>
      <c r="BE3528" s="477">
        <v>4673523.6389415469</v>
      </c>
      <c r="BF3528" s="458">
        <v>3.5846765348561238E-2</v>
      </c>
      <c r="BG3528" s="477">
        <v>3559581.1962899044</v>
      </c>
      <c r="BH3528" s="458">
        <v>4.1964206854338215E-2</v>
      </c>
      <c r="BI3528" s="477">
        <v>6615608.0871687168</v>
      </c>
      <c r="BJ3528" s="458">
        <v>9.531033419110968E-2</v>
      </c>
      <c r="BK3528" s="477">
        <v>96822130.95684281</v>
      </c>
      <c r="BL3528" s="458">
        <v>0.25891266092971876</v>
      </c>
      <c r="BM3528" s="468">
        <v>13.768899490499205</v>
      </c>
    </row>
    <row r="3529" spans="12:65" x14ac:dyDescent="0.3">
      <c r="L3529" s="427">
        <v>-4290948.9499000004</v>
      </c>
      <c r="BE3529" s="477">
        <v>5535551.7509775264</v>
      </c>
      <c r="BF3529" s="458">
        <v>3.3067883861043645E-2</v>
      </c>
      <c r="BG3529" s="477">
        <v>12327176.997759296</v>
      </c>
      <c r="BH3529" s="458">
        <v>4.8904462438906338E-2</v>
      </c>
      <c r="BI3529" s="477">
        <v>17823787.856451266</v>
      </c>
      <c r="BJ3529" s="458">
        <v>0.11286951879809859</v>
      </c>
      <c r="BK3529" s="477">
        <v>103634217.09530118</v>
      </c>
      <c r="BL3529" s="458">
        <v>0.26298445680396676</v>
      </c>
      <c r="BM3529" s="468">
        <v>15.092951559667462</v>
      </c>
    </row>
    <row r="3530" spans="12:65" x14ac:dyDescent="0.3">
      <c r="L3530" s="427">
        <v>7312279.3090000004</v>
      </c>
      <c r="BE3530" s="477">
        <v>6024588.597777959</v>
      </c>
      <c r="BF3530" s="458">
        <v>4.8897348311230493E-2</v>
      </c>
      <c r="BG3530" s="477">
        <v>15255315.804122806</v>
      </c>
      <c r="BH3530" s="458">
        <v>8.6642551416342251E-2</v>
      </c>
      <c r="BI3530" s="477">
        <v>15435630.227515809</v>
      </c>
      <c r="BJ3530" s="458">
        <v>8.9270307557712369E-2</v>
      </c>
      <c r="BK3530" s="477">
        <v>81560655.772363424</v>
      </c>
      <c r="BL3530" s="458">
        <v>0.26168591634425842</v>
      </c>
      <c r="BM3530" s="468">
        <v>1.5010811908542125</v>
      </c>
    </row>
    <row r="3531" spans="12:65" x14ac:dyDescent="0.3">
      <c r="L3531" s="427">
        <v>15641468.596100001</v>
      </c>
      <c r="BE3531" s="477">
        <v>5279596.2071477091</v>
      </c>
      <c r="BF3531" s="458">
        <v>4.4870563217971338E-2</v>
      </c>
      <c r="BG3531" s="477">
        <v>2701192.6028823568</v>
      </c>
      <c r="BH3531" s="458">
        <v>3.4204047729522458E-2</v>
      </c>
      <c r="BI3531" s="477">
        <v>21153415.17920455</v>
      </c>
      <c r="BJ3531" s="458">
        <v>0.10403342002830618</v>
      </c>
      <c r="BK3531" s="477">
        <v>108666017.20682889</v>
      </c>
      <c r="BL3531" s="458">
        <v>0.28617069730182232</v>
      </c>
      <c r="BM3531" s="468">
        <v>11.189496130626924</v>
      </c>
    </row>
    <row r="3532" spans="12:65" x14ac:dyDescent="0.3">
      <c r="L3532" s="427">
        <v>-1427628.4844</v>
      </c>
      <c r="BE3532" s="477">
        <v>5914125.9504221529</v>
      </c>
      <c r="BF3532" s="458">
        <v>4.3559202851660483E-2</v>
      </c>
      <c r="BG3532" s="477">
        <v>17717464.756109405</v>
      </c>
      <c r="BH3532" s="458">
        <v>6.5792935614871206E-2</v>
      </c>
      <c r="BI3532" s="477">
        <v>16721623.258791348</v>
      </c>
      <c r="BJ3532" s="458">
        <v>0.10411751805357672</v>
      </c>
      <c r="BK3532" s="477">
        <v>95572189.837096229</v>
      </c>
      <c r="BL3532" s="458">
        <v>0.2557226807656916</v>
      </c>
      <c r="BM3532" s="468">
        <v>11.533677308075694</v>
      </c>
    </row>
    <row r="3533" spans="12:65" x14ac:dyDescent="0.3">
      <c r="L3533" s="427">
        <v>14055258.3617</v>
      </c>
      <c r="BE3533" s="477">
        <v>11772594.803992162</v>
      </c>
      <c r="BF3533" s="458">
        <v>3.5798876160177517E-2</v>
      </c>
      <c r="BG3533" s="477">
        <v>3977041.6856942233</v>
      </c>
      <c r="BH3533" s="458">
        <v>6.5082771440192255E-2</v>
      </c>
      <c r="BI3533" s="477">
        <v>22903617.175717596</v>
      </c>
      <c r="BJ3533" s="458">
        <v>7.3445819289405412E-2</v>
      </c>
      <c r="BK3533" s="477">
        <v>92134897.3786764</v>
      </c>
      <c r="BL3533" s="458">
        <v>0.29451409612671808</v>
      </c>
      <c r="BM3533" s="468">
        <v>8.9299581613463435</v>
      </c>
    </row>
    <row r="3534" spans="12:65" x14ac:dyDescent="0.3">
      <c r="L3534" s="427">
        <v>5377880.9274000004</v>
      </c>
      <c r="BE3534" s="477">
        <v>1439022.6340044132</v>
      </c>
      <c r="BF3534" s="458">
        <v>4.9589608494725823E-2</v>
      </c>
      <c r="BG3534" s="477">
        <v>9130193.9904930964</v>
      </c>
      <c r="BH3534" s="458">
        <v>7.4316307213008193E-2</v>
      </c>
      <c r="BI3534" s="477">
        <v>13640262.631197972</v>
      </c>
      <c r="BJ3534" s="458">
        <v>0.10073195050046935</v>
      </c>
      <c r="BK3534" s="477">
        <v>97890675.522734269</v>
      </c>
      <c r="BL3534" s="458">
        <v>0.25855466773398339</v>
      </c>
      <c r="BM3534" s="468">
        <v>10.417294001833165</v>
      </c>
    </row>
    <row r="3535" spans="12:65" x14ac:dyDescent="0.3">
      <c r="L3535" s="427">
        <v>7868018.6701999996</v>
      </c>
      <c r="BE3535" s="477">
        <v>1335534.6998428709</v>
      </c>
      <c r="BF3535" s="458">
        <v>4.0920480580253438E-2</v>
      </c>
      <c r="BG3535" s="477">
        <v>6104726.1320211291</v>
      </c>
      <c r="BH3535" s="458">
        <v>7.1780709496240824E-2</v>
      </c>
      <c r="BI3535" s="477">
        <v>10821671.358887136</v>
      </c>
      <c r="BJ3535" s="458">
        <v>9.9904925400162048E-2</v>
      </c>
      <c r="BK3535" s="477">
        <v>97042537.942026615</v>
      </c>
      <c r="BL3535" s="458">
        <v>0.27066530720158477</v>
      </c>
      <c r="BM3535" s="468">
        <v>9.8485465698039665</v>
      </c>
    </row>
    <row r="3536" spans="12:65" x14ac:dyDescent="0.3">
      <c r="L3536" s="427">
        <v>361070.7574</v>
      </c>
      <c r="BE3536" s="477">
        <v>7753545.8252812522</v>
      </c>
      <c r="BF3536" s="458">
        <v>2.9194141197125711E-2</v>
      </c>
      <c r="BG3536" s="477">
        <v>10578939.729968959</v>
      </c>
      <c r="BH3536" s="458">
        <v>4.2118727454584448E-2</v>
      </c>
      <c r="BI3536" s="477">
        <v>16077819.288899831</v>
      </c>
      <c r="BJ3536" s="458">
        <v>0.11027137464868275</v>
      </c>
      <c r="BK3536" s="477">
        <v>86805405.014139324</v>
      </c>
      <c r="BL3536" s="458">
        <v>0.26728211119295886</v>
      </c>
      <c r="BM3536" s="468">
        <v>7.1770728790477465</v>
      </c>
    </row>
    <row r="3537" spans="12:65" x14ac:dyDescent="0.3">
      <c r="L3537" s="427">
        <v>-275075.10849999997</v>
      </c>
      <c r="BE3537" s="477">
        <v>4556629.6051268997</v>
      </c>
      <c r="BF3537" s="458">
        <v>3.313893628391984E-2</v>
      </c>
      <c r="BG3537" s="477">
        <v>17228818.581221741</v>
      </c>
      <c r="BH3537" s="458">
        <v>7.1594542105309467E-2</v>
      </c>
      <c r="BI3537" s="477">
        <v>20771840.979023151</v>
      </c>
      <c r="BJ3537" s="458">
        <v>0.10955617660063832</v>
      </c>
      <c r="BK3537" s="477">
        <v>74537059.634656549</v>
      </c>
      <c r="BL3537" s="458">
        <v>0.25868786886760953</v>
      </c>
      <c r="BM3537" s="468">
        <v>6.3537186383366357</v>
      </c>
    </row>
    <row r="3538" spans="12:65" x14ac:dyDescent="0.3">
      <c r="L3538" s="427">
        <v>3210215.6504000002</v>
      </c>
      <c r="BE3538" s="477">
        <v>2041754.4065126323</v>
      </c>
      <c r="BF3538" s="458">
        <v>5.9633000626453159E-2</v>
      </c>
      <c r="BG3538" s="477">
        <v>14908372.949908862</v>
      </c>
      <c r="BH3538" s="458">
        <v>8.5614349827815239E-2</v>
      </c>
      <c r="BI3538" s="477">
        <v>17729167.776045714</v>
      </c>
      <c r="BJ3538" s="458">
        <v>7.6800184747368938E-2</v>
      </c>
      <c r="BK3538" s="477">
        <v>82603790.720340699</v>
      </c>
      <c r="BL3538" s="458">
        <v>0.28431034143292</v>
      </c>
      <c r="BM3538" s="468">
        <v>8.3104794385132479</v>
      </c>
    </row>
    <row r="3539" spans="12:65" x14ac:dyDescent="0.3">
      <c r="L3539" s="427">
        <v>24320102.997499999</v>
      </c>
      <c r="BE3539" s="477">
        <v>3425681.3164067501</v>
      </c>
      <c r="BF3539" s="458">
        <v>3.4571557072253345E-2</v>
      </c>
      <c r="BG3539" s="477">
        <v>7459577.8710714076</v>
      </c>
      <c r="BH3539" s="458">
        <v>3.476913173777918E-2</v>
      </c>
      <c r="BI3539" s="477">
        <v>10286566.868089467</v>
      </c>
      <c r="BJ3539" s="458">
        <v>7.902446042918565E-2</v>
      </c>
      <c r="BK3539" s="477">
        <v>95238781.661833704</v>
      </c>
      <c r="BL3539" s="458">
        <v>0.27118328009574966</v>
      </c>
      <c r="BM3539" s="468">
        <v>12.020854948616641</v>
      </c>
    </row>
    <row r="3540" spans="12:65" x14ac:dyDescent="0.3">
      <c r="L3540" s="427">
        <v>11591431.9793</v>
      </c>
      <c r="BE3540" s="477">
        <v>4948045.6955065038</v>
      </c>
      <c r="BF3540" s="458">
        <v>3.8592596684114966E-2</v>
      </c>
      <c r="BG3540" s="477">
        <v>6622295.9977258127</v>
      </c>
      <c r="BH3540" s="458">
        <v>6.5399330363641317E-2</v>
      </c>
      <c r="BI3540" s="477">
        <v>25936084.68475062</v>
      </c>
      <c r="BJ3540" s="458">
        <v>0.11010560908724432</v>
      </c>
      <c r="BK3540" s="477">
        <v>85149558.841081709</v>
      </c>
      <c r="BL3540" s="458">
        <v>0.26851796592321842</v>
      </c>
      <c r="BM3540" s="468">
        <v>12.409272857342</v>
      </c>
    </row>
    <row r="3541" spans="12:65" x14ac:dyDescent="0.3">
      <c r="L3541" s="427">
        <v>31559518.712499999</v>
      </c>
      <c r="BE3541" s="477">
        <v>1858765.8109198695</v>
      </c>
      <c r="BF3541" s="458">
        <v>4.2077935273428624E-2</v>
      </c>
      <c r="BG3541" s="477">
        <v>9236970.4034252837</v>
      </c>
      <c r="BH3541" s="458">
        <v>6.413543646065456E-2</v>
      </c>
      <c r="BI3541" s="477">
        <v>29335799.362088561</v>
      </c>
      <c r="BJ3541" s="458">
        <v>6.414675833926764E-2</v>
      </c>
      <c r="BK3541" s="477">
        <v>91560960.647379145</v>
      </c>
      <c r="BL3541" s="458">
        <v>0.26644273112819561</v>
      </c>
      <c r="BM3541" s="468">
        <v>3.5447475273355415</v>
      </c>
    </row>
    <row r="3542" spans="12:65" x14ac:dyDescent="0.3">
      <c r="L3542" s="427">
        <v>17478686.861299999</v>
      </c>
      <c r="BE3542" s="477">
        <v>4482964.1688697282</v>
      </c>
      <c r="BF3542" s="458">
        <v>4.4388250771371762E-2</v>
      </c>
      <c r="BG3542" s="477">
        <v>9887534.2747865953</v>
      </c>
      <c r="BH3542" s="458">
        <v>5.3299753744756595E-2</v>
      </c>
      <c r="BI3542" s="477">
        <v>19967469.947750207</v>
      </c>
      <c r="BJ3542" s="458">
        <v>0.12470592886755982</v>
      </c>
      <c r="BK3542" s="477">
        <v>88515366.054709643</v>
      </c>
      <c r="BL3542" s="458">
        <v>0.27747683006393631</v>
      </c>
      <c r="BM3542" s="468">
        <v>9.1189393619683869</v>
      </c>
    </row>
    <row r="3543" spans="12:65" x14ac:dyDescent="0.3">
      <c r="L3543" s="427">
        <v>17282204.601</v>
      </c>
      <c r="BE3543" s="477">
        <v>4326112.8398422943</v>
      </c>
      <c r="BF3543" s="458">
        <v>2.5141870198416072E-2</v>
      </c>
      <c r="BG3543" s="477">
        <v>4759335.8700776054</v>
      </c>
      <c r="BH3543" s="458">
        <v>6.2092268575322462E-2</v>
      </c>
      <c r="BI3543" s="477">
        <v>10812029.368535586</v>
      </c>
      <c r="BJ3543" s="458">
        <v>9.9066011769347151E-2</v>
      </c>
      <c r="BK3543" s="477">
        <v>85432537.209807813</v>
      </c>
      <c r="BL3543" s="458">
        <v>0.2755630205449644</v>
      </c>
      <c r="BM3543" s="468">
        <v>7.7324611398425098</v>
      </c>
    </row>
    <row r="3544" spans="12:65" x14ac:dyDescent="0.3">
      <c r="L3544" s="427">
        <v>8922096.9638</v>
      </c>
      <c r="BE3544" s="477">
        <v>6525693.7315888619</v>
      </c>
      <c r="BF3544" s="458">
        <v>3.8237818505448384E-2</v>
      </c>
      <c r="BG3544" s="477">
        <v>1802828.970873269</v>
      </c>
      <c r="BH3544" s="458">
        <v>5.2717113547654737E-2</v>
      </c>
      <c r="BI3544" s="477">
        <v>16442989.632147323</v>
      </c>
      <c r="BJ3544" s="458">
        <v>0.12817452111647576</v>
      </c>
      <c r="BK3544" s="477">
        <v>91899209.25444977</v>
      </c>
      <c r="BL3544" s="458">
        <v>0.27387662902397092</v>
      </c>
      <c r="BM3544" s="468">
        <v>10.503111732499706</v>
      </c>
    </row>
    <row r="3545" spans="12:65" x14ac:dyDescent="0.3">
      <c r="L3545" s="427">
        <v>26229734.8884</v>
      </c>
      <c r="BE3545" s="477">
        <v>3413757.710026361</v>
      </c>
      <c r="BF3545" s="458">
        <v>3.9249670078012944E-2</v>
      </c>
      <c r="BG3545" s="477">
        <v>4611586.5166413523</v>
      </c>
      <c r="BH3545" s="458">
        <v>8.4970452169872646E-2</v>
      </c>
      <c r="BI3545" s="477">
        <v>17753577.72459273</v>
      </c>
      <c r="BJ3545" s="458">
        <v>8.2807658412020091E-2</v>
      </c>
      <c r="BK3545" s="477">
        <v>73585431.754533485</v>
      </c>
      <c r="BL3545" s="458">
        <v>0.29685735339973074</v>
      </c>
      <c r="BM3545" s="468">
        <v>9.3932169507954217</v>
      </c>
    </row>
    <row r="3546" spans="12:65" x14ac:dyDescent="0.3">
      <c r="L3546" s="427">
        <v>12810539.470000001</v>
      </c>
      <c r="BE3546" s="477">
        <v>8701966.1543236282</v>
      </c>
      <c r="BF3546" s="458">
        <v>6.1571025927939171E-2</v>
      </c>
      <c r="BG3546" s="477">
        <v>6110408.1075864797</v>
      </c>
      <c r="BH3546" s="458">
        <v>6.4471390166795484E-2</v>
      </c>
      <c r="BI3546" s="477">
        <v>20292303.779830415</v>
      </c>
      <c r="BJ3546" s="458">
        <v>0.11452161426402796</v>
      </c>
      <c r="BK3546" s="477">
        <v>80362633.751730487</v>
      </c>
      <c r="BL3546" s="458">
        <v>0.26457908538066643</v>
      </c>
      <c r="BM3546" s="468">
        <v>6.3204323268987634</v>
      </c>
    </row>
    <row r="3547" spans="12:65" x14ac:dyDescent="0.3">
      <c r="L3547" s="427">
        <v>-10191439.658299999</v>
      </c>
      <c r="BE3547" s="477">
        <v>5154349.1968948347</v>
      </c>
      <c r="BF3547" s="458">
        <v>3.2051766578731655E-2</v>
      </c>
      <c r="BG3547" s="477">
        <v>11048119.159536982</v>
      </c>
      <c r="BH3547" s="458">
        <v>4.3088526869840216E-2</v>
      </c>
      <c r="BI3547" s="477">
        <v>18418932.370838996</v>
      </c>
      <c r="BJ3547" s="458">
        <v>8.7957024001615425E-2</v>
      </c>
      <c r="BK3547" s="477">
        <v>83861097.267874941</v>
      </c>
      <c r="BL3547" s="458">
        <v>0.29198702764485018</v>
      </c>
      <c r="BM3547" s="468">
        <v>7.4332964482335031</v>
      </c>
    </row>
    <row r="3548" spans="12:65" x14ac:dyDescent="0.3">
      <c r="L3548" s="427">
        <v>13616355.487299999</v>
      </c>
      <c r="BE3548" s="477">
        <v>6682116.3394579832</v>
      </c>
      <c r="BF3548" s="458">
        <v>2.6227875057703187E-2</v>
      </c>
      <c r="BG3548" s="477">
        <v>11622430.652416611</v>
      </c>
      <c r="BH3548" s="458">
        <v>7.5351945618913119E-2</v>
      </c>
      <c r="BI3548" s="477">
        <v>20253162.427273255</v>
      </c>
      <c r="BJ3548" s="458">
        <v>0.16203920457575438</v>
      </c>
      <c r="BK3548" s="477">
        <v>70987965.252726659</v>
      </c>
      <c r="BL3548" s="458">
        <v>0.28283234898214782</v>
      </c>
      <c r="BM3548" s="468">
        <v>7.6963333100410845</v>
      </c>
    </row>
    <row r="3549" spans="12:65" x14ac:dyDescent="0.3">
      <c r="L3549" s="427">
        <v>3393007.8906999999</v>
      </c>
      <c r="BE3549" s="477">
        <v>2564713.4124484919</v>
      </c>
      <c r="BF3549" s="458">
        <v>2.9442621354875076E-2</v>
      </c>
      <c r="BG3549" s="477">
        <v>10963089.49021689</v>
      </c>
      <c r="BH3549" s="458">
        <v>7.780099118053263E-2</v>
      </c>
      <c r="BI3549" s="477">
        <v>18680336.174367927</v>
      </c>
      <c r="BJ3549" s="458">
        <v>0.11797571637271154</v>
      </c>
      <c r="BK3549" s="477">
        <v>75077020.531211555</v>
      </c>
      <c r="BL3549" s="458">
        <v>0.28402659139190889</v>
      </c>
      <c r="BM3549" s="468">
        <v>6.9467111922336811</v>
      </c>
    </row>
    <row r="3550" spans="12:65" x14ac:dyDescent="0.3">
      <c r="L3550" s="427">
        <v>19057411.126499999</v>
      </c>
      <c r="BE3550" s="477">
        <v>10059305.859012876</v>
      </c>
      <c r="BF3550" s="458">
        <v>3.9731925235613863E-2</v>
      </c>
      <c r="BG3550" s="477">
        <v>1702474.5027576038</v>
      </c>
      <c r="BH3550" s="458">
        <v>9.3214022846415778E-2</v>
      </c>
      <c r="BI3550" s="477">
        <v>19639023.560345162</v>
      </c>
      <c r="BJ3550" s="458">
        <v>0.10484746358776231</v>
      </c>
      <c r="BK3550" s="477">
        <v>98150298.44949016</v>
      </c>
      <c r="BL3550" s="458">
        <v>0.27226902312890244</v>
      </c>
      <c r="BM3550" s="468">
        <v>8.7138236564390379</v>
      </c>
    </row>
    <row r="3551" spans="12:65" x14ac:dyDescent="0.3">
      <c r="L3551" s="427">
        <v>17979833.443999998</v>
      </c>
      <c r="BE3551" s="477">
        <v>8064732.4456249438</v>
      </c>
      <c r="BF3551" s="458">
        <v>6.8340101340851112E-2</v>
      </c>
      <c r="BG3551" s="477">
        <v>7559286.1062220316</v>
      </c>
      <c r="BH3551" s="458">
        <v>6.3644958836744481E-2</v>
      </c>
      <c r="BI3551" s="477">
        <v>724385.4038051971</v>
      </c>
      <c r="BJ3551" s="458">
        <v>0.10315790384420387</v>
      </c>
      <c r="BK3551" s="477">
        <v>90045776.686557502</v>
      </c>
      <c r="BL3551" s="458">
        <v>0.25700820565804783</v>
      </c>
      <c r="BM3551" s="468">
        <v>10.604520450069524</v>
      </c>
    </row>
    <row r="3552" spans="12:65" x14ac:dyDescent="0.3">
      <c r="L3552" s="427">
        <v>-1753404.5581</v>
      </c>
      <c r="BE3552" s="477">
        <v>8224783.0312850801</v>
      </c>
      <c r="BF3552" s="458">
        <v>3.8834638926332543E-2</v>
      </c>
      <c r="BG3552" s="477">
        <v>9296076.9527040683</v>
      </c>
      <c r="BH3552" s="458">
        <v>7.745395356961926E-2</v>
      </c>
      <c r="BI3552" s="477">
        <v>18497081.234468542</v>
      </c>
      <c r="BJ3552" s="458">
        <v>0.10018817062183905</v>
      </c>
      <c r="BK3552" s="477">
        <v>103033227.86070821</v>
      </c>
      <c r="BL3552" s="458">
        <v>0.27043053886725299</v>
      </c>
      <c r="BM3552" s="468">
        <v>13.925975394362002</v>
      </c>
    </row>
    <row r="3553" spans="12:65" x14ac:dyDescent="0.3">
      <c r="L3553" s="427">
        <v>8199597.0456999997</v>
      </c>
      <c r="BE3553" s="477">
        <v>6728148.4005433712</v>
      </c>
      <c r="BF3553" s="458">
        <v>3.9527731184905823E-2</v>
      </c>
      <c r="BG3553" s="477">
        <v>5819779.2900029309</v>
      </c>
      <c r="BH3553" s="458">
        <v>4.5484426251247267E-2</v>
      </c>
      <c r="BI3553" s="477">
        <v>20389663.519989617</v>
      </c>
      <c r="BJ3553" s="458">
        <v>0.11242455952220753</v>
      </c>
      <c r="BK3553" s="477">
        <v>94718795.431010202</v>
      </c>
      <c r="BL3553" s="458">
        <v>0.25796145669882131</v>
      </c>
      <c r="BM3553" s="468">
        <v>10.779421236856422</v>
      </c>
    </row>
    <row r="3554" spans="12:65" x14ac:dyDescent="0.3">
      <c r="L3554" s="427">
        <v>18724489.117199998</v>
      </c>
      <c r="BE3554" s="477">
        <v>6000971.1628566394</v>
      </c>
      <c r="BF3554" s="458">
        <v>2.7552080162716042E-2</v>
      </c>
      <c r="BG3554" s="477">
        <v>13996515.566074071</v>
      </c>
      <c r="BH3554" s="458">
        <v>6.4007474566235345E-2</v>
      </c>
      <c r="BI3554" s="477">
        <v>15270148.418668196</v>
      </c>
      <c r="BJ3554" s="458">
        <v>0.13759146991899751</v>
      </c>
      <c r="BK3554" s="477">
        <v>78716090.757016078</v>
      </c>
      <c r="BL3554" s="458">
        <v>0.27474871073041718</v>
      </c>
      <c r="BM3554" s="468">
        <v>12.62495824368373</v>
      </c>
    </row>
    <row r="3555" spans="12:65" x14ac:dyDescent="0.3">
      <c r="L3555" s="427">
        <v>11654073.6417</v>
      </c>
      <c r="BE3555" s="477">
        <v>7626452.8527522152</v>
      </c>
      <c r="BF3555" s="458">
        <v>6.0946123168554855E-2</v>
      </c>
      <c r="BG3555" s="477">
        <v>9112718.5833038278</v>
      </c>
      <c r="BH3555" s="458">
        <v>5.0906403478887086E-2</v>
      </c>
      <c r="BI3555" s="477">
        <v>9161343.5091987774</v>
      </c>
      <c r="BJ3555" s="458">
        <v>8.5084716092304502E-2</v>
      </c>
      <c r="BK3555" s="477">
        <v>82716957.30474785</v>
      </c>
      <c r="BL3555" s="458">
        <v>0.26298485262326832</v>
      </c>
      <c r="BM3555" s="468">
        <v>1.562378649920384</v>
      </c>
    </row>
    <row r="3556" spans="12:65" x14ac:dyDescent="0.3">
      <c r="L3556" s="427">
        <v>1096411.8197999999</v>
      </c>
      <c r="BE3556" s="477">
        <v>5115144.050477067</v>
      </c>
      <c r="BF3556" s="458">
        <v>2.7399810752790188E-2</v>
      </c>
      <c r="BG3556" s="477">
        <v>4639681.1681880001</v>
      </c>
      <c r="BH3556" s="458">
        <v>5.7240076930252126E-2</v>
      </c>
      <c r="BI3556" s="477">
        <v>18280563.322297167</v>
      </c>
      <c r="BJ3556" s="458">
        <v>0.12028266665487086</v>
      </c>
      <c r="BK3556" s="477">
        <v>98906126.992180526</v>
      </c>
      <c r="BL3556" s="458">
        <v>0.25573508563605896</v>
      </c>
      <c r="BM3556" s="468">
        <v>15.284751659297982</v>
      </c>
    </row>
    <row r="3557" spans="12:65" x14ac:dyDescent="0.3">
      <c r="L3557" s="427">
        <v>18138268.1193</v>
      </c>
      <c r="BE3557" s="477">
        <v>3787338.8992527891</v>
      </c>
      <c r="BF3557" s="458">
        <v>4.8445430676613777E-2</v>
      </c>
      <c r="BG3557" s="477">
        <v>5692818.9114434542</v>
      </c>
      <c r="BH3557" s="458">
        <v>7.1639502783211739E-2</v>
      </c>
      <c r="BI3557" s="477">
        <v>18763192.283082128</v>
      </c>
      <c r="BJ3557" s="458">
        <v>0.11886689692572827</v>
      </c>
      <c r="BK3557" s="477">
        <v>93834708.472312152</v>
      </c>
      <c r="BL3557" s="458">
        <v>0.26723104504085216</v>
      </c>
      <c r="BM3557" s="468">
        <v>8.0053738295720489</v>
      </c>
    </row>
    <row r="3558" spans="12:65" x14ac:dyDescent="0.3">
      <c r="L3558" s="427">
        <v>7050508.7028999999</v>
      </c>
      <c r="BE3558" s="477">
        <v>4200167.5903283814</v>
      </c>
      <c r="BF3558" s="458">
        <v>5.9160029557876914E-2</v>
      </c>
      <c r="BG3558" s="477">
        <v>4754383.3820180688</v>
      </c>
      <c r="BH3558" s="458">
        <v>6.8356265092623936E-2</v>
      </c>
      <c r="BI3558" s="477">
        <v>21878137.049734835</v>
      </c>
      <c r="BJ3558" s="458">
        <v>0.10373149565957895</v>
      </c>
      <c r="BK3558" s="477">
        <v>91487502.129855379</v>
      </c>
      <c r="BL3558" s="458">
        <v>0.27109638882655429</v>
      </c>
      <c r="BM3558" s="468">
        <v>2.7197986287125691</v>
      </c>
    </row>
    <row r="3559" spans="12:65" x14ac:dyDescent="0.3">
      <c r="L3559" s="427">
        <v>6217242.4815999996</v>
      </c>
      <c r="BE3559" s="477">
        <v>5377099.3515264262</v>
      </c>
      <c r="BF3559" s="458">
        <v>4.2961451344606827E-2</v>
      </c>
      <c r="BG3559" s="477">
        <v>8101480.7678182358</v>
      </c>
      <c r="BH3559" s="458">
        <v>7.829807444140835E-2</v>
      </c>
      <c r="BI3559" s="477">
        <v>22369635.216350418</v>
      </c>
      <c r="BJ3559" s="458">
        <v>9.7267786121893129E-2</v>
      </c>
      <c r="BK3559" s="477">
        <v>90029237.309404179</v>
      </c>
      <c r="BL3559" s="458">
        <v>0.29103140229085667</v>
      </c>
      <c r="BM3559" s="468">
        <v>16.949968742199921</v>
      </c>
    </row>
    <row r="3560" spans="12:65" x14ac:dyDescent="0.3">
      <c r="L3560" s="427">
        <v>7339302.5904999999</v>
      </c>
      <c r="BE3560" s="477">
        <v>2320069.6810989431</v>
      </c>
      <c r="BF3560" s="458">
        <v>4.802582125519872E-2</v>
      </c>
      <c r="BG3560" s="477">
        <v>7792509.7846473306</v>
      </c>
      <c r="BH3560" s="458">
        <v>2.7032484687478764E-2</v>
      </c>
      <c r="BI3560" s="477">
        <v>21754927.470718671</v>
      </c>
      <c r="BJ3560" s="458">
        <v>8.7945587938174086E-2</v>
      </c>
      <c r="BK3560" s="477">
        <v>89417419.753180102</v>
      </c>
      <c r="BL3560" s="458">
        <v>0.2775479561985319</v>
      </c>
      <c r="BM3560" s="468">
        <v>15.071003703936984</v>
      </c>
    </row>
    <row r="3561" spans="12:65" x14ac:dyDescent="0.3">
      <c r="L3561" s="427">
        <v>-4012921.0465000002</v>
      </c>
      <c r="BE3561" s="477">
        <v>8168483.6591613889</v>
      </c>
      <c r="BF3561" s="458">
        <v>3.2366997326156E-2</v>
      </c>
      <c r="BG3561" s="477">
        <v>2223299.2583895726</v>
      </c>
      <c r="BH3561" s="458">
        <v>5.4748028247610048E-2</v>
      </c>
      <c r="BI3561" s="477">
        <v>18796821.126593117</v>
      </c>
      <c r="BJ3561" s="458">
        <v>0.1162694852481434</v>
      </c>
      <c r="BK3561" s="477">
        <v>85787640.107457191</v>
      </c>
      <c r="BL3561" s="458">
        <v>0.25831003196296942</v>
      </c>
      <c r="BM3561" s="468">
        <v>10.584615700720358</v>
      </c>
    </row>
    <row r="3562" spans="12:65" x14ac:dyDescent="0.3">
      <c r="L3562" s="427">
        <v>1398102.2386</v>
      </c>
      <c r="BE3562" s="477">
        <v>4741545.0185083216</v>
      </c>
      <c r="BF3562" s="458">
        <v>3.1953729598461766E-2</v>
      </c>
      <c r="BG3562" s="477">
        <v>7575979.9694342446</v>
      </c>
      <c r="BH3562" s="458">
        <v>7.7901505560584949E-2</v>
      </c>
      <c r="BI3562" s="477">
        <v>19212769.373271402</v>
      </c>
      <c r="BJ3562" s="458">
        <v>0.12137664843831319</v>
      </c>
      <c r="BK3562" s="477">
        <v>76778130.410285667</v>
      </c>
      <c r="BL3562" s="458">
        <v>0.29250226080684349</v>
      </c>
      <c r="BM3562" s="468">
        <v>5.0900199343281889</v>
      </c>
    </row>
    <row r="3563" spans="12:65" x14ac:dyDescent="0.3">
      <c r="L3563" s="427">
        <v>4708190.3673</v>
      </c>
      <c r="BE3563" s="477">
        <v>3561083.5696625961</v>
      </c>
      <c r="BF3563" s="458">
        <v>3.6308662363088606E-2</v>
      </c>
      <c r="BG3563" s="477">
        <v>10044612.959945353</v>
      </c>
      <c r="BH3563" s="458">
        <v>7.7963623681207128E-2</v>
      </c>
      <c r="BI3563" s="477">
        <v>13899483.709543336</v>
      </c>
      <c r="BJ3563" s="458">
        <v>8.0476736258548787E-2</v>
      </c>
      <c r="BK3563" s="477">
        <v>89307251.090099737</v>
      </c>
      <c r="BL3563" s="458">
        <v>0.25642373220064707</v>
      </c>
      <c r="BM3563" s="468">
        <v>6.8252409403955179</v>
      </c>
    </row>
    <row r="3564" spans="12:65" x14ac:dyDescent="0.3">
      <c r="L3564" s="427">
        <v>19745859.104200002</v>
      </c>
      <c r="BE3564" s="477">
        <v>6966881.0881618448</v>
      </c>
      <c r="BF3564" s="458">
        <v>3.9087301112327388E-2</v>
      </c>
      <c r="BG3564" s="477">
        <v>-1943622.5281609332</v>
      </c>
      <c r="BH3564" s="458">
        <v>8.7936181976144834E-2</v>
      </c>
      <c r="BI3564" s="477">
        <v>18630069.5029165</v>
      </c>
      <c r="BJ3564" s="458">
        <v>0.11858007422586581</v>
      </c>
      <c r="BK3564" s="477">
        <v>70436763.118948177</v>
      </c>
      <c r="BL3564" s="458">
        <v>0.28093720050399384</v>
      </c>
      <c r="BM3564" s="468">
        <v>8.2250180561550348</v>
      </c>
    </row>
    <row r="3565" spans="12:65" x14ac:dyDescent="0.3">
      <c r="L3565" s="427">
        <v>-11223963.1632</v>
      </c>
      <c r="BE3565" s="477">
        <v>2677307.5983934756</v>
      </c>
      <c r="BF3565" s="458">
        <v>3.1013968458487584E-2</v>
      </c>
      <c r="BG3565" s="477">
        <v>2663200.7499442236</v>
      </c>
      <c r="BH3565" s="458">
        <v>3.3579092365817909E-2</v>
      </c>
      <c r="BI3565" s="477">
        <v>18274499.72808883</v>
      </c>
      <c r="BJ3565" s="458">
        <v>0.10956709972913381</v>
      </c>
      <c r="BK3565" s="477">
        <v>90232722.184362665</v>
      </c>
      <c r="BL3565" s="458">
        <v>0.27415097837044522</v>
      </c>
      <c r="BM3565" s="468">
        <v>7.7078339793655486</v>
      </c>
    </row>
    <row r="3566" spans="12:65" x14ac:dyDescent="0.3">
      <c r="L3566" s="427">
        <v>-6396814.0122999996</v>
      </c>
      <c r="BE3566" s="477">
        <v>5564069.4822608894</v>
      </c>
      <c r="BF3566" s="458">
        <v>4.3154046972220472E-2</v>
      </c>
      <c r="BG3566" s="477">
        <v>4556279.1555042043</v>
      </c>
      <c r="BH3566" s="458">
        <v>7.8810564882323852E-2</v>
      </c>
      <c r="BI3566" s="477">
        <v>10855142.923532043</v>
      </c>
      <c r="BJ3566" s="458">
        <v>0.11706545757411946</v>
      </c>
      <c r="BK3566" s="477">
        <v>76507743.178992346</v>
      </c>
      <c r="BL3566" s="458">
        <v>0.26635662718156272</v>
      </c>
      <c r="BM3566" s="468">
        <v>1.7655605272598116</v>
      </c>
    </row>
    <row r="3567" spans="12:65" x14ac:dyDescent="0.3">
      <c r="L3567" s="427">
        <v>7241913.3805</v>
      </c>
      <c r="BE3567" s="477">
        <v>11187430.545361878</v>
      </c>
      <c r="BF3567" s="458">
        <v>4.6736685363631292E-2</v>
      </c>
      <c r="BG3567" s="477">
        <v>15882421.977851721</v>
      </c>
      <c r="BH3567" s="458">
        <v>7.2255247731055183E-2</v>
      </c>
      <c r="BI3567" s="477">
        <v>17597064.359597933</v>
      </c>
      <c r="BJ3567" s="458">
        <v>0.12090608825092208</v>
      </c>
      <c r="BK3567" s="477">
        <v>92641639.300761372</v>
      </c>
      <c r="BL3567" s="458">
        <v>0.27483850945922805</v>
      </c>
      <c r="BM3567" s="468">
        <v>5.8637799769463896</v>
      </c>
    </row>
    <row r="3568" spans="12:65" x14ac:dyDescent="0.3">
      <c r="L3568" s="427">
        <v>-10141754.5942</v>
      </c>
      <c r="BE3568" s="477">
        <v>5952753.1807809351</v>
      </c>
      <c r="BF3568" s="458">
        <v>5.0268635326916167E-2</v>
      </c>
      <c r="BG3568" s="477">
        <v>15468128.016833344</v>
      </c>
      <c r="BH3568" s="458">
        <v>6.6205251454314329E-2</v>
      </c>
      <c r="BI3568" s="477">
        <v>20891135.361710686</v>
      </c>
      <c r="BJ3568" s="458">
        <v>9.5791539971916473E-2</v>
      </c>
      <c r="BK3568" s="477">
        <v>86988385.517662019</v>
      </c>
      <c r="BL3568" s="458">
        <v>0.25365860977072496</v>
      </c>
      <c r="BM3568" s="468">
        <v>10.458035654805608</v>
      </c>
    </row>
    <row r="3569" spans="12:65" x14ac:dyDescent="0.3">
      <c r="L3569" s="427">
        <v>-14129751.1678</v>
      </c>
      <c r="BE3569" s="477">
        <v>2614314.2538201069</v>
      </c>
      <c r="BF3569" s="458">
        <v>4.854419573446922E-2</v>
      </c>
      <c r="BG3569" s="477">
        <v>4829720.88028845</v>
      </c>
      <c r="BH3569" s="458">
        <v>6.8010999050144738E-2</v>
      </c>
      <c r="BI3569" s="477">
        <v>7890536.706756006</v>
      </c>
      <c r="BJ3569" s="458">
        <v>0.12044986258120716</v>
      </c>
      <c r="BK3569" s="477">
        <v>84478831.639012918</v>
      </c>
      <c r="BL3569" s="458">
        <v>0.27541236048370976</v>
      </c>
      <c r="BM3569" s="468">
        <v>9.4695893812193468</v>
      </c>
    </row>
    <row r="3570" spans="12:65" x14ac:dyDescent="0.3">
      <c r="L3570" s="427">
        <v>-369972.98910000001</v>
      </c>
      <c r="BE3570" s="477">
        <v>2620932.0595625415</v>
      </c>
      <c r="BF3570" s="458">
        <v>4.0937233472980505E-2</v>
      </c>
      <c r="BG3570" s="477">
        <v>11346450.766894829</v>
      </c>
      <c r="BH3570" s="458">
        <v>7.0692875878757278E-2</v>
      </c>
      <c r="BI3570" s="477">
        <v>19605383.737597205</v>
      </c>
      <c r="BJ3570" s="458">
        <v>9.3950979900122578E-2</v>
      </c>
      <c r="BK3570" s="477">
        <v>75807123.944588482</v>
      </c>
      <c r="BL3570" s="458">
        <v>0.26756565502589824</v>
      </c>
      <c r="BM3570" s="468">
        <v>9.1618391265123957</v>
      </c>
    </row>
    <row r="3571" spans="12:65" x14ac:dyDescent="0.3">
      <c r="L3571" s="427">
        <v>104856.33960000001</v>
      </c>
      <c r="BE3571" s="477">
        <v>7677714.9529862553</v>
      </c>
      <c r="BF3571" s="458">
        <v>4.2099335935587678E-2</v>
      </c>
      <c r="BG3571" s="477">
        <v>2741929.4119235049</v>
      </c>
      <c r="BH3571" s="458">
        <v>8.2769389921279357E-2</v>
      </c>
      <c r="BI3571" s="477">
        <v>17478225.042300355</v>
      </c>
      <c r="BJ3571" s="458">
        <v>8.4998528616058833E-2</v>
      </c>
      <c r="BK3571" s="477">
        <v>85992091.754260823</v>
      </c>
      <c r="BL3571" s="458">
        <v>0.29654269600929895</v>
      </c>
      <c r="BM3571" s="468">
        <v>5.6311841814878498</v>
      </c>
    </row>
    <row r="3572" spans="12:65" x14ac:dyDescent="0.3">
      <c r="L3572" s="427">
        <v>24731563.525600001</v>
      </c>
      <c r="BE3572" s="477">
        <v>3319260.3414650215</v>
      </c>
      <c r="BF3572" s="458">
        <v>3.1792327087323269E-2</v>
      </c>
      <c r="BG3572" s="477">
        <v>12568236.797860097</v>
      </c>
      <c r="BH3572" s="458">
        <v>5.5878443805502886E-2</v>
      </c>
      <c r="BI3572" s="477">
        <v>18491311.100007135</v>
      </c>
      <c r="BJ3572" s="458">
        <v>0.13477831516315164</v>
      </c>
      <c r="BK3572" s="477">
        <v>87459727.739222214</v>
      </c>
      <c r="BL3572" s="458">
        <v>0.26965668415455935</v>
      </c>
      <c r="BM3572" s="468">
        <v>-0.36758329413209267</v>
      </c>
    </row>
    <row r="3573" spans="12:65" x14ac:dyDescent="0.3">
      <c r="L3573" s="427">
        <v>15977500.7511</v>
      </c>
      <c r="BE3573" s="477">
        <v>2005998.9734275662</v>
      </c>
      <c r="BF3573" s="458">
        <v>4.6994504401476789E-2</v>
      </c>
      <c r="BG3573" s="477">
        <v>11595065.382166907</v>
      </c>
      <c r="BH3573" s="458">
        <v>5.9966626504105225E-2</v>
      </c>
      <c r="BI3573" s="477">
        <v>12169681.718584262</v>
      </c>
      <c r="BJ3573" s="458">
        <v>0.10890608347043451</v>
      </c>
      <c r="BK3573" s="477">
        <v>87834681.431180507</v>
      </c>
      <c r="BL3573" s="458">
        <v>0.24701865808549739</v>
      </c>
      <c r="BM3573" s="468">
        <v>11.986433448137232</v>
      </c>
    </row>
    <row r="3574" spans="12:65" x14ac:dyDescent="0.3">
      <c r="L3574" s="427">
        <v>-2038574.3141999999</v>
      </c>
      <c r="BE3574" s="477">
        <v>6021810.9739691513</v>
      </c>
      <c r="BF3574" s="458">
        <v>5.3379926265855415E-2</v>
      </c>
      <c r="BG3574" s="477">
        <v>10566581.71507637</v>
      </c>
      <c r="BH3574" s="458">
        <v>4.1698482488824906E-2</v>
      </c>
      <c r="BI3574" s="477">
        <v>21569113.282166034</v>
      </c>
      <c r="BJ3574" s="458">
        <v>0.11558743019181539</v>
      </c>
      <c r="BK3574" s="477">
        <v>97286707.21760419</v>
      </c>
      <c r="BL3574" s="458">
        <v>0.25717056145133155</v>
      </c>
      <c r="BM3574" s="468">
        <v>1.4501563179769201</v>
      </c>
    </row>
    <row r="3575" spans="12:65" x14ac:dyDescent="0.3">
      <c r="L3575" s="427">
        <v>-678212.05220000003</v>
      </c>
      <c r="BE3575" s="477">
        <v>-680798.41780541616</v>
      </c>
      <c r="BF3575" s="458">
        <v>3.5079049938702367E-2</v>
      </c>
      <c r="BG3575" s="477">
        <v>7094598.7868221169</v>
      </c>
      <c r="BH3575" s="458">
        <v>6.212526368974447E-2</v>
      </c>
      <c r="BI3575" s="477">
        <v>15704550.329175739</v>
      </c>
      <c r="BJ3575" s="458">
        <v>0.12899689625997124</v>
      </c>
      <c r="BK3575" s="477">
        <v>87265158.204212636</v>
      </c>
      <c r="BL3575" s="458">
        <v>0.2719766598219775</v>
      </c>
      <c r="BM3575" s="468">
        <v>3.4177227830036854</v>
      </c>
    </row>
    <row r="3576" spans="12:65" x14ac:dyDescent="0.3">
      <c r="L3576" s="427">
        <v>-15739942.3397</v>
      </c>
      <c r="BE3576" s="477">
        <v>5292732.695419373</v>
      </c>
      <c r="BF3576" s="458">
        <v>4.5924883486874402E-2</v>
      </c>
      <c r="BG3576" s="477">
        <v>8084145.7294659941</v>
      </c>
      <c r="BH3576" s="458">
        <v>5.6755357055059186E-2</v>
      </c>
      <c r="BI3576" s="477">
        <v>19956445.860113204</v>
      </c>
      <c r="BJ3576" s="458">
        <v>9.9462564863013636E-2</v>
      </c>
      <c r="BK3576" s="477">
        <v>95992579.663198024</v>
      </c>
      <c r="BL3576" s="458">
        <v>0.27063053277934412</v>
      </c>
      <c r="BM3576" s="468">
        <v>3.8627075642142463</v>
      </c>
    </row>
    <row r="3577" spans="12:65" x14ac:dyDescent="0.3">
      <c r="L3577" s="427">
        <v>167945.6323</v>
      </c>
      <c r="BE3577" s="477">
        <v>6275283.4869265268</v>
      </c>
      <c r="BF3577" s="458">
        <v>4.1788478824424935E-3</v>
      </c>
      <c r="BG3577" s="477">
        <v>3651655.4513921202</v>
      </c>
      <c r="BH3577" s="458">
        <v>8.9832609716497647E-2</v>
      </c>
      <c r="BI3577" s="477">
        <v>23242566.388126533</v>
      </c>
      <c r="BJ3577" s="458">
        <v>0.10484017170230442</v>
      </c>
      <c r="BK3577" s="477">
        <v>100642079.92968498</v>
      </c>
      <c r="BL3577" s="458">
        <v>0.26344191973913178</v>
      </c>
      <c r="BM3577" s="468">
        <v>4.0749895941669694</v>
      </c>
    </row>
    <row r="3578" spans="12:65" x14ac:dyDescent="0.3">
      <c r="L3578" s="427">
        <v>18398228.149099998</v>
      </c>
      <c r="BE3578" s="477">
        <v>7555224.9272650825</v>
      </c>
      <c r="BF3578" s="458">
        <v>5.3015475353269892E-2</v>
      </c>
      <c r="BG3578" s="477">
        <v>13892007.2093828</v>
      </c>
      <c r="BH3578" s="458">
        <v>7.7909567175488137E-2</v>
      </c>
      <c r="BI3578" s="477">
        <v>11824346.528601749</v>
      </c>
      <c r="BJ3578" s="458">
        <v>0.11589187754343366</v>
      </c>
      <c r="BK3578" s="477">
        <v>86970406.205643758</v>
      </c>
      <c r="BL3578" s="458">
        <v>0.28517807270464468</v>
      </c>
      <c r="BM3578" s="468">
        <v>16.577509593506903</v>
      </c>
    </row>
    <row r="3579" spans="12:65" x14ac:dyDescent="0.3">
      <c r="L3579" s="427">
        <v>-1934879.69</v>
      </c>
      <c r="BE3579" s="477">
        <v>8530521.1050802507</v>
      </c>
      <c r="BF3579" s="458">
        <v>3.2344788893863052E-2</v>
      </c>
      <c r="BG3579" s="477">
        <v>12391571.622827701</v>
      </c>
      <c r="BH3579" s="458">
        <v>6.8299075484603122E-2</v>
      </c>
      <c r="BI3579" s="477">
        <v>11917381.012402581</v>
      </c>
      <c r="BJ3579" s="458">
        <v>9.0404265075476609E-2</v>
      </c>
      <c r="BK3579" s="477">
        <v>84935511.053255558</v>
      </c>
      <c r="BL3579" s="458">
        <v>0.26728760655458372</v>
      </c>
      <c r="BM3579" s="468">
        <v>14.060936134475742</v>
      </c>
    </row>
    <row r="3580" spans="12:65" x14ac:dyDescent="0.3">
      <c r="L3580" s="427">
        <v>-13949880.5263</v>
      </c>
      <c r="BE3580" s="477">
        <v>6151688.3362923954</v>
      </c>
      <c r="BF3580" s="458">
        <v>2.4527105526241266E-2</v>
      </c>
      <c r="BG3580" s="477">
        <v>12379581.374260033</v>
      </c>
      <c r="BH3580" s="458">
        <v>6.6373015177584538E-2</v>
      </c>
      <c r="BI3580" s="477">
        <v>17913560.044389471</v>
      </c>
      <c r="BJ3580" s="458">
        <v>0.15229202423241417</v>
      </c>
      <c r="BK3580" s="477">
        <v>80266140.872807175</v>
      </c>
      <c r="BL3580" s="458">
        <v>0.27453694266838546</v>
      </c>
      <c r="BM3580" s="468">
        <v>13.737384599422956</v>
      </c>
    </row>
    <row r="3581" spans="12:65" x14ac:dyDescent="0.3">
      <c r="L3581" s="427">
        <v>22123529.836399999</v>
      </c>
      <c r="BE3581" s="477">
        <v>7811920.6467841482</v>
      </c>
      <c r="BF3581" s="458">
        <v>2.5570096415868715E-2</v>
      </c>
      <c r="BG3581" s="477">
        <v>9353797.1041293759</v>
      </c>
      <c r="BH3581" s="458">
        <v>8.8040975554868117E-2</v>
      </c>
      <c r="BI3581" s="477">
        <v>13755556.615779165</v>
      </c>
      <c r="BJ3581" s="458">
        <v>0.1001282425438752</v>
      </c>
      <c r="BK3581" s="477">
        <v>88874024.517842725</v>
      </c>
      <c r="BL3581" s="458">
        <v>0.2865940776112974</v>
      </c>
      <c r="BM3581" s="468">
        <v>6.7375085112383939</v>
      </c>
    </row>
    <row r="3582" spans="12:65" x14ac:dyDescent="0.3">
      <c r="L3582" s="427">
        <v>-193901.8688</v>
      </c>
      <c r="BE3582" s="477">
        <v>7927392.4997029705</v>
      </c>
      <c r="BF3582" s="458">
        <v>3.7705451153008163E-2</v>
      </c>
      <c r="BG3582" s="477">
        <v>10155040.350156862</v>
      </c>
      <c r="BH3582" s="458">
        <v>5.3357137377054498E-2</v>
      </c>
      <c r="BI3582" s="477">
        <v>15865558.699900854</v>
      </c>
      <c r="BJ3582" s="458">
        <v>0.10456487068466558</v>
      </c>
      <c r="BK3582" s="477">
        <v>102284410.91912086</v>
      </c>
      <c r="BL3582" s="458">
        <v>0.26631985566342098</v>
      </c>
      <c r="BM3582" s="468">
        <v>3.8105545717230269</v>
      </c>
    </row>
    <row r="3583" spans="12:65" x14ac:dyDescent="0.3">
      <c r="L3583" s="427">
        <v>5912892.3558</v>
      </c>
      <c r="BE3583" s="477">
        <v>5841996.0664453572</v>
      </c>
      <c r="BF3583" s="458">
        <v>3.9199434178451176E-2</v>
      </c>
      <c r="BG3583" s="477">
        <v>4666752.1468532309</v>
      </c>
      <c r="BH3583" s="458">
        <v>5.9145695076834093E-2</v>
      </c>
      <c r="BI3583" s="477">
        <v>14370813.954249131</v>
      </c>
      <c r="BJ3583" s="458">
        <v>0.11382331652330313</v>
      </c>
      <c r="BK3583" s="477">
        <v>71259159.095508963</v>
      </c>
      <c r="BL3583" s="458">
        <v>0.25511369342118195</v>
      </c>
      <c r="BM3583" s="468">
        <v>7.7599361390658084</v>
      </c>
    </row>
    <row r="3584" spans="12:65" x14ac:dyDescent="0.3">
      <c r="L3584" s="427">
        <v>10891887.794399999</v>
      </c>
      <c r="BE3584" s="477">
        <v>597479.65848224785</v>
      </c>
      <c r="BF3584" s="458">
        <v>2.863910933424263E-2</v>
      </c>
      <c r="BG3584" s="477">
        <v>7555031.3913227636</v>
      </c>
      <c r="BH3584" s="458">
        <v>9.0690303370430936E-2</v>
      </c>
      <c r="BI3584" s="477">
        <v>12384163.564315569</v>
      </c>
      <c r="BJ3584" s="458">
        <v>0.14628494701831984</v>
      </c>
      <c r="BK3584" s="477">
        <v>86862898.116480291</v>
      </c>
      <c r="BL3584" s="458">
        <v>0.26030767410411393</v>
      </c>
      <c r="BM3584" s="468">
        <v>10.877245862145909</v>
      </c>
    </row>
    <row r="3585" spans="12:65" x14ac:dyDescent="0.3">
      <c r="L3585" s="427">
        <v>5146053.4139999999</v>
      </c>
      <c r="BE3585" s="477">
        <v>1872488.9454286282</v>
      </c>
      <c r="BF3585" s="458">
        <v>5.6178672660864404E-2</v>
      </c>
      <c r="BG3585" s="477">
        <v>11699462.87983226</v>
      </c>
      <c r="BH3585" s="458">
        <v>7.7658694423248464E-2</v>
      </c>
      <c r="BI3585" s="477">
        <v>15542652.374676524</v>
      </c>
      <c r="BJ3585" s="458">
        <v>0.10224162346626042</v>
      </c>
      <c r="BK3585" s="477">
        <v>82947595.659475356</v>
      </c>
      <c r="BL3585" s="458">
        <v>0.28474169950837425</v>
      </c>
      <c r="BM3585" s="468">
        <v>14.705956803809581</v>
      </c>
    </row>
    <row r="3586" spans="12:65" x14ac:dyDescent="0.3">
      <c r="L3586" s="427">
        <v>2625767.0863000001</v>
      </c>
      <c r="BE3586" s="477">
        <v>4018553.7339652288</v>
      </c>
      <c r="BF3586" s="458">
        <v>5.4948475193880908E-2</v>
      </c>
      <c r="BG3586" s="477">
        <v>8837169.3330314271</v>
      </c>
      <c r="BH3586" s="458">
        <v>7.8918754587357531E-2</v>
      </c>
      <c r="BI3586" s="477">
        <v>15579860.918083932</v>
      </c>
      <c r="BJ3586" s="458">
        <v>9.7850389492280865E-2</v>
      </c>
      <c r="BK3586" s="477">
        <v>96151185.81024833</v>
      </c>
      <c r="BL3586" s="458">
        <v>0.27082430962406501</v>
      </c>
      <c r="BM3586" s="468">
        <v>10.129854356149597</v>
      </c>
    </row>
    <row r="3587" spans="12:65" x14ac:dyDescent="0.3">
      <c r="L3587" s="427">
        <v>-2416337.9813000001</v>
      </c>
      <c r="BE3587" s="477">
        <v>4650277.9766816888</v>
      </c>
      <c r="BF3587" s="458">
        <v>4.1949387670832783E-2</v>
      </c>
      <c r="BG3587" s="477">
        <v>9200973.9320100695</v>
      </c>
      <c r="BH3587" s="458">
        <v>7.8523049163881531E-2</v>
      </c>
      <c r="BI3587" s="477">
        <v>14838955.862453876</v>
      </c>
      <c r="BJ3587" s="458">
        <v>0.11436027938207283</v>
      </c>
      <c r="BK3587" s="477">
        <v>96838851.774458453</v>
      </c>
      <c r="BL3587" s="458">
        <v>0.26710373555384148</v>
      </c>
      <c r="BM3587" s="468">
        <v>4.2733794726652228</v>
      </c>
    </row>
    <row r="3588" spans="12:65" x14ac:dyDescent="0.3">
      <c r="L3588" s="427">
        <v>-457238.36339999997</v>
      </c>
      <c r="BE3588" s="477">
        <v>3468639.3696901752</v>
      </c>
      <c r="BF3588" s="458">
        <v>3.8769865126931924E-2</v>
      </c>
      <c r="BG3588" s="477">
        <v>5220134.6563782664</v>
      </c>
      <c r="BH3588" s="458">
        <v>6.017407358390825E-2</v>
      </c>
      <c r="BI3588" s="477">
        <v>18122906.054748438</v>
      </c>
      <c r="BJ3588" s="458">
        <v>0.11687753008759039</v>
      </c>
      <c r="BK3588" s="477">
        <v>91218215.41192469</v>
      </c>
      <c r="BL3588" s="458">
        <v>0.27584919075338132</v>
      </c>
      <c r="BM3588" s="468">
        <v>2.9489614227810108</v>
      </c>
    </row>
    <row r="3589" spans="12:65" x14ac:dyDescent="0.3">
      <c r="L3589" s="427">
        <v>11272343.585100001</v>
      </c>
      <c r="BE3589" s="477">
        <v>2175585.7750340612</v>
      </c>
      <c r="BF3589" s="458">
        <v>4.9779816257580434E-2</v>
      </c>
      <c r="BG3589" s="477">
        <v>14469363.651845485</v>
      </c>
      <c r="BH3589" s="458">
        <v>6.1881035445584098E-2</v>
      </c>
      <c r="BI3589" s="477">
        <v>18213236.117544048</v>
      </c>
      <c r="BJ3589" s="458">
        <v>0.11040211383640219</v>
      </c>
      <c r="BK3589" s="477">
        <v>93738556.614925012</v>
      </c>
      <c r="BL3589" s="458">
        <v>0.27028988845468893</v>
      </c>
      <c r="BM3589" s="468">
        <v>7.8593631196250211</v>
      </c>
    </row>
    <row r="3590" spans="12:65" x14ac:dyDescent="0.3">
      <c r="L3590" s="427">
        <v>7787178.8767999997</v>
      </c>
      <c r="BE3590" s="477">
        <v>3864218.5217163498</v>
      </c>
      <c r="BF3590" s="458">
        <v>1.0615139944529561E-2</v>
      </c>
      <c r="BG3590" s="477">
        <v>8997223.9552492481</v>
      </c>
      <c r="BH3590" s="458">
        <v>9.147832063078587E-2</v>
      </c>
      <c r="BI3590" s="477">
        <v>20326222.85436368</v>
      </c>
      <c r="BJ3590" s="458">
        <v>0.11179108526878978</v>
      </c>
      <c r="BK3590" s="477">
        <v>98985703.85495463</v>
      </c>
      <c r="BL3590" s="458">
        <v>0.27071950433814007</v>
      </c>
      <c r="BM3590" s="468">
        <v>5.3137022101355349</v>
      </c>
    </row>
    <row r="3591" spans="12:65" x14ac:dyDescent="0.3">
      <c r="L3591" s="427">
        <v>12635823.2083</v>
      </c>
      <c r="BE3591" s="477">
        <v>4476080.0905615482</v>
      </c>
      <c r="BF3591" s="458">
        <v>3.3471533808529408E-2</v>
      </c>
      <c r="BG3591" s="477">
        <v>4739669.0892259078</v>
      </c>
      <c r="BH3591" s="458">
        <v>5.8867701756688096E-2</v>
      </c>
      <c r="BI3591" s="477">
        <v>20387551.553267799</v>
      </c>
      <c r="BJ3591" s="458">
        <v>0.11702458187724529</v>
      </c>
      <c r="BK3591" s="477">
        <v>108822949.24226716</v>
      </c>
      <c r="BL3591" s="458">
        <v>0.26120472194292033</v>
      </c>
      <c r="BM3591" s="468">
        <v>6.7623498051463695</v>
      </c>
    </row>
    <row r="3592" spans="12:65" x14ac:dyDescent="0.3">
      <c r="L3592" s="427">
        <v>4489732.4396000002</v>
      </c>
      <c r="BE3592" s="477">
        <v>8641297.3406617064</v>
      </c>
      <c r="BF3592" s="458">
        <v>2.1074848784609745E-2</v>
      </c>
      <c r="BG3592" s="477">
        <v>10692458.448220665</v>
      </c>
      <c r="BH3592" s="458">
        <v>6.0959893023559975E-2</v>
      </c>
      <c r="BI3592" s="477">
        <v>15637115.462078055</v>
      </c>
      <c r="BJ3592" s="458">
        <v>0.10450491948854479</v>
      </c>
      <c r="BK3592" s="477">
        <v>91649851.941951305</v>
      </c>
      <c r="BL3592" s="458">
        <v>0.25476088740032998</v>
      </c>
      <c r="BM3592" s="468">
        <v>9.0179142125236531</v>
      </c>
    </row>
    <row r="3593" spans="12:65" x14ac:dyDescent="0.3">
      <c r="L3593" s="427">
        <v>-2743248.6401</v>
      </c>
      <c r="BE3593" s="477">
        <v>4291650.6040518843</v>
      </c>
      <c r="BF3593" s="458">
        <v>2.619447908346384E-2</v>
      </c>
      <c r="BG3593" s="477">
        <v>7839988.6035832129</v>
      </c>
      <c r="BH3593" s="458">
        <v>6.6267978923203463E-2</v>
      </c>
      <c r="BI3593" s="477">
        <v>19146404.816764824</v>
      </c>
      <c r="BJ3593" s="458">
        <v>9.1042225946915023E-2</v>
      </c>
      <c r="BK3593" s="477">
        <v>96545690.343023419</v>
      </c>
      <c r="BL3593" s="458">
        <v>0.26126988620216807</v>
      </c>
      <c r="BM3593" s="468">
        <v>12.514238798864991</v>
      </c>
    </row>
    <row r="3594" spans="12:65" x14ac:dyDescent="0.3">
      <c r="L3594" s="427">
        <v>13142411.950099999</v>
      </c>
      <c r="BE3594" s="477">
        <v>4412716.8471211158</v>
      </c>
      <c r="BF3594" s="458">
        <v>6.9107400937017838E-2</v>
      </c>
      <c r="BG3594" s="477">
        <v>10919084.919248225</v>
      </c>
      <c r="BH3594" s="458">
        <v>7.0941930590496582E-2</v>
      </c>
      <c r="BI3594" s="477">
        <v>19769791.762987219</v>
      </c>
      <c r="BJ3594" s="458">
        <v>0.10575795770396801</v>
      </c>
      <c r="BK3594" s="477">
        <v>87189149.543378711</v>
      </c>
      <c r="BL3594" s="458">
        <v>0.26080590662355885</v>
      </c>
      <c r="BM3594" s="468">
        <v>10.279022096805205</v>
      </c>
    </row>
    <row r="3595" spans="12:65" x14ac:dyDescent="0.3">
      <c r="L3595" s="427">
        <v>-1073600.9643000001</v>
      </c>
      <c r="BE3595" s="477">
        <v>8841878.2279605158</v>
      </c>
      <c r="BF3595" s="458">
        <v>4.0999763238154907E-2</v>
      </c>
      <c r="BG3595" s="477">
        <v>9004805.809255613</v>
      </c>
      <c r="BH3595" s="458">
        <v>4.3259559348040044E-2</v>
      </c>
      <c r="BI3595" s="477">
        <v>12829921.689444879</v>
      </c>
      <c r="BJ3595" s="458">
        <v>0.10193985935581407</v>
      </c>
      <c r="BK3595" s="477">
        <v>83117593.774117216</v>
      </c>
      <c r="BL3595" s="458">
        <v>0.24019241731797414</v>
      </c>
      <c r="BM3595" s="468">
        <v>10.645600774042524</v>
      </c>
    </row>
    <row r="3596" spans="12:65" x14ac:dyDescent="0.3">
      <c r="L3596" s="427">
        <v>18231008.001200002</v>
      </c>
      <c r="BE3596" s="477">
        <v>4479154.0189632345</v>
      </c>
      <c r="BF3596" s="458">
        <v>3.9426801214152984E-2</v>
      </c>
      <c r="BG3596" s="477">
        <v>3848573.3849740592</v>
      </c>
      <c r="BH3596" s="458">
        <v>5.1169735544934758E-2</v>
      </c>
      <c r="BI3596" s="477">
        <v>21187732.378520731</v>
      </c>
      <c r="BJ3596" s="458">
        <v>0.11542992680145003</v>
      </c>
      <c r="BK3596" s="477">
        <v>80809579.694825947</v>
      </c>
      <c r="BL3596" s="458">
        <v>0.26528142640122332</v>
      </c>
      <c r="BM3596" s="468">
        <v>13.410152565711913</v>
      </c>
    </row>
    <row r="3597" spans="12:65" x14ac:dyDescent="0.3">
      <c r="L3597" s="427">
        <v>-6539523.6399999997</v>
      </c>
      <c r="BE3597" s="477">
        <v>7443926.1011622213</v>
      </c>
      <c r="BF3597" s="458">
        <v>1.6864363071501964E-2</v>
      </c>
      <c r="BG3597" s="477">
        <v>9763121.2543002032</v>
      </c>
      <c r="BH3597" s="458">
        <v>6.5893885669879637E-2</v>
      </c>
      <c r="BI3597" s="477">
        <v>10780543.213900669</v>
      </c>
      <c r="BJ3597" s="458">
        <v>0.12176358677341881</v>
      </c>
      <c r="BK3597" s="477">
        <v>85780034.556096107</v>
      </c>
      <c r="BL3597" s="458">
        <v>0.2887930700780259</v>
      </c>
      <c r="BM3597" s="468">
        <v>5.7710316828605928</v>
      </c>
    </row>
    <row r="3598" spans="12:65" x14ac:dyDescent="0.3">
      <c r="L3598" s="427">
        <v>4811100.2039000001</v>
      </c>
      <c r="BE3598" s="477">
        <v>6867966.4003208345</v>
      </c>
      <c r="BF3598" s="458">
        <v>5.7032729505730018E-2</v>
      </c>
      <c r="BG3598" s="477">
        <v>5992688.3659107471</v>
      </c>
      <c r="BH3598" s="458">
        <v>6.1219758468819219E-2</v>
      </c>
      <c r="BI3598" s="477">
        <v>10214235.007881915</v>
      </c>
      <c r="BJ3598" s="458">
        <v>0.10355869931584216</v>
      </c>
      <c r="BK3598" s="477">
        <v>89240544.827964753</v>
      </c>
      <c r="BL3598" s="458">
        <v>0.27078905842078704</v>
      </c>
      <c r="BM3598" s="468">
        <v>6.8518634410284616</v>
      </c>
    </row>
    <row r="3599" spans="12:65" x14ac:dyDescent="0.3">
      <c r="L3599" s="427">
        <v>-8986035.4757000003</v>
      </c>
      <c r="BE3599" s="477">
        <v>6079544.8829878634</v>
      </c>
      <c r="BF3599" s="458">
        <v>4.0566108707432713E-2</v>
      </c>
      <c r="BG3599" s="477">
        <v>11146599.065766629</v>
      </c>
      <c r="BH3599" s="458">
        <v>9.7515651479088028E-2</v>
      </c>
      <c r="BI3599" s="477">
        <v>18124944.299588289</v>
      </c>
      <c r="BJ3599" s="458">
        <v>0.10614901472625493</v>
      </c>
      <c r="BK3599" s="477">
        <v>86693078.277408779</v>
      </c>
      <c r="BL3599" s="458">
        <v>0.2664120845127127</v>
      </c>
      <c r="BM3599" s="468">
        <v>2.9159183182489796</v>
      </c>
    </row>
    <row r="3600" spans="12:65" x14ac:dyDescent="0.3">
      <c r="L3600" s="427">
        <v>1823378.4286</v>
      </c>
      <c r="BE3600" s="477">
        <v>13101053.336119</v>
      </c>
      <c r="BF3600" s="458">
        <v>5.6372632746978013E-2</v>
      </c>
      <c r="BG3600" s="477">
        <v>9147637.7120613344</v>
      </c>
      <c r="BH3600" s="458">
        <v>4.3636558044634732E-2</v>
      </c>
      <c r="BI3600" s="477">
        <v>11600041.203920214</v>
      </c>
      <c r="BJ3600" s="458">
        <v>0.11321843822603239</v>
      </c>
      <c r="BK3600" s="477">
        <v>99232769.461769983</v>
      </c>
      <c r="BL3600" s="458">
        <v>0.26422061450198608</v>
      </c>
      <c r="BM3600" s="468">
        <v>6.5524187398575666</v>
      </c>
    </row>
    <row r="3601" spans="12:65" x14ac:dyDescent="0.3">
      <c r="L3601" s="427">
        <v>-5426051.2011000002</v>
      </c>
      <c r="BE3601" s="477">
        <v>5216132.6372098774</v>
      </c>
      <c r="BF3601" s="458">
        <v>5.9881592920266735E-2</v>
      </c>
      <c r="BG3601" s="477">
        <v>7992679.4340638397</v>
      </c>
      <c r="BH3601" s="458">
        <v>4.9090452259943573E-2</v>
      </c>
      <c r="BI3601" s="477">
        <v>14526608.487273473</v>
      </c>
      <c r="BJ3601" s="458">
        <v>0.11554298057331924</v>
      </c>
      <c r="BK3601" s="477">
        <v>75112072.474262625</v>
      </c>
      <c r="BL3601" s="458">
        <v>0.26414508849710105</v>
      </c>
      <c r="BM3601" s="468">
        <v>8.0449788440337198</v>
      </c>
    </row>
    <row r="3602" spans="12:65" x14ac:dyDescent="0.3">
      <c r="L3602" s="427">
        <v>19170221.5218</v>
      </c>
      <c r="BE3602" s="477">
        <v>4027171.8001922858</v>
      </c>
      <c r="BF3602" s="458">
        <v>6.0734464855831005E-2</v>
      </c>
      <c r="BG3602" s="477">
        <v>5578010.2623860398</v>
      </c>
      <c r="BH3602" s="458">
        <v>3.9402370570501333E-2</v>
      </c>
      <c r="BI3602" s="477">
        <v>19455201.533961672</v>
      </c>
      <c r="BJ3602" s="458">
        <v>0.10336783616137502</v>
      </c>
      <c r="BK3602" s="477">
        <v>85992296.065802291</v>
      </c>
      <c r="BL3602" s="458">
        <v>0.27364492605815771</v>
      </c>
      <c r="BM3602" s="468">
        <v>16.385061643150877</v>
      </c>
    </row>
    <row r="3603" spans="12:65" x14ac:dyDescent="0.3">
      <c r="L3603" s="427">
        <v>16231003.327400001</v>
      </c>
      <c r="BE3603" s="477">
        <v>8546952.8849113081</v>
      </c>
      <c r="BF3603" s="458">
        <v>3.2090242721518614E-2</v>
      </c>
      <c r="BG3603" s="477">
        <v>7574326.9998940416</v>
      </c>
      <c r="BH3603" s="458">
        <v>8.3239392602291851E-2</v>
      </c>
      <c r="BI3603" s="477">
        <v>18172828.533081837</v>
      </c>
      <c r="BJ3603" s="458">
        <v>0.14445774614686768</v>
      </c>
      <c r="BK3603" s="477">
        <v>85879316.757704809</v>
      </c>
      <c r="BL3603" s="458">
        <v>0.27245403812252333</v>
      </c>
      <c r="BM3603" s="468">
        <v>11.841799116290737</v>
      </c>
    </row>
    <row r="3604" spans="12:65" x14ac:dyDescent="0.3">
      <c r="L3604" s="427">
        <v>15965366.247300001</v>
      </c>
      <c r="BE3604" s="477">
        <v>1771865.2437631916</v>
      </c>
      <c r="BF3604" s="458">
        <v>4.7456094296068896E-2</v>
      </c>
      <c r="BG3604" s="477">
        <v>4277997.5811752314</v>
      </c>
      <c r="BH3604" s="458">
        <v>7.7548076202558214E-2</v>
      </c>
      <c r="BI3604" s="477">
        <v>19650228.250293706</v>
      </c>
      <c r="BJ3604" s="458">
        <v>0.11276553396243272</v>
      </c>
      <c r="BK3604" s="477">
        <v>92410778.977790564</v>
      </c>
      <c r="BL3604" s="458">
        <v>0.26455614643287761</v>
      </c>
      <c r="BM3604" s="468">
        <v>8.9314625292923466</v>
      </c>
    </row>
    <row r="3605" spans="12:65" x14ac:dyDescent="0.3">
      <c r="L3605" s="427">
        <v>9794043.8313999996</v>
      </c>
      <c r="BE3605" s="477">
        <v>4029521.413614891</v>
      </c>
      <c r="BF3605" s="458">
        <v>4.9331242893695837E-2</v>
      </c>
      <c r="BG3605" s="477">
        <v>13789440.289384533</v>
      </c>
      <c r="BH3605" s="458">
        <v>8.7382023104960904E-2</v>
      </c>
      <c r="BI3605" s="477">
        <v>19099703.864447325</v>
      </c>
      <c r="BJ3605" s="458">
        <v>9.8619158436985543E-2</v>
      </c>
      <c r="BK3605" s="477">
        <v>88959773.668811366</v>
      </c>
      <c r="BL3605" s="458">
        <v>0.28149154766684625</v>
      </c>
      <c r="BM3605" s="468">
        <v>12.881430673516974</v>
      </c>
    </row>
    <row r="3606" spans="12:65" x14ac:dyDescent="0.3">
      <c r="L3606" s="427">
        <v>8943504.5484999996</v>
      </c>
      <c r="BE3606" s="477">
        <v>2727685.103914822</v>
      </c>
      <c r="BF3606" s="458">
        <v>5.1235876543275438E-2</v>
      </c>
      <c r="BG3606" s="477">
        <v>13452121.895716069</v>
      </c>
      <c r="BH3606" s="458">
        <v>5.5122544882944213E-2</v>
      </c>
      <c r="BI3606" s="477">
        <v>20265641.537124194</v>
      </c>
      <c r="BJ3606" s="458">
        <v>8.8882822623126412E-2</v>
      </c>
      <c r="BK3606" s="477">
        <v>89774362.639616132</v>
      </c>
      <c r="BL3606" s="458">
        <v>0.27929498387110585</v>
      </c>
      <c r="BM3606" s="468">
        <v>11.586513390364294</v>
      </c>
    </row>
    <row r="3607" spans="12:65" x14ac:dyDescent="0.3">
      <c r="L3607" s="427">
        <v>9967965.4636000004</v>
      </c>
      <c r="BE3607" s="477">
        <v>2462690.0954140658</v>
      </c>
      <c r="BF3607" s="458">
        <v>4.2393664345017346E-2</v>
      </c>
      <c r="BG3607" s="477">
        <v>8119648.1045068819</v>
      </c>
      <c r="BH3607" s="458">
        <v>7.3472556552016455E-2</v>
      </c>
      <c r="BI3607" s="477">
        <v>16498711.31840341</v>
      </c>
      <c r="BJ3607" s="458">
        <v>0.10460393477749408</v>
      </c>
      <c r="BK3607" s="477">
        <v>93689374.807619959</v>
      </c>
      <c r="BL3607" s="458">
        <v>0.29195866393412606</v>
      </c>
      <c r="BM3607" s="468">
        <v>11.457370492793526</v>
      </c>
    </row>
    <row r="3608" spans="12:65" x14ac:dyDescent="0.3">
      <c r="L3608" s="427">
        <v>14929138.2028</v>
      </c>
      <c r="BE3608" s="477">
        <v>252634.86553230966</v>
      </c>
      <c r="BF3608" s="458">
        <v>4.8913649727343467E-2</v>
      </c>
      <c r="BG3608" s="477">
        <v>12456135.24065149</v>
      </c>
      <c r="BH3608" s="458">
        <v>6.6193267200567174E-2</v>
      </c>
      <c r="BI3608" s="477">
        <v>25885690.091800138</v>
      </c>
      <c r="BJ3608" s="458">
        <v>0.11215731963963682</v>
      </c>
      <c r="BK3608" s="477">
        <v>77683977.005503923</v>
      </c>
      <c r="BL3608" s="458">
        <v>0.27418011846805701</v>
      </c>
      <c r="BM3608" s="468">
        <v>6.4590772989458749</v>
      </c>
    </row>
    <row r="3609" spans="12:65" x14ac:dyDescent="0.3">
      <c r="L3609" s="427">
        <v>-6866257.2790999999</v>
      </c>
      <c r="BE3609" s="477">
        <v>6014767.2334633432</v>
      </c>
      <c r="BF3609" s="458">
        <v>3.5307914536673035E-2</v>
      </c>
      <c r="BG3609" s="477">
        <v>4491759.6841303948</v>
      </c>
      <c r="BH3609" s="458">
        <v>4.3233688445831531E-2</v>
      </c>
      <c r="BI3609" s="477">
        <v>15644656.990936738</v>
      </c>
      <c r="BJ3609" s="458">
        <v>9.6290428435017006E-2</v>
      </c>
      <c r="BK3609" s="477">
        <v>92083772.071531147</v>
      </c>
      <c r="BL3609" s="458">
        <v>0.27814958574041038</v>
      </c>
      <c r="BM3609" s="468">
        <v>2.320891912345302</v>
      </c>
    </row>
    <row r="3610" spans="12:65" x14ac:dyDescent="0.3">
      <c r="L3610" s="427">
        <v>19462773.5469</v>
      </c>
      <c r="BE3610" s="477">
        <v>2857743.1133420574</v>
      </c>
      <c r="BF3610" s="458">
        <v>3.5827802326695579E-2</v>
      </c>
      <c r="BG3610" s="477">
        <v>11760976.754782343</v>
      </c>
      <c r="BH3610" s="458">
        <v>5.1419018754443435E-2</v>
      </c>
      <c r="BI3610" s="477">
        <v>10445170.687008098</v>
      </c>
      <c r="BJ3610" s="458">
        <v>0.11677072212718365</v>
      </c>
      <c r="BK3610" s="477">
        <v>79435505.453472733</v>
      </c>
      <c r="BL3610" s="458">
        <v>0.2660453327732395</v>
      </c>
      <c r="BM3610" s="468">
        <v>3.6345396265878804</v>
      </c>
    </row>
    <row r="3611" spans="12:65" x14ac:dyDescent="0.3">
      <c r="L3611" s="427">
        <v>12879911.7355</v>
      </c>
      <c r="BE3611" s="477">
        <v>4142133.5697253365</v>
      </c>
      <c r="BF3611" s="458">
        <v>5.3016745589398395E-2</v>
      </c>
      <c r="BG3611" s="477">
        <v>9533751.4650670998</v>
      </c>
      <c r="BH3611" s="458">
        <v>7.2487655195599965E-2</v>
      </c>
      <c r="BI3611" s="477">
        <v>20251112.667410765</v>
      </c>
      <c r="BJ3611" s="458">
        <v>0.11127233677186843</v>
      </c>
      <c r="BK3611" s="477">
        <v>90927740.694739491</v>
      </c>
      <c r="BL3611" s="458">
        <v>0.28038894307421147</v>
      </c>
      <c r="BM3611" s="468">
        <v>5.5620262210794955</v>
      </c>
    </row>
    <row r="3612" spans="12:65" x14ac:dyDescent="0.3">
      <c r="L3612" s="427">
        <v>17258384.399799999</v>
      </c>
      <c r="BE3612" s="477">
        <v>2164263.2223341623</v>
      </c>
      <c r="BF3612" s="458">
        <v>8.3565836036685326E-3</v>
      </c>
      <c r="BG3612" s="477">
        <v>244883.9561050405</v>
      </c>
      <c r="BH3612" s="458">
        <v>5.4928098897743638E-2</v>
      </c>
      <c r="BI3612" s="477">
        <v>13996073.890160395</v>
      </c>
      <c r="BJ3612" s="458">
        <v>0.1305026045797486</v>
      </c>
      <c r="BK3612" s="477">
        <v>89056725.155476928</v>
      </c>
      <c r="BL3612" s="458">
        <v>0.2571936083986941</v>
      </c>
      <c r="BM3612" s="468">
        <v>10.32231578336107</v>
      </c>
    </row>
    <row r="3613" spans="12:65" x14ac:dyDescent="0.3">
      <c r="L3613" s="427">
        <v>7493727.2823999999</v>
      </c>
      <c r="BE3613" s="477">
        <v>5600052.6923610158</v>
      </c>
      <c r="BF3613" s="458">
        <v>3.8402496150553356E-2</v>
      </c>
      <c r="BG3613" s="477">
        <v>9918963.3472148739</v>
      </c>
      <c r="BH3613" s="458">
        <v>6.245231426568254E-2</v>
      </c>
      <c r="BI3613" s="477">
        <v>17149489.883882742</v>
      </c>
      <c r="BJ3613" s="458">
        <v>0.11412448954961918</v>
      </c>
      <c r="BK3613" s="477">
        <v>84202979.446148783</v>
      </c>
      <c r="BL3613" s="458">
        <v>0.25819130201528639</v>
      </c>
      <c r="BM3613" s="468">
        <v>8.0542298438956959</v>
      </c>
    </row>
    <row r="3614" spans="12:65" x14ac:dyDescent="0.3">
      <c r="L3614" s="427">
        <v>17143469.705200002</v>
      </c>
      <c r="BE3614" s="477">
        <v>6031491.3882744852</v>
      </c>
      <c r="BF3614" s="458">
        <v>3.6193631824481542E-2</v>
      </c>
      <c r="BG3614" s="477">
        <v>8471708.7192436848</v>
      </c>
      <c r="BH3614" s="458">
        <v>6.6255164396142874E-2</v>
      </c>
      <c r="BI3614" s="477">
        <v>13037840.40430171</v>
      </c>
      <c r="BJ3614" s="458">
        <v>8.8156396656012603E-2</v>
      </c>
      <c r="BK3614" s="477">
        <v>102355837.46425314</v>
      </c>
      <c r="BL3614" s="458">
        <v>0.27057781999230923</v>
      </c>
      <c r="BM3614" s="468">
        <v>6.5017624979650126</v>
      </c>
    </row>
    <row r="3615" spans="12:65" x14ac:dyDescent="0.3">
      <c r="L3615" s="427">
        <v>29909967.305599999</v>
      </c>
      <c r="BE3615" s="477">
        <v>6616135.3000678699</v>
      </c>
      <c r="BF3615" s="458">
        <v>4.5668909135900826E-2</v>
      </c>
      <c r="BG3615" s="477">
        <v>10736059.485127032</v>
      </c>
      <c r="BH3615" s="458">
        <v>6.6829180420648449E-2</v>
      </c>
      <c r="BI3615" s="477">
        <v>15698556.882272072</v>
      </c>
      <c r="BJ3615" s="458">
        <v>9.8230359232301057E-2</v>
      </c>
      <c r="BK3615" s="477">
        <v>92568461.722965509</v>
      </c>
      <c r="BL3615" s="458">
        <v>0.25968558281211296</v>
      </c>
      <c r="BM3615" s="468">
        <v>13.144426363844735</v>
      </c>
    </row>
    <row r="3616" spans="12:65" x14ac:dyDescent="0.3">
      <c r="L3616" s="427">
        <v>4376387.2521000002</v>
      </c>
      <c r="BE3616" s="477">
        <v>7207459.6813998921</v>
      </c>
      <c r="BF3616" s="458">
        <v>2.9276968096120903E-2</v>
      </c>
      <c r="BG3616" s="477">
        <v>6407061.8532430846</v>
      </c>
      <c r="BH3616" s="458">
        <v>6.5566916703707845E-2</v>
      </c>
      <c r="BI3616" s="477">
        <v>16687710.776400747</v>
      </c>
      <c r="BJ3616" s="458">
        <v>0.11932478158555071</v>
      </c>
      <c r="BK3616" s="477">
        <v>95699696.176552027</v>
      </c>
      <c r="BL3616" s="458">
        <v>0.28052668119971691</v>
      </c>
      <c r="BM3616" s="468">
        <v>2.1069383989738535</v>
      </c>
    </row>
    <row r="3617" spans="12:65" x14ac:dyDescent="0.3">
      <c r="L3617" s="427">
        <v>18301553.397100002</v>
      </c>
      <c r="BE3617" s="477">
        <v>6361509.0184831666</v>
      </c>
      <c r="BF3617" s="458">
        <v>3.312629001696088E-2</v>
      </c>
      <c r="BG3617" s="477">
        <v>8614160.929443039</v>
      </c>
      <c r="BH3617" s="458">
        <v>6.6527662746703742E-2</v>
      </c>
      <c r="BI3617" s="477">
        <v>16255003.850101504</v>
      </c>
      <c r="BJ3617" s="458">
        <v>8.511683053755803E-2</v>
      </c>
      <c r="BK3617" s="477">
        <v>90282628.468477875</v>
      </c>
      <c r="BL3617" s="458">
        <v>0.26582598333818974</v>
      </c>
      <c r="BM3617" s="468">
        <v>0.73848923947339262</v>
      </c>
    </row>
    <row r="3618" spans="12:65" x14ac:dyDescent="0.3">
      <c r="L3618" s="427">
        <v>18523948.212699998</v>
      </c>
      <c r="BE3618" s="477">
        <v>3762031.48924571</v>
      </c>
      <c r="BF3618" s="458">
        <v>3.4866332158318247E-2</v>
      </c>
      <c r="BG3618" s="477">
        <v>8429362.7212220766</v>
      </c>
      <c r="BH3618" s="458">
        <v>6.2010402137274268E-2</v>
      </c>
      <c r="BI3618" s="477">
        <v>20220074.699623391</v>
      </c>
      <c r="BJ3618" s="458">
        <v>0.1096277301410824</v>
      </c>
      <c r="BK3618" s="477">
        <v>83852232.187988475</v>
      </c>
      <c r="BL3618" s="458">
        <v>0.25584025159188895</v>
      </c>
      <c r="BM3618" s="468">
        <v>10.854054393505148</v>
      </c>
    </row>
    <row r="3619" spans="12:65" x14ac:dyDescent="0.3">
      <c r="L3619" s="427">
        <v>6596465.4780999999</v>
      </c>
      <c r="BE3619" s="477">
        <v>5078260.5366585543</v>
      </c>
      <c r="BF3619" s="458">
        <v>5.9443860350601119E-2</v>
      </c>
      <c r="BG3619" s="477">
        <v>9692994.0366759077</v>
      </c>
      <c r="BH3619" s="458">
        <v>6.0008411368223546E-2</v>
      </c>
      <c r="BI3619" s="477">
        <v>12770653.149380067</v>
      </c>
      <c r="BJ3619" s="458">
        <v>0.10620078697837521</v>
      </c>
      <c r="BK3619" s="477">
        <v>100025303.96694636</v>
      </c>
      <c r="BL3619" s="458">
        <v>0.2682090343212935</v>
      </c>
      <c r="BM3619" s="468">
        <v>0.80914215908913789</v>
      </c>
    </row>
    <row r="3620" spans="12:65" x14ac:dyDescent="0.3">
      <c r="L3620" s="427">
        <v>16925997.550299998</v>
      </c>
      <c r="BE3620" s="477">
        <v>3207506.8926353748</v>
      </c>
      <c r="BF3620" s="458">
        <v>4.4308959839540529E-2</v>
      </c>
      <c r="BG3620" s="477">
        <v>4349856.6665935339</v>
      </c>
      <c r="BH3620" s="458">
        <v>7.0034025665763444E-2</v>
      </c>
      <c r="BI3620" s="477">
        <v>20186865.687566895</v>
      </c>
      <c r="BJ3620" s="458">
        <v>0.13124270362384993</v>
      </c>
      <c r="BK3620" s="477">
        <v>100149701.59358014</v>
      </c>
      <c r="BL3620" s="458">
        <v>0.26376902185284123</v>
      </c>
      <c r="BM3620" s="468">
        <v>4.1989471555925464</v>
      </c>
    </row>
    <row r="3621" spans="12:65" x14ac:dyDescent="0.3">
      <c r="L3621" s="427">
        <v>16456904.500600001</v>
      </c>
      <c r="BE3621" s="477">
        <v>4161680.6772213201</v>
      </c>
      <c r="BF3621" s="458">
        <v>2.2742215895123152E-2</v>
      </c>
      <c r="BG3621" s="477">
        <v>9217523.2321294714</v>
      </c>
      <c r="BH3621" s="458">
        <v>5.8888001881753693E-2</v>
      </c>
      <c r="BI3621" s="477">
        <v>18366824.853047848</v>
      </c>
      <c r="BJ3621" s="458">
        <v>9.2126660420610129E-2</v>
      </c>
      <c r="BK3621" s="477">
        <v>80617802.902021691</v>
      </c>
      <c r="BL3621" s="458">
        <v>0.27946842140805028</v>
      </c>
      <c r="BM3621" s="468">
        <v>10.934113288513069</v>
      </c>
    </row>
    <row r="3622" spans="12:65" x14ac:dyDescent="0.3">
      <c r="L3622" s="427">
        <v>-1033756.4823</v>
      </c>
      <c r="BE3622" s="477">
        <v>3917709.7761457008</v>
      </c>
      <c r="BF3622" s="458">
        <v>3.2070722439171195E-2</v>
      </c>
      <c r="BG3622" s="477">
        <v>11941658.266168861</v>
      </c>
      <c r="BH3622" s="458">
        <v>6.3649989156209674E-2</v>
      </c>
      <c r="BI3622" s="477">
        <v>16464233.713325012</v>
      </c>
      <c r="BJ3622" s="458">
        <v>0.11636661048145447</v>
      </c>
      <c r="BK3622" s="477">
        <v>81439731.400238186</v>
      </c>
      <c r="BL3622" s="458">
        <v>0.2634987534939337</v>
      </c>
      <c r="BM3622" s="468">
        <v>5.2954518558135213</v>
      </c>
    </row>
    <row r="3623" spans="12:65" x14ac:dyDescent="0.3">
      <c r="L3623" s="427">
        <v>21062665.076900002</v>
      </c>
      <c r="BE3623" s="477">
        <v>9532816.6096389852</v>
      </c>
      <c r="BF3623" s="458">
        <v>5.1471818300857564E-2</v>
      </c>
      <c r="BG3623" s="477">
        <v>2969629.865805971</v>
      </c>
      <c r="BH3623" s="458">
        <v>7.0918678053554451E-2</v>
      </c>
      <c r="BI3623" s="477">
        <v>16426808.782773245</v>
      </c>
      <c r="BJ3623" s="458">
        <v>0.10675857777510833</v>
      </c>
      <c r="BK3623" s="477">
        <v>88996668.678669348</v>
      </c>
      <c r="BL3623" s="458">
        <v>0.26364770981289865</v>
      </c>
      <c r="BM3623" s="468">
        <v>11.033245843675322</v>
      </c>
    </row>
    <row r="3624" spans="12:65" x14ac:dyDescent="0.3">
      <c r="L3624" s="427">
        <v>-25245775.721000001</v>
      </c>
      <c r="BE3624" s="477">
        <v>3884764.7970994194</v>
      </c>
      <c r="BF3624" s="458">
        <v>3.9724127420344368E-2</v>
      </c>
      <c r="BG3624" s="477">
        <v>15025135.034543846</v>
      </c>
      <c r="BH3624" s="458">
        <v>8.6270133267418503E-2</v>
      </c>
      <c r="BI3624" s="477">
        <v>26179450.952268321</v>
      </c>
      <c r="BJ3624" s="458">
        <v>0.11902377660492913</v>
      </c>
      <c r="BK3624" s="477">
        <v>81455884.928178564</v>
      </c>
      <c r="BL3624" s="458">
        <v>0.26187480360369064</v>
      </c>
      <c r="BM3624" s="468">
        <v>10.34428821918117</v>
      </c>
    </row>
    <row r="3625" spans="12:65" x14ac:dyDescent="0.3">
      <c r="L3625" s="427">
        <v>21717854.326299999</v>
      </c>
      <c r="BE3625" s="477">
        <v>5636621.843665354</v>
      </c>
      <c r="BF3625" s="458">
        <v>4.0988983886673491E-2</v>
      </c>
      <c r="BG3625" s="477">
        <v>5618436.5242736852</v>
      </c>
      <c r="BH3625" s="458">
        <v>9.2882438952983426E-2</v>
      </c>
      <c r="BI3625" s="477">
        <v>18198661.592952922</v>
      </c>
      <c r="BJ3625" s="458">
        <v>0.10117949373189106</v>
      </c>
      <c r="BK3625" s="477">
        <v>99289374.759563759</v>
      </c>
      <c r="BL3625" s="458">
        <v>0.28908693725985146</v>
      </c>
      <c r="BM3625" s="468">
        <v>10.382006585266012</v>
      </c>
    </row>
    <row r="3626" spans="12:65" x14ac:dyDescent="0.3">
      <c r="L3626" s="427">
        <v>6231562.2789000003</v>
      </c>
      <c r="BE3626" s="477">
        <v>7560010.3726747241</v>
      </c>
      <c r="BF3626" s="458">
        <v>5.7191358707488371E-2</v>
      </c>
      <c r="BG3626" s="477">
        <v>9702709.6836864632</v>
      </c>
      <c r="BH3626" s="458">
        <v>4.2258954421288575E-2</v>
      </c>
      <c r="BI3626" s="477">
        <v>15879936.242351929</v>
      </c>
      <c r="BJ3626" s="458">
        <v>0.11737268514188481</v>
      </c>
      <c r="BK3626" s="477">
        <v>95784222.6027468</v>
      </c>
      <c r="BL3626" s="458">
        <v>0.26326593824735012</v>
      </c>
      <c r="BM3626" s="468">
        <v>6.4712512380174001</v>
      </c>
    </row>
    <row r="3627" spans="12:65" x14ac:dyDescent="0.3">
      <c r="L3627" s="427">
        <v>12457174.1516</v>
      </c>
      <c r="BE3627" s="477">
        <v>4352814.8563953629</v>
      </c>
      <c r="BF3627" s="458">
        <v>5.529822790193073E-2</v>
      </c>
      <c r="BG3627" s="477">
        <v>7625506.8436807189</v>
      </c>
      <c r="BH3627" s="458">
        <v>5.0900831650285472E-2</v>
      </c>
      <c r="BI3627" s="477">
        <v>13418326.511827916</v>
      </c>
      <c r="BJ3627" s="458">
        <v>0.14179966005603695</v>
      </c>
      <c r="BK3627" s="477">
        <v>90762310.721163899</v>
      </c>
      <c r="BL3627" s="458">
        <v>0.26757385751313101</v>
      </c>
      <c r="BM3627" s="468">
        <v>3.4670230352117635</v>
      </c>
    </row>
    <row r="3628" spans="12:65" x14ac:dyDescent="0.3">
      <c r="L3628" s="427">
        <v>4454281.8017999995</v>
      </c>
      <c r="BE3628" s="477">
        <v>3540075.7039297582</v>
      </c>
      <c r="BF3628" s="458">
        <v>3.4380396235268229E-2</v>
      </c>
      <c r="BG3628" s="477">
        <v>2757118.225913791</v>
      </c>
      <c r="BH3628" s="458">
        <v>6.6145243433777479E-2</v>
      </c>
      <c r="BI3628" s="477">
        <v>22757658.183770034</v>
      </c>
      <c r="BJ3628" s="458">
        <v>0.1049858991580277</v>
      </c>
      <c r="BK3628" s="477">
        <v>100714913.41962984</v>
      </c>
      <c r="BL3628" s="458">
        <v>0.26850286433024495</v>
      </c>
      <c r="BM3628" s="468">
        <v>8.6727427754960988</v>
      </c>
    </row>
    <row r="3629" spans="12:65" x14ac:dyDescent="0.3">
      <c r="L3629" s="427">
        <v>3669352.3136999998</v>
      </c>
      <c r="BE3629" s="477">
        <v>4008063.6174257211</v>
      </c>
      <c r="BF3629" s="458">
        <v>3.7916854691131485E-2</v>
      </c>
      <c r="BG3629" s="477">
        <v>13177144.918041855</v>
      </c>
      <c r="BH3629" s="458">
        <v>7.3876721386461064E-2</v>
      </c>
      <c r="BI3629" s="477">
        <v>17822011.945587587</v>
      </c>
      <c r="BJ3629" s="458">
        <v>0.11522914302608966</v>
      </c>
      <c r="BK3629" s="477">
        <v>83251468.547676995</v>
      </c>
      <c r="BL3629" s="458">
        <v>0.27020876629352553</v>
      </c>
      <c r="BM3629" s="468">
        <v>4.9413832330294127</v>
      </c>
    </row>
    <row r="3630" spans="12:65" x14ac:dyDescent="0.3">
      <c r="L3630" s="427">
        <v>3789761.0474</v>
      </c>
      <c r="BE3630" s="477">
        <v>804123.15069683082</v>
      </c>
      <c r="BF3630" s="458">
        <v>3.5671751764067006E-2</v>
      </c>
      <c r="BG3630" s="477">
        <v>3852755.7338526002</v>
      </c>
      <c r="BH3630" s="458">
        <v>7.4243781833931433E-2</v>
      </c>
      <c r="BI3630" s="477">
        <v>18715625.944709465</v>
      </c>
      <c r="BJ3630" s="458">
        <v>0.10531632855312467</v>
      </c>
      <c r="BK3630" s="477">
        <v>85171593.23595193</v>
      </c>
      <c r="BL3630" s="458">
        <v>0.26776110966209554</v>
      </c>
      <c r="BM3630" s="468">
        <v>5.2741822709400576</v>
      </c>
    </row>
    <row r="3631" spans="12:65" x14ac:dyDescent="0.3">
      <c r="L3631" s="427">
        <v>14696959.2774</v>
      </c>
      <c r="BE3631" s="477">
        <v>5370486.8618008904</v>
      </c>
      <c r="BF3631" s="458">
        <v>1.7430361356065349E-2</v>
      </c>
      <c r="BG3631" s="477">
        <v>6028569.1258531865</v>
      </c>
      <c r="BH3631" s="458">
        <v>5.4543101605682542E-2</v>
      </c>
      <c r="BI3631" s="477">
        <v>20944117.787554432</v>
      </c>
      <c r="BJ3631" s="458">
        <v>0.11397655006329188</v>
      </c>
      <c r="BK3631" s="477">
        <v>86268873.251264006</v>
      </c>
      <c r="BL3631" s="458">
        <v>0.26243529167366564</v>
      </c>
      <c r="BM3631" s="468">
        <v>12.377555531536252</v>
      </c>
    </row>
    <row r="3632" spans="12:65" x14ac:dyDescent="0.3">
      <c r="L3632" s="427">
        <v>5270189.2670999998</v>
      </c>
      <c r="BE3632" s="477">
        <v>1267152.0270378846</v>
      </c>
      <c r="BF3632" s="458">
        <v>2.2272442739668996E-2</v>
      </c>
      <c r="BG3632" s="477">
        <v>12241295.90141584</v>
      </c>
      <c r="BH3632" s="458">
        <v>6.3846069831300811E-2</v>
      </c>
      <c r="BI3632" s="477">
        <v>13436594.684476661</v>
      </c>
      <c r="BJ3632" s="458">
        <v>0.10084821801618182</v>
      </c>
      <c r="BK3632" s="477">
        <v>86579137.323650986</v>
      </c>
      <c r="BL3632" s="458">
        <v>0.28427158550178211</v>
      </c>
      <c r="BM3632" s="468">
        <v>9.839993226629197</v>
      </c>
    </row>
    <row r="3633" spans="12:65" x14ac:dyDescent="0.3">
      <c r="L3633" s="427">
        <v>5681884.8590000002</v>
      </c>
      <c r="BE3633" s="477">
        <v>2731471.3897484397</v>
      </c>
      <c r="BF3633" s="458">
        <v>6.1186450757371391E-2</v>
      </c>
      <c r="BG3633" s="477">
        <v>4435581.9842043119</v>
      </c>
      <c r="BH3633" s="458">
        <v>4.3759329711815731E-2</v>
      </c>
      <c r="BI3633" s="477">
        <v>17623068.754231814</v>
      </c>
      <c r="BJ3633" s="458">
        <v>0.11769876819519376</v>
      </c>
      <c r="BK3633" s="477">
        <v>86221898.063894212</v>
      </c>
      <c r="BL3633" s="458">
        <v>0.26067026990588471</v>
      </c>
      <c r="BM3633" s="468">
        <v>10.022145194097815</v>
      </c>
    </row>
    <row r="3634" spans="12:65" x14ac:dyDescent="0.3">
      <c r="L3634" s="427">
        <v>27415117.386700001</v>
      </c>
      <c r="BE3634" s="477">
        <v>3699858.0581051791</v>
      </c>
      <c r="BF3634" s="458">
        <v>3.5134147623871792E-2</v>
      </c>
      <c r="BG3634" s="477">
        <v>6131545.3678789111</v>
      </c>
      <c r="BH3634" s="458">
        <v>4.9431440235101709E-2</v>
      </c>
      <c r="BI3634" s="477">
        <v>15015448.419413788</v>
      </c>
      <c r="BJ3634" s="458">
        <v>0.10322134136165939</v>
      </c>
      <c r="BK3634" s="477">
        <v>89486697.686719924</v>
      </c>
      <c r="BL3634" s="458">
        <v>0.25971693598683432</v>
      </c>
      <c r="BM3634" s="468">
        <v>2.4519152290579118</v>
      </c>
    </row>
    <row r="3635" spans="12:65" x14ac:dyDescent="0.3">
      <c r="L3635" s="427">
        <v>4815459.2229000004</v>
      </c>
      <c r="BE3635" s="477">
        <v>3166418.1261411957</v>
      </c>
      <c r="BF3635" s="458">
        <v>2.5272964262993858E-2</v>
      </c>
      <c r="BG3635" s="477">
        <v>6867860.8894462837</v>
      </c>
      <c r="BH3635" s="458">
        <v>9.5213375103853526E-2</v>
      </c>
      <c r="BI3635" s="477">
        <v>12728228.530501585</v>
      </c>
      <c r="BJ3635" s="458">
        <v>0.12530921229216463</v>
      </c>
      <c r="BK3635" s="477">
        <v>76177822.283651739</v>
      </c>
      <c r="BL3635" s="458">
        <v>0.25206476440766679</v>
      </c>
      <c r="BM3635" s="468">
        <v>13.202644593856586</v>
      </c>
    </row>
    <row r="3636" spans="12:65" x14ac:dyDescent="0.3">
      <c r="L3636" s="427">
        <v>-3458279.2272000001</v>
      </c>
      <c r="BE3636" s="477">
        <v>7384848.9558259258</v>
      </c>
      <c r="BF3636" s="458">
        <v>4.6937780163249121E-2</v>
      </c>
      <c r="BG3636" s="477">
        <v>10391422.408584841</v>
      </c>
      <c r="BH3636" s="458">
        <v>4.7833603751103126E-2</v>
      </c>
      <c r="BI3636" s="477">
        <v>16292555.569719698</v>
      </c>
      <c r="BJ3636" s="458">
        <v>9.2605495871462828E-2</v>
      </c>
      <c r="BK3636" s="477">
        <v>88547940.066357836</v>
      </c>
      <c r="BL3636" s="458">
        <v>0.26379196306273056</v>
      </c>
      <c r="BM3636" s="468">
        <v>1.3421924085443369</v>
      </c>
    </row>
    <row r="3637" spans="12:65" x14ac:dyDescent="0.3">
      <c r="L3637" s="427">
        <v>18914807.838500001</v>
      </c>
      <c r="BE3637" s="477">
        <v>6861661.760625924</v>
      </c>
      <c r="BF3637" s="458">
        <v>3.2200246018947887E-2</v>
      </c>
      <c r="BG3637" s="477">
        <v>3954225.6969857817</v>
      </c>
      <c r="BH3637" s="458">
        <v>7.6169974178702526E-2</v>
      </c>
      <c r="BI3637" s="477">
        <v>7826598.5417387439</v>
      </c>
      <c r="BJ3637" s="458">
        <v>0.12263409286150817</v>
      </c>
      <c r="BK3637" s="477">
        <v>88448450.805504143</v>
      </c>
      <c r="BL3637" s="458">
        <v>0.27114894924538313</v>
      </c>
      <c r="BM3637" s="468">
        <v>7.6781099081424129</v>
      </c>
    </row>
    <row r="3638" spans="12:65" x14ac:dyDescent="0.3">
      <c r="L3638" s="427">
        <v>-7114780.2439000001</v>
      </c>
      <c r="BE3638" s="477">
        <v>2607973.5303836581</v>
      </c>
      <c r="BF3638" s="458">
        <v>2.0212592633365167E-2</v>
      </c>
      <c r="BG3638" s="477">
        <v>6856379.311157261</v>
      </c>
      <c r="BH3638" s="458">
        <v>6.0485325564461734E-2</v>
      </c>
      <c r="BI3638" s="477">
        <v>12616885.114873469</v>
      </c>
      <c r="BJ3638" s="458">
        <v>0.13270584595750434</v>
      </c>
      <c r="BK3638" s="477">
        <v>85072936.262854069</v>
      </c>
      <c r="BL3638" s="458">
        <v>0.27275181887207323</v>
      </c>
      <c r="BM3638" s="468">
        <v>7.1226278724069561</v>
      </c>
    </row>
    <row r="3639" spans="12:65" x14ac:dyDescent="0.3">
      <c r="L3639" s="427">
        <v>-6743157.6103999997</v>
      </c>
      <c r="BE3639" s="477">
        <v>7178507.1732943486</v>
      </c>
      <c r="BF3639" s="458">
        <v>5.8129393491093362E-2</v>
      </c>
      <c r="BG3639" s="477">
        <v>7759430.6729630996</v>
      </c>
      <c r="BH3639" s="458">
        <v>4.6754181542217221E-2</v>
      </c>
      <c r="BI3639" s="477">
        <v>15171844.600582195</v>
      </c>
      <c r="BJ3639" s="458">
        <v>0.12097686843607502</v>
      </c>
      <c r="BK3639" s="477">
        <v>103756299.54038057</v>
      </c>
      <c r="BL3639" s="458">
        <v>0.25091158205898445</v>
      </c>
      <c r="BM3639" s="468">
        <v>6.7724163868210718</v>
      </c>
    </row>
    <row r="3640" spans="12:65" x14ac:dyDescent="0.3">
      <c r="L3640" s="427">
        <v>4900003.9642000003</v>
      </c>
      <c r="BE3640" s="477">
        <v>5387459.0729487715</v>
      </c>
      <c r="BF3640" s="458">
        <v>2.6980058428163201E-2</v>
      </c>
      <c r="BG3640" s="477">
        <v>6870085.7354569221</v>
      </c>
      <c r="BH3640" s="458">
        <v>5.6180946099612328E-2</v>
      </c>
      <c r="BI3640" s="477">
        <v>22009883.510537084</v>
      </c>
      <c r="BJ3640" s="458">
        <v>8.4801584524528906E-2</v>
      </c>
      <c r="BK3640" s="477">
        <v>86570081.272126496</v>
      </c>
      <c r="BL3640" s="458">
        <v>0.27856179646604584</v>
      </c>
      <c r="BM3640" s="468">
        <v>14.395328609928692</v>
      </c>
    </row>
    <row r="3641" spans="12:65" x14ac:dyDescent="0.3">
      <c r="L3641" s="427">
        <v>11620893.1953</v>
      </c>
      <c r="BE3641" s="477">
        <v>3401724.1240611095</v>
      </c>
      <c r="BF3641" s="458">
        <v>2.161778403021497E-2</v>
      </c>
      <c r="BG3641" s="477">
        <v>5476692.9942307025</v>
      </c>
      <c r="BH3641" s="458">
        <v>6.3106339256181254E-2</v>
      </c>
      <c r="BI3641" s="477">
        <v>16630526.062741114</v>
      </c>
      <c r="BJ3641" s="458">
        <v>0.11966703871323769</v>
      </c>
      <c r="BK3641" s="477">
        <v>85898854.632327616</v>
      </c>
      <c r="BL3641" s="458">
        <v>0.24150498032827228</v>
      </c>
      <c r="BM3641" s="468">
        <v>12.510806824709492</v>
      </c>
    </row>
    <row r="3642" spans="12:65" x14ac:dyDescent="0.3">
      <c r="L3642" s="427">
        <v>2376802.5866999999</v>
      </c>
      <c r="BE3642" s="477">
        <v>4380178.1383822346</v>
      </c>
      <c r="BF3642" s="458">
        <v>3.2463440299842938E-2</v>
      </c>
      <c r="BG3642" s="477">
        <v>5061503.9526232956</v>
      </c>
      <c r="BH3642" s="458">
        <v>4.6273307647721085E-2</v>
      </c>
      <c r="BI3642" s="477">
        <v>27293628.870284166</v>
      </c>
      <c r="BJ3642" s="458">
        <v>0.114500231391649</v>
      </c>
      <c r="BK3642" s="477">
        <v>97370454.221537828</v>
      </c>
      <c r="BL3642" s="458">
        <v>0.26167599342448544</v>
      </c>
      <c r="BM3642" s="468">
        <v>2.0722171442842763</v>
      </c>
    </row>
    <row r="3643" spans="12:65" x14ac:dyDescent="0.3">
      <c r="L3643" s="427">
        <v>5522342.8515999997</v>
      </c>
      <c r="BE3643" s="477">
        <v>4747710.0965165989</v>
      </c>
      <c r="BF3643" s="458">
        <v>5.093927135294285E-2</v>
      </c>
      <c r="BG3643" s="477">
        <v>8324229.186559231</v>
      </c>
      <c r="BH3643" s="458">
        <v>6.5710265680803515E-2</v>
      </c>
      <c r="BI3643" s="477">
        <v>16912589.117481373</v>
      </c>
      <c r="BJ3643" s="458">
        <v>0.11632282105236613</v>
      </c>
      <c r="BK3643" s="477">
        <v>94954394.565247029</v>
      </c>
      <c r="BL3643" s="458">
        <v>0.28519076413815747</v>
      </c>
      <c r="BM3643" s="468">
        <v>6.0567652160961156</v>
      </c>
    </row>
    <row r="3644" spans="12:65" x14ac:dyDescent="0.3">
      <c r="L3644" s="427">
        <v>2566633.3810999999</v>
      </c>
      <c r="BE3644" s="477">
        <v>5313559.1834931923</v>
      </c>
      <c r="BF3644" s="458">
        <v>4.9092345345324695E-2</v>
      </c>
      <c r="BG3644" s="477">
        <v>10136828.553952878</v>
      </c>
      <c r="BH3644" s="458">
        <v>8.010969025676884E-2</v>
      </c>
      <c r="BI3644" s="477">
        <v>21745519.904323895</v>
      </c>
      <c r="BJ3644" s="458">
        <v>0.11223017803508761</v>
      </c>
      <c r="BK3644" s="477">
        <v>96685626.97851409</v>
      </c>
      <c r="BL3644" s="458">
        <v>0.27293940869484601</v>
      </c>
      <c r="BM3644" s="468">
        <v>4.1895399019858335</v>
      </c>
    </row>
    <row r="3645" spans="12:65" x14ac:dyDescent="0.3">
      <c r="L3645" s="427">
        <v>9962184.5256999992</v>
      </c>
      <c r="BE3645" s="477">
        <v>7336597.1990757314</v>
      </c>
      <c r="BF3645" s="458">
        <v>5.397904442462087E-2</v>
      </c>
      <c r="BG3645" s="477">
        <v>7650233.3373055821</v>
      </c>
      <c r="BH3645" s="458">
        <v>7.2543986419527862E-2</v>
      </c>
      <c r="BI3645" s="477">
        <v>15249390.221572397</v>
      </c>
      <c r="BJ3645" s="458">
        <v>9.9082178117976927E-2</v>
      </c>
      <c r="BK3645" s="477">
        <v>89836157.444612429</v>
      </c>
      <c r="BL3645" s="458">
        <v>0.27537532864803893</v>
      </c>
      <c r="BM3645" s="468">
        <v>9.06255291921401</v>
      </c>
    </row>
    <row r="3646" spans="12:65" x14ac:dyDescent="0.3">
      <c r="L3646" s="427">
        <v>13865379.085899999</v>
      </c>
      <c r="BE3646" s="477">
        <v>9591023.705729669</v>
      </c>
      <c r="BF3646" s="458">
        <v>2.0262425012731677E-2</v>
      </c>
      <c r="BG3646" s="477">
        <v>2207372.416767545</v>
      </c>
      <c r="BH3646" s="458">
        <v>6.8037144983838616E-2</v>
      </c>
      <c r="BI3646" s="477">
        <v>21079798.125239592</v>
      </c>
      <c r="BJ3646" s="458">
        <v>9.5232558670115264E-2</v>
      </c>
      <c r="BK3646" s="477">
        <v>101346030.0655499</v>
      </c>
      <c r="BL3646" s="458">
        <v>0.270000445010111</v>
      </c>
      <c r="BM3646" s="468">
        <v>6.1819894799942805</v>
      </c>
    </row>
    <row r="3647" spans="12:65" x14ac:dyDescent="0.3">
      <c r="L3647" s="427">
        <v>-7306489.6580999997</v>
      </c>
      <c r="BE3647" s="477">
        <v>4968906.2978929635</v>
      </c>
      <c r="BF3647" s="458">
        <v>3.571701195285959E-2</v>
      </c>
      <c r="BG3647" s="477">
        <v>8059852.6921913736</v>
      </c>
      <c r="BH3647" s="458">
        <v>7.7238726612934405E-2</v>
      </c>
      <c r="BI3647" s="477">
        <v>26040154.415122569</v>
      </c>
      <c r="BJ3647" s="458">
        <v>9.090377925751314E-2</v>
      </c>
      <c r="BK3647" s="477">
        <v>89069879.312398404</v>
      </c>
      <c r="BL3647" s="458">
        <v>0.27632243827107272</v>
      </c>
      <c r="BM3647" s="468">
        <v>7.37958261866049</v>
      </c>
    </row>
    <row r="3648" spans="12:65" x14ac:dyDescent="0.3">
      <c r="L3648" s="427">
        <v>28083768.712400001</v>
      </c>
      <c r="BE3648" s="477">
        <v>824610.84315258078</v>
      </c>
      <c r="BF3648" s="458">
        <v>4.9806361391489418E-2</v>
      </c>
      <c r="BG3648" s="477">
        <v>6982894.2133163735</v>
      </c>
      <c r="BH3648" s="458">
        <v>8.2165842381882292E-2</v>
      </c>
      <c r="BI3648" s="477">
        <v>19723046.330051742</v>
      </c>
      <c r="BJ3648" s="458">
        <v>0.12516479567791694</v>
      </c>
      <c r="BK3648" s="477">
        <v>76754939.521290228</v>
      </c>
      <c r="BL3648" s="458">
        <v>0.26198911079063802</v>
      </c>
      <c r="BM3648" s="468">
        <v>4.6041137583138774</v>
      </c>
    </row>
    <row r="3649" spans="12:65" x14ac:dyDescent="0.3">
      <c r="L3649" s="427">
        <v>2092649.8875</v>
      </c>
      <c r="BE3649" s="477">
        <v>11908767.29950586</v>
      </c>
      <c r="BF3649" s="458">
        <v>4.3745021109831805E-2</v>
      </c>
      <c r="BG3649" s="477">
        <v>11913696.343532206</v>
      </c>
      <c r="BH3649" s="458">
        <v>7.3178728095041556E-2</v>
      </c>
      <c r="BI3649" s="477">
        <v>20024032.021606591</v>
      </c>
      <c r="BJ3649" s="458">
        <v>0.10386546391415297</v>
      </c>
      <c r="BK3649" s="477">
        <v>99544014.598688707</v>
      </c>
      <c r="BL3649" s="458">
        <v>0.26193970782000542</v>
      </c>
      <c r="BM3649" s="468">
        <v>7.7853180172843821</v>
      </c>
    </row>
    <row r="3650" spans="12:65" x14ac:dyDescent="0.3">
      <c r="L3650" s="427">
        <v>3383956.5218000002</v>
      </c>
      <c r="BE3650" s="477">
        <v>5458818.503042168</v>
      </c>
      <c r="BF3650" s="458">
        <v>4.1775646212833584E-2</v>
      </c>
      <c r="BG3650" s="477">
        <v>12967962.559477581</v>
      </c>
      <c r="BH3650" s="458">
        <v>6.5553058405764864E-2</v>
      </c>
      <c r="BI3650" s="477">
        <v>17128150.765764017</v>
      </c>
      <c r="BJ3650" s="458">
        <v>0.10127607904416647</v>
      </c>
      <c r="BK3650" s="477">
        <v>77425422.375035852</v>
      </c>
      <c r="BL3650" s="458">
        <v>0.26154930266179899</v>
      </c>
      <c r="BM3650" s="468">
        <v>15.8866070116758</v>
      </c>
    </row>
    <row r="3651" spans="12:65" x14ac:dyDescent="0.3">
      <c r="L3651" s="427">
        <v>12882610.017100001</v>
      </c>
      <c r="BE3651" s="477">
        <v>4387960.7401212119</v>
      </c>
      <c r="BF3651" s="458">
        <v>2.9196862026065418E-2</v>
      </c>
      <c r="BG3651" s="477">
        <v>11153087.220755333</v>
      </c>
      <c r="BH3651" s="458">
        <v>5.9551087538960656E-2</v>
      </c>
      <c r="BI3651" s="477">
        <v>11877464.305728184</v>
      </c>
      <c r="BJ3651" s="458">
        <v>0.11309329346079</v>
      </c>
      <c r="BK3651" s="477">
        <v>93304862.677575171</v>
      </c>
      <c r="BL3651" s="458">
        <v>0.27135872634930158</v>
      </c>
      <c r="BM3651" s="468">
        <v>6.1342303408858916</v>
      </c>
    </row>
    <row r="3652" spans="12:65" x14ac:dyDescent="0.3">
      <c r="L3652" s="427">
        <v>392377.4828</v>
      </c>
      <c r="BE3652" s="477">
        <v>3119070.1864992962</v>
      </c>
      <c r="BF3652" s="458">
        <v>4.0002136313077141E-2</v>
      </c>
      <c r="BG3652" s="477">
        <v>10021729.427099992</v>
      </c>
      <c r="BH3652" s="458">
        <v>7.2174637458868762E-2</v>
      </c>
      <c r="BI3652" s="477">
        <v>19790314.856955569</v>
      </c>
      <c r="BJ3652" s="458">
        <v>0.11292159950059499</v>
      </c>
      <c r="BK3652" s="477">
        <v>85154445.049252391</v>
      </c>
      <c r="BL3652" s="458">
        <v>0.26484618433306983</v>
      </c>
      <c r="BM3652" s="468">
        <v>7.0533771818335342</v>
      </c>
    </row>
    <row r="3653" spans="12:65" x14ac:dyDescent="0.3">
      <c r="L3653" s="427">
        <v>11206017.099199999</v>
      </c>
      <c r="BE3653" s="477">
        <v>7813501.5670179017</v>
      </c>
      <c r="BF3653" s="458">
        <v>4.2470262227600308E-2</v>
      </c>
      <c r="BG3653" s="477">
        <v>9478382.9634805359</v>
      </c>
      <c r="BH3653" s="458">
        <v>7.6828398524752428E-2</v>
      </c>
      <c r="BI3653" s="477">
        <v>20056195.915379096</v>
      </c>
      <c r="BJ3653" s="458">
        <v>0.10324621095687925</v>
      </c>
      <c r="BK3653" s="477">
        <v>91414310.752101868</v>
      </c>
      <c r="BL3653" s="458">
        <v>0.29396916999373479</v>
      </c>
      <c r="BM3653" s="468">
        <v>4.5528263431887499</v>
      </c>
    </row>
    <row r="3654" spans="12:65" x14ac:dyDescent="0.3">
      <c r="L3654" s="427">
        <v>12204516.999199999</v>
      </c>
      <c r="BE3654" s="477">
        <v>2736274.4561052299</v>
      </c>
      <c r="BF3654" s="458">
        <v>-2.8619130987127539E-3</v>
      </c>
      <c r="BG3654" s="477">
        <v>3317323.9559264327</v>
      </c>
      <c r="BH3654" s="458">
        <v>7.0486403752080262E-2</v>
      </c>
      <c r="BI3654" s="477">
        <v>18259039.864563923</v>
      </c>
      <c r="BJ3654" s="458">
        <v>0.12648907263351394</v>
      </c>
      <c r="BK3654" s="477">
        <v>97393568.791701674</v>
      </c>
      <c r="BL3654" s="458">
        <v>0.26799925676299563</v>
      </c>
      <c r="BM3654" s="468">
        <v>6.1794595111699824</v>
      </c>
    </row>
    <row r="3655" spans="12:65" x14ac:dyDescent="0.3">
      <c r="L3655" s="427">
        <v>-8362923.1094000004</v>
      </c>
      <c r="BE3655" s="477">
        <v>8032833.1949068038</v>
      </c>
      <c r="BF3655" s="458">
        <v>5.9846091943688062E-2</v>
      </c>
      <c r="BG3655" s="477">
        <v>3592807.7742790333</v>
      </c>
      <c r="BH3655" s="458">
        <v>7.4895615769393853E-2</v>
      </c>
      <c r="BI3655" s="477">
        <v>13663612.281773688</v>
      </c>
      <c r="BJ3655" s="458">
        <v>0.11199337446036783</v>
      </c>
      <c r="BK3655" s="477">
        <v>87661144.885851115</v>
      </c>
      <c r="BL3655" s="458">
        <v>0.28492465336343198</v>
      </c>
      <c r="BM3655" s="468">
        <v>6.4476590698557654</v>
      </c>
    </row>
    <row r="3656" spans="12:65" x14ac:dyDescent="0.3">
      <c r="L3656" s="427">
        <v>10757125.7006</v>
      </c>
      <c r="BE3656" s="477">
        <v>7853101.4547906509</v>
      </c>
      <c r="BF3656" s="458">
        <v>5.595191981806491E-2</v>
      </c>
      <c r="BG3656" s="477">
        <v>13537086.644828955</v>
      </c>
      <c r="BH3656" s="458">
        <v>6.8259442534481352E-2</v>
      </c>
      <c r="BI3656" s="477">
        <v>15669747.710158283</v>
      </c>
      <c r="BJ3656" s="458">
        <v>9.3789226906318302E-2</v>
      </c>
      <c r="BK3656" s="477">
        <v>102395196.24244228</v>
      </c>
      <c r="BL3656" s="458">
        <v>0.26988288220382617</v>
      </c>
      <c r="BM3656" s="468">
        <v>7.9271452432239835</v>
      </c>
    </row>
    <row r="3657" spans="12:65" x14ac:dyDescent="0.3">
      <c r="L3657" s="427">
        <v>1275965.2975000001</v>
      </c>
      <c r="BE3657" s="477">
        <v>4300039.9422471272</v>
      </c>
      <c r="BF3657" s="458">
        <v>2.5256715455547196E-2</v>
      </c>
      <c r="BG3657" s="477">
        <v>11399626.557501925</v>
      </c>
      <c r="BH3657" s="458">
        <v>5.7700460468140591E-2</v>
      </c>
      <c r="BI3657" s="477">
        <v>15476870.50115885</v>
      </c>
      <c r="BJ3657" s="458">
        <v>8.7362890699637763E-2</v>
      </c>
      <c r="BK3657" s="477">
        <v>99389285.980300754</v>
      </c>
      <c r="BL3657" s="458">
        <v>0.27000995297979324</v>
      </c>
      <c r="BM3657" s="468">
        <v>4.3175936105044279</v>
      </c>
    </row>
    <row r="3658" spans="12:65" x14ac:dyDescent="0.3">
      <c r="L3658" s="427">
        <v>14547169.6217</v>
      </c>
      <c r="BE3658" s="477">
        <v>5725185.0793235367</v>
      </c>
      <c r="BF3658" s="458">
        <v>2.7178096196977641E-2</v>
      </c>
      <c r="BG3658" s="477">
        <v>10082335.442469906</v>
      </c>
      <c r="BH3658" s="458">
        <v>5.4908949985591704E-2</v>
      </c>
      <c r="BI3658" s="477">
        <v>12147535.586556897</v>
      </c>
      <c r="BJ3658" s="458">
        <v>0.10856447704753402</v>
      </c>
      <c r="BK3658" s="477">
        <v>96108613.021463454</v>
      </c>
      <c r="BL3658" s="458">
        <v>0.26129962105977933</v>
      </c>
      <c r="BM3658" s="468">
        <v>9.0546305139869698</v>
      </c>
    </row>
    <row r="3659" spans="12:65" x14ac:dyDescent="0.3">
      <c r="L3659" s="427">
        <v>17409816.935600001</v>
      </c>
      <c r="BE3659" s="477">
        <v>8302373.471125138</v>
      </c>
      <c r="BF3659" s="458">
        <v>1.2248369126063974E-2</v>
      </c>
      <c r="BG3659" s="477">
        <v>8288808.0722458242</v>
      </c>
      <c r="BH3659" s="458">
        <v>7.3327628443115689E-2</v>
      </c>
      <c r="BI3659" s="477">
        <v>17733115.283580653</v>
      </c>
      <c r="BJ3659" s="458">
        <v>9.8031737782735773E-2</v>
      </c>
      <c r="BK3659" s="477">
        <v>81256028.978525475</v>
      </c>
      <c r="BL3659" s="458">
        <v>0.27202576419520597</v>
      </c>
      <c r="BM3659" s="468">
        <v>16.125617486271381</v>
      </c>
    </row>
    <row r="3660" spans="12:65" x14ac:dyDescent="0.3">
      <c r="L3660" s="427">
        <v>8645248.6765000001</v>
      </c>
      <c r="BE3660" s="477">
        <v>419982.80376993492</v>
      </c>
      <c r="BF3660" s="458">
        <v>5.2928830610920796E-2</v>
      </c>
      <c r="BG3660" s="477">
        <v>13007932.139925322</v>
      </c>
      <c r="BH3660" s="458">
        <v>5.2495622241330642E-2</v>
      </c>
      <c r="BI3660" s="477">
        <v>6487981.6560744401</v>
      </c>
      <c r="BJ3660" s="458">
        <v>0.11492411694742444</v>
      </c>
      <c r="BK3660" s="477">
        <v>97400239.863032639</v>
      </c>
      <c r="BL3660" s="458">
        <v>0.27933275455008677</v>
      </c>
      <c r="BM3660" s="468">
        <v>12.882356446805943</v>
      </c>
    </row>
    <row r="3661" spans="12:65" x14ac:dyDescent="0.3">
      <c r="L3661" s="427">
        <v>4326131.3869000003</v>
      </c>
      <c r="BE3661" s="477">
        <v>911118.82738184975</v>
      </c>
      <c r="BF3661" s="458">
        <v>6.4064113417803714E-2</v>
      </c>
      <c r="BG3661" s="477">
        <v>9228335.704544358</v>
      </c>
      <c r="BH3661" s="458">
        <v>5.3362779475209177E-2</v>
      </c>
      <c r="BI3661" s="477">
        <v>22184246.050805103</v>
      </c>
      <c r="BJ3661" s="458">
        <v>0.10138958559750888</v>
      </c>
      <c r="BK3661" s="477">
        <v>78200511.667594582</v>
      </c>
      <c r="BL3661" s="458">
        <v>0.26274881365450242</v>
      </c>
      <c r="BM3661" s="468">
        <v>9.2677694565480913</v>
      </c>
    </row>
    <row r="3662" spans="12:65" x14ac:dyDescent="0.3">
      <c r="L3662" s="427">
        <v>9431777.5003999993</v>
      </c>
      <c r="BE3662" s="477">
        <v>2232999.7092394349</v>
      </c>
      <c r="BF3662" s="458">
        <v>4.5027516155932812E-2</v>
      </c>
      <c r="BG3662" s="477">
        <v>4591210.1206261003</v>
      </c>
      <c r="BH3662" s="458">
        <v>5.9237214965432772E-2</v>
      </c>
      <c r="BI3662" s="477">
        <v>17046431.232755493</v>
      </c>
      <c r="BJ3662" s="458">
        <v>8.852344478104901E-2</v>
      </c>
      <c r="BK3662" s="477">
        <v>90298708.331057921</v>
      </c>
      <c r="BL3662" s="458">
        <v>0.30562040024835357</v>
      </c>
      <c r="BM3662" s="468">
        <v>3.567687571970743</v>
      </c>
    </row>
    <row r="3663" spans="12:65" x14ac:dyDescent="0.3">
      <c r="L3663" s="427">
        <v>7333195.2835999997</v>
      </c>
      <c r="BE3663" s="477">
        <v>4299912.1706394935</v>
      </c>
      <c r="BF3663" s="458">
        <v>2.3958806183193682E-2</v>
      </c>
      <c r="BG3663" s="477">
        <v>15518094.06090123</v>
      </c>
      <c r="BH3663" s="458">
        <v>6.0939534953425634E-2</v>
      </c>
      <c r="BI3663" s="477">
        <v>14818498.821130464</v>
      </c>
      <c r="BJ3663" s="458">
        <v>0.10925599760890137</v>
      </c>
      <c r="BK3663" s="477">
        <v>82690910.126551002</v>
      </c>
      <c r="BL3663" s="458">
        <v>0.25015604726498375</v>
      </c>
      <c r="BM3663" s="468">
        <v>6.4463425668374059</v>
      </c>
    </row>
    <row r="3664" spans="12:65" x14ac:dyDescent="0.3">
      <c r="L3664" s="427">
        <v>27172985.4109</v>
      </c>
      <c r="BE3664" s="477">
        <v>4114932.3034954565</v>
      </c>
      <c r="BF3664" s="458">
        <v>3.8613607253055404E-2</v>
      </c>
      <c r="BG3664" s="477">
        <v>11118924.78886714</v>
      </c>
      <c r="BH3664" s="458">
        <v>8.3735636743118569E-2</v>
      </c>
      <c r="BI3664" s="477">
        <v>21832605.837193843</v>
      </c>
      <c r="BJ3664" s="458">
        <v>0.10889754416777953</v>
      </c>
      <c r="BK3664" s="477">
        <v>90429621.920910805</v>
      </c>
      <c r="BL3664" s="458">
        <v>0.25109615445039379</v>
      </c>
      <c r="BM3664" s="468">
        <v>7.0434608764300162</v>
      </c>
    </row>
    <row r="3665" spans="12:65" x14ac:dyDescent="0.3">
      <c r="L3665" s="427">
        <v>13961027.842800001</v>
      </c>
      <c r="BE3665" s="477">
        <v>3046918.3521430618</v>
      </c>
      <c r="BF3665" s="458">
        <v>3.7809942207393421E-2</v>
      </c>
      <c r="BG3665" s="477">
        <v>6077707.452330905</v>
      </c>
      <c r="BH3665" s="458">
        <v>6.8437702162124969E-2</v>
      </c>
      <c r="BI3665" s="477">
        <v>10027388.081464831</v>
      </c>
      <c r="BJ3665" s="458">
        <v>0.10687626940983752</v>
      </c>
      <c r="BK3665" s="477">
        <v>84827224.210237727</v>
      </c>
      <c r="BL3665" s="458">
        <v>0.29659049283869354</v>
      </c>
      <c r="BM3665" s="468">
        <v>9.5062265226292251</v>
      </c>
    </row>
    <row r="3666" spans="12:65" x14ac:dyDescent="0.3">
      <c r="L3666" s="427">
        <v>4543602.8202</v>
      </c>
      <c r="BE3666" s="477">
        <v>8009641.2840213729</v>
      </c>
      <c r="BF3666" s="458">
        <v>3.9788880639634705E-2</v>
      </c>
      <c r="BG3666" s="477">
        <v>5640925.581231745</v>
      </c>
      <c r="BH3666" s="458">
        <v>7.910411021834407E-2</v>
      </c>
      <c r="BI3666" s="477">
        <v>15036603.239245795</v>
      </c>
      <c r="BJ3666" s="458">
        <v>0.12220270745461881</v>
      </c>
      <c r="BK3666" s="477">
        <v>89860994.948635116</v>
      </c>
      <c r="BL3666" s="458">
        <v>0.27175261258136985</v>
      </c>
      <c r="BM3666" s="468">
        <v>10.0805323720137</v>
      </c>
    </row>
    <row r="3667" spans="12:65" x14ac:dyDescent="0.3">
      <c r="L3667" s="427">
        <v>-2310544.0973999999</v>
      </c>
      <c r="BE3667" s="477">
        <v>4656369.6268903734</v>
      </c>
      <c r="BF3667" s="458">
        <v>7.1932161207238998E-2</v>
      </c>
      <c r="BG3667" s="477">
        <v>12094347.912316902</v>
      </c>
      <c r="BH3667" s="458">
        <v>7.2599327608414921E-2</v>
      </c>
      <c r="BI3667" s="477">
        <v>20289911.834565163</v>
      </c>
      <c r="BJ3667" s="458">
        <v>0.11441939244098598</v>
      </c>
      <c r="BK3667" s="477">
        <v>90562992.340137526</v>
      </c>
      <c r="BL3667" s="458">
        <v>0.26260592285505302</v>
      </c>
      <c r="BM3667" s="468">
        <v>12.268486179587811</v>
      </c>
    </row>
    <row r="3668" spans="12:65" x14ac:dyDescent="0.3">
      <c r="L3668" s="427">
        <v>-1199981.3321</v>
      </c>
      <c r="BE3668" s="477">
        <v>4176631.0415381831</v>
      </c>
      <c r="BF3668" s="458">
        <v>4.6290216789037109E-2</v>
      </c>
      <c r="BG3668" s="477">
        <v>11458876.81531328</v>
      </c>
      <c r="BH3668" s="458">
        <v>5.2801405379179656E-2</v>
      </c>
      <c r="BI3668" s="477">
        <v>19184648.125237856</v>
      </c>
      <c r="BJ3668" s="458">
        <v>0.11019721223348844</v>
      </c>
      <c r="BK3668" s="477">
        <v>85021986.024891317</v>
      </c>
      <c r="BL3668" s="458">
        <v>0.2805040218252306</v>
      </c>
      <c r="BM3668" s="468">
        <v>9.9391530322299264</v>
      </c>
    </row>
    <row r="3669" spans="12:65" x14ac:dyDescent="0.3">
      <c r="L3669" s="427">
        <v>22625319.767999999</v>
      </c>
      <c r="BE3669" s="477">
        <v>5227257.0745796571</v>
      </c>
      <c r="BF3669" s="458">
        <v>4.4891769286038663E-2</v>
      </c>
      <c r="BG3669" s="477">
        <v>12564173.763330357</v>
      </c>
      <c r="BH3669" s="458">
        <v>4.3234883767910626E-2</v>
      </c>
      <c r="BI3669" s="477">
        <v>10893048.834226167</v>
      </c>
      <c r="BJ3669" s="458">
        <v>0.11419923140183497</v>
      </c>
      <c r="BK3669" s="477">
        <v>104193966.48755164</v>
      </c>
      <c r="BL3669" s="458">
        <v>0.2733421654984709</v>
      </c>
      <c r="BM3669" s="468">
        <v>7.3553521737013785</v>
      </c>
    </row>
    <row r="3670" spans="12:65" x14ac:dyDescent="0.3">
      <c r="L3670" s="427">
        <v>5899249.0629000003</v>
      </c>
      <c r="BE3670" s="477">
        <v>9539092.9790828004</v>
      </c>
      <c r="BF3670" s="458">
        <v>5.9182105140037633E-2</v>
      </c>
      <c r="BG3670" s="477">
        <v>13417841.192469506</v>
      </c>
      <c r="BH3670" s="458">
        <v>3.3783234190486233E-2</v>
      </c>
      <c r="BI3670" s="477">
        <v>19258030.754175905</v>
      </c>
      <c r="BJ3670" s="458">
        <v>0.10307065083658706</v>
      </c>
      <c r="BK3670" s="477">
        <v>96610649.554139718</v>
      </c>
      <c r="BL3670" s="458">
        <v>0.25436875636936418</v>
      </c>
      <c r="BM3670" s="468">
        <v>6.9965412251109607</v>
      </c>
    </row>
    <row r="3671" spans="12:65" x14ac:dyDescent="0.3">
      <c r="L3671" s="427">
        <v>7047757.7819999997</v>
      </c>
      <c r="BE3671" s="477">
        <v>4200477.568119023</v>
      </c>
      <c r="BF3671" s="458">
        <v>3.287065271375722E-2</v>
      </c>
      <c r="BG3671" s="477">
        <v>9635064.3024179414</v>
      </c>
      <c r="BH3671" s="458">
        <v>8.1387340255629326E-2</v>
      </c>
      <c r="BI3671" s="477">
        <v>26185931.535153911</v>
      </c>
      <c r="BJ3671" s="458">
        <v>8.6262764195754515E-2</v>
      </c>
      <c r="BK3671" s="477">
        <v>90209731.640632391</v>
      </c>
      <c r="BL3671" s="458">
        <v>0.28391081350797731</v>
      </c>
      <c r="BM3671" s="468">
        <v>8.4965092349459574</v>
      </c>
    </row>
    <row r="3672" spans="12:65" x14ac:dyDescent="0.3">
      <c r="L3672" s="427">
        <v>14284432.664000001</v>
      </c>
      <c r="BE3672" s="477">
        <v>7223334.7323595844</v>
      </c>
      <c r="BF3672" s="458">
        <v>3.4260814003467921E-2</v>
      </c>
      <c r="BG3672" s="477">
        <v>8664757.4712902252</v>
      </c>
      <c r="BH3672" s="458">
        <v>5.7183361501579766E-2</v>
      </c>
      <c r="BI3672" s="477">
        <v>14016234.745293401</v>
      </c>
      <c r="BJ3672" s="458">
        <v>0.10977040350360912</v>
      </c>
      <c r="BK3672" s="477">
        <v>66782052.864241749</v>
      </c>
      <c r="BL3672" s="458">
        <v>0.28811513603552741</v>
      </c>
      <c r="BM3672" s="468">
        <v>8.8988514179024651</v>
      </c>
    </row>
    <row r="3673" spans="12:65" x14ac:dyDescent="0.3">
      <c r="L3673" s="427">
        <v>-1258380.2256</v>
      </c>
      <c r="BE3673" s="477">
        <v>792720.14760859415</v>
      </c>
      <c r="BF3673" s="458">
        <v>5.564800908163603E-2</v>
      </c>
      <c r="BG3673" s="477">
        <v>11756224.97060754</v>
      </c>
      <c r="BH3673" s="458">
        <v>0.1005384820377242</v>
      </c>
      <c r="BI3673" s="477">
        <v>13369707.698140992</v>
      </c>
      <c r="BJ3673" s="458">
        <v>0.10489472338223793</v>
      </c>
      <c r="BK3673" s="477">
        <v>96506729.425143316</v>
      </c>
      <c r="BL3673" s="458">
        <v>0.2565954839484037</v>
      </c>
      <c r="BM3673" s="468">
        <v>4.0322531992665187</v>
      </c>
    </row>
    <row r="3674" spans="12:65" x14ac:dyDescent="0.3">
      <c r="L3674" s="427">
        <v>-3252512.3254</v>
      </c>
      <c r="BE3674" s="477">
        <v>7696539.5615921682</v>
      </c>
      <c r="BF3674" s="458">
        <v>9.7286132095585787E-2</v>
      </c>
      <c r="BG3674" s="477">
        <v>10907181.346902514</v>
      </c>
      <c r="BH3674" s="458">
        <v>9.0097497773869772E-2</v>
      </c>
      <c r="BI3674" s="477">
        <v>5291169.0652242564</v>
      </c>
      <c r="BJ3674" s="458">
        <v>0.10113262769481679</v>
      </c>
      <c r="BK3674" s="477">
        <v>78537315.394730091</v>
      </c>
      <c r="BL3674" s="458">
        <v>0.28436429045859146</v>
      </c>
      <c r="BM3674" s="468">
        <v>10.444991764301367</v>
      </c>
    </row>
    <row r="3675" spans="12:65" x14ac:dyDescent="0.3">
      <c r="L3675" s="427">
        <v>9340104.5494999997</v>
      </c>
      <c r="BE3675" s="477">
        <v>4955089.2045700746</v>
      </c>
      <c r="BF3675" s="458">
        <v>3.850488583878442E-2</v>
      </c>
      <c r="BG3675" s="477">
        <v>4274208.2126325844</v>
      </c>
      <c r="BH3675" s="458">
        <v>4.9750504153608599E-2</v>
      </c>
      <c r="BI3675" s="477">
        <v>16418947.568494551</v>
      </c>
      <c r="BJ3675" s="458">
        <v>0.12711312017971466</v>
      </c>
      <c r="BK3675" s="477">
        <v>89715743.740470752</v>
      </c>
      <c r="BL3675" s="458">
        <v>0.28795235793194518</v>
      </c>
      <c r="BM3675" s="468">
        <v>1.5930438217352307</v>
      </c>
    </row>
    <row r="3676" spans="12:65" x14ac:dyDescent="0.3">
      <c r="L3676" s="427">
        <v>13670272.6087</v>
      </c>
      <c r="BE3676" s="477">
        <v>5091683.9845477017</v>
      </c>
      <c r="BF3676" s="458">
        <v>4.9854050684627227E-2</v>
      </c>
      <c r="BG3676" s="477">
        <v>12680858.559789974</v>
      </c>
      <c r="BH3676" s="458">
        <v>7.6985106978300966E-2</v>
      </c>
      <c r="BI3676" s="477">
        <v>14865965.793904144</v>
      </c>
      <c r="BJ3676" s="458">
        <v>0.11390703570335248</v>
      </c>
      <c r="BK3676" s="477">
        <v>81140024.272445768</v>
      </c>
      <c r="BL3676" s="458">
        <v>0.25628388602774477</v>
      </c>
      <c r="BM3676" s="468">
        <v>5.963009951150279</v>
      </c>
    </row>
    <row r="3677" spans="12:65" x14ac:dyDescent="0.3">
      <c r="L3677" s="427">
        <v>13975511.5492</v>
      </c>
      <c r="BE3677" s="477">
        <v>8078251.7054274762</v>
      </c>
      <c r="BF3677" s="458">
        <v>1.4766304822196208E-2</v>
      </c>
      <c r="BG3677" s="477">
        <v>2624180.561577661</v>
      </c>
      <c r="BH3677" s="458">
        <v>7.1476310960618683E-2</v>
      </c>
      <c r="BI3677" s="477">
        <v>18287244.787065912</v>
      </c>
      <c r="BJ3677" s="458">
        <v>0.13589142755446781</v>
      </c>
      <c r="BK3677" s="477">
        <v>89139549.919695973</v>
      </c>
      <c r="BL3677" s="458">
        <v>0.25377196558708737</v>
      </c>
      <c r="BM3677" s="468">
        <v>7.4951064904541518</v>
      </c>
    </row>
    <row r="3678" spans="12:65" x14ac:dyDescent="0.3">
      <c r="L3678" s="427">
        <v>1005520.2314</v>
      </c>
      <c r="BE3678" s="477">
        <v>5799324.2044494199</v>
      </c>
      <c r="BF3678" s="458">
        <v>4.8944856172040252E-2</v>
      </c>
      <c r="BG3678" s="477">
        <v>14603988.74913656</v>
      </c>
      <c r="BH3678" s="458">
        <v>5.8397938993944409E-2</v>
      </c>
      <c r="BI3678" s="477">
        <v>6855496.0599043043</v>
      </c>
      <c r="BJ3678" s="458">
        <v>0.11155062857262799</v>
      </c>
      <c r="BK3678" s="477">
        <v>101881165.19260101</v>
      </c>
      <c r="BL3678" s="458">
        <v>0.28338168048346568</v>
      </c>
      <c r="BM3678" s="468">
        <v>6.0845022530857591</v>
      </c>
    </row>
    <row r="3679" spans="12:65" x14ac:dyDescent="0.3">
      <c r="L3679" s="427">
        <v>20871448.32</v>
      </c>
      <c r="BE3679" s="477">
        <v>6447152.0840858603</v>
      </c>
      <c r="BF3679" s="458">
        <v>3.0670368075518928E-2</v>
      </c>
      <c r="BG3679" s="477">
        <v>6230478.1643853346</v>
      </c>
      <c r="BH3679" s="458">
        <v>6.9236277642683808E-2</v>
      </c>
      <c r="BI3679" s="477">
        <v>8808843.9435668699</v>
      </c>
      <c r="BJ3679" s="458">
        <v>0.1212051244381025</v>
      </c>
      <c r="BK3679" s="477">
        <v>114204577.60255274</v>
      </c>
      <c r="BL3679" s="458">
        <v>0.25842540906563682</v>
      </c>
      <c r="BM3679" s="468">
        <v>15.731286158555783</v>
      </c>
    </row>
    <row r="3680" spans="12:65" x14ac:dyDescent="0.3">
      <c r="L3680" s="427">
        <v>-1134065.3748999999</v>
      </c>
      <c r="BE3680" s="477">
        <v>8202202.8116600625</v>
      </c>
      <c r="BF3680" s="458">
        <v>7.6619205483239083E-2</v>
      </c>
      <c r="BG3680" s="477">
        <v>8450581.4432240725</v>
      </c>
      <c r="BH3680" s="458">
        <v>4.9745002414161021E-2</v>
      </c>
      <c r="BI3680" s="477">
        <v>16977312.709510904</v>
      </c>
      <c r="BJ3680" s="458">
        <v>0.10375491331507058</v>
      </c>
      <c r="BK3680" s="477">
        <v>99275717.79218775</v>
      </c>
      <c r="BL3680" s="458">
        <v>0.26876370439825847</v>
      </c>
      <c r="BM3680" s="468">
        <v>9.436917553470364</v>
      </c>
    </row>
    <row r="3681" spans="12:65" x14ac:dyDescent="0.3">
      <c r="L3681" s="427">
        <v>-1343162.3225</v>
      </c>
      <c r="BE3681" s="477">
        <v>1359719.5447348405</v>
      </c>
      <c r="BF3681" s="458">
        <v>3.8229756364808187E-2</v>
      </c>
      <c r="BG3681" s="477">
        <v>14349222.545634488</v>
      </c>
      <c r="BH3681" s="458">
        <v>8.5318894140312462E-2</v>
      </c>
      <c r="BI3681" s="477">
        <v>15627588.383189049</v>
      </c>
      <c r="BJ3681" s="458">
        <v>0.11124835515429177</v>
      </c>
      <c r="BK3681" s="477">
        <v>108328802.65831473</v>
      </c>
      <c r="BL3681" s="458">
        <v>0.26339079877403115</v>
      </c>
      <c r="BM3681" s="468">
        <v>11.72042424021074</v>
      </c>
    </row>
    <row r="3682" spans="12:65" x14ac:dyDescent="0.3">
      <c r="L3682" s="427">
        <v>8603066.4584999997</v>
      </c>
      <c r="BE3682" s="477">
        <v>4637401.8184402827</v>
      </c>
      <c r="BF3682" s="458">
        <v>4.6305233402780477E-2</v>
      </c>
      <c r="BG3682" s="477">
        <v>6687759.275380563</v>
      </c>
      <c r="BH3682" s="458">
        <v>9.5113708344951808E-2</v>
      </c>
      <c r="BI3682" s="477">
        <v>2772903.3794651548</v>
      </c>
      <c r="BJ3682" s="458">
        <v>0.10017874985245556</v>
      </c>
      <c r="BK3682" s="477">
        <v>85275846.538736179</v>
      </c>
      <c r="BL3682" s="458">
        <v>0.26254165600012658</v>
      </c>
      <c r="BM3682" s="468">
        <v>7.995826931697346</v>
      </c>
    </row>
    <row r="3683" spans="12:65" x14ac:dyDescent="0.3">
      <c r="L3683" s="427">
        <v>9439369.7037000004</v>
      </c>
      <c r="BE3683" s="477">
        <v>4326138.0908204382</v>
      </c>
      <c r="BF3683" s="458">
        <v>5.2759081436247524E-2</v>
      </c>
      <c r="BG3683" s="477">
        <v>3745118.2758721719</v>
      </c>
      <c r="BH3683" s="458">
        <v>0.11715239940055766</v>
      </c>
      <c r="BI3683" s="477">
        <v>8377397.4205646142</v>
      </c>
      <c r="BJ3683" s="458">
        <v>0.14800703110231717</v>
      </c>
      <c r="BK3683" s="477">
        <v>97476750.818827584</v>
      </c>
      <c r="BL3683" s="458">
        <v>0.27637325828830384</v>
      </c>
      <c r="BM3683" s="468">
        <v>3.441073702000458</v>
      </c>
    </row>
    <row r="3684" spans="12:65" x14ac:dyDescent="0.3">
      <c r="L3684" s="427">
        <v>9689311.8815000001</v>
      </c>
      <c r="BE3684" s="477">
        <v>5635272.9230012493</v>
      </c>
      <c r="BF3684" s="458">
        <v>3.725481572897138E-2</v>
      </c>
      <c r="BG3684" s="477">
        <v>10181513.703639179</v>
      </c>
      <c r="BH3684" s="458">
        <v>6.3263344802112709E-2</v>
      </c>
      <c r="BI3684" s="477">
        <v>13492190.945170995</v>
      </c>
      <c r="BJ3684" s="458">
        <v>8.7780120489248548E-2</v>
      </c>
      <c r="BK3684" s="477">
        <v>94111139.825593472</v>
      </c>
      <c r="BL3684" s="458">
        <v>0.26451060391903414</v>
      </c>
      <c r="BM3684" s="468">
        <v>10.592528954527776</v>
      </c>
    </row>
    <row r="3685" spans="12:65" x14ac:dyDescent="0.3">
      <c r="L3685" s="427">
        <v>10619203.135199999</v>
      </c>
      <c r="BE3685" s="477">
        <v>8198633.6568491329</v>
      </c>
      <c r="BF3685" s="458">
        <v>7.6868843728814751E-2</v>
      </c>
      <c r="BG3685" s="477">
        <v>9425670.9348051324</v>
      </c>
      <c r="BH3685" s="458">
        <v>4.2544077728265961E-2</v>
      </c>
      <c r="BI3685" s="477">
        <v>22293862.880386505</v>
      </c>
      <c r="BJ3685" s="458">
        <v>8.8611218356417609E-2</v>
      </c>
      <c r="BK3685" s="477">
        <v>91509227.804014787</v>
      </c>
      <c r="BL3685" s="458">
        <v>0.28567904711969616</v>
      </c>
      <c r="BM3685" s="468">
        <v>12.325192831283932</v>
      </c>
    </row>
    <row r="3686" spans="12:65" x14ac:dyDescent="0.3">
      <c r="L3686" s="427">
        <v>-2095462.7699</v>
      </c>
      <c r="BE3686" s="477">
        <v>2018842.1877124684</v>
      </c>
      <c r="BF3686" s="458">
        <v>3.7124494905652838E-2</v>
      </c>
      <c r="BG3686" s="477">
        <v>11789017.853496272</v>
      </c>
      <c r="BH3686" s="458">
        <v>6.7063946188661294E-2</v>
      </c>
      <c r="BI3686" s="477">
        <v>16100771.141851068</v>
      </c>
      <c r="BJ3686" s="458">
        <v>0.11173532373943251</v>
      </c>
      <c r="BK3686" s="477">
        <v>82884811.602234691</v>
      </c>
      <c r="BL3686" s="458">
        <v>0.26272088470328581</v>
      </c>
      <c r="BM3686" s="468">
        <v>9.6118233098740191</v>
      </c>
    </row>
    <row r="3687" spans="12:65" x14ac:dyDescent="0.3">
      <c r="L3687" s="427">
        <v>-5734870.3301999997</v>
      </c>
      <c r="BE3687" s="477">
        <v>7165515.5330634182</v>
      </c>
      <c r="BF3687" s="458">
        <v>2.9895467338127979E-2</v>
      </c>
      <c r="BG3687" s="477">
        <v>7943984.2166642109</v>
      </c>
      <c r="BH3687" s="458">
        <v>9.3727274593986332E-2</v>
      </c>
      <c r="BI3687" s="477">
        <v>16159172.873879934</v>
      </c>
      <c r="BJ3687" s="458">
        <v>0.109553004897883</v>
      </c>
      <c r="BK3687" s="477">
        <v>89033629.911895558</v>
      </c>
      <c r="BL3687" s="458">
        <v>0.27658040048598576</v>
      </c>
      <c r="BM3687" s="468">
        <v>6.685542765549136</v>
      </c>
    </row>
    <row r="3688" spans="12:65" x14ac:dyDescent="0.3">
      <c r="L3688" s="427">
        <v>4033798.9344000001</v>
      </c>
      <c r="BE3688" s="477">
        <v>3399704.5472497805</v>
      </c>
      <c r="BF3688" s="458">
        <v>4.6006282935717069E-2</v>
      </c>
      <c r="BG3688" s="477">
        <v>13803658.316847408</v>
      </c>
      <c r="BH3688" s="458">
        <v>6.3548185956232572E-2</v>
      </c>
      <c r="BI3688" s="477">
        <v>20449060.732860986</v>
      </c>
      <c r="BJ3688" s="458">
        <v>0.10328027845798093</v>
      </c>
      <c r="BK3688" s="477">
        <v>87749525.223147973</v>
      </c>
      <c r="BL3688" s="458">
        <v>0.26271373711574753</v>
      </c>
      <c r="BM3688" s="468">
        <v>2.9502127688030964</v>
      </c>
    </row>
    <row r="3689" spans="12:65" x14ac:dyDescent="0.3">
      <c r="L3689" s="427">
        <v>6040569.1052999999</v>
      </c>
      <c r="BE3689" s="477">
        <v>11680081.872837601</v>
      </c>
      <c r="BF3689" s="458">
        <v>3.482129427980718E-2</v>
      </c>
      <c r="BG3689" s="477">
        <v>5634072.3068318749</v>
      </c>
      <c r="BH3689" s="458">
        <v>7.6713226555833236E-2</v>
      </c>
      <c r="BI3689" s="477">
        <v>8756068.9434351809</v>
      </c>
      <c r="BJ3689" s="458">
        <v>8.6556700530875164E-2</v>
      </c>
      <c r="BK3689" s="477">
        <v>99024441.154756159</v>
      </c>
      <c r="BL3689" s="458">
        <v>0.25844268583466112</v>
      </c>
      <c r="BM3689" s="468">
        <v>5.4749101026033156</v>
      </c>
    </row>
    <row r="3690" spans="12:65" x14ac:dyDescent="0.3">
      <c r="L3690" s="427">
        <v>4673808.8847000003</v>
      </c>
      <c r="BE3690" s="477">
        <v>5653770.8931666464</v>
      </c>
      <c r="BF3690" s="458">
        <v>1.7399457591551259E-2</v>
      </c>
      <c r="BG3690" s="477">
        <v>11633382.057563514</v>
      </c>
      <c r="BH3690" s="458">
        <v>9.4379048771236373E-2</v>
      </c>
      <c r="BI3690" s="477">
        <v>17958008.269679744</v>
      </c>
      <c r="BJ3690" s="458">
        <v>0.12524919143360846</v>
      </c>
      <c r="BK3690" s="477">
        <v>88311203.506729931</v>
      </c>
      <c r="BL3690" s="458">
        <v>0.24415506218445837</v>
      </c>
      <c r="BM3690" s="468">
        <v>9.529244112263255</v>
      </c>
    </row>
    <row r="3691" spans="12:65" x14ac:dyDescent="0.3">
      <c r="L3691" s="427">
        <v>-5105719.2264999999</v>
      </c>
      <c r="BE3691" s="477">
        <v>4200970.4511342375</v>
      </c>
      <c r="BF3691" s="458">
        <v>4.494115494422779E-2</v>
      </c>
      <c r="BG3691" s="477">
        <v>11241202.600679629</v>
      </c>
      <c r="BH3691" s="458">
        <v>9.1387179382240058E-2</v>
      </c>
      <c r="BI3691" s="477">
        <v>18414822.960059851</v>
      </c>
      <c r="BJ3691" s="458">
        <v>0.11384971520344056</v>
      </c>
      <c r="BK3691" s="477">
        <v>75962686.508885369</v>
      </c>
      <c r="BL3691" s="458">
        <v>0.26812067838400799</v>
      </c>
      <c r="BM3691" s="468">
        <v>12.752248829067099</v>
      </c>
    </row>
    <row r="3692" spans="12:65" x14ac:dyDescent="0.3">
      <c r="L3692" s="427">
        <v>15454413.693</v>
      </c>
      <c r="BE3692" s="477">
        <v>486341.31407325045</v>
      </c>
      <c r="BF3692" s="458">
        <v>7.3710129621305631E-2</v>
      </c>
      <c r="BG3692" s="477">
        <v>9247409.8363860007</v>
      </c>
      <c r="BH3692" s="458">
        <v>5.9974483396295186E-2</v>
      </c>
      <c r="BI3692" s="477">
        <v>9325156.9345914796</v>
      </c>
      <c r="BJ3692" s="458">
        <v>0.12633847005033294</v>
      </c>
      <c r="BK3692" s="477">
        <v>70501951.292553276</v>
      </c>
      <c r="BL3692" s="458">
        <v>0.2856722381238439</v>
      </c>
      <c r="BM3692" s="468">
        <v>5.5320772878461373</v>
      </c>
    </row>
    <row r="3693" spans="12:65" x14ac:dyDescent="0.3">
      <c r="L3693" s="427">
        <v>5302149.0871000001</v>
      </c>
      <c r="BE3693" s="477">
        <v>3379481.0440927451</v>
      </c>
      <c r="BF3693" s="458">
        <v>4.5586852659319055E-2</v>
      </c>
      <c r="BG3693" s="477">
        <v>4056438.2395143048</v>
      </c>
      <c r="BH3693" s="458">
        <v>6.7083614252093637E-2</v>
      </c>
      <c r="BI3693" s="477">
        <v>6758708.6267004153</v>
      </c>
      <c r="BJ3693" s="458">
        <v>0.11291561851977039</v>
      </c>
      <c r="BK3693" s="477">
        <v>81863913.036737055</v>
      </c>
      <c r="BL3693" s="458">
        <v>0.28008172282737553</v>
      </c>
      <c r="BM3693" s="468">
        <v>8.0187232799765127</v>
      </c>
    </row>
    <row r="3694" spans="12:65" x14ac:dyDescent="0.3">
      <c r="L3694" s="427">
        <v>-1860245.0416000001</v>
      </c>
      <c r="BE3694" s="477">
        <v>2575528.1450578426</v>
      </c>
      <c r="BF3694" s="458">
        <v>4.3798671378385556E-2</v>
      </c>
      <c r="BG3694" s="477">
        <v>15952892.227318209</v>
      </c>
      <c r="BH3694" s="458">
        <v>9.4160554363025728E-2</v>
      </c>
      <c r="BI3694" s="477">
        <v>12089173.068775723</v>
      </c>
      <c r="BJ3694" s="458">
        <v>0.12907548135106772</v>
      </c>
      <c r="BK3694" s="477">
        <v>92386182.139107987</v>
      </c>
      <c r="BL3694" s="458">
        <v>0.28577272220902805</v>
      </c>
      <c r="BM3694" s="468">
        <v>12.162912188960796</v>
      </c>
    </row>
    <row r="3695" spans="12:65" x14ac:dyDescent="0.3">
      <c r="L3695" s="427">
        <v>476097.30920000002</v>
      </c>
      <c r="BE3695" s="477">
        <v>8125684.7575283283</v>
      </c>
      <c r="BF3695" s="458">
        <v>3.4563200756739132E-2</v>
      </c>
      <c r="BG3695" s="477">
        <v>8003069.2043376965</v>
      </c>
      <c r="BH3695" s="458">
        <v>8.7996421272624303E-2</v>
      </c>
      <c r="BI3695" s="477">
        <v>17388344.097245373</v>
      </c>
      <c r="BJ3695" s="458">
        <v>0.12877915539502016</v>
      </c>
      <c r="BK3695" s="477">
        <v>91088109.716428787</v>
      </c>
      <c r="BL3695" s="458">
        <v>0.25782893438208188</v>
      </c>
      <c r="BM3695" s="468">
        <v>10.970145976671358</v>
      </c>
    </row>
    <row r="3696" spans="12:65" x14ac:dyDescent="0.3">
      <c r="L3696" s="427">
        <v>6329689.4867000002</v>
      </c>
      <c r="BE3696" s="477">
        <v>2409946.9225297128</v>
      </c>
      <c r="BF3696" s="458">
        <v>3.8250876123673283E-2</v>
      </c>
      <c r="BG3696" s="477">
        <v>13190033.477016186</v>
      </c>
      <c r="BH3696" s="458">
        <v>6.7226784820820118E-2</v>
      </c>
      <c r="BI3696" s="477">
        <v>23630282.447826453</v>
      </c>
      <c r="BJ3696" s="458">
        <v>0.1238466261865987</v>
      </c>
      <c r="BK3696" s="477">
        <v>80075182.119003445</v>
      </c>
      <c r="BL3696" s="458">
        <v>0.28324573677680953</v>
      </c>
      <c r="BM3696" s="468">
        <v>3.5349657619761503</v>
      </c>
    </row>
    <row r="3697" spans="12:65" x14ac:dyDescent="0.3">
      <c r="L3697" s="427">
        <v>10499050.667300001</v>
      </c>
      <c r="BE3697" s="477">
        <v>2486764.4793162956</v>
      </c>
      <c r="BF3697" s="458">
        <v>3.1485113281366939E-2</v>
      </c>
      <c r="BG3697" s="477">
        <v>14797819.765951039</v>
      </c>
      <c r="BH3697" s="458">
        <v>3.900617093562353E-2</v>
      </c>
      <c r="BI3697" s="477">
        <v>8789818.9623248167</v>
      </c>
      <c r="BJ3697" s="458">
        <v>9.1992767722413049E-2</v>
      </c>
      <c r="BK3697" s="477">
        <v>87137238.709935606</v>
      </c>
      <c r="BL3697" s="458">
        <v>0.25600698500503571</v>
      </c>
      <c r="BM3697" s="468">
        <v>13.904469361577938</v>
      </c>
    </row>
    <row r="3698" spans="12:65" x14ac:dyDescent="0.3">
      <c r="L3698" s="427">
        <v>31652749.016100001</v>
      </c>
      <c r="BE3698" s="477">
        <v>6294441.752408131</v>
      </c>
      <c r="BF3698" s="458">
        <v>5.8080095536659604E-2</v>
      </c>
      <c r="BG3698" s="477">
        <v>11354712.449167585</v>
      </c>
      <c r="BH3698" s="458">
        <v>4.7363169548630735E-2</v>
      </c>
      <c r="BI3698" s="477">
        <v>15697472.486875206</v>
      </c>
      <c r="BJ3698" s="458">
        <v>0.11164903933861026</v>
      </c>
      <c r="BK3698" s="477">
        <v>98126166.767327204</v>
      </c>
      <c r="BL3698" s="458">
        <v>0.28400046854937955</v>
      </c>
      <c r="BM3698" s="468">
        <v>2.6686270401754699</v>
      </c>
    </row>
    <row r="3699" spans="12:65" x14ac:dyDescent="0.3">
      <c r="L3699" s="427">
        <v>22269632.4373</v>
      </c>
      <c r="BE3699" s="477">
        <v>2199085.9775361801</v>
      </c>
      <c r="BF3699" s="458">
        <v>2.8342251542207819E-2</v>
      </c>
      <c r="BG3699" s="477">
        <v>6811025.6861442169</v>
      </c>
      <c r="BH3699" s="458">
        <v>8.0413761935423489E-2</v>
      </c>
      <c r="BI3699" s="477">
        <v>20511998.267262731</v>
      </c>
      <c r="BJ3699" s="458">
        <v>0.12948581759870326</v>
      </c>
      <c r="BK3699" s="477">
        <v>84297039.797902301</v>
      </c>
      <c r="BL3699" s="458">
        <v>0.26762975993615346</v>
      </c>
      <c r="BM3699" s="468">
        <v>-1.7122345236578855</v>
      </c>
    </row>
    <row r="3700" spans="12:65" x14ac:dyDescent="0.3">
      <c r="L3700" s="427">
        <v>12506992.884299999</v>
      </c>
      <c r="BE3700" s="477">
        <v>6455551.6976831174</v>
      </c>
      <c r="BF3700" s="458">
        <v>3.6910236298951959E-2</v>
      </c>
      <c r="BG3700" s="477">
        <v>7607072.1814043429</v>
      </c>
      <c r="BH3700" s="458">
        <v>6.8853572891455217E-2</v>
      </c>
      <c r="BI3700" s="477">
        <v>23439969.970309872</v>
      </c>
      <c r="BJ3700" s="458">
        <v>0.10421711129659905</v>
      </c>
      <c r="BK3700" s="477">
        <v>81682197.115177751</v>
      </c>
      <c r="BL3700" s="458">
        <v>0.26454727031855962</v>
      </c>
      <c r="BM3700" s="468">
        <v>3.8619686543712168</v>
      </c>
    </row>
    <row r="3701" spans="12:65" x14ac:dyDescent="0.3">
      <c r="L3701" s="427">
        <v>-9389311.5085000005</v>
      </c>
      <c r="BE3701" s="477">
        <v>4000057.5296957078</v>
      </c>
      <c r="BF3701" s="458">
        <v>4.5994580603556878E-2</v>
      </c>
      <c r="BG3701" s="477">
        <v>10845543.509147828</v>
      </c>
      <c r="BH3701" s="458">
        <v>4.9236404983287407E-2</v>
      </c>
      <c r="BI3701" s="477">
        <v>20604717.560324509</v>
      </c>
      <c r="BJ3701" s="458">
        <v>0.11150002237849077</v>
      </c>
      <c r="BK3701" s="477">
        <v>85767712.254549012</v>
      </c>
      <c r="BL3701" s="458">
        <v>0.26675777145544255</v>
      </c>
      <c r="BM3701" s="468">
        <v>14.4591521439344</v>
      </c>
    </row>
    <row r="3702" spans="12:65" x14ac:dyDescent="0.3">
      <c r="L3702" s="427">
        <v>9285078.8933000006</v>
      </c>
      <c r="BE3702" s="477">
        <v>6084698.4007910965</v>
      </c>
      <c r="BF3702" s="458">
        <v>3.8679169503530897E-2</v>
      </c>
      <c r="BG3702" s="477">
        <v>10132835.380251402</v>
      </c>
      <c r="BH3702" s="458">
        <v>7.0387816545907977E-2</v>
      </c>
      <c r="BI3702" s="477">
        <v>17054088.274862096</v>
      </c>
      <c r="BJ3702" s="458">
        <v>9.8801661921601447E-2</v>
      </c>
      <c r="BK3702" s="477">
        <v>93398950.109766319</v>
      </c>
      <c r="BL3702" s="458">
        <v>0.25859920424469784</v>
      </c>
      <c r="BM3702" s="468">
        <v>2.7627746637769182</v>
      </c>
    </row>
    <row r="3703" spans="12:65" x14ac:dyDescent="0.3">
      <c r="L3703" s="427">
        <v>252982.19779999999</v>
      </c>
      <c r="BE3703" s="477">
        <v>1246915.5905933245</v>
      </c>
      <c r="BF3703" s="458">
        <v>5.3924521500105849E-2</v>
      </c>
      <c r="BG3703" s="477">
        <v>6050419.3473736774</v>
      </c>
      <c r="BH3703" s="458">
        <v>7.4802358148520653E-2</v>
      </c>
      <c r="BI3703" s="477">
        <v>13016723.41468282</v>
      </c>
      <c r="BJ3703" s="458">
        <v>9.010727875893676E-2</v>
      </c>
      <c r="BK3703" s="477">
        <v>99475734.67943576</v>
      </c>
      <c r="BL3703" s="458">
        <v>0.25871505057741073</v>
      </c>
      <c r="BM3703" s="468">
        <v>7.2675969054061271</v>
      </c>
    </row>
    <row r="3704" spans="12:65" x14ac:dyDescent="0.3">
      <c r="L3704" s="427">
        <v>19015144.917399999</v>
      </c>
      <c r="BE3704" s="477">
        <v>9075610.2609597612</v>
      </c>
      <c r="BF3704" s="458">
        <v>5.0450963287751005E-2</v>
      </c>
      <c r="BG3704" s="477">
        <v>12214512.695213692</v>
      </c>
      <c r="BH3704" s="458">
        <v>6.8844905693729697E-2</v>
      </c>
      <c r="BI3704" s="477">
        <v>15017725.683291407</v>
      </c>
      <c r="BJ3704" s="458">
        <v>0.11864900006711809</v>
      </c>
      <c r="BK3704" s="477">
        <v>90398795.563529074</v>
      </c>
      <c r="BL3704" s="458">
        <v>0.25946625467053863</v>
      </c>
      <c r="BM3704" s="468">
        <v>4.9352839305302876</v>
      </c>
    </row>
    <row r="3705" spans="12:65" x14ac:dyDescent="0.3">
      <c r="L3705" s="427">
        <v>9122892.0931000002</v>
      </c>
      <c r="BE3705" s="477">
        <v>5978387.8482774887</v>
      </c>
      <c r="BF3705" s="458">
        <v>3.9619096978447788E-2</v>
      </c>
      <c r="BG3705" s="477">
        <v>9474243.6802935936</v>
      </c>
      <c r="BH3705" s="458">
        <v>6.9076889711968903E-2</v>
      </c>
      <c r="BI3705" s="477">
        <v>20389925.844300866</v>
      </c>
      <c r="BJ3705" s="458">
        <v>8.1356472103489619E-2</v>
      </c>
      <c r="BK3705" s="477">
        <v>92192860.020956337</v>
      </c>
      <c r="BL3705" s="458">
        <v>0.28876120578859887</v>
      </c>
      <c r="BM3705" s="468">
        <v>5.316552326444917</v>
      </c>
    </row>
    <row r="3706" spans="12:65" x14ac:dyDescent="0.3">
      <c r="L3706" s="427">
        <v>6462986.1193000004</v>
      </c>
      <c r="BE3706" s="477">
        <v>6215176.0668550739</v>
      </c>
      <c r="BF3706" s="458">
        <v>5.3091167239497361E-2</v>
      </c>
      <c r="BG3706" s="477">
        <v>10324770.115093058</v>
      </c>
      <c r="BH3706" s="458">
        <v>5.6815589363789165E-2</v>
      </c>
      <c r="BI3706" s="477">
        <v>17600250.028374441</v>
      </c>
      <c r="BJ3706" s="458">
        <v>9.4748956144187657E-2</v>
      </c>
      <c r="BK3706" s="477">
        <v>81589472.217209175</v>
      </c>
      <c r="BL3706" s="458">
        <v>0.26947030097520508</v>
      </c>
      <c r="BM3706" s="468">
        <v>6.8905094833521812</v>
      </c>
    </row>
    <row r="3707" spans="12:65" x14ac:dyDescent="0.3">
      <c r="L3707" s="427">
        <v>-10672543.067399999</v>
      </c>
      <c r="BE3707" s="477">
        <v>5172137.3958058897</v>
      </c>
      <c r="BF3707" s="458">
        <v>3.2389800926394763E-2</v>
      </c>
      <c r="BG3707" s="477">
        <v>8428359.7688034456</v>
      </c>
      <c r="BH3707" s="458">
        <v>5.9754275289619407E-2</v>
      </c>
      <c r="BI3707" s="477">
        <v>22965605.996937722</v>
      </c>
      <c r="BJ3707" s="458">
        <v>0.11742793966101872</v>
      </c>
      <c r="BK3707" s="477">
        <v>98553755.606173843</v>
      </c>
      <c r="BL3707" s="458">
        <v>0.27740890309383737</v>
      </c>
      <c r="BM3707" s="468">
        <v>6.9433139480964101</v>
      </c>
    </row>
    <row r="3708" spans="12:65" x14ac:dyDescent="0.3">
      <c r="L3708" s="427">
        <v>20859685.302999999</v>
      </c>
      <c r="BE3708" s="477">
        <v>-732740.39524014853</v>
      </c>
      <c r="BF3708" s="458">
        <v>5.9267182039004718E-2</v>
      </c>
      <c r="BG3708" s="477">
        <v>10680590.529169623</v>
      </c>
      <c r="BH3708" s="458">
        <v>5.1875090683857872E-2</v>
      </c>
      <c r="BI3708" s="477">
        <v>17690010.034678604</v>
      </c>
      <c r="BJ3708" s="458">
        <v>0.14855706896877119</v>
      </c>
      <c r="BK3708" s="477">
        <v>99399440.430726305</v>
      </c>
      <c r="BL3708" s="458">
        <v>0.2655875491159172</v>
      </c>
      <c r="BM3708" s="468">
        <v>7.7152903589026165</v>
      </c>
    </row>
    <row r="3709" spans="12:65" x14ac:dyDescent="0.3">
      <c r="L3709" s="427">
        <v>1756952.4924999999</v>
      </c>
      <c r="BE3709" s="477">
        <v>6905254.2489506518</v>
      </c>
      <c r="BF3709" s="458">
        <v>4.4734614122618366E-2</v>
      </c>
      <c r="BG3709" s="477">
        <v>3040552.6550224451</v>
      </c>
      <c r="BH3709" s="458">
        <v>6.2256868788698183E-2</v>
      </c>
      <c r="BI3709" s="477">
        <v>23497427.068691891</v>
      </c>
      <c r="BJ3709" s="458">
        <v>0.13493695826152474</v>
      </c>
      <c r="BK3709" s="477">
        <v>86675627.034721628</v>
      </c>
      <c r="BL3709" s="458">
        <v>0.26811283946653774</v>
      </c>
      <c r="BM3709" s="468">
        <v>8.9892542482802593</v>
      </c>
    </row>
    <row r="3710" spans="12:65" x14ac:dyDescent="0.3">
      <c r="L3710" s="427">
        <v>2505036.977</v>
      </c>
      <c r="BE3710" s="477">
        <v>4583988.522736202</v>
      </c>
      <c r="BF3710" s="458">
        <v>3.386501880929349E-2</v>
      </c>
      <c r="BG3710" s="477">
        <v>7271580.198195722</v>
      </c>
      <c r="BH3710" s="458">
        <v>0.10424678360435258</v>
      </c>
      <c r="BI3710" s="477">
        <v>18799868.318706688</v>
      </c>
      <c r="BJ3710" s="458">
        <v>9.0908268500642153E-2</v>
      </c>
      <c r="BK3710" s="477">
        <v>93338938.922157943</v>
      </c>
      <c r="BL3710" s="458">
        <v>0.28536566615245218</v>
      </c>
      <c r="BM3710" s="468">
        <v>6.0870121692616781</v>
      </c>
    </row>
    <row r="3711" spans="12:65" x14ac:dyDescent="0.3">
      <c r="L3711" s="427">
        <v>7042815.9512</v>
      </c>
      <c r="BE3711" s="477">
        <v>5166727.0901696989</v>
      </c>
      <c r="BF3711" s="458">
        <v>4.2122132939848678E-2</v>
      </c>
      <c r="BG3711" s="477">
        <v>15948832.48421739</v>
      </c>
      <c r="BH3711" s="458">
        <v>4.7567927046581637E-2</v>
      </c>
      <c r="BI3711" s="477">
        <v>20282589.66808866</v>
      </c>
      <c r="BJ3711" s="458">
        <v>9.2654782348836395E-2</v>
      </c>
      <c r="BK3711" s="477">
        <v>93066426.167630091</v>
      </c>
      <c r="BL3711" s="458">
        <v>0.26200644739614565</v>
      </c>
      <c r="BM3711" s="468">
        <v>-0.48178385938980384</v>
      </c>
    </row>
    <row r="3712" spans="12:65" x14ac:dyDescent="0.3">
      <c r="L3712" s="427">
        <v>16603917.6548</v>
      </c>
      <c r="BE3712" s="477">
        <v>2257173.0400890736</v>
      </c>
      <c r="BF3712" s="458">
        <v>7.7848994183638887E-2</v>
      </c>
      <c r="BG3712" s="477">
        <v>7652362.1724747354</v>
      </c>
      <c r="BH3712" s="458">
        <v>7.9922807287797548E-2</v>
      </c>
      <c r="BI3712" s="477">
        <v>14233240.573593667</v>
      </c>
      <c r="BJ3712" s="458">
        <v>0.13379820932360809</v>
      </c>
      <c r="BK3712" s="477">
        <v>92021972.179286048</v>
      </c>
      <c r="BL3712" s="458">
        <v>0.28038966119043218</v>
      </c>
      <c r="BM3712" s="468">
        <v>9.7505202684333039</v>
      </c>
    </row>
    <row r="3713" spans="12:65" x14ac:dyDescent="0.3">
      <c r="L3713" s="427">
        <v>10636749.859200001</v>
      </c>
      <c r="BE3713" s="477">
        <v>5548961.7174997088</v>
      </c>
      <c r="BF3713" s="458">
        <v>4.6221680616028493E-2</v>
      </c>
      <c r="BG3713" s="477">
        <v>5816488.7450181525</v>
      </c>
      <c r="BH3713" s="458">
        <v>6.697867815473546E-2</v>
      </c>
      <c r="BI3713" s="477">
        <v>19550250.839694448</v>
      </c>
      <c r="BJ3713" s="458">
        <v>0.10339748652154324</v>
      </c>
      <c r="BK3713" s="477">
        <v>89355301.109107971</v>
      </c>
      <c r="BL3713" s="458">
        <v>0.28246132326289453</v>
      </c>
      <c r="BM3713" s="468">
        <v>14.559643647101378</v>
      </c>
    </row>
    <row r="3714" spans="12:65" x14ac:dyDescent="0.3">
      <c r="L3714" s="427">
        <v>-2892871.9728999999</v>
      </c>
      <c r="BE3714" s="477">
        <v>1799202.9545217569</v>
      </c>
      <c r="BF3714" s="458">
        <v>4.9723721457625381E-2</v>
      </c>
      <c r="BG3714" s="477">
        <v>12468720.644177852</v>
      </c>
      <c r="BH3714" s="458">
        <v>8.3138269430808487E-2</v>
      </c>
      <c r="BI3714" s="477">
        <v>23743651.885219332</v>
      </c>
      <c r="BJ3714" s="458">
        <v>0.12236569792549523</v>
      </c>
      <c r="BK3714" s="477">
        <v>101156609.05003883</v>
      </c>
      <c r="BL3714" s="458">
        <v>0.28081354491455213</v>
      </c>
      <c r="BM3714" s="468">
        <v>15.272752004077448</v>
      </c>
    </row>
    <row r="3715" spans="12:65" x14ac:dyDescent="0.3">
      <c r="L3715" s="427">
        <v>-1947740.1703000001</v>
      </c>
      <c r="BE3715" s="477">
        <v>6163562.1109557236</v>
      </c>
      <c r="BF3715" s="458">
        <v>5.0377828086972665E-2</v>
      </c>
      <c r="BG3715" s="477">
        <v>9839389.9872866888</v>
      </c>
      <c r="BH3715" s="458">
        <v>7.5031025276151464E-2</v>
      </c>
      <c r="BI3715" s="477">
        <v>11978411.582920842</v>
      </c>
      <c r="BJ3715" s="458">
        <v>0.11290926066793472</v>
      </c>
      <c r="BK3715" s="477">
        <v>82227755.411661699</v>
      </c>
      <c r="BL3715" s="458">
        <v>0.24989106770882707</v>
      </c>
      <c r="BM3715" s="468">
        <v>7.3943687187490355</v>
      </c>
    </row>
    <row r="3716" spans="12:65" x14ac:dyDescent="0.3">
      <c r="L3716" s="427">
        <v>2156702.3188</v>
      </c>
      <c r="BE3716" s="477">
        <v>289337.32836556289</v>
      </c>
      <c r="BF3716" s="458">
        <v>3.865752109684073E-2</v>
      </c>
      <c r="BG3716" s="477">
        <v>10592084.693622725</v>
      </c>
      <c r="BH3716" s="458">
        <v>2.9019952942371807E-2</v>
      </c>
      <c r="BI3716" s="477">
        <v>20415392.393671315</v>
      </c>
      <c r="BJ3716" s="458">
        <v>9.7412612882222582E-2</v>
      </c>
      <c r="BK3716" s="477">
        <v>80198192.286537319</v>
      </c>
      <c r="BL3716" s="458">
        <v>0.28221603636256809</v>
      </c>
      <c r="BM3716" s="468">
        <v>6.13375502095443</v>
      </c>
    </row>
    <row r="3717" spans="12:65" x14ac:dyDescent="0.3">
      <c r="L3717" s="427">
        <v>11458110.7414</v>
      </c>
      <c r="BE3717" s="477">
        <v>2992483.8405831694</v>
      </c>
      <c r="BF3717" s="458">
        <v>6.0383802640564754E-2</v>
      </c>
      <c r="BG3717" s="477">
        <v>5724235.4875647621</v>
      </c>
      <c r="BH3717" s="458">
        <v>9.1915200035620481E-2</v>
      </c>
      <c r="BI3717" s="477">
        <v>8486404.2849374041</v>
      </c>
      <c r="BJ3717" s="458">
        <v>0.12817057006462629</v>
      </c>
      <c r="BK3717" s="477">
        <v>90109703.044468388</v>
      </c>
      <c r="BL3717" s="458">
        <v>0.28396232144601807</v>
      </c>
      <c r="BM3717" s="468">
        <v>8.1577490737570493</v>
      </c>
    </row>
    <row r="3718" spans="12:65" x14ac:dyDescent="0.3">
      <c r="L3718" s="427">
        <v>11041729.1174</v>
      </c>
      <c r="BE3718" s="477">
        <v>7774745.9766854513</v>
      </c>
      <c r="BF3718" s="458">
        <v>4.9572100039727562E-2</v>
      </c>
      <c r="BG3718" s="477">
        <v>11280233.675696425</v>
      </c>
      <c r="BH3718" s="458">
        <v>6.7498910564151915E-2</v>
      </c>
      <c r="BI3718" s="477">
        <v>10991955.798319567</v>
      </c>
      <c r="BJ3718" s="458">
        <v>9.7210084537451502E-2</v>
      </c>
      <c r="BK3718" s="477">
        <v>87379812.062689692</v>
      </c>
      <c r="BL3718" s="458">
        <v>0.27119056652358497</v>
      </c>
      <c r="BM3718" s="468">
        <v>7.3649398968853275</v>
      </c>
    </row>
    <row r="3719" spans="12:65" x14ac:dyDescent="0.3">
      <c r="L3719" s="427">
        <v>7932551.1025</v>
      </c>
      <c r="BE3719" s="477">
        <v>8508401.6075020339</v>
      </c>
      <c r="BF3719" s="458">
        <v>4.1941371461675869E-2</v>
      </c>
      <c r="BG3719" s="477">
        <v>8401987.2015268169</v>
      </c>
      <c r="BH3719" s="458">
        <v>7.3497810993320645E-2</v>
      </c>
      <c r="BI3719" s="477">
        <v>24791608.143849704</v>
      </c>
      <c r="BJ3719" s="458">
        <v>0.11797539158414816</v>
      </c>
      <c r="BK3719" s="477">
        <v>91378575.468473822</v>
      </c>
      <c r="BL3719" s="458">
        <v>0.27702982046963998</v>
      </c>
      <c r="BM3719" s="468">
        <v>5.8495565132058083</v>
      </c>
    </row>
    <row r="3720" spans="12:65" x14ac:dyDescent="0.3">
      <c r="L3720" s="427">
        <v>8594280.7385000009</v>
      </c>
      <c r="BE3720" s="477">
        <v>5208549.9368864158</v>
      </c>
      <c r="BF3720" s="458">
        <v>2.7720901375897E-2</v>
      </c>
      <c r="BG3720" s="477">
        <v>8718107.3594019357</v>
      </c>
      <c r="BH3720" s="458">
        <v>7.846899469676516E-2</v>
      </c>
      <c r="BI3720" s="477">
        <v>18377329.642214239</v>
      </c>
      <c r="BJ3720" s="458">
        <v>9.1636677432157754E-2</v>
      </c>
      <c r="BK3720" s="477">
        <v>92239090.271441206</v>
      </c>
      <c r="BL3720" s="458">
        <v>0.26819732258518347</v>
      </c>
      <c r="BM3720" s="468">
        <v>7.9358341637455414</v>
      </c>
    </row>
    <row r="3721" spans="12:65" x14ac:dyDescent="0.3">
      <c r="L3721" s="427">
        <v>3783711.6905999999</v>
      </c>
      <c r="BE3721" s="477">
        <v>6429080.5000747312</v>
      </c>
      <c r="BF3721" s="458">
        <v>4.5276611517853338E-2</v>
      </c>
      <c r="BG3721" s="477">
        <v>5155380.3986506779</v>
      </c>
      <c r="BH3721" s="458">
        <v>3.7635052656246337E-2</v>
      </c>
      <c r="BI3721" s="477">
        <v>7483327.0075129205</v>
      </c>
      <c r="BJ3721" s="458">
        <v>0.11158285750274621</v>
      </c>
      <c r="BK3721" s="477">
        <v>67212247.544819921</v>
      </c>
      <c r="BL3721" s="458">
        <v>0.26747680612257718</v>
      </c>
      <c r="BM3721" s="468">
        <v>10.586112215935092</v>
      </c>
    </row>
    <row r="3722" spans="12:65" x14ac:dyDescent="0.3">
      <c r="L3722" s="427">
        <v>10421384.8672</v>
      </c>
      <c r="BE3722" s="477">
        <v>1191340.635067319</v>
      </c>
      <c r="BF3722" s="458">
        <v>6.1621485659790975E-2</v>
      </c>
      <c r="BG3722" s="477">
        <v>3672906.0531307245</v>
      </c>
      <c r="BH3722" s="458">
        <v>6.6473372779402684E-2</v>
      </c>
      <c r="BI3722" s="477">
        <v>16348669.069128148</v>
      </c>
      <c r="BJ3722" s="458">
        <v>0.11239465898376166</v>
      </c>
      <c r="BK3722" s="477">
        <v>91623761.341835618</v>
      </c>
      <c r="BL3722" s="458">
        <v>0.25945835863369648</v>
      </c>
      <c r="BM3722" s="468">
        <v>3.6256040825193923</v>
      </c>
    </row>
    <row r="3723" spans="12:65" x14ac:dyDescent="0.3">
      <c r="L3723" s="427">
        <v>-1918614.1632999999</v>
      </c>
      <c r="BE3723" s="477">
        <v>4316121.2918524258</v>
      </c>
      <c r="BF3723" s="458">
        <v>4.0362946070386485E-2</v>
      </c>
      <c r="BG3723" s="477">
        <v>5246024.5804834822</v>
      </c>
      <c r="BH3723" s="458">
        <v>6.8359235790599771E-2</v>
      </c>
      <c r="BI3723" s="477">
        <v>13810612.503909258</v>
      </c>
      <c r="BJ3723" s="458">
        <v>8.165790259153427E-2</v>
      </c>
      <c r="BK3723" s="477">
        <v>92786653.225046292</v>
      </c>
      <c r="BL3723" s="458">
        <v>0.28696938662809512</v>
      </c>
      <c r="BM3723" s="468">
        <v>10.70522011997156</v>
      </c>
    </row>
    <row r="3724" spans="12:65" x14ac:dyDescent="0.3">
      <c r="L3724" s="427">
        <v>4594192.6451000003</v>
      </c>
      <c r="BE3724" s="477">
        <v>9375506.2142734881</v>
      </c>
      <c r="BF3724" s="458">
        <v>1.4900532334549466E-2</v>
      </c>
      <c r="BG3724" s="477">
        <v>5575490.1892880499</v>
      </c>
      <c r="BH3724" s="458">
        <v>6.3147764041309173E-2</v>
      </c>
      <c r="BI3724" s="477">
        <v>6874711.2174916975</v>
      </c>
      <c r="BJ3724" s="458">
        <v>0.11889926395895434</v>
      </c>
      <c r="BK3724" s="477">
        <v>72306988.240476236</v>
      </c>
      <c r="BL3724" s="458">
        <v>0.26853851152366648</v>
      </c>
      <c r="BM3724" s="468">
        <v>8.5105641987718545</v>
      </c>
    </row>
    <row r="3725" spans="12:65" x14ac:dyDescent="0.3">
      <c r="L3725" s="427">
        <v>9177482.1665000003</v>
      </c>
      <c r="BE3725" s="477">
        <v>6319537.0006921366</v>
      </c>
      <c r="BF3725" s="458">
        <v>2.6870079071164232E-2</v>
      </c>
      <c r="BG3725" s="477">
        <v>7423470.8352432074</v>
      </c>
      <c r="BH3725" s="458">
        <v>3.8043826803581648E-2</v>
      </c>
      <c r="BI3725" s="477">
        <v>18779419.025191765</v>
      </c>
      <c r="BJ3725" s="458">
        <v>9.0397811026215358E-2</v>
      </c>
      <c r="BK3725" s="477">
        <v>92830616.139893636</v>
      </c>
      <c r="BL3725" s="458">
        <v>0.26867249016350847</v>
      </c>
      <c r="BM3725" s="468">
        <v>1.8836520260153922</v>
      </c>
    </row>
    <row r="3726" spans="12:65" x14ac:dyDescent="0.3">
      <c r="L3726" s="427">
        <v>10773979.3158</v>
      </c>
      <c r="BE3726" s="477">
        <v>4870192.0132329483</v>
      </c>
      <c r="BF3726" s="458">
        <v>4.2709395090525071E-2</v>
      </c>
      <c r="BG3726" s="477">
        <v>7109670.8753638426</v>
      </c>
      <c r="BH3726" s="458">
        <v>5.0532121599236479E-2</v>
      </c>
      <c r="BI3726" s="477">
        <v>13238274.070475943</v>
      </c>
      <c r="BJ3726" s="458">
        <v>9.7164728840154924E-2</v>
      </c>
      <c r="BK3726" s="477">
        <v>82753559.799216583</v>
      </c>
      <c r="BL3726" s="458">
        <v>0.25693682435232912</v>
      </c>
      <c r="BM3726" s="468">
        <v>10.424082434099237</v>
      </c>
    </row>
    <row r="3727" spans="12:65" x14ac:dyDescent="0.3">
      <c r="L3727" s="427">
        <v>-14370094.8166</v>
      </c>
      <c r="BE3727" s="477">
        <v>8755857.6815412641</v>
      </c>
      <c r="BF3727" s="458">
        <v>4.3634011158418362E-2</v>
      </c>
      <c r="BG3727" s="477">
        <v>4262992.7085085446</v>
      </c>
      <c r="BH3727" s="458">
        <v>5.7896514318234615E-2</v>
      </c>
      <c r="BI3727" s="477">
        <v>13499001.796752937</v>
      </c>
      <c r="BJ3727" s="458">
        <v>0.11770841262927711</v>
      </c>
      <c r="BK3727" s="477">
        <v>83884967.464041993</v>
      </c>
      <c r="BL3727" s="458">
        <v>0.29151306651417874</v>
      </c>
      <c r="BM3727" s="468">
        <v>13.399803679310857</v>
      </c>
    </row>
    <row r="3728" spans="12:65" x14ac:dyDescent="0.3">
      <c r="L3728" s="427">
        <v>25432103.904300001</v>
      </c>
      <c r="BE3728" s="477">
        <v>2181658.2583342637</v>
      </c>
      <c r="BF3728" s="458">
        <v>5.2634621077796817E-2</v>
      </c>
      <c r="BG3728" s="477">
        <v>10242226.690790737</v>
      </c>
      <c r="BH3728" s="458">
        <v>8.817389609568993E-2</v>
      </c>
      <c r="BI3728" s="477">
        <v>17073366.428855665</v>
      </c>
      <c r="BJ3728" s="458">
        <v>0.10869221538890139</v>
      </c>
      <c r="BK3728" s="477">
        <v>73116542.393876567</v>
      </c>
      <c r="BL3728" s="458">
        <v>0.26834018901022949</v>
      </c>
      <c r="BM3728" s="468">
        <v>7.6263405888779419</v>
      </c>
    </row>
    <row r="3729" spans="12:65" x14ac:dyDescent="0.3">
      <c r="L3729" s="427">
        <v>11779723.437200001</v>
      </c>
      <c r="BE3729" s="477">
        <v>7214124.5072333803</v>
      </c>
      <c r="BF3729" s="458">
        <v>4.1941391084605151E-2</v>
      </c>
      <c r="BG3729" s="477">
        <v>7221650.900535956</v>
      </c>
      <c r="BH3729" s="458">
        <v>8.0617652933808737E-2</v>
      </c>
      <c r="BI3729" s="477">
        <v>18425606.144034658</v>
      </c>
      <c r="BJ3729" s="458">
        <v>9.4827383049340686E-2</v>
      </c>
      <c r="BK3729" s="477">
        <v>90252407.176081493</v>
      </c>
      <c r="BL3729" s="458">
        <v>0.27788350092390002</v>
      </c>
      <c r="BM3729" s="468">
        <v>6.3806707270003962</v>
      </c>
    </row>
    <row r="3730" spans="12:65" x14ac:dyDescent="0.3">
      <c r="L3730" s="427">
        <v>12953182.828199999</v>
      </c>
      <c r="BE3730" s="477">
        <v>4333738.5490554897</v>
      </c>
      <c r="BF3730" s="458">
        <v>4.6088530156551677E-2</v>
      </c>
      <c r="BG3730" s="477">
        <v>14545887.508270847</v>
      </c>
      <c r="BH3730" s="458">
        <v>3.65897038700429E-2</v>
      </c>
      <c r="BI3730" s="477">
        <v>25310046.660727613</v>
      </c>
      <c r="BJ3730" s="458">
        <v>0.11837403612059294</v>
      </c>
      <c r="BK3730" s="477">
        <v>99749982.720438093</v>
      </c>
      <c r="BL3730" s="458">
        <v>0.27282136443077465</v>
      </c>
      <c r="BM3730" s="468">
        <v>7.784729516110513</v>
      </c>
    </row>
    <row r="3731" spans="12:65" x14ac:dyDescent="0.3">
      <c r="L3731" s="427">
        <v>10256317.895199999</v>
      </c>
      <c r="BE3731" s="477">
        <v>5624182.4206677582</v>
      </c>
      <c r="BF3731" s="458">
        <v>3.7490597398289305E-2</v>
      </c>
      <c r="BG3731" s="477">
        <v>9705059.086735528</v>
      </c>
      <c r="BH3731" s="458">
        <v>6.0115948135874842E-2</v>
      </c>
      <c r="BI3731" s="477">
        <v>21986957.168578587</v>
      </c>
      <c r="BJ3731" s="458">
        <v>0.10966271755225243</v>
      </c>
      <c r="BK3731" s="477">
        <v>94778872.092410415</v>
      </c>
      <c r="BL3731" s="458">
        <v>0.25818709381749327</v>
      </c>
      <c r="BM3731" s="468">
        <v>5.90045343725546</v>
      </c>
    </row>
    <row r="3732" spans="12:65" x14ac:dyDescent="0.3">
      <c r="L3732" s="427">
        <v>729801.6986</v>
      </c>
      <c r="BE3732" s="477">
        <v>4961235.8405254157</v>
      </c>
      <c r="BF3732" s="458">
        <v>4.238376769460972E-2</v>
      </c>
      <c r="BG3732" s="477">
        <v>7650680.1638848847</v>
      </c>
      <c r="BH3732" s="458">
        <v>5.8437836092391837E-2</v>
      </c>
      <c r="BI3732" s="477">
        <v>9913734.0805672444</v>
      </c>
      <c r="BJ3732" s="458">
        <v>7.9077486783466489E-2</v>
      </c>
      <c r="BK3732" s="477">
        <v>99628091.655427665</v>
      </c>
      <c r="BL3732" s="458">
        <v>0.29071763794359939</v>
      </c>
      <c r="BM3732" s="468">
        <v>8.5114198210212297</v>
      </c>
    </row>
    <row r="3733" spans="12:65" x14ac:dyDescent="0.3">
      <c r="L3733" s="427">
        <v>9219222.7071000002</v>
      </c>
      <c r="BE3733" s="477">
        <v>1812869.8199358531</v>
      </c>
      <c r="BF3733" s="458">
        <v>2.6131401975077351E-2</v>
      </c>
      <c r="BG3733" s="477">
        <v>1533412.0076550893</v>
      </c>
      <c r="BH3733" s="458">
        <v>7.630102272667405E-2</v>
      </c>
      <c r="BI3733" s="477">
        <v>15435734.62788181</v>
      </c>
      <c r="BJ3733" s="458">
        <v>0.11098299407822121</v>
      </c>
      <c r="BK3733" s="477">
        <v>87995696.829425633</v>
      </c>
      <c r="BL3733" s="458">
        <v>0.25474243259548812</v>
      </c>
      <c r="BM3733" s="468">
        <v>9.8370754803717446</v>
      </c>
    </row>
    <row r="3734" spans="12:65" x14ac:dyDescent="0.3">
      <c r="L3734" s="427">
        <v>4227134.0515000001</v>
      </c>
      <c r="BE3734" s="477">
        <v>4256337.3843881786</v>
      </c>
      <c r="BF3734" s="458">
        <v>4.4539082499095217E-2</v>
      </c>
      <c r="BG3734" s="477">
        <v>9885973.7187008578</v>
      </c>
      <c r="BH3734" s="458">
        <v>5.0838673954840985E-2</v>
      </c>
      <c r="BI3734" s="477">
        <v>8592641.6602809206</v>
      </c>
      <c r="BJ3734" s="458">
        <v>0.10343406561885793</v>
      </c>
      <c r="BK3734" s="477">
        <v>90313347.57456927</v>
      </c>
      <c r="BL3734" s="458">
        <v>0.25495280489920957</v>
      </c>
      <c r="BM3734" s="468">
        <v>9.3599751880832862</v>
      </c>
    </row>
    <row r="3735" spans="12:65" x14ac:dyDescent="0.3">
      <c r="L3735" s="427">
        <v>6752951.3563000001</v>
      </c>
      <c r="BE3735" s="477">
        <v>5524870.3603814747</v>
      </c>
      <c r="BF3735" s="458">
        <v>2.6570906872789735E-2</v>
      </c>
      <c r="BG3735" s="477">
        <v>5783318.5102023343</v>
      </c>
      <c r="BH3735" s="458">
        <v>7.543019538905571E-2</v>
      </c>
      <c r="BI3735" s="477">
        <v>16088753.172852434</v>
      </c>
      <c r="BJ3735" s="458">
        <v>0.10497509678959327</v>
      </c>
      <c r="BK3735" s="477">
        <v>68982032.234902233</v>
      </c>
      <c r="BL3735" s="458">
        <v>0.26295505737999014</v>
      </c>
      <c r="BM3735" s="468">
        <v>9.5372020563924362</v>
      </c>
    </row>
    <row r="3736" spans="12:65" x14ac:dyDescent="0.3">
      <c r="L3736" s="427">
        <v>14774965.443299999</v>
      </c>
      <c r="BE3736" s="477">
        <v>5484067.4567886628</v>
      </c>
      <c r="BF3736" s="458">
        <v>2.5926741177270118E-2</v>
      </c>
      <c r="BG3736" s="477">
        <v>10431642.818704519</v>
      </c>
      <c r="BH3736" s="458">
        <v>4.9385524815503734E-2</v>
      </c>
      <c r="BI3736" s="477">
        <v>17579075.283688091</v>
      </c>
      <c r="BJ3736" s="458">
        <v>0.12624961822564496</v>
      </c>
      <c r="BK3736" s="477">
        <v>94377467.910462439</v>
      </c>
      <c r="BL3736" s="458">
        <v>0.29576363337754596</v>
      </c>
      <c r="BM3736" s="468">
        <v>11.339734566366424</v>
      </c>
    </row>
    <row r="3737" spans="12:65" x14ac:dyDescent="0.3">
      <c r="L3737" s="427">
        <v>5514851.7192000002</v>
      </c>
      <c r="BE3737" s="477">
        <v>2924911.5139568197</v>
      </c>
      <c r="BF3737" s="458">
        <v>5.9402694947789936E-2</v>
      </c>
      <c r="BG3737" s="477">
        <v>1336588.3584552989</v>
      </c>
      <c r="BH3737" s="458">
        <v>6.8151028659193535E-2</v>
      </c>
      <c r="BI3737" s="477">
        <v>21085826.718727287</v>
      </c>
      <c r="BJ3737" s="458">
        <v>9.2858229980326001E-2</v>
      </c>
      <c r="BK3737" s="477">
        <v>80072457.175678208</v>
      </c>
      <c r="BL3737" s="458">
        <v>0.25010834652168867</v>
      </c>
      <c r="BM3737" s="468">
        <v>11.29715491909749</v>
      </c>
    </row>
    <row r="3738" spans="12:65" x14ac:dyDescent="0.3">
      <c r="L3738" s="427">
        <v>8822737.2736000009</v>
      </c>
      <c r="BE3738" s="477">
        <v>5363074.7620303361</v>
      </c>
      <c r="BF3738" s="458">
        <v>4.4613030386674302E-2</v>
      </c>
      <c r="BG3738" s="477">
        <v>-1081284.946140277</v>
      </c>
      <c r="BH3738" s="458">
        <v>7.5338093216061441E-2</v>
      </c>
      <c r="BI3738" s="477">
        <v>27457444.930961013</v>
      </c>
      <c r="BJ3738" s="458">
        <v>0.12200799557754105</v>
      </c>
      <c r="BK3738" s="477">
        <v>83574229.382218614</v>
      </c>
      <c r="BL3738" s="458">
        <v>0.26554205231906058</v>
      </c>
      <c r="BM3738" s="468">
        <v>8.9412302117236315</v>
      </c>
    </row>
    <row r="3739" spans="12:65" x14ac:dyDescent="0.3">
      <c r="L3739" s="427">
        <v>-786884.95189999999</v>
      </c>
      <c r="BE3739" s="477">
        <v>6918816.9743932877</v>
      </c>
      <c r="BF3739" s="458">
        <v>1.5800597416744111E-2</v>
      </c>
      <c r="BG3739" s="477">
        <v>5991764.8882203996</v>
      </c>
      <c r="BH3739" s="458">
        <v>6.1870104001708226E-2</v>
      </c>
      <c r="BI3739" s="477">
        <v>19496093.665577419</v>
      </c>
      <c r="BJ3739" s="458">
        <v>9.2838895735447791E-2</v>
      </c>
      <c r="BK3739" s="477">
        <v>90593581.52389814</v>
      </c>
      <c r="BL3739" s="458">
        <v>0.2723817941304465</v>
      </c>
      <c r="BM3739" s="468">
        <v>4.0970671287043787</v>
      </c>
    </row>
    <row r="3740" spans="12:65" x14ac:dyDescent="0.3">
      <c r="L3740" s="427">
        <v>8987864.7888999991</v>
      </c>
      <c r="BE3740" s="477">
        <v>5504168.0354793919</v>
      </c>
      <c r="BF3740" s="458">
        <v>4.4146914133438075E-2</v>
      </c>
      <c r="BG3740" s="477">
        <v>12260657.595557151</v>
      </c>
      <c r="BH3740" s="458">
        <v>6.6490341582868373E-2</v>
      </c>
      <c r="BI3740" s="477">
        <v>16980831.754743382</v>
      </c>
      <c r="BJ3740" s="458">
        <v>9.6514663400523615E-2</v>
      </c>
      <c r="BK3740" s="477">
        <v>99755021.454505563</v>
      </c>
      <c r="BL3740" s="458">
        <v>0.27127832221644943</v>
      </c>
      <c r="BM3740" s="468">
        <v>10.275753819982409</v>
      </c>
    </row>
    <row r="3741" spans="12:65" x14ac:dyDescent="0.3">
      <c r="L3741" s="427">
        <v>13616162.1938</v>
      </c>
      <c r="BE3741" s="477">
        <v>8776383.5626694858</v>
      </c>
      <c r="BF3741" s="458">
        <v>4.9851247561878642E-2</v>
      </c>
      <c r="BG3741" s="477">
        <v>14655751.962303646</v>
      </c>
      <c r="BH3741" s="458">
        <v>9.3262717078204327E-2</v>
      </c>
      <c r="BI3741" s="477">
        <v>14273600.024421936</v>
      </c>
      <c r="BJ3741" s="458">
        <v>0.12240150118332216</v>
      </c>
      <c r="BK3741" s="477">
        <v>94154276.727329567</v>
      </c>
      <c r="BL3741" s="458">
        <v>0.28485900520699947</v>
      </c>
      <c r="BM3741" s="468">
        <v>3.2297942607214489</v>
      </c>
    </row>
    <row r="3742" spans="12:65" x14ac:dyDescent="0.3">
      <c r="L3742" s="427">
        <v>-9479299.7740000002</v>
      </c>
      <c r="BE3742" s="477">
        <v>5451199.4477555873</v>
      </c>
      <c r="BF3742" s="458">
        <v>4.0310810505985062E-2</v>
      </c>
      <c r="BG3742" s="477">
        <v>7038591.3738652561</v>
      </c>
      <c r="BH3742" s="458">
        <v>6.7002628484031934E-2</v>
      </c>
      <c r="BI3742" s="477">
        <v>10935780.428301105</v>
      </c>
      <c r="BJ3742" s="458">
        <v>9.716269417815937E-2</v>
      </c>
      <c r="BK3742" s="477">
        <v>91100168.661682546</v>
      </c>
      <c r="BL3742" s="458">
        <v>0.28909571198934159</v>
      </c>
      <c r="BM3742" s="468">
        <v>14.144984394647555</v>
      </c>
    </row>
    <row r="3743" spans="12:65" x14ac:dyDescent="0.3">
      <c r="L3743" s="427">
        <v>19377985.011100002</v>
      </c>
      <c r="BE3743" s="477">
        <v>6197810.5885536224</v>
      </c>
      <c r="BF3743" s="458">
        <v>2.7997117967654139E-2</v>
      </c>
      <c r="BG3743" s="477">
        <v>11803082.447194709</v>
      </c>
      <c r="BH3743" s="458">
        <v>7.8024711065348029E-2</v>
      </c>
      <c r="BI3743" s="477">
        <v>4770545.9863970419</v>
      </c>
      <c r="BJ3743" s="458">
        <v>0.12086852309902185</v>
      </c>
      <c r="BK3743" s="477">
        <v>93065018.379366606</v>
      </c>
      <c r="BL3743" s="458">
        <v>0.27158401952815359</v>
      </c>
      <c r="BM3743" s="468">
        <v>8.3483905190437184</v>
      </c>
    </row>
    <row r="3744" spans="12:65" x14ac:dyDescent="0.3">
      <c r="L3744" s="427">
        <v>-3995032.7848</v>
      </c>
      <c r="BE3744" s="477">
        <v>3099449.3955099843</v>
      </c>
      <c r="BF3744" s="458">
        <v>2.9141224317563941E-2</v>
      </c>
      <c r="BG3744" s="477">
        <v>10871265.883691959</v>
      </c>
      <c r="BH3744" s="458">
        <v>5.4098506961776094E-2</v>
      </c>
      <c r="BI3744" s="477">
        <v>17809983.52759961</v>
      </c>
      <c r="BJ3744" s="458">
        <v>0.10113846592538578</v>
      </c>
      <c r="BK3744" s="477">
        <v>86433331.455118224</v>
      </c>
      <c r="BL3744" s="458">
        <v>0.25814590898320566</v>
      </c>
      <c r="BM3744" s="468">
        <v>5.116174761252787</v>
      </c>
    </row>
    <row r="3745" spans="12:65" x14ac:dyDescent="0.3">
      <c r="L3745" s="427">
        <v>9728722.1730000004</v>
      </c>
      <c r="BE3745" s="477">
        <v>7888246.2036194634</v>
      </c>
      <c r="BF3745" s="458">
        <v>4.3135574376442332E-2</v>
      </c>
      <c r="BG3745" s="477">
        <v>7239824.155987422</v>
      </c>
      <c r="BH3745" s="458">
        <v>7.8956354261894512E-2</v>
      </c>
      <c r="BI3745" s="477">
        <v>13964270.687033406</v>
      </c>
      <c r="BJ3745" s="458">
        <v>0.11019068994246295</v>
      </c>
      <c r="BK3745" s="477">
        <v>81107740.312370002</v>
      </c>
      <c r="BL3745" s="458">
        <v>0.27181446025843403</v>
      </c>
      <c r="BM3745" s="468">
        <v>6.0710466405567596</v>
      </c>
    </row>
    <row r="3746" spans="12:65" x14ac:dyDescent="0.3">
      <c r="L3746" s="427">
        <v>20674541.3638</v>
      </c>
      <c r="BE3746" s="477">
        <v>-68655.715335395667</v>
      </c>
      <c r="BF3746" s="458">
        <v>2.5688129109885383E-2</v>
      </c>
      <c r="BG3746" s="477">
        <v>12582168.324035987</v>
      </c>
      <c r="BH3746" s="458">
        <v>6.1132949169479645E-2</v>
      </c>
      <c r="BI3746" s="477">
        <v>15358071.528863467</v>
      </c>
      <c r="BJ3746" s="458">
        <v>0.15137236898972284</v>
      </c>
      <c r="BK3746" s="477">
        <v>95604518.733692244</v>
      </c>
      <c r="BL3746" s="458">
        <v>0.26860853206019275</v>
      </c>
      <c r="BM3746" s="468">
        <v>6.3942799689820715</v>
      </c>
    </row>
    <row r="3747" spans="12:65" x14ac:dyDescent="0.3">
      <c r="L3747" s="427">
        <v>-3320878.3059</v>
      </c>
      <c r="BE3747" s="477">
        <v>8606602.1780379694</v>
      </c>
      <c r="BF3747" s="458">
        <v>4.4303593802081487E-2</v>
      </c>
      <c r="BG3747" s="477">
        <v>13562519.211065164</v>
      </c>
      <c r="BH3747" s="458">
        <v>3.927741544608554E-2</v>
      </c>
      <c r="BI3747" s="477">
        <v>11769798.530383999</v>
      </c>
      <c r="BJ3747" s="458">
        <v>0.110803147582476</v>
      </c>
      <c r="BK3747" s="477">
        <v>96411872.92182593</v>
      </c>
      <c r="BL3747" s="458">
        <v>0.30135859928939235</v>
      </c>
      <c r="BM3747" s="468">
        <v>8.8879188405348089</v>
      </c>
    </row>
    <row r="3748" spans="12:65" x14ac:dyDescent="0.3">
      <c r="L3748" s="427">
        <v>9010397.5802999996</v>
      </c>
      <c r="BE3748" s="477">
        <v>8881899.1236873586</v>
      </c>
      <c r="BF3748" s="458">
        <v>5.4670345636004924E-2</v>
      </c>
      <c r="BG3748" s="477">
        <v>15195628.656853199</v>
      </c>
      <c r="BH3748" s="458">
        <v>5.2133304924932622E-2</v>
      </c>
      <c r="BI3748" s="477">
        <v>14467734.285131834</v>
      </c>
      <c r="BJ3748" s="458">
        <v>0.10974366765123045</v>
      </c>
      <c r="BK3748" s="477">
        <v>91047589.79614222</v>
      </c>
      <c r="BL3748" s="458">
        <v>0.26833746995708774</v>
      </c>
      <c r="BM3748" s="468">
        <v>13.776564670463742</v>
      </c>
    </row>
    <row r="3749" spans="12:65" x14ac:dyDescent="0.3">
      <c r="L3749" s="427">
        <v>6033935.9342999998</v>
      </c>
      <c r="BE3749" s="477">
        <v>3691993.9160555825</v>
      </c>
      <c r="BF3749" s="458">
        <v>2.4767005858308266E-2</v>
      </c>
      <c r="BG3749" s="477">
        <v>12282238.903070094</v>
      </c>
      <c r="BH3749" s="458">
        <v>6.1949377339548084E-2</v>
      </c>
      <c r="BI3749" s="477">
        <v>16374512.669936374</v>
      </c>
      <c r="BJ3749" s="458">
        <v>0.13813828077120949</v>
      </c>
      <c r="BK3749" s="477">
        <v>84709736.394349575</v>
      </c>
      <c r="BL3749" s="458">
        <v>0.25985170687225878</v>
      </c>
      <c r="BM3749" s="468">
        <v>8.7360721632039908</v>
      </c>
    </row>
    <row r="3750" spans="12:65" x14ac:dyDescent="0.3">
      <c r="L3750" s="427">
        <v>6332057.8118000003</v>
      </c>
      <c r="BE3750" s="477">
        <v>6617389.5964392582</v>
      </c>
      <c r="BF3750" s="458">
        <v>1.4386045666834768E-2</v>
      </c>
      <c r="BG3750" s="477">
        <v>11849473.92727555</v>
      </c>
      <c r="BH3750" s="458">
        <v>7.4663367624943078E-2</v>
      </c>
      <c r="BI3750" s="477">
        <v>18332042.252518099</v>
      </c>
      <c r="BJ3750" s="458">
        <v>9.9711503178224747E-2</v>
      </c>
      <c r="BK3750" s="477">
        <v>85374178.095429823</v>
      </c>
      <c r="BL3750" s="458">
        <v>0.26903357628868618</v>
      </c>
      <c r="BM3750" s="468">
        <v>10.143673331141581</v>
      </c>
    </row>
    <row r="3751" spans="12:65" x14ac:dyDescent="0.3">
      <c r="L3751" s="427">
        <v>-9077220.5351</v>
      </c>
      <c r="BE3751" s="477">
        <v>6286842.558135218</v>
      </c>
      <c r="BF3751" s="458">
        <v>2.9674586983559514E-2</v>
      </c>
      <c r="BG3751" s="477">
        <v>10796779.433567908</v>
      </c>
      <c r="BH3751" s="458">
        <v>7.1200012042311522E-2</v>
      </c>
      <c r="BI3751" s="477">
        <v>15945150.624044282</v>
      </c>
      <c r="BJ3751" s="458">
        <v>8.9041090648153576E-2</v>
      </c>
      <c r="BK3751" s="477">
        <v>93887644.435504243</v>
      </c>
      <c r="BL3751" s="458">
        <v>0.27353472251495736</v>
      </c>
      <c r="BM3751" s="468">
        <v>6.1366567663403906</v>
      </c>
    </row>
    <row r="3752" spans="12:65" x14ac:dyDescent="0.3">
      <c r="L3752" s="427">
        <v>896886.61690000002</v>
      </c>
      <c r="BE3752" s="477">
        <v>2463329.6721929545</v>
      </c>
      <c r="BF3752" s="458">
        <v>3.405344594122961E-2</v>
      </c>
      <c r="BG3752" s="477">
        <v>7446633.9213151531</v>
      </c>
      <c r="BH3752" s="458">
        <v>8.343362212081229E-2</v>
      </c>
      <c r="BI3752" s="477">
        <v>21796412.816910885</v>
      </c>
      <c r="BJ3752" s="458">
        <v>0.10784053682276218</v>
      </c>
      <c r="BK3752" s="477">
        <v>93292246.077178523</v>
      </c>
      <c r="BL3752" s="458">
        <v>0.27932120354818291</v>
      </c>
      <c r="BM3752" s="468">
        <v>10.568498542103985</v>
      </c>
    </row>
    <row r="3753" spans="12:65" x14ac:dyDescent="0.3">
      <c r="L3753" s="427">
        <v>9420104.1073000003</v>
      </c>
      <c r="BE3753" s="477">
        <v>3904047.6276482097</v>
      </c>
      <c r="BF3753" s="458">
        <v>3.5720519482683066E-2</v>
      </c>
      <c r="BG3753" s="477">
        <v>7842091.7254719418</v>
      </c>
      <c r="BH3753" s="458">
        <v>6.2395505043158606E-2</v>
      </c>
      <c r="BI3753" s="477">
        <v>18005410.225731988</v>
      </c>
      <c r="BJ3753" s="458">
        <v>0.12214659018769369</v>
      </c>
      <c r="BK3753" s="477">
        <v>86666430.104333758</v>
      </c>
      <c r="BL3753" s="458">
        <v>0.27668069759646041</v>
      </c>
      <c r="BM3753" s="468">
        <v>11.733463365766083</v>
      </c>
    </row>
    <row r="3754" spans="12:65" x14ac:dyDescent="0.3">
      <c r="L3754" s="427">
        <v>10519495.6632</v>
      </c>
      <c r="BE3754" s="477">
        <v>2852891.0384138138</v>
      </c>
      <c r="BF3754" s="458">
        <v>4.2118318359984919E-2</v>
      </c>
      <c r="BG3754" s="477">
        <v>6043837.863655</v>
      </c>
      <c r="BH3754" s="458">
        <v>5.2972869123439903E-2</v>
      </c>
      <c r="BI3754" s="477">
        <v>3229978.9347934686</v>
      </c>
      <c r="BJ3754" s="458">
        <v>0.10341559446817472</v>
      </c>
      <c r="BK3754" s="477">
        <v>87428585.165228352</v>
      </c>
      <c r="BL3754" s="458">
        <v>0.28262038522692579</v>
      </c>
      <c r="BM3754" s="468">
        <v>4.2126336056537177</v>
      </c>
    </row>
    <row r="3755" spans="12:65" x14ac:dyDescent="0.3">
      <c r="L3755" s="427">
        <v>5199442.0508000003</v>
      </c>
      <c r="BE3755" s="477">
        <v>3875557.8037943589</v>
      </c>
      <c r="BF3755" s="458">
        <v>3.2575873364867114E-2</v>
      </c>
      <c r="BG3755" s="477">
        <v>8138728.2120191213</v>
      </c>
      <c r="BH3755" s="458">
        <v>7.5694609734908491E-2</v>
      </c>
      <c r="BI3755" s="477">
        <v>21026943.037812795</v>
      </c>
      <c r="BJ3755" s="458">
        <v>0.11640666099199071</v>
      </c>
      <c r="BK3755" s="477">
        <v>84981702.170443088</v>
      </c>
      <c r="BL3755" s="458">
        <v>0.26468455057449725</v>
      </c>
      <c r="BM3755" s="468">
        <v>3.0457426317682952</v>
      </c>
    </row>
    <row r="3756" spans="12:65" x14ac:dyDescent="0.3">
      <c r="L3756" s="427">
        <v>11414001.244100001</v>
      </c>
      <c r="BE3756" s="477">
        <v>4826311.8994364021</v>
      </c>
      <c r="BF3756" s="458">
        <v>2.7428030731010855E-2</v>
      </c>
      <c r="BG3756" s="477">
        <v>4428106.856485093</v>
      </c>
      <c r="BH3756" s="458">
        <v>7.5899435738628007E-2</v>
      </c>
      <c r="BI3756" s="477">
        <v>8009204.20792225</v>
      </c>
      <c r="BJ3756" s="458">
        <v>0.10527588430746837</v>
      </c>
      <c r="BK3756" s="477">
        <v>90599306.748455763</v>
      </c>
      <c r="BL3756" s="458">
        <v>0.2654643661157432</v>
      </c>
      <c r="BM3756" s="468">
        <v>10.810052407781473</v>
      </c>
    </row>
    <row r="3757" spans="12:65" x14ac:dyDescent="0.3">
      <c r="L3757" s="427">
        <v>297696.61820000003</v>
      </c>
      <c r="BE3757" s="477">
        <v>1516026.0348268298</v>
      </c>
      <c r="BF3757" s="458">
        <v>3.7077749176569474E-2</v>
      </c>
      <c r="BG3757" s="477">
        <v>7974148.9260396659</v>
      </c>
      <c r="BH3757" s="458">
        <v>6.0407100161344207E-2</v>
      </c>
      <c r="BI3757" s="477">
        <v>13720714.740903744</v>
      </c>
      <c r="BJ3757" s="458">
        <v>0.10457814711275248</v>
      </c>
      <c r="BK3757" s="477">
        <v>77734397.615458205</v>
      </c>
      <c r="BL3757" s="458">
        <v>0.27265972941307837</v>
      </c>
      <c r="BM3757" s="468">
        <v>10.923032282519184</v>
      </c>
    </row>
    <row r="3758" spans="12:65" x14ac:dyDescent="0.3">
      <c r="L3758" s="427">
        <v>18457688.877500001</v>
      </c>
      <c r="BE3758" s="477">
        <v>7326317.8897761088</v>
      </c>
      <c r="BF3758" s="458">
        <v>3.3092172994836799E-2</v>
      </c>
      <c r="BG3758" s="477">
        <v>11484748.197468596</v>
      </c>
      <c r="BH3758" s="458">
        <v>6.8982156979093601E-2</v>
      </c>
      <c r="BI3758" s="477">
        <v>20546266.006044578</v>
      </c>
      <c r="BJ3758" s="458">
        <v>0.10741043456788968</v>
      </c>
      <c r="BK3758" s="477">
        <v>89365070.367415875</v>
      </c>
      <c r="BL3758" s="458">
        <v>0.27009459406534808</v>
      </c>
      <c r="BM3758" s="468">
        <v>9.3984154824527106</v>
      </c>
    </row>
    <row r="3759" spans="12:65" x14ac:dyDescent="0.3">
      <c r="L3759" s="427">
        <v>2544898.6974999998</v>
      </c>
      <c r="BE3759" s="477">
        <v>6646435.8883332806</v>
      </c>
      <c r="BF3759" s="458">
        <v>4.530514850182743E-2</v>
      </c>
      <c r="BG3759" s="477">
        <v>4669004.915384749</v>
      </c>
      <c r="BH3759" s="458">
        <v>9.7517410843965813E-2</v>
      </c>
      <c r="BI3759" s="477">
        <v>15817086.667045789</v>
      </c>
      <c r="BJ3759" s="458">
        <v>0.10934021451410136</v>
      </c>
      <c r="BK3759" s="477">
        <v>96085467.2870294</v>
      </c>
      <c r="BL3759" s="458">
        <v>0.26164173031566218</v>
      </c>
      <c r="BM3759" s="468">
        <v>7.2553948421120831</v>
      </c>
    </row>
    <row r="3760" spans="12:65" x14ac:dyDescent="0.3">
      <c r="L3760" s="427">
        <v>28274807.7304</v>
      </c>
      <c r="BE3760" s="477">
        <v>1838715.6401232136</v>
      </c>
      <c r="BF3760" s="458">
        <v>4.6751073730579185E-2</v>
      </c>
      <c r="BG3760" s="477">
        <v>10613790.002080264</v>
      </c>
      <c r="BH3760" s="458">
        <v>7.2371203141814666E-2</v>
      </c>
      <c r="BI3760" s="477">
        <v>14388239.474024836</v>
      </c>
      <c r="BJ3760" s="458">
        <v>0.10669102368259265</v>
      </c>
      <c r="BK3760" s="477">
        <v>93156190.441824421</v>
      </c>
      <c r="BL3760" s="458">
        <v>0.2736807227536886</v>
      </c>
      <c r="BM3760" s="468">
        <v>10.174348874443668</v>
      </c>
    </row>
    <row r="3761" spans="12:65" x14ac:dyDescent="0.3">
      <c r="L3761" s="427">
        <v>10543721.7817</v>
      </c>
      <c r="BE3761" s="477">
        <v>5031643.4279661179</v>
      </c>
      <c r="BF3761" s="458">
        <v>1.8042861607852956E-2</v>
      </c>
      <c r="BG3761" s="477">
        <v>9140265.2354716174</v>
      </c>
      <c r="BH3761" s="458">
        <v>5.6625627993841743E-2</v>
      </c>
      <c r="BI3761" s="477">
        <v>7955434.056476987</v>
      </c>
      <c r="BJ3761" s="458">
        <v>0.117670091383836</v>
      </c>
      <c r="BK3761" s="477">
        <v>88389352.186116159</v>
      </c>
      <c r="BL3761" s="458">
        <v>0.27154243180146631</v>
      </c>
      <c r="BM3761" s="468">
        <v>8.4755606173470959</v>
      </c>
    </row>
    <row r="3762" spans="12:65" x14ac:dyDescent="0.3">
      <c r="L3762" s="427">
        <v>6236376.5323000001</v>
      </c>
      <c r="BE3762" s="477">
        <v>4431276.0262595983</v>
      </c>
      <c r="BF3762" s="458">
        <v>3.1040725401398683E-2</v>
      </c>
      <c r="BG3762" s="477">
        <v>9397732.2719989698</v>
      </c>
      <c r="BH3762" s="458">
        <v>6.2401414113750553E-2</v>
      </c>
      <c r="BI3762" s="477">
        <v>14233081.082861517</v>
      </c>
      <c r="BJ3762" s="458">
        <v>0.11521144146408502</v>
      </c>
      <c r="BK3762" s="477">
        <v>92656341.014200121</v>
      </c>
      <c r="BL3762" s="458">
        <v>0.2413265349148348</v>
      </c>
      <c r="BM3762" s="468">
        <v>2.7222267461636065</v>
      </c>
    </row>
    <row r="3763" spans="12:65" x14ac:dyDescent="0.3">
      <c r="L3763" s="427">
        <v>10202258.5339</v>
      </c>
      <c r="BE3763" s="477">
        <v>7179305.1648053667</v>
      </c>
      <c r="BF3763" s="458">
        <v>2.4395070267168473E-2</v>
      </c>
      <c r="BG3763" s="477">
        <v>8716570.6437772159</v>
      </c>
      <c r="BH3763" s="458">
        <v>5.6849500172574396E-2</v>
      </c>
      <c r="BI3763" s="477">
        <v>16629501.113250235</v>
      </c>
      <c r="BJ3763" s="458">
        <v>0.11604784640629795</v>
      </c>
      <c r="BK3763" s="477">
        <v>82454490.089650407</v>
      </c>
      <c r="BL3763" s="458">
        <v>0.26800462969306826</v>
      </c>
      <c r="BM3763" s="468">
        <v>9.0800909232124205</v>
      </c>
    </row>
    <row r="3764" spans="12:65" x14ac:dyDescent="0.3">
      <c r="L3764" s="427">
        <v>-3659140.2593</v>
      </c>
      <c r="BE3764" s="477">
        <v>5362779.768938438</v>
      </c>
      <c r="BF3764" s="458">
        <v>5.6207250916125329E-2</v>
      </c>
      <c r="BG3764" s="477">
        <v>11803425.928123912</v>
      </c>
      <c r="BH3764" s="458">
        <v>6.3489002678245088E-2</v>
      </c>
      <c r="BI3764" s="477">
        <v>15330097.601275817</v>
      </c>
      <c r="BJ3764" s="458">
        <v>0.11164685424484566</v>
      </c>
      <c r="BK3764" s="477">
        <v>96234461.064432532</v>
      </c>
      <c r="BL3764" s="458">
        <v>0.24822580562345187</v>
      </c>
      <c r="BM3764" s="468">
        <v>11.292686709875085</v>
      </c>
    </row>
    <row r="3765" spans="12:65" x14ac:dyDescent="0.3">
      <c r="L3765" s="427">
        <v>13942938.856799999</v>
      </c>
      <c r="BE3765" s="477">
        <v>6485434.6873753797</v>
      </c>
      <c r="BF3765" s="458">
        <v>6.7722893501987125E-2</v>
      </c>
      <c r="BG3765" s="477">
        <v>5376161.0956532275</v>
      </c>
      <c r="BH3765" s="458">
        <v>6.4276348638448333E-2</v>
      </c>
      <c r="BI3765" s="477">
        <v>10971251.087575531</v>
      </c>
      <c r="BJ3765" s="458">
        <v>0.11340403140685384</v>
      </c>
      <c r="BK3765" s="477">
        <v>84766071.503841907</v>
      </c>
      <c r="BL3765" s="458">
        <v>0.25082959768295821</v>
      </c>
      <c r="BM3765" s="468">
        <v>4.033772382290354</v>
      </c>
    </row>
    <row r="3766" spans="12:65" x14ac:dyDescent="0.3">
      <c r="L3766" s="427">
        <v>28488882.079</v>
      </c>
      <c r="BE3766" s="477">
        <v>2962097.6077677258</v>
      </c>
      <c r="BF3766" s="458">
        <v>4.2630055252975918E-2</v>
      </c>
      <c r="BG3766" s="477">
        <v>1220602.955202088</v>
      </c>
      <c r="BH3766" s="458">
        <v>9.0187677488702267E-2</v>
      </c>
      <c r="BI3766" s="477">
        <v>12692280.607318869</v>
      </c>
      <c r="BJ3766" s="458">
        <v>0.13665302888524566</v>
      </c>
      <c r="BK3766" s="477">
        <v>75460135.910385549</v>
      </c>
      <c r="BL3766" s="458">
        <v>0.2625458300505672</v>
      </c>
      <c r="BM3766" s="468">
        <v>10.122644392128031</v>
      </c>
    </row>
    <row r="3767" spans="12:65" x14ac:dyDescent="0.3">
      <c r="L3767" s="427">
        <v>16309835.1447</v>
      </c>
      <c r="BE3767" s="477">
        <v>5600962.8752735844</v>
      </c>
      <c r="BF3767" s="458">
        <v>4.3820022593096475E-2</v>
      </c>
      <c r="BG3767" s="477">
        <v>10789486.820772571</v>
      </c>
      <c r="BH3767" s="458">
        <v>7.1322779407268166E-2</v>
      </c>
      <c r="BI3767" s="477">
        <v>14305052.679862592</v>
      </c>
      <c r="BJ3767" s="458">
        <v>8.3696588819055284E-2</v>
      </c>
      <c r="BK3767" s="477">
        <v>95014220.355784178</v>
      </c>
      <c r="BL3767" s="458">
        <v>0.27536176856326655</v>
      </c>
      <c r="BM3767" s="468">
        <v>7.1521961547911115</v>
      </c>
    </row>
    <row r="3768" spans="12:65" x14ac:dyDescent="0.3">
      <c r="L3768" s="427">
        <v>14883567.7074</v>
      </c>
      <c r="BE3768" s="477">
        <v>5146524.1470804308</v>
      </c>
      <c r="BF3768" s="458">
        <v>4.7785017053837642E-2</v>
      </c>
      <c r="BG3768" s="477">
        <v>8050416.3862395659</v>
      </c>
      <c r="BH3768" s="458">
        <v>3.8136764070520801E-2</v>
      </c>
      <c r="BI3768" s="477">
        <v>11170246.657493493</v>
      </c>
      <c r="BJ3768" s="458">
        <v>0.12684106178068322</v>
      </c>
      <c r="BK3768" s="477">
        <v>88113769.05920817</v>
      </c>
      <c r="BL3768" s="458">
        <v>0.27327186825139416</v>
      </c>
      <c r="BM3768" s="468">
        <v>9.2168633163692313</v>
      </c>
    </row>
    <row r="3769" spans="12:65" x14ac:dyDescent="0.3">
      <c r="L3769" s="427">
        <v>878889.8406</v>
      </c>
      <c r="BE3769" s="477">
        <v>4595165.0058419257</v>
      </c>
      <c r="BF3769" s="458">
        <v>4.0518082554658275E-2</v>
      </c>
      <c r="BG3769" s="477">
        <v>11763044.632114217</v>
      </c>
      <c r="BH3769" s="458">
        <v>6.8005637612845504E-2</v>
      </c>
      <c r="BI3769" s="477">
        <v>12071466.250164833</v>
      </c>
      <c r="BJ3769" s="458">
        <v>9.6046038333192474E-2</v>
      </c>
      <c r="BK3769" s="477">
        <v>85966983.308699325</v>
      </c>
      <c r="BL3769" s="458">
        <v>0.26443111412872145</v>
      </c>
      <c r="BM3769" s="468">
        <v>4.7999011654244059</v>
      </c>
    </row>
    <row r="3770" spans="12:65" x14ac:dyDescent="0.3">
      <c r="L3770" s="427">
        <v>21926404.0046</v>
      </c>
      <c r="BE3770" s="477">
        <v>4273774.758535794</v>
      </c>
      <c r="BF3770" s="458">
        <v>3.9511758097486416E-2</v>
      </c>
      <c r="BG3770" s="477">
        <v>7428018.4098584335</v>
      </c>
      <c r="BH3770" s="458">
        <v>7.0383561681380824E-2</v>
      </c>
      <c r="BI3770" s="477">
        <v>22395601.412722051</v>
      </c>
      <c r="BJ3770" s="458">
        <v>9.85430959122926E-2</v>
      </c>
      <c r="BK3770" s="477">
        <v>91974262.204985648</v>
      </c>
      <c r="BL3770" s="458">
        <v>0.27279479136233653</v>
      </c>
      <c r="BM3770" s="468">
        <v>18.088284481555608</v>
      </c>
    </row>
    <row r="3771" spans="12:65" x14ac:dyDescent="0.3">
      <c r="L3771" s="427">
        <v>-7734879.1522000004</v>
      </c>
      <c r="BE3771" s="477">
        <v>3615893.046483614</v>
      </c>
      <c r="BF3771" s="458">
        <v>4.0890229720602855E-2</v>
      </c>
      <c r="BG3771" s="477">
        <v>6629326.5897585135</v>
      </c>
      <c r="BH3771" s="458">
        <v>7.0855160008080009E-2</v>
      </c>
      <c r="BI3771" s="477">
        <v>23586744.519876216</v>
      </c>
      <c r="BJ3771" s="458">
        <v>0.1346632734772808</v>
      </c>
      <c r="BK3771" s="477">
        <v>85424750.306632549</v>
      </c>
      <c r="BL3771" s="458">
        <v>0.26927900908940128</v>
      </c>
      <c r="BM3771" s="468">
        <v>6.4399697094574924</v>
      </c>
    </row>
    <row r="3772" spans="12:65" x14ac:dyDescent="0.3">
      <c r="L3772" s="427">
        <v>12135078.407500001</v>
      </c>
      <c r="BE3772" s="477">
        <v>5577210.2003173418</v>
      </c>
      <c r="BF3772" s="458">
        <v>4.5210812444831827E-2</v>
      </c>
      <c r="BG3772" s="477">
        <v>14483825.616515132</v>
      </c>
      <c r="BH3772" s="458">
        <v>3.5393880313996151E-2</v>
      </c>
      <c r="BI3772" s="477">
        <v>27868789.860380001</v>
      </c>
      <c r="BJ3772" s="458">
        <v>0.11896452507387045</v>
      </c>
      <c r="BK3772" s="477">
        <v>95994536.043214098</v>
      </c>
      <c r="BL3772" s="458">
        <v>0.25522071430566373</v>
      </c>
      <c r="BM3772" s="468">
        <v>14.691437793995579</v>
      </c>
    </row>
    <row r="3773" spans="12:65" x14ac:dyDescent="0.3">
      <c r="L3773" s="427">
        <v>3669210.4958000001</v>
      </c>
      <c r="BE3773" s="477">
        <v>7021986.8356395075</v>
      </c>
      <c r="BF3773" s="458">
        <v>5.9039920439377447E-2</v>
      </c>
      <c r="BG3773" s="477">
        <v>12133542.105818488</v>
      </c>
      <c r="BH3773" s="458">
        <v>5.6241690090113261E-2</v>
      </c>
      <c r="BI3773" s="477">
        <v>13048485.205396276</v>
      </c>
      <c r="BJ3773" s="458">
        <v>0.10335965840089001</v>
      </c>
      <c r="BK3773" s="477">
        <v>81197542.021502182</v>
      </c>
      <c r="BL3773" s="458">
        <v>0.28096144057664518</v>
      </c>
      <c r="BM3773" s="468">
        <v>6.4235180695879848</v>
      </c>
    </row>
    <row r="3774" spans="12:65" x14ac:dyDescent="0.3">
      <c r="L3774" s="427">
        <v>14026123.3259</v>
      </c>
      <c r="BE3774" s="477">
        <v>6622038.1397904921</v>
      </c>
      <c r="BF3774" s="458">
        <v>4.0590832915547326E-2</v>
      </c>
      <c r="BG3774" s="477">
        <v>7437168.5912586553</v>
      </c>
      <c r="BH3774" s="458">
        <v>6.3897448629050446E-2</v>
      </c>
      <c r="BI3774" s="477">
        <v>15869868.39471375</v>
      </c>
      <c r="BJ3774" s="458">
        <v>9.7536566045497874E-2</v>
      </c>
      <c r="BK3774" s="477">
        <v>89352904.02018939</v>
      </c>
      <c r="BL3774" s="458">
        <v>0.25086164685728574</v>
      </c>
      <c r="BM3774" s="468">
        <v>11.957820577860046</v>
      </c>
    </row>
    <row r="3775" spans="12:65" x14ac:dyDescent="0.3">
      <c r="L3775" s="427">
        <v>-4785277.4095000001</v>
      </c>
      <c r="BE3775" s="477">
        <v>3987897.6624465669</v>
      </c>
      <c r="BF3775" s="458">
        <v>3.6703949284681459E-2</v>
      </c>
      <c r="BG3775" s="477">
        <v>856012.98916484567</v>
      </c>
      <c r="BH3775" s="458">
        <v>8.0684607914497164E-2</v>
      </c>
      <c r="BI3775" s="477">
        <v>14162013.214520318</v>
      </c>
      <c r="BJ3775" s="458">
        <v>0.10493503875285337</v>
      </c>
      <c r="BK3775" s="477">
        <v>90560953.798665494</v>
      </c>
      <c r="BL3775" s="458">
        <v>0.25404065408673926</v>
      </c>
      <c r="BM3775" s="468">
        <v>7.6268372043767716</v>
      </c>
    </row>
    <row r="3776" spans="12:65" x14ac:dyDescent="0.3">
      <c r="L3776" s="427">
        <v>4451089.3251</v>
      </c>
      <c r="BE3776" s="477">
        <v>6268884.6064012283</v>
      </c>
      <c r="BF3776" s="458">
        <v>4.6202374242120703E-2</v>
      </c>
      <c r="BG3776" s="477">
        <v>5852681.0934398174</v>
      </c>
      <c r="BH3776" s="458">
        <v>7.3732809845738601E-2</v>
      </c>
      <c r="BI3776" s="477">
        <v>5647057.758796501</v>
      </c>
      <c r="BJ3776" s="458">
        <v>9.6572335560591416E-2</v>
      </c>
      <c r="BK3776" s="477">
        <v>96965314.827691585</v>
      </c>
      <c r="BL3776" s="458">
        <v>0.28014209723948191</v>
      </c>
      <c r="BM3776" s="468">
        <v>5.7293836043652435</v>
      </c>
    </row>
    <row r="3777" spans="12:65" x14ac:dyDescent="0.3">
      <c r="L3777" s="427">
        <v>20088451.750300001</v>
      </c>
      <c r="BE3777" s="477">
        <v>6074710.5871175416</v>
      </c>
      <c r="BF3777" s="458">
        <v>1.0965999199805898E-2</v>
      </c>
      <c r="BG3777" s="477">
        <v>16692536.252820352</v>
      </c>
      <c r="BH3777" s="458">
        <v>8.9967249456049947E-2</v>
      </c>
      <c r="BI3777" s="477">
        <v>23838237.855026502</v>
      </c>
      <c r="BJ3777" s="458">
        <v>0.13877371824066942</v>
      </c>
      <c r="BK3777" s="477">
        <v>96437319.790869683</v>
      </c>
      <c r="BL3777" s="458">
        <v>0.25494585707795525</v>
      </c>
      <c r="BM3777" s="468">
        <v>8.0050313705198004</v>
      </c>
    </row>
    <row r="3778" spans="12:65" x14ac:dyDescent="0.3">
      <c r="L3778" s="427">
        <v>-415506.35279999999</v>
      </c>
      <c r="BE3778" s="477">
        <v>8000074.2664377019</v>
      </c>
      <c r="BF3778" s="458">
        <v>5.7575741634124045E-2</v>
      </c>
      <c r="BG3778" s="477">
        <v>5545795.540933351</v>
      </c>
      <c r="BH3778" s="458">
        <v>7.4405123242578197E-2</v>
      </c>
      <c r="BI3778" s="477">
        <v>21704687.862634249</v>
      </c>
      <c r="BJ3778" s="458">
        <v>0.10785185634512207</v>
      </c>
      <c r="BK3778" s="477">
        <v>85632988.09330681</v>
      </c>
      <c r="BL3778" s="458">
        <v>0.27344058275760297</v>
      </c>
      <c r="BM3778" s="468">
        <v>9.2180777991108318</v>
      </c>
    </row>
    <row r="3779" spans="12:65" x14ac:dyDescent="0.3">
      <c r="L3779" s="427">
        <v>-2517768.6729000001</v>
      </c>
      <c r="BE3779" s="477">
        <v>2054283.9121285044</v>
      </c>
      <c r="BF3779" s="458">
        <v>1.0614270519947899E-2</v>
      </c>
      <c r="BG3779" s="477">
        <v>12603524.554275475</v>
      </c>
      <c r="BH3779" s="458">
        <v>4.7851935225500908E-2</v>
      </c>
      <c r="BI3779" s="477">
        <v>17031478.827406846</v>
      </c>
      <c r="BJ3779" s="458">
        <v>0.10597366905871408</v>
      </c>
      <c r="BK3779" s="477">
        <v>85443315.467980623</v>
      </c>
      <c r="BL3779" s="458">
        <v>0.27628085237310085</v>
      </c>
      <c r="BM3779" s="468">
        <v>7.6796023282821517</v>
      </c>
    </row>
    <row r="3780" spans="12:65" x14ac:dyDescent="0.3">
      <c r="L3780" s="427">
        <v>9679775.5316000003</v>
      </c>
      <c r="BE3780" s="477">
        <v>-263494.29282626195</v>
      </c>
      <c r="BF3780" s="458">
        <v>4.577160199200847E-2</v>
      </c>
      <c r="BG3780" s="477">
        <v>4362185.5673197322</v>
      </c>
      <c r="BH3780" s="458">
        <v>7.2559327455537836E-2</v>
      </c>
      <c r="BI3780" s="477">
        <v>17185026.53656926</v>
      </c>
      <c r="BJ3780" s="458">
        <v>9.8518912431767358E-2</v>
      </c>
      <c r="BK3780" s="477">
        <v>79785835.925027952</v>
      </c>
      <c r="BL3780" s="458">
        <v>0.26291839631957559</v>
      </c>
      <c r="BM3780" s="468">
        <v>1.7616049390386301</v>
      </c>
    </row>
    <row r="3781" spans="12:65" x14ac:dyDescent="0.3">
      <c r="L3781" s="427">
        <v>19761727.593499999</v>
      </c>
      <c r="BE3781" s="477">
        <v>4599550.5976003427</v>
      </c>
      <c r="BF3781" s="458">
        <v>2.6743169789872345E-2</v>
      </c>
      <c r="BG3781" s="477">
        <v>6193726.2564828889</v>
      </c>
      <c r="BH3781" s="458">
        <v>8.6043764382042864E-2</v>
      </c>
      <c r="BI3781" s="477">
        <v>23635224.0635598</v>
      </c>
      <c r="BJ3781" s="458">
        <v>0.11445985126452873</v>
      </c>
      <c r="BK3781" s="477">
        <v>78136010.035034046</v>
      </c>
      <c r="BL3781" s="458">
        <v>0.2549258415857556</v>
      </c>
      <c r="BM3781" s="468">
        <v>10.454882913767664</v>
      </c>
    </row>
    <row r="3782" spans="12:65" x14ac:dyDescent="0.3">
      <c r="L3782" s="427">
        <v>20451090.6932</v>
      </c>
      <c r="BE3782" s="477">
        <v>8818623.9211354274</v>
      </c>
      <c r="BF3782" s="458">
        <v>4.1007752465123337E-2</v>
      </c>
      <c r="BG3782" s="477">
        <v>8619709.0838370584</v>
      </c>
      <c r="BH3782" s="458">
        <v>6.6898120907055381E-2</v>
      </c>
      <c r="BI3782" s="477">
        <v>13269757.78530488</v>
      </c>
      <c r="BJ3782" s="458">
        <v>0.1117540837294666</v>
      </c>
      <c r="BK3782" s="477">
        <v>101448184.373356</v>
      </c>
      <c r="BL3782" s="458">
        <v>0.27248083175886451</v>
      </c>
      <c r="BM3782" s="468">
        <v>11.447762631034704</v>
      </c>
    </row>
    <row r="3783" spans="12:65" x14ac:dyDescent="0.3">
      <c r="L3783" s="427">
        <v>-9698442.7709999997</v>
      </c>
      <c r="BE3783" s="477">
        <v>6761876.377257633</v>
      </c>
      <c r="BF3783" s="458">
        <v>3.910126196863728E-2</v>
      </c>
      <c r="BG3783" s="477">
        <v>8453181.8550834451</v>
      </c>
      <c r="BH3783" s="458">
        <v>6.6225438091893407E-2</v>
      </c>
      <c r="BI3783" s="477">
        <v>17057212.410088308</v>
      </c>
      <c r="BJ3783" s="458">
        <v>0.11050581551874838</v>
      </c>
      <c r="BK3783" s="477">
        <v>84347918.878571138</v>
      </c>
      <c r="BL3783" s="458">
        <v>0.28834073618202916</v>
      </c>
      <c r="BM3783" s="468">
        <v>7.7373674242992587</v>
      </c>
    </row>
    <row r="3784" spans="12:65" x14ac:dyDescent="0.3">
      <c r="L3784" s="427">
        <v>-3292442.6181999999</v>
      </c>
      <c r="BE3784" s="477">
        <v>2215225.4374065865</v>
      </c>
      <c r="BF3784" s="458">
        <v>5.289574373546313E-2</v>
      </c>
      <c r="BG3784" s="477">
        <v>6311634.0418477533</v>
      </c>
      <c r="BH3784" s="458">
        <v>4.576637778194903E-2</v>
      </c>
      <c r="BI3784" s="477">
        <v>10092223.488028441</v>
      </c>
      <c r="BJ3784" s="458">
        <v>0.10349412809075953</v>
      </c>
      <c r="BK3784" s="477">
        <v>88255686.391459554</v>
      </c>
      <c r="BL3784" s="458">
        <v>0.26166914840124589</v>
      </c>
      <c r="BM3784" s="468">
        <v>7.7902713037619815</v>
      </c>
    </row>
    <row r="3785" spans="12:65" x14ac:dyDescent="0.3">
      <c r="L3785" s="427">
        <v>19831318.757300001</v>
      </c>
      <c r="BE3785" s="477">
        <v>1549665.973787368</v>
      </c>
      <c r="BF3785" s="458">
        <v>4.771596232624975E-2</v>
      </c>
      <c r="BG3785" s="477">
        <v>11655721.59482309</v>
      </c>
      <c r="BH3785" s="458">
        <v>6.4984957912896935E-2</v>
      </c>
      <c r="BI3785" s="477">
        <v>7600347.1919300379</v>
      </c>
      <c r="BJ3785" s="458">
        <v>0.10506288175049949</v>
      </c>
      <c r="BK3785" s="477">
        <v>96399181.243482456</v>
      </c>
      <c r="BL3785" s="458">
        <v>0.26402993878769188</v>
      </c>
      <c r="BM3785" s="468">
        <v>12.742445318547906</v>
      </c>
    </row>
    <row r="3786" spans="12:65" x14ac:dyDescent="0.3">
      <c r="L3786" s="427">
        <v>6318215.6441000002</v>
      </c>
      <c r="BE3786" s="477">
        <v>817224.852077435</v>
      </c>
      <c r="BF3786" s="458">
        <v>2.6397460313973387E-2</v>
      </c>
      <c r="BG3786" s="477">
        <v>14270002.392865086</v>
      </c>
      <c r="BH3786" s="458">
        <v>5.0118648969974089E-2</v>
      </c>
      <c r="BI3786" s="477">
        <v>17499758.143688511</v>
      </c>
      <c r="BJ3786" s="458">
        <v>0.11323168692290264</v>
      </c>
      <c r="BK3786" s="477">
        <v>78044346.958938763</v>
      </c>
      <c r="BL3786" s="458">
        <v>0.26981102407216961</v>
      </c>
      <c r="BM3786" s="468">
        <v>7.8569723436088861</v>
      </c>
    </row>
    <row r="3787" spans="12:65" x14ac:dyDescent="0.3">
      <c r="L3787" s="427">
        <v>8005235.2158000004</v>
      </c>
      <c r="BE3787" s="477">
        <v>-390495.5631609112</v>
      </c>
      <c r="BF3787" s="458">
        <v>5.9501357938473998E-2</v>
      </c>
      <c r="BG3787" s="477">
        <v>8844446.6042868365</v>
      </c>
      <c r="BH3787" s="458">
        <v>6.081410322605163E-2</v>
      </c>
      <c r="BI3787" s="477">
        <v>20546081.187318571</v>
      </c>
      <c r="BJ3787" s="458">
        <v>0.11459485333036579</v>
      </c>
      <c r="BK3787" s="477">
        <v>98721362.343505234</v>
      </c>
      <c r="BL3787" s="458">
        <v>0.27224087427075117</v>
      </c>
      <c r="BM3787" s="468">
        <v>9.917247348225251</v>
      </c>
    </row>
    <row r="3788" spans="12:65" x14ac:dyDescent="0.3">
      <c r="L3788" s="427">
        <v>14688736.0066</v>
      </c>
      <c r="BE3788" s="477">
        <v>5176333.9467387944</v>
      </c>
      <c r="BF3788" s="458">
        <v>4.6744950906442151E-2</v>
      </c>
      <c r="BG3788" s="477">
        <v>10098948.157309121</v>
      </c>
      <c r="BH3788" s="458">
        <v>8.1195356098689997E-2</v>
      </c>
      <c r="BI3788" s="477">
        <v>10654978.505765663</v>
      </c>
      <c r="BJ3788" s="458">
        <v>0.12925889099907484</v>
      </c>
      <c r="BK3788" s="477">
        <v>101406715.98181939</v>
      </c>
      <c r="BL3788" s="458">
        <v>0.2614672641570106</v>
      </c>
      <c r="BM3788" s="468">
        <v>6.6228845007351902</v>
      </c>
    </row>
    <row r="3789" spans="12:65" x14ac:dyDescent="0.3">
      <c r="L3789" s="427">
        <v>3393425.7810999998</v>
      </c>
      <c r="BE3789" s="477">
        <v>5764123.3245333778</v>
      </c>
      <c r="BF3789" s="458">
        <v>2.99703812224974E-2</v>
      </c>
      <c r="BG3789" s="477">
        <v>9214526.0930412337</v>
      </c>
      <c r="BH3789" s="458">
        <v>7.3467751695563743E-2</v>
      </c>
      <c r="BI3789" s="477">
        <v>18935986.479132451</v>
      </c>
      <c r="BJ3789" s="458">
        <v>9.5215906556571417E-2</v>
      </c>
      <c r="BK3789" s="477">
        <v>84182632.38507317</v>
      </c>
      <c r="BL3789" s="458">
        <v>0.27325233834053031</v>
      </c>
      <c r="BM3789" s="468">
        <v>11.219216935116687</v>
      </c>
    </row>
    <row r="3790" spans="12:65" x14ac:dyDescent="0.3">
      <c r="L3790" s="427">
        <v>9501615.0042000003</v>
      </c>
      <c r="BE3790" s="477">
        <v>4928706.0497044567</v>
      </c>
      <c r="BF3790" s="458">
        <v>1.3455245497286494E-2</v>
      </c>
      <c r="BG3790" s="477">
        <v>7471971.3187989211</v>
      </c>
      <c r="BH3790" s="458">
        <v>7.4789397533584046E-2</v>
      </c>
      <c r="BI3790" s="477">
        <v>10545079.75158792</v>
      </c>
      <c r="BJ3790" s="458">
        <v>9.584400281982397E-2</v>
      </c>
      <c r="BK3790" s="477">
        <v>78067223.93906647</v>
      </c>
      <c r="BL3790" s="458">
        <v>0.26110109460946185</v>
      </c>
      <c r="BM3790" s="468">
        <v>9.4035386457168819</v>
      </c>
    </row>
    <row r="3791" spans="12:65" x14ac:dyDescent="0.3">
      <c r="L3791" s="427">
        <v>-8317219.2401000001</v>
      </c>
      <c r="BE3791" s="477">
        <v>5154781.6974549042</v>
      </c>
      <c r="BF3791" s="458">
        <v>4.0866540220094505E-2</v>
      </c>
      <c r="BG3791" s="477">
        <v>10754095.483891338</v>
      </c>
      <c r="BH3791" s="458">
        <v>6.6177578123229441E-2</v>
      </c>
      <c r="BI3791" s="477">
        <v>16713936.518026756</v>
      </c>
      <c r="BJ3791" s="458">
        <v>9.2389852524752403E-2</v>
      </c>
      <c r="BK3791" s="477">
        <v>103462613.86045653</v>
      </c>
      <c r="BL3791" s="458">
        <v>0.26058317638461226</v>
      </c>
      <c r="BM3791" s="468">
        <v>10.645981381683846</v>
      </c>
    </row>
    <row r="3792" spans="12:65" x14ac:dyDescent="0.3">
      <c r="L3792" s="427">
        <v>24970013.737500001</v>
      </c>
      <c r="BE3792" s="477">
        <v>5664573.0572065124</v>
      </c>
      <c r="BF3792" s="458">
        <v>2.9459527237712502E-2</v>
      </c>
      <c r="BG3792" s="477">
        <v>10310881.821150303</v>
      </c>
      <c r="BH3792" s="458">
        <v>4.8711709373859824E-2</v>
      </c>
      <c r="BI3792" s="477">
        <v>14768441.710806437</v>
      </c>
      <c r="BJ3792" s="458">
        <v>0.10449341138107759</v>
      </c>
      <c r="BK3792" s="477">
        <v>101543759.03232461</v>
      </c>
      <c r="BL3792" s="458">
        <v>0.27743561231428271</v>
      </c>
      <c r="BM3792" s="468">
        <v>8.3567684638097699</v>
      </c>
    </row>
    <row r="3793" spans="12:65" x14ac:dyDescent="0.3">
      <c r="L3793" s="427">
        <v>8932530.6703999992</v>
      </c>
      <c r="BE3793" s="477">
        <v>7700920.4317490319</v>
      </c>
      <c r="BF3793" s="458">
        <v>3.736056972480406E-2</v>
      </c>
      <c r="BG3793" s="477">
        <v>10454647.563591368</v>
      </c>
      <c r="BH3793" s="458">
        <v>8.2335868568513826E-2</v>
      </c>
      <c r="BI3793" s="477">
        <v>5228194.0075347517</v>
      </c>
      <c r="BJ3793" s="458">
        <v>0.11719553307518682</v>
      </c>
      <c r="BK3793" s="477">
        <v>86268023.280428678</v>
      </c>
      <c r="BL3793" s="458">
        <v>0.26034547556156373</v>
      </c>
      <c r="BM3793" s="468">
        <v>12.896025116035668</v>
      </c>
    </row>
    <row r="3794" spans="12:65" x14ac:dyDescent="0.3">
      <c r="L3794" s="427">
        <v>8878275.2468999997</v>
      </c>
      <c r="BE3794" s="477">
        <v>2605313.0611992544</v>
      </c>
      <c r="BF3794" s="458">
        <v>4.0455540036878013E-2</v>
      </c>
      <c r="BG3794" s="477">
        <v>14528056.173870949</v>
      </c>
      <c r="BH3794" s="458">
        <v>5.1150772288291346E-2</v>
      </c>
      <c r="BI3794" s="477">
        <v>21342771.962926328</v>
      </c>
      <c r="BJ3794" s="458">
        <v>0.11369572365816838</v>
      </c>
      <c r="BK3794" s="477">
        <v>85851914.891610578</v>
      </c>
      <c r="BL3794" s="458">
        <v>0.27084973664430234</v>
      </c>
      <c r="BM3794" s="468">
        <v>13.045698000732816</v>
      </c>
    </row>
    <row r="3795" spans="12:65" x14ac:dyDescent="0.3">
      <c r="L3795" s="427">
        <v>-298990.08020000003</v>
      </c>
      <c r="BE3795" s="477">
        <v>3457390.496832951</v>
      </c>
      <c r="BF3795" s="458">
        <v>4.347007803142855E-2</v>
      </c>
      <c r="BG3795" s="477">
        <v>5824778.6448292322</v>
      </c>
      <c r="BH3795" s="458">
        <v>5.5791248477771394E-2</v>
      </c>
      <c r="BI3795" s="477">
        <v>7577927.9650902385</v>
      </c>
      <c r="BJ3795" s="458">
        <v>8.8700517484015196E-2</v>
      </c>
      <c r="BK3795" s="477">
        <v>89171149.134555325</v>
      </c>
      <c r="BL3795" s="458">
        <v>0.26562318647278915</v>
      </c>
      <c r="BM3795" s="468">
        <v>9.0702182715708535</v>
      </c>
    </row>
    <row r="3796" spans="12:65" x14ac:dyDescent="0.3">
      <c r="L3796" s="427">
        <v>4328879.5936000003</v>
      </c>
      <c r="BE3796" s="477">
        <v>2463083.7316913907</v>
      </c>
      <c r="BF3796" s="458">
        <v>3.1423452675896524E-2</v>
      </c>
      <c r="BG3796" s="477">
        <v>10298884.140997363</v>
      </c>
      <c r="BH3796" s="458">
        <v>7.8139733025134772E-2</v>
      </c>
      <c r="BI3796" s="477">
        <v>15731956.668238485</v>
      </c>
      <c r="BJ3796" s="458">
        <v>0.10856471344548013</v>
      </c>
      <c r="BK3796" s="477">
        <v>85453426.451236144</v>
      </c>
      <c r="BL3796" s="458">
        <v>0.2632564537126314</v>
      </c>
      <c r="BM3796" s="468">
        <v>12.940300510315323</v>
      </c>
    </row>
    <row r="3797" spans="12:65" x14ac:dyDescent="0.3">
      <c r="L3797" s="427">
        <v>1875264.8868</v>
      </c>
      <c r="BE3797" s="477">
        <v>7962944.7853966486</v>
      </c>
      <c r="BF3797" s="458">
        <v>4.5925314024624297E-2</v>
      </c>
      <c r="BG3797" s="477">
        <v>6293543.1529984372</v>
      </c>
      <c r="BH3797" s="458">
        <v>7.3661540283599392E-2</v>
      </c>
      <c r="BI3797" s="477">
        <v>26571145.933050994</v>
      </c>
      <c r="BJ3797" s="458">
        <v>0.10644025654030331</v>
      </c>
      <c r="BK3797" s="477">
        <v>88803937.756430194</v>
      </c>
      <c r="BL3797" s="458">
        <v>0.28891834188812671</v>
      </c>
      <c r="BM3797" s="468">
        <v>4.1094785321142941</v>
      </c>
    </row>
    <row r="3798" spans="12:65" x14ac:dyDescent="0.3">
      <c r="L3798" s="427">
        <v>12492279.9629</v>
      </c>
      <c r="BE3798" s="477">
        <v>8134931.6645034961</v>
      </c>
      <c r="BF3798" s="458">
        <v>4.0638839772498825E-2</v>
      </c>
      <c r="BG3798" s="477">
        <v>10181956.810395341</v>
      </c>
      <c r="BH3798" s="458">
        <v>8.2425954734296925E-2</v>
      </c>
      <c r="BI3798" s="477">
        <v>10197828.087937931</v>
      </c>
      <c r="BJ3798" s="458">
        <v>0.12821089955504861</v>
      </c>
      <c r="BK3798" s="477">
        <v>85950816.849502906</v>
      </c>
      <c r="BL3798" s="458">
        <v>0.24675050799085341</v>
      </c>
      <c r="BM3798" s="468">
        <v>8.4802184623575734</v>
      </c>
    </row>
    <row r="3799" spans="12:65" x14ac:dyDescent="0.3">
      <c r="L3799" s="427">
        <v>7088077.3634000001</v>
      </c>
      <c r="BE3799" s="477">
        <v>8162725.9143001288</v>
      </c>
      <c r="BF3799" s="458">
        <v>5.0931975178106104E-2</v>
      </c>
      <c r="BG3799" s="477">
        <v>17245049.623467516</v>
      </c>
      <c r="BH3799" s="458">
        <v>5.5614492703095708E-2</v>
      </c>
      <c r="BI3799" s="477">
        <v>11922067.627571084</v>
      </c>
      <c r="BJ3799" s="458">
        <v>0.11715678710996635</v>
      </c>
      <c r="BK3799" s="477">
        <v>87226461.729806527</v>
      </c>
      <c r="BL3799" s="458">
        <v>0.2619259534914129</v>
      </c>
      <c r="BM3799" s="468">
        <v>-1.4394473142732522</v>
      </c>
    </row>
    <row r="3800" spans="12:65" x14ac:dyDescent="0.3">
      <c r="L3800" s="427">
        <v>-8710282.5654000007</v>
      </c>
      <c r="BE3800" s="477">
        <v>-1042661.296111436</v>
      </c>
      <c r="BF3800" s="458">
        <v>4.862246920118185E-2</v>
      </c>
      <c r="BG3800" s="477">
        <v>10604645.191210987</v>
      </c>
      <c r="BH3800" s="458">
        <v>6.7574747271096802E-2</v>
      </c>
      <c r="BI3800" s="477">
        <v>15664283.073499626</v>
      </c>
      <c r="BJ3800" s="458">
        <v>9.6525087404830012E-2</v>
      </c>
      <c r="BK3800" s="477">
        <v>104640304.23500486</v>
      </c>
      <c r="BL3800" s="458">
        <v>0.26312876332862789</v>
      </c>
      <c r="BM3800" s="468">
        <v>11.343883207364998</v>
      </c>
    </row>
    <row r="3801" spans="12:65" x14ac:dyDescent="0.3">
      <c r="L3801" s="427">
        <v>2219971.7571999999</v>
      </c>
      <c r="BE3801" s="477">
        <v>8229831.3099321816</v>
      </c>
      <c r="BF3801" s="458">
        <v>1.7146761286730428E-2</v>
      </c>
      <c r="BG3801" s="477">
        <v>2215824.9529364808</v>
      </c>
      <c r="BH3801" s="458">
        <v>7.2999523681170908E-2</v>
      </c>
      <c r="BI3801" s="477">
        <v>12893596.937930528</v>
      </c>
      <c r="BJ3801" s="458">
        <v>0.10186305615987479</v>
      </c>
      <c r="BK3801" s="477">
        <v>91061796.087252319</v>
      </c>
      <c r="BL3801" s="458">
        <v>0.28212093359747281</v>
      </c>
      <c r="BM3801" s="468">
        <v>9.3733069981480561</v>
      </c>
    </row>
    <row r="3802" spans="12:65" x14ac:dyDescent="0.3">
      <c r="L3802" s="427">
        <v>12331659.9824</v>
      </c>
      <c r="BE3802" s="477">
        <v>1566108.6455105387</v>
      </c>
      <c r="BF3802" s="458">
        <v>2.798227824900712E-2</v>
      </c>
      <c r="BG3802" s="477">
        <v>6626607.9061884321</v>
      </c>
      <c r="BH3802" s="458">
        <v>9.117303971569557E-2</v>
      </c>
      <c r="BI3802" s="477">
        <v>19322604.358833704</v>
      </c>
      <c r="BJ3802" s="458">
        <v>0.1202363244416762</v>
      </c>
      <c r="BK3802" s="477">
        <v>108906379.26532294</v>
      </c>
      <c r="BL3802" s="458">
        <v>0.25464301599430383</v>
      </c>
      <c r="BM3802" s="468">
        <v>6.3042916222538281</v>
      </c>
    </row>
    <row r="3803" spans="12:65" x14ac:dyDescent="0.3">
      <c r="L3803" s="427">
        <v>7590637.5525000002</v>
      </c>
      <c r="BE3803" s="477">
        <v>4267357.6384153245</v>
      </c>
      <c r="BF3803" s="458">
        <v>1.5003873059171724E-2</v>
      </c>
      <c r="BG3803" s="477">
        <v>7486820.8214448402</v>
      </c>
      <c r="BH3803" s="458">
        <v>6.8119878984067572E-2</v>
      </c>
      <c r="BI3803" s="477">
        <v>17194869.656891208</v>
      </c>
      <c r="BJ3803" s="458">
        <v>9.997048071481629E-2</v>
      </c>
      <c r="BK3803" s="477">
        <v>85380813.791702643</v>
      </c>
      <c r="BL3803" s="458">
        <v>0.26418651137184779</v>
      </c>
      <c r="BM3803" s="468">
        <v>8.3195141083232613</v>
      </c>
    </row>
    <row r="3804" spans="12:65" x14ac:dyDescent="0.3">
      <c r="L3804" s="427">
        <v>10444296.3366</v>
      </c>
      <c r="BE3804" s="477">
        <v>6035320.9681606889</v>
      </c>
      <c r="BF3804" s="458">
        <v>5.3644227541729261E-2</v>
      </c>
      <c r="BG3804" s="477">
        <v>8577839.2684161682</v>
      </c>
      <c r="BH3804" s="458">
        <v>0.10210941162485598</v>
      </c>
      <c r="BI3804" s="477">
        <v>12427627.795281582</v>
      </c>
      <c r="BJ3804" s="458">
        <v>0.10536394136487148</v>
      </c>
      <c r="BK3804" s="477">
        <v>82350878.351778001</v>
      </c>
      <c r="BL3804" s="458">
        <v>0.27690731035448124</v>
      </c>
      <c r="BM3804" s="468">
        <v>8.2725329288828569</v>
      </c>
    </row>
    <row r="3805" spans="12:65" x14ac:dyDescent="0.3">
      <c r="L3805" s="427">
        <v>8030265.1361999996</v>
      </c>
      <c r="BE3805" s="477">
        <v>3783161.5592424222</v>
      </c>
      <c r="BF3805" s="458">
        <v>5.2173828225343666E-2</v>
      </c>
      <c r="BG3805" s="477">
        <v>11265521.426980171</v>
      </c>
      <c r="BH3805" s="458">
        <v>6.8417899949448913E-2</v>
      </c>
      <c r="BI3805" s="477">
        <v>15519862.851069419</v>
      </c>
      <c r="BJ3805" s="458">
        <v>0.10340290494929727</v>
      </c>
      <c r="BK3805" s="477">
        <v>84106568.963264421</v>
      </c>
      <c r="BL3805" s="458">
        <v>0.29946879784272196</v>
      </c>
      <c r="BM3805" s="468">
        <v>9.6970318314375437</v>
      </c>
    </row>
    <row r="3806" spans="12:65" x14ac:dyDescent="0.3">
      <c r="L3806" s="427">
        <v>14645426.7411</v>
      </c>
      <c r="BE3806" s="477">
        <v>3997705.2197738276</v>
      </c>
      <c r="BF3806" s="458">
        <v>2.8804321638457253E-2</v>
      </c>
      <c r="BG3806" s="477">
        <v>10657220.715239072</v>
      </c>
      <c r="BH3806" s="458">
        <v>7.5329821064058278E-2</v>
      </c>
      <c r="BI3806" s="477">
        <v>17038509.049495377</v>
      </c>
      <c r="BJ3806" s="458">
        <v>0.10018287856096197</v>
      </c>
      <c r="BK3806" s="477">
        <v>89585156.660311133</v>
      </c>
      <c r="BL3806" s="458">
        <v>0.2677288012508241</v>
      </c>
      <c r="BM3806" s="468">
        <v>4.6555070633344862</v>
      </c>
    </row>
    <row r="3807" spans="12:65" x14ac:dyDescent="0.3">
      <c r="L3807" s="427">
        <v>27711399.860300001</v>
      </c>
      <c r="BE3807" s="477">
        <v>5004108.250462018</v>
      </c>
      <c r="BF3807" s="458">
        <v>4.3975480118619181E-2</v>
      </c>
      <c r="BG3807" s="477">
        <v>10034148.307106098</v>
      </c>
      <c r="BH3807" s="458">
        <v>8.2403178867647142E-2</v>
      </c>
      <c r="BI3807" s="477">
        <v>9711204.5318091102</v>
      </c>
      <c r="BJ3807" s="458">
        <v>0.11544631267073213</v>
      </c>
      <c r="BK3807" s="477">
        <v>94466221.139439538</v>
      </c>
      <c r="BL3807" s="458">
        <v>0.2742486403328972</v>
      </c>
      <c r="BM3807" s="468">
        <v>4.4252118560182332</v>
      </c>
    </row>
    <row r="3808" spans="12:65" x14ac:dyDescent="0.3">
      <c r="L3808" s="427">
        <v>5140102.9119999995</v>
      </c>
      <c r="BE3808" s="477">
        <v>11963593.707532721</v>
      </c>
      <c r="BF3808" s="458">
        <v>4.3396844990872818E-2</v>
      </c>
      <c r="BG3808" s="477">
        <v>7169543.2170684813</v>
      </c>
      <c r="BH3808" s="458">
        <v>7.8801722588143441E-2</v>
      </c>
      <c r="BI3808" s="477">
        <v>16967893.01114713</v>
      </c>
      <c r="BJ3808" s="458">
        <v>0.11119634102256448</v>
      </c>
      <c r="BK3808" s="477">
        <v>94165418.619997218</v>
      </c>
      <c r="BL3808" s="458">
        <v>0.25808861526995774</v>
      </c>
      <c r="BM3808" s="468">
        <v>15.005314909360983</v>
      </c>
    </row>
    <row r="3809" spans="12:65" x14ac:dyDescent="0.3">
      <c r="L3809" s="427">
        <v>1481648.7971999999</v>
      </c>
      <c r="BE3809" s="477">
        <v>6134997.0473337062</v>
      </c>
      <c r="BF3809" s="458">
        <v>4.1951003667928033E-2</v>
      </c>
      <c r="BG3809" s="477">
        <v>3603278.4100182084</v>
      </c>
      <c r="BH3809" s="458">
        <v>4.8954582285574366E-2</v>
      </c>
      <c r="BI3809" s="477">
        <v>24790397.57664435</v>
      </c>
      <c r="BJ3809" s="458">
        <v>0.10880987442977785</v>
      </c>
      <c r="BK3809" s="477">
        <v>78951807.062085629</v>
      </c>
      <c r="BL3809" s="458">
        <v>0.27780713370247589</v>
      </c>
      <c r="BM3809" s="468">
        <v>11.54801819873061</v>
      </c>
    </row>
    <row r="3810" spans="12:65" x14ac:dyDescent="0.3">
      <c r="L3810" s="427">
        <v>9013767.5861000009</v>
      </c>
      <c r="BE3810" s="477">
        <v>3264005.1466474952</v>
      </c>
      <c r="BF3810" s="458">
        <v>2.0821522914080237E-2</v>
      </c>
      <c r="BG3810" s="477">
        <v>10228935.156500153</v>
      </c>
      <c r="BH3810" s="458">
        <v>5.4670860714021163E-2</v>
      </c>
      <c r="BI3810" s="477">
        <v>12417333.515764551</v>
      </c>
      <c r="BJ3810" s="458">
        <v>9.7823128761663325E-2</v>
      </c>
      <c r="BK3810" s="477">
        <v>85657371.476029873</v>
      </c>
      <c r="BL3810" s="458">
        <v>0.25561153961604965</v>
      </c>
      <c r="BM3810" s="468">
        <v>10.627459548115558</v>
      </c>
    </row>
    <row r="3811" spans="12:65" x14ac:dyDescent="0.3">
      <c r="L3811" s="427">
        <v>13753727.3708</v>
      </c>
      <c r="BE3811" s="477">
        <v>3001925.5333341435</v>
      </c>
      <c r="BF3811" s="458">
        <v>5.2588197903736589E-2</v>
      </c>
      <c r="BG3811" s="477">
        <v>10926900.711371738</v>
      </c>
      <c r="BH3811" s="458">
        <v>5.7223627554555012E-2</v>
      </c>
      <c r="BI3811" s="477">
        <v>19583791.759709943</v>
      </c>
      <c r="BJ3811" s="458">
        <v>9.4308246354672498E-2</v>
      </c>
      <c r="BK3811" s="477">
        <v>81889738.682004392</v>
      </c>
      <c r="BL3811" s="458">
        <v>0.27177884306241484</v>
      </c>
      <c r="BM3811" s="468">
        <v>8.91277819533342</v>
      </c>
    </row>
    <row r="3812" spans="12:65" x14ac:dyDescent="0.3">
      <c r="L3812" s="427">
        <v>16285597.1932</v>
      </c>
      <c r="BE3812" s="477">
        <v>2600821.7680006917</v>
      </c>
      <c r="BF3812" s="458">
        <v>4.9911259907050809E-2</v>
      </c>
      <c r="BG3812" s="477">
        <v>6894470.9529938195</v>
      </c>
      <c r="BH3812" s="458">
        <v>4.6735357124591426E-2</v>
      </c>
      <c r="BI3812" s="477">
        <v>7740469.9290772397</v>
      </c>
      <c r="BJ3812" s="458">
        <v>9.9209228263564375E-2</v>
      </c>
      <c r="BK3812" s="477">
        <v>79168647.370888054</v>
      </c>
      <c r="BL3812" s="458">
        <v>0.27042361359256928</v>
      </c>
      <c r="BM3812" s="468">
        <v>8.8023816230215992</v>
      </c>
    </row>
    <row r="3813" spans="12:65" x14ac:dyDescent="0.3">
      <c r="L3813" s="427">
        <v>6693398.551</v>
      </c>
      <c r="BE3813" s="477">
        <v>4017882.5201818906</v>
      </c>
      <c r="BF3813" s="458">
        <v>3.6859529106734179E-2</v>
      </c>
      <c r="BG3813" s="477">
        <v>10321679.835470499</v>
      </c>
      <c r="BH3813" s="458">
        <v>6.1957340448008047E-2</v>
      </c>
      <c r="BI3813" s="477">
        <v>20747775.602719378</v>
      </c>
      <c r="BJ3813" s="458">
        <v>9.0331775903033096E-2</v>
      </c>
      <c r="BK3813" s="477">
        <v>86136719.306053475</v>
      </c>
      <c r="BL3813" s="458">
        <v>0.25581631209387212</v>
      </c>
      <c r="BM3813" s="468">
        <v>9.2360291292059937</v>
      </c>
    </row>
    <row r="3814" spans="12:65" x14ac:dyDescent="0.3">
      <c r="L3814" s="427">
        <v>14128195.8474</v>
      </c>
      <c r="BE3814" s="477">
        <v>-336091.90369059355</v>
      </c>
      <c r="BF3814" s="458">
        <v>4.0518197537783296E-2</v>
      </c>
      <c r="BG3814" s="477">
        <v>11497740.471480226</v>
      </c>
      <c r="BH3814" s="458">
        <v>5.7558714998752869E-2</v>
      </c>
      <c r="BI3814" s="477">
        <v>18831474.096853029</v>
      </c>
      <c r="BJ3814" s="458">
        <v>0.11113722903385215</v>
      </c>
      <c r="BK3814" s="477">
        <v>89199725.428675413</v>
      </c>
      <c r="BL3814" s="458">
        <v>0.2901866060604843</v>
      </c>
      <c r="BM3814" s="468">
        <v>8.7629509410866948</v>
      </c>
    </row>
    <row r="3815" spans="12:65" x14ac:dyDescent="0.3">
      <c r="L3815" s="427">
        <v>-2299075.8695999999</v>
      </c>
      <c r="BE3815" s="477">
        <v>6152521.1244416181</v>
      </c>
      <c r="BF3815" s="458">
        <v>2.7537214108685593E-2</v>
      </c>
      <c r="BG3815" s="477">
        <v>8697890.1245109178</v>
      </c>
      <c r="BH3815" s="458">
        <v>5.9231010362597258E-2</v>
      </c>
      <c r="BI3815" s="477">
        <v>20388024.134652495</v>
      </c>
      <c r="BJ3815" s="458">
        <v>0.10092023685841189</v>
      </c>
      <c r="BK3815" s="477">
        <v>88394390.185852513</v>
      </c>
      <c r="BL3815" s="458">
        <v>0.27515844143489598</v>
      </c>
      <c r="BM3815" s="468">
        <v>4.5075799951294107</v>
      </c>
    </row>
    <row r="3816" spans="12:65" x14ac:dyDescent="0.3">
      <c r="L3816" s="427">
        <v>6464813.0444999998</v>
      </c>
      <c r="BE3816" s="477">
        <v>6518382.3801915385</v>
      </c>
      <c r="BF3816" s="458">
        <v>5.0721977257892403E-2</v>
      </c>
      <c r="BG3816" s="477">
        <v>10187833.898527101</v>
      </c>
      <c r="BH3816" s="458">
        <v>7.781859802681601E-2</v>
      </c>
      <c r="BI3816" s="477">
        <v>19065252.549019519</v>
      </c>
      <c r="BJ3816" s="458">
        <v>9.7872401612987936E-2</v>
      </c>
      <c r="BK3816" s="477">
        <v>83794706.205871806</v>
      </c>
      <c r="BL3816" s="458">
        <v>0.25456075922513266</v>
      </c>
      <c r="BM3816" s="468">
        <v>10.357558703959402</v>
      </c>
    </row>
    <row r="3817" spans="12:65" x14ac:dyDescent="0.3">
      <c r="L3817" s="427">
        <v>13128799.643999999</v>
      </c>
      <c r="BE3817" s="477">
        <v>2113161.8824799308</v>
      </c>
      <c r="BF3817" s="458">
        <v>4.1787488677561102E-2</v>
      </c>
      <c r="BG3817" s="477">
        <v>8066572.168449468</v>
      </c>
      <c r="BH3817" s="458">
        <v>4.5620847661701935E-2</v>
      </c>
      <c r="BI3817" s="477">
        <v>13297983.837094966</v>
      </c>
      <c r="BJ3817" s="458">
        <v>0.12632585897084092</v>
      </c>
      <c r="BK3817" s="477">
        <v>90432680.643929541</v>
      </c>
      <c r="BL3817" s="458">
        <v>0.2538494464797898</v>
      </c>
      <c r="BM3817" s="468">
        <v>1.6273396712817387</v>
      </c>
    </row>
    <row r="3818" spans="12:65" x14ac:dyDescent="0.3">
      <c r="L3818" s="427">
        <v>3824788.6271000002</v>
      </c>
      <c r="BE3818" s="477">
        <v>8586269.7826126907</v>
      </c>
      <c r="BF3818" s="458">
        <v>3.2684976744780547E-2</v>
      </c>
      <c r="BG3818" s="477">
        <v>12314694.289559565</v>
      </c>
      <c r="BH3818" s="458">
        <v>8.8899477353211909E-2</v>
      </c>
      <c r="BI3818" s="477">
        <v>21025410.849261303</v>
      </c>
      <c r="BJ3818" s="458">
        <v>0.1349254814542602</v>
      </c>
      <c r="BK3818" s="477">
        <v>79972663.721491486</v>
      </c>
      <c r="BL3818" s="458">
        <v>0.26410941854791159</v>
      </c>
      <c r="BM3818" s="468">
        <v>7.4084769569285758</v>
      </c>
    </row>
    <row r="3819" spans="12:65" x14ac:dyDescent="0.3">
      <c r="L3819" s="427">
        <v>11112381.2152</v>
      </c>
      <c r="BE3819" s="477">
        <v>4951461.8748707008</v>
      </c>
      <c r="BF3819" s="458">
        <v>2.0672912531933596E-2</v>
      </c>
      <c r="BG3819" s="477">
        <v>9471992.0035605263</v>
      </c>
      <c r="BH3819" s="458">
        <v>5.6400639618209958E-2</v>
      </c>
      <c r="BI3819" s="477">
        <v>23969713.52220729</v>
      </c>
      <c r="BJ3819" s="458">
        <v>0.10549261106630015</v>
      </c>
      <c r="BK3819" s="477">
        <v>93462147.104584917</v>
      </c>
      <c r="BL3819" s="458">
        <v>0.268375271136293</v>
      </c>
      <c r="BM3819" s="468">
        <v>3.6010407973094454</v>
      </c>
    </row>
    <row r="3820" spans="12:65" x14ac:dyDescent="0.3">
      <c r="L3820" s="427">
        <v>17570856.545200001</v>
      </c>
      <c r="BE3820" s="477">
        <v>3933322.363579913</v>
      </c>
      <c r="BF3820" s="458">
        <v>2.3775834537254958E-2</v>
      </c>
      <c r="BG3820" s="477">
        <v>13712766.942573389</v>
      </c>
      <c r="BH3820" s="458">
        <v>9.2177902564390291E-2</v>
      </c>
      <c r="BI3820" s="477">
        <v>10858886.972414482</v>
      </c>
      <c r="BJ3820" s="458">
        <v>0.16481701074437161</v>
      </c>
      <c r="BK3820" s="477">
        <v>85297278.284353763</v>
      </c>
      <c r="BL3820" s="458">
        <v>0.2608611440886881</v>
      </c>
      <c r="BM3820" s="468">
        <v>7.8564172770334153</v>
      </c>
    </row>
    <row r="3821" spans="12:65" x14ac:dyDescent="0.3">
      <c r="L3821" s="427">
        <v>14418801.608200001</v>
      </c>
      <c r="BE3821" s="477">
        <v>2805979.0557911955</v>
      </c>
      <c r="BF3821" s="458">
        <v>2.7064465683948047E-2</v>
      </c>
      <c r="BG3821" s="477">
        <v>7068627.7632263796</v>
      </c>
      <c r="BH3821" s="458">
        <v>0.10652092226976451</v>
      </c>
      <c r="BI3821" s="477">
        <v>26432991.035991482</v>
      </c>
      <c r="BJ3821" s="458">
        <v>0.12619200171346612</v>
      </c>
      <c r="BK3821" s="477">
        <v>74507590.100431189</v>
      </c>
      <c r="BL3821" s="458">
        <v>0.26640119557094177</v>
      </c>
      <c r="BM3821" s="468">
        <v>7.4892817366200912</v>
      </c>
    </row>
    <row r="3822" spans="12:65" x14ac:dyDescent="0.3">
      <c r="L3822" s="427">
        <v>11827472.7906</v>
      </c>
      <c r="BE3822" s="477">
        <v>951241.23882568104</v>
      </c>
      <c r="BF3822" s="458">
        <v>6.8134810407930457E-2</v>
      </c>
      <c r="BG3822" s="477">
        <v>11919977.164199241</v>
      </c>
      <c r="BH3822" s="458">
        <v>8.6247598938086645E-2</v>
      </c>
      <c r="BI3822" s="477">
        <v>16399577.999856159</v>
      </c>
      <c r="BJ3822" s="458">
        <v>0.11512167753018354</v>
      </c>
      <c r="BK3822" s="477">
        <v>85297994.3356677</v>
      </c>
      <c r="BL3822" s="458">
        <v>0.26378419375786533</v>
      </c>
      <c r="BM3822" s="468">
        <v>10.498969027731023</v>
      </c>
    </row>
    <row r="3823" spans="12:65" x14ac:dyDescent="0.3">
      <c r="L3823" s="427">
        <v>12476229.17</v>
      </c>
      <c r="BE3823" s="477">
        <v>7237328.7930217404</v>
      </c>
      <c r="BF3823" s="458">
        <v>3.8573134882443405E-2</v>
      </c>
      <c r="BG3823" s="477">
        <v>10136044.244091798</v>
      </c>
      <c r="BH3823" s="458">
        <v>5.7953658793166607E-2</v>
      </c>
      <c r="BI3823" s="477">
        <v>11383455.989872139</v>
      </c>
      <c r="BJ3823" s="458">
        <v>0.14211187266892722</v>
      </c>
      <c r="BK3823" s="477">
        <v>77727181.596326828</v>
      </c>
      <c r="BL3823" s="458">
        <v>0.26746822777076873</v>
      </c>
      <c r="BM3823" s="468">
        <v>1.2170802788518253</v>
      </c>
    </row>
    <row r="3824" spans="12:65" x14ac:dyDescent="0.3">
      <c r="L3824" s="427">
        <v>10634373.880899999</v>
      </c>
      <c r="BE3824" s="477">
        <v>4011719.9163238299</v>
      </c>
      <c r="BF3824" s="458">
        <v>3.2711083627438242E-2</v>
      </c>
      <c r="BG3824" s="477">
        <v>12652062.66469969</v>
      </c>
      <c r="BH3824" s="458">
        <v>5.2287543987099783E-2</v>
      </c>
      <c r="BI3824" s="477">
        <v>14257394.076114308</v>
      </c>
      <c r="BJ3824" s="458">
        <v>0.14449523753941529</v>
      </c>
      <c r="BK3824" s="477">
        <v>104506267.84577559</v>
      </c>
      <c r="BL3824" s="458">
        <v>0.2804297356087655</v>
      </c>
      <c r="BM3824" s="468">
        <v>7.7858258296097773</v>
      </c>
    </row>
    <row r="3825" spans="12:65" x14ac:dyDescent="0.3">
      <c r="L3825" s="427">
        <v>11116065.9965</v>
      </c>
      <c r="BE3825" s="477">
        <v>8003715.6345240846</v>
      </c>
      <c r="BF3825" s="458">
        <v>4.1651729428170192E-2</v>
      </c>
      <c r="BG3825" s="477">
        <v>9814249.4745681137</v>
      </c>
      <c r="BH3825" s="458">
        <v>6.3040252097748217E-2</v>
      </c>
      <c r="BI3825" s="477">
        <v>15744929.584576957</v>
      </c>
      <c r="BJ3825" s="458">
        <v>0.10672054538313192</v>
      </c>
      <c r="BK3825" s="477">
        <v>94004974.277509406</v>
      </c>
      <c r="BL3825" s="458">
        <v>0.2575756764877335</v>
      </c>
      <c r="BM3825" s="468">
        <v>7.8543505483834002</v>
      </c>
    </row>
    <row r="3826" spans="12:65" x14ac:dyDescent="0.3">
      <c r="L3826" s="427">
        <v>4619009.4179999996</v>
      </c>
      <c r="BE3826" s="477">
        <v>6416820.78120784</v>
      </c>
      <c r="BF3826" s="458">
        <v>5.1574176105064984E-2</v>
      </c>
      <c r="BG3826" s="477">
        <v>11179101.264202354</v>
      </c>
      <c r="BH3826" s="458">
        <v>9.4995154215123279E-2</v>
      </c>
      <c r="BI3826" s="477">
        <v>9077799.8889120966</v>
      </c>
      <c r="BJ3826" s="458">
        <v>0.13013431307337053</v>
      </c>
      <c r="BK3826" s="477">
        <v>92893992.709229156</v>
      </c>
      <c r="BL3826" s="458">
        <v>0.2664817194117719</v>
      </c>
      <c r="BM3826" s="468">
        <v>6.8651925794525432</v>
      </c>
    </row>
    <row r="3827" spans="12:65" x14ac:dyDescent="0.3">
      <c r="L3827" s="427">
        <v>2441722.4364</v>
      </c>
      <c r="BE3827" s="477">
        <v>5125503.7444390003</v>
      </c>
      <c r="BF3827" s="458">
        <v>3.3821793978489056E-2</v>
      </c>
      <c r="BG3827" s="477">
        <v>14412471.062555479</v>
      </c>
      <c r="BH3827" s="458">
        <v>6.1283308682432036E-2</v>
      </c>
      <c r="BI3827" s="477">
        <v>8849310.0949120093</v>
      </c>
      <c r="BJ3827" s="458">
        <v>0.12335692456094272</v>
      </c>
      <c r="BK3827" s="477">
        <v>95930412.478323907</v>
      </c>
      <c r="BL3827" s="458">
        <v>0.26866947713633804</v>
      </c>
      <c r="BM3827" s="468">
        <v>1.6826228979173079</v>
      </c>
    </row>
    <row r="3828" spans="12:65" x14ac:dyDescent="0.3">
      <c r="L3828" s="427">
        <v>1286157.0697000001</v>
      </c>
      <c r="BE3828" s="477">
        <v>7639016.4613587223</v>
      </c>
      <c r="BF3828" s="458">
        <v>5.6141724431563178E-2</v>
      </c>
      <c r="BG3828" s="477">
        <v>10360584.882018147</v>
      </c>
      <c r="BH3828" s="458">
        <v>5.6788099842355999E-2</v>
      </c>
      <c r="BI3828" s="477">
        <v>19183685.668706756</v>
      </c>
      <c r="BJ3828" s="458">
        <v>0.10002056729747455</v>
      </c>
      <c r="BK3828" s="477">
        <v>100279698.4050577</v>
      </c>
      <c r="BL3828" s="458">
        <v>0.26479165199288524</v>
      </c>
      <c r="BM3828" s="468">
        <v>3.4752645128597326</v>
      </c>
    </row>
    <row r="3829" spans="12:65" x14ac:dyDescent="0.3">
      <c r="L3829" s="427">
        <v>21547571.8358</v>
      </c>
      <c r="BE3829" s="477">
        <v>7697662.973115582</v>
      </c>
      <c r="BF3829" s="458">
        <v>2.2476008845514039E-2</v>
      </c>
      <c r="BG3829" s="477">
        <v>3054969.3475552825</v>
      </c>
      <c r="BH3829" s="458">
        <v>4.2023243690727741E-2</v>
      </c>
      <c r="BI3829" s="477">
        <v>20563619.963059422</v>
      </c>
      <c r="BJ3829" s="458">
        <v>0.11452359702049963</v>
      </c>
      <c r="BK3829" s="477">
        <v>89734987.977522403</v>
      </c>
      <c r="BL3829" s="458">
        <v>0.26638146138555485</v>
      </c>
      <c r="BM3829" s="468">
        <v>3.4034221388162065</v>
      </c>
    </row>
    <row r="3830" spans="12:65" x14ac:dyDescent="0.3">
      <c r="L3830" s="427">
        <v>12715540.6017</v>
      </c>
      <c r="BE3830" s="477">
        <v>1950381.4497530954</v>
      </c>
      <c r="BF3830" s="458">
        <v>3.4290873344686279E-2</v>
      </c>
      <c r="BG3830" s="477">
        <v>7578081.3131224466</v>
      </c>
      <c r="BH3830" s="458">
        <v>8.8364849303329995E-2</v>
      </c>
      <c r="BI3830" s="477">
        <v>32025969.540572546</v>
      </c>
      <c r="BJ3830" s="458">
        <v>0.12572117905172697</v>
      </c>
      <c r="BK3830" s="477">
        <v>97331752.897684857</v>
      </c>
      <c r="BL3830" s="458">
        <v>0.2805965783691422</v>
      </c>
      <c r="BM3830" s="468">
        <v>6.7959405661565127</v>
      </c>
    </row>
    <row r="3831" spans="12:65" x14ac:dyDescent="0.3">
      <c r="L3831" s="427">
        <v>5180236.5351999998</v>
      </c>
      <c r="BE3831" s="477">
        <v>4123298.3824419831</v>
      </c>
      <c r="BF3831" s="458">
        <v>4.3829085020178127E-2</v>
      </c>
      <c r="BG3831" s="477">
        <v>9841855.001179615</v>
      </c>
      <c r="BH3831" s="458">
        <v>4.7437497677130125E-2</v>
      </c>
      <c r="BI3831" s="477">
        <v>17246483.067532301</v>
      </c>
      <c r="BJ3831" s="458">
        <v>8.8917863299620814E-2</v>
      </c>
      <c r="BK3831" s="477">
        <v>105091869.54168178</v>
      </c>
      <c r="BL3831" s="458">
        <v>0.26204223468300958</v>
      </c>
      <c r="BM3831" s="468">
        <v>7.5073381011029339</v>
      </c>
    </row>
    <row r="3832" spans="12:65" x14ac:dyDescent="0.3">
      <c r="L3832" s="427">
        <v>-1191523.2123</v>
      </c>
      <c r="BE3832" s="477">
        <v>4084646.5144957579</v>
      </c>
      <c r="BF3832" s="458">
        <v>4.5469899056653551E-2</v>
      </c>
      <c r="BG3832" s="477">
        <v>10259994.983856522</v>
      </c>
      <c r="BH3832" s="458">
        <v>6.2607644704745669E-2</v>
      </c>
      <c r="BI3832" s="477">
        <v>17053756.506267492</v>
      </c>
      <c r="BJ3832" s="458">
        <v>0.11197092027940991</v>
      </c>
      <c r="BK3832" s="477">
        <v>96033043.001420453</v>
      </c>
      <c r="BL3832" s="458">
        <v>0.28958999559351928</v>
      </c>
      <c r="BM3832" s="468">
        <v>8.9977091067256509</v>
      </c>
    </row>
    <row r="3833" spans="12:65" x14ac:dyDescent="0.3">
      <c r="L3833" s="427">
        <v>7091351.2198999999</v>
      </c>
      <c r="BE3833" s="477">
        <v>7825786.9355410812</v>
      </c>
      <c r="BF3833" s="458">
        <v>7.7877852748570842E-2</v>
      </c>
      <c r="BG3833" s="477">
        <v>6153591.556591427</v>
      </c>
      <c r="BH3833" s="458">
        <v>9.4660571781123526E-2</v>
      </c>
      <c r="BI3833" s="477">
        <v>23977675.242717523</v>
      </c>
      <c r="BJ3833" s="458">
        <v>8.1226845237323486E-2</v>
      </c>
      <c r="BK3833" s="477">
        <v>87130823.087622568</v>
      </c>
      <c r="BL3833" s="458">
        <v>0.26209210573058628</v>
      </c>
      <c r="BM3833" s="468">
        <v>9.0568908471346727</v>
      </c>
    </row>
    <row r="3834" spans="12:65" x14ac:dyDescent="0.3">
      <c r="L3834" s="427">
        <v>6666404.6703000003</v>
      </c>
      <c r="BE3834" s="477">
        <v>4443796.6425830023</v>
      </c>
      <c r="BF3834" s="458">
        <v>3.7193838754098429E-2</v>
      </c>
      <c r="BG3834" s="477">
        <v>3026360.6617622408</v>
      </c>
      <c r="BH3834" s="458">
        <v>8.0682054331979947E-2</v>
      </c>
      <c r="BI3834" s="477">
        <v>19457167.836790677</v>
      </c>
      <c r="BJ3834" s="458">
        <v>0.10894889859706747</v>
      </c>
      <c r="BK3834" s="477">
        <v>91086790.804453105</v>
      </c>
      <c r="BL3834" s="458">
        <v>0.28142959691949376</v>
      </c>
      <c r="BM3834" s="468">
        <v>8.798625935373968</v>
      </c>
    </row>
    <row r="3835" spans="12:65" x14ac:dyDescent="0.3">
      <c r="L3835" s="427">
        <v>13804388.703199999</v>
      </c>
      <c r="BE3835" s="477">
        <v>8299180.1401931494</v>
      </c>
      <c r="BF3835" s="458">
        <v>5.1460174746292831E-2</v>
      </c>
      <c r="BG3835" s="477">
        <v>13202337.287595512</v>
      </c>
      <c r="BH3835" s="458">
        <v>5.8038393486594897E-2</v>
      </c>
      <c r="BI3835" s="477">
        <v>7606444.4635720169</v>
      </c>
      <c r="BJ3835" s="458">
        <v>7.9965159065277236E-2</v>
      </c>
      <c r="BK3835" s="477">
        <v>92171919.205633029</v>
      </c>
      <c r="BL3835" s="458">
        <v>0.25494142640492945</v>
      </c>
      <c r="BM3835" s="468">
        <v>3.7856530124303616</v>
      </c>
    </row>
    <row r="3836" spans="12:65" x14ac:dyDescent="0.3">
      <c r="L3836" s="427">
        <v>25282895.068799999</v>
      </c>
      <c r="BE3836" s="477">
        <v>10034882.322113099</v>
      </c>
      <c r="BF3836" s="458">
        <v>4.4178404212641631E-2</v>
      </c>
      <c r="BG3836" s="477">
        <v>5499892.9693317125</v>
      </c>
      <c r="BH3836" s="458">
        <v>7.116850435769817E-2</v>
      </c>
      <c r="BI3836" s="477">
        <v>25952547.339756951</v>
      </c>
      <c r="BJ3836" s="458">
        <v>0.11132532974766174</v>
      </c>
      <c r="BK3836" s="477">
        <v>88350991.806469694</v>
      </c>
      <c r="BL3836" s="458">
        <v>0.27906429948028366</v>
      </c>
      <c r="BM3836" s="468">
        <v>8.5358328666297485</v>
      </c>
    </row>
    <row r="3837" spans="12:65" x14ac:dyDescent="0.3">
      <c r="L3837" s="427">
        <v>24796540.588199999</v>
      </c>
      <c r="BE3837" s="477">
        <v>9447524.4885535333</v>
      </c>
      <c r="BF3837" s="458">
        <v>2.7855751806348028E-2</v>
      </c>
      <c r="BG3837" s="477">
        <v>12886864.047401633</v>
      </c>
      <c r="BH3837" s="458">
        <v>2.5125885707175444E-2</v>
      </c>
      <c r="BI3837" s="477">
        <v>13899636.000338191</v>
      </c>
      <c r="BJ3837" s="458">
        <v>0.19759580690605594</v>
      </c>
      <c r="BK3837" s="477">
        <v>89836689.623351961</v>
      </c>
      <c r="BL3837" s="458">
        <v>0.26910559772991305</v>
      </c>
      <c r="BM3837" s="468">
        <v>13.45989555449037</v>
      </c>
    </row>
    <row r="3838" spans="12:65" x14ac:dyDescent="0.3">
      <c r="L3838" s="427">
        <v>1964808.8215000001</v>
      </c>
      <c r="BE3838" s="477">
        <v>8447243.5528223664</v>
      </c>
      <c r="BF3838" s="458">
        <v>3.5932833519565666E-2</v>
      </c>
      <c r="BG3838" s="477">
        <v>6162892.004830583</v>
      </c>
      <c r="BH3838" s="458">
        <v>7.1712639394153621E-2</v>
      </c>
      <c r="BI3838" s="477">
        <v>14617106.319262307</v>
      </c>
      <c r="BJ3838" s="458">
        <v>0.12338470683183722</v>
      </c>
      <c r="BK3838" s="477">
        <v>93263646.548841387</v>
      </c>
      <c r="BL3838" s="458">
        <v>0.2593386873618273</v>
      </c>
      <c r="BM3838" s="468">
        <v>13.719676238764613</v>
      </c>
    </row>
    <row r="3839" spans="12:65" x14ac:dyDescent="0.3">
      <c r="L3839" s="427">
        <v>12191719.348200001</v>
      </c>
      <c r="BE3839" s="477">
        <v>5682900.9579760246</v>
      </c>
      <c r="BF3839" s="458">
        <v>3.7129739158992425E-2</v>
      </c>
      <c r="BG3839" s="477">
        <v>8424640.9576432742</v>
      </c>
      <c r="BH3839" s="458">
        <v>5.5811501394733787E-2</v>
      </c>
      <c r="BI3839" s="477">
        <v>20208801.050385233</v>
      </c>
      <c r="BJ3839" s="458">
        <v>0.1197611414477886</v>
      </c>
      <c r="BK3839" s="477">
        <v>79901862.34197402</v>
      </c>
      <c r="BL3839" s="458">
        <v>0.25866297735995691</v>
      </c>
      <c r="BM3839" s="468">
        <v>11.078636123018388</v>
      </c>
    </row>
    <row r="3840" spans="12:65" x14ac:dyDescent="0.3">
      <c r="L3840" s="427">
        <v>13647849.422700001</v>
      </c>
      <c r="BE3840" s="477">
        <v>1699493.0567744642</v>
      </c>
      <c r="BF3840" s="458">
        <v>2.5012367694804194E-2</v>
      </c>
      <c r="BG3840" s="477">
        <v>15099696.308037421</v>
      </c>
      <c r="BH3840" s="458">
        <v>7.6929684607141668E-2</v>
      </c>
      <c r="BI3840" s="477">
        <v>18024217.66967852</v>
      </c>
      <c r="BJ3840" s="458">
        <v>0.13906700985494602</v>
      </c>
      <c r="BK3840" s="477">
        <v>97649734.11600934</v>
      </c>
      <c r="BL3840" s="458">
        <v>0.25382513583872979</v>
      </c>
      <c r="BM3840" s="468">
        <v>2.9058194916057749</v>
      </c>
    </row>
    <row r="3841" spans="12:65" x14ac:dyDescent="0.3">
      <c r="L3841" s="427">
        <v>12524448.844900001</v>
      </c>
      <c r="BE3841" s="477">
        <v>7702515.3294589072</v>
      </c>
      <c r="BF3841" s="458">
        <v>5.9685417825979803E-2</v>
      </c>
      <c r="BG3841" s="477">
        <v>10911796.660132105</v>
      </c>
      <c r="BH3841" s="458">
        <v>6.8163713353091682E-2</v>
      </c>
      <c r="BI3841" s="477">
        <v>21300317.073121339</v>
      </c>
      <c r="BJ3841" s="458">
        <v>9.0297338015026707E-2</v>
      </c>
      <c r="BK3841" s="477">
        <v>89515311.420189604</v>
      </c>
      <c r="BL3841" s="458">
        <v>0.24729072072739866</v>
      </c>
      <c r="BM3841" s="468">
        <v>6.0364910692930511</v>
      </c>
    </row>
    <row r="3842" spans="12:65" x14ac:dyDescent="0.3">
      <c r="L3842" s="427">
        <v>10780056.276000001</v>
      </c>
      <c r="BE3842" s="477">
        <v>5078678.4567269031</v>
      </c>
      <c r="BF3842" s="458">
        <v>3.5666145704716046E-2</v>
      </c>
      <c r="BG3842" s="477">
        <v>11053105.475111678</v>
      </c>
      <c r="BH3842" s="458">
        <v>6.3184722826133966E-2</v>
      </c>
      <c r="BI3842" s="477">
        <v>19120946.799003556</v>
      </c>
      <c r="BJ3842" s="458">
        <v>0.10661578467945909</v>
      </c>
      <c r="BK3842" s="477">
        <v>80627859.293443963</v>
      </c>
      <c r="BL3842" s="458">
        <v>0.25319397320432024</v>
      </c>
      <c r="BM3842" s="468">
        <v>7.5401738628250685</v>
      </c>
    </row>
    <row r="3843" spans="12:65" x14ac:dyDescent="0.3">
      <c r="L3843" s="427">
        <v>7302515.3452000003</v>
      </c>
      <c r="BE3843" s="477">
        <v>6891248.3622644283</v>
      </c>
      <c r="BF3843" s="458">
        <v>6.3416648287794919E-2</v>
      </c>
      <c r="BG3843" s="477">
        <v>8375912.8682854744</v>
      </c>
      <c r="BH3843" s="458">
        <v>9.4608439754609863E-2</v>
      </c>
      <c r="BI3843" s="477">
        <v>21982803.494030725</v>
      </c>
      <c r="BJ3843" s="458">
        <v>8.2788553964216804E-2</v>
      </c>
      <c r="BK3843" s="477">
        <v>84795757.639423206</v>
      </c>
      <c r="BL3843" s="458">
        <v>0.25341683085857758</v>
      </c>
      <c r="BM3843" s="468">
        <v>4.4360845809600145</v>
      </c>
    </row>
    <row r="3844" spans="12:65" x14ac:dyDescent="0.3">
      <c r="L3844" s="427">
        <v>-3871603.6475999998</v>
      </c>
      <c r="BE3844" s="477">
        <v>5543447.8318720777</v>
      </c>
      <c r="BF3844" s="458">
        <v>3.2076273625245566E-2</v>
      </c>
      <c r="BG3844" s="477">
        <v>8363465.5324265184</v>
      </c>
      <c r="BH3844" s="458">
        <v>7.8277107083058128E-2</v>
      </c>
      <c r="BI3844" s="477">
        <v>13571306.864642229</v>
      </c>
      <c r="BJ3844" s="458">
        <v>9.6544874308954753E-2</v>
      </c>
      <c r="BK3844" s="477">
        <v>92033860.829623997</v>
      </c>
      <c r="BL3844" s="458">
        <v>0.27306889635743437</v>
      </c>
      <c r="BM3844" s="468">
        <v>2.3686922195660367</v>
      </c>
    </row>
    <row r="3845" spans="12:65" x14ac:dyDescent="0.3">
      <c r="L3845" s="427">
        <v>8200503.3909</v>
      </c>
      <c r="BE3845" s="477">
        <v>2996297.659416799</v>
      </c>
      <c r="BF3845" s="458">
        <v>5.3383636706318294E-2</v>
      </c>
      <c r="BG3845" s="477">
        <v>15564503.23903713</v>
      </c>
      <c r="BH3845" s="458">
        <v>5.7136264809187987E-2</v>
      </c>
      <c r="BI3845" s="477">
        <v>17176662.975733437</v>
      </c>
      <c r="BJ3845" s="458">
        <v>9.7538274939577674E-2</v>
      </c>
      <c r="BK3845" s="477">
        <v>82085346.93904531</v>
      </c>
      <c r="BL3845" s="458">
        <v>0.25880394526802397</v>
      </c>
      <c r="BM3845" s="468">
        <v>2.2685134192383334</v>
      </c>
    </row>
    <row r="3846" spans="12:65" x14ac:dyDescent="0.3">
      <c r="L3846" s="427">
        <v>10682611.237400001</v>
      </c>
      <c r="BE3846" s="477">
        <v>5164183.9308250677</v>
      </c>
      <c r="BF3846" s="458">
        <v>3.8557698516892058E-2</v>
      </c>
      <c r="BG3846" s="477">
        <v>7026110.1653376771</v>
      </c>
      <c r="BH3846" s="458">
        <v>4.2852630740250586E-2</v>
      </c>
      <c r="BI3846" s="477">
        <v>15320542.151683116</v>
      </c>
      <c r="BJ3846" s="458">
        <v>0.1189999975466749</v>
      </c>
      <c r="BK3846" s="477">
        <v>85865022.87750347</v>
      </c>
      <c r="BL3846" s="458">
        <v>0.27022300129292076</v>
      </c>
      <c r="BM3846" s="468">
        <v>7.6378918552723416</v>
      </c>
    </row>
    <row r="3847" spans="12:65" x14ac:dyDescent="0.3">
      <c r="L3847" s="427">
        <v>-140667.6678</v>
      </c>
      <c r="BE3847" s="477">
        <v>8564639.484379191</v>
      </c>
      <c r="BF3847" s="458">
        <v>4.4316750008773109E-2</v>
      </c>
      <c r="BG3847" s="477">
        <v>11827898.114575198</v>
      </c>
      <c r="BH3847" s="458">
        <v>8.0541646034184122E-2</v>
      </c>
      <c r="BI3847" s="477">
        <v>13724822.083007401</v>
      </c>
      <c r="BJ3847" s="458">
        <v>8.830379925225329E-2</v>
      </c>
      <c r="BK3847" s="477">
        <v>88869393.600184411</v>
      </c>
      <c r="BL3847" s="458">
        <v>0.27675595719305024</v>
      </c>
      <c r="BM3847" s="468">
        <v>13.831495551122746</v>
      </c>
    </row>
    <row r="3848" spans="12:65" x14ac:dyDescent="0.3">
      <c r="L3848" s="427">
        <v>9112239.4578000009</v>
      </c>
      <c r="BE3848" s="477">
        <v>3556327.0017327922</v>
      </c>
      <c r="BF3848" s="458">
        <v>2.9604242363465927E-2</v>
      </c>
      <c r="BG3848" s="477">
        <v>5910299.6339302035</v>
      </c>
      <c r="BH3848" s="458">
        <v>5.2981688013979733E-2</v>
      </c>
      <c r="BI3848" s="477">
        <v>16842585.948750351</v>
      </c>
      <c r="BJ3848" s="458">
        <v>0.12144114554196195</v>
      </c>
      <c r="BK3848" s="477">
        <v>81682882.913513303</v>
      </c>
      <c r="BL3848" s="458">
        <v>0.27629546009884076</v>
      </c>
      <c r="BM3848" s="468">
        <v>9.0407869606015989</v>
      </c>
    </row>
    <row r="3849" spans="12:65" x14ac:dyDescent="0.3">
      <c r="L3849" s="427">
        <v>1918283.7404</v>
      </c>
      <c r="BE3849" s="477">
        <v>4857397.3575740149</v>
      </c>
      <c r="BF3849" s="458">
        <v>2.2755761384709361E-2</v>
      </c>
      <c r="BG3849" s="477">
        <v>8227405.5292106709</v>
      </c>
      <c r="BH3849" s="458">
        <v>4.6464362487298905E-2</v>
      </c>
      <c r="BI3849" s="477">
        <v>12544992.306330832</v>
      </c>
      <c r="BJ3849" s="458">
        <v>0.11469668999382066</v>
      </c>
      <c r="BK3849" s="477">
        <v>86115012.106101051</v>
      </c>
      <c r="BL3849" s="458">
        <v>0.27293010138568374</v>
      </c>
      <c r="BM3849" s="468">
        <v>10.863311991348823</v>
      </c>
    </row>
    <row r="3850" spans="12:65" x14ac:dyDescent="0.3">
      <c r="L3850" s="427">
        <v>27168506.871300001</v>
      </c>
      <c r="BE3850" s="477">
        <v>6131069.0503807021</v>
      </c>
      <c r="BF3850" s="458">
        <v>4.1459339056037381E-2</v>
      </c>
      <c r="BG3850" s="477">
        <v>9077286.0739476401</v>
      </c>
      <c r="BH3850" s="458">
        <v>6.0631003371510284E-2</v>
      </c>
      <c r="BI3850" s="477">
        <v>19948862.617982436</v>
      </c>
      <c r="BJ3850" s="458">
        <v>0.145495417102808</v>
      </c>
      <c r="BK3850" s="477">
        <v>92251800.807566762</v>
      </c>
      <c r="BL3850" s="458">
        <v>0.26679170876671598</v>
      </c>
      <c r="BM3850" s="468">
        <v>20.077346217044919</v>
      </c>
    </row>
    <row r="3851" spans="12:65" x14ac:dyDescent="0.3">
      <c r="L3851" s="427">
        <v>-3225276.4419999998</v>
      </c>
      <c r="BE3851" s="477">
        <v>2310757.6936617545</v>
      </c>
      <c r="BF3851" s="458">
        <v>6.8180832689780146E-2</v>
      </c>
      <c r="BG3851" s="477">
        <v>7488052.9284472279</v>
      </c>
      <c r="BH3851" s="458">
        <v>6.3201756012994492E-2</v>
      </c>
      <c r="BI3851" s="477">
        <v>15941168.708088296</v>
      </c>
      <c r="BJ3851" s="458">
        <v>0.11696751463618282</v>
      </c>
      <c r="BK3851" s="477">
        <v>82088182.562800363</v>
      </c>
      <c r="BL3851" s="458">
        <v>0.25447627520918448</v>
      </c>
      <c r="BM3851" s="468">
        <v>3.1921833522347391</v>
      </c>
    </row>
    <row r="3852" spans="12:65" x14ac:dyDescent="0.3">
      <c r="L3852" s="427">
        <v>6064796.4598000003</v>
      </c>
      <c r="BE3852" s="477">
        <v>7228394.6140071256</v>
      </c>
      <c r="BF3852" s="458">
        <v>2.4903554980062026E-2</v>
      </c>
      <c r="BG3852" s="477">
        <v>4527636.9810771011</v>
      </c>
      <c r="BH3852" s="458">
        <v>4.5377579461404416E-2</v>
      </c>
      <c r="BI3852" s="477">
        <v>17047827.277003244</v>
      </c>
      <c r="BJ3852" s="458">
        <v>0.1328828204945125</v>
      </c>
      <c r="BK3852" s="477">
        <v>84595331.028411373</v>
      </c>
      <c r="BL3852" s="458">
        <v>0.28314896157164893</v>
      </c>
      <c r="BM3852" s="468">
        <v>4.8868478815224483</v>
      </c>
    </row>
    <row r="3853" spans="12:65" x14ac:dyDescent="0.3">
      <c r="L3853" s="427">
        <v>25712983.097399998</v>
      </c>
      <c r="BE3853" s="477">
        <v>4895382.2271784395</v>
      </c>
      <c r="BF3853" s="458">
        <v>3.4263586691829939E-2</v>
      </c>
      <c r="BG3853" s="477">
        <v>5233037.5041371137</v>
      </c>
      <c r="BH3853" s="458">
        <v>7.6335353748351098E-2</v>
      </c>
      <c r="BI3853" s="477">
        <v>15917151.103028055</v>
      </c>
      <c r="BJ3853" s="458">
        <v>0.11689929873298976</v>
      </c>
      <c r="BK3853" s="477">
        <v>88579065.30323875</v>
      </c>
      <c r="BL3853" s="458">
        <v>0.25996363329128269</v>
      </c>
      <c r="BM3853" s="468">
        <v>11.291607001969016</v>
      </c>
    </row>
    <row r="3854" spans="12:65" x14ac:dyDescent="0.3">
      <c r="L3854" s="427">
        <v>18487841.223299999</v>
      </c>
      <c r="BE3854" s="477">
        <v>7215438.4785040123</v>
      </c>
      <c r="BF3854" s="458">
        <v>3.3263412024630901E-2</v>
      </c>
      <c r="BG3854" s="477">
        <v>14575128.562267033</v>
      </c>
      <c r="BH3854" s="458">
        <v>8.0862783772049474E-2</v>
      </c>
      <c r="BI3854" s="477">
        <v>19481505.643144626</v>
      </c>
      <c r="BJ3854" s="458">
        <v>0.11369795254360815</v>
      </c>
      <c r="BK3854" s="477">
        <v>83764093.265102193</v>
      </c>
      <c r="BL3854" s="458">
        <v>0.24957425169548308</v>
      </c>
      <c r="BM3854" s="468">
        <v>12.484227919586122</v>
      </c>
    </row>
    <row r="3855" spans="12:65" x14ac:dyDescent="0.3">
      <c r="L3855" s="427">
        <v>-5701085.6176000005</v>
      </c>
      <c r="BE3855" s="477">
        <v>6812270.9083874822</v>
      </c>
      <c r="BF3855" s="458">
        <v>3.3798596335714359E-2</v>
      </c>
      <c r="BG3855" s="477">
        <v>10107290.157358855</v>
      </c>
      <c r="BH3855" s="458">
        <v>5.8305951398493594E-2</v>
      </c>
      <c r="BI3855" s="477">
        <v>11160064.076391116</v>
      </c>
      <c r="BJ3855" s="458">
        <v>0.10808282284379667</v>
      </c>
      <c r="BK3855" s="477">
        <v>77510821.064851508</v>
      </c>
      <c r="BL3855" s="458">
        <v>0.28606009393003484</v>
      </c>
      <c r="BM3855" s="468">
        <v>5.7487294227545842</v>
      </c>
    </row>
    <row r="3856" spans="12:65" x14ac:dyDescent="0.3">
      <c r="L3856" s="427">
        <v>37837932.250699997</v>
      </c>
      <c r="BE3856" s="477">
        <v>8235985.1500430293</v>
      </c>
      <c r="BF3856" s="458">
        <v>5.2877570761796111E-2</v>
      </c>
      <c r="BG3856" s="477">
        <v>15225902.770655524</v>
      </c>
      <c r="BH3856" s="458">
        <v>0.10206317366179296</v>
      </c>
      <c r="BI3856" s="477">
        <v>18164208.730870504</v>
      </c>
      <c r="BJ3856" s="458">
        <v>7.9470593802906109E-2</v>
      </c>
      <c r="BK3856" s="477">
        <v>80030537.098412111</v>
      </c>
      <c r="BL3856" s="458">
        <v>0.26371467435526563</v>
      </c>
      <c r="BM3856" s="468">
        <v>11.039715487160693</v>
      </c>
    </row>
    <row r="3857" spans="12:65" x14ac:dyDescent="0.3">
      <c r="L3857" s="427">
        <v>8512662.6898999996</v>
      </c>
      <c r="BE3857" s="477">
        <v>1288639.5185191305</v>
      </c>
      <c r="BF3857" s="458">
        <v>2.4143526329266196E-2</v>
      </c>
      <c r="BG3857" s="477">
        <v>10211699.892858347</v>
      </c>
      <c r="BH3857" s="458">
        <v>6.9014685562821088E-2</v>
      </c>
      <c r="BI3857" s="477">
        <v>10731609.171581849</v>
      </c>
      <c r="BJ3857" s="458">
        <v>0.10672241532132665</v>
      </c>
      <c r="BK3857" s="477">
        <v>97525402.050925776</v>
      </c>
      <c r="BL3857" s="458">
        <v>0.26334010095246052</v>
      </c>
      <c r="BM3857" s="468">
        <v>5.3904230293935171</v>
      </c>
    </row>
    <row r="3858" spans="12:65" x14ac:dyDescent="0.3">
      <c r="L3858" s="427">
        <v>3764163.0074999998</v>
      </c>
      <c r="BE3858" s="477">
        <v>4892605.6095489981</v>
      </c>
      <c r="BF3858" s="458">
        <v>2.2575699919198833E-2</v>
      </c>
      <c r="BG3858" s="477">
        <v>7746190.4246753817</v>
      </c>
      <c r="BH3858" s="458">
        <v>6.5805104337093967E-2</v>
      </c>
      <c r="BI3858" s="477">
        <v>17320086.167301927</v>
      </c>
      <c r="BJ3858" s="458">
        <v>0.10120300020965489</v>
      </c>
      <c r="BK3858" s="477">
        <v>85974045.141778007</v>
      </c>
      <c r="BL3858" s="458">
        <v>0.26406997882917338</v>
      </c>
      <c r="BM3858" s="468">
        <v>4.2304743888455878</v>
      </c>
    </row>
    <row r="3859" spans="12:65" x14ac:dyDescent="0.3">
      <c r="L3859" s="427">
        <v>20704728.989500001</v>
      </c>
      <c r="BE3859" s="477">
        <v>8439921.5731791984</v>
      </c>
      <c r="BF3859" s="458">
        <v>3.6605428311510257E-2</v>
      </c>
      <c r="BG3859" s="477">
        <v>8612307.0095392186</v>
      </c>
      <c r="BH3859" s="458">
        <v>6.5427502111397251E-2</v>
      </c>
      <c r="BI3859" s="477">
        <v>20859173.681169569</v>
      </c>
      <c r="BJ3859" s="458">
        <v>0.11629825275698891</v>
      </c>
      <c r="BK3859" s="477">
        <v>78279078.39972572</v>
      </c>
      <c r="BL3859" s="458">
        <v>0.27911849586446169</v>
      </c>
      <c r="BM3859" s="468">
        <v>10.363249738386886</v>
      </c>
    </row>
    <row r="3860" spans="12:65" x14ac:dyDescent="0.3">
      <c r="L3860" s="427">
        <v>-3935091.0521</v>
      </c>
      <c r="BE3860" s="477">
        <v>9018356.9175492097</v>
      </c>
      <c r="BF3860" s="458">
        <v>2.4307783828200646E-2</v>
      </c>
      <c r="BG3860" s="477">
        <v>5197201.8673922596</v>
      </c>
      <c r="BH3860" s="458">
        <v>7.0123170529227119E-2</v>
      </c>
      <c r="BI3860" s="477">
        <v>18299604.541987039</v>
      </c>
      <c r="BJ3860" s="458">
        <v>0.11120034874461715</v>
      </c>
      <c r="BK3860" s="477">
        <v>82179844.346913636</v>
      </c>
      <c r="BL3860" s="458">
        <v>0.27932631478236147</v>
      </c>
      <c r="BM3860" s="468">
        <v>14.072044623601037</v>
      </c>
    </row>
    <row r="3861" spans="12:65" x14ac:dyDescent="0.3">
      <c r="L3861" s="427">
        <v>7745774.2389000002</v>
      </c>
      <c r="BE3861" s="477">
        <v>9788788.5339692552</v>
      </c>
      <c r="BF3861" s="458">
        <v>2.6347142100463739E-2</v>
      </c>
      <c r="BG3861" s="477">
        <v>12740405.642003136</v>
      </c>
      <c r="BH3861" s="458">
        <v>6.4761191038570365E-2</v>
      </c>
      <c r="BI3861" s="477">
        <v>12781995.426538076</v>
      </c>
      <c r="BJ3861" s="458">
        <v>0.11121020649012681</v>
      </c>
      <c r="BK3861" s="477">
        <v>81546752.86788173</v>
      </c>
      <c r="BL3861" s="458">
        <v>0.26629886269269942</v>
      </c>
      <c r="BM3861" s="468">
        <v>4.0137155807431668</v>
      </c>
    </row>
    <row r="3862" spans="12:65" x14ac:dyDescent="0.3">
      <c r="L3862" s="427">
        <v>-7532229.9392999997</v>
      </c>
      <c r="BE3862" s="477">
        <v>1224580.766322389</v>
      </c>
      <c r="BF3862" s="458">
        <v>2.2073453292398959E-2</v>
      </c>
      <c r="BG3862" s="477">
        <v>3080970.9544842732</v>
      </c>
      <c r="BH3862" s="458">
        <v>0.10341723154292559</v>
      </c>
      <c r="BI3862" s="477">
        <v>20416631.694195397</v>
      </c>
      <c r="BJ3862" s="458">
        <v>8.4733782553326309E-2</v>
      </c>
      <c r="BK3862" s="477">
        <v>78811802.469106972</v>
      </c>
      <c r="BL3862" s="458">
        <v>0.27238154435382755</v>
      </c>
      <c r="BM3862" s="468">
        <v>8.0200498417210149</v>
      </c>
    </row>
    <row r="3863" spans="12:65" x14ac:dyDescent="0.3">
      <c r="L3863" s="427">
        <v>6671097.5963000003</v>
      </c>
      <c r="BE3863" s="477">
        <v>7724162.1271299822</v>
      </c>
      <c r="BF3863" s="458">
        <v>2.9430393285879264E-2</v>
      </c>
      <c r="BG3863" s="477">
        <v>8591687.0629984606</v>
      </c>
      <c r="BH3863" s="458">
        <v>4.5455208326761865E-2</v>
      </c>
      <c r="BI3863" s="477">
        <v>14140836.762944017</v>
      </c>
      <c r="BJ3863" s="458">
        <v>9.8458563228112528E-2</v>
      </c>
      <c r="BK3863" s="477">
        <v>100480938.79169753</v>
      </c>
      <c r="BL3863" s="458">
        <v>0.25867951289785918</v>
      </c>
      <c r="BM3863" s="468">
        <v>4.920348319340607</v>
      </c>
    </row>
    <row r="3864" spans="12:65" x14ac:dyDescent="0.3">
      <c r="L3864" s="427">
        <v>23010778.7927</v>
      </c>
      <c r="BE3864" s="477">
        <v>3839736.8478793991</v>
      </c>
      <c r="BF3864" s="458">
        <v>1.8797577517229991E-2</v>
      </c>
      <c r="BG3864" s="477">
        <v>1797698.173049402</v>
      </c>
      <c r="BH3864" s="458">
        <v>5.7614513471340834E-2</v>
      </c>
      <c r="BI3864" s="477">
        <v>19445142.832573079</v>
      </c>
      <c r="BJ3864" s="458">
        <v>7.3100787107995613E-2</v>
      </c>
      <c r="BK3864" s="477">
        <v>90667769.640727207</v>
      </c>
      <c r="BL3864" s="458">
        <v>0.24927891147897574</v>
      </c>
      <c r="BM3864" s="468">
        <v>-2.9191841532587404</v>
      </c>
    </row>
    <row r="3865" spans="12:65" x14ac:dyDescent="0.3">
      <c r="L3865" s="427">
        <v>14567894.8741</v>
      </c>
      <c r="BE3865" s="477">
        <v>8931654.5077843219</v>
      </c>
      <c r="BF3865" s="458">
        <v>3.7859662672447447E-2</v>
      </c>
      <c r="BG3865" s="477">
        <v>11796014.765386142</v>
      </c>
      <c r="BH3865" s="458">
        <v>6.2684486790933303E-2</v>
      </c>
      <c r="BI3865" s="477">
        <v>17789481.532927372</v>
      </c>
      <c r="BJ3865" s="458">
        <v>0.12195385772272016</v>
      </c>
      <c r="BK3865" s="477">
        <v>95444462.951717302</v>
      </c>
      <c r="BL3865" s="458">
        <v>0.30280675947876068</v>
      </c>
      <c r="BM3865" s="468">
        <v>-0.79520915522287794</v>
      </c>
    </row>
    <row r="3866" spans="12:65" x14ac:dyDescent="0.3">
      <c r="L3866" s="427">
        <v>4302457.3624999998</v>
      </c>
      <c r="BE3866" s="477">
        <v>4009830.9297733395</v>
      </c>
      <c r="BF3866" s="458">
        <v>8.2638901607034354E-2</v>
      </c>
      <c r="BG3866" s="477">
        <v>8064315.4799825298</v>
      </c>
      <c r="BH3866" s="458">
        <v>5.2747651665364659E-2</v>
      </c>
      <c r="BI3866" s="477">
        <v>14741648.039121591</v>
      </c>
      <c r="BJ3866" s="458">
        <v>8.7315295537556237E-2</v>
      </c>
      <c r="BK3866" s="477">
        <v>97083562.027384475</v>
      </c>
      <c r="BL3866" s="458">
        <v>0.26507654628743427</v>
      </c>
      <c r="BM3866" s="468">
        <v>-1.8461867347737204</v>
      </c>
    </row>
    <row r="3867" spans="12:65" x14ac:dyDescent="0.3">
      <c r="L3867" s="427">
        <v>-3602963.5756999999</v>
      </c>
      <c r="BE3867" s="477">
        <v>5481780.4478307795</v>
      </c>
      <c r="BF3867" s="458">
        <v>4.6856531376059607E-2</v>
      </c>
      <c r="BG3867" s="477">
        <v>11359951.862378176</v>
      </c>
      <c r="BH3867" s="458">
        <v>7.1337604699155621E-2</v>
      </c>
      <c r="BI3867" s="477">
        <v>17873049.975440316</v>
      </c>
      <c r="BJ3867" s="458">
        <v>0.12329540561414443</v>
      </c>
      <c r="BK3867" s="477">
        <v>93578206.12561138</v>
      </c>
      <c r="BL3867" s="458">
        <v>0.25473085823421204</v>
      </c>
      <c r="BM3867" s="468">
        <v>7.0342756592807554</v>
      </c>
    </row>
    <row r="3868" spans="12:65" x14ac:dyDescent="0.3">
      <c r="L3868" s="427">
        <v>26721977.9168</v>
      </c>
      <c r="BE3868" s="477">
        <v>1919685.9773182308</v>
      </c>
      <c r="BF3868" s="458">
        <v>4.0720975151150363E-2</v>
      </c>
      <c r="BG3868" s="477">
        <v>17755010.054298379</v>
      </c>
      <c r="BH3868" s="458">
        <v>7.4312563341222271E-2</v>
      </c>
      <c r="BI3868" s="477">
        <v>20450315.71690296</v>
      </c>
      <c r="BJ3868" s="458">
        <v>0.11409949822376575</v>
      </c>
      <c r="BK3868" s="477">
        <v>93036283.33535552</v>
      </c>
      <c r="BL3868" s="458">
        <v>0.29504577170227608</v>
      </c>
      <c r="BM3868" s="468">
        <v>8.7055751506516081</v>
      </c>
    </row>
    <row r="3869" spans="12:65" x14ac:dyDescent="0.3">
      <c r="L3869" s="427">
        <v>21772477.255399998</v>
      </c>
      <c r="BE3869" s="477">
        <v>3070202.1895339196</v>
      </c>
      <c r="BF3869" s="458">
        <v>3.1236065795581691E-2</v>
      </c>
      <c r="BG3869" s="477">
        <v>12364143.820919188</v>
      </c>
      <c r="BH3869" s="458">
        <v>6.0046493035805559E-2</v>
      </c>
      <c r="BI3869" s="477">
        <v>17473061.445255071</v>
      </c>
      <c r="BJ3869" s="458">
        <v>9.0986802035530445E-2</v>
      </c>
      <c r="BK3869" s="477">
        <v>88720179.808688208</v>
      </c>
      <c r="BL3869" s="458">
        <v>0.27309529295049639</v>
      </c>
      <c r="BM3869" s="468">
        <v>5.7615833761091659</v>
      </c>
    </row>
    <row r="3870" spans="12:65" x14ac:dyDescent="0.3">
      <c r="L3870" s="427">
        <v>3020922.2776000001</v>
      </c>
      <c r="BE3870" s="477">
        <v>4559085.544570649</v>
      </c>
      <c r="BF3870" s="458">
        <v>4.5642378135512418E-2</v>
      </c>
      <c r="BG3870" s="477">
        <v>6965357.846513588</v>
      </c>
      <c r="BH3870" s="458">
        <v>7.6313256064758361E-2</v>
      </c>
      <c r="BI3870" s="477">
        <v>13307627.158289559</v>
      </c>
      <c r="BJ3870" s="458">
        <v>0.10767883470874962</v>
      </c>
      <c r="BK3870" s="477">
        <v>92775143.318713769</v>
      </c>
      <c r="BL3870" s="458">
        <v>0.27052009581399505</v>
      </c>
      <c r="BM3870" s="468">
        <v>8.8406131139444941</v>
      </c>
    </row>
    <row r="3871" spans="12:65" x14ac:dyDescent="0.3">
      <c r="L3871" s="427">
        <v>918950.72160000005</v>
      </c>
      <c r="BE3871" s="477">
        <v>6194288.1309904382</v>
      </c>
      <c r="BF3871" s="458">
        <v>3.3067406854679904E-2</v>
      </c>
      <c r="BG3871" s="477">
        <v>5461168.7670397349</v>
      </c>
      <c r="BH3871" s="458">
        <v>5.6929627536881133E-2</v>
      </c>
      <c r="BI3871" s="477">
        <v>7943414.944466019</v>
      </c>
      <c r="BJ3871" s="458">
        <v>0.14460451132474961</v>
      </c>
      <c r="BK3871" s="477">
        <v>95939926.713210732</v>
      </c>
      <c r="BL3871" s="458">
        <v>0.24540071150331344</v>
      </c>
      <c r="BM3871" s="468">
        <v>11.249011039308183</v>
      </c>
    </row>
    <row r="3872" spans="12:65" x14ac:dyDescent="0.3">
      <c r="L3872" s="427">
        <v>2322775.1225999999</v>
      </c>
      <c r="BE3872" s="477">
        <v>5963565.2746956516</v>
      </c>
      <c r="BF3872" s="458">
        <v>2.5215997906524956E-2</v>
      </c>
      <c r="BG3872" s="477">
        <v>5363310.0065658502</v>
      </c>
      <c r="BH3872" s="458">
        <v>6.716545382241712E-2</v>
      </c>
      <c r="BI3872" s="477">
        <v>31438684.087463431</v>
      </c>
      <c r="BJ3872" s="458">
        <v>0.11419554247954022</v>
      </c>
      <c r="BK3872" s="477">
        <v>91208897.485825717</v>
      </c>
      <c r="BL3872" s="458">
        <v>0.25597590438173956</v>
      </c>
      <c r="BM3872" s="468">
        <v>9.6158063639505773</v>
      </c>
    </row>
    <row r="3873" spans="12:65" x14ac:dyDescent="0.3">
      <c r="L3873" s="427">
        <v>7522952.5646000002</v>
      </c>
      <c r="BE3873" s="477">
        <v>7991931.3494264772</v>
      </c>
      <c r="BF3873" s="458">
        <v>2.8705638332419126E-2</v>
      </c>
      <c r="BG3873" s="477">
        <v>1315170.3419352546</v>
      </c>
      <c r="BH3873" s="458">
        <v>7.2170673353660453E-2</v>
      </c>
      <c r="BI3873" s="477">
        <v>24247042.581784036</v>
      </c>
      <c r="BJ3873" s="458">
        <v>9.3404114042045849E-2</v>
      </c>
      <c r="BK3873" s="477">
        <v>95284772.946640775</v>
      </c>
      <c r="BL3873" s="458">
        <v>0.27397289487703325</v>
      </c>
      <c r="BM3873" s="468">
        <v>14.122867958568829</v>
      </c>
    </row>
    <row r="3874" spans="12:65" x14ac:dyDescent="0.3">
      <c r="L3874" s="427">
        <v>-263869.63939999999</v>
      </c>
      <c r="BE3874" s="477">
        <v>2977247.377968627</v>
      </c>
      <c r="BF3874" s="458">
        <v>4.0765716784765926E-2</v>
      </c>
      <c r="BG3874" s="477">
        <v>6754002.6847590478</v>
      </c>
      <c r="BH3874" s="458">
        <v>5.4700431273188244E-2</v>
      </c>
      <c r="BI3874" s="477">
        <v>14911496.45470511</v>
      </c>
      <c r="BJ3874" s="458">
        <v>0.10666892574828513</v>
      </c>
      <c r="BK3874" s="477">
        <v>92674845.967126191</v>
      </c>
      <c r="BL3874" s="458">
        <v>0.28566750135056784</v>
      </c>
      <c r="BM3874" s="468">
        <v>6.2147134766083445</v>
      </c>
    </row>
    <row r="3875" spans="12:65" x14ac:dyDescent="0.3">
      <c r="L3875" s="427">
        <v>11495360.5909</v>
      </c>
      <c r="BE3875" s="477">
        <v>5614794.6519800965</v>
      </c>
      <c r="BF3875" s="458">
        <v>4.1845718263842091E-2</v>
      </c>
      <c r="BG3875" s="477">
        <v>8698145.8205756973</v>
      </c>
      <c r="BH3875" s="458">
        <v>5.6099625201768033E-2</v>
      </c>
      <c r="BI3875" s="477">
        <v>5925751.1035732031</v>
      </c>
      <c r="BJ3875" s="458">
        <v>0.13171303321965322</v>
      </c>
      <c r="BK3875" s="477">
        <v>102490104.16909111</v>
      </c>
      <c r="BL3875" s="458">
        <v>0.28125605285281452</v>
      </c>
      <c r="BM3875" s="468">
        <v>2.6824480192330258</v>
      </c>
    </row>
    <row r="3876" spans="12:65" x14ac:dyDescent="0.3">
      <c r="L3876" s="427">
        <v>20017142.048</v>
      </c>
      <c r="BE3876" s="477">
        <v>7050803.6814301265</v>
      </c>
      <c r="BF3876" s="458">
        <v>4.4602419801568427E-2</v>
      </c>
      <c r="BG3876" s="477">
        <v>6361875.4190853611</v>
      </c>
      <c r="BH3876" s="458">
        <v>7.7082125863273898E-2</v>
      </c>
      <c r="BI3876" s="477">
        <v>21382126.792872343</v>
      </c>
      <c r="BJ3876" s="458">
        <v>8.8816155766896498E-2</v>
      </c>
      <c r="BK3876" s="477">
        <v>83538378.640247151</v>
      </c>
      <c r="BL3876" s="458">
        <v>0.30093151212533908</v>
      </c>
      <c r="BM3876" s="468">
        <v>9.6411021428580277</v>
      </c>
    </row>
    <row r="3877" spans="12:65" x14ac:dyDescent="0.3">
      <c r="L3877" s="427">
        <v>-17657380.569499999</v>
      </c>
      <c r="BE3877" s="477">
        <v>2606073.4471405125</v>
      </c>
      <c r="BF3877" s="458">
        <v>4.1949538395642305E-2</v>
      </c>
      <c r="BG3877" s="477">
        <v>9643265.4942037854</v>
      </c>
      <c r="BH3877" s="458">
        <v>0.11777078515788175</v>
      </c>
      <c r="BI3877" s="477">
        <v>12126888.386684822</v>
      </c>
      <c r="BJ3877" s="458">
        <v>0.10747680746848864</v>
      </c>
      <c r="BK3877" s="477">
        <v>99484660.377371877</v>
      </c>
      <c r="BL3877" s="458">
        <v>0.2826355536116707</v>
      </c>
      <c r="BM3877" s="468">
        <v>3.296472356481372</v>
      </c>
    </row>
    <row r="3878" spans="12:65" x14ac:dyDescent="0.3">
      <c r="L3878" s="427">
        <v>-15627932.2958</v>
      </c>
      <c r="BE3878" s="477">
        <v>5641375.9630470648</v>
      </c>
      <c r="BF3878" s="458">
        <v>2.523551097320742E-2</v>
      </c>
      <c r="BG3878" s="477">
        <v>11816298.656146381</v>
      </c>
      <c r="BH3878" s="458">
        <v>3.6047184394793375E-2</v>
      </c>
      <c r="BI3878" s="477">
        <v>14309523.407468922</v>
      </c>
      <c r="BJ3878" s="458">
        <v>0.10128669905729915</v>
      </c>
      <c r="BK3878" s="477">
        <v>102731999.25483681</v>
      </c>
      <c r="BL3878" s="458">
        <v>0.2530221698783488</v>
      </c>
      <c r="BM3878" s="468">
        <v>13.923467322719347</v>
      </c>
    </row>
    <row r="3879" spans="12:65" x14ac:dyDescent="0.3">
      <c r="L3879" s="427">
        <v>442166.03259999998</v>
      </c>
      <c r="BE3879" s="477">
        <v>3453867.0387196369</v>
      </c>
      <c r="BF3879" s="458">
        <v>4.5463774271348179E-2</v>
      </c>
      <c r="BG3879" s="477">
        <v>6422340.1496658297</v>
      </c>
      <c r="BH3879" s="458">
        <v>7.221096938916749E-2</v>
      </c>
      <c r="BI3879" s="477">
        <v>17405566.309104383</v>
      </c>
      <c r="BJ3879" s="458">
        <v>5.544948626835855E-2</v>
      </c>
      <c r="BK3879" s="477">
        <v>81387250.691343933</v>
      </c>
      <c r="BL3879" s="458">
        <v>0.27304092652101186</v>
      </c>
      <c r="BM3879" s="468">
        <v>8.453802493101886</v>
      </c>
    </row>
    <row r="3880" spans="12:65" x14ac:dyDescent="0.3">
      <c r="L3880" s="427">
        <v>9679624.4901999999</v>
      </c>
      <c r="BE3880" s="477">
        <v>6286335.6270577442</v>
      </c>
      <c r="BF3880" s="458">
        <v>4.7342703544667186E-2</v>
      </c>
      <c r="BG3880" s="477">
        <v>13349265.442708664</v>
      </c>
      <c r="BH3880" s="458">
        <v>6.5666827474419209E-2</v>
      </c>
      <c r="BI3880" s="477">
        <v>12707822.968048817</v>
      </c>
      <c r="BJ3880" s="458">
        <v>9.3268697520785482E-2</v>
      </c>
      <c r="BK3880" s="477">
        <v>98983742.270840809</v>
      </c>
      <c r="BL3880" s="458">
        <v>0.31765608370032239</v>
      </c>
      <c r="BM3880" s="468">
        <v>14.494454518983902</v>
      </c>
    </row>
    <row r="3881" spans="12:65" x14ac:dyDescent="0.3">
      <c r="L3881" s="427">
        <v>17691276.964200001</v>
      </c>
      <c r="BE3881" s="477">
        <v>7118168.4099520417</v>
      </c>
      <c r="BF3881" s="458">
        <v>4.6209700245330998E-2</v>
      </c>
      <c r="BG3881" s="477">
        <v>11596980.47316063</v>
      </c>
      <c r="BH3881" s="458">
        <v>5.5701000262297073E-2</v>
      </c>
      <c r="BI3881" s="477">
        <v>22038682.332052305</v>
      </c>
      <c r="BJ3881" s="458">
        <v>0.12419162593414645</v>
      </c>
      <c r="BK3881" s="477">
        <v>84161201.149486616</v>
      </c>
      <c r="BL3881" s="458">
        <v>0.28424387542112339</v>
      </c>
      <c r="BM3881" s="468">
        <v>3.8015649537508303</v>
      </c>
    </row>
    <row r="3882" spans="12:65" x14ac:dyDescent="0.3">
      <c r="L3882" s="427">
        <v>2730462.5499</v>
      </c>
      <c r="BE3882" s="477">
        <v>3817424.0068925512</v>
      </c>
      <c r="BF3882" s="458">
        <v>6.9618001329211809E-2</v>
      </c>
      <c r="BG3882" s="477">
        <v>1170550.9122554599</v>
      </c>
      <c r="BH3882" s="458">
        <v>8.5549218959081186E-2</v>
      </c>
      <c r="BI3882" s="477">
        <v>13036691.171511279</v>
      </c>
      <c r="BJ3882" s="458">
        <v>0.11274336688268205</v>
      </c>
      <c r="BK3882" s="477">
        <v>85103049.384415686</v>
      </c>
      <c r="BL3882" s="458">
        <v>0.27521770243672727</v>
      </c>
      <c r="BM3882" s="468">
        <v>8.1449696369512736</v>
      </c>
    </row>
    <row r="3883" spans="12:65" x14ac:dyDescent="0.3">
      <c r="L3883" s="427">
        <v>11579096.4641</v>
      </c>
      <c r="BE3883" s="477">
        <v>3241509.1801806181</v>
      </c>
      <c r="BF3883" s="458">
        <v>3.3953057131197006E-2</v>
      </c>
      <c r="BG3883" s="477">
        <v>11444211.315169735</v>
      </c>
      <c r="BH3883" s="458">
        <v>6.8368807896776795E-2</v>
      </c>
      <c r="BI3883" s="477">
        <v>334090.91681065498</v>
      </c>
      <c r="BJ3883" s="458">
        <v>0.10649558904104528</v>
      </c>
      <c r="BK3883" s="477">
        <v>92508412.014317766</v>
      </c>
      <c r="BL3883" s="458">
        <v>0.27955154521725634</v>
      </c>
      <c r="BM3883" s="468">
        <v>3.9293122384384578</v>
      </c>
    </row>
    <row r="3884" spans="12:65" x14ac:dyDescent="0.3">
      <c r="L3884" s="427">
        <v>11200278.3002</v>
      </c>
      <c r="BE3884" s="477">
        <v>6457045.3490947429</v>
      </c>
      <c r="BF3884" s="458">
        <v>5.4994337544800098E-2</v>
      </c>
      <c r="BG3884" s="477">
        <v>9978363.2731577363</v>
      </c>
      <c r="BH3884" s="458">
        <v>5.5581589396689779E-2</v>
      </c>
      <c r="BI3884" s="477">
        <v>7979928.2940038554</v>
      </c>
      <c r="BJ3884" s="458">
        <v>0.13789331102945512</v>
      </c>
      <c r="BK3884" s="477">
        <v>88343658.600094706</v>
      </c>
      <c r="BL3884" s="458">
        <v>0.26558054657337804</v>
      </c>
      <c r="BM3884" s="468">
        <v>9.5048802218521633</v>
      </c>
    </row>
    <row r="3885" spans="12:65" x14ac:dyDescent="0.3">
      <c r="L3885" s="427">
        <v>17651650.9833</v>
      </c>
      <c r="BE3885" s="477">
        <v>8681633.4285405781</v>
      </c>
      <c r="BF3885" s="458">
        <v>4.0481082713209604E-2</v>
      </c>
      <c r="BG3885" s="477">
        <v>10072161.39584923</v>
      </c>
      <c r="BH3885" s="458">
        <v>4.0380442637357072E-2</v>
      </c>
      <c r="BI3885" s="477">
        <v>12104339.974364905</v>
      </c>
      <c r="BJ3885" s="458">
        <v>0.11608902688794576</v>
      </c>
      <c r="BK3885" s="477">
        <v>75393457.421213046</v>
      </c>
      <c r="BL3885" s="458">
        <v>0.25852628726713744</v>
      </c>
      <c r="BM3885" s="468">
        <v>6.7244665770552698</v>
      </c>
    </row>
    <row r="3886" spans="12:65" x14ac:dyDescent="0.3">
      <c r="L3886" s="427">
        <v>34640786.989399999</v>
      </c>
      <c r="BE3886" s="477">
        <v>5424599.1326294066</v>
      </c>
      <c r="BF3886" s="458">
        <v>4.1952776293870508E-2</v>
      </c>
      <c r="BG3886" s="477">
        <v>9555173.3930820972</v>
      </c>
      <c r="BH3886" s="458">
        <v>8.8864509775788525E-2</v>
      </c>
      <c r="BI3886" s="477">
        <v>13259210.125133948</v>
      </c>
      <c r="BJ3886" s="458">
        <v>9.0054194055811276E-2</v>
      </c>
      <c r="BK3886" s="477">
        <v>88373332.613783076</v>
      </c>
      <c r="BL3886" s="458">
        <v>0.27463343780941796</v>
      </c>
      <c r="BM3886" s="468">
        <v>5.9498664032679596</v>
      </c>
    </row>
    <row r="3887" spans="12:65" x14ac:dyDescent="0.3">
      <c r="L3887" s="427">
        <v>738672.91070000001</v>
      </c>
      <c r="BE3887" s="477">
        <v>10291633.615016133</v>
      </c>
      <c r="BF3887" s="458">
        <v>5.5865064587046653E-2</v>
      </c>
      <c r="BG3887" s="477">
        <v>3424893.5040909154</v>
      </c>
      <c r="BH3887" s="458">
        <v>6.5513850622964664E-2</v>
      </c>
      <c r="BI3887" s="477">
        <v>12579257.617901895</v>
      </c>
      <c r="BJ3887" s="458">
        <v>0.11967175884739456</v>
      </c>
      <c r="BK3887" s="477">
        <v>86097923.732584745</v>
      </c>
      <c r="BL3887" s="458">
        <v>0.26709683916770643</v>
      </c>
      <c r="BM3887" s="468">
        <v>7.7958208637271387</v>
      </c>
    </row>
    <row r="3888" spans="12:65" x14ac:dyDescent="0.3">
      <c r="L3888" s="427">
        <v>1042497.6287</v>
      </c>
      <c r="BE3888" s="477">
        <v>4428776.9512492456</v>
      </c>
      <c r="BF3888" s="458">
        <v>6.7990898084607787E-2</v>
      </c>
      <c r="BG3888" s="477">
        <v>10962522.531968631</v>
      </c>
      <c r="BH3888" s="458">
        <v>3.9539617726116028E-2</v>
      </c>
      <c r="BI3888" s="477">
        <v>12642283.654973553</v>
      </c>
      <c r="BJ3888" s="458">
        <v>0.1386299066272465</v>
      </c>
      <c r="BK3888" s="477">
        <v>79172606.155694038</v>
      </c>
      <c r="BL3888" s="458">
        <v>0.28010754106151836</v>
      </c>
      <c r="BM3888" s="468">
        <v>11.728735080553619</v>
      </c>
    </row>
    <row r="3889" spans="12:65" x14ac:dyDescent="0.3">
      <c r="L3889" s="427">
        <v>18163602.588599999</v>
      </c>
      <c r="BE3889" s="477">
        <v>9373135.5536052473</v>
      </c>
      <c r="BF3889" s="458">
        <v>4.9521108427092564E-2</v>
      </c>
      <c r="BG3889" s="477">
        <v>9881730.6218495928</v>
      </c>
      <c r="BH3889" s="458">
        <v>6.5842069437528128E-2</v>
      </c>
      <c r="BI3889" s="477">
        <v>19406567.688265845</v>
      </c>
      <c r="BJ3889" s="458">
        <v>0.12997448261826361</v>
      </c>
      <c r="BK3889" s="477">
        <v>81836311.124501735</v>
      </c>
      <c r="BL3889" s="458">
        <v>0.26714229048353233</v>
      </c>
      <c r="BM3889" s="468">
        <v>10.264519090550632</v>
      </c>
    </row>
    <row r="3890" spans="12:65" x14ac:dyDescent="0.3">
      <c r="L3890" s="427">
        <v>-705361.81149999995</v>
      </c>
      <c r="BE3890" s="477">
        <v>7931125.7474351907</v>
      </c>
      <c r="BF3890" s="458">
        <v>2.8639028693349111E-2</v>
      </c>
      <c r="BG3890" s="477">
        <v>5615932.5132194487</v>
      </c>
      <c r="BH3890" s="458">
        <v>5.1538939356827962E-2</v>
      </c>
      <c r="BI3890" s="477">
        <v>21111853.27649162</v>
      </c>
      <c r="BJ3890" s="458">
        <v>0.10755471994696375</v>
      </c>
      <c r="BK3890" s="477">
        <v>92379036.483043581</v>
      </c>
      <c r="BL3890" s="458">
        <v>0.26230646139091185</v>
      </c>
      <c r="BM3890" s="468">
        <v>1.6724772256306819</v>
      </c>
    </row>
    <row r="3891" spans="12:65" x14ac:dyDescent="0.3">
      <c r="L3891" s="427">
        <v>-8984958.0935999993</v>
      </c>
      <c r="BE3891" s="477">
        <v>3832937.9527129759</v>
      </c>
      <c r="BF3891" s="458">
        <v>6.0207575374448208E-2</v>
      </c>
      <c r="BG3891" s="477">
        <v>4051917.8805127116</v>
      </c>
      <c r="BH3891" s="458">
        <v>4.0372727648437357E-2</v>
      </c>
      <c r="BI3891" s="477">
        <v>19500647.035774745</v>
      </c>
      <c r="BJ3891" s="458">
        <v>0.11497544157116368</v>
      </c>
      <c r="BK3891" s="477">
        <v>95541287.483797118</v>
      </c>
      <c r="BL3891" s="458">
        <v>0.26641583947917402</v>
      </c>
      <c r="BM3891" s="468">
        <v>6.0635477979691217</v>
      </c>
    </row>
    <row r="3892" spans="12:65" x14ac:dyDescent="0.3">
      <c r="L3892" s="427">
        <v>9211557.1699999999</v>
      </c>
      <c r="BE3892" s="477">
        <v>9146131.1181712411</v>
      </c>
      <c r="BF3892" s="458">
        <v>5.0221775568363158E-2</v>
      </c>
      <c r="BG3892" s="477">
        <v>8997993.5108775441</v>
      </c>
      <c r="BH3892" s="458">
        <v>3.1574506023838822E-2</v>
      </c>
      <c r="BI3892" s="477">
        <v>20340803.371471003</v>
      </c>
      <c r="BJ3892" s="458">
        <v>0.11171548767632533</v>
      </c>
      <c r="BK3892" s="477">
        <v>88987729.059239522</v>
      </c>
      <c r="BL3892" s="458">
        <v>0.26480302217689933</v>
      </c>
      <c r="BM3892" s="468">
        <v>7.6205424152794095</v>
      </c>
    </row>
    <row r="3893" spans="12:65" x14ac:dyDescent="0.3">
      <c r="L3893" s="427">
        <v>375635.9412</v>
      </c>
      <c r="BE3893" s="477">
        <v>4445640.3134150403</v>
      </c>
      <c r="BF3893" s="458">
        <v>4.3387679486087238E-2</v>
      </c>
      <c r="BG3893" s="477">
        <v>12684061.190475222</v>
      </c>
      <c r="BH3893" s="458">
        <v>8.6744407478511754E-2</v>
      </c>
      <c r="BI3893" s="477">
        <v>16683134.81502104</v>
      </c>
      <c r="BJ3893" s="458">
        <v>9.7302623946184497E-2</v>
      </c>
      <c r="BK3893" s="477">
        <v>99650405.519847244</v>
      </c>
      <c r="BL3893" s="458">
        <v>0.25265023901970807</v>
      </c>
      <c r="BM3893" s="468">
        <v>5.7956154562132562</v>
      </c>
    </row>
    <row r="3894" spans="12:65" x14ac:dyDescent="0.3">
      <c r="L3894" s="427">
        <v>111608.2015</v>
      </c>
      <c r="BE3894" s="477">
        <v>3559115.7891884637</v>
      </c>
      <c r="BF3894" s="458">
        <v>4.3435684172820066E-2</v>
      </c>
      <c r="BG3894" s="477">
        <v>8891015.8314298503</v>
      </c>
      <c r="BH3894" s="458">
        <v>8.6814178237667905E-2</v>
      </c>
      <c r="BI3894" s="477">
        <v>15896700.475075383</v>
      </c>
      <c r="BJ3894" s="458">
        <v>0.1017106001812127</v>
      </c>
      <c r="BK3894" s="477">
        <v>100029578.55655918</v>
      </c>
      <c r="BL3894" s="458">
        <v>0.26148068289751225</v>
      </c>
      <c r="BM3894" s="468">
        <v>8.4344653771991602</v>
      </c>
    </row>
    <row r="3895" spans="12:65" x14ac:dyDescent="0.3">
      <c r="L3895" s="427">
        <v>14590568.3188</v>
      </c>
      <c r="BE3895" s="477">
        <v>2066809.4174398435</v>
      </c>
      <c r="BF3895" s="458">
        <v>-8.3123911928082439E-3</v>
      </c>
      <c r="BG3895" s="477">
        <v>5228390.7318774462</v>
      </c>
      <c r="BH3895" s="458">
        <v>7.08281045979966E-2</v>
      </c>
      <c r="BI3895" s="477">
        <v>9353034.0753978323</v>
      </c>
      <c r="BJ3895" s="458">
        <v>9.3756288359059692E-2</v>
      </c>
      <c r="BK3895" s="477">
        <v>86016795.613407105</v>
      </c>
      <c r="BL3895" s="458">
        <v>0.26098752993695484</v>
      </c>
      <c r="BM3895" s="468">
        <v>12.707635662566741</v>
      </c>
    </row>
    <row r="3896" spans="12:65" x14ac:dyDescent="0.3">
      <c r="L3896" s="427">
        <v>13427865.997</v>
      </c>
      <c r="BE3896" s="477">
        <v>4117512.6427111342</v>
      </c>
      <c r="BF3896" s="458">
        <v>4.5687236606427817E-2</v>
      </c>
      <c r="BG3896" s="477">
        <v>13630629.65069285</v>
      </c>
      <c r="BH3896" s="458">
        <v>7.0049915263764362E-2</v>
      </c>
      <c r="BI3896" s="477">
        <v>20813606.762922142</v>
      </c>
      <c r="BJ3896" s="458">
        <v>0.11471070417523865</v>
      </c>
      <c r="BK3896" s="477">
        <v>96746824.150143325</v>
      </c>
      <c r="BL3896" s="458">
        <v>0.26660633648389176</v>
      </c>
      <c r="BM3896" s="468">
        <v>7.4922738201501575</v>
      </c>
    </row>
    <row r="3897" spans="12:65" x14ac:dyDescent="0.3">
      <c r="L3897" s="427">
        <v>23576560.6204</v>
      </c>
      <c r="BE3897" s="477">
        <v>1379478.87907694</v>
      </c>
      <c r="BF3897" s="458">
        <v>3.8785073011996962E-2</v>
      </c>
      <c r="BG3897" s="477">
        <v>10729434.449175784</v>
      </c>
      <c r="BH3897" s="458">
        <v>5.09944119422161E-2</v>
      </c>
      <c r="BI3897" s="477">
        <v>21517399.308292553</v>
      </c>
      <c r="BJ3897" s="458">
        <v>0.11491919109181703</v>
      </c>
      <c r="BK3897" s="477">
        <v>90564719.902950063</v>
      </c>
      <c r="BL3897" s="458">
        <v>0.26456736712850515</v>
      </c>
      <c r="BM3897" s="468">
        <v>7.9219651996342284</v>
      </c>
    </row>
    <row r="3898" spans="12:65" x14ac:dyDescent="0.3">
      <c r="L3898" s="427">
        <v>-9923219.6832999997</v>
      </c>
      <c r="BE3898" s="477">
        <v>3395301.0996321384</v>
      </c>
      <c r="BF3898" s="458">
        <v>5.2282027249840546E-2</v>
      </c>
      <c r="BG3898" s="477">
        <v>3011931.5140717025</v>
      </c>
      <c r="BH3898" s="458">
        <v>5.2239848146252932E-2</v>
      </c>
      <c r="BI3898" s="477">
        <v>20541734.229950577</v>
      </c>
      <c r="BJ3898" s="458">
        <v>0.1009746573887933</v>
      </c>
      <c r="BK3898" s="477">
        <v>79954690.74627462</v>
      </c>
      <c r="BL3898" s="458">
        <v>0.26825028361952308</v>
      </c>
      <c r="BM3898" s="468">
        <v>6.939496804517959</v>
      </c>
    </row>
    <row r="3899" spans="12:65" x14ac:dyDescent="0.3">
      <c r="L3899" s="427">
        <v>420806.66690000001</v>
      </c>
      <c r="BE3899" s="477">
        <v>2161585.8694676142</v>
      </c>
      <c r="BF3899" s="458">
        <v>3.147465379106551E-2</v>
      </c>
      <c r="BG3899" s="477">
        <v>9189110.8531496935</v>
      </c>
      <c r="BH3899" s="458">
        <v>4.695752631372585E-2</v>
      </c>
      <c r="BI3899" s="477">
        <v>15092910.749909919</v>
      </c>
      <c r="BJ3899" s="458">
        <v>0.10919216796303322</v>
      </c>
      <c r="BK3899" s="477">
        <v>102935716.78301874</v>
      </c>
      <c r="BL3899" s="458">
        <v>0.30150044618553351</v>
      </c>
      <c r="BM3899" s="468">
        <v>9.550527323197155</v>
      </c>
    </row>
    <row r="3900" spans="12:65" x14ac:dyDescent="0.3">
      <c r="L3900" s="427">
        <v>19265975.9474</v>
      </c>
      <c r="BE3900" s="477">
        <v>10322919.028956169</v>
      </c>
      <c r="BF3900" s="458">
        <v>4.6796350203336612E-2</v>
      </c>
      <c r="BG3900" s="477">
        <v>10732820.401921665</v>
      </c>
      <c r="BH3900" s="458">
        <v>5.3833795833784448E-2</v>
      </c>
      <c r="BI3900" s="477">
        <v>26893873.694989264</v>
      </c>
      <c r="BJ3900" s="458">
        <v>0.10190609358157054</v>
      </c>
      <c r="BK3900" s="477">
        <v>89235327.561156765</v>
      </c>
      <c r="BL3900" s="458">
        <v>0.28506281925374122</v>
      </c>
      <c r="BM3900" s="468">
        <v>4.3606185066713445</v>
      </c>
    </row>
    <row r="3901" spans="12:65" x14ac:dyDescent="0.3">
      <c r="L3901" s="427">
        <v>12242349.0846</v>
      </c>
      <c r="BE3901" s="477">
        <v>5828764.4813330816</v>
      </c>
      <c r="BF3901" s="458">
        <v>4.9744092104984317E-2</v>
      </c>
      <c r="BG3901" s="477">
        <v>6291363.7564301305</v>
      </c>
      <c r="BH3901" s="458">
        <v>5.7848260983665245E-2</v>
      </c>
      <c r="BI3901" s="477">
        <v>10898385.456229309</v>
      </c>
      <c r="BJ3901" s="458">
        <v>0.11504179081511001</v>
      </c>
      <c r="BK3901" s="477">
        <v>91094503.708029956</v>
      </c>
      <c r="BL3901" s="458">
        <v>0.25483346132099904</v>
      </c>
      <c r="BM3901" s="468">
        <v>8.4769039713799579</v>
      </c>
    </row>
    <row r="3902" spans="12:65" x14ac:dyDescent="0.3">
      <c r="L3902" s="427">
        <v>251270.60620000001</v>
      </c>
      <c r="BE3902" s="477">
        <v>6740356.8565715756</v>
      </c>
      <c r="BF3902" s="458">
        <v>2.5968017496723839E-2</v>
      </c>
      <c r="BG3902" s="477">
        <v>9304610.0436677281</v>
      </c>
      <c r="BH3902" s="458">
        <v>3.9043202886666961E-2</v>
      </c>
      <c r="BI3902" s="477">
        <v>21430250.647276599</v>
      </c>
      <c r="BJ3902" s="458">
        <v>0.11342867798496736</v>
      </c>
      <c r="BK3902" s="477">
        <v>90877723.217432112</v>
      </c>
      <c r="BL3902" s="458">
        <v>0.25350761778413133</v>
      </c>
      <c r="BM3902" s="468">
        <v>7.9195629015392397</v>
      </c>
    </row>
    <row r="3903" spans="12:65" x14ac:dyDescent="0.3">
      <c r="L3903" s="427">
        <v>-6905126.1096000001</v>
      </c>
      <c r="BE3903" s="477">
        <v>6409958.3662664853</v>
      </c>
      <c r="BF3903" s="458">
        <v>2.6557876485791443E-2</v>
      </c>
      <c r="BG3903" s="477">
        <v>7319617.2045771806</v>
      </c>
      <c r="BH3903" s="458">
        <v>9.4527408877660868E-2</v>
      </c>
      <c r="BI3903" s="477">
        <v>17898930.871622443</v>
      </c>
      <c r="BJ3903" s="458">
        <v>9.7442350490104745E-2</v>
      </c>
      <c r="BK3903" s="477">
        <v>99709651.193238884</v>
      </c>
      <c r="BL3903" s="458">
        <v>0.26832543002487652</v>
      </c>
      <c r="BM3903" s="468">
        <v>11.176755253642401</v>
      </c>
    </row>
    <row r="3904" spans="12:65" x14ac:dyDescent="0.3">
      <c r="L3904" s="427">
        <v>5510017.5445999997</v>
      </c>
      <c r="BE3904" s="477">
        <v>8015743.3265327653</v>
      </c>
      <c r="BF3904" s="458">
        <v>6.0551859898636096E-2</v>
      </c>
      <c r="BG3904" s="477">
        <v>3730090.7037201007</v>
      </c>
      <c r="BH3904" s="458">
        <v>6.4946084546203542E-2</v>
      </c>
      <c r="BI3904" s="477">
        <v>14275340.206454609</v>
      </c>
      <c r="BJ3904" s="458">
        <v>0.11478536096879721</v>
      </c>
      <c r="BK3904" s="477">
        <v>95321647.760587335</v>
      </c>
      <c r="BL3904" s="458">
        <v>0.26489067178006054</v>
      </c>
      <c r="BM3904" s="468">
        <v>5.7577327990380596</v>
      </c>
    </row>
    <row r="3905" spans="12:65" x14ac:dyDescent="0.3">
      <c r="L3905" s="427">
        <v>14581671.2578</v>
      </c>
      <c r="BE3905" s="477">
        <v>8637369.7471658606</v>
      </c>
      <c r="BF3905" s="458">
        <v>3.9631200717298309E-2</v>
      </c>
      <c r="BG3905" s="477">
        <v>12983468.388322815</v>
      </c>
      <c r="BH3905" s="458">
        <v>5.5822469677912157E-2</v>
      </c>
      <c r="BI3905" s="477">
        <v>14152033.628519697</v>
      </c>
      <c r="BJ3905" s="458">
        <v>9.5995363322305183E-2</v>
      </c>
      <c r="BK3905" s="477">
        <v>86951487.107275456</v>
      </c>
      <c r="BL3905" s="458">
        <v>0.25358131234339321</v>
      </c>
      <c r="BM3905" s="468">
        <v>6.7007933942485076</v>
      </c>
    </row>
    <row r="3906" spans="12:65" x14ac:dyDescent="0.3">
      <c r="L3906" s="427">
        <v>-2851944.3703999999</v>
      </c>
      <c r="BE3906" s="477">
        <v>2283905.4630353679</v>
      </c>
      <c r="BF3906" s="458">
        <v>5.7732012866203108E-2</v>
      </c>
      <c r="BG3906" s="477">
        <v>10786776.46842677</v>
      </c>
      <c r="BH3906" s="458">
        <v>4.5365074726827714E-2</v>
      </c>
      <c r="BI3906" s="477">
        <v>15989513.32391509</v>
      </c>
      <c r="BJ3906" s="458">
        <v>0.14007441784994867</v>
      </c>
      <c r="BK3906" s="477">
        <v>95756710.891629219</v>
      </c>
      <c r="BL3906" s="458">
        <v>0.25911870800603287</v>
      </c>
      <c r="BM3906" s="468">
        <v>12.778997229897085</v>
      </c>
    </row>
    <row r="3907" spans="12:65" x14ac:dyDescent="0.3">
      <c r="L3907" s="427">
        <v>-21030381.791700002</v>
      </c>
      <c r="BE3907" s="477">
        <v>7335732.794546064</v>
      </c>
      <c r="BF3907" s="458">
        <v>4.8135593270116184E-2</v>
      </c>
      <c r="BG3907" s="477">
        <v>12923582.971093124</v>
      </c>
      <c r="BH3907" s="458">
        <v>5.4756413005538018E-2</v>
      </c>
      <c r="BI3907" s="477">
        <v>12054071.408817289</v>
      </c>
      <c r="BJ3907" s="458">
        <v>0.11156044779510577</v>
      </c>
      <c r="BK3907" s="477">
        <v>82533031.564616799</v>
      </c>
      <c r="BL3907" s="458">
        <v>0.25682948783953696</v>
      </c>
      <c r="BM3907" s="468">
        <v>6.5444068500328179</v>
      </c>
    </row>
    <row r="3908" spans="12:65" x14ac:dyDescent="0.3">
      <c r="L3908" s="427">
        <v>12503909.899700001</v>
      </c>
      <c r="BE3908" s="477">
        <v>4346985.3267090339</v>
      </c>
      <c r="BF3908" s="458">
        <v>4.9703840410199041E-2</v>
      </c>
      <c r="BG3908" s="477">
        <v>13157854.545373756</v>
      </c>
      <c r="BH3908" s="458">
        <v>6.3743109900663342E-2</v>
      </c>
      <c r="BI3908" s="477">
        <v>12888281.229914673</v>
      </c>
      <c r="BJ3908" s="458">
        <v>9.1524955573909939E-2</v>
      </c>
      <c r="BK3908" s="477">
        <v>81749501.298280567</v>
      </c>
      <c r="BL3908" s="458">
        <v>0.24635332221056871</v>
      </c>
      <c r="BM3908" s="468">
        <v>0.43422513961840892</v>
      </c>
    </row>
    <row r="3909" spans="12:65" x14ac:dyDescent="0.3">
      <c r="L3909" s="427">
        <v>21965171.471500002</v>
      </c>
      <c r="BE3909" s="477">
        <v>9003221.0639053881</v>
      </c>
      <c r="BF3909" s="458">
        <v>4.249755859084714E-2</v>
      </c>
      <c r="BG3909" s="477">
        <v>15175557.694975372</v>
      </c>
      <c r="BH3909" s="458">
        <v>5.8721576089804772E-2</v>
      </c>
      <c r="BI3909" s="477">
        <v>10264308.175150719</v>
      </c>
      <c r="BJ3909" s="458">
        <v>8.9935797316327504E-2</v>
      </c>
      <c r="BK3909" s="477">
        <v>79750426.34477286</v>
      </c>
      <c r="BL3909" s="458">
        <v>0.25893141858759483</v>
      </c>
      <c r="BM3909" s="468">
        <v>7.8489443808810151</v>
      </c>
    </row>
    <row r="3910" spans="12:65" x14ac:dyDescent="0.3">
      <c r="L3910" s="427">
        <v>-11542911.669600001</v>
      </c>
      <c r="BE3910" s="477">
        <v>7072437.3443524083</v>
      </c>
      <c r="BF3910" s="458">
        <v>4.7189848366757214E-2</v>
      </c>
      <c r="BG3910" s="477">
        <v>6331164.1470437543</v>
      </c>
      <c r="BH3910" s="458">
        <v>7.5373832518033979E-2</v>
      </c>
      <c r="BI3910" s="477">
        <v>15638448.416493701</v>
      </c>
      <c r="BJ3910" s="458">
        <v>0.10746247123589958</v>
      </c>
      <c r="BK3910" s="477">
        <v>82537901.110143661</v>
      </c>
      <c r="BL3910" s="458">
        <v>0.28276563556728318</v>
      </c>
      <c r="BM3910" s="468">
        <v>3.6616119394821833</v>
      </c>
    </row>
    <row r="3911" spans="12:65" x14ac:dyDescent="0.3">
      <c r="L3911" s="427">
        <v>6559609.2478999998</v>
      </c>
      <c r="BE3911" s="477">
        <v>8332326.9969683494</v>
      </c>
      <c r="BF3911" s="458">
        <v>4.8543532250690191E-2</v>
      </c>
      <c r="BG3911" s="477">
        <v>7452728.1818478508</v>
      </c>
      <c r="BH3911" s="458">
        <v>5.4271130250959976E-2</v>
      </c>
      <c r="BI3911" s="477">
        <v>8867145.3187110126</v>
      </c>
      <c r="BJ3911" s="458">
        <v>9.9310746522344395E-2</v>
      </c>
      <c r="BK3911" s="477">
        <v>92071663.735550821</v>
      </c>
      <c r="BL3911" s="458">
        <v>0.26062349817976105</v>
      </c>
      <c r="BM3911" s="468">
        <v>7.2492380295476462</v>
      </c>
    </row>
    <row r="3912" spans="12:65" x14ac:dyDescent="0.3">
      <c r="L3912" s="427">
        <v>11715067.274499999</v>
      </c>
      <c r="BE3912" s="477">
        <v>-378833.03924284352</v>
      </c>
      <c r="BF3912" s="458">
        <v>5.6255605025301803E-2</v>
      </c>
      <c r="BG3912" s="477">
        <v>8752663.2482231315</v>
      </c>
      <c r="BH3912" s="458">
        <v>5.93741739016731E-2</v>
      </c>
      <c r="BI3912" s="477">
        <v>19328638.284211349</v>
      </c>
      <c r="BJ3912" s="458">
        <v>0.11634067097672784</v>
      </c>
      <c r="BK3912" s="477">
        <v>90131656.182206839</v>
      </c>
      <c r="BL3912" s="458">
        <v>0.29842036795421101</v>
      </c>
      <c r="BM3912" s="468">
        <v>4.3075242005516436</v>
      </c>
    </row>
    <row r="3913" spans="12:65" x14ac:dyDescent="0.3">
      <c r="L3913" s="427">
        <v>16887790.925500002</v>
      </c>
      <c r="BE3913" s="477">
        <v>6852987.9901088281</v>
      </c>
      <c r="BF3913" s="458">
        <v>3.541792857427617E-2</v>
      </c>
      <c r="BG3913" s="477">
        <v>2367741.529791072</v>
      </c>
      <c r="BH3913" s="458">
        <v>5.8188894597621443E-2</v>
      </c>
      <c r="BI3913" s="477">
        <v>22588754.726492073</v>
      </c>
      <c r="BJ3913" s="458">
        <v>0.11667185499961752</v>
      </c>
      <c r="BK3913" s="477">
        <v>88400866.025735304</v>
      </c>
      <c r="BL3913" s="458">
        <v>0.26679741135543655</v>
      </c>
      <c r="BM3913" s="468">
        <v>6.0112837319614094</v>
      </c>
    </row>
    <row r="3914" spans="12:65" x14ac:dyDescent="0.3">
      <c r="L3914" s="427">
        <v>8140619.2559000002</v>
      </c>
      <c r="BE3914" s="477">
        <v>5128509.4271773715</v>
      </c>
      <c r="BF3914" s="458">
        <v>3.7985385153642248E-2</v>
      </c>
      <c r="BG3914" s="477">
        <v>7274779.0693247849</v>
      </c>
      <c r="BH3914" s="458">
        <v>6.8855664629523083E-2</v>
      </c>
      <c r="BI3914" s="477">
        <v>24000781.717680246</v>
      </c>
      <c r="BJ3914" s="458">
        <v>0.10523480826346643</v>
      </c>
      <c r="BK3914" s="477">
        <v>93373679.92206867</v>
      </c>
      <c r="BL3914" s="458">
        <v>0.28937342391732335</v>
      </c>
      <c r="BM3914" s="468">
        <v>7.3275532817871101</v>
      </c>
    </row>
    <row r="3915" spans="12:65" x14ac:dyDescent="0.3">
      <c r="L3915" s="427">
        <v>24050396.1175</v>
      </c>
      <c r="BE3915" s="477">
        <v>6897324.7065070616</v>
      </c>
      <c r="BF3915" s="458">
        <v>3.8596817169977982E-2</v>
      </c>
      <c r="BG3915" s="477">
        <v>15962522.319609534</v>
      </c>
      <c r="BH3915" s="458">
        <v>7.4432895954603451E-2</v>
      </c>
      <c r="BI3915" s="477">
        <v>21623083.904762469</v>
      </c>
      <c r="BJ3915" s="458">
        <v>0.10544643792143571</v>
      </c>
      <c r="BK3915" s="477">
        <v>82944468.940639362</v>
      </c>
      <c r="BL3915" s="458">
        <v>0.28299101745891253</v>
      </c>
      <c r="BM3915" s="468">
        <v>7.6546726813714052</v>
      </c>
    </row>
    <row r="3916" spans="12:65" x14ac:dyDescent="0.3">
      <c r="L3916" s="427">
        <v>1936256.5127999999</v>
      </c>
      <c r="BE3916" s="477">
        <v>1874605.2374840849</v>
      </c>
      <c r="BF3916" s="458">
        <v>4.7184819903291597E-2</v>
      </c>
      <c r="BG3916" s="477">
        <v>4587886.2967381291</v>
      </c>
      <c r="BH3916" s="458">
        <v>9.6617692558839341E-2</v>
      </c>
      <c r="BI3916" s="477">
        <v>17898950.521828812</v>
      </c>
      <c r="BJ3916" s="458">
        <v>9.9013526955502584E-2</v>
      </c>
      <c r="BK3916" s="477">
        <v>91239955.475286737</v>
      </c>
      <c r="BL3916" s="458">
        <v>0.2618928453094973</v>
      </c>
      <c r="BM3916" s="468">
        <v>9.2352517438961375</v>
      </c>
    </row>
    <row r="3917" spans="12:65" x14ac:dyDescent="0.3">
      <c r="L3917" s="427">
        <v>18175542.491300002</v>
      </c>
      <c r="BE3917" s="477">
        <v>7641253.638696772</v>
      </c>
      <c r="BF3917" s="458">
        <v>4.7276990795325435E-2</v>
      </c>
      <c r="BG3917" s="477">
        <v>7601753.3260007389</v>
      </c>
      <c r="BH3917" s="458">
        <v>7.6573793716234517E-2</v>
      </c>
      <c r="BI3917" s="477">
        <v>16067016.588955024</v>
      </c>
      <c r="BJ3917" s="458">
        <v>0.10395979135235289</v>
      </c>
      <c r="BK3917" s="477">
        <v>90655714.085532263</v>
      </c>
      <c r="BL3917" s="458">
        <v>0.28011682302362018</v>
      </c>
      <c r="BM3917" s="468">
        <v>11.169414937120569</v>
      </c>
    </row>
    <row r="3918" spans="12:65" x14ac:dyDescent="0.3">
      <c r="L3918" s="427">
        <v>4897680.5428999998</v>
      </c>
      <c r="BE3918" s="477">
        <v>4681729.8859160552</v>
      </c>
      <c r="BF3918" s="458">
        <v>3.3516160610909562E-2</v>
      </c>
      <c r="BG3918" s="477">
        <v>14785252.91562815</v>
      </c>
      <c r="BH3918" s="458">
        <v>6.68218575021573E-2</v>
      </c>
      <c r="BI3918" s="477">
        <v>19568089.139979329</v>
      </c>
      <c r="BJ3918" s="458">
        <v>0.11971006646310278</v>
      </c>
      <c r="BK3918" s="477">
        <v>95825982.221764982</v>
      </c>
      <c r="BL3918" s="458">
        <v>0.26860660689253435</v>
      </c>
      <c r="BM3918" s="468">
        <v>2.0833150884638165</v>
      </c>
    </row>
    <row r="3919" spans="12:65" x14ac:dyDescent="0.3">
      <c r="L3919" s="427">
        <v>24225492.369100001</v>
      </c>
      <c r="BE3919" s="477">
        <v>7604799.7014284562</v>
      </c>
      <c r="BF3919" s="458">
        <v>3.26333060520414E-2</v>
      </c>
      <c r="BG3919" s="477">
        <v>13321137.059887694</v>
      </c>
      <c r="BH3919" s="458">
        <v>0.100086807381359</v>
      </c>
      <c r="BI3919" s="477">
        <v>13055850.116274718</v>
      </c>
      <c r="BJ3919" s="458">
        <v>0.10443655870890511</v>
      </c>
      <c r="BK3919" s="477">
        <v>95353939.798409075</v>
      </c>
      <c r="BL3919" s="458">
        <v>0.26703160850426744</v>
      </c>
      <c r="BM3919" s="468">
        <v>6.8405587923218603</v>
      </c>
    </row>
    <row r="3920" spans="12:65" x14ac:dyDescent="0.3">
      <c r="L3920" s="427">
        <v>18508718.865200002</v>
      </c>
      <c r="BE3920" s="477">
        <v>8585553.6785515677</v>
      </c>
      <c r="BF3920" s="458">
        <v>4.6485314942245504E-2</v>
      </c>
      <c r="BG3920" s="477">
        <v>54137.71344362761</v>
      </c>
      <c r="BH3920" s="458">
        <v>7.6491332593165762E-2</v>
      </c>
      <c r="BI3920" s="477">
        <v>13987396.421769954</v>
      </c>
      <c r="BJ3920" s="458">
        <v>9.0876018457845653E-2</v>
      </c>
      <c r="BK3920" s="477">
        <v>95924095.744318441</v>
      </c>
      <c r="BL3920" s="458">
        <v>0.28340877642056106</v>
      </c>
      <c r="BM3920" s="468">
        <v>5.0067838857044702</v>
      </c>
    </row>
    <row r="3921" spans="12:65" x14ac:dyDescent="0.3">
      <c r="L3921" s="427">
        <v>22849993.895799998</v>
      </c>
      <c r="BE3921" s="477">
        <v>7634241.9378499035</v>
      </c>
      <c r="BF3921" s="458">
        <v>4.2319276832122998E-2</v>
      </c>
      <c r="BG3921" s="477">
        <v>7844061.5728453137</v>
      </c>
      <c r="BH3921" s="458">
        <v>6.2022402274367172E-2</v>
      </c>
      <c r="BI3921" s="477">
        <v>22569443.734099124</v>
      </c>
      <c r="BJ3921" s="458">
        <v>7.6500643152252801E-2</v>
      </c>
      <c r="BK3921" s="477">
        <v>97362571.283471271</v>
      </c>
      <c r="BL3921" s="458">
        <v>0.26501870238498926</v>
      </c>
      <c r="BM3921" s="468">
        <v>6.2674094316902069</v>
      </c>
    </row>
    <row r="3922" spans="12:65" x14ac:dyDescent="0.3">
      <c r="L3922" s="427">
        <v>5534411.9732999997</v>
      </c>
      <c r="BE3922" s="477">
        <v>4672340.3965287805</v>
      </c>
      <c r="BF3922" s="458">
        <v>3.4724563168810674E-2</v>
      </c>
      <c r="BG3922" s="477">
        <v>287043.261828869</v>
      </c>
      <c r="BH3922" s="458">
        <v>6.7052275886484214E-2</v>
      </c>
      <c r="BI3922" s="477">
        <v>19254273.265217617</v>
      </c>
      <c r="BJ3922" s="458">
        <v>9.7180706995435573E-2</v>
      </c>
      <c r="BK3922" s="477">
        <v>90043482.858866647</v>
      </c>
      <c r="BL3922" s="458">
        <v>0.27245855818450226</v>
      </c>
      <c r="BM3922" s="468">
        <v>1.527983646783488</v>
      </c>
    </row>
    <row r="3923" spans="12:65" x14ac:dyDescent="0.3">
      <c r="L3923" s="427">
        <v>22697960.545499999</v>
      </c>
      <c r="BE3923" s="477">
        <v>9275347.9984993227</v>
      </c>
      <c r="BF3923" s="458">
        <v>5.896108669234712E-2</v>
      </c>
      <c r="BG3923" s="477">
        <v>457102.16701259668</v>
      </c>
      <c r="BH3923" s="458">
        <v>6.8083770893347051E-2</v>
      </c>
      <c r="BI3923" s="477">
        <v>18165298.326716535</v>
      </c>
      <c r="BJ3923" s="458">
        <v>0.13903877575898549</v>
      </c>
      <c r="BK3923" s="477">
        <v>82369171.003424853</v>
      </c>
      <c r="BL3923" s="458">
        <v>0.25039664816514695</v>
      </c>
      <c r="BM3923" s="468">
        <v>8.0353030341725411</v>
      </c>
    </row>
    <row r="3924" spans="12:65" x14ac:dyDescent="0.3">
      <c r="L3924" s="427">
        <v>11973721.5188</v>
      </c>
      <c r="BE3924" s="477">
        <v>2491873.2784394291</v>
      </c>
      <c r="BF3924" s="458">
        <v>3.0925644843942113E-2</v>
      </c>
      <c r="BG3924" s="477">
        <v>10754314.20131911</v>
      </c>
      <c r="BH3924" s="458">
        <v>4.6226448383112961E-2</v>
      </c>
      <c r="BI3924" s="477">
        <v>19630168.225107443</v>
      </c>
      <c r="BJ3924" s="458">
        <v>0.1270763916417208</v>
      </c>
      <c r="BK3924" s="477">
        <v>88542474.906867936</v>
      </c>
      <c r="BL3924" s="458">
        <v>0.29519767826006826</v>
      </c>
      <c r="BM3924" s="468">
        <v>10.052992929884185</v>
      </c>
    </row>
    <row r="3925" spans="12:65" x14ac:dyDescent="0.3">
      <c r="L3925" s="427">
        <v>4425083.3547999999</v>
      </c>
      <c r="BE3925" s="477">
        <v>8088757.8021204025</v>
      </c>
      <c r="BF3925" s="458">
        <v>2.8424396602787061E-2</v>
      </c>
      <c r="BG3925" s="477">
        <v>7601163.3343882775</v>
      </c>
      <c r="BH3925" s="458">
        <v>6.7997664067328767E-2</v>
      </c>
      <c r="BI3925" s="477">
        <v>14109107.097312126</v>
      </c>
      <c r="BJ3925" s="458">
        <v>0.14544234371002696</v>
      </c>
      <c r="BK3925" s="477">
        <v>65418886.553266913</v>
      </c>
      <c r="BL3925" s="458">
        <v>0.2795440758442953</v>
      </c>
      <c r="BM3925" s="468">
        <v>11.491557676864147</v>
      </c>
    </row>
    <row r="3926" spans="12:65" x14ac:dyDescent="0.3">
      <c r="L3926" s="427">
        <v>-3376500.1466000001</v>
      </c>
      <c r="BE3926" s="477">
        <v>7723147.1876703231</v>
      </c>
      <c r="BF3926" s="458">
        <v>2.7546551778756978E-2</v>
      </c>
      <c r="BG3926" s="477">
        <v>14508614.707923234</v>
      </c>
      <c r="BH3926" s="458">
        <v>5.7870829582802763E-2</v>
      </c>
      <c r="BI3926" s="477">
        <v>13814246.891415711</v>
      </c>
      <c r="BJ3926" s="458">
        <v>9.5177407439497541E-2</v>
      </c>
      <c r="BK3926" s="477">
        <v>97286873.406498492</v>
      </c>
      <c r="BL3926" s="458">
        <v>0.28940058125122947</v>
      </c>
      <c r="BM3926" s="468">
        <v>10.221463789780714</v>
      </c>
    </row>
    <row r="3927" spans="12:65" x14ac:dyDescent="0.3">
      <c r="L3927" s="427">
        <v>9781184.3883999996</v>
      </c>
      <c r="BE3927" s="477">
        <v>4986191.3120206632</v>
      </c>
      <c r="BF3927" s="458">
        <v>3.8949224866180021E-2</v>
      </c>
      <c r="BG3927" s="477">
        <v>8366849.5913501168</v>
      </c>
      <c r="BH3927" s="458">
        <v>4.4442133280822915E-2</v>
      </c>
      <c r="BI3927" s="477">
        <v>14712829.76005774</v>
      </c>
      <c r="BJ3927" s="458">
        <v>0.1099805237954754</v>
      </c>
      <c r="BK3927" s="477">
        <v>90456228.868661493</v>
      </c>
      <c r="BL3927" s="458">
        <v>0.26465660949375369</v>
      </c>
      <c r="BM3927" s="468">
        <v>10.389757361805957</v>
      </c>
    </row>
    <row r="3928" spans="12:65" x14ac:dyDescent="0.3">
      <c r="L3928" s="427">
        <v>7800872.6763000004</v>
      </c>
      <c r="BE3928" s="477">
        <v>7410009.9673071671</v>
      </c>
      <c r="BF3928" s="458">
        <v>3.0128947740519108E-2</v>
      </c>
      <c r="BG3928" s="477">
        <v>9068917.9053645171</v>
      </c>
      <c r="BH3928" s="458">
        <v>6.0523668636757177E-2</v>
      </c>
      <c r="BI3928" s="477">
        <v>16645010.45269312</v>
      </c>
      <c r="BJ3928" s="458">
        <v>0.102040234959897</v>
      </c>
      <c r="BK3928" s="477">
        <v>91994554.216329813</v>
      </c>
      <c r="BL3928" s="458">
        <v>0.29169684018913555</v>
      </c>
      <c r="BM3928" s="468">
        <v>7.3593008238716564</v>
      </c>
    </row>
    <row r="3929" spans="12:65" x14ac:dyDescent="0.3">
      <c r="L3929" s="427">
        <v>9815949.0207000002</v>
      </c>
      <c r="BE3929" s="477">
        <v>-303923.38027540687</v>
      </c>
      <c r="BF3929" s="458">
        <v>4.3809525226995216E-2</v>
      </c>
      <c r="BG3929" s="477">
        <v>8522259.6578559298</v>
      </c>
      <c r="BH3929" s="458">
        <v>5.5650620675785412E-2</v>
      </c>
      <c r="BI3929" s="477">
        <v>14130478.311871314</v>
      </c>
      <c r="BJ3929" s="458">
        <v>0.10434291946261265</v>
      </c>
      <c r="BK3929" s="477">
        <v>74699875.637186915</v>
      </c>
      <c r="BL3929" s="458">
        <v>0.27957926679994194</v>
      </c>
      <c r="BM3929" s="468">
        <v>4.9582973220572679</v>
      </c>
    </row>
    <row r="3930" spans="12:65" x14ac:dyDescent="0.3">
      <c r="L3930" s="427">
        <v>9005588.193</v>
      </c>
      <c r="BE3930" s="477">
        <v>4264239.4761234438</v>
      </c>
      <c r="BF3930" s="458">
        <v>4.7672364010800994E-2</v>
      </c>
      <c r="BG3930" s="477">
        <v>11699001.394264434</v>
      </c>
      <c r="BH3930" s="458">
        <v>8.8811810966241245E-2</v>
      </c>
      <c r="BI3930" s="477">
        <v>17856198.23059348</v>
      </c>
      <c r="BJ3930" s="458">
        <v>9.9072161922764801E-2</v>
      </c>
      <c r="BK3930" s="477">
        <v>90538110.855206177</v>
      </c>
      <c r="BL3930" s="458">
        <v>0.26040448401838345</v>
      </c>
      <c r="BM3930" s="468">
        <v>15.376505310895894</v>
      </c>
    </row>
    <row r="3931" spans="12:65" x14ac:dyDescent="0.3">
      <c r="L3931" s="427">
        <v>9064324.1184</v>
      </c>
      <c r="BE3931" s="477">
        <v>5665843.9716493106</v>
      </c>
      <c r="BF3931" s="458">
        <v>3.4380012143341299E-2</v>
      </c>
      <c r="BG3931" s="477">
        <v>8060247.5641166503</v>
      </c>
      <c r="BH3931" s="458">
        <v>9.6066977960284961E-2</v>
      </c>
      <c r="BI3931" s="477">
        <v>19778596.475515403</v>
      </c>
      <c r="BJ3931" s="458">
        <v>9.8538714338668232E-2</v>
      </c>
      <c r="BK3931" s="477">
        <v>83453690.968560621</v>
      </c>
      <c r="BL3931" s="458">
        <v>0.28999835879486957</v>
      </c>
      <c r="BM3931" s="468">
        <v>8.1577976120611453</v>
      </c>
    </row>
    <row r="3932" spans="12:65" x14ac:dyDescent="0.3">
      <c r="L3932" s="427">
        <v>-5801347.6772999996</v>
      </c>
      <c r="BE3932" s="477">
        <v>5783155.4449260142</v>
      </c>
      <c r="BF3932" s="458">
        <v>3.4528127972228484E-2</v>
      </c>
      <c r="BG3932" s="477">
        <v>13133864.243082285</v>
      </c>
      <c r="BH3932" s="458">
        <v>5.4900473286531692E-2</v>
      </c>
      <c r="BI3932" s="477">
        <v>12514322.170209844</v>
      </c>
      <c r="BJ3932" s="458">
        <v>0.11120417178323772</v>
      </c>
      <c r="BK3932" s="477">
        <v>94503482.014629409</v>
      </c>
      <c r="BL3932" s="458">
        <v>0.25345430736394836</v>
      </c>
      <c r="BM3932" s="468">
        <v>4.0683392944827457</v>
      </c>
    </row>
    <row r="3933" spans="12:65" x14ac:dyDescent="0.3">
      <c r="L3933" s="427">
        <v>-3393155.7724000001</v>
      </c>
      <c r="BE3933" s="477">
        <v>2468455.1764700306</v>
      </c>
      <c r="BF3933" s="458">
        <v>3.0236459451174813E-2</v>
      </c>
      <c r="BG3933" s="477">
        <v>9297045.8985399213</v>
      </c>
      <c r="BH3933" s="458">
        <v>6.2602967732616976E-2</v>
      </c>
      <c r="BI3933" s="477">
        <v>23100141.952747386</v>
      </c>
      <c r="BJ3933" s="458">
        <v>9.0886103904668225E-2</v>
      </c>
      <c r="BK3933" s="477">
        <v>95327974.97425054</v>
      </c>
      <c r="BL3933" s="458">
        <v>0.26881414314224572</v>
      </c>
      <c r="BM3933" s="468">
        <v>7.3628896376677151</v>
      </c>
    </row>
    <row r="3934" spans="12:65" x14ac:dyDescent="0.3">
      <c r="L3934" s="427">
        <v>1874226.5131999999</v>
      </c>
      <c r="BE3934" s="477">
        <v>7551341.5201015202</v>
      </c>
      <c r="BF3934" s="458">
        <v>4.8047674922002237E-2</v>
      </c>
      <c r="BG3934" s="477">
        <v>11435451.804963419</v>
      </c>
      <c r="BH3934" s="458">
        <v>7.2546526548423973E-2</v>
      </c>
      <c r="BI3934" s="477">
        <v>10717091.586206641</v>
      </c>
      <c r="BJ3934" s="458">
        <v>9.2386050267728947E-2</v>
      </c>
      <c r="BK3934" s="477">
        <v>96454733.696876675</v>
      </c>
      <c r="BL3934" s="458">
        <v>0.27792150899380363</v>
      </c>
      <c r="BM3934" s="468">
        <v>13.912781510021141</v>
      </c>
    </row>
    <row r="3935" spans="12:65" x14ac:dyDescent="0.3">
      <c r="L3935" s="427">
        <v>10062059.2917</v>
      </c>
      <c r="BE3935" s="477">
        <v>6416954.1764344545</v>
      </c>
      <c r="BF3935" s="458">
        <v>2.5881768837524799E-2</v>
      </c>
      <c r="BG3935" s="477">
        <v>9363866.6306313258</v>
      </c>
      <c r="BH3935" s="458">
        <v>7.6011517858420641E-2</v>
      </c>
      <c r="BI3935" s="477">
        <v>18473546.567363933</v>
      </c>
      <c r="BJ3935" s="458">
        <v>0.11547038384338304</v>
      </c>
      <c r="BK3935" s="477">
        <v>88337738.26306197</v>
      </c>
      <c r="BL3935" s="458">
        <v>0.26925032551960193</v>
      </c>
      <c r="BM3935" s="468">
        <v>9.9584790053104619</v>
      </c>
    </row>
    <row r="3936" spans="12:65" x14ac:dyDescent="0.3">
      <c r="L3936" s="427">
        <v>16854857.830400001</v>
      </c>
      <c r="BE3936" s="477">
        <v>4430275.454959359</v>
      </c>
      <c r="BF3936" s="458">
        <v>2.5903252001091115E-2</v>
      </c>
      <c r="BG3936" s="477">
        <v>11435877.158960661</v>
      </c>
      <c r="BH3936" s="458">
        <v>3.0300810991571892E-2</v>
      </c>
      <c r="BI3936" s="477">
        <v>16091261.072541362</v>
      </c>
      <c r="BJ3936" s="458">
        <v>0.11831338603653374</v>
      </c>
      <c r="BK3936" s="477">
        <v>99151196.638993308</v>
      </c>
      <c r="BL3936" s="458">
        <v>0.28112782602220787</v>
      </c>
      <c r="BM3936" s="468">
        <v>10.51809414488055</v>
      </c>
    </row>
    <row r="3937" spans="12:65" x14ac:dyDescent="0.3">
      <c r="L3937" s="427">
        <v>21692693.121399999</v>
      </c>
      <c r="BE3937" s="477">
        <v>7923979.1012660768</v>
      </c>
      <c r="BF3937" s="458">
        <v>5.4171228906971125E-2</v>
      </c>
      <c r="BG3937" s="477">
        <v>6233632.7854224397</v>
      </c>
      <c r="BH3937" s="458">
        <v>8.4325034373311958E-2</v>
      </c>
      <c r="BI3937" s="477">
        <v>13980847.018824304</v>
      </c>
      <c r="BJ3937" s="458">
        <v>0.1207750303217594</v>
      </c>
      <c r="BK3937" s="477">
        <v>97230416.24310708</v>
      </c>
      <c r="BL3937" s="458">
        <v>0.24856370819819706</v>
      </c>
      <c r="BM3937" s="468">
        <v>10.804785363930655</v>
      </c>
    </row>
    <row r="3938" spans="12:65" x14ac:dyDescent="0.3">
      <c r="L3938" s="427">
        <v>4334645.0302999998</v>
      </c>
      <c r="BE3938" s="477">
        <v>1829697.6481052062</v>
      </c>
      <c r="BF3938" s="458">
        <v>2.8480553330717306E-2</v>
      </c>
      <c r="BG3938" s="477">
        <v>7254752.5619382765</v>
      </c>
      <c r="BH3938" s="458">
        <v>5.935538114260841E-2</v>
      </c>
      <c r="BI3938" s="477">
        <v>19897745.347188633</v>
      </c>
      <c r="BJ3938" s="458">
        <v>0.13087067166198563</v>
      </c>
      <c r="BK3938" s="477">
        <v>74778193.806490988</v>
      </c>
      <c r="BL3938" s="458">
        <v>0.29260238862984767</v>
      </c>
      <c r="BM3938" s="468">
        <v>13.234880616684766</v>
      </c>
    </row>
    <row r="3939" spans="12:65" x14ac:dyDescent="0.3">
      <c r="L3939" s="427">
        <v>-6621669.7813999997</v>
      </c>
      <c r="BE3939" s="477">
        <v>2771368.2726370404</v>
      </c>
      <c r="BF3939" s="458">
        <v>3.3708303021839248E-2</v>
      </c>
      <c r="BG3939" s="477">
        <v>5043611.5461551519</v>
      </c>
      <c r="BH3939" s="458">
        <v>6.4907392765346295E-2</v>
      </c>
      <c r="BI3939" s="477">
        <v>26597353.600836799</v>
      </c>
      <c r="BJ3939" s="458">
        <v>0.14019322080441632</v>
      </c>
      <c r="BK3939" s="477">
        <v>102462712.48118557</v>
      </c>
      <c r="BL3939" s="458">
        <v>0.27167617979382386</v>
      </c>
      <c r="BM3939" s="468">
        <v>5.1428599554805094</v>
      </c>
    </row>
    <row r="3940" spans="12:65" x14ac:dyDescent="0.3">
      <c r="L3940" s="427">
        <v>20920924.1085</v>
      </c>
      <c r="BE3940" s="477">
        <v>1728659.7550652255</v>
      </c>
      <c r="BF3940" s="458">
        <v>4.6734882215600848E-2</v>
      </c>
      <c r="BG3940" s="477">
        <v>11241519.14320875</v>
      </c>
      <c r="BH3940" s="458">
        <v>5.6641509175872518E-2</v>
      </c>
      <c r="BI3940" s="477">
        <v>17036002.653470077</v>
      </c>
      <c r="BJ3940" s="458">
        <v>0.1141778824080284</v>
      </c>
      <c r="BK3940" s="477">
        <v>88283271.278941289</v>
      </c>
      <c r="BL3940" s="458">
        <v>0.26392015525864476</v>
      </c>
      <c r="BM3940" s="468">
        <v>12.397100856878797</v>
      </c>
    </row>
    <row r="3941" spans="12:65" x14ac:dyDescent="0.3">
      <c r="L3941" s="427">
        <v>14292651.5044</v>
      </c>
      <c r="BE3941" s="477">
        <v>4612195.7839243384</v>
      </c>
      <c r="BF3941" s="458">
        <v>4.1031344845059881E-2</v>
      </c>
      <c r="BG3941" s="477">
        <v>11093077.947178831</v>
      </c>
      <c r="BH3941" s="458">
        <v>7.1423583406575064E-2</v>
      </c>
      <c r="BI3941" s="477">
        <v>13990396.403888632</v>
      </c>
      <c r="BJ3941" s="458">
        <v>0.10395319866928809</v>
      </c>
      <c r="BK3941" s="477">
        <v>91422519.834356084</v>
      </c>
      <c r="BL3941" s="458">
        <v>0.27003986961423676</v>
      </c>
      <c r="BM3941" s="468">
        <v>7.5291690890169196</v>
      </c>
    </row>
    <row r="3942" spans="12:65" x14ac:dyDescent="0.3">
      <c r="L3942" s="427">
        <v>4693591.2119000005</v>
      </c>
      <c r="BE3942" s="477">
        <v>3164168.405535718</v>
      </c>
      <c r="BF3942" s="458">
        <v>3.5085501682636799E-2</v>
      </c>
      <c r="BG3942" s="477">
        <v>6024589.5432536155</v>
      </c>
      <c r="BH3942" s="458">
        <v>7.3235605238018531E-2</v>
      </c>
      <c r="BI3942" s="477">
        <v>15552298.335376749</v>
      </c>
      <c r="BJ3942" s="458">
        <v>9.4937281632711423E-2</v>
      </c>
      <c r="BK3942" s="477">
        <v>96814246.133963332</v>
      </c>
      <c r="BL3942" s="458">
        <v>0.27466992629508136</v>
      </c>
      <c r="BM3942" s="468">
        <v>5.0582755832268731</v>
      </c>
    </row>
    <row r="3943" spans="12:65" x14ac:dyDescent="0.3">
      <c r="L3943" s="427">
        <v>7745402.0438999999</v>
      </c>
      <c r="BE3943" s="477">
        <v>8656120.302778244</v>
      </c>
      <c r="BF3943" s="458">
        <v>3.0153274473417868E-2</v>
      </c>
      <c r="BG3943" s="477">
        <v>11677525.316818509</v>
      </c>
      <c r="BH3943" s="458">
        <v>5.6819563003131623E-2</v>
      </c>
      <c r="BI3943" s="477">
        <v>22897422.410662662</v>
      </c>
      <c r="BJ3943" s="458">
        <v>9.5052204914947813E-2</v>
      </c>
      <c r="BK3943" s="477">
        <v>96302228.627135441</v>
      </c>
      <c r="BL3943" s="458">
        <v>0.29089368688179551</v>
      </c>
      <c r="BM3943" s="468">
        <v>8.2437779598271987</v>
      </c>
    </row>
    <row r="3944" spans="12:65" x14ac:dyDescent="0.3">
      <c r="L3944" s="427">
        <v>15532374.558</v>
      </c>
      <c r="BE3944" s="477">
        <v>5314630.104197856</v>
      </c>
      <c r="BF3944" s="458">
        <v>5.0523745986366109E-2</v>
      </c>
      <c r="BG3944" s="477">
        <v>-605192.34038665541</v>
      </c>
      <c r="BH3944" s="458">
        <v>5.8922637343121309E-2</v>
      </c>
      <c r="BI3944" s="477">
        <v>14581564.846237538</v>
      </c>
      <c r="BJ3944" s="458">
        <v>0.11351643590021254</v>
      </c>
      <c r="BK3944" s="477">
        <v>101031907.56836405</v>
      </c>
      <c r="BL3944" s="458">
        <v>0.28836871590961466</v>
      </c>
      <c r="BM3944" s="468">
        <v>11.396361841329215</v>
      </c>
    </row>
    <row r="3945" spans="12:65" x14ac:dyDescent="0.3">
      <c r="L3945" s="427">
        <v>15740753.4066</v>
      </c>
      <c r="BE3945" s="477">
        <v>7034524.9172730539</v>
      </c>
      <c r="BF3945" s="458">
        <v>3.2156883357264743E-2</v>
      </c>
      <c r="BG3945" s="477">
        <v>7218232.5433512162</v>
      </c>
      <c r="BH3945" s="458">
        <v>6.4983528106741684E-2</v>
      </c>
      <c r="BI3945" s="477">
        <v>15368964.160278527</v>
      </c>
      <c r="BJ3945" s="458">
        <v>0.1175640772131108</v>
      </c>
      <c r="BK3945" s="477">
        <v>90560647.425800562</v>
      </c>
      <c r="BL3945" s="458">
        <v>0.25735865147764625</v>
      </c>
      <c r="BM3945" s="468">
        <v>6.443856624194316</v>
      </c>
    </row>
    <row r="3946" spans="12:65" x14ac:dyDescent="0.3">
      <c r="L3946" s="427">
        <v>28247669.029100001</v>
      </c>
      <c r="BE3946" s="477">
        <v>8781575.6591594722</v>
      </c>
      <c r="BF3946" s="458">
        <v>4.3183345714935317E-2</v>
      </c>
      <c r="BG3946" s="477">
        <v>4904504.9807767179</v>
      </c>
      <c r="BH3946" s="458">
        <v>8.2771596497208222E-2</v>
      </c>
      <c r="BI3946" s="477">
        <v>16818594.107855313</v>
      </c>
      <c r="BJ3946" s="458">
        <v>8.9711005889965723E-2</v>
      </c>
      <c r="BK3946" s="477">
        <v>84819678.948765233</v>
      </c>
      <c r="BL3946" s="458">
        <v>0.26932867826422524</v>
      </c>
      <c r="BM3946" s="468">
        <v>9.466824205050612</v>
      </c>
    </row>
    <row r="3947" spans="12:65" x14ac:dyDescent="0.3">
      <c r="L3947" s="427">
        <v>2344319.1381000001</v>
      </c>
      <c r="BE3947" s="477">
        <v>1969662.9289143018</v>
      </c>
      <c r="BF3947" s="458">
        <v>7.0163331890548353E-2</v>
      </c>
      <c r="BG3947" s="477">
        <v>11134645.154545773</v>
      </c>
      <c r="BH3947" s="458">
        <v>7.2928790087897655E-2</v>
      </c>
      <c r="BI3947" s="477">
        <v>13830926.70030739</v>
      </c>
      <c r="BJ3947" s="458">
        <v>0.10953599483411414</v>
      </c>
      <c r="BK3947" s="477">
        <v>91106029.347290307</v>
      </c>
      <c r="BL3947" s="458">
        <v>0.25588328372605162</v>
      </c>
      <c r="BM3947" s="468">
        <v>9.3034333262006115</v>
      </c>
    </row>
    <row r="3948" spans="12:65" x14ac:dyDescent="0.3">
      <c r="L3948" s="427">
        <v>25202914.3972</v>
      </c>
      <c r="BE3948" s="477">
        <v>4299802.4975335104</v>
      </c>
      <c r="BF3948" s="458">
        <v>5.9083558306944894E-2</v>
      </c>
      <c r="BG3948" s="477">
        <v>7569524.8087058552</v>
      </c>
      <c r="BH3948" s="458">
        <v>8.7698153818403402E-2</v>
      </c>
      <c r="BI3948" s="477">
        <v>3684910.3718225425</v>
      </c>
      <c r="BJ3948" s="458">
        <v>9.0264245850192992E-2</v>
      </c>
      <c r="BK3948" s="477">
        <v>88899852.065181985</v>
      </c>
      <c r="BL3948" s="458">
        <v>0.25251236256287823</v>
      </c>
      <c r="BM3948" s="468">
        <v>15.206326717157062</v>
      </c>
    </row>
    <row r="3949" spans="12:65" x14ac:dyDescent="0.3">
      <c r="L3949" s="427">
        <v>12126862.4988</v>
      </c>
      <c r="BE3949" s="477">
        <v>1256308.1459204294</v>
      </c>
      <c r="BF3949" s="458">
        <v>4.2491013378721965E-2</v>
      </c>
      <c r="BG3949" s="477">
        <v>1066650.3723100964</v>
      </c>
      <c r="BH3949" s="458">
        <v>7.5874091379896536E-2</v>
      </c>
      <c r="BI3949" s="477">
        <v>20714037.122405514</v>
      </c>
      <c r="BJ3949" s="458">
        <v>9.4666133465401314E-2</v>
      </c>
      <c r="BK3949" s="477">
        <v>88857684.037097722</v>
      </c>
      <c r="BL3949" s="458">
        <v>0.2749280487548813</v>
      </c>
      <c r="BM3949" s="468">
        <v>5.3940067767347584</v>
      </c>
    </row>
    <row r="3950" spans="12:65" x14ac:dyDescent="0.3">
      <c r="L3950" s="427">
        <v>10826460.9</v>
      </c>
      <c r="BE3950" s="477">
        <v>1261024.3238305976</v>
      </c>
      <c r="BF3950" s="458">
        <v>4.7750139979076067E-2</v>
      </c>
      <c r="BG3950" s="477">
        <v>11230325.107449178</v>
      </c>
      <c r="BH3950" s="458">
        <v>4.9528311092115862E-2</v>
      </c>
      <c r="BI3950" s="477">
        <v>21505373.098225165</v>
      </c>
      <c r="BJ3950" s="458">
        <v>0.12956695264409679</v>
      </c>
      <c r="BK3950" s="477">
        <v>85678320.57723847</v>
      </c>
      <c r="BL3950" s="458">
        <v>0.26477268203969473</v>
      </c>
      <c r="BM3950" s="468">
        <v>11.57844504952646</v>
      </c>
    </row>
    <row r="3951" spans="12:65" x14ac:dyDescent="0.3">
      <c r="L3951" s="427">
        <v>-2103140.0957999998</v>
      </c>
      <c r="BE3951" s="477">
        <v>6905977.7171585811</v>
      </c>
      <c r="BF3951" s="458">
        <v>4.4524463734506581E-2</v>
      </c>
      <c r="BG3951" s="477">
        <v>11377166.015713448</v>
      </c>
      <c r="BH3951" s="458">
        <v>5.449517413386129E-2</v>
      </c>
      <c r="BI3951" s="477">
        <v>25915791.300184056</v>
      </c>
      <c r="BJ3951" s="458">
        <v>9.6554818756363403E-2</v>
      </c>
      <c r="BK3951" s="477">
        <v>84516031.571371928</v>
      </c>
      <c r="BL3951" s="458">
        <v>0.271997422254322</v>
      </c>
      <c r="BM3951" s="468">
        <v>13.055103245127047</v>
      </c>
    </row>
    <row r="3952" spans="12:65" x14ac:dyDescent="0.3">
      <c r="L3952" s="427">
        <v>-17179562.602000002</v>
      </c>
      <c r="BE3952" s="477">
        <v>5050411.2633022247</v>
      </c>
      <c r="BF3952" s="458">
        <v>4.6610764903329605E-2</v>
      </c>
      <c r="BG3952" s="477">
        <v>11870118.481342081</v>
      </c>
      <c r="BH3952" s="458">
        <v>5.5341614935724204E-2</v>
      </c>
      <c r="BI3952" s="477">
        <v>22919793.015036672</v>
      </c>
      <c r="BJ3952" s="458">
        <v>0.10716279450796962</v>
      </c>
      <c r="BK3952" s="477">
        <v>101454795.64577818</v>
      </c>
      <c r="BL3952" s="458">
        <v>0.27039805176679388</v>
      </c>
      <c r="BM3952" s="468">
        <v>12.608701161476841</v>
      </c>
    </row>
    <row r="3953" spans="12:65" x14ac:dyDescent="0.3">
      <c r="L3953" s="427">
        <v>2056791.2256</v>
      </c>
      <c r="BE3953" s="477">
        <v>-119636.35564592073</v>
      </c>
      <c r="BF3953" s="458">
        <v>5.9138361173749487E-2</v>
      </c>
      <c r="BG3953" s="477">
        <v>12845157.814244917</v>
      </c>
      <c r="BH3953" s="458">
        <v>3.9854467677891581E-2</v>
      </c>
      <c r="BI3953" s="477">
        <v>10771540.679263555</v>
      </c>
      <c r="BJ3953" s="458">
        <v>0.11577183306499306</v>
      </c>
      <c r="BK3953" s="477">
        <v>93320773.82475774</v>
      </c>
      <c r="BL3953" s="458">
        <v>0.26251550474681018</v>
      </c>
      <c r="BM3953" s="468">
        <v>4.0143115747821581</v>
      </c>
    </row>
    <row r="3954" spans="12:65" x14ac:dyDescent="0.3">
      <c r="L3954" s="427">
        <v>16506920.062799999</v>
      </c>
      <c r="BE3954" s="477">
        <v>7738585.1425959701</v>
      </c>
      <c r="BF3954" s="458">
        <v>4.8364097350684032E-2</v>
      </c>
      <c r="BG3954" s="477">
        <v>5301763.8544227276</v>
      </c>
      <c r="BH3954" s="458">
        <v>4.0346373371555222E-2</v>
      </c>
      <c r="BI3954" s="477">
        <v>20589774.012703333</v>
      </c>
      <c r="BJ3954" s="458">
        <v>0.1090620386471115</v>
      </c>
      <c r="BK3954" s="477">
        <v>101968633.53259741</v>
      </c>
      <c r="BL3954" s="458">
        <v>0.26564762056845637</v>
      </c>
      <c r="BM3954" s="468">
        <v>3.7788964166992418</v>
      </c>
    </row>
    <row r="3955" spans="12:65" x14ac:dyDescent="0.3">
      <c r="L3955" s="427">
        <v>20674282.327500001</v>
      </c>
      <c r="BE3955" s="477">
        <v>1087147.4754031876</v>
      </c>
      <c r="BF3955" s="458">
        <v>2.9652676660908872E-2</v>
      </c>
      <c r="BG3955" s="477">
        <v>1864096.0317576118</v>
      </c>
      <c r="BH3955" s="458">
        <v>7.6862939264784602E-2</v>
      </c>
      <c r="BI3955" s="477">
        <v>19348158.487391565</v>
      </c>
      <c r="BJ3955" s="458">
        <v>0.11115909248215905</v>
      </c>
      <c r="BK3955" s="477">
        <v>90675179.568910137</v>
      </c>
      <c r="BL3955" s="458">
        <v>0.26877541981864161</v>
      </c>
      <c r="BM3955" s="468">
        <v>9.4308993062624449</v>
      </c>
    </row>
    <row r="3956" spans="12:65" x14ac:dyDescent="0.3">
      <c r="L3956" s="427">
        <v>17122691.003899999</v>
      </c>
      <c r="BE3956" s="477">
        <v>6904881.9736720221</v>
      </c>
      <c r="BF3956" s="458">
        <v>3.9901275070381548E-2</v>
      </c>
      <c r="BG3956" s="477">
        <v>8064399.5402282933</v>
      </c>
      <c r="BH3956" s="458">
        <v>6.5385368159507129E-2</v>
      </c>
      <c r="BI3956" s="477">
        <v>6161171.2618601415</v>
      </c>
      <c r="BJ3956" s="458">
        <v>0.12915484159236335</v>
      </c>
      <c r="BK3956" s="477">
        <v>87801759.012234762</v>
      </c>
      <c r="BL3956" s="458">
        <v>0.26294023663295762</v>
      </c>
      <c r="BM3956" s="468">
        <v>8.021362754770637</v>
      </c>
    </row>
    <row r="3957" spans="12:65" x14ac:dyDescent="0.3">
      <c r="L3957" s="427">
        <v>11108174.6425</v>
      </c>
      <c r="BE3957" s="477">
        <v>4834925.515815</v>
      </c>
      <c r="BF3957" s="458">
        <v>6.9191911464005829E-2</v>
      </c>
      <c r="BG3957" s="477">
        <v>8909514.912643604</v>
      </c>
      <c r="BH3957" s="458">
        <v>6.71269177037499E-2</v>
      </c>
      <c r="BI3957" s="477">
        <v>13181062.612540036</v>
      </c>
      <c r="BJ3957" s="458">
        <v>8.7627086912840157E-2</v>
      </c>
      <c r="BK3957" s="477">
        <v>82082520.311897367</v>
      </c>
      <c r="BL3957" s="458">
        <v>0.28636765229111916</v>
      </c>
      <c r="BM3957" s="468">
        <v>13.42410566446469</v>
      </c>
    </row>
    <row r="3958" spans="12:65" x14ac:dyDescent="0.3">
      <c r="L3958" s="427">
        <v>1681744.175</v>
      </c>
      <c r="BE3958" s="477">
        <v>4240773.6908268761</v>
      </c>
      <c r="BF3958" s="458">
        <v>4.7925838551810429E-2</v>
      </c>
      <c r="BG3958" s="477">
        <v>7751304.5169561207</v>
      </c>
      <c r="BH3958" s="458">
        <v>1.9541569538664261E-2</v>
      </c>
      <c r="BI3958" s="477">
        <v>22279669.085748274</v>
      </c>
      <c r="BJ3958" s="458">
        <v>0.13371194389250629</v>
      </c>
      <c r="BK3958" s="477">
        <v>100876504.1498248</v>
      </c>
      <c r="BL3958" s="458">
        <v>0.26390839356938711</v>
      </c>
      <c r="BM3958" s="468">
        <v>4.8732580108302646</v>
      </c>
    </row>
    <row r="3959" spans="12:65" x14ac:dyDescent="0.3">
      <c r="L3959" s="427">
        <v>3594212.5666999999</v>
      </c>
      <c r="BE3959" s="477">
        <v>6151929.298525705</v>
      </c>
      <c r="BF3959" s="458">
        <v>3.790691871171048E-2</v>
      </c>
      <c r="BG3959" s="477">
        <v>4369962.1067481628</v>
      </c>
      <c r="BH3959" s="458">
        <v>8.9773599073375454E-2</v>
      </c>
      <c r="BI3959" s="477">
        <v>11083238.214892766</v>
      </c>
      <c r="BJ3959" s="458">
        <v>0.11789728786275355</v>
      </c>
      <c r="BK3959" s="477">
        <v>83373156.154192626</v>
      </c>
      <c r="BL3959" s="458">
        <v>0.28420317986346677</v>
      </c>
      <c r="BM3959" s="468">
        <v>7.4740643607890291</v>
      </c>
    </row>
    <row r="3960" spans="12:65" x14ac:dyDescent="0.3">
      <c r="L3960" s="427">
        <v>-11957802.962200001</v>
      </c>
      <c r="BE3960" s="477">
        <v>7123323.4076922154</v>
      </c>
      <c r="BF3960" s="458">
        <v>4.0590788087694341E-2</v>
      </c>
      <c r="BG3960" s="477">
        <v>6245534.193378713</v>
      </c>
      <c r="BH3960" s="458">
        <v>8.1362518968632669E-2</v>
      </c>
      <c r="BI3960" s="477">
        <v>8604693.6330653504</v>
      </c>
      <c r="BJ3960" s="458">
        <v>0.1132406666184016</v>
      </c>
      <c r="BK3960" s="477">
        <v>87549583.470736727</v>
      </c>
      <c r="BL3960" s="458">
        <v>0.26282494071581652</v>
      </c>
      <c r="BM3960" s="468">
        <v>10.750982847272169</v>
      </c>
    </row>
    <row r="3961" spans="12:65" x14ac:dyDescent="0.3">
      <c r="L3961" s="427">
        <v>-3881792.8064999999</v>
      </c>
      <c r="BE3961" s="477">
        <v>5325880.8786472017</v>
      </c>
      <c r="BF3961" s="458">
        <v>3.1317409348678105E-2</v>
      </c>
      <c r="BG3961" s="477">
        <v>10527420.655246153</v>
      </c>
      <c r="BH3961" s="458">
        <v>6.5699617858830717E-2</v>
      </c>
      <c r="BI3961" s="477">
        <v>23515404.653582174</v>
      </c>
      <c r="BJ3961" s="458">
        <v>7.2817904355026331E-2</v>
      </c>
      <c r="BK3961" s="477">
        <v>77299307.207652301</v>
      </c>
      <c r="BL3961" s="458">
        <v>0.27454174305008627</v>
      </c>
      <c r="BM3961" s="468">
        <v>8.6098285604291345</v>
      </c>
    </row>
    <row r="3962" spans="12:65" x14ac:dyDescent="0.3">
      <c r="L3962" s="427">
        <v>-695870.13619999995</v>
      </c>
      <c r="BE3962" s="477">
        <v>5202248.2044695457</v>
      </c>
      <c r="BF3962" s="458">
        <v>3.7501564421749345E-2</v>
      </c>
      <c r="BG3962" s="477">
        <v>7418573.7746185875</v>
      </c>
      <c r="BH3962" s="458">
        <v>6.2904618944666479E-2</v>
      </c>
      <c r="BI3962" s="477">
        <v>3815796.6486919876</v>
      </c>
      <c r="BJ3962" s="458">
        <v>9.965612824452097E-2</v>
      </c>
      <c r="BK3962" s="477">
        <v>108500556.2529259</v>
      </c>
      <c r="BL3962" s="458">
        <v>0.29401850297993759</v>
      </c>
      <c r="BM3962" s="468">
        <v>6.6041235388994419</v>
      </c>
    </row>
    <row r="3963" spans="12:65" x14ac:dyDescent="0.3">
      <c r="L3963" s="427">
        <v>-1137460.2812000001</v>
      </c>
      <c r="BE3963" s="477">
        <v>4951972.8149241582</v>
      </c>
      <c r="BF3963" s="458">
        <v>3.7517126955372904E-2</v>
      </c>
      <c r="BG3963" s="477">
        <v>10353490.834859354</v>
      </c>
      <c r="BH3963" s="458">
        <v>6.2826358971866947E-2</v>
      </c>
      <c r="BI3963" s="477">
        <v>10826104.342308586</v>
      </c>
      <c r="BJ3963" s="458">
        <v>0.10321708215606562</v>
      </c>
      <c r="BK3963" s="477">
        <v>80478299.022156239</v>
      </c>
      <c r="BL3963" s="458">
        <v>0.28905112240790132</v>
      </c>
      <c r="BM3963" s="468">
        <v>3.7228845542304647</v>
      </c>
    </row>
    <row r="3964" spans="12:65" x14ac:dyDescent="0.3">
      <c r="L3964" s="427">
        <v>1148214.1821000001</v>
      </c>
      <c r="BE3964" s="477">
        <v>7034249.5793636069</v>
      </c>
      <c r="BF3964" s="458">
        <v>5.2836828605681285E-2</v>
      </c>
      <c r="BG3964" s="477">
        <v>7277667.4502117448</v>
      </c>
      <c r="BH3964" s="458">
        <v>6.5647368984925292E-2</v>
      </c>
      <c r="BI3964" s="477">
        <v>19411932.415778086</v>
      </c>
      <c r="BJ3964" s="458">
        <v>9.9710665003835075E-2</v>
      </c>
      <c r="BK3964" s="477">
        <v>78813707.273139551</v>
      </c>
      <c r="BL3964" s="458">
        <v>0.29562395349994719</v>
      </c>
      <c r="BM3964" s="468">
        <v>10.555318916329334</v>
      </c>
    </row>
    <row r="3965" spans="12:65" x14ac:dyDescent="0.3">
      <c r="L3965" s="427">
        <v>11753473.4581</v>
      </c>
      <c r="BE3965" s="477">
        <v>7173943.6819741214</v>
      </c>
      <c r="BF3965" s="458">
        <v>6.1406582249787345E-2</v>
      </c>
      <c r="BG3965" s="477">
        <v>4143652.9267795109</v>
      </c>
      <c r="BH3965" s="458">
        <v>7.1353895026747827E-2</v>
      </c>
      <c r="BI3965" s="477">
        <v>13353234.466674609</v>
      </c>
      <c r="BJ3965" s="458">
        <v>0.10982765262331173</v>
      </c>
      <c r="BK3965" s="477">
        <v>83982331.380497009</v>
      </c>
      <c r="BL3965" s="458">
        <v>0.27163489068502988</v>
      </c>
      <c r="BM3965" s="468">
        <v>1.4071395916562874</v>
      </c>
    </row>
    <row r="3966" spans="12:65" x14ac:dyDescent="0.3">
      <c r="L3966" s="427">
        <v>9029701.4162000008</v>
      </c>
      <c r="BE3966" s="477">
        <v>7716012.5373263108</v>
      </c>
      <c r="BF3966" s="458">
        <v>5.5642828555911628E-2</v>
      </c>
      <c r="BG3966" s="477">
        <v>11411958.088007644</v>
      </c>
      <c r="BH3966" s="458">
        <v>6.3883236219422379E-2</v>
      </c>
      <c r="BI3966" s="477">
        <v>21228438.984177906</v>
      </c>
      <c r="BJ3966" s="458">
        <v>0.11318141235025991</v>
      </c>
      <c r="BK3966" s="477">
        <v>84803692.227491781</v>
      </c>
      <c r="BL3966" s="458">
        <v>0.2763668869503153</v>
      </c>
      <c r="BM3966" s="468">
        <v>4.2226721354455687</v>
      </c>
    </row>
    <row r="3967" spans="12:65" x14ac:dyDescent="0.3">
      <c r="L3967" s="427">
        <v>8910470.0457000006</v>
      </c>
      <c r="BE3967" s="477">
        <v>8081506.7037290763</v>
      </c>
      <c r="BF3967" s="458">
        <v>4.1951960131160204E-2</v>
      </c>
      <c r="BG3967" s="477">
        <v>12824158.350843318</v>
      </c>
      <c r="BH3967" s="458">
        <v>5.1325143539782569E-2</v>
      </c>
      <c r="BI3967" s="477">
        <v>17373175.754224159</v>
      </c>
      <c r="BJ3967" s="458">
        <v>9.0331775034387496E-2</v>
      </c>
      <c r="BK3967" s="477">
        <v>67463020.336004317</v>
      </c>
      <c r="BL3967" s="458">
        <v>0.27364583891265104</v>
      </c>
      <c r="BM3967" s="468">
        <v>14.087511007002195</v>
      </c>
    </row>
    <row r="3968" spans="12:65" x14ac:dyDescent="0.3">
      <c r="L3968" s="427">
        <v>-550757.19110000005</v>
      </c>
      <c r="BE3968" s="477">
        <v>262020.66748846191</v>
      </c>
      <c r="BF3968" s="458">
        <v>5.0813744223182633E-2</v>
      </c>
      <c r="BG3968" s="477">
        <v>15538648.712461807</v>
      </c>
      <c r="BH3968" s="458">
        <v>7.148211691947437E-2</v>
      </c>
      <c r="BI3968" s="477">
        <v>5434885.36199746</v>
      </c>
      <c r="BJ3968" s="458">
        <v>0.13123345218965299</v>
      </c>
      <c r="BK3968" s="477">
        <v>93797964.791511372</v>
      </c>
      <c r="BL3968" s="458">
        <v>0.25685907326375834</v>
      </c>
      <c r="BM3968" s="468">
        <v>2.5833426998453231</v>
      </c>
    </row>
    <row r="3969" spans="12:65" x14ac:dyDescent="0.3">
      <c r="L3969" s="427">
        <v>14863360.0802</v>
      </c>
      <c r="BE3969" s="477">
        <v>7728962.4358848138</v>
      </c>
      <c r="BF3969" s="458">
        <v>5.0117105251008764E-2</v>
      </c>
      <c r="BG3969" s="477">
        <v>13634020.06627645</v>
      </c>
      <c r="BH3969" s="458">
        <v>5.7770526226879948E-2</v>
      </c>
      <c r="BI3969" s="477">
        <v>18048831.805246949</v>
      </c>
      <c r="BJ3969" s="458">
        <v>0.10561557519372289</v>
      </c>
      <c r="BK3969" s="477">
        <v>88253991.876239508</v>
      </c>
      <c r="BL3969" s="458">
        <v>0.26893742372760299</v>
      </c>
      <c r="BM3969" s="468">
        <v>9.4319838916294785</v>
      </c>
    </row>
    <row r="3970" spans="12:65" x14ac:dyDescent="0.3">
      <c r="L3970" s="427">
        <v>14427340.247099999</v>
      </c>
      <c r="BE3970" s="477">
        <v>5786656.5103552584</v>
      </c>
      <c r="BF3970" s="458">
        <v>4.3101007859532192E-2</v>
      </c>
      <c r="BG3970" s="477">
        <v>7015920.4175021844</v>
      </c>
      <c r="BH3970" s="458">
        <v>7.0739225350386459E-2</v>
      </c>
      <c r="BI3970" s="477">
        <v>9132059.7703269068</v>
      </c>
      <c r="BJ3970" s="458">
        <v>9.9980408408034682E-2</v>
      </c>
      <c r="BK3970" s="477">
        <v>78378107.00501658</v>
      </c>
      <c r="BL3970" s="458">
        <v>0.26891708448975238</v>
      </c>
      <c r="BM3970" s="468">
        <v>2.1978338716848258</v>
      </c>
    </row>
    <row r="3971" spans="12:65" x14ac:dyDescent="0.3">
      <c r="L3971" s="427">
        <v>6835155.8768999996</v>
      </c>
      <c r="BE3971" s="477">
        <v>6034579.2676941333</v>
      </c>
      <c r="BF3971" s="458">
        <v>5.2426618062522801E-2</v>
      </c>
      <c r="BG3971" s="477">
        <v>6729279.6335497405</v>
      </c>
      <c r="BH3971" s="458">
        <v>4.0316488672836881E-2</v>
      </c>
      <c r="BI3971" s="477">
        <v>12725622.261329016</v>
      </c>
      <c r="BJ3971" s="458">
        <v>0.13253900512597938</v>
      </c>
      <c r="BK3971" s="477">
        <v>88657893.071038216</v>
      </c>
      <c r="BL3971" s="458">
        <v>0.28132896087756842</v>
      </c>
      <c r="BM3971" s="468">
        <v>5.4419254283505385</v>
      </c>
    </row>
    <row r="3972" spans="12:65" x14ac:dyDescent="0.3">
      <c r="L3972" s="427">
        <v>25903841.739799999</v>
      </c>
      <c r="BE3972" s="477">
        <v>6636239.8973472035</v>
      </c>
      <c r="BF3972" s="458">
        <v>5.0847228591449412E-2</v>
      </c>
      <c r="BG3972" s="477">
        <v>5398801.9848525217</v>
      </c>
      <c r="BH3972" s="458">
        <v>6.4256908951282554E-2</v>
      </c>
      <c r="BI3972" s="477">
        <v>9105036.2258376572</v>
      </c>
      <c r="BJ3972" s="458">
        <v>9.8476377776228086E-2</v>
      </c>
      <c r="BK3972" s="477">
        <v>85840744.084356248</v>
      </c>
      <c r="BL3972" s="458">
        <v>0.27417970338206543</v>
      </c>
      <c r="BM3972" s="468">
        <v>8.4022426278641724</v>
      </c>
    </row>
    <row r="3973" spans="12:65" x14ac:dyDescent="0.3">
      <c r="L3973" s="427">
        <v>11605070.1121</v>
      </c>
      <c r="BE3973" s="477">
        <v>3766349.9977884488</v>
      </c>
      <c r="BF3973" s="458">
        <v>2.6785403075119563E-2</v>
      </c>
      <c r="BG3973" s="477">
        <v>4651089.8648897959</v>
      </c>
      <c r="BH3973" s="458">
        <v>8.5682605985210936E-2</v>
      </c>
      <c r="BI3973" s="477">
        <v>21388939.70251308</v>
      </c>
      <c r="BJ3973" s="458">
        <v>0.10652784556052941</v>
      </c>
      <c r="BK3973" s="477">
        <v>76752094.242070958</v>
      </c>
      <c r="BL3973" s="458">
        <v>0.27467174483133627</v>
      </c>
      <c r="BM3973" s="468">
        <v>5.072996413322052</v>
      </c>
    </row>
    <row r="3974" spans="12:65" x14ac:dyDescent="0.3">
      <c r="L3974" s="427">
        <v>-609783.22199999995</v>
      </c>
      <c r="BE3974" s="477">
        <v>2103142.360823005</v>
      </c>
      <c r="BF3974" s="458">
        <v>3.0879987941432541E-2</v>
      </c>
      <c r="BG3974" s="477">
        <v>13721776.985336257</v>
      </c>
      <c r="BH3974" s="458">
        <v>6.9516414277814409E-2</v>
      </c>
      <c r="BI3974" s="477">
        <v>12352527.167282116</v>
      </c>
      <c r="BJ3974" s="458">
        <v>0.1074900745893721</v>
      </c>
      <c r="BK3974" s="477">
        <v>99826456.513416573</v>
      </c>
      <c r="BL3974" s="458">
        <v>0.26409703846415722</v>
      </c>
      <c r="BM3974" s="468">
        <v>8.9729852094968781</v>
      </c>
    </row>
    <row r="3975" spans="12:65" x14ac:dyDescent="0.3">
      <c r="L3975" s="427">
        <v>18413985.221900001</v>
      </c>
      <c r="BE3975" s="477">
        <v>4333514.3580309432</v>
      </c>
      <c r="BF3975" s="458">
        <v>3.8247697176507556E-2</v>
      </c>
      <c r="BG3975" s="477">
        <v>11521552.190266285</v>
      </c>
      <c r="BH3975" s="458">
        <v>7.1356951086238851E-2</v>
      </c>
      <c r="BI3975" s="477">
        <v>17466471.236205962</v>
      </c>
      <c r="BJ3975" s="458">
        <v>0.10475222092428682</v>
      </c>
      <c r="BK3975" s="477">
        <v>78291665.751596943</v>
      </c>
      <c r="BL3975" s="458">
        <v>0.27629044736136676</v>
      </c>
      <c r="BM3975" s="468">
        <v>8.7494526885120649</v>
      </c>
    </row>
    <row r="3976" spans="12:65" x14ac:dyDescent="0.3">
      <c r="L3976" s="427">
        <v>-3714575.7946000001</v>
      </c>
      <c r="BE3976" s="477">
        <v>4128255.4833672377</v>
      </c>
      <c r="BF3976" s="458">
        <v>3.651774450886891E-2</v>
      </c>
      <c r="BG3976" s="477">
        <v>7970158.7929200679</v>
      </c>
      <c r="BH3976" s="458">
        <v>5.1460814787211318E-2</v>
      </c>
      <c r="BI3976" s="477">
        <v>20782965.380657177</v>
      </c>
      <c r="BJ3976" s="458">
        <v>0.10662586777245653</v>
      </c>
      <c r="BK3976" s="477">
        <v>89363743.174246147</v>
      </c>
      <c r="BL3976" s="458">
        <v>0.28876795714124581</v>
      </c>
      <c r="BM3976" s="468">
        <v>1.6769331102167424</v>
      </c>
    </row>
    <row r="3977" spans="12:65" x14ac:dyDescent="0.3">
      <c r="L3977" s="427">
        <v>11020515.3562</v>
      </c>
      <c r="BE3977" s="477">
        <v>8194220.0802635169</v>
      </c>
      <c r="BF3977" s="458">
        <v>4.0945020341932814E-2</v>
      </c>
      <c r="BG3977" s="477">
        <v>9976315.1657254696</v>
      </c>
      <c r="BH3977" s="458">
        <v>5.9463726455586396E-2</v>
      </c>
      <c r="BI3977" s="477">
        <v>17826827.852822717</v>
      </c>
      <c r="BJ3977" s="458">
        <v>9.6527962039002269E-2</v>
      </c>
      <c r="BK3977" s="477">
        <v>86080871.35574463</v>
      </c>
      <c r="BL3977" s="458">
        <v>0.26210373701740042</v>
      </c>
      <c r="BM3977" s="468">
        <v>5.9975267118754285</v>
      </c>
    </row>
    <row r="3978" spans="12:65" x14ac:dyDescent="0.3">
      <c r="L3978" s="427">
        <v>23608052.217500001</v>
      </c>
      <c r="BE3978" s="477">
        <v>6790562.1905418541</v>
      </c>
      <c r="BF3978" s="458">
        <v>3.2467553517907088E-2</v>
      </c>
      <c r="BG3978" s="477">
        <v>11446346.518963959</v>
      </c>
      <c r="BH3978" s="458">
        <v>6.0913654095681613E-2</v>
      </c>
      <c r="BI3978" s="477">
        <v>1922217.147407704</v>
      </c>
      <c r="BJ3978" s="458">
        <v>9.1605977334777489E-2</v>
      </c>
      <c r="BK3978" s="477">
        <v>97588048.637221724</v>
      </c>
      <c r="BL3978" s="458">
        <v>0.26589053156984366</v>
      </c>
      <c r="BM3978" s="468">
        <v>12.595541417211837</v>
      </c>
    </row>
    <row r="3979" spans="12:65" x14ac:dyDescent="0.3">
      <c r="L3979" s="427">
        <v>18180446.283100002</v>
      </c>
      <c r="BE3979" s="477">
        <v>7300302.0138136949</v>
      </c>
      <c r="BF3979" s="458">
        <v>3.986181896223262E-2</v>
      </c>
      <c r="BG3979" s="477">
        <v>16138018.489131495</v>
      </c>
      <c r="BH3979" s="458">
        <v>5.3882508672018048E-2</v>
      </c>
      <c r="BI3979" s="477">
        <v>16690967.222871339</v>
      </c>
      <c r="BJ3979" s="458">
        <v>9.191924058827694E-2</v>
      </c>
      <c r="BK3979" s="477">
        <v>88478453.45734638</v>
      </c>
      <c r="BL3979" s="458">
        <v>0.25316880094706073</v>
      </c>
      <c r="BM3979" s="468">
        <v>11.367842062433228</v>
      </c>
    </row>
    <row r="3980" spans="12:65" x14ac:dyDescent="0.3">
      <c r="L3980" s="427">
        <v>304242.57579999999</v>
      </c>
      <c r="BE3980" s="477">
        <v>7752691.9910590416</v>
      </c>
      <c r="BF3980" s="458">
        <v>4.3457877747710594E-2</v>
      </c>
      <c r="BG3980" s="477">
        <v>10786277.931856826</v>
      </c>
      <c r="BH3980" s="458">
        <v>5.0733851212061198E-2</v>
      </c>
      <c r="BI3980" s="477">
        <v>13133095.429720422</v>
      </c>
      <c r="BJ3980" s="458">
        <v>9.8470958641953654E-2</v>
      </c>
      <c r="BK3980" s="477">
        <v>75724401.893077537</v>
      </c>
      <c r="BL3980" s="458">
        <v>0.26459685752532458</v>
      </c>
      <c r="BM3980" s="468">
        <v>6.346789863462706</v>
      </c>
    </row>
    <row r="3981" spans="12:65" x14ac:dyDescent="0.3">
      <c r="L3981" s="427">
        <v>14157886.514900001</v>
      </c>
      <c r="BE3981" s="477">
        <v>2395426.9260210376</v>
      </c>
      <c r="BF3981" s="458">
        <v>4.2223355934680074E-2</v>
      </c>
      <c r="BG3981" s="477">
        <v>3736330.8045793525</v>
      </c>
      <c r="BH3981" s="458">
        <v>8.0270073110693785E-2</v>
      </c>
      <c r="BI3981" s="477">
        <v>22773803.800085004</v>
      </c>
      <c r="BJ3981" s="458">
        <v>7.6325448605545576E-2</v>
      </c>
      <c r="BK3981" s="477">
        <v>82595044.413401678</v>
      </c>
      <c r="BL3981" s="458">
        <v>0.28791049969614679</v>
      </c>
      <c r="BM3981" s="468">
        <v>10.960119968735906</v>
      </c>
    </row>
    <row r="3982" spans="12:65" x14ac:dyDescent="0.3">
      <c r="L3982" s="427">
        <v>1456620.2204</v>
      </c>
      <c r="BE3982" s="477">
        <v>4157759.0109871766</v>
      </c>
      <c r="BF3982" s="458">
        <v>3.2046369102293415E-2</v>
      </c>
      <c r="BG3982" s="477">
        <v>10224021.548454002</v>
      </c>
      <c r="BH3982" s="458">
        <v>6.2867097027063945E-2</v>
      </c>
      <c r="BI3982" s="477">
        <v>14780418.182644911</v>
      </c>
      <c r="BJ3982" s="458">
        <v>9.2544034983780055E-2</v>
      </c>
      <c r="BK3982" s="477">
        <v>92482006.793160185</v>
      </c>
      <c r="BL3982" s="458">
        <v>0.25972077553671724</v>
      </c>
      <c r="BM3982" s="468">
        <v>18.306210525767948</v>
      </c>
    </row>
    <row r="3983" spans="12:65" x14ac:dyDescent="0.3">
      <c r="L3983" s="427">
        <v>18216410.132800002</v>
      </c>
      <c r="BE3983" s="477">
        <v>8205064.8920061607</v>
      </c>
      <c r="BF3983" s="458">
        <v>1.1786318443218757E-2</v>
      </c>
      <c r="BG3983" s="477">
        <v>5588081.815168201</v>
      </c>
      <c r="BH3983" s="458">
        <v>7.7470887169701852E-2</v>
      </c>
      <c r="BI3983" s="477">
        <v>20223144.076353207</v>
      </c>
      <c r="BJ3983" s="458">
        <v>9.9645674882416158E-2</v>
      </c>
      <c r="BK3983" s="477">
        <v>94852897.838928834</v>
      </c>
      <c r="BL3983" s="458">
        <v>0.27206842204842485</v>
      </c>
      <c r="BM3983" s="468">
        <v>13.994596647533907</v>
      </c>
    </row>
    <row r="3984" spans="12:65" x14ac:dyDescent="0.3">
      <c r="L3984" s="427">
        <v>1625462.5626000001</v>
      </c>
      <c r="BE3984" s="477">
        <v>3316680.8200273039</v>
      </c>
      <c r="BF3984" s="458">
        <v>3.5760583407680846E-2</v>
      </c>
      <c r="BG3984" s="477">
        <v>6205046.747470675</v>
      </c>
      <c r="BH3984" s="458">
        <v>5.8209786563398813E-2</v>
      </c>
      <c r="BI3984" s="477">
        <v>15951079.135826759</v>
      </c>
      <c r="BJ3984" s="458">
        <v>0.13724385075954038</v>
      </c>
      <c r="BK3984" s="477">
        <v>90079949.122665554</v>
      </c>
      <c r="BL3984" s="458">
        <v>0.2741209438961969</v>
      </c>
      <c r="BM3984" s="468">
        <v>13.034546125233067</v>
      </c>
    </row>
    <row r="3985" spans="12:65" x14ac:dyDescent="0.3">
      <c r="L3985" s="427">
        <v>23651982.168000001</v>
      </c>
      <c r="BE3985" s="477">
        <v>4640314.2928513149</v>
      </c>
      <c r="BF3985" s="458">
        <v>3.536857399877702E-2</v>
      </c>
      <c r="BG3985" s="477">
        <v>10167076.137439771</v>
      </c>
      <c r="BH3985" s="458">
        <v>6.8826205281474762E-2</v>
      </c>
      <c r="BI3985" s="477">
        <v>4005097.1993273934</v>
      </c>
      <c r="BJ3985" s="458">
        <v>0.10525781782131638</v>
      </c>
      <c r="BK3985" s="477">
        <v>76889202.644106403</v>
      </c>
      <c r="BL3985" s="458">
        <v>0.25636614389730927</v>
      </c>
      <c r="BM3985" s="468">
        <v>16.390743991657747</v>
      </c>
    </row>
    <row r="3986" spans="12:65" x14ac:dyDescent="0.3">
      <c r="L3986" s="427">
        <v>20642168.4639</v>
      </c>
      <c r="BE3986" s="477">
        <v>9931176.1200243831</v>
      </c>
      <c r="BF3986" s="458">
        <v>3.7091664554756321E-2</v>
      </c>
      <c r="BG3986" s="477">
        <v>13704785.807666076</v>
      </c>
      <c r="BH3986" s="458">
        <v>8.9207730986377465E-2</v>
      </c>
      <c r="BI3986" s="477">
        <v>18980554.534494631</v>
      </c>
      <c r="BJ3986" s="458">
        <v>8.9085868696645809E-2</v>
      </c>
      <c r="BK3986" s="477">
        <v>97090292.688781664</v>
      </c>
      <c r="BL3986" s="458">
        <v>0.27475071187041511</v>
      </c>
      <c r="BM3986" s="468">
        <v>10.391133293924836</v>
      </c>
    </row>
    <row r="3987" spans="12:65" x14ac:dyDescent="0.3">
      <c r="L3987" s="427">
        <v>171639.58249999999</v>
      </c>
      <c r="BE3987" s="477">
        <v>6986141.7027388308</v>
      </c>
      <c r="BF3987" s="458">
        <v>4.3652611071798741E-2</v>
      </c>
      <c r="BG3987" s="477">
        <v>13603429.758305525</v>
      </c>
      <c r="BH3987" s="458">
        <v>6.3915554032630606E-2</v>
      </c>
      <c r="BI3987" s="477">
        <v>18816281.292832389</v>
      </c>
      <c r="BJ3987" s="458">
        <v>0.11576309220306213</v>
      </c>
      <c r="BK3987" s="477">
        <v>81317849.696841165</v>
      </c>
      <c r="BL3987" s="458">
        <v>0.2494725643714244</v>
      </c>
      <c r="BM3987" s="468">
        <v>8.5645619323622633</v>
      </c>
    </row>
    <row r="3988" spans="12:65" x14ac:dyDescent="0.3">
      <c r="L3988" s="427">
        <v>5381442.6935000001</v>
      </c>
      <c r="BE3988" s="477">
        <v>2286650.4445442236</v>
      </c>
      <c r="BF3988" s="458">
        <v>3.6317103592404587E-2</v>
      </c>
      <c r="BG3988" s="477">
        <v>1474574.6903950756</v>
      </c>
      <c r="BH3988" s="458">
        <v>3.2292190604675142E-2</v>
      </c>
      <c r="BI3988" s="477">
        <v>12535674.940522134</v>
      </c>
      <c r="BJ3988" s="458">
        <v>0.10942390858352358</v>
      </c>
      <c r="BK3988" s="477">
        <v>96049776.125688061</v>
      </c>
      <c r="BL3988" s="458">
        <v>0.26405791486144015</v>
      </c>
      <c r="BM3988" s="468">
        <v>5.1118644595828746</v>
      </c>
    </row>
    <row r="3989" spans="12:65" x14ac:dyDescent="0.3">
      <c r="L3989" s="427">
        <v>5194905.9961999999</v>
      </c>
      <c r="BE3989" s="477">
        <v>3498101.1001723506</v>
      </c>
      <c r="BF3989" s="458">
        <v>4.1491086170954539E-2</v>
      </c>
      <c r="BG3989" s="477">
        <v>11923773.728085306</v>
      </c>
      <c r="BH3989" s="458">
        <v>6.8646788375623657E-2</v>
      </c>
      <c r="BI3989" s="477">
        <v>18907323.685626935</v>
      </c>
      <c r="BJ3989" s="458">
        <v>0.10761064596994641</v>
      </c>
      <c r="BK3989" s="477">
        <v>85555510.381212011</v>
      </c>
      <c r="BL3989" s="458">
        <v>0.27212637966885422</v>
      </c>
      <c r="BM3989" s="468">
        <v>7.7005344079621034</v>
      </c>
    </row>
    <row r="3990" spans="12:65" x14ac:dyDescent="0.3">
      <c r="L3990" s="427">
        <v>14707536.4289</v>
      </c>
      <c r="BE3990" s="477">
        <v>2950137.1843728679</v>
      </c>
      <c r="BF3990" s="458">
        <v>7.7215647298203294E-3</v>
      </c>
      <c r="BG3990" s="477">
        <v>10375792.222684011</v>
      </c>
      <c r="BH3990" s="458">
        <v>4.0223109766794218E-2</v>
      </c>
      <c r="BI3990" s="477">
        <v>22363420.089929841</v>
      </c>
      <c r="BJ3990" s="458">
        <v>9.7051563398323548E-2</v>
      </c>
      <c r="BK3990" s="477">
        <v>77244284.829769328</v>
      </c>
      <c r="BL3990" s="458">
        <v>0.27208726409028583</v>
      </c>
      <c r="BM3990" s="468">
        <v>7.4868225095013976</v>
      </c>
    </row>
    <row r="3991" spans="12:65" x14ac:dyDescent="0.3">
      <c r="L3991" s="427">
        <v>-183944.57980000001</v>
      </c>
      <c r="BE3991" s="477">
        <v>8172644.82612269</v>
      </c>
      <c r="BF3991" s="458">
        <v>4.2091180834527897E-2</v>
      </c>
      <c r="BG3991" s="477">
        <v>6869041.756820078</v>
      </c>
      <c r="BH3991" s="458">
        <v>3.8388717291930829E-2</v>
      </c>
      <c r="BI3991" s="477">
        <v>13394760.274660163</v>
      </c>
      <c r="BJ3991" s="458">
        <v>0.10800083255317983</v>
      </c>
      <c r="BK3991" s="477">
        <v>93516679.357489333</v>
      </c>
      <c r="BL3991" s="458">
        <v>0.29300699908556749</v>
      </c>
      <c r="BM3991" s="468">
        <v>8.1843321856192084</v>
      </c>
    </row>
    <row r="3992" spans="12:65" x14ac:dyDescent="0.3">
      <c r="L3992" s="427">
        <v>5495789.6919</v>
      </c>
      <c r="BE3992" s="477">
        <v>5876203.1136053242</v>
      </c>
      <c r="BF3992" s="458">
        <v>4.9761650716429573E-2</v>
      </c>
      <c r="BG3992" s="477">
        <v>11616648.918769101</v>
      </c>
      <c r="BH3992" s="458">
        <v>6.4033038300391754E-2</v>
      </c>
      <c r="BI3992" s="477">
        <v>15695907.816947959</v>
      </c>
      <c r="BJ3992" s="458">
        <v>0.1104765745996672</v>
      </c>
      <c r="BK3992" s="477">
        <v>94325648.22725068</v>
      </c>
      <c r="BL3992" s="458">
        <v>0.2798091863262695</v>
      </c>
      <c r="BM3992" s="468">
        <v>3.7433397812209046</v>
      </c>
    </row>
    <row r="3993" spans="12:65" x14ac:dyDescent="0.3">
      <c r="L3993" s="427">
        <v>21129407.8576</v>
      </c>
      <c r="BE3993" s="477">
        <v>3403808.5317212753</v>
      </c>
      <c r="BF3993" s="458">
        <v>3.5122466290647303E-2</v>
      </c>
      <c r="BG3993" s="477">
        <v>7828252.3868198935</v>
      </c>
      <c r="BH3993" s="458">
        <v>5.8685140990877738E-2</v>
      </c>
      <c r="BI3993" s="477">
        <v>17583130.618905846</v>
      </c>
      <c r="BJ3993" s="458">
        <v>0.10708415649110914</v>
      </c>
      <c r="BK3993" s="477">
        <v>87791697.047108293</v>
      </c>
      <c r="BL3993" s="458">
        <v>0.27630802639595209</v>
      </c>
      <c r="BM3993" s="468">
        <v>8.2766309356386198</v>
      </c>
    </row>
    <row r="3994" spans="12:65" x14ac:dyDescent="0.3">
      <c r="L3994" s="427">
        <v>10114308.255799999</v>
      </c>
      <c r="BE3994" s="477">
        <v>7972757.3561893413</v>
      </c>
      <c r="BF3994" s="458">
        <v>4.2871953586160361E-2</v>
      </c>
      <c r="BG3994" s="477">
        <v>9650697.4227846544</v>
      </c>
      <c r="BH3994" s="458">
        <v>7.6437140083142729E-2</v>
      </c>
      <c r="BI3994" s="477">
        <v>14335534.272721631</v>
      </c>
      <c r="BJ3994" s="458">
        <v>0.1173679543538042</v>
      </c>
      <c r="BK3994" s="477">
        <v>94248238.614665523</v>
      </c>
      <c r="BL3994" s="458">
        <v>0.27864721428266837</v>
      </c>
      <c r="BM3994" s="468">
        <v>-0.9680578879770696</v>
      </c>
    </row>
    <row r="3995" spans="12:65" x14ac:dyDescent="0.3">
      <c r="L3995" s="427">
        <v>13654276.204</v>
      </c>
      <c r="BE3995" s="477">
        <v>5948560.2548324363</v>
      </c>
      <c r="BF3995" s="458">
        <v>0.1069597727977607</v>
      </c>
      <c r="BG3995" s="477">
        <v>1810857.3522118994</v>
      </c>
      <c r="BH3995" s="458">
        <v>4.3976042034564955E-2</v>
      </c>
      <c r="BI3995" s="477">
        <v>17994153.13703597</v>
      </c>
      <c r="BJ3995" s="458">
        <v>9.3145761146785855E-2</v>
      </c>
      <c r="BK3995" s="477">
        <v>84623993.185900152</v>
      </c>
      <c r="BL3995" s="458">
        <v>0.28611773618918313</v>
      </c>
      <c r="BM3995" s="468">
        <v>2.6648764242920926</v>
      </c>
    </row>
    <row r="3996" spans="12:65" x14ac:dyDescent="0.3">
      <c r="L3996" s="427">
        <v>10998398.3751</v>
      </c>
      <c r="BE3996" s="477">
        <v>3335435.2561023124</v>
      </c>
      <c r="BF3996" s="458">
        <v>4.7225572812419125E-2</v>
      </c>
      <c r="BG3996" s="477">
        <v>1966466.1462706779</v>
      </c>
      <c r="BH3996" s="458">
        <v>7.1454629080420107E-2</v>
      </c>
      <c r="BI3996" s="477">
        <v>14693280.810848357</v>
      </c>
      <c r="BJ3996" s="458">
        <v>9.9439389745055839E-2</v>
      </c>
      <c r="BK3996" s="477">
        <v>80978971.598423421</v>
      </c>
      <c r="BL3996" s="458">
        <v>0.28675639503139716</v>
      </c>
      <c r="BM3996" s="468">
        <v>1.0642981258177322</v>
      </c>
    </row>
    <row r="3997" spans="12:65" x14ac:dyDescent="0.3">
      <c r="L3997" s="427">
        <v>25396895.9659</v>
      </c>
      <c r="BE3997" s="477">
        <v>5506441.8527116543</v>
      </c>
      <c r="BF3997" s="458">
        <v>2.6003403986881723E-2</v>
      </c>
      <c r="BG3997" s="477">
        <v>11332272.643609924</v>
      </c>
      <c r="BH3997" s="458">
        <v>7.1800136308605378E-2</v>
      </c>
      <c r="BI3997" s="477">
        <v>11994216.031715816</v>
      </c>
      <c r="BJ3997" s="458">
        <v>0.11037966839622948</v>
      </c>
      <c r="BK3997" s="477">
        <v>91920971.960015923</v>
      </c>
      <c r="BL3997" s="458">
        <v>0.2782812749204735</v>
      </c>
      <c r="BM3997" s="468">
        <v>11.910031310011153</v>
      </c>
    </row>
    <row r="3998" spans="12:65" x14ac:dyDescent="0.3">
      <c r="L3998" s="427">
        <v>8120543.2549999999</v>
      </c>
      <c r="BE3998" s="477">
        <v>4095492.7679111403</v>
      </c>
      <c r="BF3998" s="458">
        <v>4.6605039845655893E-2</v>
      </c>
      <c r="BG3998" s="477">
        <v>5231637.2488100491</v>
      </c>
      <c r="BH3998" s="458">
        <v>9.4179053983241889E-2</v>
      </c>
      <c r="BI3998" s="477">
        <v>11825467.388638111</v>
      </c>
      <c r="BJ3998" s="458">
        <v>0.10110628107211905</v>
      </c>
      <c r="BK3998" s="477">
        <v>83060754.544637829</v>
      </c>
      <c r="BL3998" s="458">
        <v>0.2574291457975173</v>
      </c>
      <c r="BM3998" s="468">
        <v>3.0777635195277888</v>
      </c>
    </row>
    <row r="3999" spans="12:65" x14ac:dyDescent="0.3">
      <c r="L3999" s="427">
        <v>-3890079.4341000002</v>
      </c>
      <c r="BE3999" s="477">
        <v>5580861.311644353</v>
      </c>
      <c r="BF3999" s="458">
        <v>6.5354394652406222E-2</v>
      </c>
      <c r="BG3999" s="477">
        <v>9869979.1157741062</v>
      </c>
      <c r="BH3999" s="458">
        <v>6.8005575733986134E-2</v>
      </c>
      <c r="BI3999" s="477">
        <v>23422386.695198573</v>
      </c>
      <c r="BJ3999" s="458">
        <v>0.11834139363578955</v>
      </c>
      <c r="BK3999" s="477">
        <v>87249088.301949367</v>
      </c>
      <c r="BL3999" s="458">
        <v>0.26066966809346548</v>
      </c>
      <c r="BM3999" s="468">
        <v>3.8825298089197311</v>
      </c>
    </row>
    <row r="4000" spans="12:65" x14ac:dyDescent="0.3">
      <c r="L4000" s="427">
        <v>11476905.246400001</v>
      </c>
      <c r="BE4000" s="477">
        <v>7080703.0817581043</v>
      </c>
      <c r="BF4000" s="458">
        <v>5.744081575639437E-2</v>
      </c>
      <c r="BG4000" s="477">
        <v>11533325.345674338</v>
      </c>
      <c r="BH4000" s="458">
        <v>5.4497928447828192E-2</v>
      </c>
      <c r="BI4000" s="477">
        <v>16646079.020671602</v>
      </c>
      <c r="BJ4000" s="458">
        <v>0.12134125160010178</v>
      </c>
      <c r="BK4000" s="477">
        <v>104406628.72452681</v>
      </c>
      <c r="BL4000" s="458">
        <v>0.26695703013270511</v>
      </c>
      <c r="BM4000" s="468">
        <v>11.071898145159951</v>
      </c>
    </row>
    <row r="4001" spans="12:65" x14ac:dyDescent="0.3">
      <c r="L4001" s="427">
        <v>15885103.140799999</v>
      </c>
      <c r="BE4001" s="477">
        <v>8776872.5710866153</v>
      </c>
      <c r="BF4001" s="458">
        <v>3.4998535867944325E-2</v>
      </c>
      <c r="BG4001" s="477">
        <v>2822866.1655045161</v>
      </c>
      <c r="BH4001" s="458">
        <v>8.1497003878751029E-2</v>
      </c>
      <c r="BI4001" s="477">
        <v>16098888.489739899</v>
      </c>
      <c r="BJ4001" s="458">
        <v>0.11658960401238283</v>
      </c>
      <c r="BK4001" s="477">
        <v>94318446.973568618</v>
      </c>
      <c r="BL4001" s="458">
        <v>0.26705097987066195</v>
      </c>
      <c r="BM4001" s="468">
        <v>11.253923849106915</v>
      </c>
    </row>
    <row r="4002" spans="12:65" x14ac:dyDescent="0.3">
      <c r="L4002" s="427">
        <v>26593804.230500001</v>
      </c>
      <c r="BE4002" s="477">
        <v>3038358.5513536888</v>
      </c>
      <c r="BF4002" s="458">
        <v>9.441435458557268E-2</v>
      </c>
      <c r="BG4002" s="477">
        <v>12068079.530325755</v>
      </c>
      <c r="BH4002" s="458">
        <v>7.1250667158474501E-2</v>
      </c>
      <c r="BI4002" s="477">
        <v>14257077.485237647</v>
      </c>
      <c r="BJ4002" s="458">
        <v>9.960787433524021E-2</v>
      </c>
      <c r="BK4002" s="477">
        <v>93463256.588438004</v>
      </c>
      <c r="BL4002" s="458">
        <v>0.25653130224154341</v>
      </c>
      <c r="BM4002" s="468">
        <v>1.6722272634600159</v>
      </c>
    </row>
    <row r="4003" spans="12:65" x14ac:dyDescent="0.3">
      <c r="L4003" s="427">
        <v>-951913.59770000004</v>
      </c>
      <c r="BE4003" s="477">
        <v>3189563.3298923494</v>
      </c>
      <c r="BF4003" s="458">
        <v>5.8519897324414538E-2</v>
      </c>
      <c r="BG4003" s="477">
        <v>13838733.642196832</v>
      </c>
      <c r="BH4003" s="458">
        <v>6.2997722213947505E-2</v>
      </c>
      <c r="BI4003" s="477">
        <v>20961041.143492334</v>
      </c>
      <c r="BJ4003" s="458">
        <v>0.11555371680790016</v>
      </c>
      <c r="BK4003" s="477">
        <v>78649497.425005883</v>
      </c>
      <c r="BL4003" s="458">
        <v>0.26852544848021331</v>
      </c>
      <c r="BM4003" s="468">
        <v>7.3219556763741735</v>
      </c>
    </row>
    <row r="4004" spans="12:65" x14ac:dyDescent="0.3">
      <c r="L4004" s="427">
        <v>3941254.5734000001</v>
      </c>
      <c r="BE4004" s="477">
        <v>7206486.1502205469</v>
      </c>
      <c r="BF4004" s="458">
        <v>5.0508302232847635E-2</v>
      </c>
      <c r="BG4004" s="477">
        <v>12240577.056400342</v>
      </c>
      <c r="BH4004" s="458">
        <v>4.9589873305969867E-2</v>
      </c>
      <c r="BI4004" s="477">
        <v>15767820.470462235</v>
      </c>
      <c r="BJ4004" s="458">
        <v>0.11662630805487817</v>
      </c>
      <c r="BK4004" s="477">
        <v>98379943.949609205</v>
      </c>
      <c r="BL4004" s="458">
        <v>0.26394482273617581</v>
      </c>
      <c r="BM4004" s="468">
        <v>6.7785182105533996</v>
      </c>
    </row>
    <row r="4005" spans="12:65" x14ac:dyDescent="0.3">
      <c r="L4005" s="427">
        <v>3606987.9287999999</v>
      </c>
      <c r="BE4005" s="477">
        <v>6595679.5063453326</v>
      </c>
      <c r="BF4005" s="458">
        <v>6.2693088150048926E-2</v>
      </c>
      <c r="BG4005" s="477">
        <v>3684802.0278315903</v>
      </c>
      <c r="BH4005" s="458">
        <v>4.4086586541550732E-2</v>
      </c>
      <c r="BI4005" s="477">
        <v>21354085.138921808</v>
      </c>
      <c r="BJ4005" s="458">
        <v>0.10400201110924256</v>
      </c>
      <c r="BK4005" s="477">
        <v>91397320.432487965</v>
      </c>
      <c r="BL4005" s="458">
        <v>0.25768797246283359</v>
      </c>
      <c r="BM4005" s="468">
        <v>11.631358316224695</v>
      </c>
    </row>
    <row r="4006" spans="12:65" x14ac:dyDescent="0.3">
      <c r="L4006" s="427">
        <v>11974610.0988</v>
      </c>
      <c r="BE4006" s="477">
        <v>2310126.8404888432</v>
      </c>
      <c r="BF4006" s="458">
        <v>5.6726168514996456E-2</v>
      </c>
      <c r="BG4006" s="477">
        <v>2778905.5970676164</v>
      </c>
      <c r="BH4006" s="458">
        <v>4.4222346121477685E-2</v>
      </c>
      <c r="BI4006" s="477">
        <v>20380899.071982257</v>
      </c>
      <c r="BJ4006" s="458">
        <v>0.12985847473684875</v>
      </c>
      <c r="BK4006" s="477">
        <v>91904138.322866142</v>
      </c>
      <c r="BL4006" s="458">
        <v>0.28133128566325283</v>
      </c>
      <c r="BM4006" s="468">
        <v>5.6617840456287007</v>
      </c>
    </row>
    <row r="4007" spans="12:65" x14ac:dyDescent="0.3">
      <c r="L4007" s="427">
        <v>8015829.8606000002</v>
      </c>
      <c r="BE4007" s="477">
        <v>6166766.6220103698</v>
      </c>
      <c r="BF4007" s="458">
        <v>3.8764102571891002E-2</v>
      </c>
      <c r="BG4007" s="477">
        <v>10838399.517382164</v>
      </c>
      <c r="BH4007" s="458">
        <v>8.0572987307367505E-2</v>
      </c>
      <c r="BI4007" s="477">
        <v>17672515.949466061</v>
      </c>
      <c r="BJ4007" s="458">
        <v>0.10389255352977944</v>
      </c>
      <c r="BK4007" s="477">
        <v>101089946.12448791</v>
      </c>
      <c r="BL4007" s="458">
        <v>0.26271892091427507</v>
      </c>
      <c r="BM4007" s="468">
        <v>11.126437918223843</v>
      </c>
    </row>
    <row r="4008" spans="12:65" x14ac:dyDescent="0.3">
      <c r="L4008" s="427">
        <v>17239713.6186</v>
      </c>
      <c r="BE4008" s="477">
        <v>8521135.8474921156</v>
      </c>
      <c r="BF4008" s="458">
        <v>5.4723631989487931E-2</v>
      </c>
      <c r="BG4008" s="477">
        <v>7008752.5985097205</v>
      </c>
      <c r="BH4008" s="458">
        <v>7.0894503989335167E-2</v>
      </c>
      <c r="BI4008" s="477">
        <v>17402668.370238226</v>
      </c>
      <c r="BJ4008" s="458">
        <v>0.12004434643719941</v>
      </c>
      <c r="BK4008" s="477">
        <v>93496631.769708157</v>
      </c>
      <c r="BL4008" s="458">
        <v>0.26300541880722483</v>
      </c>
      <c r="BM4008" s="468">
        <v>11.083793881429486</v>
      </c>
    </row>
    <row r="4009" spans="12:65" x14ac:dyDescent="0.3">
      <c r="L4009" s="427">
        <v>-3417961.4177999999</v>
      </c>
      <c r="BE4009" s="477">
        <v>2590904.8717982629</v>
      </c>
      <c r="BF4009" s="458">
        <v>4.3462171089198698E-2</v>
      </c>
      <c r="BG4009" s="477">
        <v>5113396.2073621992</v>
      </c>
      <c r="BH4009" s="458">
        <v>5.9010984357961815E-2</v>
      </c>
      <c r="BI4009" s="477">
        <v>8064328.9109464884</v>
      </c>
      <c r="BJ4009" s="458">
        <v>0.10181062228941107</v>
      </c>
      <c r="BK4009" s="477">
        <v>92853381.104234725</v>
      </c>
      <c r="BL4009" s="458">
        <v>0.25922217598452346</v>
      </c>
      <c r="BM4009" s="468">
        <v>14.44884093998801</v>
      </c>
    </row>
    <row r="4010" spans="12:65" x14ac:dyDescent="0.3">
      <c r="L4010" s="427">
        <v>8042350.5854000002</v>
      </c>
      <c r="BE4010" s="477">
        <v>1981738.2637803359</v>
      </c>
      <c r="BF4010" s="458">
        <v>4.1324948221240776E-2</v>
      </c>
      <c r="BG4010" s="477">
        <v>6715250.2431528019</v>
      </c>
      <c r="BH4010" s="458">
        <v>9.5026913525573686E-2</v>
      </c>
      <c r="BI4010" s="477">
        <v>18486457.003720257</v>
      </c>
      <c r="BJ4010" s="458">
        <v>9.710153722504633E-2</v>
      </c>
      <c r="BK4010" s="477">
        <v>90207537.940904647</v>
      </c>
      <c r="BL4010" s="458">
        <v>0.26123093020741961</v>
      </c>
      <c r="BM4010" s="468">
        <v>8.1760927154620493</v>
      </c>
    </row>
    <row r="4011" spans="12:65" x14ac:dyDescent="0.3">
      <c r="L4011" s="427">
        <v>9402628.9441999998</v>
      </c>
      <c r="BE4011" s="477">
        <v>8478234.9994088635</v>
      </c>
      <c r="BF4011" s="458">
        <v>5.4707851590288348E-2</v>
      </c>
      <c r="BG4011" s="477">
        <v>8314200.767643678</v>
      </c>
      <c r="BH4011" s="458">
        <v>3.4637783858476601E-2</v>
      </c>
      <c r="BI4011" s="477">
        <v>17811807.429137509</v>
      </c>
      <c r="BJ4011" s="458">
        <v>0.14847906692642154</v>
      </c>
      <c r="BK4011" s="477">
        <v>95968838.325611442</v>
      </c>
      <c r="BL4011" s="458">
        <v>0.25791518971049188</v>
      </c>
      <c r="BM4011" s="468">
        <v>9.7863232660913528</v>
      </c>
    </row>
    <row r="4012" spans="12:65" x14ac:dyDescent="0.3">
      <c r="L4012" s="427">
        <v>-11965300.503599999</v>
      </c>
      <c r="BE4012" s="477">
        <v>-660980.79712106974</v>
      </c>
      <c r="BF4012" s="458">
        <v>3.1073681968483591E-2</v>
      </c>
      <c r="BG4012" s="477">
        <v>6444079.4271782646</v>
      </c>
      <c r="BH4012" s="458">
        <v>7.9838313861150922E-2</v>
      </c>
      <c r="BI4012" s="477">
        <v>16761606.733869761</v>
      </c>
      <c r="BJ4012" s="458">
        <v>0.12232493406698852</v>
      </c>
      <c r="BK4012" s="477">
        <v>74387632.340587497</v>
      </c>
      <c r="BL4012" s="458">
        <v>0.2726386824254039</v>
      </c>
      <c r="BM4012" s="468">
        <v>10.881770411305862</v>
      </c>
    </row>
    <row r="4013" spans="12:65" x14ac:dyDescent="0.3">
      <c r="L4013" s="427">
        <v>6848736.0822999999</v>
      </c>
      <c r="BE4013" s="477">
        <v>6947226.6422080193</v>
      </c>
      <c r="BF4013" s="458">
        <v>1.6155546396826814E-2</v>
      </c>
      <c r="BG4013" s="477">
        <v>3724665.3911073925</v>
      </c>
      <c r="BH4013" s="458">
        <v>5.4849743856720812E-2</v>
      </c>
      <c r="BI4013" s="477">
        <v>17885522.451139923</v>
      </c>
      <c r="BJ4013" s="458">
        <v>9.1160514485860045E-2</v>
      </c>
      <c r="BK4013" s="477">
        <v>85827459.747078627</v>
      </c>
      <c r="BL4013" s="458">
        <v>0.27237918932622085</v>
      </c>
      <c r="BM4013" s="468">
        <v>6.3228536037638881</v>
      </c>
    </row>
    <row r="4014" spans="12:65" x14ac:dyDescent="0.3">
      <c r="L4014" s="427">
        <v>-5938394.4967</v>
      </c>
      <c r="BE4014" s="477">
        <v>9105834.4115061164</v>
      </c>
      <c r="BF4014" s="458">
        <v>2.6718836532341861E-2</v>
      </c>
      <c r="BG4014" s="477">
        <v>9786345.8718848657</v>
      </c>
      <c r="BH4014" s="458">
        <v>6.4445166639386153E-2</v>
      </c>
      <c r="BI4014" s="477">
        <v>16729863.484892221</v>
      </c>
      <c r="BJ4014" s="458">
        <v>0.11416004802460833</v>
      </c>
      <c r="BK4014" s="477">
        <v>81205114.925370887</v>
      </c>
      <c r="BL4014" s="458">
        <v>0.27002414136717334</v>
      </c>
      <c r="BM4014" s="468">
        <v>4.0179523060833269</v>
      </c>
    </row>
    <row r="4015" spans="12:65" x14ac:dyDescent="0.3">
      <c r="L4015" s="427">
        <v>7608268.1145000001</v>
      </c>
      <c r="BE4015" s="477">
        <v>3191746.3037237343</v>
      </c>
      <c r="BF4015" s="458">
        <v>5.6757048409754818E-2</v>
      </c>
      <c r="BG4015" s="477">
        <v>12504100.992095163</v>
      </c>
      <c r="BH4015" s="458">
        <v>5.8419756749898299E-2</v>
      </c>
      <c r="BI4015" s="477">
        <v>28395851.611009553</v>
      </c>
      <c r="BJ4015" s="458">
        <v>0.1074101530466689</v>
      </c>
      <c r="BK4015" s="477">
        <v>93207926.254251629</v>
      </c>
      <c r="BL4015" s="458">
        <v>0.26636084716013775</v>
      </c>
      <c r="BM4015" s="468">
        <v>4.568237379778342</v>
      </c>
    </row>
    <row r="4016" spans="12:65" x14ac:dyDescent="0.3">
      <c r="L4016" s="427">
        <v>17877325.454</v>
      </c>
      <c r="BE4016" s="477">
        <v>7778275.0075970022</v>
      </c>
      <c r="BF4016" s="458">
        <v>1.7465879282140717E-2</v>
      </c>
      <c r="BG4016" s="477">
        <v>16044080.131056225</v>
      </c>
      <c r="BH4016" s="458">
        <v>7.0195686815846869E-2</v>
      </c>
      <c r="BI4016" s="477">
        <v>14947318.957394768</v>
      </c>
      <c r="BJ4016" s="458">
        <v>0.10115184876816952</v>
      </c>
      <c r="BK4016" s="477">
        <v>95435229.966991991</v>
      </c>
      <c r="BL4016" s="458">
        <v>0.27954661775157108</v>
      </c>
      <c r="BM4016" s="468">
        <v>6.9317028785855479</v>
      </c>
    </row>
    <row r="4017" spans="12:65" x14ac:dyDescent="0.3">
      <c r="L4017" s="427">
        <v>13631690.772</v>
      </c>
      <c r="BE4017" s="477">
        <v>5810137.5665884512</v>
      </c>
      <c r="BF4017" s="458">
        <v>5.5039917318162601E-2</v>
      </c>
      <c r="BG4017" s="477">
        <v>11783688.969888475</v>
      </c>
      <c r="BH4017" s="458">
        <v>0.11304155583790498</v>
      </c>
      <c r="BI4017" s="477">
        <v>16271244.732574213</v>
      </c>
      <c r="BJ4017" s="458">
        <v>0.10361655301182671</v>
      </c>
      <c r="BK4017" s="477">
        <v>83904860.13629657</v>
      </c>
      <c r="BL4017" s="458">
        <v>0.27571472490047677</v>
      </c>
      <c r="BM4017" s="468">
        <v>10.281577748169244</v>
      </c>
    </row>
    <row r="4018" spans="12:65" x14ac:dyDescent="0.3">
      <c r="L4018" s="427">
        <v>12653697.618799999</v>
      </c>
      <c r="BE4018" s="477">
        <v>8718381.1595522165</v>
      </c>
      <c r="BF4018" s="458">
        <v>4.4287732301706129E-2</v>
      </c>
      <c r="BG4018" s="477">
        <v>9127265.3689702246</v>
      </c>
      <c r="BH4018" s="458">
        <v>5.3449053021540127E-2</v>
      </c>
      <c r="BI4018" s="477">
        <v>12999809.193052394</v>
      </c>
      <c r="BJ4018" s="458">
        <v>0.14347444681870813</v>
      </c>
      <c r="BK4018" s="477">
        <v>95245902.370766953</v>
      </c>
      <c r="BL4018" s="458">
        <v>0.27882465651980626</v>
      </c>
      <c r="BM4018" s="468">
        <v>5.3510086016078704</v>
      </c>
    </row>
    <row r="4019" spans="12:65" x14ac:dyDescent="0.3">
      <c r="L4019" s="427">
        <v>-1435897.5172999999</v>
      </c>
      <c r="BE4019" s="477">
        <v>4688490.8717960706</v>
      </c>
      <c r="BF4019" s="458">
        <v>3.3155944483814093E-2</v>
      </c>
      <c r="BG4019" s="477">
        <v>4608515.1180218365</v>
      </c>
      <c r="BH4019" s="458">
        <v>4.4427566197958512E-2</v>
      </c>
      <c r="BI4019" s="477">
        <v>6505142.9594374616</v>
      </c>
      <c r="BJ4019" s="458">
        <v>8.6851227164059797E-2</v>
      </c>
      <c r="BK4019" s="477">
        <v>99521428.880910546</v>
      </c>
      <c r="BL4019" s="458">
        <v>0.28202759581338022</v>
      </c>
      <c r="BM4019" s="468">
        <v>10.256703300643917</v>
      </c>
    </row>
    <row r="4020" spans="12:65" x14ac:dyDescent="0.3">
      <c r="L4020" s="427">
        <v>-5024061.0943</v>
      </c>
      <c r="BE4020" s="477">
        <v>8294126.0370015865</v>
      </c>
      <c r="BF4020" s="458">
        <v>3.665184170929825E-2</v>
      </c>
      <c r="BG4020" s="477">
        <v>12608044.822411189</v>
      </c>
      <c r="BH4020" s="458">
        <v>7.5323793375638992E-2</v>
      </c>
      <c r="BI4020" s="477">
        <v>18005872.419588637</v>
      </c>
      <c r="BJ4020" s="458">
        <v>0.10506941396010383</v>
      </c>
      <c r="BK4020" s="477">
        <v>92802922.030219957</v>
      </c>
      <c r="BL4020" s="458">
        <v>0.26064765809849311</v>
      </c>
      <c r="BM4020" s="468">
        <v>13.767260842291195</v>
      </c>
    </row>
    <row r="4021" spans="12:65" x14ac:dyDescent="0.3">
      <c r="L4021" s="427">
        <v>15574150.566199999</v>
      </c>
      <c r="BE4021" s="477">
        <v>3715949.0843550996</v>
      </c>
      <c r="BF4021" s="458">
        <v>3.6022001694903549E-2</v>
      </c>
      <c r="BG4021" s="477">
        <v>12111436.889242217</v>
      </c>
      <c r="BH4021" s="458">
        <v>7.6950155789219155E-2</v>
      </c>
      <c r="BI4021" s="477">
        <v>19730233.306586388</v>
      </c>
      <c r="BJ4021" s="458">
        <v>0.12587499724152429</v>
      </c>
      <c r="BK4021" s="477">
        <v>83381084.949821159</v>
      </c>
      <c r="BL4021" s="458">
        <v>0.25258147887704396</v>
      </c>
      <c r="BM4021" s="468">
        <v>5.0375022052594263</v>
      </c>
    </row>
    <row r="4022" spans="12:65" x14ac:dyDescent="0.3">
      <c r="L4022" s="427">
        <v>13982593.0515</v>
      </c>
      <c r="BE4022" s="477">
        <v>6590461.9537143223</v>
      </c>
      <c r="BF4022" s="458">
        <v>2.7880599242174453E-2</v>
      </c>
      <c r="BG4022" s="477">
        <v>3341928.9535299926</v>
      </c>
      <c r="BH4022" s="458">
        <v>6.2709250221087309E-2</v>
      </c>
      <c r="BI4022" s="477">
        <v>17811434.651475247</v>
      </c>
      <c r="BJ4022" s="458">
        <v>0.1285694498526444</v>
      </c>
      <c r="BK4022" s="477">
        <v>91511271.951096788</v>
      </c>
      <c r="BL4022" s="458">
        <v>0.25968156261578779</v>
      </c>
      <c r="BM4022" s="468">
        <v>11.687461802703695</v>
      </c>
    </row>
    <row r="4023" spans="12:65" x14ac:dyDescent="0.3">
      <c r="L4023" s="427">
        <v>-20296099.137400001</v>
      </c>
      <c r="BE4023" s="477">
        <v>9499770.1841953583</v>
      </c>
      <c r="BF4023" s="458">
        <v>5.1972584528712451E-2</v>
      </c>
      <c r="BG4023" s="477">
        <v>7698367.4952346124</v>
      </c>
      <c r="BH4023" s="458">
        <v>6.5392631943651303E-2</v>
      </c>
      <c r="BI4023" s="477">
        <v>25310020.778124347</v>
      </c>
      <c r="BJ4023" s="458">
        <v>9.7678710152643289E-2</v>
      </c>
      <c r="BK4023" s="477">
        <v>73288602.666336507</v>
      </c>
      <c r="BL4023" s="458">
        <v>0.28300415351174779</v>
      </c>
      <c r="BM4023" s="468">
        <v>7.3991004455038434</v>
      </c>
    </row>
    <row r="4024" spans="12:65" x14ac:dyDescent="0.3">
      <c r="L4024" s="427">
        <v>-7610939.6814999999</v>
      </c>
      <c r="BE4024" s="477">
        <v>5715876.8043793477</v>
      </c>
      <c r="BF4024" s="458">
        <v>4.3916047407440706E-2</v>
      </c>
      <c r="BG4024" s="477">
        <v>9051087.1803828105</v>
      </c>
      <c r="BH4024" s="458">
        <v>6.9054860813640317E-2</v>
      </c>
      <c r="BI4024" s="477">
        <v>21799985.259854283</v>
      </c>
      <c r="BJ4024" s="458">
        <v>0.11533807153473696</v>
      </c>
      <c r="BK4024" s="477">
        <v>97185925.095303327</v>
      </c>
      <c r="BL4024" s="458">
        <v>0.25739345947249159</v>
      </c>
      <c r="BM4024" s="468">
        <v>10.989277887409726</v>
      </c>
    </row>
    <row r="4025" spans="12:65" x14ac:dyDescent="0.3">
      <c r="L4025" s="427">
        <v>7206416.3578000003</v>
      </c>
      <c r="BE4025" s="477">
        <v>7312175.0597816091</v>
      </c>
      <c r="BF4025" s="458">
        <v>4.9518624313972026E-2</v>
      </c>
      <c r="BG4025" s="477">
        <v>12940212.156492123</v>
      </c>
      <c r="BH4025" s="458">
        <v>6.7477673928562298E-2</v>
      </c>
      <c r="BI4025" s="477">
        <v>13195716.857494691</v>
      </c>
      <c r="BJ4025" s="458">
        <v>0.10795811221150498</v>
      </c>
      <c r="BK4025" s="477">
        <v>95395285.334600464</v>
      </c>
      <c r="BL4025" s="458">
        <v>0.26026472412630297</v>
      </c>
      <c r="BM4025" s="468">
        <v>8.2088390753904541</v>
      </c>
    </row>
    <row r="4026" spans="12:65" x14ac:dyDescent="0.3">
      <c r="L4026" s="427">
        <v>13393480.6107</v>
      </c>
      <c r="BE4026" s="477">
        <v>5286734.8696420826</v>
      </c>
      <c r="BF4026" s="458">
        <v>2.7648395773662182E-2</v>
      </c>
      <c r="BG4026" s="477">
        <v>8892213.7203013189</v>
      </c>
      <c r="BH4026" s="458">
        <v>4.3582040822795598E-2</v>
      </c>
      <c r="BI4026" s="477">
        <v>13870750.332989251</v>
      </c>
      <c r="BJ4026" s="458">
        <v>0.15989752692844039</v>
      </c>
      <c r="BK4026" s="477">
        <v>99002822.980192602</v>
      </c>
      <c r="BL4026" s="458">
        <v>0.27431127981182168</v>
      </c>
      <c r="BM4026" s="468">
        <v>7.3617477768948261</v>
      </c>
    </row>
    <row r="4027" spans="12:65" x14ac:dyDescent="0.3">
      <c r="L4027" s="427">
        <v>8116536.5318999998</v>
      </c>
      <c r="BE4027" s="477">
        <v>5094893.0588412145</v>
      </c>
      <c r="BF4027" s="458">
        <v>4.0869563076570303E-2</v>
      </c>
      <c r="BG4027" s="477">
        <v>6121096.2667573253</v>
      </c>
      <c r="BH4027" s="458">
        <v>4.9552332139330746E-2</v>
      </c>
      <c r="BI4027" s="477">
        <v>20310960.525875136</v>
      </c>
      <c r="BJ4027" s="458">
        <v>9.2172883800919037E-2</v>
      </c>
      <c r="BK4027" s="477">
        <v>64837054.345222332</v>
      </c>
      <c r="BL4027" s="458">
        <v>0.26415186628163001</v>
      </c>
      <c r="BM4027" s="468">
        <v>18.43278177514398</v>
      </c>
    </row>
    <row r="4028" spans="12:65" x14ac:dyDescent="0.3">
      <c r="L4028" s="427">
        <v>11314068.321799999</v>
      </c>
      <c r="BE4028" s="477">
        <v>5955611.5932434322</v>
      </c>
      <c r="BF4028" s="458">
        <v>1.7523415194954373E-2</v>
      </c>
      <c r="BG4028" s="477">
        <v>11963700.512126822</v>
      </c>
      <c r="BH4028" s="458">
        <v>6.9005774140339149E-2</v>
      </c>
      <c r="BI4028" s="477">
        <v>26137225.054394849</v>
      </c>
      <c r="BJ4028" s="458">
        <v>0.10326216193362625</v>
      </c>
      <c r="BK4028" s="477">
        <v>101363800.14696345</v>
      </c>
      <c r="BL4028" s="458">
        <v>0.26292000212672839</v>
      </c>
      <c r="BM4028" s="468">
        <v>9.6304407505075762</v>
      </c>
    </row>
    <row r="4029" spans="12:65" x14ac:dyDescent="0.3">
      <c r="L4029" s="427">
        <v>15813817.136499999</v>
      </c>
      <c r="BE4029" s="477">
        <v>3592661.0160969174</v>
      </c>
      <c r="BF4029" s="458">
        <v>4.8021286820384423E-2</v>
      </c>
      <c r="BG4029" s="477">
        <v>13127453.703509649</v>
      </c>
      <c r="BH4029" s="458">
        <v>5.5891222458932965E-2</v>
      </c>
      <c r="BI4029" s="477">
        <v>18803595.890616719</v>
      </c>
      <c r="BJ4029" s="458">
        <v>0.12491215198350036</v>
      </c>
      <c r="BK4029" s="477">
        <v>86625624.721713871</v>
      </c>
      <c r="BL4029" s="458">
        <v>0.28791030525763217</v>
      </c>
      <c r="BM4029" s="468">
        <v>9.0691733245572959</v>
      </c>
    </row>
    <row r="4030" spans="12:65" x14ac:dyDescent="0.3">
      <c r="L4030" s="427">
        <v>15104291.542199999</v>
      </c>
      <c r="BE4030" s="477">
        <v>9456783.2840986401</v>
      </c>
      <c r="BF4030" s="458">
        <v>4.8570549341914404E-2</v>
      </c>
      <c r="BG4030" s="477">
        <v>9496852.9003254585</v>
      </c>
      <c r="BH4030" s="458">
        <v>9.2656499293795269E-2</v>
      </c>
      <c r="BI4030" s="477">
        <v>13715905.424424315</v>
      </c>
      <c r="BJ4030" s="458">
        <v>0.10952347975724197</v>
      </c>
      <c r="BK4030" s="477">
        <v>99095897.500672519</v>
      </c>
      <c r="BL4030" s="458">
        <v>0.26882785691386868</v>
      </c>
      <c r="BM4030" s="468">
        <v>8.2545892510703744</v>
      </c>
    </row>
    <row r="4031" spans="12:65" x14ac:dyDescent="0.3">
      <c r="L4031" s="427">
        <v>7247420.5543999998</v>
      </c>
      <c r="BE4031" s="477">
        <v>3629542.8008320769</v>
      </c>
      <c r="BF4031" s="458">
        <v>4.8589003938315889E-2</v>
      </c>
      <c r="BG4031" s="477">
        <v>12978462.802848376</v>
      </c>
      <c r="BH4031" s="458">
        <v>7.2221716271752889E-2</v>
      </c>
      <c r="BI4031" s="477">
        <v>16187193.883706218</v>
      </c>
      <c r="BJ4031" s="458">
        <v>0.10940388635581288</v>
      </c>
      <c r="BK4031" s="477">
        <v>79273195.150650173</v>
      </c>
      <c r="BL4031" s="458">
        <v>0.26421781367179187</v>
      </c>
      <c r="BM4031" s="468">
        <v>8.6887816245886178</v>
      </c>
    </row>
    <row r="4032" spans="12:65" x14ac:dyDescent="0.3">
      <c r="L4032" s="427">
        <v>7435296.1281000003</v>
      </c>
      <c r="BE4032" s="477">
        <v>6005310.014599083</v>
      </c>
      <c r="BF4032" s="458">
        <v>4.0517465449547929E-2</v>
      </c>
      <c r="BG4032" s="477">
        <v>11713015.192508524</v>
      </c>
      <c r="BH4032" s="458">
        <v>6.6608381510552928E-2</v>
      </c>
      <c r="BI4032" s="477">
        <v>16201614.010259651</v>
      </c>
      <c r="BJ4032" s="458">
        <v>0.11371273570350704</v>
      </c>
      <c r="BK4032" s="477">
        <v>90669964.71079196</v>
      </c>
      <c r="BL4032" s="458">
        <v>0.2682666843055177</v>
      </c>
      <c r="BM4032" s="468">
        <v>3.9832456935793275</v>
      </c>
    </row>
    <row r="4033" spans="12:65" x14ac:dyDescent="0.3">
      <c r="L4033" s="427">
        <v>7896411.7262000004</v>
      </c>
      <c r="BE4033" s="477">
        <v>3948294.156838201</v>
      </c>
      <c r="BF4033" s="458">
        <v>2.8191486924217912E-2</v>
      </c>
      <c r="BG4033" s="477">
        <v>12608754.970273642</v>
      </c>
      <c r="BH4033" s="458">
        <v>7.0966691862434539E-2</v>
      </c>
      <c r="BI4033" s="477">
        <v>14121650.790095204</v>
      </c>
      <c r="BJ4033" s="458">
        <v>0.11215781148109483</v>
      </c>
      <c r="BK4033" s="477">
        <v>87676165.235145003</v>
      </c>
      <c r="BL4033" s="458">
        <v>0.27544938804587926</v>
      </c>
      <c r="BM4033" s="468">
        <v>14.214249262807911</v>
      </c>
    </row>
    <row r="4034" spans="12:65" x14ac:dyDescent="0.3">
      <c r="L4034" s="427">
        <v>-12043013.716700001</v>
      </c>
      <c r="BE4034" s="477">
        <v>8083275.1899312614</v>
      </c>
      <c r="BF4034" s="458">
        <v>3.5575734785026736E-2</v>
      </c>
      <c r="BG4034" s="477">
        <v>-949915.27946584008</v>
      </c>
      <c r="BH4034" s="458">
        <v>9.5177851973224481E-2</v>
      </c>
      <c r="BI4034" s="477">
        <v>16084808.159397369</v>
      </c>
      <c r="BJ4034" s="458">
        <v>0.10263247598272507</v>
      </c>
      <c r="BK4034" s="477">
        <v>85908627.591830745</v>
      </c>
      <c r="BL4034" s="458">
        <v>0.27011662079024057</v>
      </c>
      <c r="BM4034" s="468">
        <v>11.979528959125235</v>
      </c>
    </row>
    <row r="4035" spans="12:65" x14ac:dyDescent="0.3">
      <c r="L4035" s="427">
        <v>6780099.8158999998</v>
      </c>
      <c r="BE4035" s="477">
        <v>4753659.5395958694</v>
      </c>
      <c r="BF4035" s="458">
        <v>5.981657098337001E-2</v>
      </c>
      <c r="BG4035" s="477">
        <v>7204073.0352768051</v>
      </c>
      <c r="BH4035" s="458">
        <v>7.0195097271685158E-2</v>
      </c>
      <c r="BI4035" s="477">
        <v>17898994.483456284</v>
      </c>
      <c r="BJ4035" s="458">
        <v>0.10582268380959103</v>
      </c>
      <c r="BK4035" s="477">
        <v>91378100.933622375</v>
      </c>
      <c r="BL4035" s="458">
        <v>0.26190336019919025</v>
      </c>
      <c r="BM4035" s="468">
        <v>4.8348192020703991</v>
      </c>
    </row>
    <row r="4036" spans="12:65" x14ac:dyDescent="0.3">
      <c r="L4036" s="427">
        <v>15717989.141799999</v>
      </c>
      <c r="BE4036" s="477">
        <v>6900240.3460706631</v>
      </c>
      <c r="BF4036" s="458">
        <v>2.9622705070048605E-2</v>
      </c>
      <c r="BG4036" s="477">
        <v>6772135.3087083586</v>
      </c>
      <c r="BH4036" s="458">
        <v>5.8561845802157508E-2</v>
      </c>
      <c r="BI4036" s="477">
        <v>12121046.621328859</v>
      </c>
      <c r="BJ4036" s="458">
        <v>0.11449401757894906</v>
      </c>
      <c r="BK4036" s="477">
        <v>89994167.847067431</v>
      </c>
      <c r="BL4036" s="458">
        <v>0.26645723497603724</v>
      </c>
      <c r="BM4036" s="468">
        <v>8.8337521242569714</v>
      </c>
    </row>
    <row r="4037" spans="12:65" x14ac:dyDescent="0.3">
      <c r="L4037" s="427">
        <v>5326235.3630999997</v>
      </c>
      <c r="BE4037" s="477">
        <v>4513320.0258957045</v>
      </c>
      <c r="BF4037" s="458">
        <v>4.3754604982895184E-2</v>
      </c>
      <c r="BG4037" s="477">
        <v>3927055.7853144938</v>
      </c>
      <c r="BH4037" s="458">
        <v>9.7644741114345512E-2</v>
      </c>
      <c r="BI4037" s="477">
        <v>20081166.362931173</v>
      </c>
      <c r="BJ4037" s="458">
        <v>0.10928834070740279</v>
      </c>
      <c r="BK4037" s="477">
        <v>94495342.524980754</v>
      </c>
      <c r="BL4037" s="458">
        <v>0.28632399376478279</v>
      </c>
      <c r="BM4037" s="468">
        <v>14.807352160143388</v>
      </c>
    </row>
    <row r="4038" spans="12:65" x14ac:dyDescent="0.3">
      <c r="L4038" s="427">
        <v>-176139.4578</v>
      </c>
      <c r="BE4038" s="477">
        <v>7215095.3518891307</v>
      </c>
      <c r="BF4038" s="458">
        <v>9.5516088290752643E-2</v>
      </c>
      <c r="BG4038" s="477">
        <v>11800870.899073284</v>
      </c>
      <c r="BH4038" s="458">
        <v>1.7319467148000589E-2</v>
      </c>
      <c r="BI4038" s="477">
        <v>13818754.930736134</v>
      </c>
      <c r="BJ4038" s="458">
        <v>9.4720792366558726E-2</v>
      </c>
      <c r="BK4038" s="477">
        <v>97521519.031783223</v>
      </c>
      <c r="BL4038" s="458">
        <v>0.27058107702017442</v>
      </c>
      <c r="BM4038" s="468">
        <v>10.3508465926143</v>
      </c>
    </row>
    <row r="4039" spans="12:65" x14ac:dyDescent="0.3">
      <c r="L4039" s="427">
        <v>12244742.093</v>
      </c>
      <c r="BE4039" s="477">
        <v>3714370.3515648199</v>
      </c>
      <c r="BF4039" s="458">
        <v>3.2358219956046597E-2</v>
      </c>
      <c r="BG4039" s="477">
        <v>10180977.208499782</v>
      </c>
      <c r="BH4039" s="458">
        <v>6.7554019175454894E-2</v>
      </c>
      <c r="BI4039" s="477">
        <v>9668295.8492300212</v>
      </c>
      <c r="BJ4039" s="458">
        <v>9.3775397734512378E-2</v>
      </c>
      <c r="BK4039" s="477">
        <v>92232071.669982016</v>
      </c>
      <c r="BL4039" s="458">
        <v>0.28835891395155766</v>
      </c>
      <c r="BM4039" s="468">
        <v>5.1454963383164163</v>
      </c>
    </row>
    <row r="4040" spans="12:65" x14ac:dyDescent="0.3">
      <c r="L4040" s="427">
        <v>9516653.2385000009</v>
      </c>
      <c r="BE4040" s="477">
        <v>3897437.3282221556</v>
      </c>
      <c r="BF4040" s="458">
        <v>3.4904625944929046E-2</v>
      </c>
      <c r="BG4040" s="477">
        <v>12196437.811520709</v>
      </c>
      <c r="BH4040" s="458">
        <v>6.4611489034037461E-2</v>
      </c>
      <c r="BI4040" s="477">
        <v>12113345.369451135</v>
      </c>
      <c r="BJ4040" s="458">
        <v>9.1700865478642646E-2</v>
      </c>
      <c r="BK4040" s="477">
        <v>102547489.28301363</v>
      </c>
      <c r="BL4040" s="458">
        <v>0.2558880456192012</v>
      </c>
      <c r="BM4040" s="468">
        <v>5.8567272139172211</v>
      </c>
    </row>
    <row r="4041" spans="12:65" x14ac:dyDescent="0.3">
      <c r="L4041" s="427">
        <v>20654071.868299998</v>
      </c>
      <c r="BE4041" s="477">
        <v>4705919.9774795286</v>
      </c>
      <c r="BF4041" s="458">
        <v>2.1182366209854253E-2</v>
      </c>
      <c r="BG4041" s="477">
        <v>7979674.0801520376</v>
      </c>
      <c r="BH4041" s="458">
        <v>4.6470903911882244E-2</v>
      </c>
      <c r="BI4041" s="477">
        <v>18260158.713993009</v>
      </c>
      <c r="BJ4041" s="458">
        <v>0.11520382650548511</v>
      </c>
      <c r="BK4041" s="477">
        <v>87600581.472951502</v>
      </c>
      <c r="BL4041" s="458">
        <v>0.24700006314621925</v>
      </c>
      <c r="BM4041" s="468">
        <v>7.5885026768769981</v>
      </c>
    </row>
    <row r="4042" spans="12:65" x14ac:dyDescent="0.3">
      <c r="L4042" s="427">
        <v>-1725472.0151</v>
      </c>
      <c r="BE4042" s="477">
        <v>6006661.8446275853</v>
      </c>
      <c r="BF4042" s="458">
        <v>3.4917277423422766E-2</v>
      </c>
      <c r="BG4042" s="477">
        <v>7781287.9574095625</v>
      </c>
      <c r="BH4042" s="458">
        <v>6.6387143644348834E-2</v>
      </c>
      <c r="BI4042" s="477">
        <v>18445311.0311439</v>
      </c>
      <c r="BJ4042" s="458">
        <v>9.5391466805636593E-2</v>
      </c>
      <c r="BK4042" s="477">
        <v>121533098.16833721</v>
      </c>
      <c r="BL4042" s="458">
        <v>0.27290614478399911</v>
      </c>
      <c r="BM4042" s="468">
        <v>4.3629589022426973</v>
      </c>
    </row>
    <row r="4043" spans="12:65" x14ac:dyDescent="0.3">
      <c r="L4043" s="427">
        <v>-23264555.432700001</v>
      </c>
      <c r="BE4043" s="477">
        <v>-626279.81228478148</v>
      </c>
      <c r="BF4043" s="458">
        <v>4.987431849223789E-2</v>
      </c>
      <c r="BG4043" s="477">
        <v>9418514.0528358407</v>
      </c>
      <c r="BH4043" s="458">
        <v>6.4399882420189014E-2</v>
      </c>
      <c r="BI4043" s="477">
        <v>14570153.772525283</v>
      </c>
      <c r="BJ4043" s="458">
        <v>0.12105830960436736</v>
      </c>
      <c r="BK4043" s="477">
        <v>93618821.394708246</v>
      </c>
      <c r="BL4043" s="458">
        <v>0.25888792608806166</v>
      </c>
      <c r="BM4043" s="468">
        <v>3.4698262212159641</v>
      </c>
    </row>
    <row r="4044" spans="12:65" x14ac:dyDescent="0.3">
      <c r="L4044" s="427">
        <v>7559857.9183</v>
      </c>
      <c r="BE4044" s="477">
        <v>4842800.2753441883</v>
      </c>
      <c r="BF4044" s="458">
        <v>3.5627729797429453E-2</v>
      </c>
      <c r="BG4044" s="477">
        <v>10777941.158062231</v>
      </c>
      <c r="BH4044" s="458">
        <v>6.9033667059001047E-2</v>
      </c>
      <c r="BI4044" s="477">
        <v>20903071.587933287</v>
      </c>
      <c r="BJ4044" s="458">
        <v>0.10266002875959956</v>
      </c>
      <c r="BK4044" s="477">
        <v>86760699.552340105</v>
      </c>
      <c r="BL4044" s="458">
        <v>0.27330098558056992</v>
      </c>
      <c r="BM4044" s="468">
        <v>11.969512350133291</v>
      </c>
    </row>
    <row r="4045" spans="12:65" x14ac:dyDescent="0.3">
      <c r="L4045" s="427">
        <v>9337144.9822000004</v>
      </c>
      <c r="BE4045" s="477">
        <v>3526012.5939150089</v>
      </c>
      <c r="BF4045" s="458">
        <v>3.7351803430971664E-2</v>
      </c>
      <c r="BG4045" s="477">
        <v>6910636.7182471454</v>
      </c>
      <c r="BH4045" s="458">
        <v>8.0360246680644787E-2</v>
      </c>
      <c r="BI4045" s="477">
        <v>18730299.608082809</v>
      </c>
      <c r="BJ4045" s="458">
        <v>0.11281710565736192</v>
      </c>
      <c r="BK4045" s="477">
        <v>99651218.82817468</v>
      </c>
      <c r="BL4045" s="458">
        <v>0.27259965266247632</v>
      </c>
      <c r="BM4045" s="468">
        <v>5.5158934463115301</v>
      </c>
    </row>
    <row r="4046" spans="12:65" x14ac:dyDescent="0.3">
      <c r="L4046" s="427">
        <v>13774094.019200001</v>
      </c>
      <c r="BE4046" s="477">
        <v>10101713.227051672</v>
      </c>
      <c r="BF4046" s="458">
        <v>4.5503228790960915E-2</v>
      </c>
      <c r="BG4046" s="477">
        <v>8396651.0340828542</v>
      </c>
      <c r="BH4046" s="458">
        <v>3.9908404509831907E-2</v>
      </c>
      <c r="BI4046" s="477">
        <v>12191195.871538755</v>
      </c>
      <c r="BJ4046" s="458">
        <v>0.1057361766324898</v>
      </c>
      <c r="BK4046" s="477">
        <v>80143509.181846932</v>
      </c>
      <c r="BL4046" s="458">
        <v>0.26556235832908581</v>
      </c>
      <c r="BM4046" s="468">
        <v>6.138950808205311</v>
      </c>
    </row>
    <row r="4047" spans="12:65" x14ac:dyDescent="0.3">
      <c r="L4047" s="427">
        <v>-2268414.1664</v>
      </c>
      <c r="BE4047" s="477">
        <v>8050603.740183875</v>
      </c>
      <c r="BF4047" s="458">
        <v>6.8350684400724671E-2</v>
      </c>
      <c r="BG4047" s="477">
        <v>13921385.57844403</v>
      </c>
      <c r="BH4047" s="458">
        <v>7.0200444851255428E-2</v>
      </c>
      <c r="BI4047" s="477">
        <v>16947986.733977478</v>
      </c>
      <c r="BJ4047" s="458">
        <v>0.10702284491389502</v>
      </c>
      <c r="BK4047" s="477">
        <v>88676043.652300775</v>
      </c>
      <c r="BL4047" s="458">
        <v>0.28165302078039489</v>
      </c>
      <c r="BM4047" s="468">
        <v>9.4258355758036068</v>
      </c>
    </row>
    <row r="4048" spans="12:65" x14ac:dyDescent="0.3">
      <c r="L4048" s="427">
        <v>16246362.011399999</v>
      </c>
      <c r="BE4048" s="477">
        <v>2650396.042924393</v>
      </c>
      <c r="BF4048" s="458">
        <v>5.5318193594038334E-2</v>
      </c>
      <c r="BG4048" s="477">
        <v>11348646.304512557</v>
      </c>
      <c r="BH4048" s="458">
        <v>7.6704382873713062E-2</v>
      </c>
      <c r="BI4048" s="477">
        <v>21417179.208956864</v>
      </c>
      <c r="BJ4048" s="458">
        <v>0.12544153574768946</v>
      </c>
      <c r="BK4048" s="477">
        <v>99721337.850846633</v>
      </c>
      <c r="BL4048" s="458">
        <v>0.25099877236398171</v>
      </c>
      <c r="BM4048" s="468">
        <v>8.9802392290547939</v>
      </c>
    </row>
    <row r="4049" spans="12:65" x14ac:dyDescent="0.3">
      <c r="L4049" s="427">
        <v>5184184.4326999998</v>
      </c>
      <c r="BE4049" s="477">
        <v>2051317.2099735809</v>
      </c>
      <c r="BF4049" s="458">
        <v>4.7885331976103451E-2</v>
      </c>
      <c r="BG4049" s="477">
        <v>5244037.8585699545</v>
      </c>
      <c r="BH4049" s="458">
        <v>9.280311542578823E-2</v>
      </c>
      <c r="BI4049" s="477">
        <v>17205391.064187709</v>
      </c>
      <c r="BJ4049" s="458">
        <v>9.8662735330153462E-2</v>
      </c>
      <c r="BK4049" s="477">
        <v>87515961.70934324</v>
      </c>
      <c r="BL4049" s="458">
        <v>0.25255483073432772</v>
      </c>
      <c r="BM4049" s="468">
        <v>9.0824389292524792</v>
      </c>
    </row>
    <row r="4050" spans="12:65" x14ac:dyDescent="0.3">
      <c r="L4050" s="427">
        <v>6194190.5389</v>
      </c>
      <c r="BE4050" s="477">
        <v>4963334.2095827116</v>
      </c>
      <c r="BF4050" s="458">
        <v>2.8131834638797759E-2</v>
      </c>
      <c r="BG4050" s="477">
        <v>8908770.0063361172</v>
      </c>
      <c r="BH4050" s="458">
        <v>6.758433440918532E-2</v>
      </c>
      <c r="BI4050" s="477">
        <v>17674153.359293941</v>
      </c>
      <c r="BJ4050" s="458">
        <v>9.7812091894465381E-2</v>
      </c>
      <c r="BK4050" s="477">
        <v>99401759.522252128</v>
      </c>
      <c r="BL4050" s="458">
        <v>0.26527755328748803</v>
      </c>
      <c r="BM4050" s="468">
        <v>4.5008411635828578</v>
      </c>
    </row>
    <row r="4051" spans="12:65" x14ac:dyDescent="0.3">
      <c r="L4051" s="427">
        <v>17990147.355500001</v>
      </c>
      <c r="BE4051" s="477">
        <v>3862614.6498875157</v>
      </c>
      <c r="BF4051" s="458">
        <v>4.5938429847931062E-2</v>
      </c>
      <c r="BG4051" s="477">
        <v>8607568.9715960156</v>
      </c>
      <c r="BH4051" s="458">
        <v>6.3015429495169917E-2</v>
      </c>
      <c r="BI4051" s="477">
        <v>23298966.317282397</v>
      </c>
      <c r="BJ4051" s="458">
        <v>9.6937083535261648E-2</v>
      </c>
      <c r="BK4051" s="477">
        <v>86490268.397106871</v>
      </c>
      <c r="BL4051" s="458">
        <v>0.2881013709342628</v>
      </c>
      <c r="BM4051" s="468">
        <v>13.003347804275663</v>
      </c>
    </row>
    <row r="4052" spans="12:65" x14ac:dyDescent="0.3">
      <c r="L4052" s="427">
        <v>6237072.2940999996</v>
      </c>
      <c r="BE4052" s="477">
        <v>6213441.4761975771</v>
      </c>
      <c r="BF4052" s="458">
        <v>4.48049533452195E-2</v>
      </c>
      <c r="BG4052" s="477">
        <v>8253458.2386963647</v>
      </c>
      <c r="BH4052" s="458">
        <v>5.1800459813081456E-2</v>
      </c>
      <c r="BI4052" s="477">
        <v>13074640.357512318</v>
      </c>
      <c r="BJ4052" s="458">
        <v>0.13411531575908087</v>
      </c>
      <c r="BK4052" s="477">
        <v>88149866.025841892</v>
      </c>
      <c r="BL4052" s="458">
        <v>0.25628596397656156</v>
      </c>
      <c r="BM4052" s="468">
        <v>3.5738753615424708</v>
      </c>
    </row>
    <row r="4053" spans="12:65" x14ac:dyDescent="0.3">
      <c r="L4053" s="427">
        <v>-3111164.5647999998</v>
      </c>
      <c r="BE4053" s="477">
        <v>3418282.0623135758</v>
      </c>
      <c r="BF4053" s="458">
        <v>3.67135129180296E-2</v>
      </c>
      <c r="BG4053" s="477">
        <v>8449961.1237913985</v>
      </c>
      <c r="BH4053" s="458">
        <v>9.1792636741029776E-2</v>
      </c>
      <c r="BI4053" s="477">
        <v>15755002.443971913</v>
      </c>
      <c r="BJ4053" s="458">
        <v>9.1257701612298847E-2</v>
      </c>
      <c r="BK4053" s="477">
        <v>93238506.997960433</v>
      </c>
      <c r="BL4053" s="458">
        <v>0.26142480379551847</v>
      </c>
      <c r="BM4053" s="468">
        <v>10.034800617111898</v>
      </c>
    </row>
    <row r="4054" spans="12:65" x14ac:dyDescent="0.3">
      <c r="L4054" s="427">
        <v>4626399.9304999998</v>
      </c>
      <c r="BE4054" s="477">
        <v>5529076.6337312218</v>
      </c>
      <c r="BF4054" s="458">
        <v>3.3926488024605295E-2</v>
      </c>
      <c r="BG4054" s="477">
        <v>4352518.3883709544</v>
      </c>
      <c r="BH4054" s="458">
        <v>5.4078932522535705E-2</v>
      </c>
      <c r="BI4054" s="477">
        <v>13062278.13254039</v>
      </c>
      <c r="BJ4054" s="458">
        <v>0.12070518773147088</v>
      </c>
      <c r="BK4054" s="477">
        <v>84308283.975130647</v>
      </c>
      <c r="BL4054" s="458">
        <v>0.27149242971910592</v>
      </c>
      <c r="BM4054" s="468">
        <v>15.169580403798056</v>
      </c>
    </row>
    <row r="4055" spans="12:65" x14ac:dyDescent="0.3">
      <c r="L4055" s="427">
        <v>19065917.2711</v>
      </c>
      <c r="BE4055" s="477">
        <v>5256840.4114311691</v>
      </c>
      <c r="BF4055" s="458">
        <v>3.1638934795130247E-2</v>
      </c>
      <c r="BG4055" s="477">
        <v>2897626.4436090025</v>
      </c>
      <c r="BH4055" s="458">
        <v>9.1375593103141028E-2</v>
      </c>
      <c r="BI4055" s="477">
        <v>19248824.642143779</v>
      </c>
      <c r="BJ4055" s="458">
        <v>7.9371586898841384E-2</v>
      </c>
      <c r="BK4055" s="477">
        <v>92997531.041223243</v>
      </c>
      <c r="BL4055" s="458">
        <v>0.26430610800773002</v>
      </c>
      <c r="BM4055" s="468">
        <v>12.798665222111143</v>
      </c>
    </row>
    <row r="4056" spans="12:65" x14ac:dyDescent="0.3">
      <c r="L4056" s="427">
        <v>9748603.8194999993</v>
      </c>
      <c r="BE4056" s="477">
        <v>6189262.6220237212</v>
      </c>
      <c r="BF4056" s="458">
        <v>2.3337966914115382E-2</v>
      </c>
      <c r="BG4056" s="477">
        <v>13631332.980319865</v>
      </c>
      <c r="BH4056" s="458">
        <v>8.4638763344473844E-2</v>
      </c>
      <c r="BI4056" s="477">
        <v>15173533.798176691</v>
      </c>
      <c r="BJ4056" s="458">
        <v>9.6471008793389545E-2</v>
      </c>
      <c r="BK4056" s="477">
        <v>90718093.367514417</v>
      </c>
      <c r="BL4056" s="458">
        <v>0.27794092650672675</v>
      </c>
      <c r="BM4056" s="468">
        <v>5.3401743805214021</v>
      </c>
    </row>
    <row r="4057" spans="12:65" x14ac:dyDescent="0.3">
      <c r="L4057" s="427">
        <v>6770060.7123999996</v>
      </c>
      <c r="BE4057" s="477">
        <v>5354311.7488129828</v>
      </c>
      <c r="BF4057" s="458">
        <v>4.4623821471287517E-2</v>
      </c>
      <c r="BG4057" s="477">
        <v>8405358.593182642</v>
      </c>
      <c r="BH4057" s="458">
        <v>8.8104943299688765E-2</v>
      </c>
      <c r="BI4057" s="477">
        <v>11815776.890591355</v>
      </c>
      <c r="BJ4057" s="458">
        <v>0.10391634791848547</v>
      </c>
      <c r="BK4057" s="477">
        <v>90052087.315324977</v>
      </c>
      <c r="BL4057" s="458">
        <v>0.25079890647090464</v>
      </c>
      <c r="BM4057" s="468">
        <v>8.0901384383112891</v>
      </c>
    </row>
    <row r="4058" spans="12:65" x14ac:dyDescent="0.3">
      <c r="L4058" s="427">
        <v>11593801.865700001</v>
      </c>
      <c r="BE4058" s="477">
        <v>1276931.8248079214</v>
      </c>
      <c r="BF4058" s="458">
        <v>2.4226701032080245E-2</v>
      </c>
      <c r="BG4058" s="477">
        <v>14194484.921862414</v>
      </c>
      <c r="BH4058" s="458">
        <v>5.5824583461736133E-2</v>
      </c>
      <c r="BI4058" s="477">
        <v>11292181.849104304</v>
      </c>
      <c r="BJ4058" s="458">
        <v>0.10485437880091553</v>
      </c>
      <c r="BK4058" s="477">
        <v>84113241.053309307</v>
      </c>
      <c r="BL4058" s="458">
        <v>0.27123995807159829</v>
      </c>
      <c r="BM4058" s="468">
        <v>14.953699953496297</v>
      </c>
    </row>
    <row r="4059" spans="12:65" x14ac:dyDescent="0.3">
      <c r="L4059" s="427">
        <v>2429721.4728000001</v>
      </c>
      <c r="BE4059" s="477">
        <v>1455732.2440015955</v>
      </c>
      <c r="BF4059" s="458">
        <v>3.1946214584490429E-2</v>
      </c>
      <c r="BG4059" s="477">
        <v>7834347.2256502584</v>
      </c>
      <c r="BH4059" s="458">
        <v>7.9695793299261464E-2</v>
      </c>
      <c r="BI4059" s="477">
        <v>17587285.628487837</v>
      </c>
      <c r="BJ4059" s="458">
        <v>8.7957275147185987E-2</v>
      </c>
      <c r="BK4059" s="477">
        <v>85749873.006746143</v>
      </c>
      <c r="BL4059" s="458">
        <v>0.26573160171890797</v>
      </c>
      <c r="BM4059" s="468">
        <v>14.702650897199291</v>
      </c>
    </row>
    <row r="4060" spans="12:65" x14ac:dyDescent="0.3">
      <c r="L4060" s="427">
        <v>-9786111.9909000006</v>
      </c>
      <c r="BE4060" s="477">
        <v>10446056.040751673</v>
      </c>
      <c r="BF4060" s="458">
        <v>4.3255261501755404E-2</v>
      </c>
      <c r="BG4060" s="477">
        <v>3242525.1201096298</v>
      </c>
      <c r="BH4060" s="458">
        <v>5.6674093189826635E-2</v>
      </c>
      <c r="BI4060" s="477">
        <v>13306568.918881183</v>
      </c>
      <c r="BJ4060" s="458">
        <v>0.12458880608699463</v>
      </c>
      <c r="BK4060" s="477">
        <v>92884517.090281516</v>
      </c>
      <c r="BL4060" s="458">
        <v>0.26786566150058833</v>
      </c>
      <c r="BM4060" s="468">
        <v>-2.9070251132333382</v>
      </c>
    </row>
    <row r="4061" spans="12:65" x14ac:dyDescent="0.3">
      <c r="L4061" s="427">
        <v>35355021.337399997</v>
      </c>
      <c r="BE4061" s="477">
        <v>-1592894.5423512484</v>
      </c>
      <c r="BF4061" s="458">
        <v>4.0915262419516374E-2</v>
      </c>
      <c r="BG4061" s="477">
        <v>7769803.7298786528</v>
      </c>
      <c r="BH4061" s="458">
        <v>6.4078584477867739E-2</v>
      </c>
      <c r="BI4061" s="477">
        <v>16109111.045042342</v>
      </c>
      <c r="BJ4061" s="458">
        <v>9.7910071521913666E-2</v>
      </c>
      <c r="BK4061" s="477">
        <v>79040180.02760908</v>
      </c>
      <c r="BL4061" s="458">
        <v>0.26102334713841335</v>
      </c>
      <c r="BM4061" s="468">
        <v>5.6642874078668184</v>
      </c>
    </row>
    <row r="4062" spans="12:65" x14ac:dyDescent="0.3">
      <c r="L4062" s="427">
        <v>13392643.560699999</v>
      </c>
      <c r="BE4062" s="477">
        <v>3178480.55192676</v>
      </c>
      <c r="BF4062" s="458">
        <v>3.1912402562003228E-2</v>
      </c>
      <c r="BG4062" s="477">
        <v>6251059.0842406768</v>
      </c>
      <c r="BH4062" s="458">
        <v>5.8702777593896638E-2</v>
      </c>
      <c r="BI4062" s="477">
        <v>17420582.353242151</v>
      </c>
      <c r="BJ4062" s="458">
        <v>0.12885687193213524</v>
      </c>
      <c r="BK4062" s="477">
        <v>89604886.466561213</v>
      </c>
      <c r="BL4062" s="458">
        <v>0.2624054796162667</v>
      </c>
      <c r="BM4062" s="468">
        <v>12.436565994755098</v>
      </c>
    </row>
    <row r="4063" spans="12:65" x14ac:dyDescent="0.3">
      <c r="L4063" s="427">
        <v>9776872.3956000004</v>
      </c>
      <c r="BE4063" s="477">
        <v>8006128.5461890679</v>
      </c>
      <c r="BF4063" s="458">
        <v>5.9107018876856321E-2</v>
      </c>
      <c r="BG4063" s="477">
        <v>11435716.146598607</v>
      </c>
      <c r="BH4063" s="458">
        <v>5.893806448241401E-2</v>
      </c>
      <c r="BI4063" s="477">
        <v>21987161.464814868</v>
      </c>
      <c r="BJ4063" s="458">
        <v>0.10915701619360729</v>
      </c>
      <c r="BK4063" s="477">
        <v>92744695.483483896</v>
      </c>
      <c r="BL4063" s="458">
        <v>0.25352750708792815</v>
      </c>
      <c r="BM4063" s="468">
        <v>9.5266171588418977</v>
      </c>
    </row>
    <row r="4064" spans="12:65" x14ac:dyDescent="0.3">
      <c r="L4064" s="427">
        <v>9855262.1626999993</v>
      </c>
      <c r="BE4064" s="477">
        <v>3263780.01399585</v>
      </c>
      <c r="BF4064" s="458">
        <v>6.8395153941344766E-2</v>
      </c>
      <c r="BG4064" s="477">
        <v>6278354.3166798539</v>
      </c>
      <c r="BH4064" s="458">
        <v>4.1000128566790917E-2</v>
      </c>
      <c r="BI4064" s="477">
        <v>24164227.446958482</v>
      </c>
      <c r="BJ4064" s="458">
        <v>9.4834872255807667E-2</v>
      </c>
      <c r="BK4064" s="477">
        <v>112558650.51940496</v>
      </c>
      <c r="BL4064" s="458">
        <v>0.263469406270046</v>
      </c>
      <c r="BM4064" s="468">
        <v>3.9015436478222849</v>
      </c>
    </row>
    <row r="4065" spans="12:65" x14ac:dyDescent="0.3">
      <c r="L4065" s="427">
        <v>7031790.2117999997</v>
      </c>
      <c r="BE4065" s="477">
        <v>5839829.7017072877</v>
      </c>
      <c r="BF4065" s="458">
        <v>4.7797849462693831E-2</v>
      </c>
      <c r="BG4065" s="477">
        <v>13371184.098894896</v>
      </c>
      <c r="BH4065" s="458">
        <v>7.2872983023785753E-2</v>
      </c>
      <c r="BI4065" s="477">
        <v>28492268.097304948</v>
      </c>
      <c r="BJ4065" s="458">
        <v>0.12554011719922364</v>
      </c>
      <c r="BK4065" s="477">
        <v>88845406.618841588</v>
      </c>
      <c r="BL4065" s="458">
        <v>0.26369875217231131</v>
      </c>
      <c r="BM4065" s="468">
        <v>13.341511141191788</v>
      </c>
    </row>
    <row r="4066" spans="12:65" x14ac:dyDescent="0.3">
      <c r="L4066" s="427">
        <v>1739325.7967000001</v>
      </c>
      <c r="BE4066" s="477">
        <v>4764927.4578374028</v>
      </c>
      <c r="BF4066" s="458">
        <v>3.6245870615649878E-2</v>
      </c>
      <c r="BG4066" s="477">
        <v>3803902.9796043229</v>
      </c>
      <c r="BH4066" s="458">
        <v>8.1370740145005671E-2</v>
      </c>
      <c r="BI4066" s="477">
        <v>13922402.373784453</v>
      </c>
      <c r="BJ4066" s="458">
        <v>0.13204090714134553</v>
      </c>
      <c r="BK4066" s="477">
        <v>97888791.302413315</v>
      </c>
      <c r="BL4066" s="458">
        <v>0.26973851900584189</v>
      </c>
      <c r="BM4066" s="468">
        <v>3.6607888605883954</v>
      </c>
    </row>
    <row r="4067" spans="12:65" x14ac:dyDescent="0.3">
      <c r="L4067" s="427">
        <v>11592910.4388</v>
      </c>
      <c r="BE4067" s="477">
        <v>3361477.5227639107</v>
      </c>
      <c r="BF4067" s="458">
        <v>5.2741677728739056E-2</v>
      </c>
      <c r="BG4067" s="477">
        <v>8001798.1379765216</v>
      </c>
      <c r="BH4067" s="458">
        <v>9.729681763976239E-2</v>
      </c>
      <c r="BI4067" s="477">
        <v>15793874.422671169</v>
      </c>
      <c r="BJ4067" s="458">
        <v>0.12622941570351576</v>
      </c>
      <c r="BK4067" s="477">
        <v>93889036.978178859</v>
      </c>
      <c r="BL4067" s="458">
        <v>0.2857674685634144</v>
      </c>
      <c r="BM4067" s="468">
        <v>12.221102405258709</v>
      </c>
    </row>
    <row r="4068" spans="12:65" x14ac:dyDescent="0.3">
      <c r="L4068" s="427">
        <v>2859754.3854</v>
      </c>
      <c r="BE4068" s="477">
        <v>7974281.1748313811</v>
      </c>
      <c r="BF4068" s="458">
        <v>3.4488508956829866E-2</v>
      </c>
      <c r="BG4068" s="477">
        <v>14689062.702568876</v>
      </c>
      <c r="BH4068" s="458">
        <v>3.2292787560397107E-2</v>
      </c>
      <c r="BI4068" s="477">
        <v>21591114.001829512</v>
      </c>
      <c r="BJ4068" s="458">
        <v>9.2725181167973014E-2</v>
      </c>
      <c r="BK4068" s="477">
        <v>89717611.830294952</v>
      </c>
      <c r="BL4068" s="458">
        <v>0.23552891499873785</v>
      </c>
      <c r="BM4068" s="468">
        <v>11.03186024117843</v>
      </c>
    </row>
    <row r="4069" spans="12:65" x14ac:dyDescent="0.3">
      <c r="L4069" s="427">
        <v>6131488.8251</v>
      </c>
      <c r="BE4069" s="477">
        <v>3649347.7417063545</v>
      </c>
      <c r="BF4069" s="458">
        <v>4.4189295364283065E-2</v>
      </c>
      <c r="BG4069" s="477">
        <v>8836497.4558238778</v>
      </c>
      <c r="BH4069" s="458">
        <v>6.2746212228554477E-2</v>
      </c>
      <c r="BI4069" s="477">
        <v>14752855.683249174</v>
      </c>
      <c r="BJ4069" s="458">
        <v>0.10401737888201823</v>
      </c>
      <c r="BK4069" s="477">
        <v>100256126.75231439</v>
      </c>
      <c r="BL4069" s="458">
        <v>0.27440395419178909</v>
      </c>
      <c r="BM4069" s="468">
        <v>10.154025840447131</v>
      </c>
    </row>
    <row r="4070" spans="12:65" x14ac:dyDescent="0.3">
      <c r="L4070" s="427">
        <v>14644284.9353</v>
      </c>
      <c r="BE4070" s="477">
        <v>6131005.5679492159</v>
      </c>
      <c r="BF4070" s="458">
        <v>3.5653871912417756E-2</v>
      </c>
      <c r="BG4070" s="477">
        <v>15121149.044687485</v>
      </c>
      <c r="BH4070" s="458">
        <v>8.864142081694748E-2</v>
      </c>
      <c r="BI4070" s="477">
        <v>22187293.497213665</v>
      </c>
      <c r="BJ4070" s="458">
        <v>9.9527316122631104E-2</v>
      </c>
      <c r="BK4070" s="477">
        <v>95948019.255519584</v>
      </c>
      <c r="BL4070" s="458">
        <v>0.28051613677322895</v>
      </c>
      <c r="BM4070" s="468">
        <v>10.540932094615524</v>
      </c>
    </row>
    <row r="4071" spans="12:65" x14ac:dyDescent="0.3">
      <c r="L4071" s="427">
        <v>-2171776.3056999999</v>
      </c>
      <c r="BE4071" s="477">
        <v>4818562.404762839</v>
      </c>
      <c r="BF4071" s="458">
        <v>4.4434888261946526E-2</v>
      </c>
      <c r="BG4071" s="477">
        <v>9253007.2332834098</v>
      </c>
      <c r="BH4071" s="458">
        <v>7.1154533070660664E-2</v>
      </c>
      <c r="BI4071" s="477">
        <v>20186156.073673207</v>
      </c>
      <c r="BJ4071" s="458">
        <v>0.1094774380405672</v>
      </c>
      <c r="BK4071" s="477">
        <v>74148399.820753992</v>
      </c>
      <c r="BL4071" s="458">
        <v>0.2643334584073711</v>
      </c>
      <c r="BM4071" s="468">
        <v>4.5808762713683535</v>
      </c>
    </row>
    <row r="4072" spans="12:65" x14ac:dyDescent="0.3">
      <c r="L4072" s="427">
        <v>10938399.336300001</v>
      </c>
      <c r="BE4072" s="477">
        <v>8938003.7958321515</v>
      </c>
      <c r="BF4072" s="458">
        <v>3.8590743359524948E-2</v>
      </c>
      <c r="BG4072" s="477">
        <v>6957700.5176521428</v>
      </c>
      <c r="BH4072" s="458">
        <v>7.7660460822073674E-2</v>
      </c>
      <c r="BI4072" s="477">
        <v>19125276.412542533</v>
      </c>
      <c r="BJ4072" s="458">
        <v>0.10629836771061463</v>
      </c>
      <c r="BK4072" s="477">
        <v>89740935.231651783</v>
      </c>
      <c r="BL4072" s="458">
        <v>0.28009299810086374</v>
      </c>
      <c r="BM4072" s="468">
        <v>9.7089340322031195</v>
      </c>
    </row>
    <row r="4073" spans="12:65" x14ac:dyDescent="0.3">
      <c r="L4073" s="427">
        <v>23141280.812899999</v>
      </c>
      <c r="BE4073" s="477">
        <v>7173898.6989450986</v>
      </c>
      <c r="BF4073" s="458">
        <v>2.3753917584481643E-2</v>
      </c>
      <c r="BG4073" s="477">
        <v>8430217.6292738747</v>
      </c>
      <c r="BH4073" s="458">
        <v>6.8813984116373961E-2</v>
      </c>
      <c r="BI4073" s="477">
        <v>6135289.3281327104</v>
      </c>
      <c r="BJ4073" s="458">
        <v>0.10683789197980387</v>
      </c>
      <c r="BK4073" s="477">
        <v>96055607.788435698</v>
      </c>
      <c r="BL4073" s="458">
        <v>0.27465103268576851</v>
      </c>
      <c r="BM4073" s="468">
        <v>6.9680961816780327</v>
      </c>
    </row>
    <row r="4074" spans="12:65" x14ac:dyDescent="0.3">
      <c r="L4074" s="427">
        <v>7212360.5142999999</v>
      </c>
      <c r="BE4074" s="477">
        <v>4923010.7241192423</v>
      </c>
      <c r="BF4074" s="458">
        <v>6.5643975191634008E-2</v>
      </c>
      <c r="BG4074" s="477">
        <v>3634990.5418667411</v>
      </c>
      <c r="BH4074" s="458">
        <v>6.5867255291743643E-2</v>
      </c>
      <c r="BI4074" s="477">
        <v>14760673.402928477</v>
      </c>
      <c r="BJ4074" s="458">
        <v>9.5523549340906788E-2</v>
      </c>
      <c r="BK4074" s="477">
        <v>89865591.04971011</v>
      </c>
      <c r="BL4074" s="458">
        <v>0.26329667361399456</v>
      </c>
      <c r="BM4074" s="468">
        <v>7.6304413029847167</v>
      </c>
    </row>
    <row r="4075" spans="12:65" x14ac:dyDescent="0.3">
      <c r="L4075" s="427">
        <v>13183587.875</v>
      </c>
      <c r="BE4075" s="477">
        <v>9612021.1058916077</v>
      </c>
      <c r="BF4075" s="458">
        <v>4.4240713555535383E-2</v>
      </c>
      <c r="BG4075" s="477">
        <v>12072192.61858809</v>
      </c>
      <c r="BH4075" s="458">
        <v>4.1731973298122282E-2</v>
      </c>
      <c r="BI4075" s="477">
        <v>21486662.939950723</v>
      </c>
      <c r="BJ4075" s="458">
        <v>0.11454356689628642</v>
      </c>
      <c r="BK4075" s="477">
        <v>96767669.03312543</v>
      </c>
      <c r="BL4075" s="458">
        <v>0.26000558506913385</v>
      </c>
      <c r="BM4075" s="468">
        <v>12.800679564495095</v>
      </c>
    </row>
    <row r="4076" spans="12:65" x14ac:dyDescent="0.3">
      <c r="L4076" s="427">
        <v>-1526499.0981999999</v>
      </c>
      <c r="BE4076" s="477">
        <v>-860778.19679881365</v>
      </c>
      <c r="BF4076" s="458">
        <v>3.6068235463114773E-2</v>
      </c>
      <c r="BG4076" s="477">
        <v>6255095.4044689536</v>
      </c>
      <c r="BH4076" s="458">
        <v>4.0573809376184489E-2</v>
      </c>
      <c r="BI4076" s="477">
        <v>13377196.303113213</v>
      </c>
      <c r="BJ4076" s="458">
        <v>0.15025317947843253</v>
      </c>
      <c r="BK4076" s="477">
        <v>92596713.783640534</v>
      </c>
      <c r="BL4076" s="458">
        <v>0.25284299744233851</v>
      </c>
      <c r="BM4076" s="468">
        <v>6.7570103505012211</v>
      </c>
    </row>
    <row r="4077" spans="12:65" x14ac:dyDescent="0.3">
      <c r="L4077" s="427">
        <v>10178976.3882</v>
      </c>
      <c r="BE4077" s="477">
        <v>3457187.5857675229</v>
      </c>
      <c r="BF4077" s="458">
        <v>4.3684541169213276E-3</v>
      </c>
      <c r="BG4077" s="477">
        <v>5418525.5046029771</v>
      </c>
      <c r="BH4077" s="458">
        <v>4.4766587124131174E-2</v>
      </c>
      <c r="BI4077" s="477">
        <v>21747785.455010157</v>
      </c>
      <c r="BJ4077" s="458">
        <v>0.13352254354067639</v>
      </c>
      <c r="BK4077" s="477">
        <v>86388094.368746534</v>
      </c>
      <c r="BL4077" s="458">
        <v>0.25860921134185189</v>
      </c>
      <c r="BM4077" s="468">
        <v>11.070888924685796</v>
      </c>
    </row>
    <row r="4078" spans="12:65" x14ac:dyDescent="0.3">
      <c r="L4078" s="427">
        <v>12299910.677100001</v>
      </c>
      <c r="BE4078" s="477">
        <v>1922745.7798714729</v>
      </c>
      <c r="BF4078" s="458">
        <v>4.7195116358561329E-2</v>
      </c>
      <c r="BG4078" s="477">
        <v>12720274.189591778</v>
      </c>
      <c r="BH4078" s="458">
        <v>8.9196998482792056E-2</v>
      </c>
      <c r="BI4078" s="477">
        <v>10815036.136308875</v>
      </c>
      <c r="BJ4078" s="458">
        <v>0.11355963661598856</v>
      </c>
      <c r="BK4078" s="477">
        <v>91752109.433578655</v>
      </c>
      <c r="BL4078" s="458">
        <v>0.27196053602750281</v>
      </c>
      <c r="BM4078" s="468">
        <v>11.556328466056934</v>
      </c>
    </row>
    <row r="4079" spans="12:65" x14ac:dyDescent="0.3">
      <c r="L4079" s="427">
        <v>7772754.2896999996</v>
      </c>
      <c r="BE4079" s="477">
        <v>5661626.8555223709</v>
      </c>
      <c r="BF4079" s="458">
        <v>3.6488329636625183E-2</v>
      </c>
      <c r="BG4079" s="477">
        <v>6674767.7282392718</v>
      </c>
      <c r="BH4079" s="458">
        <v>6.7662807859284912E-2</v>
      </c>
      <c r="BI4079" s="477">
        <v>10119441.274685623</v>
      </c>
      <c r="BJ4079" s="458">
        <v>0.1378206748977322</v>
      </c>
      <c r="BK4079" s="477">
        <v>85211431.887292609</v>
      </c>
      <c r="BL4079" s="458">
        <v>0.28264591924030191</v>
      </c>
      <c r="BM4079" s="468">
        <v>1.9907681804742738</v>
      </c>
    </row>
    <row r="4080" spans="12:65" x14ac:dyDescent="0.3">
      <c r="L4080" s="427">
        <v>14001937.5451</v>
      </c>
      <c r="BE4080" s="477">
        <v>4958434.0789717976</v>
      </c>
      <c r="BF4080" s="458">
        <v>6.1100024252020768E-2</v>
      </c>
      <c r="BG4080" s="477">
        <v>1048711.8808444829</v>
      </c>
      <c r="BH4080" s="458">
        <v>6.0115444873024337E-2</v>
      </c>
      <c r="BI4080" s="477">
        <v>18050381.477400161</v>
      </c>
      <c r="BJ4080" s="458">
        <v>0.10086561144907757</v>
      </c>
      <c r="BK4080" s="477">
        <v>84104719.621389747</v>
      </c>
      <c r="BL4080" s="458">
        <v>0.26542982803480619</v>
      </c>
      <c r="BM4080" s="468">
        <v>6.7692457013360405</v>
      </c>
    </row>
    <row r="4081" spans="12:65" x14ac:dyDescent="0.3">
      <c r="L4081" s="427">
        <v>2723178.9434000002</v>
      </c>
      <c r="BE4081" s="477">
        <v>5824730.4022597848</v>
      </c>
      <c r="BF4081" s="458">
        <v>3.391013720442082E-2</v>
      </c>
      <c r="BG4081" s="477">
        <v>7364969.4044010071</v>
      </c>
      <c r="BH4081" s="458">
        <v>9.9416148646962466E-2</v>
      </c>
      <c r="BI4081" s="477">
        <v>12454160.674275625</v>
      </c>
      <c r="BJ4081" s="458">
        <v>0.12932051477098772</v>
      </c>
      <c r="BK4081" s="477">
        <v>89967292.024230942</v>
      </c>
      <c r="BL4081" s="458">
        <v>0.25184991351606767</v>
      </c>
      <c r="BM4081" s="468">
        <v>12.663781462611253</v>
      </c>
    </row>
    <row r="4082" spans="12:65" x14ac:dyDescent="0.3">
      <c r="L4082" s="427">
        <v>5280347.5754000004</v>
      </c>
      <c r="BE4082" s="477">
        <v>3101880.0689382991</v>
      </c>
      <c r="BF4082" s="458">
        <v>3.6192527886047765E-2</v>
      </c>
      <c r="BG4082" s="477">
        <v>6286398.6083127223</v>
      </c>
      <c r="BH4082" s="458">
        <v>4.1883594486654463E-2</v>
      </c>
      <c r="BI4082" s="477">
        <v>15488231.645800292</v>
      </c>
      <c r="BJ4082" s="458">
        <v>0.10594145332060712</v>
      </c>
      <c r="BK4082" s="477">
        <v>103193615.50127719</v>
      </c>
      <c r="BL4082" s="458">
        <v>0.27985394061508639</v>
      </c>
      <c r="BM4082" s="468">
        <v>6.8905442530923358</v>
      </c>
    </row>
    <row r="4083" spans="12:65" x14ac:dyDescent="0.3">
      <c r="L4083" s="427">
        <v>-1140834.1534</v>
      </c>
      <c r="BE4083" s="477">
        <v>4262622.3287651315</v>
      </c>
      <c r="BF4083" s="458">
        <v>7.0559812246714371E-2</v>
      </c>
      <c r="BG4083" s="477">
        <v>10600951.747206626</v>
      </c>
      <c r="BH4083" s="458">
        <v>9.1368630760820357E-2</v>
      </c>
      <c r="BI4083" s="477">
        <v>18443732.107114665</v>
      </c>
      <c r="BJ4083" s="458">
        <v>9.4111325757176845E-2</v>
      </c>
      <c r="BK4083" s="477">
        <v>101314870.98299392</v>
      </c>
      <c r="BL4083" s="458">
        <v>0.29900545176775539</v>
      </c>
      <c r="BM4083" s="468">
        <v>7.9334106241101585</v>
      </c>
    </row>
    <row r="4084" spans="12:65" x14ac:dyDescent="0.3">
      <c r="L4084" s="427">
        <v>-6769984.5799000002</v>
      </c>
      <c r="BE4084" s="477">
        <v>1918615.8909490427</v>
      </c>
      <c r="BF4084" s="458">
        <v>4.01251547890078E-2</v>
      </c>
      <c r="BG4084" s="477">
        <v>6585248.9214346576</v>
      </c>
      <c r="BH4084" s="458">
        <v>5.4992281368157148E-2</v>
      </c>
      <c r="BI4084" s="477">
        <v>15231091.07425716</v>
      </c>
      <c r="BJ4084" s="458">
        <v>0.10831164690084027</v>
      </c>
      <c r="BK4084" s="477">
        <v>78457126.309068516</v>
      </c>
      <c r="BL4084" s="458">
        <v>0.28023993973677208</v>
      </c>
      <c r="BM4084" s="468">
        <v>3.7552217625753226</v>
      </c>
    </row>
    <row r="4085" spans="12:65" x14ac:dyDescent="0.3">
      <c r="L4085" s="427">
        <v>2522380.9122000001</v>
      </c>
      <c r="BE4085" s="477">
        <v>3588872.5683507281</v>
      </c>
      <c r="BF4085" s="458">
        <v>2.9453212227468439E-2</v>
      </c>
      <c r="BG4085" s="477">
        <v>14271477.129982064</v>
      </c>
      <c r="BH4085" s="458">
        <v>4.7017204982269023E-2</v>
      </c>
      <c r="BI4085" s="477">
        <v>14695039.177058462</v>
      </c>
      <c r="BJ4085" s="458">
        <v>0.1226860338732414</v>
      </c>
      <c r="BK4085" s="477">
        <v>74194403.475747868</v>
      </c>
      <c r="BL4085" s="458">
        <v>0.27016487463710392</v>
      </c>
      <c r="BM4085" s="468">
        <v>6.0090792202459564</v>
      </c>
    </row>
    <row r="4086" spans="12:65" x14ac:dyDescent="0.3">
      <c r="L4086" s="427">
        <v>12361912.5349</v>
      </c>
      <c r="BE4086" s="477">
        <v>3601419.7441045004</v>
      </c>
      <c r="BF4086" s="458">
        <v>4.1672993809781955E-2</v>
      </c>
      <c r="BG4086" s="477">
        <v>7875888.7758103963</v>
      </c>
      <c r="BH4086" s="458">
        <v>4.5575852276286577E-2</v>
      </c>
      <c r="BI4086" s="477">
        <v>20795191.388663091</v>
      </c>
      <c r="BJ4086" s="458">
        <v>0.11167017698338166</v>
      </c>
      <c r="BK4086" s="477">
        <v>92195258.415106535</v>
      </c>
      <c r="BL4086" s="458">
        <v>0.27113695703871743</v>
      </c>
      <c r="BM4086" s="468">
        <v>5.2512978587735208</v>
      </c>
    </row>
    <row r="4087" spans="12:65" x14ac:dyDescent="0.3">
      <c r="L4087" s="427">
        <v>1210629.4941</v>
      </c>
      <c r="BE4087" s="477">
        <v>4291553.424336426</v>
      </c>
      <c r="BF4087" s="458">
        <v>4.4124912362092594E-2</v>
      </c>
      <c r="BG4087" s="477">
        <v>1796885.8106393795</v>
      </c>
      <c r="BH4087" s="458">
        <v>9.2519210054326173E-2</v>
      </c>
      <c r="BI4087" s="477">
        <v>19063454.852472901</v>
      </c>
      <c r="BJ4087" s="458">
        <v>0.12724132730257898</v>
      </c>
      <c r="BK4087" s="477">
        <v>97115228.549592361</v>
      </c>
      <c r="BL4087" s="458">
        <v>0.28130682513761029</v>
      </c>
      <c r="BM4087" s="468">
        <v>7.5038902297071761</v>
      </c>
    </row>
    <row r="4088" spans="12:65" x14ac:dyDescent="0.3">
      <c r="L4088" s="427">
        <v>2782829.4646999999</v>
      </c>
      <c r="BE4088" s="477">
        <v>2392378.0033219927</v>
      </c>
      <c r="BF4088" s="458">
        <v>3.4049263025629273E-2</v>
      </c>
      <c r="BG4088" s="477">
        <v>10059382.168450423</v>
      </c>
      <c r="BH4088" s="458">
        <v>7.0478529814291369E-2</v>
      </c>
      <c r="BI4088" s="477">
        <v>13573158.047075713</v>
      </c>
      <c r="BJ4088" s="458">
        <v>0.1001104594595148</v>
      </c>
      <c r="BK4088" s="477">
        <v>81995085.90776588</v>
      </c>
      <c r="BL4088" s="458">
        <v>0.30676945408134793</v>
      </c>
      <c r="BM4088" s="468">
        <v>6.7481784286127802</v>
      </c>
    </row>
    <row r="4089" spans="12:65" x14ac:dyDescent="0.3">
      <c r="L4089" s="427">
        <v>16739550.9394</v>
      </c>
      <c r="BE4089" s="477">
        <v>1940273.2446004823</v>
      </c>
      <c r="BF4089" s="458">
        <v>4.1475090549226712E-2</v>
      </c>
      <c r="BG4089" s="477">
        <v>9208290.8559218142</v>
      </c>
      <c r="BH4089" s="458">
        <v>7.6081161627311378E-2</v>
      </c>
      <c r="BI4089" s="477">
        <v>21171572.194875389</v>
      </c>
      <c r="BJ4089" s="458">
        <v>0.10629760852812464</v>
      </c>
      <c r="BK4089" s="477">
        <v>97458784.656417146</v>
      </c>
      <c r="BL4089" s="458">
        <v>0.26187559614200184</v>
      </c>
      <c r="BM4089" s="468">
        <v>6.3497761608728052</v>
      </c>
    </row>
    <row r="4090" spans="12:65" x14ac:dyDescent="0.3">
      <c r="L4090" s="427">
        <v>10972047.8268</v>
      </c>
      <c r="BE4090" s="477">
        <v>6679557.9666529018</v>
      </c>
      <c r="BF4090" s="458">
        <v>4.0715350029503883E-2</v>
      </c>
      <c r="BG4090" s="477">
        <v>9835648.8544058278</v>
      </c>
      <c r="BH4090" s="458">
        <v>5.1205068895961769E-2</v>
      </c>
      <c r="BI4090" s="477">
        <v>13758876.886261491</v>
      </c>
      <c r="BJ4090" s="458">
        <v>9.7727220269991477E-2</v>
      </c>
      <c r="BK4090" s="477">
        <v>75454472.930122688</v>
      </c>
      <c r="BL4090" s="458">
        <v>0.2867451937026797</v>
      </c>
      <c r="BM4090" s="468">
        <v>7.9109925120616325</v>
      </c>
    </row>
    <row r="4091" spans="12:65" x14ac:dyDescent="0.3">
      <c r="L4091" s="427">
        <v>23367327.309999999</v>
      </c>
      <c r="BE4091" s="477">
        <v>12042421.276017835</v>
      </c>
      <c r="BF4091" s="458">
        <v>3.7753450020259871E-2</v>
      </c>
      <c r="BG4091" s="477">
        <v>5143061.912797289</v>
      </c>
      <c r="BH4091" s="458">
        <v>7.51504892005328E-2</v>
      </c>
      <c r="BI4091" s="477">
        <v>18143604.91664448</v>
      </c>
      <c r="BJ4091" s="458">
        <v>7.8775836958992596E-2</v>
      </c>
      <c r="BK4091" s="477">
        <v>98288696.196887091</v>
      </c>
      <c r="BL4091" s="458">
        <v>0.28893761830374176</v>
      </c>
      <c r="BM4091" s="468">
        <v>17.531093929240175</v>
      </c>
    </row>
    <row r="4092" spans="12:65" x14ac:dyDescent="0.3">
      <c r="L4092" s="427">
        <v>5438439.7791999998</v>
      </c>
      <c r="BE4092" s="477">
        <v>10944578.853361342</v>
      </c>
      <c r="BF4092" s="458">
        <v>3.5626744087277284E-2</v>
      </c>
      <c r="BG4092" s="477">
        <v>13223646.694377581</v>
      </c>
      <c r="BH4092" s="458">
        <v>5.2830682592684752E-2</v>
      </c>
      <c r="BI4092" s="477">
        <v>18918851.5506671</v>
      </c>
      <c r="BJ4092" s="458">
        <v>0.10037000131294249</v>
      </c>
      <c r="BK4092" s="477">
        <v>103617112.75533399</v>
      </c>
      <c r="BL4092" s="458">
        <v>0.26548848315410645</v>
      </c>
      <c r="BM4092" s="468">
        <v>3.0563481330590747</v>
      </c>
    </row>
    <row r="4093" spans="12:65" x14ac:dyDescent="0.3">
      <c r="L4093" s="427">
        <v>10366143.2542</v>
      </c>
      <c r="BE4093" s="477">
        <v>3251933.6556855333</v>
      </c>
      <c r="BF4093" s="458">
        <v>5.0925807942047374E-2</v>
      </c>
      <c r="BG4093" s="477">
        <v>4696417.8655803399</v>
      </c>
      <c r="BH4093" s="458">
        <v>5.9123054829966382E-2</v>
      </c>
      <c r="BI4093" s="477">
        <v>20504354.826169938</v>
      </c>
      <c r="BJ4093" s="458">
        <v>9.6273146841145296E-2</v>
      </c>
      <c r="BK4093" s="477">
        <v>74006052.537912264</v>
      </c>
      <c r="BL4093" s="458">
        <v>0.26676844843632841</v>
      </c>
      <c r="BM4093" s="468">
        <v>13.907733825985002</v>
      </c>
    </row>
    <row r="4094" spans="12:65" x14ac:dyDescent="0.3">
      <c r="L4094" s="427">
        <v>16276727.310699999</v>
      </c>
      <c r="BE4094" s="477">
        <v>5978649.217979799</v>
      </c>
      <c r="BF4094" s="458">
        <v>0.14604762181180719</v>
      </c>
      <c r="BG4094" s="477">
        <v>10943662.774746843</v>
      </c>
      <c r="BH4094" s="458">
        <v>6.2130984157097613E-2</v>
      </c>
      <c r="BI4094" s="477">
        <v>15251902.535533639</v>
      </c>
      <c r="BJ4094" s="458">
        <v>0.12193254163694567</v>
      </c>
      <c r="BK4094" s="477">
        <v>92619844.589062348</v>
      </c>
      <c r="BL4094" s="458">
        <v>0.25943943863494101</v>
      </c>
      <c r="BM4094" s="468">
        <v>14.684029060241611</v>
      </c>
    </row>
    <row r="4095" spans="12:65" x14ac:dyDescent="0.3">
      <c r="L4095" s="427">
        <v>17563340.214899998</v>
      </c>
      <c r="BE4095" s="477">
        <v>9217948.2859787047</v>
      </c>
      <c r="BF4095" s="458">
        <v>2.5549680102668892E-2</v>
      </c>
      <c r="BG4095" s="477">
        <v>3747079.3070609495</v>
      </c>
      <c r="BH4095" s="458">
        <v>8.9946764702085735E-2</v>
      </c>
      <c r="BI4095" s="477">
        <v>26027049.172073826</v>
      </c>
      <c r="BJ4095" s="458">
        <v>0.10007112320858957</v>
      </c>
      <c r="BK4095" s="477">
        <v>88857177.692243159</v>
      </c>
      <c r="BL4095" s="458">
        <v>0.26202862941701843</v>
      </c>
      <c r="BM4095" s="468">
        <v>4.2866776801060889</v>
      </c>
    </row>
    <row r="4096" spans="12:65" x14ac:dyDescent="0.3">
      <c r="L4096" s="427">
        <v>-226564.51259999999</v>
      </c>
      <c r="BE4096" s="477">
        <v>-95487.460262888824</v>
      </c>
      <c r="BF4096" s="458">
        <v>2.8119453091963953E-2</v>
      </c>
      <c r="BG4096" s="477">
        <v>8223542.0459656967</v>
      </c>
      <c r="BH4096" s="458">
        <v>3.7012134331703583E-2</v>
      </c>
      <c r="BI4096" s="477">
        <v>15108389.377972405</v>
      </c>
      <c r="BJ4096" s="458">
        <v>0.12116240632366182</v>
      </c>
      <c r="BK4096" s="477">
        <v>82832398.751520172</v>
      </c>
      <c r="BL4096" s="458">
        <v>0.28987683135493136</v>
      </c>
      <c r="BM4096" s="468">
        <v>9.2644476385119159</v>
      </c>
    </row>
    <row r="4097" spans="12:65" x14ac:dyDescent="0.3">
      <c r="L4097" s="427">
        <v>20439576.531399999</v>
      </c>
      <c r="BE4097" s="477">
        <v>1238820.2336532786</v>
      </c>
      <c r="BF4097" s="458">
        <v>2.0504176827123244E-2</v>
      </c>
      <c r="BG4097" s="477">
        <v>11098280.700471111</v>
      </c>
      <c r="BH4097" s="458">
        <v>4.8246428664731278E-2</v>
      </c>
      <c r="BI4097" s="477">
        <v>18304767.149972241</v>
      </c>
      <c r="BJ4097" s="458">
        <v>0.11037439278130523</v>
      </c>
      <c r="BK4097" s="477">
        <v>87287402.622756317</v>
      </c>
      <c r="BL4097" s="458">
        <v>0.29954676488162502</v>
      </c>
      <c r="BM4097" s="468">
        <v>4.4012648901190463</v>
      </c>
    </row>
    <row r="4098" spans="12:65" x14ac:dyDescent="0.3">
      <c r="L4098" s="427">
        <v>11421844.9416</v>
      </c>
      <c r="BE4098" s="477">
        <v>6252841.426992245</v>
      </c>
      <c r="BF4098" s="458">
        <v>4.1188961637091515E-2</v>
      </c>
      <c r="BG4098" s="477">
        <v>9020013.6771247555</v>
      </c>
      <c r="BH4098" s="458">
        <v>5.2139550564558323E-2</v>
      </c>
      <c r="BI4098" s="477">
        <v>24341454.074800875</v>
      </c>
      <c r="BJ4098" s="458">
        <v>0.10707902185927121</v>
      </c>
      <c r="BK4098" s="477">
        <v>101959354.39201485</v>
      </c>
      <c r="BL4098" s="458">
        <v>0.28339335972179835</v>
      </c>
      <c r="BM4098" s="468">
        <v>3.5480835453675095</v>
      </c>
    </row>
    <row r="4099" spans="12:65" x14ac:dyDescent="0.3">
      <c r="L4099" s="427">
        <v>19286253.41</v>
      </c>
      <c r="BE4099" s="477">
        <v>4768168.6052056672</v>
      </c>
      <c r="BF4099" s="458">
        <v>5.2283183011565759E-2</v>
      </c>
      <c r="BG4099" s="477">
        <v>11336782.218843844</v>
      </c>
      <c r="BH4099" s="458">
        <v>5.7017558942875413E-2</v>
      </c>
      <c r="BI4099" s="477">
        <v>20115378.854782075</v>
      </c>
      <c r="BJ4099" s="458">
        <v>9.3007962835991664E-2</v>
      </c>
      <c r="BK4099" s="477">
        <v>78962864.088904589</v>
      </c>
      <c r="BL4099" s="458">
        <v>0.29757823214208168</v>
      </c>
      <c r="BM4099" s="468">
        <v>7.1566138344191188</v>
      </c>
    </row>
    <row r="4100" spans="12:65" x14ac:dyDescent="0.3">
      <c r="L4100" s="427">
        <v>14239499.727399999</v>
      </c>
      <c r="BE4100" s="477">
        <v>7501098.6544490438</v>
      </c>
      <c r="BF4100" s="458">
        <v>7.7341914885192375E-2</v>
      </c>
      <c r="BG4100" s="477">
        <v>10759993.487367449</v>
      </c>
      <c r="BH4100" s="458">
        <v>7.4714770750279991E-2</v>
      </c>
      <c r="BI4100" s="477">
        <v>18191279.789427321</v>
      </c>
      <c r="BJ4100" s="458">
        <v>0.13775737190309978</v>
      </c>
      <c r="BK4100" s="477">
        <v>97552744.066452116</v>
      </c>
      <c r="BL4100" s="458">
        <v>0.26143471619943859</v>
      </c>
      <c r="BM4100" s="468">
        <v>9.8378364149967403</v>
      </c>
    </row>
    <row r="4101" spans="12:65" x14ac:dyDescent="0.3">
      <c r="L4101" s="427">
        <v>-850064.86040000001</v>
      </c>
      <c r="BE4101" s="477">
        <v>4369555.112061142</v>
      </c>
      <c r="BF4101" s="458">
        <v>2.6176528266415255E-2</v>
      </c>
      <c r="BG4101" s="477">
        <v>8718154.6363025885</v>
      </c>
      <c r="BH4101" s="458">
        <v>8.6772330033842549E-2</v>
      </c>
      <c r="BI4101" s="477">
        <v>22567946.366137687</v>
      </c>
      <c r="BJ4101" s="458">
        <v>0.10532086381078187</v>
      </c>
      <c r="BK4101" s="477">
        <v>85914844.939132467</v>
      </c>
      <c r="BL4101" s="458">
        <v>0.26355666471383099</v>
      </c>
      <c r="BM4101" s="468">
        <v>7.5239894150318376</v>
      </c>
    </row>
    <row r="4102" spans="12:65" x14ac:dyDescent="0.3">
      <c r="L4102" s="427">
        <v>17770104.836399999</v>
      </c>
      <c r="BE4102" s="477">
        <v>4699828.3308974328</v>
      </c>
      <c r="BF4102" s="458">
        <v>4.3987580110666391E-2</v>
      </c>
      <c r="BG4102" s="477">
        <v>10468352.141925041</v>
      </c>
      <c r="BH4102" s="458">
        <v>6.9050427009732518E-2</v>
      </c>
      <c r="BI4102" s="477">
        <v>12166742.260659184</v>
      </c>
      <c r="BJ4102" s="458">
        <v>0.13264423200102926</v>
      </c>
      <c r="BK4102" s="477">
        <v>82537900.947644293</v>
      </c>
      <c r="BL4102" s="458">
        <v>0.27342564702083894</v>
      </c>
      <c r="BM4102" s="468">
        <v>6.6461785365941939</v>
      </c>
    </row>
    <row r="4103" spans="12:65" x14ac:dyDescent="0.3">
      <c r="L4103" s="427">
        <v>12866693.160800001</v>
      </c>
      <c r="BE4103" s="477">
        <v>3027079.753468215</v>
      </c>
      <c r="BF4103" s="458">
        <v>5.6788069475962599E-2</v>
      </c>
      <c r="BG4103" s="477">
        <v>4193377.2548702229</v>
      </c>
      <c r="BH4103" s="458">
        <v>8.5319450028415122E-2</v>
      </c>
      <c r="BI4103" s="477">
        <v>25702357.945502944</v>
      </c>
      <c r="BJ4103" s="458">
        <v>9.0429932943131286E-2</v>
      </c>
      <c r="BK4103" s="477">
        <v>76527666.916299656</v>
      </c>
      <c r="BL4103" s="458">
        <v>0.27056884381489477</v>
      </c>
      <c r="BM4103" s="468">
        <v>11.659811505992453</v>
      </c>
    </row>
    <row r="4104" spans="12:65" x14ac:dyDescent="0.3">
      <c r="L4104" s="427">
        <v>12691585.4037</v>
      </c>
      <c r="BE4104" s="477">
        <v>10177393.149355868</v>
      </c>
      <c r="BF4104" s="458">
        <v>2.8046634071004606E-2</v>
      </c>
      <c r="BG4104" s="477">
        <v>13515805.859404627</v>
      </c>
      <c r="BH4104" s="458">
        <v>7.4373613845040376E-2</v>
      </c>
      <c r="BI4104" s="477">
        <v>17210699.974823419</v>
      </c>
      <c r="BJ4104" s="458">
        <v>9.8533999835504149E-2</v>
      </c>
      <c r="BK4104" s="477">
        <v>105746264.39009076</v>
      </c>
      <c r="BL4104" s="458">
        <v>0.24511241777777992</v>
      </c>
      <c r="BM4104" s="468">
        <v>6.301978222376559</v>
      </c>
    </row>
    <row r="4105" spans="12:65" x14ac:dyDescent="0.3">
      <c r="L4105" s="427">
        <v>12589531.2711</v>
      </c>
      <c r="BE4105" s="477">
        <v>4199698.9586163489</v>
      </c>
      <c r="BF4105" s="458">
        <v>4.3594941252396158E-2</v>
      </c>
      <c r="BG4105" s="477">
        <v>10980365.78568121</v>
      </c>
      <c r="BH4105" s="458">
        <v>8.9599322753707744E-2</v>
      </c>
      <c r="BI4105" s="477">
        <v>10783215.457021633</v>
      </c>
      <c r="BJ4105" s="458">
        <v>0.15568220339737526</v>
      </c>
      <c r="BK4105" s="477">
        <v>104793307.58421436</v>
      </c>
      <c r="BL4105" s="458">
        <v>0.25310693799633799</v>
      </c>
      <c r="BM4105" s="468">
        <v>6.0149408537855873</v>
      </c>
    </row>
    <row r="4106" spans="12:65" x14ac:dyDescent="0.3">
      <c r="L4106" s="427">
        <v>21818776.989799999</v>
      </c>
      <c r="BE4106" s="477">
        <v>5586309.6207421739</v>
      </c>
      <c r="BF4106" s="458">
        <v>3.9564146280691048E-2</v>
      </c>
      <c r="BG4106" s="477">
        <v>4930432.3586147409</v>
      </c>
      <c r="BH4106" s="458">
        <v>6.8181187786998221E-2</v>
      </c>
      <c r="BI4106" s="477">
        <v>16307679.404771032</v>
      </c>
      <c r="BJ4106" s="458">
        <v>0.12766281299876914</v>
      </c>
      <c r="BK4106" s="477">
        <v>87409408.065947071</v>
      </c>
      <c r="BL4106" s="458">
        <v>0.283999453308174</v>
      </c>
      <c r="BM4106" s="468">
        <v>10.615174489376898</v>
      </c>
    </row>
    <row r="4107" spans="12:65" x14ac:dyDescent="0.3">
      <c r="L4107" s="427">
        <v>23238063.066199999</v>
      </c>
      <c r="BE4107" s="477">
        <v>1766327.3127263396</v>
      </c>
      <c r="BF4107" s="458">
        <v>4.7055574928414057E-2</v>
      </c>
      <c r="BG4107" s="477">
        <v>5740075.3647548584</v>
      </c>
      <c r="BH4107" s="458">
        <v>6.7100958628122154E-2</v>
      </c>
      <c r="BI4107" s="477">
        <v>22549794.421628121</v>
      </c>
      <c r="BJ4107" s="458">
        <v>0.10093787330000858</v>
      </c>
      <c r="BK4107" s="477">
        <v>103044495.10392433</v>
      </c>
      <c r="BL4107" s="458">
        <v>0.26334521093803587</v>
      </c>
      <c r="BM4107" s="468">
        <v>12.932147369208234</v>
      </c>
    </row>
    <row r="4108" spans="12:65" x14ac:dyDescent="0.3">
      <c r="L4108" s="427">
        <v>-11243059.690199999</v>
      </c>
      <c r="BE4108" s="477">
        <v>3514527.2354612933</v>
      </c>
      <c r="BF4108" s="458">
        <v>3.6572641663717542E-2</v>
      </c>
      <c r="BG4108" s="477">
        <v>12073806.461682234</v>
      </c>
      <c r="BH4108" s="458">
        <v>3.0640150239727548E-2</v>
      </c>
      <c r="BI4108" s="477">
        <v>17464607.559533216</v>
      </c>
      <c r="BJ4108" s="458">
        <v>9.2799715181677289E-2</v>
      </c>
      <c r="BK4108" s="477">
        <v>80468853.871154219</v>
      </c>
      <c r="BL4108" s="458">
        <v>0.26757243646955065</v>
      </c>
      <c r="BM4108" s="468">
        <v>4.0413577867287085</v>
      </c>
    </row>
    <row r="4109" spans="12:65" x14ac:dyDescent="0.3">
      <c r="L4109" s="427">
        <v>4117237.2689999999</v>
      </c>
      <c r="BE4109" s="477">
        <v>6191772.7910765223</v>
      </c>
      <c r="BF4109" s="458">
        <v>2.9250641835335323E-2</v>
      </c>
      <c r="BG4109" s="477">
        <v>14478153.014653871</v>
      </c>
      <c r="BH4109" s="458">
        <v>6.91804824530311E-2</v>
      </c>
      <c r="BI4109" s="477">
        <v>9084101.6143035572</v>
      </c>
      <c r="BJ4109" s="458">
        <v>0.10312341747838305</v>
      </c>
      <c r="BK4109" s="477">
        <v>79170984.405498236</v>
      </c>
      <c r="BL4109" s="458">
        <v>0.27298666268126737</v>
      </c>
      <c r="BM4109" s="468">
        <v>11.328127540064376</v>
      </c>
    </row>
    <row r="4110" spans="12:65" x14ac:dyDescent="0.3">
      <c r="L4110" s="427">
        <v>-19191205.1182</v>
      </c>
      <c r="BE4110" s="477">
        <v>4490197.2547490112</v>
      </c>
      <c r="BF4110" s="458">
        <v>5.1099562203925641E-2</v>
      </c>
      <c r="BG4110" s="477">
        <v>11531427.812990254</v>
      </c>
      <c r="BH4110" s="458">
        <v>5.4503800923709766E-2</v>
      </c>
      <c r="BI4110" s="477">
        <v>13648380.184965871</v>
      </c>
      <c r="BJ4110" s="458">
        <v>9.9844469208013598E-2</v>
      </c>
      <c r="BK4110" s="477">
        <v>79819550.885727271</v>
      </c>
      <c r="BL4110" s="458">
        <v>0.26230612039496948</v>
      </c>
      <c r="BM4110" s="468">
        <v>10.126686007539632</v>
      </c>
    </row>
    <row r="4111" spans="12:65" x14ac:dyDescent="0.3">
      <c r="L4111" s="427">
        <v>23547066.185600001</v>
      </c>
      <c r="BE4111" s="477">
        <v>4324888.9997607255</v>
      </c>
      <c r="BF4111" s="458">
        <v>4.2249009085284284E-2</v>
      </c>
      <c r="BG4111" s="477">
        <v>9508377.9232122581</v>
      </c>
      <c r="BH4111" s="458">
        <v>6.4051412151972631E-2</v>
      </c>
      <c r="BI4111" s="477">
        <v>19162642.059366342</v>
      </c>
      <c r="BJ4111" s="458">
        <v>8.1222604864632286E-2</v>
      </c>
      <c r="BK4111" s="477">
        <v>90702776.599590257</v>
      </c>
      <c r="BL4111" s="458">
        <v>0.30398841120989339</v>
      </c>
      <c r="BM4111" s="468">
        <v>3.029651386054244</v>
      </c>
    </row>
    <row r="4112" spans="12:65" x14ac:dyDescent="0.3">
      <c r="L4112" s="427">
        <v>8242363.8513000002</v>
      </c>
      <c r="BE4112" s="477">
        <v>4918697.4258327316</v>
      </c>
      <c r="BF4112" s="458">
        <v>3.5955340265731328E-2</v>
      </c>
      <c r="BG4112" s="477">
        <v>11756383.538370062</v>
      </c>
      <c r="BH4112" s="458">
        <v>8.6207098287244044E-2</v>
      </c>
      <c r="BI4112" s="477">
        <v>15153822.5987982</v>
      </c>
      <c r="BJ4112" s="458">
        <v>0.1074712969842917</v>
      </c>
      <c r="BK4112" s="477">
        <v>107702251.28639078</v>
      </c>
      <c r="BL4112" s="458">
        <v>0.2574295974021088</v>
      </c>
      <c r="BM4112" s="468">
        <v>9.2129039628333249</v>
      </c>
    </row>
    <row r="4113" spans="12:65" x14ac:dyDescent="0.3">
      <c r="L4113" s="427">
        <v>17181945.6899</v>
      </c>
      <c r="BE4113" s="477">
        <v>3437739.4513374455</v>
      </c>
      <c r="BF4113" s="458">
        <v>4.6557156502171848E-2</v>
      </c>
      <c r="BG4113" s="477">
        <v>-31712.636464881023</v>
      </c>
      <c r="BH4113" s="458">
        <v>3.452503576045185E-2</v>
      </c>
      <c r="BI4113" s="477">
        <v>13301170.054485856</v>
      </c>
      <c r="BJ4113" s="458">
        <v>0.12031308263973139</v>
      </c>
      <c r="BK4113" s="477">
        <v>88768163.194313481</v>
      </c>
      <c r="BL4113" s="458">
        <v>0.2653082164727274</v>
      </c>
      <c r="BM4113" s="468">
        <v>4.0432650946993629</v>
      </c>
    </row>
    <row r="4114" spans="12:65" x14ac:dyDescent="0.3">
      <c r="L4114" s="427">
        <v>-2848795.9060999998</v>
      </c>
      <c r="BE4114" s="477">
        <v>4474244.5573612321</v>
      </c>
      <c r="BF4114" s="458">
        <v>7.3765911233445891E-2</v>
      </c>
      <c r="BG4114" s="477">
        <v>7226069.6398569103</v>
      </c>
      <c r="BH4114" s="458">
        <v>5.879086289094948E-2</v>
      </c>
      <c r="BI4114" s="477">
        <v>20407719.929798804</v>
      </c>
      <c r="BJ4114" s="458">
        <v>0.11023715882093588</v>
      </c>
      <c r="BK4114" s="477">
        <v>89225113.58054556</v>
      </c>
      <c r="BL4114" s="458">
        <v>0.27830011910509733</v>
      </c>
      <c r="BM4114" s="468">
        <v>5.2839121292628271</v>
      </c>
    </row>
    <row r="4115" spans="12:65" x14ac:dyDescent="0.3">
      <c r="L4115" s="427">
        <v>20079552.130899999</v>
      </c>
      <c r="BE4115" s="477">
        <v>6805320.3806794574</v>
      </c>
      <c r="BF4115" s="458">
        <v>3.7317798534950208E-2</v>
      </c>
      <c r="BG4115" s="477">
        <v>3512468.6753848852</v>
      </c>
      <c r="BH4115" s="458">
        <v>5.8962355105470987E-2</v>
      </c>
      <c r="BI4115" s="477">
        <v>16641751.979208158</v>
      </c>
      <c r="BJ4115" s="458">
        <v>0.1022668619805176</v>
      </c>
      <c r="BK4115" s="477">
        <v>94481024.342143804</v>
      </c>
      <c r="BL4115" s="458">
        <v>0.27309333992589147</v>
      </c>
      <c r="BM4115" s="468">
        <v>11.591594325892517</v>
      </c>
    </row>
    <row r="4116" spans="12:65" x14ac:dyDescent="0.3">
      <c r="L4116" s="427">
        <v>15717484.6241</v>
      </c>
      <c r="BE4116" s="477">
        <v>1728435.0961108608</v>
      </c>
      <c r="BF4116" s="458">
        <v>5.3084091864999738E-2</v>
      </c>
      <c r="BG4116" s="477">
        <v>7900795.2489159368</v>
      </c>
      <c r="BH4116" s="458">
        <v>4.6083646956493141E-2</v>
      </c>
      <c r="BI4116" s="477">
        <v>12580573.16950584</v>
      </c>
      <c r="BJ4116" s="458">
        <v>9.8549551829131277E-2</v>
      </c>
      <c r="BK4116" s="477">
        <v>85081599.08473061</v>
      </c>
      <c r="BL4116" s="458">
        <v>0.28605112817252576</v>
      </c>
      <c r="BM4116" s="468">
        <v>1.2973008829339978</v>
      </c>
    </row>
    <row r="4117" spans="12:65" x14ac:dyDescent="0.3">
      <c r="L4117" s="427">
        <v>7400885.0932999998</v>
      </c>
      <c r="BE4117" s="477">
        <v>8787901.3065352384</v>
      </c>
      <c r="BF4117" s="458">
        <v>5.1094157488943859E-2</v>
      </c>
      <c r="BG4117" s="477">
        <v>7358856.0722654099</v>
      </c>
      <c r="BH4117" s="458">
        <v>6.7080447551886246E-2</v>
      </c>
      <c r="BI4117" s="477">
        <v>3228534.7004705356</v>
      </c>
      <c r="BJ4117" s="458">
        <v>6.7872515681497436E-2</v>
      </c>
      <c r="BK4117" s="477">
        <v>89742747.333172888</v>
      </c>
      <c r="BL4117" s="458">
        <v>0.28531817084740485</v>
      </c>
      <c r="BM4117" s="468">
        <v>11.086547504127243</v>
      </c>
    </row>
    <row r="4118" spans="12:65" x14ac:dyDescent="0.3">
      <c r="L4118" s="427">
        <v>513530.46230000001</v>
      </c>
      <c r="BE4118" s="477">
        <v>7853468.3307705857</v>
      </c>
      <c r="BF4118" s="458">
        <v>4.5664801876294847E-2</v>
      </c>
      <c r="BG4118" s="477">
        <v>8255137.5883155735</v>
      </c>
      <c r="BH4118" s="458">
        <v>4.4401904476393472E-2</v>
      </c>
      <c r="BI4118" s="477">
        <v>19410398.823205046</v>
      </c>
      <c r="BJ4118" s="458">
        <v>0.12881160441319506</v>
      </c>
      <c r="BK4118" s="477">
        <v>88772687.404097751</v>
      </c>
      <c r="BL4118" s="458">
        <v>0.26005175835372563</v>
      </c>
      <c r="BM4118" s="468">
        <v>0.19709846989387092</v>
      </c>
    </row>
    <row r="4119" spans="12:65" x14ac:dyDescent="0.3">
      <c r="L4119" s="427">
        <v>11089456.135500001</v>
      </c>
      <c r="BE4119" s="477">
        <v>1870725.2789239218</v>
      </c>
      <c r="BF4119" s="458">
        <v>5.5415530621936604E-2</v>
      </c>
      <c r="BG4119" s="477">
        <v>13667121.583952475</v>
      </c>
      <c r="BH4119" s="458">
        <v>6.9985854344000398E-2</v>
      </c>
      <c r="BI4119" s="477">
        <v>29386130.763814278</v>
      </c>
      <c r="BJ4119" s="458">
        <v>9.8688395055543721E-2</v>
      </c>
      <c r="BK4119" s="477">
        <v>98279950.198703021</v>
      </c>
      <c r="BL4119" s="458">
        <v>0.26540798759797846</v>
      </c>
      <c r="BM4119" s="468">
        <v>2.9701700006108949</v>
      </c>
    </row>
    <row r="4120" spans="12:65" x14ac:dyDescent="0.3">
      <c r="L4120" s="427">
        <v>24028381.287500001</v>
      </c>
      <c r="BE4120" s="477">
        <v>5006321.8524272451</v>
      </c>
      <c r="BF4120" s="458">
        <v>2.6836103806930245E-2</v>
      </c>
      <c r="BG4120" s="477">
        <v>5576614.9062988115</v>
      </c>
      <c r="BH4120" s="458">
        <v>8.4523158697754619E-2</v>
      </c>
      <c r="BI4120" s="477">
        <v>19880493.771211632</v>
      </c>
      <c r="BJ4120" s="458">
        <v>9.3738966655268374E-2</v>
      </c>
      <c r="BK4120" s="477">
        <v>92843883.819303066</v>
      </c>
      <c r="BL4120" s="458">
        <v>0.28293810270639175</v>
      </c>
      <c r="BM4120" s="468">
        <v>8.1061954157243203</v>
      </c>
    </row>
    <row r="4121" spans="12:65" x14ac:dyDescent="0.3">
      <c r="L4121" s="427">
        <v>14652860.8325</v>
      </c>
      <c r="BE4121" s="477">
        <v>4210676.8533296548</v>
      </c>
      <c r="BF4121" s="458">
        <v>1.6206629811447826E-2</v>
      </c>
      <c r="BG4121" s="477">
        <v>2245478.1747816908</v>
      </c>
      <c r="BH4121" s="458">
        <v>6.3072694670669449E-2</v>
      </c>
      <c r="BI4121" s="477">
        <v>20096312.098455302</v>
      </c>
      <c r="BJ4121" s="458">
        <v>9.3937989214393225E-2</v>
      </c>
      <c r="BK4121" s="477">
        <v>89723407.327639967</v>
      </c>
      <c r="BL4121" s="458">
        <v>0.28828232703321421</v>
      </c>
      <c r="BM4121" s="468">
        <v>12.964451988894357</v>
      </c>
    </row>
    <row r="4122" spans="12:65" x14ac:dyDescent="0.3">
      <c r="L4122" s="427">
        <v>8967638.7991000004</v>
      </c>
      <c r="BE4122" s="477">
        <v>5461194.1766721075</v>
      </c>
      <c r="BF4122" s="458">
        <v>2.9949138299948164E-2</v>
      </c>
      <c r="BG4122" s="477">
        <v>6919222.6771289082</v>
      </c>
      <c r="BH4122" s="458">
        <v>9.5762121190050786E-2</v>
      </c>
      <c r="BI4122" s="477">
        <v>15257565.127447307</v>
      </c>
      <c r="BJ4122" s="458">
        <v>0.15236899003943871</v>
      </c>
      <c r="BK4122" s="477">
        <v>89170406.526200712</v>
      </c>
      <c r="BL4122" s="458">
        <v>0.2620277945671885</v>
      </c>
      <c r="BM4122" s="468">
        <v>5.3093526880840818</v>
      </c>
    </row>
    <row r="4123" spans="12:65" x14ac:dyDescent="0.3">
      <c r="L4123" s="427">
        <v>6739745.9117000001</v>
      </c>
      <c r="BE4123" s="477">
        <v>5686023.658145519</v>
      </c>
      <c r="BF4123" s="458">
        <v>2.5060128423701977E-2</v>
      </c>
      <c r="BG4123" s="477">
        <v>10233343.985044139</v>
      </c>
      <c r="BH4123" s="458">
        <v>4.3319955411132094E-2</v>
      </c>
      <c r="BI4123" s="477">
        <v>26258513.946724758</v>
      </c>
      <c r="BJ4123" s="458">
        <v>0.12077472380032872</v>
      </c>
      <c r="BK4123" s="477">
        <v>109313093.64733417</v>
      </c>
      <c r="BL4123" s="458">
        <v>0.24533296404486382</v>
      </c>
      <c r="BM4123" s="468">
        <v>6.3345186524940011</v>
      </c>
    </row>
    <row r="4124" spans="12:65" x14ac:dyDescent="0.3">
      <c r="L4124" s="427">
        <v>12045313.884500001</v>
      </c>
      <c r="BE4124" s="477">
        <v>4960441.6137082456</v>
      </c>
      <c r="BF4124" s="458">
        <v>5.4016710369034993E-2</v>
      </c>
      <c r="BG4124" s="477">
        <v>9062535.268047912</v>
      </c>
      <c r="BH4124" s="458">
        <v>7.7958689616022481E-2</v>
      </c>
      <c r="BI4124" s="477">
        <v>14142688.40819585</v>
      </c>
      <c r="BJ4124" s="458">
        <v>0.12048296400527048</v>
      </c>
      <c r="BK4124" s="477">
        <v>88590108.256548151</v>
      </c>
      <c r="BL4124" s="458">
        <v>0.26070489144742526</v>
      </c>
      <c r="BM4124" s="468">
        <v>11.494879833729014</v>
      </c>
    </row>
    <row r="4125" spans="12:65" x14ac:dyDescent="0.3">
      <c r="L4125" s="427">
        <v>10216630.0012</v>
      </c>
      <c r="BE4125" s="477">
        <v>3877765.9821070675</v>
      </c>
      <c r="BF4125" s="458">
        <v>2.6836127628951267E-2</v>
      </c>
      <c r="BG4125" s="477">
        <v>5661623.7987444792</v>
      </c>
      <c r="BH4125" s="458">
        <v>6.3931381268768517E-2</v>
      </c>
      <c r="BI4125" s="477">
        <v>12557652.441924477</v>
      </c>
      <c r="BJ4125" s="458">
        <v>9.6165014114011571E-2</v>
      </c>
      <c r="BK4125" s="477">
        <v>94905966.750666857</v>
      </c>
      <c r="BL4125" s="458">
        <v>0.26411597408996079</v>
      </c>
      <c r="BM4125" s="468">
        <v>9.6842924342716508</v>
      </c>
    </row>
    <row r="4126" spans="12:65" x14ac:dyDescent="0.3">
      <c r="L4126" s="427">
        <v>20658468.052099999</v>
      </c>
      <c r="BE4126" s="477">
        <v>3240763.8610125314</v>
      </c>
      <c r="BF4126" s="458">
        <v>3.0429102022115462E-2</v>
      </c>
      <c r="BG4126" s="477">
        <v>11119072.345105093</v>
      </c>
      <c r="BH4126" s="458">
        <v>6.2400516976183873E-2</v>
      </c>
      <c r="BI4126" s="477">
        <v>18736861.81568712</v>
      </c>
      <c r="BJ4126" s="458">
        <v>9.0712093888070111E-2</v>
      </c>
      <c r="BK4126" s="477">
        <v>101501578.20190468</v>
      </c>
      <c r="BL4126" s="458">
        <v>0.26771529932740945</v>
      </c>
      <c r="BM4126" s="468">
        <v>4.0599844620504628</v>
      </c>
    </row>
    <row r="4127" spans="12:65" x14ac:dyDescent="0.3">
      <c r="L4127" s="427">
        <v>9174592.5844000001</v>
      </c>
      <c r="BE4127" s="477">
        <v>3921599.2387167811</v>
      </c>
      <c r="BF4127" s="458">
        <v>4.2929689296784312E-2</v>
      </c>
      <c r="BG4127" s="477">
        <v>6270538.6890641889</v>
      </c>
      <c r="BH4127" s="458">
        <v>6.810217905977356E-2</v>
      </c>
      <c r="BI4127" s="477">
        <v>23039752.982279669</v>
      </c>
      <c r="BJ4127" s="458">
        <v>0.1064801895351819</v>
      </c>
      <c r="BK4127" s="477">
        <v>78855249.133474514</v>
      </c>
      <c r="BL4127" s="458">
        <v>0.34899800924535995</v>
      </c>
      <c r="BM4127" s="468">
        <v>9.0863399135562712</v>
      </c>
    </row>
    <row r="4128" spans="12:65" x14ac:dyDescent="0.3">
      <c r="L4128" s="427">
        <v>28562888.519499999</v>
      </c>
      <c r="BE4128" s="477">
        <v>302497.11750808312</v>
      </c>
      <c r="BF4128" s="458">
        <v>4.5182125747335267E-2</v>
      </c>
      <c r="BG4128" s="477">
        <v>6750374.5296441764</v>
      </c>
      <c r="BH4128" s="458">
        <v>6.5538798799587239E-2</v>
      </c>
      <c r="BI4128" s="477">
        <v>17439892.664214872</v>
      </c>
      <c r="BJ4128" s="458">
        <v>7.6651300894214902E-2</v>
      </c>
      <c r="BK4128" s="477">
        <v>80890778.916995406</v>
      </c>
      <c r="BL4128" s="458">
        <v>0.26247760385619689</v>
      </c>
      <c r="BM4128" s="468">
        <v>2.3288816228463363</v>
      </c>
    </row>
    <row r="4129" spans="12:65" x14ac:dyDescent="0.3">
      <c r="L4129" s="427">
        <v>27161958.339200001</v>
      </c>
      <c r="BE4129" s="477">
        <v>4406149.8041766547</v>
      </c>
      <c r="BF4129" s="458">
        <v>3.8296886730892155E-2</v>
      </c>
      <c r="BG4129" s="477">
        <v>9192833.3142148964</v>
      </c>
      <c r="BH4129" s="458">
        <v>5.1770407718028766E-2</v>
      </c>
      <c r="BI4129" s="477">
        <v>15711487.493018882</v>
      </c>
      <c r="BJ4129" s="458">
        <v>7.7483684684385601E-2</v>
      </c>
      <c r="BK4129" s="477">
        <v>94744553.069615036</v>
      </c>
      <c r="BL4129" s="458">
        <v>0.25830204391002032</v>
      </c>
      <c r="BM4129" s="468">
        <v>-1.2690667960440258</v>
      </c>
    </row>
    <row r="4130" spans="12:65" x14ac:dyDescent="0.3">
      <c r="L4130" s="427">
        <v>-8691473.5766000003</v>
      </c>
      <c r="BE4130" s="477">
        <v>-3199566.6954594632</v>
      </c>
      <c r="BF4130" s="458">
        <v>2.9714809314793866E-2</v>
      </c>
      <c r="BG4130" s="477">
        <v>12176982.002447782</v>
      </c>
      <c r="BH4130" s="458">
        <v>4.3099980522953496E-2</v>
      </c>
      <c r="BI4130" s="477">
        <v>12193299.572990801</v>
      </c>
      <c r="BJ4130" s="458">
        <v>0.10646929725505738</v>
      </c>
      <c r="BK4130" s="477">
        <v>90569487.094117552</v>
      </c>
      <c r="BL4130" s="458">
        <v>0.26576691302935318</v>
      </c>
      <c r="BM4130" s="468">
        <v>9.9310331339370048</v>
      </c>
    </row>
    <row r="4131" spans="12:65" x14ac:dyDescent="0.3">
      <c r="L4131" s="427">
        <v>-2431319.1376</v>
      </c>
      <c r="BE4131" s="477">
        <v>2829796.6738395351</v>
      </c>
      <c r="BF4131" s="458">
        <v>4.4868934353939682E-2</v>
      </c>
      <c r="BG4131" s="477">
        <v>8403531.3367354069</v>
      </c>
      <c r="BH4131" s="458">
        <v>6.0351434329286802E-2</v>
      </c>
      <c r="BI4131" s="477">
        <v>9237472.2446839288</v>
      </c>
      <c r="BJ4131" s="458">
        <v>0.11196985742508736</v>
      </c>
      <c r="BK4131" s="477">
        <v>75826868.090771526</v>
      </c>
      <c r="BL4131" s="458">
        <v>0.28432967065506864</v>
      </c>
      <c r="BM4131" s="468">
        <v>5.7821439192893269</v>
      </c>
    </row>
    <row r="4132" spans="12:65" x14ac:dyDescent="0.3">
      <c r="L4132" s="427">
        <v>24414101.918200001</v>
      </c>
      <c r="BE4132" s="477">
        <v>8335966.2743901275</v>
      </c>
      <c r="BF4132" s="458">
        <v>3.2068617266963972E-2</v>
      </c>
      <c r="BG4132" s="477">
        <v>15798761.068541927</v>
      </c>
      <c r="BH4132" s="458">
        <v>7.5159275338333442E-2</v>
      </c>
      <c r="BI4132" s="477">
        <v>13578832.347927803</v>
      </c>
      <c r="BJ4132" s="458">
        <v>9.6177915464418451E-2</v>
      </c>
      <c r="BK4132" s="477">
        <v>85312431.794778079</v>
      </c>
      <c r="BL4132" s="458">
        <v>0.27331412619202688</v>
      </c>
      <c r="BM4132" s="468">
        <v>4.9696811185120531</v>
      </c>
    </row>
    <row r="4133" spans="12:65" x14ac:dyDescent="0.3">
      <c r="L4133" s="427">
        <v>5607136.2635000004</v>
      </c>
      <c r="BE4133" s="477">
        <v>8934630.2160738409</v>
      </c>
      <c r="BF4133" s="458">
        <v>4.4476551805984865E-2</v>
      </c>
      <c r="BG4133" s="477">
        <v>8540067.2932507563</v>
      </c>
      <c r="BH4133" s="458">
        <v>6.5188836983340881E-2</v>
      </c>
      <c r="BI4133" s="477">
        <v>22269335.532174181</v>
      </c>
      <c r="BJ4133" s="458">
        <v>0.10259601514190186</v>
      </c>
      <c r="BK4133" s="477">
        <v>91650574.68440713</v>
      </c>
      <c r="BL4133" s="458">
        <v>0.29061730403619168</v>
      </c>
      <c r="BM4133" s="468">
        <v>5.7891418719451355</v>
      </c>
    </row>
    <row r="4134" spans="12:65" x14ac:dyDescent="0.3">
      <c r="L4134" s="427">
        <v>-2581855.3218999999</v>
      </c>
      <c r="BE4134" s="477">
        <v>4346893.316199379</v>
      </c>
      <c r="BF4134" s="458">
        <v>1.9668216725694743E-2</v>
      </c>
      <c r="BG4134" s="477">
        <v>7077981.41375113</v>
      </c>
      <c r="BH4134" s="458">
        <v>6.35701119019767E-2</v>
      </c>
      <c r="BI4134" s="477">
        <v>19540457.39484933</v>
      </c>
      <c r="BJ4134" s="458">
        <v>0.10228281450554033</v>
      </c>
      <c r="BK4134" s="477">
        <v>95146829.325508267</v>
      </c>
      <c r="BL4134" s="458">
        <v>0.25727990136068901</v>
      </c>
      <c r="BM4134" s="468">
        <v>11.546731068032635</v>
      </c>
    </row>
    <row r="4135" spans="12:65" x14ac:dyDescent="0.3">
      <c r="L4135" s="427">
        <v>-2235569.2730999999</v>
      </c>
      <c r="BE4135" s="477">
        <v>5219698.2354600243</v>
      </c>
      <c r="BF4135" s="458">
        <v>5.6023593277979566E-2</v>
      </c>
      <c r="BG4135" s="477">
        <v>7383147.7050681598</v>
      </c>
      <c r="BH4135" s="458">
        <v>5.9658942753463506E-2</v>
      </c>
      <c r="BI4135" s="477">
        <v>23863892.09696484</v>
      </c>
      <c r="BJ4135" s="458">
        <v>0.12288623304611912</v>
      </c>
      <c r="BK4135" s="477">
        <v>88037420.29219532</v>
      </c>
      <c r="BL4135" s="458">
        <v>0.26746302745471651</v>
      </c>
      <c r="BM4135" s="468">
        <v>7.0273254773775964</v>
      </c>
    </row>
    <row r="4136" spans="12:65" x14ac:dyDescent="0.3">
      <c r="L4136" s="427">
        <v>17384980.476199999</v>
      </c>
      <c r="BE4136" s="477">
        <v>2101854.6993666692</v>
      </c>
      <c r="BF4136" s="458">
        <v>5.4476622913352202E-2</v>
      </c>
      <c r="BG4136" s="477">
        <v>9337969.7868877184</v>
      </c>
      <c r="BH4136" s="458">
        <v>6.2696759087510268E-2</v>
      </c>
      <c r="BI4136" s="477">
        <v>14039661.143982874</v>
      </c>
      <c r="BJ4136" s="458">
        <v>0.11368318253199017</v>
      </c>
      <c r="BK4136" s="477">
        <v>101200927.40314159</v>
      </c>
      <c r="BL4136" s="458">
        <v>0.2594721614485147</v>
      </c>
      <c r="BM4136" s="468">
        <v>10.161770890772395</v>
      </c>
    </row>
    <row r="4137" spans="12:65" x14ac:dyDescent="0.3">
      <c r="L4137" s="427">
        <v>4665488.3346999995</v>
      </c>
      <c r="BE4137" s="477">
        <v>5915587.4988884572</v>
      </c>
      <c r="BF4137" s="458">
        <v>3.783598147587508E-2</v>
      </c>
      <c r="BG4137" s="477">
        <v>14469274.723865218</v>
      </c>
      <c r="BH4137" s="458">
        <v>8.0009070390394621E-2</v>
      </c>
      <c r="BI4137" s="477">
        <v>15888723.560059456</v>
      </c>
      <c r="BJ4137" s="458">
        <v>0.10748271118025987</v>
      </c>
      <c r="BK4137" s="477">
        <v>87802207.365010798</v>
      </c>
      <c r="BL4137" s="458">
        <v>0.25924630359708245</v>
      </c>
      <c r="BM4137" s="468">
        <v>6.0206264280565591</v>
      </c>
    </row>
    <row r="4138" spans="12:65" x14ac:dyDescent="0.3">
      <c r="L4138" s="427">
        <v>11696944.823799999</v>
      </c>
      <c r="BE4138" s="477">
        <v>2124085.4851219174</v>
      </c>
      <c r="BF4138" s="458">
        <v>3.7569523265589932E-2</v>
      </c>
      <c r="BG4138" s="477">
        <v>7133493.1920056418</v>
      </c>
      <c r="BH4138" s="458">
        <v>4.4207299457262872E-2</v>
      </c>
      <c r="BI4138" s="477">
        <v>20613385.747017227</v>
      </c>
      <c r="BJ4138" s="458">
        <v>0.10220103256752089</v>
      </c>
      <c r="BK4138" s="477">
        <v>90412218.188736066</v>
      </c>
      <c r="BL4138" s="458">
        <v>0.28685406344407283</v>
      </c>
      <c r="BM4138" s="468">
        <v>17.161174012267118</v>
      </c>
    </row>
    <row r="4139" spans="12:65" x14ac:dyDescent="0.3">
      <c r="L4139" s="427">
        <v>15483279.697799999</v>
      </c>
      <c r="BE4139" s="477">
        <v>5660047.2427439233</v>
      </c>
      <c r="BF4139" s="458">
        <v>3.9317770653412021E-2</v>
      </c>
      <c r="BG4139" s="477">
        <v>7405419.6478608008</v>
      </c>
      <c r="BH4139" s="458">
        <v>7.3816758910192348E-2</v>
      </c>
      <c r="BI4139" s="477">
        <v>16458253.901086602</v>
      </c>
      <c r="BJ4139" s="458">
        <v>0.10442937416462494</v>
      </c>
      <c r="BK4139" s="477">
        <v>86543311.833937064</v>
      </c>
      <c r="BL4139" s="458">
        <v>0.28189400310869606</v>
      </c>
      <c r="BM4139" s="468">
        <v>6.0392946359081332</v>
      </c>
    </row>
    <row r="4140" spans="12:65" x14ac:dyDescent="0.3">
      <c r="L4140" s="427">
        <v>13157656.0381</v>
      </c>
      <c r="BE4140" s="477">
        <v>5895085.9054246871</v>
      </c>
      <c r="BF4140" s="458">
        <v>4.962132549553222E-2</v>
      </c>
      <c r="BG4140" s="477">
        <v>8152083.5401431164</v>
      </c>
      <c r="BH4140" s="458">
        <v>7.8601306541479898E-2</v>
      </c>
      <c r="BI4140" s="477">
        <v>24778371.919519242</v>
      </c>
      <c r="BJ4140" s="458">
        <v>0.1199004580245413</v>
      </c>
      <c r="BK4140" s="477">
        <v>83463167.233862132</v>
      </c>
      <c r="BL4140" s="458">
        <v>0.25686960263936953</v>
      </c>
      <c r="BM4140" s="468">
        <v>16.122617745439012</v>
      </c>
    </row>
    <row r="4141" spans="12:65" x14ac:dyDescent="0.3">
      <c r="L4141" s="427">
        <v>16560876.0644</v>
      </c>
      <c r="BE4141" s="477">
        <v>2902639.8659891053</v>
      </c>
      <c r="BF4141" s="458">
        <v>1.776164316639206E-2</v>
      </c>
      <c r="BG4141" s="477">
        <v>7346894.1705875145</v>
      </c>
      <c r="BH4141" s="458">
        <v>0.10350523258503541</v>
      </c>
      <c r="BI4141" s="477">
        <v>9606867.607782416</v>
      </c>
      <c r="BJ4141" s="458">
        <v>0.11716389852969811</v>
      </c>
      <c r="BK4141" s="477">
        <v>89806174.001628444</v>
      </c>
      <c r="BL4141" s="458">
        <v>0.28261878286201902</v>
      </c>
      <c r="BM4141" s="468">
        <v>13.487097000255195</v>
      </c>
    </row>
    <row r="4142" spans="12:65" x14ac:dyDescent="0.3">
      <c r="L4142" s="427">
        <v>15720874.922800001</v>
      </c>
      <c r="BE4142" s="477">
        <v>4229083.8219224215</v>
      </c>
      <c r="BF4142" s="458">
        <v>3.5297783097971047E-2</v>
      </c>
      <c r="BG4142" s="477">
        <v>14326715.510348391</v>
      </c>
      <c r="BH4142" s="458">
        <v>5.5504653314965235E-2</v>
      </c>
      <c r="BI4142" s="477">
        <v>11476683.965090623</v>
      </c>
      <c r="BJ4142" s="458">
        <v>9.927897572079547E-2</v>
      </c>
      <c r="BK4142" s="477">
        <v>82973874.964704707</v>
      </c>
      <c r="BL4142" s="458">
        <v>0.27951005414030572</v>
      </c>
      <c r="BM4142" s="468">
        <v>15.550291446572146</v>
      </c>
    </row>
    <row r="4143" spans="12:65" x14ac:dyDescent="0.3">
      <c r="L4143" s="427">
        <v>18798446.694899999</v>
      </c>
      <c r="BE4143" s="477">
        <v>5642333.4627703419</v>
      </c>
      <c r="BF4143" s="458">
        <v>5.3105437375376319E-2</v>
      </c>
      <c r="BG4143" s="477">
        <v>3717062.874944225</v>
      </c>
      <c r="BH4143" s="458">
        <v>7.9047098807041749E-2</v>
      </c>
      <c r="BI4143" s="477">
        <v>14299494.593262207</v>
      </c>
      <c r="BJ4143" s="458">
        <v>0.11536570296729787</v>
      </c>
      <c r="BK4143" s="477">
        <v>104543545.02775773</v>
      </c>
      <c r="BL4143" s="458">
        <v>0.28092172931004233</v>
      </c>
      <c r="BM4143" s="468">
        <v>9.0767800297049632</v>
      </c>
    </row>
    <row r="4144" spans="12:65" x14ac:dyDescent="0.3">
      <c r="L4144" s="427">
        <v>13410020.687000001</v>
      </c>
      <c r="BE4144" s="477">
        <v>7028085.3330059061</v>
      </c>
      <c r="BF4144" s="458">
        <v>2.4842011546165166E-2</v>
      </c>
      <c r="BG4144" s="477">
        <v>4085672.9805939724</v>
      </c>
      <c r="BH4144" s="458">
        <v>7.4041372493819146E-2</v>
      </c>
      <c r="BI4144" s="477">
        <v>13888044.028458202</v>
      </c>
      <c r="BJ4144" s="458">
        <v>0.11780979940610803</v>
      </c>
      <c r="BK4144" s="477">
        <v>91622310.286894023</v>
      </c>
      <c r="BL4144" s="458">
        <v>0.28105162899880853</v>
      </c>
      <c r="BM4144" s="468">
        <v>4.646589475989007</v>
      </c>
    </row>
    <row r="4145" spans="12:65" x14ac:dyDescent="0.3">
      <c r="L4145" s="427">
        <v>3763190.8034000001</v>
      </c>
      <c r="BE4145" s="477">
        <v>7208869.6819567634</v>
      </c>
      <c r="BF4145" s="458">
        <v>2.8410087894912506E-2</v>
      </c>
      <c r="BG4145" s="477">
        <v>8974377.7988798022</v>
      </c>
      <c r="BH4145" s="458">
        <v>9.4421873998589811E-2</v>
      </c>
      <c r="BI4145" s="477">
        <v>26297897.852364279</v>
      </c>
      <c r="BJ4145" s="458">
        <v>9.9784503034560768E-2</v>
      </c>
      <c r="BK4145" s="477">
        <v>90264745.648516133</v>
      </c>
      <c r="BL4145" s="458">
        <v>0.28403474189735967</v>
      </c>
      <c r="BM4145" s="468">
        <v>2.294831957199345</v>
      </c>
    </row>
    <row r="4146" spans="12:65" x14ac:dyDescent="0.3">
      <c r="L4146" s="427">
        <v>27996654.713100001</v>
      </c>
      <c r="BE4146" s="477">
        <v>2847025.6144001754</v>
      </c>
      <c r="BF4146" s="458">
        <v>2.9228865707565888E-2</v>
      </c>
      <c r="BG4146" s="477">
        <v>8273828.0433698436</v>
      </c>
      <c r="BH4146" s="458">
        <v>7.1944012058387186E-2</v>
      </c>
      <c r="BI4146" s="477">
        <v>12526737.399352109</v>
      </c>
      <c r="BJ4146" s="458">
        <v>0.12052191771807896</v>
      </c>
      <c r="BK4146" s="477">
        <v>87719007.702180207</v>
      </c>
      <c r="BL4146" s="458">
        <v>0.25420915774145647</v>
      </c>
      <c r="BM4146" s="468">
        <v>8.0375327337046585</v>
      </c>
    </row>
    <row r="4147" spans="12:65" x14ac:dyDescent="0.3">
      <c r="L4147" s="427">
        <v>6820280.6476999996</v>
      </c>
      <c r="BE4147" s="477">
        <v>3524961.6495296145</v>
      </c>
      <c r="BF4147" s="458">
        <v>3.0702819168808126E-2</v>
      </c>
      <c r="BG4147" s="477">
        <v>4172424.3134090467</v>
      </c>
      <c r="BH4147" s="458">
        <v>4.5522518458579908E-2</v>
      </c>
      <c r="BI4147" s="477">
        <v>23745573.725112259</v>
      </c>
      <c r="BJ4147" s="458">
        <v>0.10648808561493595</v>
      </c>
      <c r="BK4147" s="477">
        <v>87034059.515331224</v>
      </c>
      <c r="BL4147" s="458">
        <v>0.26752168189410641</v>
      </c>
      <c r="BM4147" s="468">
        <v>5.7491935044409388</v>
      </c>
    </row>
    <row r="4148" spans="12:65" x14ac:dyDescent="0.3">
      <c r="L4148" s="427">
        <v>8727962.1476000007</v>
      </c>
      <c r="BE4148" s="477">
        <v>8191459.275239218</v>
      </c>
      <c r="BF4148" s="458">
        <v>3.9737142414631776E-2</v>
      </c>
      <c r="BG4148" s="477">
        <v>11483869.875020737</v>
      </c>
      <c r="BH4148" s="458">
        <v>4.286783340474698E-2</v>
      </c>
      <c r="BI4148" s="477">
        <v>20210273.845948383</v>
      </c>
      <c r="BJ4148" s="458">
        <v>0.11756945955971565</v>
      </c>
      <c r="BK4148" s="477">
        <v>83934403.721517488</v>
      </c>
      <c r="BL4148" s="458">
        <v>0.27137474988654597</v>
      </c>
      <c r="BM4148" s="468">
        <v>8.7604253495654199</v>
      </c>
    </row>
    <row r="4149" spans="12:65" x14ac:dyDescent="0.3">
      <c r="L4149" s="427">
        <v>15349060.3391</v>
      </c>
      <c r="BE4149" s="477">
        <v>8727925.9092984945</v>
      </c>
      <c r="BF4149" s="458">
        <v>6.8651060072480341E-2</v>
      </c>
      <c r="BG4149" s="477">
        <v>14182598.692054678</v>
      </c>
      <c r="BH4149" s="458">
        <v>7.0950344234216534E-2</v>
      </c>
      <c r="BI4149" s="477">
        <v>14087571.773802439</v>
      </c>
      <c r="BJ4149" s="458">
        <v>8.7403324455671338E-2</v>
      </c>
      <c r="BK4149" s="477">
        <v>90569227.033430085</v>
      </c>
      <c r="BL4149" s="458">
        <v>0.25437726447159981</v>
      </c>
      <c r="BM4149" s="468">
        <v>4.2083022220559361</v>
      </c>
    </row>
    <row r="4150" spans="12:65" x14ac:dyDescent="0.3">
      <c r="L4150" s="427">
        <v>6621266.3361</v>
      </c>
      <c r="BE4150" s="477">
        <v>8286832.0877034971</v>
      </c>
      <c r="BF4150" s="458">
        <v>2.9210398965150652E-2</v>
      </c>
      <c r="BG4150" s="477">
        <v>9728805.1787992697</v>
      </c>
      <c r="BH4150" s="458">
        <v>5.7000021595940753E-2</v>
      </c>
      <c r="BI4150" s="477">
        <v>18589385.935546983</v>
      </c>
      <c r="BJ4150" s="458">
        <v>0.11826155352812751</v>
      </c>
      <c r="BK4150" s="477">
        <v>94462927.586553663</v>
      </c>
      <c r="BL4150" s="458">
        <v>0.26375082264809091</v>
      </c>
      <c r="BM4150" s="468">
        <v>5.4300003374606334</v>
      </c>
    </row>
    <row r="4151" spans="12:65" x14ac:dyDescent="0.3">
      <c r="L4151" s="427">
        <v>10672971.339299999</v>
      </c>
      <c r="BE4151" s="477">
        <v>3807848.6851176661</v>
      </c>
      <c r="BF4151" s="458">
        <v>2.5325675954753546E-2</v>
      </c>
      <c r="BG4151" s="477">
        <v>10461225.895957118</v>
      </c>
      <c r="BH4151" s="458">
        <v>6.7123482341697294E-2</v>
      </c>
      <c r="BI4151" s="477">
        <v>16203675.089845816</v>
      </c>
      <c r="BJ4151" s="458">
        <v>0.10441991665755745</v>
      </c>
      <c r="BK4151" s="477">
        <v>88821755.838322088</v>
      </c>
      <c r="BL4151" s="458">
        <v>0.25366557124236744</v>
      </c>
      <c r="BM4151" s="468">
        <v>8.1152830333120729</v>
      </c>
    </row>
    <row r="4152" spans="12:65" x14ac:dyDescent="0.3">
      <c r="L4152" s="427">
        <v>4224769.3062000005</v>
      </c>
      <c r="BE4152" s="477">
        <v>5761693.454943588</v>
      </c>
      <c r="BF4152" s="458">
        <v>3.0296181141078238E-2</v>
      </c>
      <c r="BG4152" s="477">
        <v>6939881.5920512853</v>
      </c>
      <c r="BH4152" s="458">
        <v>5.9658402656115994E-2</v>
      </c>
      <c r="BI4152" s="477">
        <v>24608099.799358502</v>
      </c>
      <c r="BJ4152" s="458">
        <v>0.10310557968540146</v>
      </c>
      <c r="BK4152" s="477">
        <v>74391009.853026599</v>
      </c>
      <c r="BL4152" s="458">
        <v>0.27003451991379857</v>
      </c>
      <c r="BM4152" s="468">
        <v>15.545089232448188</v>
      </c>
    </row>
    <row r="4153" spans="12:65" x14ac:dyDescent="0.3">
      <c r="L4153" s="427">
        <v>-8401827.2905000001</v>
      </c>
      <c r="BE4153" s="477">
        <v>-268467.64218760701</v>
      </c>
      <c r="BF4153" s="458">
        <v>2.654338939087908E-2</v>
      </c>
      <c r="BG4153" s="477">
        <v>8171190.0331714423</v>
      </c>
      <c r="BH4153" s="458">
        <v>2.1786490265228498E-2</v>
      </c>
      <c r="BI4153" s="477">
        <v>15774418.544709001</v>
      </c>
      <c r="BJ4153" s="458">
        <v>0.12452238839175789</v>
      </c>
      <c r="BK4153" s="477">
        <v>92488826.063156888</v>
      </c>
      <c r="BL4153" s="458">
        <v>0.27583325837006467</v>
      </c>
      <c r="BM4153" s="468">
        <v>13.873430315597638</v>
      </c>
    </row>
    <row r="4154" spans="12:65" x14ac:dyDescent="0.3">
      <c r="L4154" s="427">
        <v>4958109.7402999997</v>
      </c>
      <c r="BE4154" s="477">
        <v>2663577.5280641839</v>
      </c>
      <c r="BF4154" s="458">
        <v>4.814671229123646E-2</v>
      </c>
      <c r="BG4154" s="477">
        <v>9655274.0517245438</v>
      </c>
      <c r="BH4154" s="458">
        <v>9.2591828374696483E-2</v>
      </c>
      <c r="BI4154" s="477">
        <v>15509396.884486226</v>
      </c>
      <c r="BJ4154" s="458">
        <v>0.13107109628269886</v>
      </c>
      <c r="BK4154" s="477">
        <v>103714652.15312001</v>
      </c>
      <c r="BL4154" s="458">
        <v>0.26539478085498147</v>
      </c>
      <c r="BM4154" s="468">
        <v>16.678767135741058</v>
      </c>
    </row>
    <row r="4155" spans="12:65" x14ac:dyDescent="0.3">
      <c r="L4155" s="427">
        <v>18509464.041299999</v>
      </c>
      <c r="BE4155" s="477">
        <v>3894221.6784133515</v>
      </c>
      <c r="BF4155" s="458">
        <v>5.116688073389386E-2</v>
      </c>
      <c r="BG4155" s="477">
        <v>3143724.434263146</v>
      </c>
      <c r="BH4155" s="458">
        <v>6.8020456808103535E-2</v>
      </c>
      <c r="BI4155" s="477">
        <v>13652506.020643294</v>
      </c>
      <c r="BJ4155" s="458">
        <v>0.11134528811639277</v>
      </c>
      <c r="BK4155" s="477">
        <v>84684626.758081436</v>
      </c>
      <c r="BL4155" s="458">
        <v>0.24879054897517583</v>
      </c>
      <c r="BM4155" s="468">
        <v>6.9053126773635718</v>
      </c>
    </row>
    <row r="4156" spans="12:65" x14ac:dyDescent="0.3">
      <c r="L4156" s="427">
        <v>6140107.7533</v>
      </c>
      <c r="BE4156" s="477">
        <v>3702670.1051501879</v>
      </c>
      <c r="BF4156" s="458">
        <v>4.0882104729881297E-2</v>
      </c>
      <c r="BG4156" s="477">
        <v>8694570.9867367968</v>
      </c>
      <c r="BH4156" s="458">
        <v>7.1979793568144101E-2</v>
      </c>
      <c r="BI4156" s="477">
        <v>14071293.217332674</v>
      </c>
      <c r="BJ4156" s="458">
        <v>0.10701360585601649</v>
      </c>
      <c r="BK4156" s="477">
        <v>76272178.873989731</v>
      </c>
      <c r="BL4156" s="458">
        <v>0.26829978233772023</v>
      </c>
      <c r="BM4156" s="468">
        <v>11.540465351146029</v>
      </c>
    </row>
    <row r="4157" spans="12:65" x14ac:dyDescent="0.3">
      <c r="L4157" s="427">
        <v>1469491.3377</v>
      </c>
      <c r="BE4157" s="477">
        <v>4712669.1099965572</v>
      </c>
      <c r="BF4157" s="458">
        <v>4.4978713097521883E-2</v>
      </c>
      <c r="BG4157" s="477">
        <v>17778244.443363693</v>
      </c>
      <c r="BH4157" s="458">
        <v>6.4996846668996966E-2</v>
      </c>
      <c r="BI4157" s="477">
        <v>11231273.56004934</v>
      </c>
      <c r="BJ4157" s="458">
        <v>0.10957759172287029</v>
      </c>
      <c r="BK4157" s="477">
        <v>107024481.44211559</v>
      </c>
      <c r="BL4157" s="458">
        <v>0.27178531119905713</v>
      </c>
      <c r="BM4157" s="468">
        <v>10.501012358918953</v>
      </c>
    </row>
    <row r="4158" spans="12:65" x14ac:dyDescent="0.3">
      <c r="L4158" s="427">
        <v>1816645.5388</v>
      </c>
      <c r="BE4158" s="477">
        <v>7872974.3065101691</v>
      </c>
      <c r="BF4158" s="458">
        <v>2.8986874573340593E-2</v>
      </c>
      <c r="BG4158" s="477">
        <v>13566839.086950364</v>
      </c>
      <c r="BH4158" s="458">
        <v>7.8841383654111308E-2</v>
      </c>
      <c r="BI4158" s="477">
        <v>16460487.034843037</v>
      </c>
      <c r="BJ4158" s="458">
        <v>0.10335403656513575</v>
      </c>
      <c r="BK4158" s="477">
        <v>102117321.5856356</v>
      </c>
      <c r="BL4158" s="458">
        <v>0.24648342445089133</v>
      </c>
      <c r="BM4158" s="468">
        <v>14.094638522132382</v>
      </c>
    </row>
    <row r="4159" spans="12:65" x14ac:dyDescent="0.3">
      <c r="L4159" s="427">
        <v>3882973.2335999999</v>
      </c>
      <c r="BE4159" s="477">
        <v>7066484.5800033687</v>
      </c>
      <c r="BF4159" s="458">
        <v>4.2509785279754686E-2</v>
      </c>
      <c r="BG4159" s="477">
        <v>12466308.380807176</v>
      </c>
      <c r="BH4159" s="458">
        <v>6.8748773823349429E-2</v>
      </c>
      <c r="BI4159" s="477">
        <v>13750356.843694022</v>
      </c>
      <c r="BJ4159" s="458">
        <v>0.11272881283937775</v>
      </c>
      <c r="BK4159" s="477">
        <v>78614881.896420747</v>
      </c>
      <c r="BL4159" s="458">
        <v>0.28370502096610761</v>
      </c>
      <c r="BM4159" s="468">
        <v>8.9933556982692622</v>
      </c>
    </row>
    <row r="4160" spans="12:65" x14ac:dyDescent="0.3">
      <c r="L4160" s="427">
        <v>23562242.701900002</v>
      </c>
      <c r="BE4160" s="477">
        <v>9822326.8799141608</v>
      </c>
      <c r="BF4160" s="458">
        <v>2.3805877702726352E-2</v>
      </c>
      <c r="BG4160" s="477">
        <v>9066867.3543988615</v>
      </c>
      <c r="BH4160" s="458">
        <v>8.7799455149852879E-2</v>
      </c>
      <c r="BI4160" s="477">
        <v>17199298.775848828</v>
      </c>
      <c r="BJ4160" s="458">
        <v>0.1148553421590679</v>
      </c>
      <c r="BK4160" s="477">
        <v>94378645.842676327</v>
      </c>
      <c r="BL4160" s="458">
        <v>0.27297067613164461</v>
      </c>
      <c r="BM4160" s="468">
        <v>6.5832124822063403</v>
      </c>
    </row>
    <row r="4161" spans="12:65" x14ac:dyDescent="0.3">
      <c r="L4161" s="427">
        <v>-4964558.9578999998</v>
      </c>
      <c r="BE4161" s="477">
        <v>5483336.9581145449</v>
      </c>
      <c r="BF4161" s="458">
        <v>2.4351821393574502E-2</v>
      </c>
      <c r="BG4161" s="477">
        <v>10537604.895151136</v>
      </c>
      <c r="BH4161" s="458">
        <v>5.6673220502623467E-2</v>
      </c>
      <c r="BI4161" s="477">
        <v>21719468.967988953</v>
      </c>
      <c r="BJ4161" s="458">
        <v>0.10580448897115358</v>
      </c>
      <c r="BK4161" s="477">
        <v>97153558.004235268</v>
      </c>
      <c r="BL4161" s="458">
        <v>0.26986999683468449</v>
      </c>
      <c r="BM4161" s="468">
        <v>13.48664026722053</v>
      </c>
    </row>
    <row r="4162" spans="12:65" x14ac:dyDescent="0.3">
      <c r="L4162" s="427">
        <v>21461278.6226</v>
      </c>
      <c r="BE4162" s="477">
        <v>5222855.7262717374</v>
      </c>
      <c r="BF4162" s="458">
        <v>1.9449021288965973E-2</v>
      </c>
      <c r="BG4162" s="477">
        <v>13579802.86078454</v>
      </c>
      <c r="BH4162" s="458">
        <v>7.3941830376639262E-2</v>
      </c>
      <c r="BI4162" s="477">
        <v>16157442.585679101</v>
      </c>
      <c r="BJ4162" s="458">
        <v>9.3481714330513555E-2</v>
      </c>
      <c r="BK4162" s="477">
        <v>73851210.988942608</v>
      </c>
      <c r="BL4162" s="458">
        <v>0.26373230145280613</v>
      </c>
      <c r="BM4162" s="468">
        <v>8.1340810788410955</v>
      </c>
    </row>
    <row r="4163" spans="12:65" x14ac:dyDescent="0.3">
      <c r="L4163" s="427">
        <v>7598880.6738</v>
      </c>
      <c r="BE4163" s="477">
        <v>2841709.0591681418</v>
      </c>
      <c r="BF4163" s="458">
        <v>6.2613137669798258E-2</v>
      </c>
      <c r="BG4163" s="477">
        <v>7816346.6743089296</v>
      </c>
      <c r="BH4163" s="458">
        <v>9.0223055091024351E-2</v>
      </c>
      <c r="BI4163" s="477">
        <v>11848069.663690353</v>
      </c>
      <c r="BJ4163" s="458">
        <v>0.12371176319181987</v>
      </c>
      <c r="BK4163" s="477">
        <v>101073765.73999202</v>
      </c>
      <c r="BL4163" s="458">
        <v>0.25950955152494304</v>
      </c>
      <c r="BM4163" s="468">
        <v>11.217558003866532</v>
      </c>
    </row>
    <row r="4164" spans="12:65" x14ac:dyDescent="0.3">
      <c r="L4164" s="427">
        <v>27622746.636999998</v>
      </c>
      <c r="BE4164" s="477">
        <v>5136337.0221758271</v>
      </c>
      <c r="BF4164" s="458">
        <v>3.522750959905574E-2</v>
      </c>
      <c r="BG4164" s="477">
        <v>9622527.1443049386</v>
      </c>
      <c r="BH4164" s="458">
        <v>4.4624569701598338E-2</v>
      </c>
      <c r="BI4164" s="477">
        <v>14572581.115774792</v>
      </c>
      <c r="BJ4164" s="458">
        <v>0.11474104003872343</v>
      </c>
      <c r="BK4164" s="477">
        <v>75316039.078396082</v>
      </c>
      <c r="BL4164" s="458">
        <v>0.27552944636219689</v>
      </c>
      <c r="BM4164" s="468">
        <v>11.020218558479868</v>
      </c>
    </row>
    <row r="4165" spans="12:65" x14ac:dyDescent="0.3">
      <c r="L4165" s="427">
        <v>10165998.2062</v>
      </c>
      <c r="BE4165" s="477">
        <v>5148084.4972753702</v>
      </c>
      <c r="BF4165" s="458">
        <v>4.7740585553615045E-2</v>
      </c>
      <c r="BG4165" s="477">
        <v>8144914.0886318218</v>
      </c>
      <c r="BH4165" s="458">
        <v>7.4722261617652608E-2</v>
      </c>
      <c r="BI4165" s="477">
        <v>17728526.180667672</v>
      </c>
      <c r="BJ4165" s="458">
        <v>0.10782446513945687</v>
      </c>
      <c r="BK4165" s="477">
        <v>92443565.130816326</v>
      </c>
      <c r="BL4165" s="458">
        <v>0.24721894943539402</v>
      </c>
      <c r="BM4165" s="468">
        <v>3.2360850909395102</v>
      </c>
    </row>
    <row r="4166" spans="12:65" x14ac:dyDescent="0.3">
      <c r="L4166" s="427">
        <v>18532850.669199999</v>
      </c>
      <c r="BE4166" s="477">
        <v>3842349.92422107</v>
      </c>
      <c r="BF4166" s="458">
        <v>4.4235400752464349E-2</v>
      </c>
      <c r="BG4166" s="477">
        <v>13130084.305188851</v>
      </c>
      <c r="BH4166" s="458">
        <v>7.4936325385392299E-2</v>
      </c>
      <c r="BI4166" s="477">
        <v>10354766.652655268</v>
      </c>
      <c r="BJ4166" s="458">
        <v>9.6292803557180617E-2</v>
      </c>
      <c r="BK4166" s="477">
        <v>73432147.824699447</v>
      </c>
      <c r="BL4166" s="458">
        <v>0.27675965619374088</v>
      </c>
      <c r="BM4166" s="468">
        <v>5.6636738145317898</v>
      </c>
    </row>
    <row r="4167" spans="12:65" x14ac:dyDescent="0.3">
      <c r="L4167" s="427">
        <v>16062679.936799999</v>
      </c>
      <c r="BE4167" s="477">
        <v>4736385.4997710902</v>
      </c>
      <c r="BF4167" s="458">
        <v>4.5559968051395616E-2</v>
      </c>
      <c r="BG4167" s="477">
        <v>6634667.2406358207</v>
      </c>
      <c r="BH4167" s="458">
        <v>8.9808821237216341E-2</v>
      </c>
      <c r="BI4167" s="477">
        <v>9180332.9146711212</v>
      </c>
      <c r="BJ4167" s="458">
        <v>0.14014103204511486</v>
      </c>
      <c r="BK4167" s="477">
        <v>106652844.17936899</v>
      </c>
      <c r="BL4167" s="458">
        <v>0.27408373218962545</v>
      </c>
      <c r="BM4167" s="468">
        <v>6.2977082859307716</v>
      </c>
    </row>
    <row r="4168" spans="12:65" x14ac:dyDescent="0.3">
      <c r="L4168" s="427">
        <v>14391381.474199999</v>
      </c>
      <c r="BE4168" s="477">
        <v>5085711.5883439416</v>
      </c>
      <c r="BF4168" s="458">
        <v>4.0473991358329631E-2</v>
      </c>
      <c r="BG4168" s="477">
        <v>8431533.8443261404</v>
      </c>
      <c r="BH4168" s="458">
        <v>6.7446406691471061E-2</v>
      </c>
      <c r="BI4168" s="477">
        <v>8380903.8175896825</v>
      </c>
      <c r="BJ4168" s="458">
        <v>8.2545584188750132E-2</v>
      </c>
      <c r="BK4168" s="477">
        <v>88057427.930838645</v>
      </c>
      <c r="BL4168" s="458">
        <v>0.27261362280714918</v>
      </c>
      <c r="BM4168" s="468">
        <v>2.1660797335574298</v>
      </c>
    </row>
    <row r="4169" spans="12:65" x14ac:dyDescent="0.3">
      <c r="L4169" s="427">
        <v>2436181.8909</v>
      </c>
      <c r="BE4169" s="477">
        <v>3564466.1335880943</v>
      </c>
      <c r="BF4169" s="458">
        <v>4.3143252451757652E-2</v>
      </c>
      <c r="BG4169" s="477">
        <v>7973503.9255407024</v>
      </c>
      <c r="BH4169" s="458">
        <v>6.4704348464893258E-2</v>
      </c>
      <c r="BI4169" s="477">
        <v>12329215.289652301</v>
      </c>
      <c r="BJ4169" s="458">
        <v>9.7042192287121631E-2</v>
      </c>
      <c r="BK4169" s="477">
        <v>89615065.865860894</v>
      </c>
      <c r="BL4169" s="458">
        <v>0.28263467502071071</v>
      </c>
      <c r="BM4169" s="468">
        <v>8.7903828846478103</v>
      </c>
    </row>
    <row r="4170" spans="12:65" x14ac:dyDescent="0.3">
      <c r="L4170" s="427">
        <v>-7306132.3764000004</v>
      </c>
      <c r="BE4170" s="477">
        <v>4136496.7988745933</v>
      </c>
      <c r="BF4170" s="458">
        <v>8.5305119539710761E-2</v>
      </c>
      <c r="BG4170" s="477">
        <v>12167171.016796056</v>
      </c>
      <c r="BH4170" s="458">
        <v>6.1679004672259952E-2</v>
      </c>
      <c r="BI4170" s="477">
        <v>22430638.434544802</v>
      </c>
      <c r="BJ4170" s="458">
        <v>9.8685307514985832E-2</v>
      </c>
      <c r="BK4170" s="477">
        <v>95653843.013114423</v>
      </c>
      <c r="BL4170" s="458">
        <v>0.27765551728477766</v>
      </c>
      <c r="BM4170" s="468">
        <v>11.940482192875983</v>
      </c>
    </row>
    <row r="4171" spans="12:65" x14ac:dyDescent="0.3">
      <c r="L4171" s="427">
        <v>12228971.9364</v>
      </c>
      <c r="BE4171" s="477">
        <v>1372616.5573542877</v>
      </c>
      <c r="BF4171" s="458">
        <v>3.6407604313986486E-2</v>
      </c>
      <c r="BG4171" s="477">
        <v>11141115.576495113</v>
      </c>
      <c r="BH4171" s="458">
        <v>5.195186931690321E-2</v>
      </c>
      <c r="BI4171" s="477">
        <v>16939243.257900212</v>
      </c>
      <c r="BJ4171" s="458">
        <v>8.7189449171855005E-2</v>
      </c>
      <c r="BK4171" s="477">
        <v>88539114.779139727</v>
      </c>
      <c r="BL4171" s="458">
        <v>0.25584821613110154</v>
      </c>
      <c r="BM4171" s="468">
        <v>9.8412430689009849</v>
      </c>
    </row>
    <row r="4172" spans="12:65" x14ac:dyDescent="0.3">
      <c r="L4172" s="427">
        <v>7988267.4605999999</v>
      </c>
      <c r="BE4172" s="477">
        <v>3967967.6299170256</v>
      </c>
      <c r="BF4172" s="458">
        <v>3.5734541239667239E-2</v>
      </c>
      <c r="BG4172" s="477">
        <v>15303621.262774432</v>
      </c>
      <c r="BH4172" s="458">
        <v>5.2717707024522609E-2</v>
      </c>
      <c r="BI4172" s="477">
        <v>10668706.191778589</v>
      </c>
      <c r="BJ4172" s="458">
        <v>0.10354138921982403</v>
      </c>
      <c r="BK4172" s="477">
        <v>94194939.125348896</v>
      </c>
      <c r="BL4172" s="458">
        <v>0.27702848019769766</v>
      </c>
      <c r="BM4172" s="468">
        <v>13.26334179529232</v>
      </c>
    </row>
    <row r="4173" spans="12:65" x14ac:dyDescent="0.3">
      <c r="L4173" s="427">
        <v>4590493.3357999995</v>
      </c>
      <c r="BE4173" s="477">
        <v>5990856.3371315515</v>
      </c>
      <c r="BF4173" s="458">
        <v>4.9401681424932509E-2</v>
      </c>
      <c r="BG4173" s="477">
        <v>10874621.443634998</v>
      </c>
      <c r="BH4173" s="458">
        <v>9.0599538990694395E-2</v>
      </c>
      <c r="BI4173" s="477">
        <v>11105550.380819805</v>
      </c>
      <c r="BJ4173" s="458">
        <v>0.12712914044056589</v>
      </c>
      <c r="BK4173" s="477">
        <v>83887203.552172109</v>
      </c>
      <c r="BL4173" s="458">
        <v>0.28580005435939415</v>
      </c>
      <c r="BM4173" s="468">
        <v>5.7894075064523403</v>
      </c>
    </row>
    <row r="4174" spans="12:65" x14ac:dyDescent="0.3">
      <c r="L4174" s="427">
        <v>2982724.7733</v>
      </c>
      <c r="BE4174" s="477">
        <v>3217801.9162469329</v>
      </c>
      <c r="BF4174" s="458">
        <v>3.1134514061245788E-2</v>
      </c>
      <c r="BG4174" s="477">
        <v>11489993.958929149</v>
      </c>
      <c r="BH4174" s="458">
        <v>6.2699042351519241E-2</v>
      </c>
      <c r="BI4174" s="477">
        <v>21590282.522638876</v>
      </c>
      <c r="BJ4174" s="458">
        <v>8.5145083807951272E-2</v>
      </c>
      <c r="BK4174" s="477">
        <v>76008087.114591539</v>
      </c>
      <c r="BL4174" s="458">
        <v>0.25420053608038251</v>
      </c>
      <c r="BM4174" s="468">
        <v>6.9876826111639243</v>
      </c>
    </row>
    <row r="4175" spans="12:65" x14ac:dyDescent="0.3">
      <c r="L4175" s="427">
        <v>15240646.0973</v>
      </c>
      <c r="BE4175" s="477">
        <v>6183261.013671767</v>
      </c>
      <c r="BF4175" s="458">
        <v>2.0267786024144252E-2</v>
      </c>
      <c r="BG4175" s="477">
        <v>11633346.080254294</v>
      </c>
      <c r="BH4175" s="458">
        <v>4.9105143220922409E-2</v>
      </c>
      <c r="BI4175" s="477">
        <v>19088312.379104301</v>
      </c>
      <c r="BJ4175" s="458">
        <v>0.10123325312800779</v>
      </c>
      <c r="BK4175" s="477">
        <v>97471113.382701397</v>
      </c>
      <c r="BL4175" s="458">
        <v>0.28228495954648003</v>
      </c>
      <c r="BM4175" s="468">
        <v>2.8651719785808645</v>
      </c>
    </row>
    <row r="4176" spans="12:65" x14ac:dyDescent="0.3">
      <c r="L4176" s="427">
        <v>10486147.982999999</v>
      </c>
      <c r="BE4176" s="477">
        <v>4179316.4886134057</v>
      </c>
      <c r="BF4176" s="458">
        <v>0.10459696902430471</v>
      </c>
      <c r="BG4176" s="477">
        <v>6230177.7377625834</v>
      </c>
      <c r="BH4176" s="458">
        <v>6.6404378270821685E-2</v>
      </c>
      <c r="BI4176" s="477">
        <v>19020553.238168411</v>
      </c>
      <c r="BJ4176" s="458">
        <v>0.10865672400557402</v>
      </c>
      <c r="BK4176" s="477">
        <v>94797068.751684457</v>
      </c>
      <c r="BL4176" s="458">
        <v>0.27398721143989113</v>
      </c>
      <c r="BM4176" s="468">
        <v>7.5364164010540442</v>
      </c>
    </row>
    <row r="4177" spans="12:65" x14ac:dyDescent="0.3">
      <c r="L4177" s="427">
        <v>16250125.5482</v>
      </c>
      <c r="BE4177" s="477">
        <v>2398433.7090334771</v>
      </c>
      <c r="BF4177" s="458">
        <v>3.7442918341056952E-2</v>
      </c>
      <c r="BG4177" s="477">
        <v>9769823.0439211205</v>
      </c>
      <c r="BH4177" s="458">
        <v>7.0271345245583205E-2</v>
      </c>
      <c r="BI4177" s="477">
        <v>17247179.682743985</v>
      </c>
      <c r="BJ4177" s="458">
        <v>0.10233548224972311</v>
      </c>
      <c r="BK4177" s="477">
        <v>87956189.007799029</v>
      </c>
      <c r="BL4177" s="458">
        <v>0.26871033138798661</v>
      </c>
      <c r="BM4177" s="468">
        <v>9.6536073284276842</v>
      </c>
    </row>
    <row r="4178" spans="12:65" x14ac:dyDescent="0.3">
      <c r="L4178" s="427">
        <v>17395156.783300001</v>
      </c>
      <c r="BE4178" s="477">
        <v>5013126.2656250643</v>
      </c>
      <c r="BF4178" s="458">
        <v>2.6064366283211626E-2</v>
      </c>
      <c r="BG4178" s="477">
        <v>9249844.125445161</v>
      </c>
      <c r="BH4178" s="458">
        <v>6.0162659994935863E-2</v>
      </c>
      <c r="BI4178" s="477">
        <v>21993327.753163852</v>
      </c>
      <c r="BJ4178" s="458">
        <v>0.13049264136869998</v>
      </c>
      <c r="BK4178" s="477">
        <v>91535237.829866841</v>
      </c>
      <c r="BL4178" s="458">
        <v>0.2644016309068713</v>
      </c>
      <c r="BM4178" s="468">
        <v>4.7058218012672022</v>
      </c>
    </row>
    <row r="4179" spans="12:65" x14ac:dyDescent="0.3">
      <c r="L4179" s="427">
        <v>4525169.5217000004</v>
      </c>
      <c r="BE4179" s="477">
        <v>5229391.4396080142</v>
      </c>
      <c r="BF4179" s="458">
        <v>5.0761168250741839E-2</v>
      </c>
      <c r="BG4179" s="477">
        <v>10824981.329797098</v>
      </c>
      <c r="BH4179" s="458">
        <v>4.3466821782399467E-2</v>
      </c>
      <c r="BI4179" s="477">
        <v>9589023.0963979606</v>
      </c>
      <c r="BJ4179" s="458">
        <v>7.7465008976278282E-2</v>
      </c>
      <c r="BK4179" s="477">
        <v>96525301.581196547</v>
      </c>
      <c r="BL4179" s="458">
        <v>0.26930003521854995</v>
      </c>
      <c r="BM4179" s="468">
        <v>6.0721158751973539</v>
      </c>
    </row>
    <row r="4180" spans="12:65" x14ac:dyDescent="0.3">
      <c r="L4180" s="427">
        <v>12669377.000299999</v>
      </c>
      <c r="BE4180" s="477">
        <v>4434413.8378307978</v>
      </c>
      <c r="BF4180" s="458">
        <v>1.4084952995607081E-2</v>
      </c>
      <c r="BG4180" s="477">
        <v>4388231.5459323423</v>
      </c>
      <c r="BH4180" s="458">
        <v>5.2911373437068532E-2</v>
      </c>
      <c r="BI4180" s="477">
        <v>18238738.419511165</v>
      </c>
      <c r="BJ4180" s="458">
        <v>9.7057805264928465E-2</v>
      </c>
      <c r="BK4180" s="477">
        <v>101489963.04793461</v>
      </c>
      <c r="BL4180" s="458">
        <v>0.29301054560358697</v>
      </c>
      <c r="BM4180" s="468">
        <v>9.8606605816573882</v>
      </c>
    </row>
    <row r="4181" spans="12:65" x14ac:dyDescent="0.3">
      <c r="L4181" s="427">
        <v>9681238.2086999994</v>
      </c>
      <c r="BE4181" s="477">
        <v>566205.46221484873</v>
      </c>
      <c r="BF4181" s="458">
        <v>2.1787379619309766E-2</v>
      </c>
      <c r="BG4181" s="477">
        <v>11155264.403555138</v>
      </c>
      <c r="BH4181" s="458">
        <v>7.1293691833591355E-2</v>
      </c>
      <c r="BI4181" s="477">
        <v>5648047.5866273865</v>
      </c>
      <c r="BJ4181" s="458">
        <v>0.10076437858580167</v>
      </c>
      <c r="BK4181" s="477">
        <v>89681934.647691712</v>
      </c>
      <c r="BL4181" s="458">
        <v>0.28092434654097387</v>
      </c>
      <c r="BM4181" s="468">
        <v>10.974725969285309</v>
      </c>
    </row>
    <row r="4182" spans="12:65" x14ac:dyDescent="0.3">
      <c r="L4182" s="427">
        <v>18667617.805</v>
      </c>
      <c r="BE4182" s="477">
        <v>10248488.209332397</v>
      </c>
      <c r="BF4182" s="458">
        <v>7.8213760456158354E-3</v>
      </c>
      <c r="BG4182" s="477">
        <v>10454782.982743289</v>
      </c>
      <c r="BH4182" s="458">
        <v>6.7489656802169229E-2</v>
      </c>
      <c r="BI4182" s="477">
        <v>17998407.554262381</v>
      </c>
      <c r="BJ4182" s="458">
        <v>8.2691271124477828E-2</v>
      </c>
      <c r="BK4182" s="477">
        <v>83966544.289921895</v>
      </c>
      <c r="BL4182" s="458">
        <v>0.25172197409154284</v>
      </c>
      <c r="BM4182" s="468">
        <v>7.1779007348226109</v>
      </c>
    </row>
    <row r="4183" spans="12:65" x14ac:dyDescent="0.3">
      <c r="L4183" s="427">
        <v>17205984.685400002</v>
      </c>
      <c r="BE4183" s="477">
        <v>7524051.4443802387</v>
      </c>
      <c r="BF4183" s="458">
        <v>1.0398441135278436E-2</v>
      </c>
      <c r="BG4183" s="477">
        <v>3016565.1069726725</v>
      </c>
      <c r="BH4183" s="458">
        <v>6.4331736776920501E-2</v>
      </c>
      <c r="BI4183" s="477">
        <v>25180797.673814323</v>
      </c>
      <c r="BJ4183" s="458">
        <v>0.11671720941218044</v>
      </c>
      <c r="BK4183" s="477">
        <v>95612453.666410163</v>
      </c>
      <c r="BL4183" s="458">
        <v>0.26361492715058832</v>
      </c>
      <c r="BM4183" s="468">
        <v>10.367975623167043</v>
      </c>
    </row>
    <row r="4184" spans="12:65" x14ac:dyDescent="0.3">
      <c r="L4184" s="427">
        <v>20393394.525899999</v>
      </c>
      <c r="BE4184" s="477">
        <v>8457327.0985335931</v>
      </c>
      <c r="BF4184" s="458">
        <v>3.175545314416528E-2</v>
      </c>
      <c r="BG4184" s="477">
        <v>5438687.2004344063</v>
      </c>
      <c r="BH4184" s="458">
        <v>8.0793813409197224E-2</v>
      </c>
      <c r="BI4184" s="477">
        <v>16885160.663645755</v>
      </c>
      <c r="BJ4184" s="458">
        <v>0.10497097762081609</v>
      </c>
      <c r="BK4184" s="477">
        <v>86067526.93919906</v>
      </c>
      <c r="BL4184" s="458">
        <v>0.28536045776894969</v>
      </c>
      <c r="BM4184" s="468">
        <v>0.92555767340792539</v>
      </c>
    </row>
    <row r="4185" spans="12:65" x14ac:dyDescent="0.3">
      <c r="L4185" s="427">
        <v>118018.10860000001</v>
      </c>
      <c r="BE4185" s="477">
        <v>2524190.8715289361</v>
      </c>
      <c r="BF4185" s="458">
        <v>3.9384827471433459E-2</v>
      </c>
      <c r="BG4185" s="477">
        <v>10538468.921427779</v>
      </c>
      <c r="BH4185" s="458">
        <v>6.9957434899023729E-2</v>
      </c>
      <c r="BI4185" s="477">
        <v>19298426.883181699</v>
      </c>
      <c r="BJ4185" s="458">
        <v>9.3258659102424923E-2</v>
      </c>
      <c r="BK4185" s="477">
        <v>103682524.93965001</v>
      </c>
      <c r="BL4185" s="458">
        <v>0.26370846400361714</v>
      </c>
      <c r="BM4185" s="468">
        <v>6.5892033658244262</v>
      </c>
    </row>
    <row r="4186" spans="12:65" x14ac:dyDescent="0.3">
      <c r="L4186" s="427">
        <v>4001559.5951</v>
      </c>
      <c r="BE4186" s="477">
        <v>8105565.9635698628</v>
      </c>
      <c r="BF4186" s="458">
        <v>5.302422297848608E-2</v>
      </c>
      <c r="BG4186" s="477">
        <v>4444234.7069305563</v>
      </c>
      <c r="BH4186" s="458">
        <v>7.1373677899821963E-2</v>
      </c>
      <c r="BI4186" s="477">
        <v>20217042.68460973</v>
      </c>
      <c r="BJ4186" s="458">
        <v>0.11306584360821148</v>
      </c>
      <c r="BK4186" s="477">
        <v>113093481.76164877</v>
      </c>
      <c r="BL4186" s="458">
        <v>0.26546848428967906</v>
      </c>
      <c r="BM4186" s="468">
        <v>5.9006175440825936</v>
      </c>
    </row>
    <row r="4187" spans="12:65" x14ac:dyDescent="0.3">
      <c r="L4187" s="427">
        <v>6073447.9204000002</v>
      </c>
      <c r="BE4187" s="477">
        <v>8345738.7957029836</v>
      </c>
      <c r="BF4187" s="458">
        <v>5.4818151358435152E-2</v>
      </c>
      <c r="BG4187" s="477">
        <v>7802646.8722947221</v>
      </c>
      <c r="BH4187" s="458">
        <v>5.036312305093027E-2</v>
      </c>
      <c r="BI4187" s="477">
        <v>19294355.452801414</v>
      </c>
      <c r="BJ4187" s="458">
        <v>0.11402054747824564</v>
      </c>
      <c r="BK4187" s="477">
        <v>83331675.779860526</v>
      </c>
      <c r="BL4187" s="458">
        <v>0.2593895168914151</v>
      </c>
      <c r="BM4187" s="468">
        <v>10.910705961157499</v>
      </c>
    </row>
    <row r="4188" spans="12:65" x14ac:dyDescent="0.3">
      <c r="L4188" s="427">
        <v>4960610.7220999999</v>
      </c>
      <c r="BE4188" s="477">
        <v>8742296.6558849923</v>
      </c>
      <c r="BF4188" s="458">
        <v>3.1108251936099673E-2</v>
      </c>
      <c r="BG4188" s="477">
        <v>9347908.6154348403</v>
      </c>
      <c r="BH4188" s="458">
        <v>4.7450832014273248E-2</v>
      </c>
      <c r="BI4188" s="477">
        <v>21455183.442722995</v>
      </c>
      <c r="BJ4188" s="458">
        <v>0.10389377759154783</v>
      </c>
      <c r="BK4188" s="477">
        <v>92032971.948299304</v>
      </c>
      <c r="BL4188" s="458">
        <v>0.26537032032138219</v>
      </c>
      <c r="BM4188" s="468">
        <v>4.1824469231013026</v>
      </c>
    </row>
    <row r="4189" spans="12:65" x14ac:dyDescent="0.3">
      <c r="L4189" s="427">
        <v>10066569.267999999</v>
      </c>
      <c r="BE4189" s="477">
        <v>6618765.9525148626</v>
      </c>
      <c r="BF4189" s="458">
        <v>4.2498620315006841E-2</v>
      </c>
      <c r="BG4189" s="477">
        <v>9851822.9211114403</v>
      </c>
      <c r="BH4189" s="458">
        <v>3.9772915425879907E-2</v>
      </c>
      <c r="BI4189" s="477">
        <v>20680454.643055584</v>
      </c>
      <c r="BJ4189" s="458">
        <v>9.9245301160280963E-2</v>
      </c>
      <c r="BK4189" s="477">
        <v>82209605.94417496</v>
      </c>
      <c r="BL4189" s="458">
        <v>0.30197957149930743</v>
      </c>
      <c r="BM4189" s="468">
        <v>4.750343179082658</v>
      </c>
    </row>
    <row r="4190" spans="12:65" x14ac:dyDescent="0.3">
      <c r="L4190" s="427">
        <v>6131842.6818000004</v>
      </c>
      <c r="BE4190" s="477">
        <v>2428070.3701885655</v>
      </c>
      <c r="BF4190" s="458">
        <v>3.5627300078675095E-2</v>
      </c>
      <c r="BG4190" s="477">
        <v>13510000.143752825</v>
      </c>
      <c r="BH4190" s="458">
        <v>6.5381377125065754E-2</v>
      </c>
      <c r="BI4190" s="477">
        <v>14783886.044724336</v>
      </c>
      <c r="BJ4190" s="458">
        <v>0.1082249146772214</v>
      </c>
      <c r="BK4190" s="477">
        <v>82044022.61366412</v>
      </c>
      <c r="BL4190" s="458">
        <v>0.26493879635365358</v>
      </c>
      <c r="BM4190" s="468">
        <v>9.2672003579764439</v>
      </c>
    </row>
    <row r="4191" spans="12:65" x14ac:dyDescent="0.3">
      <c r="L4191" s="427">
        <v>20590547.197799999</v>
      </c>
      <c r="BE4191" s="477">
        <v>2877505.6700273599</v>
      </c>
      <c r="BF4191" s="458">
        <v>6.2600617593242758E-2</v>
      </c>
      <c r="BG4191" s="477">
        <v>9163409.9750787392</v>
      </c>
      <c r="BH4191" s="458">
        <v>8.8280066289887493E-2</v>
      </c>
      <c r="BI4191" s="477">
        <v>12338249.407443786</v>
      </c>
      <c r="BJ4191" s="458">
        <v>9.4654537835311414E-2</v>
      </c>
      <c r="BK4191" s="477">
        <v>87817584.331024095</v>
      </c>
      <c r="BL4191" s="458">
        <v>0.26509199521258031</v>
      </c>
      <c r="BM4191" s="468">
        <v>9.8023134801802971</v>
      </c>
    </row>
    <row r="4192" spans="12:65" x14ac:dyDescent="0.3">
      <c r="L4192" s="427">
        <v>10602288.1061</v>
      </c>
      <c r="BE4192" s="477">
        <v>3638696.6317330995</v>
      </c>
      <c r="BF4192" s="458">
        <v>2.4375824664848E-2</v>
      </c>
      <c r="BG4192" s="477">
        <v>10690941.988858325</v>
      </c>
      <c r="BH4192" s="458">
        <v>7.0203530604929787E-2</v>
      </c>
      <c r="BI4192" s="477">
        <v>18065616.755033568</v>
      </c>
      <c r="BJ4192" s="458">
        <v>0.11306339798618747</v>
      </c>
      <c r="BK4192" s="477">
        <v>71149653.360661179</v>
      </c>
      <c r="BL4192" s="458">
        <v>0.2580882390035808</v>
      </c>
      <c r="BM4192" s="468">
        <v>4.5880199919950115</v>
      </c>
    </row>
    <row r="4193" spans="12:65" x14ac:dyDescent="0.3">
      <c r="L4193" s="427">
        <v>9471476.2763999999</v>
      </c>
      <c r="BE4193" s="477">
        <v>929459.18144171848</v>
      </c>
      <c r="BF4193" s="458">
        <v>3.8373616195876536E-2</v>
      </c>
      <c r="BG4193" s="477">
        <v>17466575.409274086</v>
      </c>
      <c r="BH4193" s="458">
        <v>4.35790830215117E-2</v>
      </c>
      <c r="BI4193" s="477">
        <v>21013730.552303892</v>
      </c>
      <c r="BJ4193" s="458">
        <v>0.11017992416140943</v>
      </c>
      <c r="BK4193" s="477">
        <v>87837085.979097724</v>
      </c>
      <c r="BL4193" s="458">
        <v>0.25242134615682277</v>
      </c>
      <c r="BM4193" s="468">
        <v>8.9239408973691106</v>
      </c>
    </row>
    <row r="4194" spans="12:65" x14ac:dyDescent="0.3">
      <c r="L4194" s="427">
        <v>15470110.1654</v>
      </c>
      <c r="BE4194" s="477">
        <v>5566176.0950377584</v>
      </c>
      <c r="BF4194" s="458">
        <v>4.6413522112126682E-2</v>
      </c>
      <c r="BG4194" s="477">
        <v>6791655.5812147148</v>
      </c>
      <c r="BH4194" s="458">
        <v>6.1674945334458275E-2</v>
      </c>
      <c r="BI4194" s="477">
        <v>21692181.352524631</v>
      </c>
      <c r="BJ4194" s="458">
        <v>0.13827207602687541</v>
      </c>
      <c r="BK4194" s="477">
        <v>85673123.510572702</v>
      </c>
      <c r="BL4194" s="458">
        <v>0.25813030151482486</v>
      </c>
      <c r="BM4194" s="468">
        <v>6.5511388864453126</v>
      </c>
    </row>
    <row r="4195" spans="12:65" x14ac:dyDescent="0.3">
      <c r="L4195" s="427">
        <v>7368266.3828999996</v>
      </c>
      <c r="BE4195" s="477">
        <v>2506720.0342815644</v>
      </c>
      <c r="BF4195" s="458">
        <v>3.5622132906756976E-2</v>
      </c>
      <c r="BG4195" s="477">
        <v>5852043.0884261578</v>
      </c>
      <c r="BH4195" s="458">
        <v>6.7560325781353958E-2</v>
      </c>
      <c r="BI4195" s="477">
        <v>18698246.983257256</v>
      </c>
      <c r="BJ4195" s="458">
        <v>0.11007354512344203</v>
      </c>
      <c r="BK4195" s="477">
        <v>91076794.434449077</v>
      </c>
      <c r="BL4195" s="458">
        <v>0.27399059792892788</v>
      </c>
      <c r="BM4195" s="468">
        <v>8.5048684605142224</v>
      </c>
    </row>
    <row r="4196" spans="12:65" x14ac:dyDescent="0.3">
      <c r="L4196" s="427">
        <v>18359131.1785</v>
      </c>
      <c r="BE4196" s="477">
        <v>5742961.898884153</v>
      </c>
      <c r="BF4196" s="458">
        <v>3.2125810941285193E-2</v>
      </c>
      <c r="BG4196" s="477">
        <v>5281718.7170313606</v>
      </c>
      <c r="BH4196" s="458">
        <v>4.099398089502504E-2</v>
      </c>
      <c r="BI4196" s="477">
        <v>17464078.676675726</v>
      </c>
      <c r="BJ4196" s="458">
        <v>8.1725692513327841E-2</v>
      </c>
      <c r="BK4196" s="477">
        <v>75560359.063496888</v>
      </c>
      <c r="BL4196" s="458">
        <v>0.28926890603026378</v>
      </c>
      <c r="BM4196" s="468">
        <v>6.8839880751211489</v>
      </c>
    </row>
    <row r="4197" spans="12:65" x14ac:dyDescent="0.3">
      <c r="L4197" s="427">
        <v>7467579.6682000002</v>
      </c>
      <c r="BE4197" s="477">
        <v>6379780.4718070421</v>
      </c>
      <c r="BF4197" s="458">
        <v>3.2514547142000749E-2</v>
      </c>
      <c r="BG4197" s="477">
        <v>10625018.298228441</v>
      </c>
      <c r="BH4197" s="458">
        <v>0.10135336270847906</v>
      </c>
      <c r="BI4197" s="477">
        <v>9255279.102409523</v>
      </c>
      <c r="BJ4197" s="458">
        <v>0.12891730475962637</v>
      </c>
      <c r="BK4197" s="477">
        <v>94800477.098996341</v>
      </c>
      <c r="BL4197" s="458">
        <v>0.2765130969223426</v>
      </c>
      <c r="BM4197" s="468">
        <v>10.318475157170599</v>
      </c>
    </row>
    <row r="4198" spans="12:65" x14ac:dyDescent="0.3">
      <c r="L4198" s="427">
        <v>2418250.8979000002</v>
      </c>
      <c r="BE4198" s="477">
        <v>6462637.6375170629</v>
      </c>
      <c r="BF4198" s="458">
        <v>7.657635020016329E-2</v>
      </c>
      <c r="BG4198" s="477">
        <v>15359780.427355422</v>
      </c>
      <c r="BH4198" s="458">
        <v>4.7409291679435972E-2</v>
      </c>
      <c r="BI4198" s="477">
        <v>23287285.116245836</v>
      </c>
      <c r="BJ4198" s="458">
        <v>0.11193933007586976</v>
      </c>
      <c r="BK4198" s="477">
        <v>87685610.308993995</v>
      </c>
      <c r="BL4198" s="458">
        <v>0.28361892538865097</v>
      </c>
      <c r="BM4198" s="468">
        <v>5.6904214831598656</v>
      </c>
    </row>
    <row r="4199" spans="12:65" x14ac:dyDescent="0.3">
      <c r="L4199" s="427">
        <v>13021731.7914</v>
      </c>
      <c r="BE4199" s="477">
        <v>1834521.4737169477</v>
      </c>
      <c r="BF4199" s="458">
        <v>3.8542366875384593E-2</v>
      </c>
      <c r="BG4199" s="477">
        <v>15466968.106742704</v>
      </c>
      <c r="BH4199" s="458">
        <v>8.8802537773132961E-2</v>
      </c>
      <c r="BI4199" s="477">
        <v>12946870.462179935</v>
      </c>
      <c r="BJ4199" s="458">
        <v>0.11581195758038865</v>
      </c>
      <c r="BK4199" s="477">
        <v>82739321.274121821</v>
      </c>
      <c r="BL4199" s="458">
        <v>0.27362909485361686</v>
      </c>
      <c r="BM4199" s="468">
        <v>6.8904742644807158</v>
      </c>
    </row>
    <row r="4200" spans="12:65" x14ac:dyDescent="0.3">
      <c r="L4200" s="427">
        <v>9018236.0220999997</v>
      </c>
      <c r="BE4200" s="477">
        <v>2126063.6190787377</v>
      </c>
      <c r="BF4200" s="458">
        <v>4.7454439942353766E-2</v>
      </c>
      <c r="BG4200" s="477">
        <v>12419612.587993545</v>
      </c>
      <c r="BH4200" s="458">
        <v>4.6140319857061352E-2</v>
      </c>
      <c r="BI4200" s="477">
        <v>19130084.698622331</v>
      </c>
      <c r="BJ4200" s="458">
        <v>0.10586008251439472</v>
      </c>
      <c r="BK4200" s="477">
        <v>91340582.961212054</v>
      </c>
      <c r="BL4200" s="458">
        <v>0.27090054112589912</v>
      </c>
      <c r="BM4200" s="468">
        <v>8.8359613935294021</v>
      </c>
    </row>
    <row r="4201" spans="12:65" x14ac:dyDescent="0.3">
      <c r="L4201" s="427">
        <v>16028091.874199999</v>
      </c>
      <c r="BE4201" s="477">
        <v>5788793.1756234486</v>
      </c>
      <c r="BF4201" s="458">
        <v>4.6150366706981361E-2</v>
      </c>
      <c r="BG4201" s="477">
        <v>14103743.331396945</v>
      </c>
      <c r="BH4201" s="458">
        <v>8.1289325899246867E-2</v>
      </c>
      <c r="BI4201" s="477">
        <v>14681666.066017395</v>
      </c>
      <c r="BJ4201" s="458">
        <v>9.9778877507364694E-2</v>
      </c>
      <c r="BK4201" s="477">
        <v>74918940.367605284</v>
      </c>
      <c r="BL4201" s="458">
        <v>0.24911545669219426</v>
      </c>
      <c r="BM4201" s="468">
        <v>6.056850436652276</v>
      </c>
    </row>
    <row r="4202" spans="12:65" x14ac:dyDescent="0.3">
      <c r="L4202" s="427">
        <v>13096419.611300001</v>
      </c>
      <c r="BE4202" s="477">
        <v>2926982.2149686934</v>
      </c>
      <c r="BF4202" s="458">
        <v>5.2780754596436719E-2</v>
      </c>
      <c r="BG4202" s="477">
        <v>12941138.62767688</v>
      </c>
      <c r="BH4202" s="458">
        <v>7.1099274655650024E-2</v>
      </c>
      <c r="BI4202" s="477">
        <v>17750206.487922732</v>
      </c>
      <c r="BJ4202" s="458">
        <v>8.7952943298436503E-2</v>
      </c>
      <c r="BK4202" s="477">
        <v>100491252.03707363</v>
      </c>
      <c r="BL4202" s="458">
        <v>0.26414812336540439</v>
      </c>
      <c r="BM4202" s="468">
        <v>7.6141983437764136</v>
      </c>
    </row>
    <row r="4203" spans="12:65" x14ac:dyDescent="0.3">
      <c r="L4203" s="427">
        <v>6385821.5765000004</v>
      </c>
      <c r="BE4203" s="477">
        <v>6846387.7600050317</v>
      </c>
      <c r="BF4203" s="458">
        <v>3.334322726266592E-2</v>
      </c>
      <c r="BG4203" s="477">
        <v>9032450.2694192752</v>
      </c>
      <c r="BH4203" s="458">
        <v>5.1417730824067531E-2</v>
      </c>
      <c r="BI4203" s="477">
        <v>14210164.372431189</v>
      </c>
      <c r="BJ4203" s="458">
        <v>0.12151223969647873</v>
      </c>
      <c r="BK4203" s="477">
        <v>77225227.27956298</v>
      </c>
      <c r="BL4203" s="458">
        <v>0.26441065373568096</v>
      </c>
      <c r="BM4203" s="468">
        <v>8.3137064354950603</v>
      </c>
    </row>
    <row r="4204" spans="12:65" x14ac:dyDescent="0.3">
      <c r="L4204" s="427">
        <v>4510853.9615000002</v>
      </c>
      <c r="BE4204" s="477">
        <v>3371428.3069333159</v>
      </c>
      <c r="BF4204" s="458">
        <v>5.7808374737367441E-2</v>
      </c>
      <c r="BG4204" s="477">
        <v>8628895.7328012027</v>
      </c>
      <c r="BH4204" s="458">
        <v>8.2029387086067995E-2</v>
      </c>
      <c r="BI4204" s="477">
        <v>23034354.068737753</v>
      </c>
      <c r="BJ4204" s="458">
        <v>0.129571240800882</v>
      </c>
      <c r="BK4204" s="477">
        <v>88555773.582725212</v>
      </c>
      <c r="BL4204" s="458">
        <v>0.31368173158420909</v>
      </c>
      <c r="BM4204" s="468">
        <v>5.0218569859418025</v>
      </c>
    </row>
    <row r="4205" spans="12:65" x14ac:dyDescent="0.3">
      <c r="L4205" s="427">
        <v>7297670.4798999997</v>
      </c>
      <c r="BE4205" s="477">
        <v>9180792.3244181406</v>
      </c>
      <c r="BF4205" s="458">
        <v>5.9452953817984433E-2</v>
      </c>
      <c r="BG4205" s="477">
        <v>11375968.208297141</v>
      </c>
      <c r="BH4205" s="458">
        <v>6.9012147949954361E-2</v>
      </c>
      <c r="BI4205" s="477">
        <v>16550450.31486471</v>
      </c>
      <c r="BJ4205" s="458">
        <v>0.13650181622136293</v>
      </c>
      <c r="BK4205" s="477">
        <v>82325574.09144716</v>
      </c>
      <c r="BL4205" s="458">
        <v>0.25162750984846638</v>
      </c>
      <c r="BM4205" s="468">
        <v>8.9621661097717418</v>
      </c>
    </row>
    <row r="4206" spans="12:65" x14ac:dyDescent="0.3">
      <c r="L4206" s="427">
        <v>3962635.4911000002</v>
      </c>
      <c r="BE4206" s="477">
        <v>5323285.0111640031</v>
      </c>
      <c r="BF4206" s="458">
        <v>4.0923129070358666E-2</v>
      </c>
      <c r="BG4206" s="477">
        <v>6457455.783655528</v>
      </c>
      <c r="BH4206" s="458">
        <v>8.2081343395107753E-2</v>
      </c>
      <c r="BI4206" s="477">
        <v>13263771.269020531</v>
      </c>
      <c r="BJ4206" s="458">
        <v>0.10140075909480828</v>
      </c>
      <c r="BK4206" s="477">
        <v>92410281.752492294</v>
      </c>
      <c r="BL4206" s="458">
        <v>0.28175000179837117</v>
      </c>
      <c r="BM4206" s="468">
        <v>8.9112905420597635</v>
      </c>
    </row>
    <row r="4207" spans="12:65" x14ac:dyDescent="0.3">
      <c r="L4207" s="427">
        <v>12571342.3848</v>
      </c>
      <c r="BE4207" s="477">
        <v>5350564.5655069919</v>
      </c>
      <c r="BF4207" s="458">
        <v>6.6509328808554757E-2</v>
      </c>
      <c r="BG4207" s="477">
        <v>12984087.134590877</v>
      </c>
      <c r="BH4207" s="458">
        <v>8.0546746888908283E-2</v>
      </c>
      <c r="BI4207" s="477">
        <v>11824107.156973772</v>
      </c>
      <c r="BJ4207" s="458">
        <v>0.11809414994285872</v>
      </c>
      <c r="BK4207" s="477">
        <v>84047406.838568419</v>
      </c>
      <c r="BL4207" s="458">
        <v>0.25900965003430043</v>
      </c>
      <c r="BM4207" s="468">
        <v>9.9949787693840673</v>
      </c>
    </row>
    <row r="4208" spans="12:65" x14ac:dyDescent="0.3">
      <c r="L4208" s="427">
        <v>20288393.755100001</v>
      </c>
      <c r="BE4208" s="477">
        <v>2954723.6542527354</v>
      </c>
      <c r="BF4208" s="458">
        <v>4.1971167648621188E-2</v>
      </c>
      <c r="BG4208" s="477">
        <v>5213154.8149411725</v>
      </c>
      <c r="BH4208" s="458">
        <v>7.4465761062956881E-2</v>
      </c>
      <c r="BI4208" s="477">
        <v>18736201.626931462</v>
      </c>
      <c r="BJ4208" s="458">
        <v>0.12814348774888984</v>
      </c>
      <c r="BK4208" s="477">
        <v>93366326.733278334</v>
      </c>
      <c r="BL4208" s="458">
        <v>0.26321281538123498</v>
      </c>
      <c r="BM4208" s="468">
        <v>9.2465593375440811</v>
      </c>
    </row>
    <row r="4209" spans="12:65" x14ac:dyDescent="0.3">
      <c r="L4209" s="427">
        <v>-8287880.0922999997</v>
      </c>
      <c r="BE4209" s="477">
        <v>9448623.0936472006</v>
      </c>
      <c r="BF4209" s="458">
        <v>3.1188412596046877E-2</v>
      </c>
      <c r="BG4209" s="477">
        <v>6861120.4264967619</v>
      </c>
      <c r="BH4209" s="458">
        <v>3.9751053227460309E-2</v>
      </c>
      <c r="BI4209" s="477">
        <v>19870573.787910718</v>
      </c>
      <c r="BJ4209" s="458">
        <v>9.5552872629264707E-2</v>
      </c>
      <c r="BK4209" s="477">
        <v>72059986.913699225</v>
      </c>
      <c r="BL4209" s="458">
        <v>0.28715203228092401</v>
      </c>
      <c r="BM4209" s="468">
        <v>14.469020559371859</v>
      </c>
    </row>
    <row r="4210" spans="12:65" x14ac:dyDescent="0.3">
      <c r="L4210" s="427">
        <v>12134085.2349</v>
      </c>
      <c r="BE4210" s="477">
        <v>6472206.9903801773</v>
      </c>
      <c r="BF4210" s="458">
        <v>6.1816452711566772E-2</v>
      </c>
      <c r="BG4210" s="477">
        <v>7167802.2441884717</v>
      </c>
      <c r="BH4210" s="458">
        <v>5.6993115124930327E-2</v>
      </c>
      <c r="BI4210" s="477">
        <v>18120762.422130331</v>
      </c>
      <c r="BJ4210" s="458">
        <v>9.7161136877883747E-2</v>
      </c>
      <c r="BK4210" s="477">
        <v>98255182.156563237</v>
      </c>
      <c r="BL4210" s="458">
        <v>0.25439900884409727</v>
      </c>
      <c r="BM4210" s="468">
        <v>6.0602938438651037</v>
      </c>
    </row>
    <row r="4211" spans="12:65" x14ac:dyDescent="0.3">
      <c r="L4211" s="427">
        <v>-83041.600099999996</v>
      </c>
      <c r="BE4211" s="477">
        <v>1752683.5356004774</v>
      </c>
      <c r="BF4211" s="458">
        <v>6.5285593875534564E-2</v>
      </c>
      <c r="BG4211" s="477">
        <v>13302323.394066922</v>
      </c>
      <c r="BH4211" s="458">
        <v>6.8528585999333647E-2</v>
      </c>
      <c r="BI4211" s="477">
        <v>17593550.993088804</v>
      </c>
      <c r="BJ4211" s="458">
        <v>7.8259838395338344E-2</v>
      </c>
      <c r="BK4211" s="477">
        <v>90880206.342818007</v>
      </c>
      <c r="BL4211" s="458">
        <v>0.29096106243005604</v>
      </c>
      <c r="BM4211" s="468">
        <v>8.9690223067514232</v>
      </c>
    </row>
    <row r="4212" spans="12:65" x14ac:dyDescent="0.3">
      <c r="L4212" s="427">
        <v>8423425.4355999995</v>
      </c>
      <c r="BE4212" s="477">
        <v>1932868.4839643752</v>
      </c>
      <c r="BF4212" s="458">
        <v>5.3739194048529004E-2</v>
      </c>
      <c r="BG4212" s="477">
        <v>11910562.952175556</v>
      </c>
      <c r="BH4212" s="458">
        <v>8.6022612946980992E-2</v>
      </c>
      <c r="BI4212" s="477">
        <v>12997736.120236225</v>
      </c>
      <c r="BJ4212" s="458">
        <v>0.10386129359287266</v>
      </c>
      <c r="BK4212" s="477">
        <v>87896509.343361184</v>
      </c>
      <c r="BL4212" s="458">
        <v>0.28649666621872849</v>
      </c>
      <c r="BM4212" s="468">
        <v>11.865994284768476</v>
      </c>
    </row>
    <row r="4213" spans="12:65" x14ac:dyDescent="0.3">
      <c r="L4213" s="427">
        <v>6467052.0848000003</v>
      </c>
      <c r="BE4213" s="477">
        <v>4804594.3125502979</v>
      </c>
      <c r="BF4213" s="458">
        <v>4.1751755412583469E-2</v>
      </c>
      <c r="BG4213" s="477">
        <v>6067647.7848860687</v>
      </c>
      <c r="BH4213" s="458">
        <v>4.6530940214810634E-2</v>
      </c>
      <c r="BI4213" s="477">
        <v>15581668.866234815</v>
      </c>
      <c r="BJ4213" s="458">
        <v>0.10027747597578407</v>
      </c>
      <c r="BK4213" s="477">
        <v>92076376.209997103</v>
      </c>
      <c r="BL4213" s="458">
        <v>0.26517030066992353</v>
      </c>
      <c r="BM4213" s="468">
        <v>13.786950732244609</v>
      </c>
    </row>
    <row r="4214" spans="12:65" x14ac:dyDescent="0.3">
      <c r="L4214" s="427">
        <v>16889941.670699999</v>
      </c>
      <c r="BE4214" s="477">
        <v>4653569.5077403551</v>
      </c>
      <c r="BF4214" s="458">
        <v>9.8232657926811573E-2</v>
      </c>
      <c r="BG4214" s="477">
        <v>12777248.654781446</v>
      </c>
      <c r="BH4214" s="458">
        <v>6.4554265593927518E-2</v>
      </c>
      <c r="BI4214" s="477">
        <v>13838379.220600499</v>
      </c>
      <c r="BJ4214" s="458">
        <v>0.11915033997521096</v>
      </c>
      <c r="BK4214" s="477">
        <v>96353160.571718544</v>
      </c>
      <c r="BL4214" s="458">
        <v>0.25439247527574116</v>
      </c>
      <c r="BM4214" s="468">
        <v>9.033869925027755</v>
      </c>
    </row>
    <row r="4215" spans="12:65" x14ac:dyDescent="0.3">
      <c r="L4215" s="427">
        <v>-5709149.9085999997</v>
      </c>
      <c r="BE4215" s="477">
        <v>7335726.075253468</v>
      </c>
      <c r="BF4215" s="458">
        <v>5.6331501152166785E-2</v>
      </c>
      <c r="BG4215" s="477">
        <v>1146606.045383597</v>
      </c>
      <c r="BH4215" s="458">
        <v>7.4716392465969728E-2</v>
      </c>
      <c r="BI4215" s="477">
        <v>15244964.360992629</v>
      </c>
      <c r="BJ4215" s="458">
        <v>0.12647012329791574</v>
      </c>
      <c r="BK4215" s="477">
        <v>89845883.617947832</v>
      </c>
      <c r="BL4215" s="458">
        <v>0.25883738698454417</v>
      </c>
      <c r="BM4215" s="468">
        <v>2.324359898719746</v>
      </c>
    </row>
    <row r="4216" spans="12:65" x14ac:dyDescent="0.3">
      <c r="L4216" s="427">
        <v>-9931253.9171999991</v>
      </c>
      <c r="BE4216" s="477">
        <v>5835054.3214612044</v>
      </c>
      <c r="BF4216" s="458">
        <v>4.5727225785540115E-2</v>
      </c>
      <c r="BG4216" s="477">
        <v>6131467.8446374303</v>
      </c>
      <c r="BH4216" s="458">
        <v>7.7489618714235098E-2</v>
      </c>
      <c r="BI4216" s="477">
        <v>19847482.164613102</v>
      </c>
      <c r="BJ4216" s="458">
        <v>9.0315257492685985E-2</v>
      </c>
      <c r="BK4216" s="477">
        <v>82641083.192553639</v>
      </c>
      <c r="BL4216" s="458">
        <v>0.2607878237397121</v>
      </c>
      <c r="BM4216" s="468">
        <v>8.1832200273597966</v>
      </c>
    </row>
    <row r="4217" spans="12:65" x14ac:dyDescent="0.3">
      <c r="L4217" s="427">
        <v>23446006.397399999</v>
      </c>
      <c r="BE4217" s="477">
        <v>732907.10417779989</v>
      </c>
      <c r="BF4217" s="458">
        <v>5.7046994620651104E-2</v>
      </c>
      <c r="BG4217" s="477">
        <v>7016070.0950037166</v>
      </c>
      <c r="BH4217" s="458">
        <v>3.5320337285957626E-2</v>
      </c>
      <c r="BI4217" s="477">
        <v>6709649.9210698167</v>
      </c>
      <c r="BJ4217" s="458">
        <v>0.13455705144092622</v>
      </c>
      <c r="BK4217" s="477">
        <v>90472071.760111943</v>
      </c>
      <c r="BL4217" s="458">
        <v>0.25718782984389077</v>
      </c>
      <c r="BM4217" s="468">
        <v>11.11707780297543</v>
      </c>
    </row>
    <row r="4218" spans="12:65" x14ac:dyDescent="0.3">
      <c r="L4218" s="427">
        <v>9671983.4801000003</v>
      </c>
      <c r="BE4218" s="477">
        <v>5906418.9050147487</v>
      </c>
      <c r="BF4218" s="458">
        <v>4.5643128218397111E-2</v>
      </c>
      <c r="BG4218" s="477">
        <v>14092692.938366696</v>
      </c>
      <c r="BH4218" s="458">
        <v>0.12574765773489149</v>
      </c>
      <c r="BI4218" s="477">
        <v>18040681.490051631</v>
      </c>
      <c r="BJ4218" s="458">
        <v>0.10499050140829369</v>
      </c>
      <c r="BK4218" s="477">
        <v>86506560.265193492</v>
      </c>
      <c r="BL4218" s="458">
        <v>0.27839612849376749</v>
      </c>
      <c r="BM4218" s="468">
        <v>6.9010332543540169</v>
      </c>
    </row>
    <row r="4219" spans="12:65" x14ac:dyDescent="0.3">
      <c r="L4219" s="427">
        <v>1725485.7382</v>
      </c>
      <c r="BE4219" s="477">
        <v>4036899.1836031498</v>
      </c>
      <c r="BF4219" s="458">
        <v>4.7978830707876563E-2</v>
      </c>
      <c r="BG4219" s="477">
        <v>5422608.6464486849</v>
      </c>
      <c r="BH4219" s="458">
        <v>6.7987903033669861E-2</v>
      </c>
      <c r="BI4219" s="477">
        <v>27196089.488354623</v>
      </c>
      <c r="BJ4219" s="458">
        <v>7.9942244736898038E-2</v>
      </c>
      <c r="BK4219" s="477">
        <v>103358689.93845873</v>
      </c>
      <c r="BL4219" s="458">
        <v>0.25543928279047612</v>
      </c>
      <c r="BM4219" s="468">
        <v>4.3898268690943629</v>
      </c>
    </row>
    <row r="4220" spans="12:65" x14ac:dyDescent="0.3">
      <c r="L4220" s="427">
        <v>11903136.632999999</v>
      </c>
      <c r="BE4220" s="477">
        <v>-147850.39615684867</v>
      </c>
      <c r="BF4220" s="458">
        <v>5.459322479033335E-2</v>
      </c>
      <c r="BG4220" s="477">
        <v>4980135.5013429224</v>
      </c>
      <c r="BH4220" s="458">
        <v>9.9975849242969206E-2</v>
      </c>
      <c r="BI4220" s="477">
        <v>16777961.479363732</v>
      </c>
      <c r="BJ4220" s="458">
        <v>0.10901289462095787</v>
      </c>
      <c r="BK4220" s="477">
        <v>95381731.336706296</v>
      </c>
      <c r="BL4220" s="458">
        <v>0.25375826355848519</v>
      </c>
      <c r="BM4220" s="468">
        <v>17.763588563542832</v>
      </c>
    </row>
    <row r="4221" spans="12:65" x14ac:dyDescent="0.3">
      <c r="L4221" s="427">
        <v>4658762.4293999998</v>
      </c>
      <c r="BE4221" s="477">
        <v>7599007.5094938837</v>
      </c>
      <c r="BF4221" s="458">
        <v>3.5763199428604953E-2</v>
      </c>
      <c r="BG4221" s="477">
        <v>11535266.196374077</v>
      </c>
      <c r="BH4221" s="458">
        <v>6.6323700291022636E-2</v>
      </c>
      <c r="BI4221" s="477">
        <v>16477483.498871846</v>
      </c>
      <c r="BJ4221" s="458">
        <v>0.1195036224449868</v>
      </c>
      <c r="BK4221" s="477">
        <v>89413274.88215217</v>
      </c>
      <c r="BL4221" s="458">
        <v>0.28130349512519381</v>
      </c>
      <c r="BM4221" s="468">
        <v>12.749648095152228</v>
      </c>
    </row>
    <row r="4222" spans="12:65" x14ac:dyDescent="0.3">
      <c r="L4222" s="427">
        <v>16127890.550899999</v>
      </c>
      <c r="BE4222" s="477">
        <v>2970465.2832155176</v>
      </c>
      <c r="BF4222" s="458">
        <v>3.8248346722122406E-2</v>
      </c>
      <c r="BG4222" s="477">
        <v>6376051.6742593972</v>
      </c>
      <c r="BH4222" s="458">
        <v>6.6552386519982187E-2</v>
      </c>
      <c r="BI4222" s="477">
        <v>13752201.214807518</v>
      </c>
      <c r="BJ4222" s="458">
        <v>9.3934686829626912E-2</v>
      </c>
      <c r="BK4222" s="477">
        <v>94763676.524253994</v>
      </c>
      <c r="BL4222" s="458">
        <v>0.25565919425599648</v>
      </c>
      <c r="BM4222" s="468">
        <v>6.5888223877190333</v>
      </c>
    </row>
    <row r="4223" spans="12:65" x14ac:dyDescent="0.3">
      <c r="L4223" s="427">
        <v>25209641.5295</v>
      </c>
      <c r="BE4223" s="477">
        <v>3746779.3315973231</v>
      </c>
      <c r="BF4223" s="458">
        <v>4.6695821146552241E-2</v>
      </c>
      <c r="BG4223" s="477">
        <v>8785196.1352931876</v>
      </c>
      <c r="BH4223" s="458">
        <v>8.8757223923933593E-2</v>
      </c>
      <c r="BI4223" s="477">
        <v>15366172.830409138</v>
      </c>
      <c r="BJ4223" s="458">
        <v>9.535319346304183E-2</v>
      </c>
      <c r="BK4223" s="477">
        <v>105133240.9610575</v>
      </c>
      <c r="BL4223" s="458">
        <v>0.25703688565466942</v>
      </c>
      <c r="BM4223" s="468">
        <v>7.4168934217561153</v>
      </c>
    </row>
    <row r="4224" spans="12:65" x14ac:dyDescent="0.3">
      <c r="L4224" s="427">
        <v>-19132321.585099999</v>
      </c>
      <c r="BE4224" s="477">
        <v>2663556.6758858063</v>
      </c>
      <c r="BF4224" s="458">
        <v>3.5071997390954568E-2</v>
      </c>
      <c r="BG4224" s="477">
        <v>10249214.688262377</v>
      </c>
      <c r="BH4224" s="458">
        <v>9.0027885523274565E-2</v>
      </c>
      <c r="BI4224" s="477">
        <v>16706257.746399229</v>
      </c>
      <c r="BJ4224" s="458">
        <v>0.11647133403039622</v>
      </c>
      <c r="BK4224" s="477">
        <v>91524091.518590599</v>
      </c>
      <c r="BL4224" s="458">
        <v>0.26190239007938443</v>
      </c>
      <c r="BM4224" s="468">
        <v>16.84270184188717</v>
      </c>
    </row>
    <row r="4225" spans="12:65" x14ac:dyDescent="0.3">
      <c r="L4225" s="427">
        <v>5106233.9479999999</v>
      </c>
      <c r="BE4225" s="477">
        <v>4789856.8649461428</v>
      </c>
      <c r="BF4225" s="458">
        <v>4.1988243994956154E-2</v>
      </c>
      <c r="BG4225" s="477">
        <v>12929487.110233923</v>
      </c>
      <c r="BH4225" s="458">
        <v>7.926358067816075E-2</v>
      </c>
      <c r="BI4225" s="477">
        <v>15848536.792658582</v>
      </c>
      <c r="BJ4225" s="458">
        <v>0.13237256823609145</v>
      </c>
      <c r="BK4225" s="477">
        <v>84856436.426181316</v>
      </c>
      <c r="BL4225" s="458">
        <v>0.2658611644978417</v>
      </c>
      <c r="BM4225" s="468">
        <v>10.444837535699829</v>
      </c>
    </row>
    <row r="4226" spans="12:65" x14ac:dyDescent="0.3">
      <c r="L4226" s="427">
        <v>14258752.8862</v>
      </c>
      <c r="BE4226" s="477">
        <v>618732.17923883395</v>
      </c>
      <c r="BF4226" s="458">
        <v>4.4271270345658476E-2</v>
      </c>
      <c r="BG4226" s="477">
        <v>3333635.7965927431</v>
      </c>
      <c r="BH4226" s="458">
        <v>5.5279354928189806E-2</v>
      </c>
      <c r="BI4226" s="477">
        <v>14370361.943971936</v>
      </c>
      <c r="BJ4226" s="458">
        <v>0.11137493007838106</v>
      </c>
      <c r="BK4226" s="477">
        <v>101070855.54733171</v>
      </c>
      <c r="BL4226" s="458">
        <v>0.2693206813117226</v>
      </c>
      <c r="BM4226" s="468">
        <v>12.493862712507925</v>
      </c>
    </row>
    <row r="4227" spans="12:65" x14ac:dyDescent="0.3">
      <c r="L4227" s="427">
        <v>-3802439.4504</v>
      </c>
      <c r="BE4227" s="477">
        <v>8204007.5232117893</v>
      </c>
      <c r="BF4227" s="458">
        <v>3.9878134108968899E-2</v>
      </c>
      <c r="BG4227" s="477">
        <v>14744086.2147025</v>
      </c>
      <c r="BH4227" s="458">
        <v>4.6101226936795081E-2</v>
      </c>
      <c r="BI4227" s="477">
        <v>15274851.113630958</v>
      </c>
      <c r="BJ4227" s="458">
        <v>0.13682845050225212</v>
      </c>
      <c r="BK4227" s="477">
        <v>98155514.639327481</v>
      </c>
      <c r="BL4227" s="458">
        <v>0.26306335965264327</v>
      </c>
      <c r="BM4227" s="468">
        <v>8.3528481043032823</v>
      </c>
    </row>
    <row r="4228" spans="12:65" x14ac:dyDescent="0.3">
      <c r="L4228" s="427">
        <v>8758145.7280999999</v>
      </c>
      <c r="BE4228" s="477">
        <v>3161759.4887527116</v>
      </c>
      <c r="BF4228" s="458">
        <v>3.6043691708758763E-2</v>
      </c>
      <c r="BG4228" s="477">
        <v>-2561790.9900947441</v>
      </c>
      <c r="BH4228" s="458">
        <v>5.040640705038868E-2</v>
      </c>
      <c r="BI4228" s="477">
        <v>19903998.020608362</v>
      </c>
      <c r="BJ4228" s="458">
        <v>0.11601133171549205</v>
      </c>
      <c r="BK4228" s="477">
        <v>92332166.763037443</v>
      </c>
      <c r="BL4228" s="458">
        <v>0.25476957064664663</v>
      </c>
      <c r="BM4228" s="468">
        <v>12.520500488483044</v>
      </c>
    </row>
    <row r="4229" spans="12:65" x14ac:dyDescent="0.3">
      <c r="L4229" s="427">
        <v>5675547.4430999998</v>
      </c>
      <c r="BE4229" s="477">
        <v>8751780.3852473069</v>
      </c>
      <c r="BF4229" s="458">
        <v>4.6710426161333807E-2</v>
      </c>
      <c r="BG4229" s="477">
        <v>7672926.1168504013</v>
      </c>
      <c r="BH4229" s="458">
        <v>7.1848976468398718E-2</v>
      </c>
      <c r="BI4229" s="477">
        <v>14309310.482816519</v>
      </c>
      <c r="BJ4229" s="458">
        <v>0.10307423315552966</v>
      </c>
      <c r="BK4229" s="477">
        <v>84451117.934516892</v>
      </c>
      <c r="BL4229" s="458">
        <v>0.26963853404789551</v>
      </c>
      <c r="BM4229" s="468">
        <v>10.946753149178395</v>
      </c>
    </row>
    <row r="4230" spans="12:65" x14ac:dyDescent="0.3">
      <c r="L4230" s="427">
        <v>6422327.7558000004</v>
      </c>
      <c r="BE4230" s="477">
        <v>2837257.6616224307</v>
      </c>
      <c r="BF4230" s="458">
        <v>3.8278250007148351E-2</v>
      </c>
      <c r="BG4230" s="477">
        <v>10216569.391192814</v>
      </c>
      <c r="BH4230" s="458">
        <v>7.5697469042553589E-2</v>
      </c>
      <c r="BI4230" s="477">
        <v>21707155.868431423</v>
      </c>
      <c r="BJ4230" s="458">
        <v>9.6958022447758641E-2</v>
      </c>
      <c r="BK4230" s="477">
        <v>75609310.931350887</v>
      </c>
      <c r="BL4230" s="458">
        <v>0.26898772521343717</v>
      </c>
      <c r="BM4230" s="468">
        <v>9.3229067325813091</v>
      </c>
    </row>
    <row r="4231" spans="12:65" x14ac:dyDescent="0.3">
      <c r="L4231" s="427">
        <v>10771758.113500001</v>
      </c>
      <c r="BE4231" s="477">
        <v>5126777.7777820369</v>
      </c>
      <c r="BF4231" s="458">
        <v>2.5617013649645859E-3</v>
      </c>
      <c r="BG4231" s="477">
        <v>6347211.5052392064</v>
      </c>
      <c r="BH4231" s="458">
        <v>6.8768095581656752E-2</v>
      </c>
      <c r="BI4231" s="477">
        <v>19173892.570319597</v>
      </c>
      <c r="BJ4231" s="458">
        <v>9.128880107940196E-2</v>
      </c>
      <c r="BK4231" s="477">
        <v>92351148.746649966</v>
      </c>
      <c r="BL4231" s="458">
        <v>0.26187190125214155</v>
      </c>
      <c r="BM4231" s="468">
        <v>9.4443252039913439</v>
      </c>
    </row>
    <row r="4232" spans="12:65" x14ac:dyDescent="0.3">
      <c r="L4232" s="427">
        <v>29948877.987599999</v>
      </c>
      <c r="BE4232" s="477">
        <v>4545336.282147862</v>
      </c>
      <c r="BF4232" s="458">
        <v>6.5237687150306201E-2</v>
      </c>
      <c r="BG4232" s="477">
        <v>3835741.4084462165</v>
      </c>
      <c r="BH4232" s="458">
        <v>8.3760060197821673E-2</v>
      </c>
      <c r="BI4232" s="477">
        <v>13297470.861039</v>
      </c>
      <c r="BJ4232" s="458">
        <v>0.14921071391625262</v>
      </c>
      <c r="BK4232" s="477">
        <v>90367971.558653921</v>
      </c>
      <c r="BL4232" s="458">
        <v>0.25899055264751292</v>
      </c>
      <c r="BM4232" s="468">
        <v>10.350323886953689</v>
      </c>
    </row>
    <row r="4233" spans="12:65" x14ac:dyDescent="0.3">
      <c r="L4233" s="427">
        <v>14037509.8629</v>
      </c>
      <c r="BE4233" s="477">
        <v>4361529.2181293927</v>
      </c>
      <c r="BF4233" s="458">
        <v>6.9433408671542463E-2</v>
      </c>
      <c r="BG4233" s="477">
        <v>8223161.8465663083</v>
      </c>
      <c r="BH4233" s="458">
        <v>9.3026555221093377E-2</v>
      </c>
      <c r="BI4233" s="477">
        <v>15319973.493223717</v>
      </c>
      <c r="BJ4233" s="458">
        <v>0.10759534098611701</v>
      </c>
      <c r="BK4233" s="477">
        <v>79480458.715272814</v>
      </c>
      <c r="BL4233" s="458">
        <v>0.26160496938114863</v>
      </c>
      <c r="BM4233" s="468">
        <v>10.840617211714843</v>
      </c>
    </row>
    <row r="4234" spans="12:65" x14ac:dyDescent="0.3">
      <c r="L4234" s="427">
        <v>3789398.8881999999</v>
      </c>
      <c r="BE4234" s="477">
        <v>989505.57955486281</v>
      </c>
      <c r="BF4234" s="458">
        <v>4.6786209405065726E-2</v>
      </c>
      <c r="BG4234" s="477">
        <v>6772652.7149660978</v>
      </c>
      <c r="BH4234" s="458">
        <v>7.6351823046339584E-2</v>
      </c>
      <c r="BI4234" s="477">
        <v>19381069.037703235</v>
      </c>
      <c r="BJ4234" s="458">
        <v>0.10231131637707791</v>
      </c>
      <c r="BK4234" s="477">
        <v>82266744.861563787</v>
      </c>
      <c r="BL4234" s="458">
        <v>0.28154278282299283</v>
      </c>
      <c r="BM4234" s="468">
        <v>9.0317967433280586</v>
      </c>
    </row>
    <row r="4235" spans="12:65" x14ac:dyDescent="0.3">
      <c r="L4235" s="427">
        <v>11336344.739499999</v>
      </c>
      <c r="BE4235" s="477">
        <v>5015361.0746624051</v>
      </c>
      <c r="BF4235" s="458">
        <v>4.13152275118156E-2</v>
      </c>
      <c r="BG4235" s="477">
        <v>9743559.3495695125</v>
      </c>
      <c r="BH4235" s="458">
        <v>7.1557038763206515E-2</v>
      </c>
      <c r="BI4235" s="477">
        <v>26129936.622900069</v>
      </c>
      <c r="BJ4235" s="458">
        <v>0.12424507585150746</v>
      </c>
      <c r="BK4235" s="477">
        <v>91574258.981250972</v>
      </c>
      <c r="BL4235" s="458">
        <v>0.25333389177768773</v>
      </c>
      <c r="BM4235" s="468">
        <v>9.0433812464597185</v>
      </c>
    </row>
    <row r="4236" spans="12:65" x14ac:dyDescent="0.3">
      <c r="L4236" s="427">
        <v>16847542.522100002</v>
      </c>
      <c r="BE4236" s="477">
        <v>4153093.4380949219</v>
      </c>
      <c r="BF4236" s="458">
        <v>3.8571163808717834E-2</v>
      </c>
      <c r="BG4236" s="477">
        <v>13206534.309700288</v>
      </c>
      <c r="BH4236" s="458">
        <v>6.4871541900757279E-2</v>
      </c>
      <c r="BI4236" s="477">
        <v>9409355.0404976942</v>
      </c>
      <c r="BJ4236" s="458">
        <v>0.10305326130015824</v>
      </c>
      <c r="BK4236" s="477">
        <v>95758251.920475245</v>
      </c>
      <c r="BL4236" s="458">
        <v>0.25940968105753193</v>
      </c>
      <c r="BM4236" s="468">
        <v>7.2822797014026168</v>
      </c>
    </row>
    <row r="4237" spans="12:65" x14ac:dyDescent="0.3">
      <c r="L4237" s="427">
        <v>18953468.5064</v>
      </c>
      <c r="BE4237" s="477">
        <v>7018777.741282803</v>
      </c>
      <c r="BF4237" s="458">
        <v>4.1201427238749089E-2</v>
      </c>
      <c r="BG4237" s="477">
        <v>8283749.7095170245</v>
      </c>
      <c r="BH4237" s="458">
        <v>7.2741439419522047E-2</v>
      </c>
      <c r="BI4237" s="477">
        <v>15204533.405741788</v>
      </c>
      <c r="BJ4237" s="458">
        <v>9.9823178834169246E-2</v>
      </c>
      <c r="BK4237" s="477">
        <v>92289746.612411723</v>
      </c>
      <c r="BL4237" s="458">
        <v>0.25553769320495356</v>
      </c>
      <c r="BM4237" s="468">
        <v>9.4325065447532772</v>
      </c>
    </row>
    <row r="4238" spans="12:65" x14ac:dyDescent="0.3">
      <c r="L4238" s="427">
        <v>14473514.5847</v>
      </c>
      <c r="BE4238" s="477">
        <v>7969636.3671645289</v>
      </c>
      <c r="BF4238" s="458">
        <v>5.2686421074532364E-2</v>
      </c>
      <c r="BG4238" s="477">
        <v>6614131.0796719398</v>
      </c>
      <c r="BH4238" s="458">
        <v>6.2364162917897925E-2</v>
      </c>
      <c r="BI4238" s="477">
        <v>15210790.617379116</v>
      </c>
      <c r="BJ4238" s="458">
        <v>8.9018125081655075E-2</v>
      </c>
      <c r="BK4238" s="477">
        <v>102888707.23074479</v>
      </c>
      <c r="BL4238" s="458">
        <v>0.25637861323166922</v>
      </c>
      <c r="BM4238" s="468">
        <v>8.1126474402302424</v>
      </c>
    </row>
    <row r="4239" spans="12:65" x14ac:dyDescent="0.3">
      <c r="L4239" s="427">
        <v>16336300.3386</v>
      </c>
      <c r="BE4239" s="477">
        <v>7385357.9027516469</v>
      </c>
      <c r="BF4239" s="458">
        <v>3.6768672000572877E-2</v>
      </c>
      <c r="BG4239" s="477">
        <v>9325514.4979705978</v>
      </c>
      <c r="BH4239" s="458">
        <v>8.9430340598422475E-2</v>
      </c>
      <c r="BI4239" s="477">
        <v>18031820.410738092</v>
      </c>
      <c r="BJ4239" s="458">
        <v>9.65905543109844E-2</v>
      </c>
      <c r="BK4239" s="477">
        <v>89510195.682006627</v>
      </c>
      <c r="BL4239" s="458">
        <v>0.25517079105055318</v>
      </c>
      <c r="BM4239" s="468">
        <v>14.906691578398636</v>
      </c>
    </row>
    <row r="4240" spans="12:65" x14ac:dyDescent="0.3">
      <c r="L4240" s="427">
        <v>19242882.429699998</v>
      </c>
      <c r="BE4240" s="477">
        <v>560256.08338429907</v>
      </c>
      <c r="BF4240" s="458">
        <v>4.6641511059009488E-2</v>
      </c>
      <c r="BG4240" s="477">
        <v>3478422.7139586974</v>
      </c>
      <c r="BH4240" s="458">
        <v>7.7315544013414339E-2</v>
      </c>
      <c r="BI4240" s="477">
        <v>22748605.824982308</v>
      </c>
      <c r="BJ4240" s="458">
        <v>0.11797081737464854</v>
      </c>
      <c r="BK4240" s="477">
        <v>97490034.904873908</v>
      </c>
      <c r="BL4240" s="458">
        <v>0.26171480583237594</v>
      </c>
      <c r="BM4240" s="468">
        <v>11.645512930093179</v>
      </c>
    </row>
    <row r="4241" spans="12:65" x14ac:dyDescent="0.3">
      <c r="L4241" s="427">
        <v>7622029.1234999998</v>
      </c>
      <c r="BE4241" s="477">
        <v>1446920.0441629784</v>
      </c>
      <c r="BF4241" s="458">
        <v>3.2769320791171896E-2</v>
      </c>
      <c r="BG4241" s="477">
        <v>11866304.144756362</v>
      </c>
      <c r="BH4241" s="458">
        <v>7.9834029514656457E-2</v>
      </c>
      <c r="BI4241" s="477">
        <v>15907681.841362813</v>
      </c>
      <c r="BJ4241" s="458">
        <v>9.734274434503809E-2</v>
      </c>
      <c r="BK4241" s="477">
        <v>98439916.681341916</v>
      </c>
      <c r="BL4241" s="458">
        <v>0.26549498998727694</v>
      </c>
      <c r="BM4241" s="468">
        <v>5.8471475437264706</v>
      </c>
    </row>
    <row r="4242" spans="12:65" x14ac:dyDescent="0.3">
      <c r="L4242" s="427">
        <v>16557732.3254</v>
      </c>
      <c r="BE4242" s="477">
        <v>4512185.998731222</v>
      </c>
      <c r="BF4242" s="458">
        <v>6.1201683442006383E-2</v>
      </c>
      <c r="BG4242" s="477">
        <v>8521440.9053490944</v>
      </c>
      <c r="BH4242" s="458">
        <v>7.0454050030759552E-2</v>
      </c>
      <c r="BI4242" s="477">
        <v>4059717.982929504</v>
      </c>
      <c r="BJ4242" s="458">
        <v>0.11221017589124194</v>
      </c>
      <c r="BK4242" s="477">
        <v>92001460.743554324</v>
      </c>
      <c r="BL4242" s="458">
        <v>0.26538267044856978</v>
      </c>
      <c r="BM4242" s="468">
        <v>6.5954310995018508</v>
      </c>
    </row>
    <row r="4243" spans="12:65" x14ac:dyDescent="0.3">
      <c r="L4243" s="427">
        <v>18750684.633099999</v>
      </c>
      <c r="BE4243" s="477">
        <v>3166024.8625274054</v>
      </c>
      <c r="BF4243" s="458">
        <v>3.9650915114851193E-2</v>
      </c>
      <c r="BG4243" s="477">
        <v>6603677.6523634801</v>
      </c>
      <c r="BH4243" s="458">
        <v>4.5358798935931199E-2</v>
      </c>
      <c r="BI4243" s="477">
        <v>11487750.763255859</v>
      </c>
      <c r="BJ4243" s="458">
        <v>9.2677637744955854E-2</v>
      </c>
      <c r="BK4243" s="477">
        <v>81073937.282981291</v>
      </c>
      <c r="BL4243" s="458">
        <v>0.27205256573394543</v>
      </c>
      <c r="BM4243" s="468">
        <v>6.3865403097441691</v>
      </c>
    </row>
    <row r="4244" spans="12:65" x14ac:dyDescent="0.3">
      <c r="L4244" s="427">
        <v>7065097.6840000004</v>
      </c>
      <c r="BE4244" s="477">
        <v>6385339.160475838</v>
      </c>
      <c r="BF4244" s="458">
        <v>2.9106509664366342E-2</v>
      </c>
      <c r="BG4244" s="477">
        <v>13317370.915902842</v>
      </c>
      <c r="BH4244" s="458">
        <v>4.7682859828620749E-2</v>
      </c>
      <c r="BI4244" s="477">
        <v>16441176.300872434</v>
      </c>
      <c r="BJ4244" s="458">
        <v>0.10438312478458478</v>
      </c>
      <c r="BK4244" s="477">
        <v>90272442.773762777</v>
      </c>
      <c r="BL4244" s="458">
        <v>0.26146265350559239</v>
      </c>
      <c r="BM4244" s="468">
        <v>7.2676634556675319</v>
      </c>
    </row>
    <row r="4245" spans="12:65" x14ac:dyDescent="0.3">
      <c r="L4245" s="427">
        <v>12616440.299699999</v>
      </c>
      <c r="BE4245" s="477">
        <v>10094133.335151045</v>
      </c>
      <c r="BF4245" s="458">
        <v>3.675190436695952E-2</v>
      </c>
      <c r="BG4245" s="477">
        <v>2633518.3423520154</v>
      </c>
      <c r="BH4245" s="458">
        <v>5.8953980238320769E-2</v>
      </c>
      <c r="BI4245" s="477">
        <v>16002403.035922125</v>
      </c>
      <c r="BJ4245" s="458">
        <v>0.13649477058080794</v>
      </c>
      <c r="BK4245" s="477">
        <v>95582999.793948129</v>
      </c>
      <c r="BL4245" s="458">
        <v>0.26544679000996063</v>
      </c>
      <c r="BM4245" s="468">
        <v>10.660783321700601</v>
      </c>
    </row>
    <row r="4246" spans="12:65" x14ac:dyDescent="0.3">
      <c r="L4246" s="427">
        <v>1034531.1648</v>
      </c>
      <c r="BE4246" s="477">
        <v>2204001.1260642987</v>
      </c>
      <c r="BF4246" s="458">
        <v>4.6947911720886415E-2</v>
      </c>
      <c r="BG4246" s="477">
        <v>11080281.502018621</v>
      </c>
      <c r="BH4246" s="458">
        <v>5.5190967930150103E-2</v>
      </c>
      <c r="BI4246" s="477">
        <v>12801012.065500187</v>
      </c>
      <c r="BJ4246" s="458">
        <v>0.108190262242289</v>
      </c>
      <c r="BK4246" s="477">
        <v>97733638.145447865</v>
      </c>
      <c r="BL4246" s="458">
        <v>0.2985197571841951</v>
      </c>
      <c r="BM4246" s="468">
        <v>11.323172430033175</v>
      </c>
    </row>
    <row r="4247" spans="12:65" x14ac:dyDescent="0.3">
      <c r="L4247" s="427">
        <v>-6453404.7816000003</v>
      </c>
      <c r="BE4247" s="477">
        <v>9544536.3415337708</v>
      </c>
      <c r="BF4247" s="458">
        <v>2.6332593540898674E-2</v>
      </c>
      <c r="BG4247" s="477">
        <v>6910946.2309081173</v>
      </c>
      <c r="BH4247" s="458">
        <v>6.8099071718203952E-2</v>
      </c>
      <c r="BI4247" s="477">
        <v>20228879.035168536</v>
      </c>
      <c r="BJ4247" s="458">
        <v>0.103397266589762</v>
      </c>
      <c r="BK4247" s="477">
        <v>89747474.342895865</v>
      </c>
      <c r="BL4247" s="458">
        <v>0.27985869685118403</v>
      </c>
      <c r="BM4247" s="468">
        <v>13.743654201770873</v>
      </c>
    </row>
    <row r="4248" spans="12:65" x14ac:dyDescent="0.3">
      <c r="L4248" s="427">
        <v>11031286.7567</v>
      </c>
      <c r="BE4248" s="477">
        <v>6231147.038793222</v>
      </c>
      <c r="BF4248" s="458">
        <v>4.2227045949407405E-2</v>
      </c>
      <c r="BG4248" s="477">
        <v>10475768.396701491</v>
      </c>
      <c r="BH4248" s="458">
        <v>4.831717589493767E-2</v>
      </c>
      <c r="BI4248" s="477">
        <v>5599972.9621798266</v>
      </c>
      <c r="BJ4248" s="458">
        <v>0.11237922353582608</v>
      </c>
      <c r="BK4248" s="477">
        <v>80170609.682988405</v>
      </c>
      <c r="BL4248" s="458">
        <v>0.25506252859830347</v>
      </c>
      <c r="BM4248" s="468">
        <v>13.001295321632107</v>
      </c>
    </row>
    <row r="4249" spans="12:65" x14ac:dyDescent="0.3">
      <c r="L4249" s="427">
        <v>-4798473.7386999996</v>
      </c>
      <c r="BE4249" s="477">
        <v>6246089.6663831966</v>
      </c>
      <c r="BF4249" s="458">
        <v>3.2517223354519675E-2</v>
      </c>
      <c r="BG4249" s="477">
        <v>8421833.7200095095</v>
      </c>
      <c r="BH4249" s="458">
        <v>5.4417204669524599E-2</v>
      </c>
      <c r="BI4249" s="477">
        <v>14940323.673204174</v>
      </c>
      <c r="BJ4249" s="458">
        <v>9.4844372666575527E-2</v>
      </c>
      <c r="BK4249" s="477">
        <v>100560775.96933869</v>
      </c>
      <c r="BL4249" s="458">
        <v>0.27422178296479593</v>
      </c>
      <c r="BM4249" s="468">
        <v>10.42745620157752</v>
      </c>
    </row>
    <row r="4250" spans="12:65" x14ac:dyDescent="0.3">
      <c r="L4250" s="427">
        <v>1257409.0796999999</v>
      </c>
      <c r="BE4250" s="477">
        <v>8170258.4553359486</v>
      </c>
      <c r="BF4250" s="458">
        <v>4.6817537710323265E-2</v>
      </c>
      <c r="BG4250" s="477">
        <v>10132662.608418981</v>
      </c>
      <c r="BH4250" s="458">
        <v>6.4651227074369766E-2</v>
      </c>
      <c r="BI4250" s="477">
        <v>12901173.939412912</v>
      </c>
      <c r="BJ4250" s="458">
        <v>0.11683194747260317</v>
      </c>
      <c r="BK4250" s="477">
        <v>90334011.612694845</v>
      </c>
      <c r="BL4250" s="458">
        <v>0.25241501178194992</v>
      </c>
      <c r="BM4250" s="468">
        <v>14.118794935472707</v>
      </c>
    </row>
    <row r="4251" spans="12:65" x14ac:dyDescent="0.3">
      <c r="L4251" s="427">
        <v>729419.7182</v>
      </c>
      <c r="BE4251" s="477">
        <v>3442647.2229909007</v>
      </c>
      <c r="BF4251" s="458">
        <v>3.2724466818226272E-2</v>
      </c>
      <c r="BG4251" s="477">
        <v>13520196.300392924</v>
      </c>
      <c r="BH4251" s="458">
        <v>6.3834666061230783E-2</v>
      </c>
      <c r="BI4251" s="477">
        <v>17641710.22834174</v>
      </c>
      <c r="BJ4251" s="458">
        <v>0.10966972462903102</v>
      </c>
      <c r="BK4251" s="477">
        <v>82746175.631070256</v>
      </c>
      <c r="BL4251" s="458">
        <v>0.25214305803579018</v>
      </c>
      <c r="BM4251" s="468">
        <v>10.408102529043987</v>
      </c>
    </row>
    <row r="4252" spans="12:65" x14ac:dyDescent="0.3">
      <c r="L4252" s="427">
        <v>9175396.8706999999</v>
      </c>
      <c r="BE4252" s="477">
        <v>6766158.2744469466</v>
      </c>
      <c r="BF4252" s="458">
        <v>4.2533255424472172E-2</v>
      </c>
      <c r="BG4252" s="477">
        <v>4179016.5918858605</v>
      </c>
      <c r="BH4252" s="458">
        <v>5.489293315959487E-2</v>
      </c>
      <c r="BI4252" s="477">
        <v>22321970.359450515</v>
      </c>
      <c r="BJ4252" s="458">
        <v>0.1002838014435381</v>
      </c>
      <c r="BK4252" s="477">
        <v>98200534.877779379</v>
      </c>
      <c r="BL4252" s="458">
        <v>0.27059248149886539</v>
      </c>
      <c r="BM4252" s="468">
        <v>14.220629945825326</v>
      </c>
    </row>
    <row r="4253" spans="12:65" x14ac:dyDescent="0.3">
      <c r="L4253" s="427">
        <v>4807310.7715999996</v>
      </c>
      <c r="BE4253" s="477">
        <v>6249748.9666767763</v>
      </c>
      <c r="BF4253" s="458">
        <v>3.5889837422016901E-2</v>
      </c>
      <c r="BG4253" s="477">
        <v>11027990.374625824</v>
      </c>
      <c r="BH4253" s="458">
        <v>7.4066319197642949E-2</v>
      </c>
      <c r="BI4253" s="477">
        <v>19482794.827163741</v>
      </c>
      <c r="BJ4253" s="458">
        <v>0.12535715601704944</v>
      </c>
      <c r="BK4253" s="477">
        <v>97945171.009028241</v>
      </c>
      <c r="BL4253" s="458">
        <v>0.29712820848667176</v>
      </c>
      <c r="BM4253" s="468">
        <v>6.7743721915929331</v>
      </c>
    </row>
    <row r="4254" spans="12:65" x14ac:dyDescent="0.3">
      <c r="L4254" s="427">
        <v>9128303.5855</v>
      </c>
      <c r="BE4254" s="477">
        <v>7114074.1065326668</v>
      </c>
      <c r="BF4254" s="458">
        <v>3.7120205697146691E-2</v>
      </c>
      <c r="BG4254" s="477">
        <v>5810736.8398233503</v>
      </c>
      <c r="BH4254" s="458">
        <v>8.9128546533151498E-2</v>
      </c>
      <c r="BI4254" s="477">
        <v>15019653.700775554</v>
      </c>
      <c r="BJ4254" s="458">
        <v>0.10998084906619576</v>
      </c>
      <c r="BK4254" s="477">
        <v>96623399.509939164</v>
      </c>
      <c r="BL4254" s="458">
        <v>0.26232735204289392</v>
      </c>
      <c r="BM4254" s="468">
        <v>6.4371011682981987</v>
      </c>
    </row>
    <row r="4255" spans="12:65" x14ac:dyDescent="0.3">
      <c r="L4255" s="427">
        <v>-3197651.7625000002</v>
      </c>
      <c r="BE4255" s="477">
        <v>4814836.7735007759</v>
      </c>
      <c r="BF4255" s="458">
        <v>2.5811664556765646E-2</v>
      </c>
      <c r="BG4255" s="477">
        <v>9469744.945228871</v>
      </c>
      <c r="BH4255" s="458">
        <v>5.4513876267339167E-2</v>
      </c>
      <c r="BI4255" s="477">
        <v>15600105.679641409</v>
      </c>
      <c r="BJ4255" s="458">
        <v>0.1224920312267932</v>
      </c>
      <c r="BK4255" s="477">
        <v>93023692.263120919</v>
      </c>
      <c r="BL4255" s="458">
        <v>0.25860141089910904</v>
      </c>
      <c r="BM4255" s="468">
        <v>7.5615901529441931</v>
      </c>
    </row>
    <row r="4256" spans="12:65" x14ac:dyDescent="0.3">
      <c r="L4256" s="427">
        <v>9017260.7489</v>
      </c>
      <c r="BE4256" s="477">
        <v>3836559.6616145629</v>
      </c>
      <c r="BF4256" s="458">
        <v>4.9434681080132936E-2</v>
      </c>
      <c r="BG4256" s="477">
        <v>13713751.23769724</v>
      </c>
      <c r="BH4256" s="458">
        <v>8.5826344837273139E-2</v>
      </c>
      <c r="BI4256" s="477">
        <v>19326230.174164005</v>
      </c>
      <c r="BJ4256" s="458">
        <v>9.4896243379975376E-2</v>
      </c>
      <c r="BK4256" s="477">
        <v>96676388.004625872</v>
      </c>
      <c r="BL4256" s="458">
        <v>0.24052491118130304</v>
      </c>
      <c r="BM4256" s="468">
        <v>12.956286530449688</v>
      </c>
    </row>
    <row r="4257" spans="12:65" x14ac:dyDescent="0.3">
      <c r="L4257" s="427">
        <v>-5684037.2876000004</v>
      </c>
      <c r="BE4257" s="477">
        <v>2851605.8851381349</v>
      </c>
      <c r="BF4257" s="458">
        <v>3.2077089470283981E-2</v>
      </c>
      <c r="BG4257" s="477">
        <v>13493594.942646539</v>
      </c>
      <c r="BH4257" s="458">
        <v>7.0495003432889947E-2</v>
      </c>
      <c r="BI4257" s="477">
        <v>13130046.991803287</v>
      </c>
      <c r="BJ4257" s="458">
        <v>0.10685765981229345</v>
      </c>
      <c r="BK4257" s="477">
        <v>93832912.221057892</v>
      </c>
      <c r="BL4257" s="458">
        <v>0.26138229574895</v>
      </c>
      <c r="BM4257" s="468">
        <v>6.6088375099292387</v>
      </c>
    </row>
    <row r="4258" spans="12:65" x14ac:dyDescent="0.3">
      <c r="L4258" s="427">
        <v>6299729.4972999999</v>
      </c>
      <c r="BE4258" s="477">
        <v>-281253.96069156588</v>
      </c>
      <c r="BF4258" s="458">
        <v>4.1458386126268287E-2</v>
      </c>
      <c r="BG4258" s="477">
        <v>3977176.6822788878</v>
      </c>
      <c r="BH4258" s="458">
        <v>0.10284492532760359</v>
      </c>
      <c r="BI4258" s="477">
        <v>18093452.394772917</v>
      </c>
      <c r="BJ4258" s="458">
        <v>0.14078663193329533</v>
      </c>
      <c r="BK4258" s="477">
        <v>81431032.83613205</v>
      </c>
      <c r="BL4258" s="458">
        <v>0.28199640258415948</v>
      </c>
      <c r="BM4258" s="468">
        <v>3.2504493323831465</v>
      </c>
    </row>
    <row r="4259" spans="12:65" x14ac:dyDescent="0.3">
      <c r="L4259" s="427">
        <v>3635550.8202999998</v>
      </c>
      <c r="BE4259" s="477">
        <v>1818412.0062175679</v>
      </c>
      <c r="BF4259" s="458">
        <v>6.0570411479841102E-2</v>
      </c>
      <c r="BG4259" s="477">
        <v>9112484.5214933865</v>
      </c>
      <c r="BH4259" s="458">
        <v>6.4988794836561059E-2</v>
      </c>
      <c r="BI4259" s="477">
        <v>12835214.009293301</v>
      </c>
      <c r="BJ4259" s="458">
        <v>9.8687744000499622E-2</v>
      </c>
      <c r="BK4259" s="477">
        <v>86444929.40409404</v>
      </c>
      <c r="BL4259" s="458">
        <v>0.27075203206670806</v>
      </c>
      <c r="BM4259" s="468">
        <v>4.8933401047498366</v>
      </c>
    </row>
    <row r="4260" spans="12:65" x14ac:dyDescent="0.3">
      <c r="L4260" s="427">
        <v>-820590.20559999999</v>
      </c>
      <c r="BE4260" s="477">
        <v>4085647.9085039957</v>
      </c>
      <c r="BF4260" s="458">
        <v>4.3683561836620477E-2</v>
      </c>
      <c r="BG4260" s="477">
        <v>6064399.9098962536</v>
      </c>
      <c r="BH4260" s="458">
        <v>6.10708982723418E-2</v>
      </c>
      <c r="BI4260" s="477">
        <v>19847178.129113715</v>
      </c>
      <c r="BJ4260" s="458">
        <v>0.14988322399163456</v>
      </c>
      <c r="BK4260" s="477">
        <v>84993312.624954551</v>
      </c>
      <c r="BL4260" s="458">
        <v>0.28894609163304863</v>
      </c>
      <c r="BM4260" s="468">
        <v>3.6413004223330834</v>
      </c>
    </row>
    <row r="4261" spans="12:65" x14ac:dyDescent="0.3">
      <c r="L4261" s="427">
        <v>8054325.6403999999</v>
      </c>
      <c r="BE4261" s="477">
        <v>8604463.9525352493</v>
      </c>
      <c r="BF4261" s="458">
        <v>4.0967922296709425E-2</v>
      </c>
      <c r="BG4261" s="477">
        <v>9136790.2343979254</v>
      </c>
      <c r="BH4261" s="458">
        <v>7.7013561458092017E-2</v>
      </c>
      <c r="BI4261" s="477">
        <v>20077131.947604999</v>
      </c>
      <c r="BJ4261" s="458">
        <v>0.12049411086742712</v>
      </c>
      <c r="BK4261" s="477">
        <v>95838424.178413764</v>
      </c>
      <c r="BL4261" s="458">
        <v>0.2824946402527746</v>
      </c>
      <c r="BM4261" s="468">
        <v>4.2122098346497481</v>
      </c>
    </row>
    <row r="4262" spans="12:65" x14ac:dyDescent="0.3">
      <c r="L4262" s="427">
        <v>-6039564.1564999996</v>
      </c>
      <c r="BE4262" s="477">
        <v>6297199.5132234683</v>
      </c>
      <c r="BF4262" s="458">
        <v>5.2382508070789147E-2</v>
      </c>
      <c r="BG4262" s="477">
        <v>7152108.7239430733</v>
      </c>
      <c r="BH4262" s="458">
        <v>3.8268062140598191E-2</v>
      </c>
      <c r="BI4262" s="477">
        <v>13855393.100838343</v>
      </c>
      <c r="BJ4262" s="458">
        <v>0.10091971689415669</v>
      </c>
      <c r="BK4262" s="477">
        <v>91095812.844456851</v>
      </c>
      <c r="BL4262" s="458">
        <v>0.27526968081320291</v>
      </c>
      <c r="BM4262" s="468">
        <v>9.9757535103782722</v>
      </c>
    </row>
    <row r="4263" spans="12:65" x14ac:dyDescent="0.3">
      <c r="L4263" s="427">
        <v>12349300.6216</v>
      </c>
      <c r="BE4263" s="477">
        <v>7395881.2456521578</v>
      </c>
      <c r="BF4263" s="458">
        <v>3.5405538198869824E-2</v>
      </c>
      <c r="BG4263" s="477">
        <v>9224897.2558887843</v>
      </c>
      <c r="BH4263" s="458">
        <v>6.9328507067791145E-2</v>
      </c>
      <c r="BI4263" s="477">
        <v>16832479.917065639</v>
      </c>
      <c r="BJ4263" s="458">
        <v>0.13136150542300462</v>
      </c>
      <c r="BK4263" s="477">
        <v>86822521.943606988</v>
      </c>
      <c r="BL4263" s="458">
        <v>0.26743867032692825</v>
      </c>
      <c r="BM4263" s="468">
        <v>8.7929747388607815</v>
      </c>
    </row>
    <row r="4264" spans="12:65" x14ac:dyDescent="0.3">
      <c r="L4264" s="427">
        <v>12092189.929</v>
      </c>
      <c r="BE4264" s="477">
        <v>7887864.3395138318</v>
      </c>
      <c r="BF4264" s="458">
        <v>6.7426239922308673E-2</v>
      </c>
      <c r="BG4264" s="477">
        <v>9119422.7186155524</v>
      </c>
      <c r="BH4264" s="458">
        <v>6.0109975561773332E-2</v>
      </c>
      <c r="BI4264" s="477">
        <v>11089381.851511151</v>
      </c>
      <c r="BJ4264" s="458">
        <v>0.10478911801408919</v>
      </c>
      <c r="BK4264" s="477">
        <v>94552605.977479532</v>
      </c>
      <c r="BL4264" s="458">
        <v>0.27000804992975369</v>
      </c>
      <c r="BM4264" s="468">
        <v>4.2347336471850987</v>
      </c>
    </row>
    <row r="4265" spans="12:65" x14ac:dyDescent="0.3">
      <c r="L4265" s="427">
        <v>7935589.6333999997</v>
      </c>
      <c r="BE4265" s="477">
        <v>3509971.9757635924</v>
      </c>
      <c r="BF4265" s="458">
        <v>3.8806214212362855E-2</v>
      </c>
      <c r="BG4265" s="477">
        <v>9633712.5526694562</v>
      </c>
      <c r="BH4265" s="458">
        <v>3.9725303110555332E-2</v>
      </c>
      <c r="BI4265" s="477">
        <v>20143158.743841961</v>
      </c>
      <c r="BJ4265" s="458">
        <v>0.11186687423447483</v>
      </c>
      <c r="BK4265" s="477">
        <v>95560220.276663557</v>
      </c>
      <c r="BL4265" s="458">
        <v>0.25012662675520714</v>
      </c>
      <c r="BM4265" s="468">
        <v>15.534751386141195</v>
      </c>
    </row>
    <row r="4266" spans="12:65" x14ac:dyDescent="0.3">
      <c r="L4266" s="427">
        <v>8889707.1106000002</v>
      </c>
      <c r="BE4266" s="477">
        <v>9660445.1568501871</v>
      </c>
      <c r="BF4266" s="458">
        <v>4.3482077698401733E-2</v>
      </c>
      <c r="BG4266" s="477">
        <v>13668876.551259873</v>
      </c>
      <c r="BH4266" s="458">
        <v>7.4300674518863463E-2</v>
      </c>
      <c r="BI4266" s="477">
        <v>12092706.894842211</v>
      </c>
      <c r="BJ4266" s="458">
        <v>0.10096293622134556</v>
      </c>
      <c r="BK4266" s="477">
        <v>96200564.453502029</v>
      </c>
      <c r="BL4266" s="458">
        <v>0.27029605365010645</v>
      </c>
      <c r="BM4266" s="468">
        <v>3.7130248620322446</v>
      </c>
    </row>
    <row r="4267" spans="12:65" x14ac:dyDescent="0.3">
      <c r="L4267" s="427">
        <v>23708119.019900002</v>
      </c>
      <c r="BE4267" s="477">
        <v>3589711.6727656061</v>
      </c>
      <c r="BF4267" s="458">
        <v>4.1301252380785858E-2</v>
      </c>
      <c r="BG4267" s="477">
        <v>5754703.2519065533</v>
      </c>
      <c r="BH4267" s="458">
        <v>5.5179811493783371E-2</v>
      </c>
      <c r="BI4267" s="477">
        <v>16700510.902889013</v>
      </c>
      <c r="BJ4267" s="458">
        <v>0.12818329136479045</v>
      </c>
      <c r="BK4267" s="477">
        <v>85573771.027030408</v>
      </c>
      <c r="BL4267" s="458">
        <v>0.28062760164533485</v>
      </c>
      <c r="BM4267" s="468">
        <v>6.8568520173126943</v>
      </c>
    </row>
    <row r="4268" spans="12:65" x14ac:dyDescent="0.3">
      <c r="L4268" s="427">
        <v>17558559.033</v>
      </c>
      <c r="BE4268" s="477">
        <v>5626540.275632102</v>
      </c>
      <c r="BF4268" s="458">
        <v>3.866578938157339E-2</v>
      </c>
      <c r="BG4268" s="477">
        <v>5798985.7375850203</v>
      </c>
      <c r="BH4268" s="458">
        <v>5.1097104566364404E-2</v>
      </c>
      <c r="BI4268" s="477">
        <v>14788518.956096197</v>
      </c>
      <c r="BJ4268" s="458">
        <v>0.10266372372045196</v>
      </c>
      <c r="BK4268" s="477">
        <v>103888493.65807223</v>
      </c>
      <c r="BL4268" s="458">
        <v>0.2509527694767506</v>
      </c>
      <c r="BM4268" s="468">
        <v>8.2536259741363658</v>
      </c>
    </row>
    <row r="4269" spans="12:65" x14ac:dyDescent="0.3">
      <c r="L4269" s="427">
        <v>7443696.2083000001</v>
      </c>
      <c r="BE4269" s="477">
        <v>3345736.9403633783</v>
      </c>
      <c r="BF4269" s="458">
        <v>2.7304517038243992E-2</v>
      </c>
      <c r="BG4269" s="477">
        <v>12605500.733332861</v>
      </c>
      <c r="BH4269" s="458">
        <v>6.191101056649595E-2</v>
      </c>
      <c r="BI4269" s="477">
        <v>9738065.5649025012</v>
      </c>
      <c r="BJ4269" s="458">
        <v>0.10701862997954548</v>
      </c>
      <c r="BK4269" s="477">
        <v>91747829.255728453</v>
      </c>
      <c r="BL4269" s="458">
        <v>0.28652833195142291</v>
      </c>
      <c r="BM4269" s="468">
        <v>6.3612292392497558</v>
      </c>
    </row>
    <row r="4270" spans="12:65" x14ac:dyDescent="0.3">
      <c r="L4270" s="427">
        <v>12445810.1186</v>
      </c>
      <c r="BE4270" s="477">
        <v>5613447.958182171</v>
      </c>
      <c r="BF4270" s="458">
        <v>2.6128612404554996E-2</v>
      </c>
      <c r="BG4270" s="477">
        <v>2902986.8579421439</v>
      </c>
      <c r="BH4270" s="458">
        <v>6.7218245421053924E-2</v>
      </c>
      <c r="BI4270" s="477">
        <v>16495170.1497733</v>
      </c>
      <c r="BJ4270" s="458">
        <v>0.1201514055543389</v>
      </c>
      <c r="BK4270" s="477">
        <v>87954877.002235949</v>
      </c>
      <c r="BL4270" s="458">
        <v>0.25906655559939318</v>
      </c>
      <c r="BM4270" s="468">
        <v>6.7694247551822073</v>
      </c>
    </row>
    <row r="4271" spans="12:65" x14ac:dyDescent="0.3">
      <c r="L4271" s="427">
        <v>13853689.336200001</v>
      </c>
      <c r="BE4271" s="477">
        <v>6961636.6091400217</v>
      </c>
      <c r="BF4271" s="458">
        <v>3.4463219168708203E-2</v>
      </c>
      <c r="BG4271" s="477">
        <v>6925181.7512747021</v>
      </c>
      <c r="BH4271" s="458">
        <v>6.7791691146108501E-2</v>
      </c>
      <c r="BI4271" s="477">
        <v>16211993.096731916</v>
      </c>
      <c r="BJ4271" s="458">
        <v>0.10364310033508772</v>
      </c>
      <c r="BK4271" s="477">
        <v>104154690.18690991</v>
      </c>
      <c r="BL4271" s="458">
        <v>0.26839819044628266</v>
      </c>
      <c r="BM4271" s="468">
        <v>8.4296366883476956</v>
      </c>
    </row>
    <row r="4272" spans="12:65" x14ac:dyDescent="0.3">
      <c r="L4272" s="427">
        <v>-15387663.282500001</v>
      </c>
      <c r="BE4272" s="477">
        <v>7232645.6518794047</v>
      </c>
      <c r="BF4272" s="458">
        <v>3.5498058419980882E-2</v>
      </c>
      <c r="BG4272" s="477">
        <v>6942293.5061269235</v>
      </c>
      <c r="BH4272" s="458">
        <v>5.4492084063883173E-2</v>
      </c>
      <c r="BI4272" s="477">
        <v>16896548.517407957</v>
      </c>
      <c r="BJ4272" s="458">
        <v>0.13660637779058438</v>
      </c>
      <c r="BK4272" s="477">
        <v>75545079.83896637</v>
      </c>
      <c r="BL4272" s="458">
        <v>0.27481084728154026</v>
      </c>
      <c r="BM4272" s="468">
        <v>5.8535745200723603</v>
      </c>
    </row>
    <row r="4273" spans="12:65" x14ac:dyDescent="0.3">
      <c r="L4273" s="427">
        <v>13569160.166999999</v>
      </c>
      <c r="BE4273" s="477">
        <v>6342180.1812905138</v>
      </c>
      <c r="BF4273" s="458">
        <v>5.4988378901314139E-2</v>
      </c>
      <c r="BG4273" s="477">
        <v>11235604.571445212</v>
      </c>
      <c r="BH4273" s="458">
        <v>5.9304322153543421E-2</v>
      </c>
      <c r="BI4273" s="477">
        <v>14532160.904302387</v>
      </c>
      <c r="BJ4273" s="458">
        <v>0.14178801169812916</v>
      </c>
      <c r="BK4273" s="477">
        <v>80618422.4179717</v>
      </c>
      <c r="BL4273" s="458">
        <v>0.26617238096966145</v>
      </c>
      <c r="BM4273" s="468">
        <v>7.4806714011424233</v>
      </c>
    </row>
    <row r="4274" spans="12:65" x14ac:dyDescent="0.3">
      <c r="L4274" s="427">
        <v>1932943.0389</v>
      </c>
      <c r="BE4274" s="477">
        <v>4676417.114496327</v>
      </c>
      <c r="BF4274" s="458">
        <v>5.2191604064210306E-2</v>
      </c>
      <c r="BG4274" s="477">
        <v>16312340.130795907</v>
      </c>
      <c r="BH4274" s="458">
        <v>3.7707414625386626E-2</v>
      </c>
      <c r="BI4274" s="477">
        <v>15739794.251296468</v>
      </c>
      <c r="BJ4274" s="458">
        <v>0.13202635988747558</v>
      </c>
      <c r="BK4274" s="477">
        <v>93752199.72814317</v>
      </c>
      <c r="BL4274" s="458">
        <v>0.2843279688808884</v>
      </c>
      <c r="BM4274" s="468">
        <v>11.928924159583534</v>
      </c>
    </row>
    <row r="4275" spans="12:65" x14ac:dyDescent="0.3">
      <c r="L4275" s="427">
        <v>13043196.4134</v>
      </c>
      <c r="BE4275" s="477">
        <v>3695558.8315456966</v>
      </c>
      <c r="BF4275" s="458">
        <v>5.4397207549539806E-2</v>
      </c>
      <c r="BG4275" s="477">
        <v>5817396.6235411372</v>
      </c>
      <c r="BH4275" s="458">
        <v>7.0191223078402976E-2</v>
      </c>
      <c r="BI4275" s="477">
        <v>17882946.829505544</v>
      </c>
      <c r="BJ4275" s="458">
        <v>0.10771625907646531</v>
      </c>
      <c r="BK4275" s="477">
        <v>97802067.693669409</v>
      </c>
      <c r="BL4275" s="458">
        <v>0.2623903852903009</v>
      </c>
      <c r="BM4275" s="468">
        <v>7.5725338002301479</v>
      </c>
    </row>
    <row r="4276" spans="12:65" x14ac:dyDescent="0.3">
      <c r="L4276" s="427">
        <v>14595424.632300001</v>
      </c>
      <c r="BE4276" s="477">
        <v>8399057.6246889122</v>
      </c>
      <c r="BF4276" s="458">
        <v>3.8364912196960699E-2</v>
      </c>
      <c r="BG4276" s="477">
        <v>9821186.2942849398</v>
      </c>
      <c r="BH4276" s="458">
        <v>7.8943454300382188E-2</v>
      </c>
      <c r="BI4276" s="477">
        <v>21377441.151669741</v>
      </c>
      <c r="BJ4276" s="458">
        <v>0.10768951427306073</v>
      </c>
      <c r="BK4276" s="477">
        <v>97993717.39781934</v>
      </c>
      <c r="BL4276" s="458">
        <v>0.28149530338231643</v>
      </c>
      <c r="BM4276" s="468">
        <v>5.7145678434500766</v>
      </c>
    </row>
    <row r="4277" spans="12:65" x14ac:dyDescent="0.3">
      <c r="L4277" s="427">
        <v>203396.9614</v>
      </c>
      <c r="BE4277" s="477">
        <v>6288217.2228570962</v>
      </c>
      <c r="BF4277" s="458">
        <v>4.1334175566271725E-2</v>
      </c>
      <c r="BG4277" s="477">
        <v>1962928.1676760574</v>
      </c>
      <c r="BH4277" s="458">
        <v>7.7567021987559936E-2</v>
      </c>
      <c r="BI4277" s="477">
        <v>13841456.346705198</v>
      </c>
      <c r="BJ4277" s="458">
        <v>7.3437096533043311E-2</v>
      </c>
      <c r="BK4277" s="477">
        <v>86065602.381487146</v>
      </c>
      <c r="BL4277" s="458">
        <v>0.28562611890127698</v>
      </c>
      <c r="BM4277" s="468">
        <v>7.8947837702607178</v>
      </c>
    </row>
    <row r="4278" spans="12:65" x14ac:dyDescent="0.3">
      <c r="L4278" s="427">
        <v>651570.31880000001</v>
      </c>
      <c r="BE4278" s="477">
        <v>-3700304.0427770577</v>
      </c>
      <c r="BF4278" s="458">
        <v>2.3090628708187788E-2</v>
      </c>
      <c r="BG4278" s="477">
        <v>5899889.4133885056</v>
      </c>
      <c r="BH4278" s="458">
        <v>0.11305917511332875</v>
      </c>
      <c r="BI4278" s="477">
        <v>22576403.438278943</v>
      </c>
      <c r="BJ4278" s="458">
        <v>9.1350819532020067E-2</v>
      </c>
      <c r="BK4278" s="477">
        <v>87389957.303293958</v>
      </c>
      <c r="BL4278" s="458">
        <v>0.25324890671766354</v>
      </c>
      <c r="BM4278" s="468">
        <v>3.9711586117438911</v>
      </c>
    </row>
    <row r="4279" spans="12:65" x14ac:dyDescent="0.3">
      <c r="L4279" s="427">
        <v>17166991.463100001</v>
      </c>
      <c r="BE4279" s="477">
        <v>7179398.2533103069</v>
      </c>
      <c r="BF4279" s="458">
        <v>6.8070958496785128E-2</v>
      </c>
      <c r="BG4279" s="477">
        <v>16500132.172282657</v>
      </c>
      <c r="BH4279" s="458">
        <v>9.0081268866971209E-2</v>
      </c>
      <c r="BI4279" s="477">
        <v>24071274.473323058</v>
      </c>
      <c r="BJ4279" s="458">
        <v>9.4145842393953183E-2</v>
      </c>
      <c r="BK4279" s="477">
        <v>90815965.694479406</v>
      </c>
      <c r="BL4279" s="458">
        <v>0.26089193705115288</v>
      </c>
      <c r="BM4279" s="468">
        <v>6.4245439367478525</v>
      </c>
    </row>
    <row r="4280" spans="12:65" x14ac:dyDescent="0.3">
      <c r="L4280" s="427">
        <v>8196521.5768999998</v>
      </c>
      <c r="BE4280" s="477">
        <v>6927855.2698175972</v>
      </c>
      <c r="BF4280" s="458">
        <v>5.4610522362968927E-2</v>
      </c>
      <c r="BG4280" s="477">
        <v>8821355.7968054973</v>
      </c>
      <c r="BH4280" s="458">
        <v>7.1617901923860305E-2</v>
      </c>
      <c r="BI4280" s="477">
        <v>9474863.5866575167</v>
      </c>
      <c r="BJ4280" s="458">
        <v>0.10576033230764947</v>
      </c>
      <c r="BK4280" s="477">
        <v>89472822.355298683</v>
      </c>
      <c r="BL4280" s="458">
        <v>0.27666858667225602</v>
      </c>
      <c r="BM4280" s="468">
        <v>12.108407390603471</v>
      </c>
    </row>
    <row r="4281" spans="12:65" x14ac:dyDescent="0.3">
      <c r="L4281" s="427">
        <v>13174150.0963</v>
      </c>
      <c r="BE4281" s="477">
        <v>5838754.1099282559</v>
      </c>
      <c r="BF4281" s="458">
        <v>3.0774099196880567E-2</v>
      </c>
      <c r="BG4281" s="477">
        <v>4607654.5095460201</v>
      </c>
      <c r="BH4281" s="458">
        <v>7.5460450931605694E-2</v>
      </c>
      <c r="BI4281" s="477">
        <v>24753679.94499328</v>
      </c>
      <c r="BJ4281" s="458">
        <v>0.11070431195265384</v>
      </c>
      <c r="BK4281" s="477">
        <v>87501864.373764619</v>
      </c>
      <c r="BL4281" s="458">
        <v>0.2687522194444516</v>
      </c>
      <c r="BM4281" s="468">
        <v>0.22398410818141379</v>
      </c>
    </row>
    <row r="4282" spans="12:65" x14ac:dyDescent="0.3">
      <c r="L4282" s="427">
        <v>15848053.6708</v>
      </c>
      <c r="BE4282" s="477">
        <v>5556875.3905495936</v>
      </c>
      <c r="BF4282" s="458">
        <v>5.2367771897124049E-2</v>
      </c>
      <c r="BG4282" s="477">
        <v>12321679.818792492</v>
      </c>
      <c r="BH4282" s="458">
        <v>7.9395228414711472E-2</v>
      </c>
      <c r="BI4282" s="477">
        <v>13135922.322980424</v>
      </c>
      <c r="BJ4282" s="458">
        <v>8.7102703006267213E-2</v>
      </c>
      <c r="BK4282" s="477">
        <v>86769757.22283195</v>
      </c>
      <c r="BL4282" s="458">
        <v>0.25565755840671422</v>
      </c>
      <c r="BM4282" s="468">
        <v>7.0986857984824701</v>
      </c>
    </row>
    <row r="4283" spans="12:65" x14ac:dyDescent="0.3">
      <c r="L4283" s="427">
        <v>14708410.789999999</v>
      </c>
      <c r="BE4283" s="477">
        <v>3162321.0882282821</v>
      </c>
      <c r="BF4283" s="458">
        <v>3.0867844895460683E-2</v>
      </c>
      <c r="BG4283" s="477">
        <v>4751101.2499093637</v>
      </c>
      <c r="BH4283" s="458">
        <v>7.0218297692999254E-2</v>
      </c>
      <c r="BI4283" s="477">
        <v>18822750.238327168</v>
      </c>
      <c r="BJ4283" s="458">
        <v>0.11158452131570651</v>
      </c>
      <c r="BK4283" s="477">
        <v>90795463.835343659</v>
      </c>
      <c r="BL4283" s="458">
        <v>0.26490216744008754</v>
      </c>
      <c r="BM4283" s="468">
        <v>9.2515305121475997</v>
      </c>
    </row>
    <row r="4284" spans="12:65" x14ac:dyDescent="0.3">
      <c r="L4284" s="427">
        <v>13073802.661599999</v>
      </c>
      <c r="BE4284" s="477">
        <v>5467515.7777038766</v>
      </c>
      <c r="BF4284" s="458">
        <v>4.5614971538189719E-2</v>
      </c>
      <c r="BG4284" s="477">
        <v>7596011.4401372112</v>
      </c>
      <c r="BH4284" s="458">
        <v>8.3127844491494907E-2</v>
      </c>
      <c r="BI4284" s="477">
        <v>12840830.129174042</v>
      </c>
      <c r="BJ4284" s="458">
        <v>0.13743365438860145</v>
      </c>
      <c r="BK4284" s="477">
        <v>75077823.362045571</v>
      </c>
      <c r="BL4284" s="458">
        <v>0.26268892343312644</v>
      </c>
      <c r="BM4284" s="468">
        <v>6.6286852591681953</v>
      </c>
    </row>
    <row r="4285" spans="12:65" x14ac:dyDescent="0.3">
      <c r="L4285" s="427">
        <v>16317984.127</v>
      </c>
      <c r="BE4285" s="477">
        <v>9218275.0604873933</v>
      </c>
      <c r="BF4285" s="458">
        <v>5.2087793684153727E-2</v>
      </c>
      <c r="BG4285" s="477">
        <v>8676848.4770264216</v>
      </c>
      <c r="BH4285" s="458">
        <v>8.5786756126590369E-2</v>
      </c>
      <c r="BI4285" s="477">
        <v>17094449.835816041</v>
      </c>
      <c r="BJ4285" s="458">
        <v>0.11255337459304537</v>
      </c>
      <c r="BK4285" s="477">
        <v>72550440.115198791</v>
      </c>
      <c r="BL4285" s="458">
        <v>0.32061576264149982</v>
      </c>
      <c r="BM4285" s="468">
        <v>12.651952230826748</v>
      </c>
    </row>
    <row r="4286" spans="12:65" x14ac:dyDescent="0.3">
      <c r="L4286" s="427">
        <v>7662402.5961999996</v>
      </c>
      <c r="BE4286" s="477">
        <v>7765526.420814734</v>
      </c>
      <c r="BF4286" s="458">
        <v>3.3042869989561519E-2</v>
      </c>
      <c r="BG4286" s="477">
        <v>10362702.884035964</v>
      </c>
      <c r="BH4286" s="458">
        <v>9.5588603607533518E-2</v>
      </c>
      <c r="BI4286" s="477">
        <v>13372889.871398296</v>
      </c>
      <c r="BJ4286" s="458">
        <v>0.12048672610854627</v>
      </c>
      <c r="BK4286" s="477">
        <v>93956717.456330121</v>
      </c>
      <c r="BL4286" s="458">
        <v>0.29725149732217937</v>
      </c>
      <c r="BM4286" s="468">
        <v>1.5327854859953325</v>
      </c>
    </row>
    <row r="4287" spans="12:65" x14ac:dyDescent="0.3">
      <c r="L4287" s="427">
        <v>7077688.6898999996</v>
      </c>
      <c r="BE4287" s="477">
        <v>6144909.5744277481</v>
      </c>
      <c r="BF4287" s="458">
        <v>5.7899892204752224E-2</v>
      </c>
      <c r="BG4287" s="477">
        <v>13235788.22472401</v>
      </c>
      <c r="BH4287" s="458">
        <v>5.5526059375860193E-2</v>
      </c>
      <c r="BI4287" s="477">
        <v>20817381.652093522</v>
      </c>
      <c r="BJ4287" s="458">
        <v>0.11025755959253591</v>
      </c>
      <c r="BK4287" s="477">
        <v>96739442.147525415</v>
      </c>
      <c r="BL4287" s="458">
        <v>0.26438384601086407</v>
      </c>
      <c r="BM4287" s="468">
        <v>8.343568299470709</v>
      </c>
    </row>
    <row r="4288" spans="12:65" x14ac:dyDescent="0.3">
      <c r="L4288" s="427">
        <v>11338582.219699999</v>
      </c>
      <c r="BE4288" s="477">
        <v>5333532.0743888402</v>
      </c>
      <c r="BF4288" s="458">
        <v>3.6665517079972343E-2</v>
      </c>
      <c r="BG4288" s="477">
        <v>5199296.1367105804</v>
      </c>
      <c r="BH4288" s="458">
        <v>6.9568667680961704E-2</v>
      </c>
      <c r="BI4288" s="477">
        <v>17961739.281474371</v>
      </c>
      <c r="BJ4288" s="458">
        <v>0.11621013167424654</v>
      </c>
      <c r="BK4288" s="477">
        <v>84445015.996735528</v>
      </c>
      <c r="BL4288" s="458">
        <v>0.28347079016957899</v>
      </c>
      <c r="BM4288" s="468">
        <v>5.9198684983746723</v>
      </c>
    </row>
    <row r="4289" spans="12:65" x14ac:dyDescent="0.3">
      <c r="L4289" s="427">
        <v>14675052.075099999</v>
      </c>
      <c r="BE4289" s="477">
        <v>532628.32370589022</v>
      </c>
      <c r="BF4289" s="458">
        <v>2.5389431910923133E-2</v>
      </c>
      <c r="BG4289" s="477">
        <v>14391438.060025703</v>
      </c>
      <c r="BH4289" s="458">
        <v>7.1823249114949306E-2</v>
      </c>
      <c r="BI4289" s="477">
        <v>13917406.107441628</v>
      </c>
      <c r="BJ4289" s="458">
        <v>0.1032536099840351</v>
      </c>
      <c r="BK4289" s="477">
        <v>82897227.096820846</v>
      </c>
      <c r="BL4289" s="458">
        <v>0.277137744236299</v>
      </c>
      <c r="BM4289" s="468">
        <v>5.7550617605842209</v>
      </c>
    </row>
    <row r="4290" spans="12:65" x14ac:dyDescent="0.3">
      <c r="L4290" s="427">
        <v>5843223.3909999998</v>
      </c>
      <c r="BE4290" s="477">
        <v>9603692.5781147536</v>
      </c>
      <c r="BF4290" s="458">
        <v>3.8688414219718359E-2</v>
      </c>
      <c r="BG4290" s="477">
        <v>9226017.4301705845</v>
      </c>
      <c r="BH4290" s="458">
        <v>7.1577971388900652E-2</v>
      </c>
      <c r="BI4290" s="477">
        <v>16754427.660374872</v>
      </c>
      <c r="BJ4290" s="458">
        <v>0.11569690927536014</v>
      </c>
      <c r="BK4290" s="477">
        <v>92807810.717625394</v>
      </c>
      <c r="BL4290" s="458">
        <v>0.25758431005407001</v>
      </c>
      <c r="BM4290" s="468">
        <v>13.48095646365968</v>
      </c>
    </row>
    <row r="4291" spans="12:65" x14ac:dyDescent="0.3">
      <c r="L4291" s="427">
        <v>13454440.478499999</v>
      </c>
      <c r="BE4291" s="477">
        <v>2972378.7633045297</v>
      </c>
      <c r="BF4291" s="458">
        <v>3.1017081782461098E-2</v>
      </c>
      <c r="BG4291" s="477">
        <v>6809399.638941939</v>
      </c>
      <c r="BH4291" s="458">
        <v>7.1386864187760857E-2</v>
      </c>
      <c r="BI4291" s="477">
        <v>14774468.632435506</v>
      </c>
      <c r="BJ4291" s="458">
        <v>0.11194948871922406</v>
      </c>
      <c r="BK4291" s="477">
        <v>114878388.36377151</v>
      </c>
      <c r="BL4291" s="458">
        <v>0.26548662872823492</v>
      </c>
      <c r="BM4291" s="468">
        <v>8.9711815944020898</v>
      </c>
    </row>
    <row r="4292" spans="12:65" x14ac:dyDescent="0.3">
      <c r="L4292" s="427">
        <v>689722.33050000004</v>
      </c>
      <c r="BE4292" s="477">
        <v>5929731.257021904</v>
      </c>
      <c r="BF4292" s="458">
        <v>4.1539807977249099E-2</v>
      </c>
      <c r="BG4292" s="477">
        <v>3950685.1935131554</v>
      </c>
      <c r="BH4292" s="458">
        <v>6.2573451646817935E-2</v>
      </c>
      <c r="BI4292" s="477">
        <v>20660302.715748604</v>
      </c>
      <c r="BJ4292" s="458">
        <v>9.5708959664361881E-2</v>
      </c>
      <c r="BK4292" s="477">
        <v>81991825.020628005</v>
      </c>
      <c r="BL4292" s="458">
        <v>0.28279591552173589</v>
      </c>
      <c r="BM4292" s="468">
        <v>4.6113251989736455</v>
      </c>
    </row>
    <row r="4293" spans="12:65" x14ac:dyDescent="0.3">
      <c r="L4293" s="427">
        <v>1191147.3537000001</v>
      </c>
      <c r="BE4293" s="477">
        <v>-225078.1142244564</v>
      </c>
      <c r="BF4293" s="458">
        <v>7.9740452806056794E-2</v>
      </c>
      <c r="BG4293" s="477">
        <v>6026335.9882491361</v>
      </c>
      <c r="BH4293" s="458">
        <v>5.9919998257057516E-2</v>
      </c>
      <c r="BI4293" s="477">
        <v>16150504.083766453</v>
      </c>
      <c r="BJ4293" s="458">
        <v>0.13111441749115471</v>
      </c>
      <c r="BK4293" s="477">
        <v>92104746.462673768</v>
      </c>
      <c r="BL4293" s="458">
        <v>0.29298080822119821</v>
      </c>
      <c r="BM4293" s="468">
        <v>15.907597076786384</v>
      </c>
    </row>
    <row r="4294" spans="12:65" x14ac:dyDescent="0.3">
      <c r="L4294" s="427">
        <v>9959794.0725999996</v>
      </c>
      <c r="BE4294" s="477">
        <v>4009259.0092562488</v>
      </c>
      <c r="BF4294" s="458">
        <v>2.8637353948358646E-2</v>
      </c>
      <c r="BG4294" s="477">
        <v>6726934.4384735385</v>
      </c>
      <c r="BH4294" s="458">
        <v>9.8808776085920647E-2</v>
      </c>
      <c r="BI4294" s="477">
        <v>14857840.497558706</v>
      </c>
      <c r="BJ4294" s="458">
        <v>0.1189288792930363</v>
      </c>
      <c r="BK4294" s="477">
        <v>95797660.515388474</v>
      </c>
      <c r="BL4294" s="458">
        <v>0.28621910742924439</v>
      </c>
      <c r="BM4294" s="468">
        <v>6.1910780059303994</v>
      </c>
    </row>
    <row r="4295" spans="12:65" x14ac:dyDescent="0.3">
      <c r="L4295" s="427">
        <v>7804334.9724000003</v>
      </c>
      <c r="BE4295" s="477">
        <v>9560302.1067315843</v>
      </c>
      <c r="BF4295" s="458">
        <v>3.3992593887562039E-2</v>
      </c>
      <c r="BG4295" s="477">
        <v>13506730.74283975</v>
      </c>
      <c r="BH4295" s="458">
        <v>2.8348730467238958E-2</v>
      </c>
      <c r="BI4295" s="477">
        <v>17973838.400750484</v>
      </c>
      <c r="BJ4295" s="458">
        <v>0.11498048416592233</v>
      </c>
      <c r="BK4295" s="477">
        <v>86546530.373636574</v>
      </c>
      <c r="BL4295" s="458">
        <v>0.27130086797382802</v>
      </c>
      <c r="BM4295" s="468">
        <v>10.956512291504795</v>
      </c>
    </row>
    <row r="4296" spans="12:65" x14ac:dyDescent="0.3">
      <c r="L4296" s="427">
        <v>9326123.4598999992</v>
      </c>
      <c r="BE4296" s="477">
        <v>5643158.0597185427</v>
      </c>
      <c r="BF4296" s="458">
        <v>5.7880757224594515E-2</v>
      </c>
      <c r="BG4296" s="477">
        <v>5309341.4844450578</v>
      </c>
      <c r="BH4296" s="458">
        <v>7.0108628703799525E-2</v>
      </c>
      <c r="BI4296" s="477">
        <v>21879445.803804379</v>
      </c>
      <c r="BJ4296" s="458">
        <v>0.11284872058822204</v>
      </c>
      <c r="BK4296" s="477">
        <v>94321113.510976315</v>
      </c>
      <c r="BL4296" s="458">
        <v>0.27858308713058411</v>
      </c>
      <c r="BM4296" s="468">
        <v>8.2373572320858948</v>
      </c>
    </row>
    <row r="4297" spans="12:65" x14ac:dyDescent="0.3">
      <c r="L4297" s="427">
        <v>-1110382.8973999999</v>
      </c>
      <c r="BE4297" s="477">
        <v>7373171.9669402344</v>
      </c>
      <c r="BF4297" s="458">
        <v>2.8052469512329647E-2</v>
      </c>
      <c r="BG4297" s="477">
        <v>4750231.9007903105</v>
      </c>
      <c r="BH4297" s="458">
        <v>4.1307919726047304E-2</v>
      </c>
      <c r="BI4297" s="477">
        <v>17907249.22755257</v>
      </c>
      <c r="BJ4297" s="458">
        <v>0.10639610998123183</v>
      </c>
      <c r="BK4297" s="477">
        <v>88158498.927268282</v>
      </c>
      <c r="BL4297" s="458">
        <v>0.27891387845872351</v>
      </c>
      <c r="BM4297" s="468">
        <v>14.655265945419989</v>
      </c>
    </row>
    <row r="4298" spans="12:65" x14ac:dyDescent="0.3">
      <c r="L4298" s="427">
        <v>6892214.8243000004</v>
      </c>
      <c r="BE4298" s="477">
        <v>9727057.2640795559</v>
      </c>
      <c r="BF4298" s="458">
        <v>6.9665666824398009E-2</v>
      </c>
      <c r="BG4298" s="477">
        <v>5068010.2404623888</v>
      </c>
      <c r="BH4298" s="458">
        <v>4.6700804038023902E-2</v>
      </c>
      <c r="BI4298" s="477">
        <v>19159357.091094323</v>
      </c>
      <c r="BJ4298" s="458">
        <v>0.10139464087211292</v>
      </c>
      <c r="BK4298" s="477">
        <v>86357612.068449378</v>
      </c>
      <c r="BL4298" s="458">
        <v>0.28304302095575573</v>
      </c>
      <c r="BM4298" s="468">
        <v>2.3065665769731041</v>
      </c>
    </row>
    <row r="4299" spans="12:65" x14ac:dyDescent="0.3">
      <c r="L4299" s="427">
        <v>10865378.317600001</v>
      </c>
      <c r="BE4299" s="477">
        <v>6769831.8818987338</v>
      </c>
      <c r="BF4299" s="458">
        <v>4.9235905080053488E-2</v>
      </c>
      <c r="BG4299" s="477">
        <v>9383782.6326615717</v>
      </c>
      <c r="BH4299" s="458">
        <v>8.5281377463637842E-2</v>
      </c>
      <c r="BI4299" s="477">
        <v>17229622.390006728</v>
      </c>
      <c r="BJ4299" s="458">
        <v>0.13719501060329997</v>
      </c>
      <c r="BK4299" s="477">
        <v>85710172.930191308</v>
      </c>
      <c r="BL4299" s="458">
        <v>0.26283061214835901</v>
      </c>
      <c r="BM4299" s="468">
        <v>10.833765456791602</v>
      </c>
    </row>
    <row r="4300" spans="12:65" x14ac:dyDescent="0.3">
      <c r="L4300" s="427">
        <v>10062638.317199999</v>
      </c>
      <c r="BE4300" s="477">
        <v>2328261.8519505095</v>
      </c>
      <c r="BF4300" s="458">
        <v>2.5181060374963593E-2</v>
      </c>
      <c r="BG4300" s="477">
        <v>7482491.4428073624</v>
      </c>
      <c r="BH4300" s="458">
        <v>7.0667889553025054E-2</v>
      </c>
      <c r="BI4300" s="477">
        <v>11890370.525111755</v>
      </c>
      <c r="BJ4300" s="458">
        <v>0.10175970538452961</v>
      </c>
      <c r="BK4300" s="477">
        <v>94512352.25786981</v>
      </c>
      <c r="BL4300" s="458">
        <v>0.25862799973889405</v>
      </c>
      <c r="BM4300" s="468">
        <v>8.3914142800082345</v>
      </c>
    </row>
    <row r="4301" spans="12:65" x14ac:dyDescent="0.3">
      <c r="L4301" s="427">
        <v>23302665.316300001</v>
      </c>
      <c r="BE4301" s="477">
        <v>5456933.0978740836</v>
      </c>
      <c r="BF4301" s="458">
        <v>3.3407603045249923E-2</v>
      </c>
      <c r="BG4301" s="477">
        <v>12988389.315610452</v>
      </c>
      <c r="BH4301" s="458">
        <v>4.9369317257781375E-2</v>
      </c>
      <c r="BI4301" s="477">
        <v>11062759.588073609</v>
      </c>
      <c r="BJ4301" s="458">
        <v>8.5409261210249054E-2</v>
      </c>
      <c r="BK4301" s="477">
        <v>93169806.412975445</v>
      </c>
      <c r="BL4301" s="458">
        <v>0.27791025898673771</v>
      </c>
      <c r="BM4301" s="468">
        <v>13.489060540548191</v>
      </c>
    </row>
    <row r="4302" spans="12:65" x14ac:dyDescent="0.3">
      <c r="L4302" s="427">
        <v>694725.7193</v>
      </c>
      <c r="BE4302" s="477">
        <v>6256350.8249526704</v>
      </c>
      <c r="BF4302" s="458">
        <v>4.3812893269427944E-2</v>
      </c>
      <c r="BG4302" s="477">
        <v>10348243.035563214</v>
      </c>
      <c r="BH4302" s="458">
        <v>8.015506112052706E-2</v>
      </c>
      <c r="BI4302" s="477">
        <v>14301259.952094477</v>
      </c>
      <c r="BJ4302" s="458">
        <v>0.10217061137044303</v>
      </c>
      <c r="BK4302" s="477">
        <v>93386503.34092474</v>
      </c>
      <c r="BL4302" s="458">
        <v>0.27297449678290531</v>
      </c>
      <c r="BM4302" s="468">
        <v>5.7036422700588441</v>
      </c>
    </row>
    <row r="4303" spans="12:65" x14ac:dyDescent="0.3">
      <c r="L4303" s="427">
        <v>-2956668.8594999998</v>
      </c>
      <c r="BE4303" s="477">
        <v>4590713.1057146937</v>
      </c>
      <c r="BF4303" s="458">
        <v>4.2528635990469965E-2</v>
      </c>
      <c r="BG4303" s="477">
        <v>5242082.9873620337</v>
      </c>
      <c r="BH4303" s="458">
        <v>7.4155252157232621E-2</v>
      </c>
      <c r="BI4303" s="477">
        <v>16582545.441393683</v>
      </c>
      <c r="BJ4303" s="458">
        <v>0.12925274322901337</v>
      </c>
      <c r="BK4303" s="477">
        <v>102196669.69540846</v>
      </c>
      <c r="BL4303" s="458">
        <v>0.25727415276696197</v>
      </c>
      <c r="BM4303" s="468">
        <v>7.3618452286617231</v>
      </c>
    </row>
    <row r="4304" spans="12:65" x14ac:dyDescent="0.3">
      <c r="L4304" s="427">
        <v>20078990.1994</v>
      </c>
      <c r="BE4304" s="477">
        <v>4570200.7389864195</v>
      </c>
      <c r="BF4304" s="458">
        <v>4.2490303409852048E-2</v>
      </c>
      <c r="BG4304" s="477">
        <v>10743055.684733532</v>
      </c>
      <c r="BH4304" s="458">
        <v>6.9940458012933915E-2</v>
      </c>
      <c r="BI4304" s="477">
        <v>19990342.338876229</v>
      </c>
      <c r="BJ4304" s="458">
        <v>0.10221456560248954</v>
      </c>
      <c r="BK4304" s="477">
        <v>96573989.462137669</v>
      </c>
      <c r="BL4304" s="458">
        <v>0.25684592971685616</v>
      </c>
      <c r="BM4304" s="468">
        <v>5.506755502897466</v>
      </c>
    </row>
    <row r="4305" spans="12:65" x14ac:dyDescent="0.3">
      <c r="L4305" s="427">
        <v>13495175.1942</v>
      </c>
      <c r="BE4305" s="477">
        <v>3779048.4933615346</v>
      </c>
      <c r="BF4305" s="458">
        <v>3.0280521724203036E-2</v>
      </c>
      <c r="BG4305" s="477">
        <v>-795632.67251882795</v>
      </c>
      <c r="BH4305" s="458">
        <v>4.4177168098423536E-2</v>
      </c>
      <c r="BI4305" s="477">
        <v>15585853.617380807</v>
      </c>
      <c r="BJ4305" s="458">
        <v>0.11465273408065735</v>
      </c>
      <c r="BK4305" s="477">
        <v>82174927.909419984</v>
      </c>
      <c r="BL4305" s="458">
        <v>0.26608918666735337</v>
      </c>
      <c r="BM4305" s="468">
        <v>5.2683341249739524</v>
      </c>
    </row>
    <row r="4306" spans="12:65" x14ac:dyDescent="0.3">
      <c r="L4306" s="427">
        <v>7561434.7762000002</v>
      </c>
      <c r="BE4306" s="477">
        <v>2017445.3176631813</v>
      </c>
      <c r="BF4306" s="458">
        <v>4.6461977489537842E-2</v>
      </c>
      <c r="BG4306" s="477">
        <v>3774146.9133735225</v>
      </c>
      <c r="BH4306" s="458">
        <v>7.7104231841321091E-2</v>
      </c>
      <c r="BI4306" s="477">
        <v>15187139.815834323</v>
      </c>
      <c r="BJ4306" s="458">
        <v>0.13114680191415751</v>
      </c>
      <c r="BK4306" s="477">
        <v>98876227.22055687</v>
      </c>
      <c r="BL4306" s="458">
        <v>0.2670376982739906</v>
      </c>
      <c r="BM4306" s="468">
        <v>5.9428838479383579</v>
      </c>
    </row>
    <row r="4307" spans="12:65" x14ac:dyDescent="0.3">
      <c r="L4307" s="427">
        <v>17501091.9789</v>
      </c>
      <c r="BE4307" s="477">
        <v>12554135.406665241</v>
      </c>
      <c r="BF4307" s="458">
        <v>5.518047087254474E-2</v>
      </c>
      <c r="BG4307" s="477">
        <v>10131075.226442635</v>
      </c>
      <c r="BH4307" s="458">
        <v>7.1729353988797984E-2</v>
      </c>
      <c r="BI4307" s="477">
        <v>15309701.74875023</v>
      </c>
      <c r="BJ4307" s="458">
        <v>0.12508072052649966</v>
      </c>
      <c r="BK4307" s="477">
        <v>82045174.071714073</v>
      </c>
      <c r="BL4307" s="458">
        <v>0.30568215643383678</v>
      </c>
      <c r="BM4307" s="468">
        <v>17.764500205330513</v>
      </c>
    </row>
    <row r="4308" spans="12:65" x14ac:dyDescent="0.3">
      <c r="L4308" s="427">
        <v>11622283.4122</v>
      </c>
      <c r="BE4308" s="477">
        <v>6801327.613681375</v>
      </c>
      <c r="BF4308" s="458">
        <v>5.3448975408210808E-2</v>
      </c>
      <c r="BG4308" s="477">
        <v>10923376.037845092</v>
      </c>
      <c r="BH4308" s="458">
        <v>9.9962961804355821E-2</v>
      </c>
      <c r="BI4308" s="477">
        <v>17549933.790294666</v>
      </c>
      <c r="BJ4308" s="458">
        <v>0.12745931698340396</v>
      </c>
      <c r="BK4308" s="477">
        <v>96345948.703065708</v>
      </c>
      <c r="BL4308" s="458">
        <v>0.29668057671333115</v>
      </c>
      <c r="BM4308" s="468">
        <v>3.3118837283580556</v>
      </c>
    </row>
    <row r="4309" spans="12:65" x14ac:dyDescent="0.3">
      <c r="L4309" s="427">
        <v>-2778634.9671999998</v>
      </c>
      <c r="BE4309" s="477">
        <v>7514696.7802096289</v>
      </c>
      <c r="BF4309" s="458">
        <v>3.1157702991106762E-2</v>
      </c>
      <c r="BG4309" s="477">
        <v>10089891.005602712</v>
      </c>
      <c r="BH4309" s="458">
        <v>7.3561637154416326E-2</v>
      </c>
      <c r="BI4309" s="477">
        <v>8393468.297174532</v>
      </c>
      <c r="BJ4309" s="458">
        <v>0.12299337965074231</v>
      </c>
      <c r="BK4309" s="477">
        <v>98795862.861122474</v>
      </c>
      <c r="BL4309" s="458">
        <v>0.27017145523529518</v>
      </c>
      <c r="BM4309" s="468">
        <v>10.541458046371336</v>
      </c>
    </row>
    <row r="4310" spans="12:65" x14ac:dyDescent="0.3">
      <c r="L4310" s="427">
        <v>14741840.9924</v>
      </c>
      <c r="BE4310" s="477">
        <v>5093413.4529676652</v>
      </c>
      <c r="BF4310" s="458">
        <v>4.2231023269924117E-2</v>
      </c>
      <c r="BG4310" s="477">
        <v>8389845.9740456361</v>
      </c>
      <c r="BH4310" s="458">
        <v>6.0804635246344052E-2</v>
      </c>
      <c r="BI4310" s="477">
        <v>10136970.532596311</v>
      </c>
      <c r="BJ4310" s="458">
        <v>7.5497682329775717E-2</v>
      </c>
      <c r="BK4310" s="477">
        <v>87790160.436720803</v>
      </c>
      <c r="BL4310" s="458">
        <v>0.28619239031174781</v>
      </c>
      <c r="BM4310" s="468">
        <v>5.9825895250274499</v>
      </c>
    </row>
    <row r="4311" spans="12:65" x14ac:dyDescent="0.3">
      <c r="L4311" s="427">
        <v>19191617.076900002</v>
      </c>
      <c r="BE4311" s="477">
        <v>1039868.0271786969</v>
      </c>
      <c r="BF4311" s="458">
        <v>3.2336095611150251E-2</v>
      </c>
      <c r="BG4311" s="477">
        <v>10925771.348730505</v>
      </c>
      <c r="BH4311" s="458">
        <v>6.0690982244938851E-2</v>
      </c>
      <c r="BI4311" s="477">
        <v>13148148.024254223</v>
      </c>
      <c r="BJ4311" s="458">
        <v>0.11554321889835784</v>
      </c>
      <c r="BK4311" s="477">
        <v>85117751.571688339</v>
      </c>
      <c r="BL4311" s="458">
        <v>0.24470420987295594</v>
      </c>
      <c r="BM4311" s="468">
        <v>8.2645658036041372</v>
      </c>
    </row>
    <row r="4312" spans="12:65" x14ac:dyDescent="0.3">
      <c r="L4312" s="427">
        <v>21680947.4575</v>
      </c>
      <c r="BE4312" s="477">
        <v>4418871.3290985897</v>
      </c>
      <c r="BF4312" s="458">
        <v>4.3849657407261988E-2</v>
      </c>
      <c r="BG4312" s="477">
        <v>8151233.3504728274</v>
      </c>
      <c r="BH4312" s="458">
        <v>5.7590269565612751E-2</v>
      </c>
      <c r="BI4312" s="477">
        <v>15958976.285875453</v>
      </c>
      <c r="BJ4312" s="458">
        <v>0.11203985318311904</v>
      </c>
      <c r="BK4312" s="477">
        <v>92306916.40547277</v>
      </c>
      <c r="BL4312" s="458">
        <v>0.25795836047521892</v>
      </c>
      <c r="BM4312" s="468">
        <v>4.2738151811806446</v>
      </c>
    </row>
    <row r="4313" spans="12:65" x14ac:dyDescent="0.3">
      <c r="L4313" s="427">
        <v>16043059.4125</v>
      </c>
      <c r="BE4313" s="477">
        <v>7183671.4520228049</v>
      </c>
      <c r="BF4313" s="458">
        <v>4.8880222002754437E-2</v>
      </c>
      <c r="BG4313" s="477">
        <v>12914857.582103744</v>
      </c>
      <c r="BH4313" s="458">
        <v>6.1981244904768751E-2</v>
      </c>
      <c r="BI4313" s="477">
        <v>19360825.002763361</v>
      </c>
      <c r="BJ4313" s="458">
        <v>9.8280597076747966E-2</v>
      </c>
      <c r="BK4313" s="477">
        <v>90152782.821461439</v>
      </c>
      <c r="BL4313" s="458">
        <v>0.2826680514796589</v>
      </c>
      <c r="BM4313" s="468">
        <v>0.30151489799637332</v>
      </c>
    </row>
    <row r="4314" spans="12:65" x14ac:dyDescent="0.3">
      <c r="L4314" s="427">
        <v>-10527809.077299999</v>
      </c>
      <c r="BE4314" s="477">
        <v>4051852.0754321441</v>
      </c>
      <c r="BF4314" s="458">
        <v>3.7646370426583031E-2</v>
      </c>
      <c r="BG4314" s="477">
        <v>18552058.991297115</v>
      </c>
      <c r="BH4314" s="458">
        <v>6.193867508991735E-2</v>
      </c>
      <c r="BI4314" s="477">
        <v>19229935.142476059</v>
      </c>
      <c r="BJ4314" s="458">
        <v>9.0829405616657866E-2</v>
      </c>
      <c r="BK4314" s="477">
        <v>71309784.752253562</v>
      </c>
      <c r="BL4314" s="458">
        <v>0.27326729557857998</v>
      </c>
      <c r="BM4314" s="468">
        <v>9.7570849502007775</v>
      </c>
    </row>
    <row r="4315" spans="12:65" x14ac:dyDescent="0.3">
      <c r="L4315" s="427">
        <v>4287412.0433</v>
      </c>
      <c r="BE4315" s="477">
        <v>3860779.7842536387</v>
      </c>
      <c r="BF4315" s="458">
        <v>2.9528078342866637E-2</v>
      </c>
      <c r="BG4315" s="477">
        <v>13033681.679042967</v>
      </c>
      <c r="BH4315" s="458">
        <v>7.2703744534236892E-2</v>
      </c>
      <c r="BI4315" s="477">
        <v>18604544.120015815</v>
      </c>
      <c r="BJ4315" s="458">
        <v>7.4321660437297377E-2</v>
      </c>
      <c r="BK4315" s="477">
        <v>88675401.337631017</v>
      </c>
      <c r="BL4315" s="458">
        <v>0.28239423811198039</v>
      </c>
      <c r="BM4315" s="468">
        <v>8.3118420005189346</v>
      </c>
    </row>
    <row r="4316" spans="12:65" x14ac:dyDescent="0.3">
      <c r="L4316" s="427">
        <v>3979616.6989000002</v>
      </c>
      <c r="BE4316" s="477">
        <v>5137302.9722193228</v>
      </c>
      <c r="BF4316" s="458">
        <v>4.7501307590937847E-2</v>
      </c>
      <c r="BG4316" s="477">
        <v>8114891.5303695947</v>
      </c>
      <c r="BH4316" s="458">
        <v>5.7607400920316465E-2</v>
      </c>
      <c r="BI4316" s="477">
        <v>8740088.2211116143</v>
      </c>
      <c r="BJ4316" s="458">
        <v>0.11958571183268862</v>
      </c>
      <c r="BK4316" s="477">
        <v>98260134.854389131</v>
      </c>
      <c r="BL4316" s="458">
        <v>0.25884913813662402</v>
      </c>
      <c r="BM4316" s="468">
        <v>0.92168174533225944</v>
      </c>
    </row>
    <row r="4317" spans="12:65" x14ac:dyDescent="0.3">
      <c r="L4317" s="427">
        <v>16293853.7293</v>
      </c>
      <c r="BE4317" s="477">
        <v>9287295.7838682421</v>
      </c>
      <c r="BF4317" s="458">
        <v>6.857173695974339E-2</v>
      </c>
      <c r="BG4317" s="477">
        <v>12000996.740954213</v>
      </c>
      <c r="BH4317" s="458">
        <v>5.345792629759849E-2</v>
      </c>
      <c r="BI4317" s="477">
        <v>14992286.909697659</v>
      </c>
      <c r="BJ4317" s="458">
        <v>0.10782236144622304</v>
      </c>
      <c r="BK4317" s="477">
        <v>90126598.309766829</v>
      </c>
      <c r="BL4317" s="458">
        <v>0.28378544581175147</v>
      </c>
      <c r="BM4317" s="468">
        <v>16.131632119748378</v>
      </c>
    </row>
    <row r="4318" spans="12:65" x14ac:dyDescent="0.3">
      <c r="L4318" s="427">
        <v>9870480.7879000008</v>
      </c>
      <c r="BE4318" s="477">
        <v>3507397.6081212284</v>
      </c>
      <c r="BF4318" s="458">
        <v>3.2064517727263153E-2</v>
      </c>
      <c r="BG4318" s="477">
        <v>7004073.7297388902</v>
      </c>
      <c r="BH4318" s="458">
        <v>5.3449908363010668E-2</v>
      </c>
      <c r="BI4318" s="477">
        <v>21009989.474709727</v>
      </c>
      <c r="BJ4318" s="458">
        <v>8.7467575881229997E-2</v>
      </c>
      <c r="BK4318" s="477">
        <v>82577539.82743296</v>
      </c>
      <c r="BL4318" s="458">
        <v>0.27433304315107043</v>
      </c>
      <c r="BM4318" s="468">
        <v>6.0243287137109967</v>
      </c>
    </row>
    <row r="4319" spans="12:65" x14ac:dyDescent="0.3">
      <c r="L4319" s="427">
        <v>4367371.3320000004</v>
      </c>
      <c r="BE4319" s="477">
        <v>5230898.6036518523</v>
      </c>
      <c r="BF4319" s="458">
        <v>6.2531690430597475E-2</v>
      </c>
      <c r="BG4319" s="477">
        <v>12902680.689559093</v>
      </c>
      <c r="BH4319" s="458">
        <v>7.0978288034374559E-2</v>
      </c>
      <c r="BI4319" s="477">
        <v>15087405.216006806</v>
      </c>
      <c r="BJ4319" s="458">
        <v>9.5806106885283349E-2</v>
      </c>
      <c r="BK4319" s="477">
        <v>99203022.956668258</v>
      </c>
      <c r="BL4319" s="458">
        <v>0.25927998876188818</v>
      </c>
      <c r="BM4319" s="468">
        <v>4.6416274088592431</v>
      </c>
    </row>
    <row r="4320" spans="12:65" x14ac:dyDescent="0.3">
      <c r="L4320" s="427">
        <v>184911.83350000001</v>
      </c>
      <c r="BE4320" s="477">
        <v>5326026.4190201759</v>
      </c>
      <c r="BF4320" s="458">
        <v>3.6792169121189211E-2</v>
      </c>
      <c r="BG4320" s="477">
        <v>10024179.736446492</v>
      </c>
      <c r="BH4320" s="458">
        <v>4.0536147121986943E-2</v>
      </c>
      <c r="BI4320" s="477">
        <v>19013497.942566283</v>
      </c>
      <c r="BJ4320" s="458">
        <v>0.15222631725953639</v>
      </c>
      <c r="BK4320" s="477">
        <v>78446773.180779472</v>
      </c>
      <c r="BL4320" s="458">
        <v>0.25252168075323778</v>
      </c>
      <c r="BM4320" s="468">
        <v>5.1904590382232652</v>
      </c>
    </row>
    <row r="4321" spans="12:65" x14ac:dyDescent="0.3">
      <c r="L4321" s="427">
        <v>3023090.8717999998</v>
      </c>
      <c r="BE4321" s="477">
        <v>6830427.7879243102</v>
      </c>
      <c r="BF4321" s="458">
        <v>2.2394434874753122E-2</v>
      </c>
      <c r="BG4321" s="477">
        <v>8401780.1205186453</v>
      </c>
      <c r="BH4321" s="458">
        <v>5.2279515056628867E-2</v>
      </c>
      <c r="BI4321" s="477">
        <v>15973974.324860167</v>
      </c>
      <c r="BJ4321" s="458">
        <v>0.13011873470708535</v>
      </c>
      <c r="BK4321" s="477">
        <v>94827625.99774985</v>
      </c>
      <c r="BL4321" s="458">
        <v>0.26648432596171601</v>
      </c>
      <c r="BM4321" s="468">
        <v>13.915835698024839</v>
      </c>
    </row>
    <row r="4322" spans="12:65" x14ac:dyDescent="0.3">
      <c r="L4322" s="427">
        <v>16609648.693</v>
      </c>
      <c r="BE4322" s="477">
        <v>3961112.5276595512</v>
      </c>
      <c r="BF4322" s="458">
        <v>5.1466386509095852E-2</v>
      </c>
      <c r="BG4322" s="477">
        <v>8351732.6842305558</v>
      </c>
      <c r="BH4322" s="458">
        <v>6.9679053213009823E-2</v>
      </c>
      <c r="BI4322" s="477">
        <v>14157184.430743193</v>
      </c>
      <c r="BJ4322" s="458">
        <v>0.10658922957492489</v>
      </c>
      <c r="BK4322" s="477">
        <v>83808351.865115628</v>
      </c>
      <c r="BL4322" s="458">
        <v>0.26341455745872255</v>
      </c>
      <c r="BM4322" s="468">
        <v>9.3502602369584409</v>
      </c>
    </row>
    <row r="4323" spans="12:65" x14ac:dyDescent="0.3">
      <c r="L4323" s="427">
        <v>-15632592.4904</v>
      </c>
      <c r="BE4323" s="477">
        <v>7575964.4910195647</v>
      </c>
      <c r="BF4323" s="458">
        <v>3.726916844820205E-2</v>
      </c>
      <c r="BG4323" s="477">
        <v>7551593.5968963159</v>
      </c>
      <c r="BH4323" s="458">
        <v>6.1004538062552349E-2</v>
      </c>
      <c r="BI4323" s="477">
        <v>16027784.6790957</v>
      </c>
      <c r="BJ4323" s="458">
        <v>9.6553845798448945E-2</v>
      </c>
      <c r="BK4323" s="477">
        <v>86196259.231487021</v>
      </c>
      <c r="BL4323" s="458">
        <v>0.26675783384443075</v>
      </c>
      <c r="BM4323" s="468">
        <v>4.6838560409453587</v>
      </c>
    </row>
    <row r="4324" spans="12:65" x14ac:dyDescent="0.3">
      <c r="L4324" s="427">
        <v>-861038.14749999996</v>
      </c>
      <c r="BE4324" s="477">
        <v>4472718.646329768</v>
      </c>
      <c r="BF4324" s="458">
        <v>5.4004241258639896E-2</v>
      </c>
      <c r="BG4324" s="477">
        <v>10682281.68628926</v>
      </c>
      <c r="BH4324" s="458">
        <v>9.6787414501429136E-2</v>
      </c>
      <c r="BI4324" s="477">
        <v>28060718.743501678</v>
      </c>
      <c r="BJ4324" s="458">
        <v>0.10254702097180712</v>
      </c>
      <c r="BK4324" s="477">
        <v>79088023.860901028</v>
      </c>
      <c r="BL4324" s="458">
        <v>0.2823139787732365</v>
      </c>
      <c r="BM4324" s="468">
        <v>2.9416433306338625</v>
      </c>
    </row>
    <row r="4325" spans="12:65" x14ac:dyDescent="0.3">
      <c r="L4325" s="427">
        <v>17392762.686299998</v>
      </c>
      <c r="BE4325" s="477">
        <v>3760098.5780274328</v>
      </c>
      <c r="BF4325" s="458">
        <v>4.6460731193375571E-2</v>
      </c>
      <c r="BG4325" s="477">
        <v>4881585.8414139999</v>
      </c>
      <c r="BH4325" s="458">
        <v>6.5794082339236226E-2</v>
      </c>
      <c r="BI4325" s="477">
        <v>10110789.618193828</v>
      </c>
      <c r="BJ4325" s="458">
        <v>8.5583219373948527E-2</v>
      </c>
      <c r="BK4325" s="477">
        <v>91885899.284636989</v>
      </c>
      <c r="BL4325" s="458">
        <v>0.26193715161439046</v>
      </c>
      <c r="BM4325" s="468">
        <v>10.330892842262836</v>
      </c>
    </row>
    <row r="4326" spans="12:65" x14ac:dyDescent="0.3">
      <c r="L4326" s="427">
        <v>23659804.848900001</v>
      </c>
      <c r="BE4326" s="477">
        <v>6356680.2326834761</v>
      </c>
      <c r="BF4326" s="458">
        <v>5.4923049362658238E-2</v>
      </c>
      <c r="BG4326" s="477">
        <v>13223509.537545903</v>
      </c>
      <c r="BH4326" s="458">
        <v>7.5265717731856085E-2</v>
      </c>
      <c r="BI4326" s="477">
        <v>14347440.094715139</v>
      </c>
      <c r="BJ4326" s="458">
        <v>0.14593590509431231</v>
      </c>
      <c r="BK4326" s="477">
        <v>91349742.204616666</v>
      </c>
      <c r="BL4326" s="458">
        <v>0.28755503227557466</v>
      </c>
      <c r="BM4326" s="468">
        <v>5.386578522465074</v>
      </c>
    </row>
    <row r="4327" spans="12:65" x14ac:dyDescent="0.3">
      <c r="L4327" s="427">
        <v>3406257.8421999998</v>
      </c>
      <c r="BE4327" s="477">
        <v>5709526.3437274629</v>
      </c>
      <c r="BF4327" s="458">
        <v>3.7188248454194772E-2</v>
      </c>
      <c r="BG4327" s="477">
        <v>10647399.635934979</v>
      </c>
      <c r="BH4327" s="458">
        <v>6.4364027477103125E-2</v>
      </c>
      <c r="BI4327" s="477">
        <v>13377450.189942233</v>
      </c>
      <c r="BJ4327" s="458">
        <v>0.1190234830785073</v>
      </c>
      <c r="BK4327" s="477">
        <v>81183474.997931257</v>
      </c>
      <c r="BL4327" s="458">
        <v>0.26171510819559751</v>
      </c>
      <c r="BM4327" s="468">
        <v>7.4404565815062673</v>
      </c>
    </row>
    <row r="4328" spans="12:65" x14ac:dyDescent="0.3">
      <c r="L4328" s="427">
        <v>15140055.1811</v>
      </c>
      <c r="BE4328" s="477">
        <v>4436223.522070542</v>
      </c>
      <c r="BF4328" s="458">
        <v>5.5757171409553274E-2</v>
      </c>
      <c r="BG4328" s="477">
        <v>15298009.369629912</v>
      </c>
      <c r="BH4328" s="458">
        <v>6.2427450857456046E-2</v>
      </c>
      <c r="BI4328" s="477">
        <v>16411733.078001374</v>
      </c>
      <c r="BJ4328" s="458">
        <v>0.13251033645809862</v>
      </c>
      <c r="BK4328" s="477">
        <v>88803832.005460158</v>
      </c>
      <c r="BL4328" s="458">
        <v>0.26742109432634331</v>
      </c>
      <c r="BM4328" s="468">
        <v>8.5455606709826508</v>
      </c>
    </row>
    <row r="4329" spans="12:65" x14ac:dyDescent="0.3">
      <c r="L4329" s="427">
        <v>1918281.5666</v>
      </c>
      <c r="BE4329" s="477">
        <v>7413856.8513565063</v>
      </c>
      <c r="BF4329" s="458">
        <v>3.21247372451261E-2</v>
      </c>
      <c r="BG4329" s="477">
        <v>7742394.7167371912</v>
      </c>
      <c r="BH4329" s="458">
        <v>7.0200567070220155E-2</v>
      </c>
      <c r="BI4329" s="477">
        <v>18316247.797182374</v>
      </c>
      <c r="BJ4329" s="458">
        <v>9.9824552883115869E-2</v>
      </c>
      <c r="BK4329" s="477">
        <v>108403069.73388667</v>
      </c>
      <c r="BL4329" s="458">
        <v>0.25965363564772459</v>
      </c>
      <c r="BM4329" s="468">
        <v>8.4964167140943978</v>
      </c>
    </row>
    <row r="4330" spans="12:65" x14ac:dyDescent="0.3">
      <c r="L4330" s="427">
        <v>18005107.074099999</v>
      </c>
      <c r="BE4330" s="477">
        <v>9401836.9918535985</v>
      </c>
      <c r="BF4330" s="458">
        <v>4.8848841529090636E-2</v>
      </c>
      <c r="BG4330" s="477">
        <v>5152263.4197562197</v>
      </c>
      <c r="BH4330" s="458">
        <v>7.7859881491665117E-2</v>
      </c>
      <c r="BI4330" s="477">
        <v>18856695.060961839</v>
      </c>
      <c r="BJ4330" s="458">
        <v>0.12665302723997329</v>
      </c>
      <c r="BK4330" s="477">
        <v>84542489.519919947</v>
      </c>
      <c r="BL4330" s="458">
        <v>0.28896129408084503</v>
      </c>
      <c r="BM4330" s="468">
        <v>9.8146576529902934</v>
      </c>
    </row>
    <row r="4331" spans="12:65" x14ac:dyDescent="0.3">
      <c r="L4331" s="427">
        <v>-5335969.2307000002</v>
      </c>
      <c r="BE4331" s="477">
        <v>2647409.8452790035</v>
      </c>
      <c r="BF4331" s="458">
        <v>3.4661235074182839E-2</v>
      </c>
      <c r="BG4331" s="477">
        <v>14358610.532995513</v>
      </c>
      <c r="BH4331" s="458">
        <v>6.0983485950624861E-2</v>
      </c>
      <c r="BI4331" s="477">
        <v>18088982.687841676</v>
      </c>
      <c r="BJ4331" s="458">
        <v>0.11781734066771854</v>
      </c>
      <c r="BK4331" s="477">
        <v>84613773.214979947</v>
      </c>
      <c r="BL4331" s="458">
        <v>0.28127343658818926</v>
      </c>
      <c r="BM4331" s="468">
        <v>7.709880791638005</v>
      </c>
    </row>
    <row r="4332" spans="12:65" x14ac:dyDescent="0.3">
      <c r="L4332" s="427">
        <v>11613580.062899999</v>
      </c>
      <c r="BE4332" s="477">
        <v>5626135.1319389166</v>
      </c>
      <c r="BF4332" s="458">
        <v>5.1392021378529051E-2</v>
      </c>
      <c r="BG4332" s="477">
        <v>9069092.1677206699</v>
      </c>
      <c r="BH4332" s="458">
        <v>8.7129161352077711E-2</v>
      </c>
      <c r="BI4332" s="477">
        <v>22843642.815997221</v>
      </c>
      <c r="BJ4332" s="458">
        <v>0.10891106266966544</v>
      </c>
      <c r="BK4332" s="477">
        <v>77964474.420041263</v>
      </c>
      <c r="BL4332" s="458">
        <v>0.28557554473097868</v>
      </c>
      <c r="BM4332" s="468">
        <v>4.8859509843189688</v>
      </c>
    </row>
    <row r="4333" spans="12:65" x14ac:dyDescent="0.3">
      <c r="L4333" s="427">
        <v>-6096620.6755999997</v>
      </c>
      <c r="BE4333" s="477">
        <v>7101652.4444994424</v>
      </c>
      <c r="BF4333" s="458">
        <v>5.5100152603042352E-2</v>
      </c>
      <c r="BG4333" s="477">
        <v>9918452.6931939386</v>
      </c>
      <c r="BH4333" s="458">
        <v>7.2129631487417578E-2</v>
      </c>
      <c r="BI4333" s="477">
        <v>19871023.283051949</v>
      </c>
      <c r="BJ4333" s="458">
        <v>0.11958206479559608</v>
      </c>
      <c r="BK4333" s="477">
        <v>80978384.999705777</v>
      </c>
      <c r="BL4333" s="458">
        <v>0.2669341853453655</v>
      </c>
      <c r="BM4333" s="468">
        <v>6.461603300364593</v>
      </c>
    </row>
    <row r="4334" spans="12:65" x14ac:dyDescent="0.3">
      <c r="L4334" s="427">
        <v>15825051.948000001</v>
      </c>
      <c r="BE4334" s="477">
        <v>5084936.1175406696</v>
      </c>
      <c r="BF4334" s="458">
        <v>5.0422004783840846E-2</v>
      </c>
      <c r="BG4334" s="477">
        <v>978547.13606953877</v>
      </c>
      <c r="BH4334" s="458">
        <v>5.8441632341398542E-2</v>
      </c>
      <c r="BI4334" s="477">
        <v>19662095.958279856</v>
      </c>
      <c r="BJ4334" s="458">
        <v>0.10136956692032939</v>
      </c>
      <c r="BK4334" s="477">
        <v>93322500.600852177</v>
      </c>
      <c r="BL4334" s="458">
        <v>0.26953987618926001</v>
      </c>
      <c r="BM4334" s="468">
        <v>6.1883004261620442</v>
      </c>
    </row>
    <row r="4335" spans="12:65" x14ac:dyDescent="0.3">
      <c r="L4335" s="427">
        <v>23089041.168499999</v>
      </c>
      <c r="BE4335" s="477">
        <v>5327574.6952531952</v>
      </c>
      <c r="BF4335" s="458">
        <v>4.4077451258531575E-2</v>
      </c>
      <c r="BG4335" s="477">
        <v>13724263.065061044</v>
      </c>
      <c r="BH4335" s="458">
        <v>7.6596778570168444E-2</v>
      </c>
      <c r="BI4335" s="477">
        <v>23091332.274357084</v>
      </c>
      <c r="BJ4335" s="458">
        <v>0.10419354002506864</v>
      </c>
      <c r="BK4335" s="477">
        <v>90265257.130423456</v>
      </c>
      <c r="BL4335" s="458">
        <v>0.29086143721751712</v>
      </c>
      <c r="BM4335" s="468">
        <v>10.015474839597839</v>
      </c>
    </row>
    <row r="4336" spans="12:65" x14ac:dyDescent="0.3">
      <c r="L4336" s="427">
        <v>11243003.435000001</v>
      </c>
      <c r="BE4336" s="477">
        <v>5442536.7066210341</v>
      </c>
      <c r="BF4336" s="458">
        <v>4.0958665063758781E-2</v>
      </c>
      <c r="BG4336" s="477">
        <v>4859585.4736440321</v>
      </c>
      <c r="BH4336" s="458">
        <v>4.3799110939521269E-2</v>
      </c>
      <c r="BI4336" s="477">
        <v>16105521.980821526</v>
      </c>
      <c r="BJ4336" s="458">
        <v>0.12323474443075799</v>
      </c>
      <c r="BK4336" s="477">
        <v>91576135.200128347</v>
      </c>
      <c r="BL4336" s="458">
        <v>0.2772898752442543</v>
      </c>
      <c r="BM4336" s="468">
        <v>5.4035776250033747</v>
      </c>
    </row>
    <row r="4337" spans="12:65" x14ac:dyDescent="0.3">
      <c r="L4337" s="427">
        <v>11937198.345899999</v>
      </c>
      <c r="BE4337" s="477">
        <v>6772308.1867408808</v>
      </c>
      <c r="BF4337" s="458">
        <v>5.0607333359262041E-2</v>
      </c>
      <c r="BG4337" s="477">
        <v>4381396.1479458101</v>
      </c>
      <c r="BH4337" s="458">
        <v>5.9482640691344457E-2</v>
      </c>
      <c r="BI4337" s="477">
        <v>13485457.82265082</v>
      </c>
      <c r="BJ4337" s="458">
        <v>7.8075852452484718E-2</v>
      </c>
      <c r="BK4337" s="477">
        <v>98096521.090113431</v>
      </c>
      <c r="BL4337" s="458">
        <v>0.2516639014576092</v>
      </c>
      <c r="BM4337" s="468">
        <v>6.4191825731020904</v>
      </c>
    </row>
    <row r="4338" spans="12:65" x14ac:dyDescent="0.3">
      <c r="L4338" s="427">
        <v>6653557.9210000001</v>
      </c>
      <c r="BE4338" s="477">
        <v>7016404.6944409469</v>
      </c>
      <c r="BF4338" s="458">
        <v>5.3843918989753714E-2</v>
      </c>
      <c r="BG4338" s="477">
        <v>4891202.6917371741</v>
      </c>
      <c r="BH4338" s="458">
        <v>6.5270493818063491E-2</v>
      </c>
      <c r="BI4338" s="477">
        <v>18699137.991201479</v>
      </c>
      <c r="BJ4338" s="458">
        <v>0.10867126713824971</v>
      </c>
      <c r="BK4338" s="477">
        <v>99253589.323952168</v>
      </c>
      <c r="BL4338" s="458">
        <v>0.25503754324168693</v>
      </c>
      <c r="BM4338" s="468">
        <v>5.9851037525274435</v>
      </c>
    </row>
    <row r="4339" spans="12:65" x14ac:dyDescent="0.3">
      <c r="L4339" s="427">
        <v>2603905.6526000001</v>
      </c>
      <c r="BE4339" s="477">
        <v>5345662.0695626866</v>
      </c>
      <c r="BF4339" s="458">
        <v>3.4865680173038038E-2</v>
      </c>
      <c r="BG4339" s="477">
        <v>10741573.161204703</v>
      </c>
      <c r="BH4339" s="458">
        <v>8.401075949945791E-2</v>
      </c>
      <c r="BI4339" s="477">
        <v>15345066.501496527</v>
      </c>
      <c r="BJ4339" s="458">
        <v>8.4603492161789751E-2</v>
      </c>
      <c r="BK4339" s="477">
        <v>92519572.507255405</v>
      </c>
      <c r="BL4339" s="458">
        <v>0.27781263268640699</v>
      </c>
      <c r="BM4339" s="468">
        <v>7.3469036999700581</v>
      </c>
    </row>
    <row r="4340" spans="12:65" x14ac:dyDescent="0.3">
      <c r="L4340" s="427">
        <v>7519580.4323000005</v>
      </c>
      <c r="BE4340" s="477">
        <v>10481513.203139087</v>
      </c>
      <c r="BF4340" s="458">
        <v>3.7662713528622493E-2</v>
      </c>
      <c r="BG4340" s="477">
        <v>10311102.80053718</v>
      </c>
      <c r="BH4340" s="458">
        <v>5.2447779794412286E-2</v>
      </c>
      <c r="BI4340" s="477">
        <v>24745700.897624489</v>
      </c>
      <c r="BJ4340" s="458">
        <v>0.12065007495921654</v>
      </c>
      <c r="BK4340" s="477">
        <v>88310107.165121645</v>
      </c>
      <c r="BL4340" s="458">
        <v>0.27485832236198338</v>
      </c>
      <c r="BM4340" s="468">
        <v>14.334857525019316</v>
      </c>
    </row>
    <row r="4341" spans="12:65" x14ac:dyDescent="0.3">
      <c r="L4341" s="427">
        <v>-1800411.7374</v>
      </c>
      <c r="BE4341" s="477">
        <v>7176972.1885406692</v>
      </c>
      <c r="BF4341" s="458">
        <v>4.2788497163573247E-2</v>
      </c>
      <c r="BG4341" s="477">
        <v>7987222.4947476164</v>
      </c>
      <c r="BH4341" s="458">
        <v>5.1547748743530519E-2</v>
      </c>
      <c r="BI4341" s="477">
        <v>13643694.82015549</v>
      </c>
      <c r="BJ4341" s="458">
        <v>9.6919404021539313E-2</v>
      </c>
      <c r="BK4341" s="477">
        <v>83656102.040813953</v>
      </c>
      <c r="BL4341" s="458">
        <v>0.26197255774145267</v>
      </c>
      <c r="BM4341" s="468">
        <v>3.9493557949301481</v>
      </c>
    </row>
    <row r="4342" spans="12:65" x14ac:dyDescent="0.3">
      <c r="L4342" s="427">
        <v>17248980.120099999</v>
      </c>
      <c r="BE4342" s="477">
        <v>4299123.0123162828</v>
      </c>
      <c r="BF4342" s="458">
        <v>4.5407649272411588E-2</v>
      </c>
      <c r="BG4342" s="477">
        <v>9226424.0116187073</v>
      </c>
      <c r="BH4342" s="458">
        <v>6.7439377635765574E-2</v>
      </c>
      <c r="BI4342" s="477">
        <v>24717849.869175412</v>
      </c>
      <c r="BJ4342" s="458">
        <v>0.12814837495825171</v>
      </c>
      <c r="BK4342" s="477">
        <v>91466063.860678151</v>
      </c>
      <c r="BL4342" s="458">
        <v>0.2666684636579093</v>
      </c>
      <c r="BM4342" s="468">
        <v>15.88853787381597</v>
      </c>
    </row>
    <row r="4343" spans="12:65" x14ac:dyDescent="0.3">
      <c r="L4343" s="427">
        <v>7965809.8288000003</v>
      </c>
      <c r="BE4343" s="477">
        <v>454657.78631310764</v>
      </c>
      <c r="BF4343" s="458">
        <v>4.8908050312687745E-2</v>
      </c>
      <c r="BG4343" s="477">
        <v>5087336.7875282364</v>
      </c>
      <c r="BH4343" s="458">
        <v>3.8094268381720253E-2</v>
      </c>
      <c r="BI4343" s="477">
        <v>14934841.054934243</v>
      </c>
      <c r="BJ4343" s="458">
        <v>0.10914559518375477</v>
      </c>
      <c r="BK4343" s="477">
        <v>89916566.771620497</v>
      </c>
      <c r="BL4343" s="458">
        <v>0.277199203328927</v>
      </c>
      <c r="BM4343" s="468">
        <v>8.9332908977202639</v>
      </c>
    </row>
    <row r="4344" spans="12:65" x14ac:dyDescent="0.3">
      <c r="L4344" s="427">
        <v>18857027.855</v>
      </c>
      <c r="BE4344" s="477">
        <v>4564265.9466508264</v>
      </c>
      <c r="BF4344" s="458">
        <v>2.252715788891213E-2</v>
      </c>
      <c r="BG4344" s="477">
        <v>2404974.5806483277</v>
      </c>
      <c r="BH4344" s="458">
        <v>4.6714332738714948E-2</v>
      </c>
      <c r="BI4344" s="477">
        <v>14063277.754483907</v>
      </c>
      <c r="BJ4344" s="458">
        <v>0.10557289407058246</v>
      </c>
      <c r="BK4344" s="477">
        <v>86237344.849735469</v>
      </c>
      <c r="BL4344" s="458">
        <v>0.28393133543344917</v>
      </c>
      <c r="BM4344" s="468">
        <v>9.2584620508642583</v>
      </c>
    </row>
    <row r="4345" spans="12:65" x14ac:dyDescent="0.3">
      <c r="L4345" s="427">
        <v>30298843.3299</v>
      </c>
      <c r="BE4345" s="477">
        <v>2871181.3236829531</v>
      </c>
      <c r="BF4345" s="458">
        <v>3.9300541513100917E-2</v>
      </c>
      <c r="BG4345" s="477">
        <v>5764465.011098966</v>
      </c>
      <c r="BH4345" s="458">
        <v>7.0393022850273601E-2</v>
      </c>
      <c r="BI4345" s="477">
        <v>11285535.089891331</v>
      </c>
      <c r="BJ4345" s="458">
        <v>0.10095905719746812</v>
      </c>
      <c r="BK4345" s="477">
        <v>97433260.548884168</v>
      </c>
      <c r="BL4345" s="458">
        <v>0.27389082000394871</v>
      </c>
      <c r="BM4345" s="468">
        <v>5.3283189546049758</v>
      </c>
    </row>
    <row r="4346" spans="12:65" x14ac:dyDescent="0.3">
      <c r="L4346" s="427">
        <v>12425076.434699999</v>
      </c>
      <c r="BE4346" s="477">
        <v>7192454.2795586847</v>
      </c>
      <c r="BF4346" s="458">
        <v>2.3007643288369239E-2</v>
      </c>
      <c r="BG4346" s="477">
        <v>10832869.849396713</v>
      </c>
      <c r="BH4346" s="458">
        <v>6.07025087766766E-2</v>
      </c>
      <c r="BI4346" s="477">
        <v>13515452.473895876</v>
      </c>
      <c r="BJ4346" s="458">
        <v>0.128660160845808</v>
      </c>
      <c r="BK4346" s="477">
        <v>90116456.671960309</v>
      </c>
      <c r="BL4346" s="458">
        <v>0.31009007204749683</v>
      </c>
      <c r="BM4346" s="468">
        <v>11.147794716939806</v>
      </c>
    </row>
    <row r="4347" spans="12:65" x14ac:dyDescent="0.3">
      <c r="L4347" s="427">
        <v>-6997517.7335000001</v>
      </c>
      <c r="BE4347" s="477">
        <v>5425372.5837705527</v>
      </c>
      <c r="BF4347" s="458">
        <v>4.3504435889945459E-2</v>
      </c>
      <c r="BG4347" s="477">
        <v>5796010.9638711261</v>
      </c>
      <c r="BH4347" s="458">
        <v>8.6524407329379605E-2</v>
      </c>
      <c r="BI4347" s="477">
        <v>9481805.1452587228</v>
      </c>
      <c r="BJ4347" s="458">
        <v>0.1083541548509066</v>
      </c>
      <c r="BK4347" s="477">
        <v>93748167.218033999</v>
      </c>
      <c r="BL4347" s="458">
        <v>0.26371615650715863</v>
      </c>
      <c r="BM4347" s="468">
        <v>6.8026487708621879</v>
      </c>
    </row>
    <row r="4348" spans="12:65" x14ac:dyDescent="0.3">
      <c r="L4348" s="427">
        <v>6023120.8971999995</v>
      </c>
      <c r="BE4348" s="477">
        <v>1232326.6336792363</v>
      </c>
      <c r="BF4348" s="458">
        <v>5.4562411052686333E-2</v>
      </c>
      <c r="BG4348" s="477">
        <v>10863992.913122341</v>
      </c>
      <c r="BH4348" s="458">
        <v>4.4933939563970293E-2</v>
      </c>
      <c r="BI4348" s="477">
        <v>17419844.749011993</v>
      </c>
      <c r="BJ4348" s="458">
        <v>0.10457479979389994</v>
      </c>
      <c r="BK4348" s="477">
        <v>85993688.956897616</v>
      </c>
      <c r="BL4348" s="458">
        <v>0.27625243199534233</v>
      </c>
      <c r="BM4348" s="468">
        <v>8.6764972772921158</v>
      </c>
    </row>
    <row r="4349" spans="12:65" x14ac:dyDescent="0.3">
      <c r="L4349" s="427">
        <v>20127307.411400001</v>
      </c>
      <c r="BE4349" s="477">
        <v>4864106.3300606245</v>
      </c>
      <c r="BF4349" s="458">
        <v>5.8402648254009648E-2</v>
      </c>
      <c r="BG4349" s="477">
        <v>4209982.1570020812</v>
      </c>
      <c r="BH4349" s="458">
        <v>6.4555672438422418E-2</v>
      </c>
      <c r="BI4349" s="477">
        <v>19770424.028931841</v>
      </c>
      <c r="BJ4349" s="458">
        <v>0.14248097773119728</v>
      </c>
      <c r="BK4349" s="477">
        <v>94315834.423114419</v>
      </c>
      <c r="BL4349" s="458">
        <v>0.26977331190380105</v>
      </c>
      <c r="BM4349" s="468">
        <v>12.05192525703765</v>
      </c>
    </row>
    <row r="4350" spans="12:65" x14ac:dyDescent="0.3">
      <c r="L4350" s="427">
        <v>12076720.7081</v>
      </c>
      <c r="BE4350" s="477">
        <v>-24734.711113653237</v>
      </c>
      <c r="BF4350" s="458">
        <v>5.4194556240819258E-2</v>
      </c>
      <c r="BG4350" s="477">
        <v>12120489.618712213</v>
      </c>
      <c r="BH4350" s="458">
        <v>7.9633978587068999E-2</v>
      </c>
      <c r="BI4350" s="477">
        <v>15278362.628339466</v>
      </c>
      <c r="BJ4350" s="458">
        <v>0.10838708687259802</v>
      </c>
      <c r="BK4350" s="477">
        <v>92033527.014478266</v>
      </c>
      <c r="BL4350" s="458">
        <v>0.29254519044458327</v>
      </c>
      <c r="BM4350" s="468">
        <v>15.692649509046461</v>
      </c>
    </row>
    <row r="4351" spans="12:65" x14ac:dyDescent="0.3">
      <c r="L4351" s="427">
        <v>9680658.3476999998</v>
      </c>
      <c r="BE4351" s="477">
        <v>4982927.3559927596</v>
      </c>
      <c r="BF4351" s="458">
        <v>3.8994693957808524E-2</v>
      </c>
      <c r="BG4351" s="477">
        <v>6376967.7205133243</v>
      </c>
      <c r="BH4351" s="458">
        <v>3.8517168893098752E-2</v>
      </c>
      <c r="BI4351" s="477">
        <v>12729114.505090952</v>
      </c>
      <c r="BJ4351" s="458">
        <v>0.1203252729622617</v>
      </c>
      <c r="BK4351" s="477">
        <v>92447480.67405352</v>
      </c>
      <c r="BL4351" s="458">
        <v>0.27032677465686228</v>
      </c>
      <c r="BM4351" s="468">
        <v>5.9291114592885172</v>
      </c>
    </row>
    <row r="4352" spans="12:65" x14ac:dyDescent="0.3">
      <c r="L4352" s="427">
        <v>9908174.2482999992</v>
      </c>
      <c r="BE4352" s="477">
        <v>10825350.834312616</v>
      </c>
      <c r="BF4352" s="458">
        <v>5.1845316609118397E-2</v>
      </c>
      <c r="BG4352" s="477">
        <v>13381043.204931</v>
      </c>
      <c r="BH4352" s="458">
        <v>5.8884293306958879E-2</v>
      </c>
      <c r="BI4352" s="477">
        <v>16468318.458786169</v>
      </c>
      <c r="BJ4352" s="458">
        <v>9.8031880274852545E-2</v>
      </c>
      <c r="BK4352" s="477">
        <v>90382217.254971579</v>
      </c>
      <c r="BL4352" s="458">
        <v>0.28186052770845471</v>
      </c>
      <c r="BM4352" s="468">
        <v>13.649671562378076</v>
      </c>
    </row>
    <row r="4353" spans="12:65" x14ac:dyDescent="0.3">
      <c r="L4353" s="427">
        <v>12812509.0704</v>
      </c>
      <c r="BE4353" s="477">
        <v>7572221.8130536601</v>
      </c>
      <c r="BF4353" s="458">
        <v>2.4896576581505681E-3</v>
      </c>
      <c r="BG4353" s="477">
        <v>9852587.1355402023</v>
      </c>
      <c r="BH4353" s="458">
        <v>5.9199119359340191E-2</v>
      </c>
      <c r="BI4353" s="477">
        <v>13555922.619176397</v>
      </c>
      <c r="BJ4353" s="458">
        <v>8.8847174544188334E-2</v>
      </c>
      <c r="BK4353" s="477">
        <v>88922557.12507771</v>
      </c>
      <c r="BL4353" s="458">
        <v>0.26018848541719075</v>
      </c>
      <c r="BM4353" s="468">
        <v>9.8229161351828278</v>
      </c>
    </row>
    <row r="4354" spans="12:65" x14ac:dyDescent="0.3">
      <c r="L4354" s="427">
        <v>35159532.956</v>
      </c>
      <c r="BE4354" s="477">
        <v>2577845.770471286</v>
      </c>
      <c r="BF4354" s="458">
        <v>4.6802581178880365E-2</v>
      </c>
      <c r="BG4354" s="477">
        <v>6046881.1650127955</v>
      </c>
      <c r="BH4354" s="458">
        <v>6.4253129130314335E-2</v>
      </c>
      <c r="BI4354" s="477">
        <v>17747835.044999927</v>
      </c>
      <c r="BJ4354" s="458">
        <v>0.10384297464130832</v>
      </c>
      <c r="BK4354" s="477">
        <v>87551208.164136499</v>
      </c>
      <c r="BL4354" s="458">
        <v>0.25989178994257878</v>
      </c>
      <c r="BM4354" s="468">
        <v>12.109213484259836</v>
      </c>
    </row>
    <row r="4355" spans="12:65" x14ac:dyDescent="0.3">
      <c r="L4355" s="427">
        <v>7937516.2295000004</v>
      </c>
      <c r="BE4355" s="477">
        <v>6191222.4856435517</v>
      </c>
      <c r="BF4355" s="458">
        <v>5.56592438479524E-2</v>
      </c>
      <c r="BG4355" s="477">
        <v>3257802.0800089603</v>
      </c>
      <c r="BH4355" s="458">
        <v>5.799486119658992E-2</v>
      </c>
      <c r="BI4355" s="477">
        <v>20861952.05317894</v>
      </c>
      <c r="BJ4355" s="458">
        <v>8.5136079645843354E-2</v>
      </c>
      <c r="BK4355" s="477">
        <v>85648412.769497722</v>
      </c>
      <c r="BL4355" s="458">
        <v>0.27130863183877407</v>
      </c>
      <c r="BM4355" s="468">
        <v>9.706225141278745</v>
      </c>
    </row>
    <row r="4356" spans="12:65" x14ac:dyDescent="0.3">
      <c r="L4356" s="427">
        <v>22366915.6406</v>
      </c>
      <c r="BE4356" s="477">
        <v>10579998.384605221</v>
      </c>
      <c r="BF4356" s="458">
        <v>5.7007506871393998E-2</v>
      </c>
      <c r="BG4356" s="477">
        <v>7445558.854967718</v>
      </c>
      <c r="BH4356" s="458">
        <v>4.8201305021994711E-2</v>
      </c>
      <c r="BI4356" s="477">
        <v>13309520.942634558</v>
      </c>
      <c r="BJ4356" s="458">
        <v>0.12395079669348807</v>
      </c>
      <c r="BK4356" s="477">
        <v>100477991.34761479</v>
      </c>
      <c r="BL4356" s="458">
        <v>0.2956495119215008</v>
      </c>
      <c r="BM4356" s="468">
        <v>6.9887461760112108</v>
      </c>
    </row>
    <row r="4357" spans="12:65" x14ac:dyDescent="0.3">
      <c r="L4357" s="427">
        <v>4216287.1821999997</v>
      </c>
      <c r="BE4357" s="477">
        <v>1965660.5135217472</v>
      </c>
      <c r="BF4357" s="458">
        <v>6.6274090318740875E-2</v>
      </c>
      <c r="BG4357" s="477">
        <v>4497741.1756050084</v>
      </c>
      <c r="BH4357" s="458">
        <v>6.8961901496896516E-2</v>
      </c>
      <c r="BI4357" s="477">
        <v>13543700.117432848</v>
      </c>
      <c r="BJ4357" s="458">
        <v>0.11621814630060689</v>
      </c>
      <c r="BK4357" s="477">
        <v>78082760.187224895</v>
      </c>
      <c r="BL4357" s="458">
        <v>0.28186320855708646</v>
      </c>
      <c r="BM4357" s="468">
        <v>-0.24666722241517292</v>
      </c>
    </row>
    <row r="4358" spans="12:65" x14ac:dyDescent="0.3">
      <c r="L4358" s="427">
        <v>6016479.0291999998</v>
      </c>
      <c r="BE4358" s="477">
        <v>-1364469.3320435106</v>
      </c>
      <c r="BF4358" s="458">
        <v>4.2994707975779312E-2</v>
      </c>
      <c r="BG4358" s="477">
        <v>12344783.061328478</v>
      </c>
      <c r="BH4358" s="458">
        <v>8.6034517128473986E-2</v>
      </c>
      <c r="BI4358" s="477">
        <v>18135249.661021449</v>
      </c>
      <c r="BJ4358" s="458">
        <v>0.13463792666376362</v>
      </c>
      <c r="BK4358" s="477">
        <v>94908732.166940466</v>
      </c>
      <c r="BL4358" s="458">
        <v>0.26622172881358508</v>
      </c>
      <c r="BM4358" s="468">
        <v>3.0897653267139198</v>
      </c>
    </row>
    <row r="4359" spans="12:65" x14ac:dyDescent="0.3">
      <c r="L4359" s="427">
        <v>12508884.9143</v>
      </c>
      <c r="BE4359" s="477">
        <v>479772.17017064756</v>
      </c>
      <c r="BF4359" s="458">
        <v>2.450149530123058E-2</v>
      </c>
      <c r="BG4359" s="477">
        <v>9677782.188314883</v>
      </c>
      <c r="BH4359" s="458">
        <v>7.7801191910298551E-2</v>
      </c>
      <c r="BI4359" s="477">
        <v>20174658.175831918</v>
      </c>
      <c r="BJ4359" s="458">
        <v>9.487326802363083E-2</v>
      </c>
      <c r="BK4359" s="477">
        <v>86281050.335504919</v>
      </c>
      <c r="BL4359" s="458">
        <v>0.25771612932445076</v>
      </c>
      <c r="BM4359" s="468">
        <v>9.4079658573767944</v>
      </c>
    </row>
    <row r="4360" spans="12:65" x14ac:dyDescent="0.3">
      <c r="L4360" s="427">
        <v>4110742.8565000002</v>
      </c>
      <c r="BE4360" s="477">
        <v>4506333.8253271626</v>
      </c>
      <c r="BF4360" s="458">
        <v>3.7767486313179832E-2</v>
      </c>
      <c r="BG4360" s="477">
        <v>14784160.395942947</v>
      </c>
      <c r="BH4360" s="458">
        <v>4.1336914034833416E-2</v>
      </c>
      <c r="BI4360" s="477">
        <v>10107763.651647484</v>
      </c>
      <c r="BJ4360" s="458">
        <v>9.9487217225482594E-2</v>
      </c>
      <c r="BK4360" s="477">
        <v>92317110.213043511</v>
      </c>
      <c r="BL4360" s="458">
        <v>0.31472591065198419</v>
      </c>
      <c r="BM4360" s="468">
        <v>3.1241801426931648</v>
      </c>
    </row>
    <row r="4361" spans="12:65" x14ac:dyDescent="0.3">
      <c r="L4361" s="427">
        <v>8905671.0203000009</v>
      </c>
      <c r="BE4361" s="477">
        <v>11129294.066843195</v>
      </c>
      <c r="BF4361" s="458">
        <v>3.7275667393957601E-2</v>
      </c>
      <c r="BG4361" s="477">
        <v>10160937.021215845</v>
      </c>
      <c r="BH4361" s="458">
        <v>7.3760517759586808E-2</v>
      </c>
      <c r="BI4361" s="477">
        <v>8303307.9593915688</v>
      </c>
      <c r="BJ4361" s="458">
        <v>0.12121799232782915</v>
      </c>
      <c r="BK4361" s="477">
        <v>95625232.611869425</v>
      </c>
      <c r="BL4361" s="458">
        <v>0.27521725156493493</v>
      </c>
      <c r="BM4361" s="468">
        <v>2.0602754210380283</v>
      </c>
    </row>
    <row r="4362" spans="12:65" x14ac:dyDescent="0.3">
      <c r="L4362" s="427">
        <v>11395774.354599999</v>
      </c>
      <c r="BE4362" s="477">
        <v>9999368.2129261084</v>
      </c>
      <c r="BF4362" s="458">
        <v>3.7808258301216924E-2</v>
      </c>
      <c r="BG4362" s="477">
        <v>3022763.5140706161</v>
      </c>
      <c r="BH4362" s="458">
        <v>5.7242317587246738E-2</v>
      </c>
      <c r="BI4362" s="477">
        <v>16502919.827198694</v>
      </c>
      <c r="BJ4362" s="458">
        <v>0.12449781047181485</v>
      </c>
      <c r="BK4362" s="477">
        <v>89489174.447884127</v>
      </c>
      <c r="BL4362" s="458">
        <v>0.27239910519935706</v>
      </c>
      <c r="BM4362" s="468">
        <v>3.222169847004432</v>
      </c>
    </row>
    <row r="4363" spans="12:65" x14ac:dyDescent="0.3">
      <c r="L4363" s="427">
        <v>1139672.3999000001</v>
      </c>
      <c r="BE4363" s="477">
        <v>4676609.5829757731</v>
      </c>
      <c r="BF4363" s="458">
        <v>2.4668665308145155E-2</v>
      </c>
      <c r="BG4363" s="477">
        <v>5586812.7997035161</v>
      </c>
      <c r="BH4363" s="458">
        <v>2.7940961324588898E-2</v>
      </c>
      <c r="BI4363" s="477">
        <v>18343866.500059534</v>
      </c>
      <c r="BJ4363" s="458">
        <v>9.1265674492037929E-2</v>
      </c>
      <c r="BK4363" s="477">
        <v>78863875.121792227</v>
      </c>
      <c r="BL4363" s="458">
        <v>0.34814769491433384</v>
      </c>
      <c r="BM4363" s="468">
        <v>8.901968500106987</v>
      </c>
    </row>
    <row r="4364" spans="12:65" x14ac:dyDescent="0.3">
      <c r="L4364" s="427">
        <v>18675226.024500001</v>
      </c>
      <c r="BE4364" s="477">
        <v>11171326.563587185</v>
      </c>
      <c r="BF4364" s="458">
        <v>3.8609897986902064E-2</v>
      </c>
      <c r="BG4364" s="477">
        <v>4887985.7802153025</v>
      </c>
      <c r="BH4364" s="458">
        <v>5.1921146587233569E-2</v>
      </c>
      <c r="BI4364" s="477">
        <v>15638225.839238504</v>
      </c>
      <c r="BJ4364" s="458">
        <v>0.12395690508642443</v>
      </c>
      <c r="BK4364" s="477">
        <v>95811806.752761751</v>
      </c>
      <c r="BL4364" s="458">
        <v>0.28055234957406561</v>
      </c>
      <c r="BM4364" s="468">
        <v>2.0739454355542417</v>
      </c>
    </row>
    <row r="4365" spans="12:65" x14ac:dyDescent="0.3">
      <c r="L4365" s="427">
        <v>16205083.2327</v>
      </c>
      <c r="BE4365" s="477">
        <v>7041092.1853598887</v>
      </c>
      <c r="BF4365" s="458">
        <v>3.532426883101536E-2</v>
      </c>
      <c r="BG4365" s="477">
        <v>6257582.9206669172</v>
      </c>
      <c r="BH4365" s="458">
        <v>6.706078505224311E-2</v>
      </c>
      <c r="BI4365" s="477">
        <v>18899857.576659415</v>
      </c>
      <c r="BJ4365" s="458">
        <v>0.10625214208465272</v>
      </c>
      <c r="BK4365" s="477">
        <v>94328910.072858498</v>
      </c>
      <c r="BL4365" s="458">
        <v>0.2618994978923519</v>
      </c>
      <c r="BM4365" s="468">
        <v>12.539249996603207</v>
      </c>
    </row>
    <row r="4366" spans="12:65" x14ac:dyDescent="0.3">
      <c r="L4366" s="427">
        <v>-3045390.7812999999</v>
      </c>
      <c r="BE4366" s="477">
        <v>2017547.9373001161</v>
      </c>
      <c r="BF4366" s="458">
        <v>3.7170501885925189E-2</v>
      </c>
      <c r="BG4366" s="477">
        <v>5847967.4527239576</v>
      </c>
      <c r="BH4366" s="458">
        <v>8.545263366509892E-2</v>
      </c>
      <c r="BI4366" s="477">
        <v>16203019.354451559</v>
      </c>
      <c r="BJ4366" s="458">
        <v>0.11672896203094152</v>
      </c>
      <c r="BK4366" s="477">
        <v>92215081.668798178</v>
      </c>
      <c r="BL4366" s="458">
        <v>0.26360641902423421</v>
      </c>
      <c r="BM4366" s="468">
        <v>14.797007514086076</v>
      </c>
    </row>
    <row r="4367" spans="12:65" x14ac:dyDescent="0.3">
      <c r="L4367" s="427">
        <v>2706354.6077000001</v>
      </c>
      <c r="BE4367" s="477">
        <v>5378473.3964949008</v>
      </c>
      <c r="BF4367" s="458">
        <v>1.8285488638799308E-2</v>
      </c>
      <c r="BG4367" s="477">
        <v>4674932.0349804265</v>
      </c>
      <c r="BH4367" s="458">
        <v>7.8337383167914387E-2</v>
      </c>
      <c r="BI4367" s="477">
        <v>28271945.701105665</v>
      </c>
      <c r="BJ4367" s="458">
        <v>0.1169072279238228</v>
      </c>
      <c r="BK4367" s="477">
        <v>88188254.368424803</v>
      </c>
      <c r="BL4367" s="458">
        <v>0.25329110849952508</v>
      </c>
      <c r="BM4367" s="468">
        <v>10.913121795025235</v>
      </c>
    </row>
    <row r="4368" spans="12:65" x14ac:dyDescent="0.3">
      <c r="L4368" s="427">
        <v>12522856.7707</v>
      </c>
      <c r="BE4368" s="477">
        <v>5461349.5960997567</v>
      </c>
      <c r="BF4368" s="458">
        <v>3.7445363157196043E-2</v>
      </c>
      <c r="BG4368" s="477">
        <v>5564568.9223838737</v>
      </c>
      <c r="BH4368" s="458">
        <v>4.7517777291354868E-2</v>
      </c>
      <c r="BI4368" s="477">
        <v>8035984.4762960952</v>
      </c>
      <c r="BJ4368" s="458">
        <v>0.12408335268863802</v>
      </c>
      <c r="BK4368" s="477">
        <v>89605577.729082957</v>
      </c>
      <c r="BL4368" s="458">
        <v>0.29060808610914068</v>
      </c>
      <c r="BM4368" s="468">
        <v>15.728293412607036</v>
      </c>
    </row>
    <row r="4369" spans="12:65" x14ac:dyDescent="0.3">
      <c r="L4369" s="427">
        <v>2062878.6015999999</v>
      </c>
      <c r="BE4369" s="477">
        <v>3053954.3129340424</v>
      </c>
      <c r="BF4369" s="458">
        <v>1.7138041363591539E-2</v>
      </c>
      <c r="BG4369" s="477">
        <v>7479984.6128156185</v>
      </c>
      <c r="BH4369" s="458">
        <v>4.8067780235080404E-2</v>
      </c>
      <c r="BI4369" s="477">
        <v>13223521.594896697</v>
      </c>
      <c r="BJ4369" s="458">
        <v>0.12250532921036306</v>
      </c>
      <c r="BK4369" s="477">
        <v>76990491.604696035</v>
      </c>
      <c r="BL4369" s="458">
        <v>0.27981976382039431</v>
      </c>
      <c r="BM4369" s="468">
        <v>10.922067171831777</v>
      </c>
    </row>
    <row r="4370" spans="12:65" x14ac:dyDescent="0.3">
      <c r="L4370" s="427">
        <v>2563734.2792000002</v>
      </c>
      <c r="BE4370" s="477">
        <v>6379274.0925000636</v>
      </c>
      <c r="BF4370" s="458">
        <v>3.4239582166616156E-2</v>
      </c>
      <c r="BG4370" s="477">
        <v>5745829.3452672185</v>
      </c>
      <c r="BH4370" s="458">
        <v>5.9517709769916216E-2</v>
      </c>
      <c r="BI4370" s="477">
        <v>16092849.21471232</v>
      </c>
      <c r="BJ4370" s="458">
        <v>9.2695453525522442E-2</v>
      </c>
      <c r="BK4370" s="477">
        <v>96075089.368806526</v>
      </c>
      <c r="BL4370" s="458">
        <v>0.25269971077750375</v>
      </c>
      <c r="BM4370" s="468">
        <v>8.8881630614468978</v>
      </c>
    </row>
    <row r="4371" spans="12:65" x14ac:dyDescent="0.3">
      <c r="L4371" s="427">
        <v>18726085.240400001</v>
      </c>
      <c r="BE4371" s="477">
        <v>6462693.8291857829</v>
      </c>
      <c r="BF4371" s="458">
        <v>5.3255809126248277E-2</v>
      </c>
      <c r="BG4371" s="477">
        <v>2027324.2529186902</v>
      </c>
      <c r="BH4371" s="458">
        <v>4.8926839919625875E-2</v>
      </c>
      <c r="BI4371" s="477">
        <v>23010372.940991849</v>
      </c>
      <c r="BJ4371" s="458">
        <v>9.0100087532225537E-2</v>
      </c>
      <c r="BK4371" s="477">
        <v>90461056.976806074</v>
      </c>
      <c r="BL4371" s="458">
        <v>0.2744728652398174</v>
      </c>
      <c r="BM4371" s="468">
        <v>6.7753648183395754</v>
      </c>
    </row>
    <row r="4372" spans="12:65" x14ac:dyDescent="0.3">
      <c r="L4372" s="427">
        <v>-2521598.4068</v>
      </c>
      <c r="BE4372" s="477">
        <v>4859579.7469820818</v>
      </c>
      <c r="BF4372" s="458">
        <v>4.7490209905970193E-2</v>
      </c>
      <c r="BG4372" s="477">
        <v>8096893.5585459461</v>
      </c>
      <c r="BH4372" s="458">
        <v>3.8183935890216958E-2</v>
      </c>
      <c r="BI4372" s="477">
        <v>12300308.833253467</v>
      </c>
      <c r="BJ4372" s="458">
        <v>8.8952333740845546E-2</v>
      </c>
      <c r="BK4372" s="477">
        <v>84593194.773070991</v>
      </c>
      <c r="BL4372" s="458">
        <v>0.25586827366489384</v>
      </c>
      <c r="BM4372" s="468">
        <v>2.5348603073794314</v>
      </c>
    </row>
    <row r="4373" spans="12:65" x14ac:dyDescent="0.3">
      <c r="L4373" s="427">
        <v>20086634.333999999</v>
      </c>
      <c r="BE4373" s="477">
        <v>10018447.27002378</v>
      </c>
      <c r="BF4373" s="458">
        <v>4.503255627665137E-2</v>
      </c>
      <c r="BG4373" s="477">
        <v>11942655.16088308</v>
      </c>
      <c r="BH4373" s="458">
        <v>9.4441035026243458E-2</v>
      </c>
      <c r="BI4373" s="477">
        <v>19523358.321363937</v>
      </c>
      <c r="BJ4373" s="458">
        <v>0.10339870385083727</v>
      </c>
      <c r="BK4373" s="477">
        <v>97484725.925263122</v>
      </c>
      <c r="BL4373" s="458">
        <v>0.26554984747885202</v>
      </c>
      <c r="BM4373" s="468">
        <v>8.2788495978732328</v>
      </c>
    </row>
    <row r="4374" spans="12:65" x14ac:dyDescent="0.3">
      <c r="L4374" s="427">
        <v>23119508.2982</v>
      </c>
      <c r="BE4374" s="477">
        <v>7755974.0660159513</v>
      </c>
      <c r="BF4374" s="458">
        <v>2.1481993823351475E-2</v>
      </c>
      <c r="BG4374" s="477">
        <v>597461.19447411096</v>
      </c>
      <c r="BH4374" s="458">
        <v>8.1338091253934985E-2</v>
      </c>
      <c r="BI4374" s="477">
        <v>16225978.412253411</v>
      </c>
      <c r="BJ4374" s="458">
        <v>0.12188608065140727</v>
      </c>
      <c r="BK4374" s="477">
        <v>92980183.772561997</v>
      </c>
      <c r="BL4374" s="458">
        <v>0.25924907839337785</v>
      </c>
      <c r="BM4374" s="468">
        <v>4.3553175553857413</v>
      </c>
    </row>
    <row r="4375" spans="12:65" x14ac:dyDescent="0.3">
      <c r="L4375" s="427">
        <v>6837426.9442999996</v>
      </c>
      <c r="BE4375" s="477">
        <v>4241865.2373713972</v>
      </c>
      <c r="BF4375" s="458">
        <v>2.9147388313017331E-2</v>
      </c>
      <c r="BG4375" s="477">
        <v>11663848.444077423</v>
      </c>
      <c r="BH4375" s="458">
        <v>3.0937435281021219E-2</v>
      </c>
      <c r="BI4375" s="477">
        <v>25690786.341419559</v>
      </c>
      <c r="BJ4375" s="458">
        <v>0.12058426014802381</v>
      </c>
      <c r="BK4375" s="477">
        <v>100105020.69650623</v>
      </c>
      <c r="BL4375" s="458">
        <v>0.27777799773757961</v>
      </c>
      <c r="BM4375" s="468">
        <v>8.5692636657564094</v>
      </c>
    </row>
    <row r="4376" spans="12:65" x14ac:dyDescent="0.3">
      <c r="L4376" s="427">
        <v>263643.71779999998</v>
      </c>
      <c r="BE4376" s="477">
        <v>7793181.8502297765</v>
      </c>
      <c r="BF4376" s="458">
        <v>4.6045141460670846E-2</v>
      </c>
      <c r="BG4376" s="477">
        <v>8881173.2542496324</v>
      </c>
      <c r="BH4376" s="458">
        <v>7.9558303291814791E-2</v>
      </c>
      <c r="BI4376" s="477">
        <v>17317203.154677998</v>
      </c>
      <c r="BJ4376" s="458">
        <v>9.1554914741257098E-2</v>
      </c>
      <c r="BK4376" s="477">
        <v>99793639.238768354</v>
      </c>
      <c r="BL4376" s="458">
        <v>0.2638732063803173</v>
      </c>
      <c r="BM4376" s="468">
        <v>7.434471678472188</v>
      </c>
    </row>
    <row r="4377" spans="12:65" x14ac:dyDescent="0.3">
      <c r="L4377" s="427">
        <v>-12298122.6895</v>
      </c>
      <c r="BE4377" s="477">
        <v>2547385.9993244167</v>
      </c>
      <c r="BF4377" s="458">
        <v>2.7963529746535043E-2</v>
      </c>
      <c r="BG4377" s="477">
        <v>8559667.1654558629</v>
      </c>
      <c r="BH4377" s="458">
        <v>7.6892400130473826E-2</v>
      </c>
      <c r="BI4377" s="477">
        <v>18355831.123891041</v>
      </c>
      <c r="BJ4377" s="458">
        <v>0.10814821709393785</v>
      </c>
      <c r="BK4377" s="477">
        <v>86426624.034645945</v>
      </c>
      <c r="BL4377" s="458">
        <v>0.27772822400720232</v>
      </c>
      <c r="BM4377" s="468">
        <v>6.587702072800111</v>
      </c>
    </row>
    <row r="4378" spans="12:65" x14ac:dyDescent="0.3">
      <c r="L4378" s="427">
        <v>3105031.3769</v>
      </c>
      <c r="BE4378" s="477">
        <v>5883360.4195402265</v>
      </c>
      <c r="BF4378" s="458">
        <v>4.5447728714072655E-2</v>
      </c>
      <c r="BG4378" s="477">
        <v>11363780.473029997</v>
      </c>
      <c r="BH4378" s="458">
        <v>3.5678349744098004E-2</v>
      </c>
      <c r="BI4378" s="477">
        <v>14037657.719230279</v>
      </c>
      <c r="BJ4378" s="458">
        <v>0.11057152130289194</v>
      </c>
      <c r="BK4378" s="477">
        <v>95903107.552354842</v>
      </c>
      <c r="BL4378" s="458">
        <v>0.2656224860858194</v>
      </c>
      <c r="BM4378" s="468">
        <v>12.637926244492142</v>
      </c>
    </row>
    <row r="4379" spans="12:65" x14ac:dyDescent="0.3">
      <c r="L4379" s="427">
        <v>-8171515.3927999996</v>
      </c>
      <c r="BE4379" s="477">
        <v>8614816.4260349628</v>
      </c>
      <c r="BF4379" s="458">
        <v>3.5778384772012117E-2</v>
      </c>
      <c r="BG4379" s="477">
        <v>11978241.498274801</v>
      </c>
      <c r="BH4379" s="458">
        <v>8.032162958276623E-2</v>
      </c>
      <c r="BI4379" s="477">
        <v>15547133.637630519</v>
      </c>
      <c r="BJ4379" s="458">
        <v>0.12298938166370843</v>
      </c>
      <c r="BK4379" s="477">
        <v>84511522.64644663</v>
      </c>
      <c r="BL4379" s="458">
        <v>0.27895648486366875</v>
      </c>
      <c r="BM4379" s="468">
        <v>11.226615809865653</v>
      </c>
    </row>
    <row r="4380" spans="12:65" x14ac:dyDescent="0.3">
      <c r="L4380" s="427">
        <v>21805523.451200001</v>
      </c>
      <c r="BE4380" s="477">
        <v>4112625.7751487331</v>
      </c>
      <c r="BF4380" s="458">
        <v>2.8829853349619627E-2</v>
      </c>
      <c r="BG4380" s="477">
        <v>6509667.1806103466</v>
      </c>
      <c r="BH4380" s="458">
        <v>6.1858775600907689E-2</v>
      </c>
      <c r="BI4380" s="477">
        <v>19423772.787891351</v>
      </c>
      <c r="BJ4380" s="458">
        <v>0.13635803284667913</v>
      </c>
      <c r="BK4380" s="477">
        <v>101230326.21850739</v>
      </c>
      <c r="BL4380" s="458">
        <v>0.26787070655318446</v>
      </c>
      <c r="BM4380" s="468">
        <v>13.788504284426864</v>
      </c>
    </row>
    <row r="4381" spans="12:65" x14ac:dyDescent="0.3">
      <c r="L4381" s="427">
        <v>2034183.7252</v>
      </c>
      <c r="BE4381" s="477">
        <v>8530084.9865305349</v>
      </c>
      <c r="BF4381" s="458">
        <v>3.9699120424153689E-2</v>
      </c>
      <c r="BG4381" s="477">
        <v>7410861.3591959411</v>
      </c>
      <c r="BH4381" s="458">
        <v>8.55213228215983E-2</v>
      </c>
      <c r="BI4381" s="477">
        <v>19031142.730599962</v>
      </c>
      <c r="BJ4381" s="458">
        <v>8.0115405753328428E-2</v>
      </c>
      <c r="BK4381" s="477">
        <v>84298851.784355044</v>
      </c>
      <c r="BL4381" s="458">
        <v>0.28070815094781643</v>
      </c>
      <c r="BM4381" s="468">
        <v>2.1905733917064376</v>
      </c>
    </row>
    <row r="4382" spans="12:65" x14ac:dyDescent="0.3">
      <c r="L4382" s="427">
        <v>4725253.8493999997</v>
      </c>
      <c r="BE4382" s="477">
        <v>6191409.918415078</v>
      </c>
      <c r="BF4382" s="458">
        <v>6.0208058323782954E-2</v>
      </c>
      <c r="BG4382" s="477">
        <v>12287647.680861438</v>
      </c>
      <c r="BH4382" s="458">
        <v>6.5654984496033464E-2</v>
      </c>
      <c r="BI4382" s="477">
        <v>14897604.70258945</v>
      </c>
      <c r="BJ4382" s="458">
        <v>0.10728478963429677</v>
      </c>
      <c r="BK4382" s="477">
        <v>100245921.62595215</v>
      </c>
      <c r="BL4382" s="458">
        <v>0.26660609740535746</v>
      </c>
      <c r="BM4382" s="468">
        <v>2.0400364356903928</v>
      </c>
    </row>
    <row r="4383" spans="12:65" x14ac:dyDescent="0.3">
      <c r="L4383" s="427">
        <v>11548893.265799999</v>
      </c>
      <c r="BE4383" s="477">
        <v>7566339.1902357619</v>
      </c>
      <c r="BF4383" s="458">
        <v>4.5013807878916179E-2</v>
      </c>
      <c r="BG4383" s="477">
        <v>11021901.280385906</v>
      </c>
      <c r="BH4383" s="458">
        <v>5.1387080246311001E-2</v>
      </c>
      <c r="BI4383" s="477">
        <v>21546376.900019076</v>
      </c>
      <c r="BJ4383" s="458">
        <v>0.11935312413579946</v>
      </c>
      <c r="BK4383" s="477">
        <v>85261258.769891664</v>
      </c>
      <c r="BL4383" s="458">
        <v>0.26092786205902141</v>
      </c>
      <c r="BM4383" s="468">
        <v>5.0054309286993455</v>
      </c>
    </row>
    <row r="4384" spans="12:65" x14ac:dyDescent="0.3">
      <c r="L4384" s="427">
        <v>-419106.35609999998</v>
      </c>
      <c r="BE4384" s="477">
        <v>998808.70870462258</v>
      </c>
      <c r="BF4384" s="458">
        <v>4.4172782545109701E-2</v>
      </c>
      <c r="BG4384" s="477">
        <v>10795853.245347062</v>
      </c>
      <c r="BH4384" s="458">
        <v>6.2302727556923454E-2</v>
      </c>
      <c r="BI4384" s="477">
        <v>24526492.968315691</v>
      </c>
      <c r="BJ4384" s="458">
        <v>9.7655004964835923E-2</v>
      </c>
      <c r="BK4384" s="477">
        <v>74879898.221222043</v>
      </c>
      <c r="BL4384" s="458">
        <v>0.26600879771760444</v>
      </c>
      <c r="BM4384" s="468">
        <v>9.5712616459382573</v>
      </c>
    </row>
    <row r="4385" spans="12:65" x14ac:dyDescent="0.3">
      <c r="L4385" s="427">
        <v>6038666.7712000003</v>
      </c>
      <c r="BE4385" s="477">
        <v>4841305.1148166675</v>
      </c>
      <c r="BF4385" s="458">
        <v>7.5165111139510188E-2</v>
      </c>
      <c r="BG4385" s="477">
        <v>6485122.449051897</v>
      </c>
      <c r="BH4385" s="458">
        <v>8.2126823924927539E-2</v>
      </c>
      <c r="BI4385" s="477">
        <v>15880419.416762048</v>
      </c>
      <c r="BJ4385" s="458">
        <v>9.6539540679343006E-2</v>
      </c>
      <c r="BK4385" s="477">
        <v>89813731.289935291</v>
      </c>
      <c r="BL4385" s="458">
        <v>0.30404548011523902</v>
      </c>
      <c r="BM4385" s="468">
        <v>4.0213227980104129</v>
      </c>
    </row>
    <row r="4386" spans="12:65" x14ac:dyDescent="0.3">
      <c r="L4386" s="427">
        <v>14495089.794199999</v>
      </c>
      <c r="BE4386" s="477">
        <v>7865484.1604508953</v>
      </c>
      <c r="BF4386" s="458">
        <v>5.4055349360935034E-2</v>
      </c>
      <c r="BG4386" s="477">
        <v>5059234.4250131771</v>
      </c>
      <c r="BH4386" s="458">
        <v>6.3957866038739875E-2</v>
      </c>
      <c r="BI4386" s="477">
        <v>13626146.945960088</v>
      </c>
      <c r="BJ4386" s="458">
        <v>8.1791089226565417E-2</v>
      </c>
      <c r="BK4386" s="477">
        <v>96049503.924999297</v>
      </c>
      <c r="BL4386" s="458">
        <v>0.30276044371742095</v>
      </c>
      <c r="BM4386" s="468">
        <v>8.5539274420597433</v>
      </c>
    </row>
    <row r="4387" spans="12:65" x14ac:dyDescent="0.3">
      <c r="L4387" s="427">
        <v>18728864.800500002</v>
      </c>
      <c r="BE4387" s="477">
        <v>4397962.1177356355</v>
      </c>
      <c r="BF4387" s="458">
        <v>7.7173049817002903E-2</v>
      </c>
      <c r="BG4387" s="477">
        <v>11838138.297658799</v>
      </c>
      <c r="BH4387" s="458">
        <v>7.738436224099976E-2</v>
      </c>
      <c r="BI4387" s="477">
        <v>17077985.806142654</v>
      </c>
      <c r="BJ4387" s="458">
        <v>0.11036795599038318</v>
      </c>
      <c r="BK4387" s="477">
        <v>92427556.163806155</v>
      </c>
      <c r="BL4387" s="458">
        <v>0.26227898952906425</v>
      </c>
      <c r="BM4387" s="468">
        <v>7.9903604302996998</v>
      </c>
    </row>
    <row r="4388" spans="12:65" x14ac:dyDescent="0.3">
      <c r="L4388" s="427">
        <v>19525933.746800002</v>
      </c>
      <c r="BE4388" s="477">
        <v>9252912.9430768769</v>
      </c>
      <c r="BF4388" s="458">
        <v>6.1017457626262317E-2</v>
      </c>
      <c r="BG4388" s="477">
        <v>2766189.8346094862</v>
      </c>
      <c r="BH4388" s="458">
        <v>5.7557988950608374E-2</v>
      </c>
      <c r="BI4388" s="477">
        <v>9456018.6572760902</v>
      </c>
      <c r="BJ4388" s="458">
        <v>0.10151711279038</v>
      </c>
      <c r="BK4388" s="477">
        <v>87013428.430986345</v>
      </c>
      <c r="BL4388" s="458">
        <v>0.25764242508549451</v>
      </c>
      <c r="BM4388" s="468">
        <v>10.427101334773816</v>
      </c>
    </row>
    <row r="4389" spans="12:65" x14ac:dyDescent="0.3">
      <c r="L4389" s="427">
        <v>29640507.811299998</v>
      </c>
      <c r="BE4389" s="477">
        <v>6615415.9760517571</v>
      </c>
      <c r="BF4389" s="458">
        <v>4.0783121654299537E-2</v>
      </c>
      <c r="BG4389" s="477">
        <v>9644593.4435627889</v>
      </c>
      <c r="BH4389" s="458">
        <v>8.3341485546052363E-2</v>
      </c>
      <c r="BI4389" s="477">
        <v>7490285.9686326617</v>
      </c>
      <c r="BJ4389" s="458">
        <v>0.11002815851176884</v>
      </c>
      <c r="BK4389" s="477">
        <v>90080612.290373579</v>
      </c>
      <c r="BL4389" s="458">
        <v>0.30443359107079715</v>
      </c>
      <c r="BM4389" s="468">
        <v>8.2588787199966323</v>
      </c>
    </row>
    <row r="4390" spans="12:65" x14ac:dyDescent="0.3">
      <c r="L4390" s="427">
        <v>15248389.1152</v>
      </c>
      <c r="BE4390" s="477">
        <v>4775444.3792529162</v>
      </c>
      <c r="BF4390" s="458">
        <v>4.6944944125947519E-2</v>
      </c>
      <c r="BG4390" s="477">
        <v>4182329.7059937385</v>
      </c>
      <c r="BH4390" s="458">
        <v>7.1010411007423446E-2</v>
      </c>
      <c r="BI4390" s="477">
        <v>21189311.153914768</v>
      </c>
      <c r="BJ4390" s="458">
        <v>0.12199042194238796</v>
      </c>
      <c r="BK4390" s="477">
        <v>93142829.943374142</v>
      </c>
      <c r="BL4390" s="458">
        <v>0.27914170484761969</v>
      </c>
      <c r="BM4390" s="468">
        <v>0.24517994009482713</v>
      </c>
    </row>
    <row r="4391" spans="12:65" x14ac:dyDescent="0.3">
      <c r="L4391" s="427">
        <v>3550684.2831000001</v>
      </c>
      <c r="BE4391" s="477">
        <v>8910018.5664897989</v>
      </c>
      <c r="BF4391" s="458">
        <v>4.8326961664729051E-2</v>
      </c>
      <c r="BG4391" s="477">
        <v>9711505.8048451338</v>
      </c>
      <c r="BH4391" s="458">
        <v>4.2667437033446776E-2</v>
      </c>
      <c r="BI4391" s="477">
        <v>15364386.246329682</v>
      </c>
      <c r="BJ4391" s="458">
        <v>0.12263875989024053</v>
      </c>
      <c r="BK4391" s="477">
        <v>90706784.941046953</v>
      </c>
      <c r="BL4391" s="458">
        <v>0.24920147005717874</v>
      </c>
      <c r="BM4391" s="468">
        <v>6.3583831433641986</v>
      </c>
    </row>
    <row r="4392" spans="12:65" x14ac:dyDescent="0.3">
      <c r="L4392" s="427">
        <v>6003345.1226000004</v>
      </c>
      <c r="BE4392" s="477">
        <v>6988270.4035810512</v>
      </c>
      <c r="BF4392" s="458">
        <v>2.7287556894540321E-2</v>
      </c>
      <c r="BG4392" s="477">
        <v>4255888.1496372893</v>
      </c>
      <c r="BH4392" s="458">
        <v>5.959571961616561E-2</v>
      </c>
      <c r="BI4392" s="477">
        <v>14923009.186483327</v>
      </c>
      <c r="BJ4392" s="458">
        <v>0.12160602901764617</v>
      </c>
      <c r="BK4392" s="477">
        <v>96314911.532649577</v>
      </c>
      <c r="BL4392" s="458">
        <v>0.25719783359577009</v>
      </c>
      <c r="BM4392" s="468">
        <v>12.619769071669896</v>
      </c>
    </row>
    <row r="4393" spans="12:65" x14ac:dyDescent="0.3">
      <c r="L4393" s="427">
        <v>2886602.4482</v>
      </c>
      <c r="BE4393" s="477">
        <v>4979089.7576135369</v>
      </c>
      <c r="BF4393" s="458">
        <v>2.4666709128950082E-2</v>
      </c>
      <c r="BG4393" s="477">
        <v>8252646.6282232637</v>
      </c>
      <c r="BH4393" s="458">
        <v>6.6093086859814409E-2</v>
      </c>
      <c r="BI4393" s="477">
        <v>19427607.94954991</v>
      </c>
      <c r="BJ4393" s="458">
        <v>9.9350869326585212E-2</v>
      </c>
      <c r="BK4393" s="477">
        <v>91775608.114429846</v>
      </c>
      <c r="BL4393" s="458">
        <v>0.2618497932454571</v>
      </c>
      <c r="BM4393" s="468">
        <v>11.96944421909512</v>
      </c>
    </row>
    <row r="4394" spans="12:65" x14ac:dyDescent="0.3">
      <c r="L4394" s="427">
        <v>21557833.363699999</v>
      </c>
      <c r="BE4394" s="477">
        <v>-1100377.7781009984</v>
      </c>
      <c r="BF4394" s="458">
        <v>3.9430839655673511E-2</v>
      </c>
      <c r="BG4394" s="477">
        <v>16275786.539746698</v>
      </c>
      <c r="BH4394" s="458">
        <v>6.7234802671450211E-2</v>
      </c>
      <c r="BI4394" s="477">
        <v>10657235.077200567</v>
      </c>
      <c r="BJ4394" s="458">
        <v>0.12224688373609882</v>
      </c>
      <c r="BK4394" s="477">
        <v>78571292.893601924</v>
      </c>
      <c r="BL4394" s="458">
        <v>0.26396615338198992</v>
      </c>
      <c r="BM4394" s="468">
        <v>8.7871374319034992</v>
      </c>
    </row>
    <row r="4395" spans="12:65" x14ac:dyDescent="0.3">
      <c r="L4395" s="427">
        <v>23817093.952100001</v>
      </c>
      <c r="BE4395" s="477">
        <v>3415081.8065642961</v>
      </c>
      <c r="BF4395" s="458">
        <v>4.1717012115039864E-2</v>
      </c>
      <c r="BG4395" s="477">
        <v>8529247.0483586974</v>
      </c>
      <c r="BH4395" s="458">
        <v>7.9474331042652668E-2</v>
      </c>
      <c r="BI4395" s="477">
        <v>11150351.72747968</v>
      </c>
      <c r="BJ4395" s="458">
        <v>0.1255840879322716</v>
      </c>
      <c r="BK4395" s="477">
        <v>75544221.013894856</v>
      </c>
      <c r="BL4395" s="458">
        <v>0.26255348851784621</v>
      </c>
      <c r="BM4395" s="468">
        <v>6.1767120506033839</v>
      </c>
    </row>
    <row r="4396" spans="12:65" x14ac:dyDescent="0.3">
      <c r="L4396" s="427">
        <v>3673370.3031000001</v>
      </c>
      <c r="BE4396" s="477">
        <v>4972460.2388152257</v>
      </c>
      <c r="BF4396" s="458">
        <v>3.9349323962567295E-2</v>
      </c>
      <c r="BG4396" s="477">
        <v>5825203.2280754643</v>
      </c>
      <c r="BH4396" s="458">
        <v>4.2867801410390483E-2</v>
      </c>
      <c r="BI4396" s="477">
        <v>16148179.142814219</v>
      </c>
      <c r="BJ4396" s="458">
        <v>0.13492797867845696</v>
      </c>
      <c r="BK4396" s="477">
        <v>81268088.719951928</v>
      </c>
      <c r="BL4396" s="458">
        <v>0.29314660834822992</v>
      </c>
      <c r="BM4396" s="468">
        <v>11.260748650019131</v>
      </c>
    </row>
    <row r="4397" spans="12:65" x14ac:dyDescent="0.3">
      <c r="L4397" s="427">
        <v>4244066.9062999999</v>
      </c>
      <c r="BE4397" s="477">
        <v>5143868.6986815715</v>
      </c>
      <c r="BF4397" s="458">
        <v>5.8082670429216998E-2</v>
      </c>
      <c r="BG4397" s="477">
        <v>8890282.7141166106</v>
      </c>
      <c r="BH4397" s="458">
        <v>1.6776091308444707E-2</v>
      </c>
      <c r="BI4397" s="477">
        <v>14225059.121697629</v>
      </c>
      <c r="BJ4397" s="458">
        <v>0.14831187258831857</v>
      </c>
      <c r="BK4397" s="477">
        <v>97094692.052166522</v>
      </c>
      <c r="BL4397" s="458">
        <v>0.25114206984134291</v>
      </c>
      <c r="BM4397" s="468">
        <v>5.2645450334883117</v>
      </c>
    </row>
    <row r="4398" spans="12:65" x14ac:dyDescent="0.3">
      <c r="L4398" s="427">
        <v>8341332.6520999996</v>
      </c>
      <c r="BE4398" s="477">
        <v>8298187.7077907622</v>
      </c>
      <c r="BF4398" s="458">
        <v>3.5764959248448802E-2</v>
      </c>
      <c r="BG4398" s="477">
        <v>8096188.3687452022</v>
      </c>
      <c r="BH4398" s="458">
        <v>6.4122777896464589E-2</v>
      </c>
      <c r="BI4398" s="477">
        <v>11766770.295655319</v>
      </c>
      <c r="BJ4398" s="458">
        <v>0.10297326281599739</v>
      </c>
      <c r="BK4398" s="477">
        <v>96233500.036558062</v>
      </c>
      <c r="BL4398" s="458">
        <v>0.25835490982734988</v>
      </c>
      <c r="BM4398" s="468">
        <v>8.1643603660899604</v>
      </c>
    </row>
    <row r="4399" spans="12:65" x14ac:dyDescent="0.3">
      <c r="L4399" s="427">
        <v>31602641.212000001</v>
      </c>
      <c r="BE4399" s="477">
        <v>9562458.4207435679</v>
      </c>
      <c r="BF4399" s="458">
        <v>3.4016049336158982E-2</v>
      </c>
      <c r="BG4399" s="477">
        <v>13421938.410076693</v>
      </c>
      <c r="BH4399" s="458">
        <v>3.6977968079641155E-2</v>
      </c>
      <c r="BI4399" s="477">
        <v>13575404.082888361</v>
      </c>
      <c r="BJ4399" s="458">
        <v>0.11885559630691289</v>
      </c>
      <c r="BK4399" s="477">
        <v>92986928.289587274</v>
      </c>
      <c r="BL4399" s="458">
        <v>0.29281785819700579</v>
      </c>
      <c r="BM4399" s="468">
        <v>6.7666344039981157</v>
      </c>
    </row>
    <row r="4400" spans="12:65" x14ac:dyDescent="0.3">
      <c r="L4400" s="427">
        <v>8588409.8519000001</v>
      </c>
      <c r="BE4400" s="477">
        <v>-2131567.6731552468</v>
      </c>
      <c r="BF4400" s="458">
        <v>8.4376800503895844E-2</v>
      </c>
      <c r="BG4400" s="477">
        <v>5566520.4347099485</v>
      </c>
      <c r="BH4400" s="458">
        <v>5.2788260897124628E-2</v>
      </c>
      <c r="BI4400" s="477">
        <v>10015855.969596736</v>
      </c>
      <c r="BJ4400" s="458">
        <v>0.11346961442822789</v>
      </c>
      <c r="BK4400" s="477">
        <v>108854266.70274909</v>
      </c>
      <c r="BL4400" s="458">
        <v>0.26974295630496514</v>
      </c>
      <c r="BM4400" s="468">
        <v>11.268625844972906</v>
      </c>
    </row>
    <row r="4401" spans="12:65" x14ac:dyDescent="0.3">
      <c r="L4401" s="427">
        <v>14445788.2959</v>
      </c>
      <c r="BE4401" s="477">
        <v>2278599.5950019457</v>
      </c>
      <c r="BF4401" s="458">
        <v>5.6337963945922054E-2</v>
      </c>
      <c r="BG4401" s="477">
        <v>6444411.5875583822</v>
      </c>
      <c r="BH4401" s="458">
        <v>4.7413956621033648E-2</v>
      </c>
      <c r="BI4401" s="477">
        <v>18955219.839883603</v>
      </c>
      <c r="BJ4401" s="458">
        <v>9.8418759022478541E-2</v>
      </c>
      <c r="BK4401" s="477">
        <v>79544934.863815293</v>
      </c>
      <c r="BL4401" s="458">
        <v>0.27247452821776985</v>
      </c>
      <c r="BM4401" s="468">
        <v>4.8561106423279128</v>
      </c>
    </row>
    <row r="4402" spans="12:65" x14ac:dyDescent="0.3">
      <c r="L4402" s="427">
        <v>7674799.6347000003</v>
      </c>
      <c r="BE4402" s="477">
        <v>4554895.9165332448</v>
      </c>
      <c r="BF4402" s="458">
        <v>3.9307743823705721E-2</v>
      </c>
      <c r="BG4402" s="477">
        <v>8994469.8443284929</v>
      </c>
      <c r="BH4402" s="458">
        <v>8.2051274683674569E-2</v>
      </c>
      <c r="BI4402" s="477">
        <v>15794936.812554846</v>
      </c>
      <c r="BJ4402" s="458">
        <v>0.12393791475430116</v>
      </c>
      <c r="BK4402" s="477">
        <v>82611044.41789645</v>
      </c>
      <c r="BL4402" s="458">
        <v>0.27230834428664807</v>
      </c>
      <c r="BM4402" s="468">
        <v>8.8972511916494579</v>
      </c>
    </row>
    <row r="4403" spans="12:65" x14ac:dyDescent="0.3">
      <c r="L4403" s="427">
        <v>14967067.967700001</v>
      </c>
      <c r="BE4403" s="477">
        <v>5331292.3536271993</v>
      </c>
      <c r="BF4403" s="458">
        <v>3.5427410622648203E-2</v>
      </c>
      <c r="BG4403" s="477">
        <v>9464434.9576740693</v>
      </c>
      <c r="BH4403" s="458">
        <v>4.9541198012356569E-2</v>
      </c>
      <c r="BI4403" s="477">
        <v>22385749.941338547</v>
      </c>
      <c r="BJ4403" s="458">
        <v>9.3289982185885245E-2</v>
      </c>
      <c r="BK4403" s="477">
        <v>78850941.352468804</v>
      </c>
      <c r="BL4403" s="458">
        <v>0.28022676211735065</v>
      </c>
      <c r="BM4403" s="468">
        <v>11.407860061773826</v>
      </c>
    </row>
    <row r="4404" spans="12:65" x14ac:dyDescent="0.3">
      <c r="L4404" s="427">
        <v>-5166739.9903999995</v>
      </c>
      <c r="BE4404" s="477">
        <v>3733582.1250590002</v>
      </c>
      <c r="BF4404" s="458">
        <v>5.2895719804002317E-2</v>
      </c>
      <c r="BG4404" s="477">
        <v>3781618.9465166633</v>
      </c>
      <c r="BH4404" s="458">
        <v>6.7201089771312894E-2</v>
      </c>
      <c r="BI4404" s="477">
        <v>23398434.770809028</v>
      </c>
      <c r="BJ4404" s="458">
        <v>0.11769273056923857</v>
      </c>
      <c r="BK4404" s="477">
        <v>98516099.014448389</v>
      </c>
      <c r="BL4404" s="458">
        <v>0.27604454659100708</v>
      </c>
      <c r="BM4404" s="468">
        <v>5.1219136741358984</v>
      </c>
    </row>
    <row r="4405" spans="12:65" x14ac:dyDescent="0.3">
      <c r="L4405" s="427">
        <v>24119976.6204</v>
      </c>
      <c r="BE4405" s="477">
        <v>3056328.5338183544</v>
      </c>
      <c r="BF4405" s="458">
        <v>3.90470240025802E-2</v>
      </c>
      <c r="BG4405" s="477">
        <v>14453647.28231529</v>
      </c>
      <c r="BH4405" s="458">
        <v>7.1155974905383834E-2</v>
      </c>
      <c r="BI4405" s="477">
        <v>7520026.2842400223</v>
      </c>
      <c r="BJ4405" s="458">
        <v>0.11867080771214344</v>
      </c>
      <c r="BK4405" s="477">
        <v>101866954.69319981</v>
      </c>
      <c r="BL4405" s="458">
        <v>0.26127831445172034</v>
      </c>
      <c r="BM4405" s="468">
        <v>8.6206111913159624</v>
      </c>
    </row>
    <row r="4406" spans="12:65" x14ac:dyDescent="0.3">
      <c r="L4406" s="427">
        <v>17095847.261500001</v>
      </c>
      <c r="BE4406" s="477">
        <v>6945882.5645085592</v>
      </c>
      <c r="BF4406" s="458">
        <v>2.0707257204128471E-2</v>
      </c>
      <c r="BG4406" s="477">
        <v>10793894.241147371</v>
      </c>
      <c r="BH4406" s="458">
        <v>4.9977846297464712E-2</v>
      </c>
      <c r="BI4406" s="477">
        <v>11803222.344267171</v>
      </c>
      <c r="BJ4406" s="458">
        <v>0.11330309982866327</v>
      </c>
      <c r="BK4406" s="477">
        <v>93620705.219745636</v>
      </c>
      <c r="BL4406" s="458">
        <v>0.27529649658790123</v>
      </c>
      <c r="BM4406" s="468">
        <v>5.790326526220837</v>
      </c>
    </row>
    <row r="4407" spans="12:65" x14ac:dyDescent="0.3">
      <c r="L4407" s="427">
        <v>18260718.9956</v>
      </c>
      <c r="BE4407" s="477">
        <v>524364.37278087239</v>
      </c>
      <c r="BF4407" s="458">
        <v>2.338606137886301E-2</v>
      </c>
      <c r="BG4407" s="477">
        <v>3068947.935894615</v>
      </c>
      <c r="BH4407" s="458">
        <v>6.7427464368797541E-2</v>
      </c>
      <c r="BI4407" s="477">
        <v>21109417.485103656</v>
      </c>
      <c r="BJ4407" s="458">
        <v>0.11144760437467749</v>
      </c>
      <c r="BK4407" s="477">
        <v>81159033.898038179</v>
      </c>
      <c r="BL4407" s="458">
        <v>0.24740001317251714</v>
      </c>
      <c r="BM4407" s="468">
        <v>7.501033264218135</v>
      </c>
    </row>
    <row r="4408" spans="12:65" x14ac:dyDescent="0.3">
      <c r="L4408" s="427">
        <v>-3921252.3451</v>
      </c>
      <c r="BE4408" s="477">
        <v>3000281.6223747418</v>
      </c>
      <c r="BF4408" s="458">
        <v>4.7642067256466358E-2</v>
      </c>
      <c r="BG4408" s="477">
        <v>9020895.9242303967</v>
      </c>
      <c r="BH4408" s="458">
        <v>6.7866442021484064E-2</v>
      </c>
      <c r="BI4408" s="477">
        <v>16561802.351911128</v>
      </c>
      <c r="BJ4408" s="458">
        <v>0.12048430464119586</v>
      </c>
      <c r="BK4408" s="477">
        <v>80672353.914567962</v>
      </c>
      <c r="BL4408" s="458">
        <v>0.26492366904984976</v>
      </c>
      <c r="BM4408" s="468">
        <v>9.4403706374564518</v>
      </c>
    </row>
    <row r="4409" spans="12:65" x14ac:dyDescent="0.3">
      <c r="L4409" s="427">
        <v>-12647403.700300001</v>
      </c>
      <c r="BE4409" s="477">
        <v>8702093.7980778087</v>
      </c>
      <c r="BF4409" s="458">
        <v>4.641673703680449E-2</v>
      </c>
      <c r="BG4409" s="477">
        <v>10679306.728323329</v>
      </c>
      <c r="BH4409" s="458">
        <v>5.5876926803904325E-2</v>
      </c>
      <c r="BI4409" s="477">
        <v>17495107.540104844</v>
      </c>
      <c r="BJ4409" s="458">
        <v>0.13160162139696907</v>
      </c>
      <c r="BK4409" s="477">
        <v>89478967.206474513</v>
      </c>
      <c r="BL4409" s="458">
        <v>0.28116681832669244</v>
      </c>
      <c r="BM4409" s="468">
        <v>5.0084953826024918</v>
      </c>
    </row>
    <row r="4410" spans="12:65" x14ac:dyDescent="0.3">
      <c r="L4410" s="427">
        <v>2672329.5424000002</v>
      </c>
      <c r="BE4410" s="477">
        <v>2143576.1117053777</v>
      </c>
      <c r="BF4410" s="458">
        <v>4.0218648081995934E-2</v>
      </c>
      <c r="BG4410" s="477">
        <v>8048926.5764241209</v>
      </c>
      <c r="BH4410" s="458">
        <v>5.1653020770079605E-2</v>
      </c>
      <c r="BI4410" s="477">
        <v>15901077.300478918</v>
      </c>
      <c r="BJ4410" s="458">
        <v>0.13733840881413473</v>
      </c>
      <c r="BK4410" s="477">
        <v>91226868.865306735</v>
      </c>
      <c r="BL4410" s="458">
        <v>0.26502097873494557</v>
      </c>
      <c r="BM4410" s="468">
        <v>7.380846993583325</v>
      </c>
    </row>
    <row r="4411" spans="12:65" x14ac:dyDescent="0.3">
      <c r="L4411" s="427">
        <v>13994261.821</v>
      </c>
      <c r="BE4411" s="477">
        <v>9197296.9535386451</v>
      </c>
      <c r="BF4411" s="458">
        <v>4.2002702090522037E-2</v>
      </c>
      <c r="BG4411" s="477">
        <v>9753981.7501743827</v>
      </c>
      <c r="BH4411" s="458">
        <v>5.2543537553789266E-2</v>
      </c>
      <c r="BI4411" s="477">
        <v>15425101.576594915</v>
      </c>
      <c r="BJ4411" s="458">
        <v>9.3313077593779381E-2</v>
      </c>
      <c r="BK4411" s="477">
        <v>86704205.366210341</v>
      </c>
      <c r="BL4411" s="458">
        <v>0.26584208585900071</v>
      </c>
      <c r="BM4411" s="468">
        <v>10.393277649365203</v>
      </c>
    </row>
    <row r="4412" spans="12:65" x14ac:dyDescent="0.3">
      <c r="L4412" s="427">
        <v>18253249.5493</v>
      </c>
      <c r="BE4412" s="477">
        <v>7843315.6129746214</v>
      </c>
      <c r="BF4412" s="458">
        <v>8.1743561792452679E-2</v>
      </c>
      <c r="BG4412" s="477">
        <v>7876967.9774484877</v>
      </c>
      <c r="BH4412" s="458">
        <v>7.5315764208182312E-2</v>
      </c>
      <c r="BI4412" s="477">
        <v>15380305.525685512</v>
      </c>
      <c r="BJ4412" s="458">
        <v>9.8637192150237141E-2</v>
      </c>
      <c r="BK4412" s="477">
        <v>103569802.52199683</v>
      </c>
      <c r="BL4412" s="458">
        <v>0.27626100666796183</v>
      </c>
      <c r="BM4412" s="468">
        <v>7.4284114943276611</v>
      </c>
    </row>
    <row r="4413" spans="12:65" x14ac:dyDescent="0.3">
      <c r="L4413" s="427">
        <v>9621784.5691</v>
      </c>
      <c r="BE4413" s="477">
        <v>-2134002.00340233</v>
      </c>
      <c r="BF4413" s="458">
        <v>4.7049018345972415E-2</v>
      </c>
      <c r="BG4413" s="477">
        <v>10821083.443853332</v>
      </c>
      <c r="BH4413" s="458">
        <v>6.7287663962996014E-2</v>
      </c>
      <c r="BI4413" s="477">
        <v>16257457.267031681</v>
      </c>
      <c r="BJ4413" s="458">
        <v>0.10437510784146897</v>
      </c>
      <c r="BK4413" s="477">
        <v>76371731.370628372</v>
      </c>
      <c r="BL4413" s="458">
        <v>0.26052341395549194</v>
      </c>
      <c r="BM4413" s="468">
        <v>9.7077587248040036</v>
      </c>
    </row>
    <row r="4414" spans="12:65" x14ac:dyDescent="0.3">
      <c r="L4414" s="427">
        <v>1583094.9779999999</v>
      </c>
      <c r="BE4414" s="477">
        <v>4202678.9398591006</v>
      </c>
      <c r="BF4414" s="458">
        <v>6.3456697006321727E-2</v>
      </c>
      <c r="BG4414" s="477">
        <v>5034670.8632844677</v>
      </c>
      <c r="BH4414" s="458">
        <v>9.5773246536286383E-2</v>
      </c>
      <c r="BI4414" s="477">
        <v>17343805.240402263</v>
      </c>
      <c r="BJ4414" s="458">
        <v>0.12576854002065208</v>
      </c>
      <c r="BK4414" s="477">
        <v>87092319.410077766</v>
      </c>
      <c r="BL4414" s="458">
        <v>0.25621292530615647</v>
      </c>
      <c r="BM4414" s="468">
        <v>9.7552008706968927</v>
      </c>
    </row>
    <row r="4415" spans="12:65" x14ac:dyDescent="0.3">
      <c r="L4415" s="427">
        <v>-2295915.0350000001</v>
      </c>
      <c r="BE4415" s="477">
        <v>-1686417.3494661953</v>
      </c>
      <c r="BF4415" s="458">
        <v>3.8148320003647651E-2</v>
      </c>
      <c r="BG4415" s="477">
        <v>6238475.127234281</v>
      </c>
      <c r="BH4415" s="458">
        <v>7.6069584119635492E-2</v>
      </c>
      <c r="BI4415" s="477">
        <v>19637036.879939381</v>
      </c>
      <c r="BJ4415" s="458">
        <v>9.7356610511067698E-2</v>
      </c>
      <c r="BK4415" s="477">
        <v>86508155.741284519</v>
      </c>
      <c r="BL4415" s="458">
        <v>0.26925179393275012</v>
      </c>
      <c r="BM4415" s="468">
        <v>5.3922635827577885</v>
      </c>
    </row>
    <row r="4416" spans="12:65" x14ac:dyDescent="0.3">
      <c r="L4416" s="427">
        <v>11216605.134400001</v>
      </c>
      <c r="BE4416" s="477">
        <v>7777733.6882881243</v>
      </c>
      <c r="BF4416" s="458">
        <v>4.9674056305099024E-2</v>
      </c>
      <c r="BG4416" s="477">
        <v>12149273.731560756</v>
      </c>
      <c r="BH4416" s="458">
        <v>9.7488204601990702E-2</v>
      </c>
      <c r="BI4416" s="477">
        <v>19380074.887584429</v>
      </c>
      <c r="BJ4416" s="458">
        <v>0.10533911834001097</v>
      </c>
      <c r="BK4416" s="477">
        <v>90437933.625819296</v>
      </c>
      <c r="BL4416" s="458">
        <v>0.28151549865567493</v>
      </c>
      <c r="BM4416" s="468">
        <v>14.891332824650235</v>
      </c>
    </row>
    <row r="4417" spans="12:65" x14ac:dyDescent="0.3">
      <c r="L4417" s="427">
        <v>11950331.8498</v>
      </c>
      <c r="BE4417" s="477">
        <v>6387369.1836334383</v>
      </c>
      <c r="BF4417" s="458">
        <v>5.669666103732407E-2</v>
      </c>
      <c r="BG4417" s="477">
        <v>8499681.3967831694</v>
      </c>
      <c r="BH4417" s="458">
        <v>4.2725505275896802E-2</v>
      </c>
      <c r="BI4417" s="477">
        <v>19624451.729072779</v>
      </c>
      <c r="BJ4417" s="458">
        <v>0.1011261440906519</v>
      </c>
      <c r="BK4417" s="477">
        <v>75624257.828222215</v>
      </c>
      <c r="BL4417" s="458">
        <v>0.24711119876153753</v>
      </c>
      <c r="BM4417" s="468">
        <v>9.2573748329301679</v>
      </c>
    </row>
    <row r="4418" spans="12:65" x14ac:dyDescent="0.3">
      <c r="L4418" s="427">
        <v>7724288.1456000004</v>
      </c>
      <c r="BE4418" s="477">
        <v>7378489.4874823671</v>
      </c>
      <c r="BF4418" s="458">
        <v>3.822817064519235E-2</v>
      </c>
      <c r="BG4418" s="477">
        <v>9019144.1207446195</v>
      </c>
      <c r="BH4418" s="458">
        <v>5.923640582173495E-2</v>
      </c>
      <c r="BI4418" s="477">
        <v>15168769.572688015</v>
      </c>
      <c r="BJ4418" s="458">
        <v>0.11630088429287189</v>
      </c>
      <c r="BK4418" s="477">
        <v>91373452.917908654</v>
      </c>
      <c r="BL4418" s="458">
        <v>0.26812057696619185</v>
      </c>
      <c r="BM4418" s="468">
        <v>9.0259769734352187</v>
      </c>
    </row>
    <row r="4419" spans="12:65" x14ac:dyDescent="0.3">
      <c r="L4419" s="427">
        <v>-3008283.6993</v>
      </c>
      <c r="BE4419" s="477">
        <v>4238478.5989644248</v>
      </c>
      <c r="BF4419" s="458">
        <v>3.3500035891885327E-2</v>
      </c>
      <c r="BG4419" s="477">
        <v>15089167.276704455</v>
      </c>
      <c r="BH4419" s="458">
        <v>5.9803646778840092E-2</v>
      </c>
      <c r="BI4419" s="477">
        <v>20446397.923068192</v>
      </c>
      <c r="BJ4419" s="458">
        <v>0.13434096385373606</v>
      </c>
      <c r="BK4419" s="477">
        <v>91791308.579224557</v>
      </c>
      <c r="BL4419" s="458">
        <v>0.27198412897903412</v>
      </c>
      <c r="BM4419" s="468">
        <v>12.814881929397215</v>
      </c>
    </row>
    <row r="4420" spans="12:65" x14ac:dyDescent="0.3">
      <c r="L4420" s="427">
        <v>19644177.014600001</v>
      </c>
      <c r="BE4420" s="477">
        <v>1740214.9174070712</v>
      </c>
      <c r="BF4420" s="458">
        <v>4.4010793727275788E-2</v>
      </c>
      <c r="BG4420" s="477">
        <v>15858692.305415779</v>
      </c>
      <c r="BH4420" s="458">
        <v>6.7890802113831139E-2</v>
      </c>
      <c r="BI4420" s="477">
        <v>9763477.6794843301</v>
      </c>
      <c r="BJ4420" s="458">
        <v>0.12150838134389264</v>
      </c>
      <c r="BK4420" s="477">
        <v>92269578.734178632</v>
      </c>
      <c r="BL4420" s="458">
        <v>0.25588390392178728</v>
      </c>
      <c r="BM4420" s="468">
        <v>14.327362265612937</v>
      </c>
    </row>
    <row r="4421" spans="12:65" x14ac:dyDescent="0.3">
      <c r="L4421" s="427">
        <v>1339545.0475999999</v>
      </c>
      <c r="BE4421" s="477">
        <v>4919061.1871848125</v>
      </c>
      <c r="BF4421" s="458">
        <v>3.7417255188566978E-2</v>
      </c>
      <c r="BG4421" s="477">
        <v>8918184.2711085118</v>
      </c>
      <c r="BH4421" s="458">
        <v>6.3989530790459881E-2</v>
      </c>
      <c r="BI4421" s="477">
        <v>21677656.297931809</v>
      </c>
      <c r="BJ4421" s="458">
        <v>8.6289371924364699E-2</v>
      </c>
      <c r="BK4421" s="477">
        <v>79254367.711506188</v>
      </c>
      <c r="BL4421" s="458">
        <v>0.26849097310578829</v>
      </c>
      <c r="BM4421" s="468">
        <v>7.697014418334577</v>
      </c>
    </row>
    <row r="4422" spans="12:65" x14ac:dyDescent="0.3">
      <c r="L4422" s="427">
        <v>12400470.5129</v>
      </c>
      <c r="BE4422" s="477">
        <v>1906095.8700823816</v>
      </c>
      <c r="BF4422" s="458">
        <v>2.8528140484793463E-2</v>
      </c>
      <c r="BG4422" s="477">
        <v>12175799.542908758</v>
      </c>
      <c r="BH4422" s="458">
        <v>8.3284109339726964E-2</v>
      </c>
      <c r="BI4422" s="477">
        <v>15475604.655158551</v>
      </c>
      <c r="BJ4422" s="458">
        <v>9.4264849645456561E-2</v>
      </c>
      <c r="BK4422" s="477">
        <v>88261789.581893533</v>
      </c>
      <c r="BL4422" s="458">
        <v>0.28320356446504236</v>
      </c>
      <c r="BM4422" s="468">
        <v>8.0246003139646813</v>
      </c>
    </row>
    <row r="4423" spans="12:65" x14ac:dyDescent="0.3">
      <c r="L4423" s="427">
        <v>11037408.532500001</v>
      </c>
      <c r="BE4423" s="477">
        <v>3610735.4593011788</v>
      </c>
      <c r="BF4423" s="458">
        <v>3.3023990315161011E-2</v>
      </c>
      <c r="BG4423" s="477">
        <v>7522317.5638286686</v>
      </c>
      <c r="BH4423" s="458">
        <v>4.4476438986373656E-2</v>
      </c>
      <c r="BI4423" s="477">
        <v>21084035.967630457</v>
      </c>
      <c r="BJ4423" s="458">
        <v>0.10348616336676963</v>
      </c>
      <c r="BK4423" s="477">
        <v>98086613.786069542</v>
      </c>
      <c r="BL4423" s="458">
        <v>0.25849532099669092</v>
      </c>
      <c r="BM4423" s="468">
        <v>7.3986311807952543</v>
      </c>
    </row>
    <row r="4424" spans="12:65" x14ac:dyDescent="0.3">
      <c r="L4424" s="427">
        <v>6148481.4499000004</v>
      </c>
      <c r="BE4424" s="477">
        <v>3289518.5973591623</v>
      </c>
      <c r="BF4424" s="458">
        <v>6.8822638198159369E-2</v>
      </c>
      <c r="BG4424" s="477">
        <v>1350464.8674146838</v>
      </c>
      <c r="BH4424" s="458">
        <v>5.4900435240548662E-2</v>
      </c>
      <c r="BI4424" s="477">
        <v>16442519.831028149</v>
      </c>
      <c r="BJ4424" s="458">
        <v>0.10274425895063333</v>
      </c>
      <c r="BK4424" s="477">
        <v>96414761.344676882</v>
      </c>
      <c r="BL4424" s="458">
        <v>0.26428163279848604</v>
      </c>
      <c r="BM4424" s="468">
        <v>12.964659631384841</v>
      </c>
    </row>
    <row r="4425" spans="12:65" x14ac:dyDescent="0.3">
      <c r="L4425" s="427">
        <v>25322322.8279</v>
      </c>
      <c r="BE4425" s="477">
        <v>5542238.6471541505</v>
      </c>
      <c r="BF4425" s="458">
        <v>4.5681731308337969E-2</v>
      </c>
      <c r="BG4425" s="477">
        <v>15181415.571843937</v>
      </c>
      <c r="BH4425" s="458">
        <v>4.1570214479121459E-2</v>
      </c>
      <c r="BI4425" s="477">
        <v>17828555.175497089</v>
      </c>
      <c r="BJ4425" s="458">
        <v>8.7208319285021707E-2</v>
      </c>
      <c r="BK4425" s="477">
        <v>85851292.493365824</v>
      </c>
      <c r="BL4425" s="458">
        <v>0.28252736741277307</v>
      </c>
      <c r="BM4425" s="468">
        <v>9.6866212770414517</v>
      </c>
    </row>
    <row r="4426" spans="12:65" x14ac:dyDescent="0.3">
      <c r="L4426" s="427">
        <v>-3312141.5296999998</v>
      </c>
      <c r="BE4426" s="477">
        <v>-4959603.8088451577</v>
      </c>
      <c r="BF4426" s="458">
        <v>2.8470470780699975E-2</v>
      </c>
      <c r="BG4426" s="477">
        <v>7371961.0392547846</v>
      </c>
      <c r="BH4426" s="458">
        <v>8.2593468415218751E-2</v>
      </c>
      <c r="BI4426" s="477">
        <v>13265647.4827879</v>
      </c>
      <c r="BJ4426" s="458">
        <v>0.11004308509069771</v>
      </c>
      <c r="BK4426" s="477">
        <v>94089862.675805688</v>
      </c>
      <c r="BL4426" s="458">
        <v>0.27148047449337365</v>
      </c>
      <c r="BM4426" s="468">
        <v>5.5901859113677563</v>
      </c>
    </row>
    <row r="4427" spans="12:65" x14ac:dyDescent="0.3">
      <c r="L4427" s="427">
        <v>33703781.4164</v>
      </c>
      <c r="BE4427" s="477">
        <v>4016236.5801795502</v>
      </c>
      <c r="BF4427" s="458">
        <v>3.2698046451023366E-2</v>
      </c>
      <c r="BG4427" s="477">
        <v>6697718.6115704887</v>
      </c>
      <c r="BH4427" s="458">
        <v>6.7545394061130803E-2</v>
      </c>
      <c r="BI4427" s="477">
        <v>5122266.9263813132</v>
      </c>
      <c r="BJ4427" s="458">
        <v>8.8718129300112469E-2</v>
      </c>
      <c r="BK4427" s="477">
        <v>85463932.005814314</v>
      </c>
      <c r="BL4427" s="458">
        <v>0.28095772206398406</v>
      </c>
      <c r="BM4427" s="468">
        <v>7.7132686207001466</v>
      </c>
    </row>
    <row r="4428" spans="12:65" x14ac:dyDescent="0.3">
      <c r="L4428" s="427">
        <v>5537471.1650999999</v>
      </c>
      <c r="BE4428" s="477">
        <v>5326062.3596788291</v>
      </c>
      <c r="BF4428" s="458">
        <v>7.7881202806122207E-2</v>
      </c>
      <c r="BG4428" s="477">
        <v>3413948.0727614579</v>
      </c>
      <c r="BH4428" s="458">
        <v>6.2842637796397538E-2</v>
      </c>
      <c r="BI4428" s="477">
        <v>22828320.716754757</v>
      </c>
      <c r="BJ4428" s="458">
        <v>9.6558729120336473E-2</v>
      </c>
      <c r="BK4428" s="477">
        <v>103339055.06392993</v>
      </c>
      <c r="BL4428" s="458">
        <v>0.27033937052835166</v>
      </c>
      <c r="BM4428" s="468">
        <v>8.0874733618090833</v>
      </c>
    </row>
    <row r="4429" spans="12:65" x14ac:dyDescent="0.3">
      <c r="L4429" s="427">
        <v>11918691.191199999</v>
      </c>
      <c r="BE4429" s="477">
        <v>3039513.3020726712</v>
      </c>
      <c r="BF4429" s="458">
        <v>3.0676557179854402E-2</v>
      </c>
      <c r="BG4429" s="477">
        <v>14138385.028542539</v>
      </c>
      <c r="BH4429" s="458">
        <v>6.1541325340032982E-2</v>
      </c>
      <c r="BI4429" s="477">
        <v>19327832.051184587</v>
      </c>
      <c r="BJ4429" s="458">
        <v>0.11968453481340546</v>
      </c>
      <c r="BK4429" s="477">
        <v>94394747.89468959</v>
      </c>
      <c r="BL4429" s="458">
        <v>0.27305637007241956</v>
      </c>
      <c r="BM4429" s="468">
        <v>3.6094774145025044</v>
      </c>
    </row>
    <row r="4430" spans="12:65" x14ac:dyDescent="0.3">
      <c r="L4430" s="427">
        <v>5073571.9145999998</v>
      </c>
      <c r="BE4430" s="477">
        <v>7648859.3905321788</v>
      </c>
      <c r="BF4430" s="458">
        <v>4.5226582975739227E-2</v>
      </c>
      <c r="BG4430" s="477">
        <v>10504714.503353743</v>
      </c>
      <c r="BH4430" s="458">
        <v>8.3363701635174259E-2</v>
      </c>
      <c r="BI4430" s="477">
        <v>13016654.288161451</v>
      </c>
      <c r="BJ4430" s="458">
        <v>0.102628644777502</v>
      </c>
      <c r="BK4430" s="477">
        <v>80060413.33174631</v>
      </c>
      <c r="BL4430" s="458">
        <v>0.26368406737712302</v>
      </c>
      <c r="BM4430" s="468">
        <v>6.0555665028373102</v>
      </c>
    </row>
    <row r="4431" spans="12:65" x14ac:dyDescent="0.3">
      <c r="L4431" s="427">
        <v>9955744.9945999999</v>
      </c>
      <c r="BE4431" s="477">
        <v>8421883.0848941915</v>
      </c>
      <c r="BF4431" s="458">
        <v>3.8363668640879922E-2</v>
      </c>
      <c r="BG4431" s="477">
        <v>14096651.501550559</v>
      </c>
      <c r="BH4431" s="458">
        <v>6.9222633753788898E-2</v>
      </c>
      <c r="BI4431" s="477">
        <v>21590074.124871317</v>
      </c>
      <c r="BJ4431" s="458">
        <v>0.13886511686757985</v>
      </c>
      <c r="BK4431" s="477">
        <v>83970157.049558088</v>
      </c>
      <c r="BL4431" s="458">
        <v>0.27920684786322303</v>
      </c>
      <c r="BM4431" s="468">
        <v>1.369734541951904</v>
      </c>
    </row>
    <row r="4432" spans="12:65" x14ac:dyDescent="0.3">
      <c r="L4432" s="427">
        <v>1414170.9628999999</v>
      </c>
      <c r="BE4432" s="477">
        <v>-584634.52207618451</v>
      </c>
      <c r="BF4432" s="458">
        <v>5.5940509592483645E-2</v>
      </c>
      <c r="BG4432" s="477">
        <v>11053151.606351728</v>
      </c>
      <c r="BH4432" s="458">
        <v>4.637928063436858E-2</v>
      </c>
      <c r="BI4432" s="477">
        <v>20200857.170582093</v>
      </c>
      <c r="BJ4432" s="458">
        <v>0.11323736166569076</v>
      </c>
      <c r="BK4432" s="477">
        <v>87319363.87243399</v>
      </c>
      <c r="BL4432" s="458">
        <v>0.2745997955280477</v>
      </c>
      <c r="BM4432" s="468">
        <v>10.642345065768708</v>
      </c>
    </row>
    <row r="4433" spans="12:65" x14ac:dyDescent="0.3">
      <c r="L4433" s="427">
        <v>12173511.094799999</v>
      </c>
      <c r="BE4433" s="477">
        <v>5890662.6676212158</v>
      </c>
      <c r="BF4433" s="458">
        <v>3.5521380971077487E-2</v>
      </c>
      <c r="BG4433" s="477">
        <v>14114529.139096938</v>
      </c>
      <c r="BH4433" s="458">
        <v>8.516528955410041E-2</v>
      </c>
      <c r="BI4433" s="477">
        <v>19838090.447840717</v>
      </c>
      <c r="BJ4433" s="458">
        <v>0.10663466324077753</v>
      </c>
      <c r="BK4433" s="477">
        <v>85875651.2063853</v>
      </c>
      <c r="BL4433" s="458">
        <v>0.24516428301776338</v>
      </c>
      <c r="BM4433" s="468">
        <v>0.67202732489136352</v>
      </c>
    </row>
    <row r="4434" spans="12:65" x14ac:dyDescent="0.3">
      <c r="L4434" s="427">
        <v>9232431.9710000008</v>
      </c>
      <c r="BE4434" s="477">
        <v>3988205.9082333166</v>
      </c>
      <c r="BF4434" s="458">
        <v>4.7386905939227342E-2</v>
      </c>
      <c r="BG4434" s="477">
        <v>13370525.429111322</v>
      </c>
      <c r="BH4434" s="458">
        <v>5.9326456803822758E-2</v>
      </c>
      <c r="BI4434" s="477">
        <v>21496979.269925937</v>
      </c>
      <c r="BJ4434" s="458">
        <v>0.11125702183978703</v>
      </c>
      <c r="BK4434" s="477">
        <v>78491049.297991708</v>
      </c>
      <c r="BL4434" s="458">
        <v>0.25739301572848294</v>
      </c>
      <c r="BM4434" s="468">
        <v>14.572035980297871</v>
      </c>
    </row>
    <row r="4435" spans="12:65" x14ac:dyDescent="0.3">
      <c r="L4435" s="427">
        <v>3956582.5929999999</v>
      </c>
      <c r="BE4435" s="477">
        <v>756662.02697859821</v>
      </c>
      <c r="BF4435" s="458">
        <v>3.2909937027376435E-2</v>
      </c>
      <c r="BG4435" s="477">
        <v>8374703.2276908914</v>
      </c>
      <c r="BH4435" s="458">
        <v>6.9588100748904091E-2</v>
      </c>
      <c r="BI4435" s="477">
        <v>14659400.143012375</v>
      </c>
      <c r="BJ4435" s="458">
        <v>0.1240756668454297</v>
      </c>
      <c r="BK4435" s="477">
        <v>102722491.66460088</v>
      </c>
      <c r="BL4435" s="458">
        <v>0.2851550473728437</v>
      </c>
      <c r="BM4435" s="468">
        <v>7.93701795445401</v>
      </c>
    </row>
    <row r="4436" spans="12:65" x14ac:dyDescent="0.3">
      <c r="L4436" s="427">
        <v>6926990.9560000002</v>
      </c>
      <c r="BE4436" s="477">
        <v>3449228.4199407427</v>
      </c>
      <c r="BF4436" s="458">
        <v>2.6366923052706159E-2</v>
      </c>
      <c r="BG4436" s="477">
        <v>13039855.176419552</v>
      </c>
      <c r="BH4436" s="458">
        <v>5.1327159654745325E-2</v>
      </c>
      <c r="BI4436" s="477">
        <v>8935811.6457943432</v>
      </c>
      <c r="BJ4436" s="458">
        <v>8.4303458131669951E-2</v>
      </c>
      <c r="BK4436" s="477">
        <v>92933262.953211859</v>
      </c>
      <c r="BL4436" s="458">
        <v>0.25546100464527188</v>
      </c>
      <c r="BM4436" s="468">
        <v>9.1157521364565675</v>
      </c>
    </row>
    <row r="4437" spans="12:65" x14ac:dyDescent="0.3">
      <c r="L4437" s="427">
        <v>12829665.154899999</v>
      </c>
      <c r="BE4437" s="477">
        <v>4842596.688573665</v>
      </c>
      <c r="BF4437" s="458">
        <v>5.1602352381807215E-2</v>
      </c>
      <c r="BG4437" s="477">
        <v>9100016.4323804844</v>
      </c>
      <c r="BH4437" s="458">
        <v>6.0752066086690704E-2</v>
      </c>
      <c r="BI4437" s="477">
        <v>14109383.875010133</v>
      </c>
      <c r="BJ4437" s="458">
        <v>0.1273674307069721</v>
      </c>
      <c r="BK4437" s="477">
        <v>93232002.483615145</v>
      </c>
      <c r="BL4437" s="458">
        <v>0.26574493932609267</v>
      </c>
      <c r="BM4437" s="468">
        <v>6.8289866980042255</v>
      </c>
    </row>
    <row r="4438" spans="12:65" x14ac:dyDescent="0.3">
      <c r="L4438" s="427">
        <v>11664050.5221</v>
      </c>
      <c r="BE4438" s="477">
        <v>6652728.1392204501</v>
      </c>
      <c r="BF4438" s="458">
        <v>3.4117682686552797E-2</v>
      </c>
      <c r="BG4438" s="477">
        <v>7527049.1668710923</v>
      </c>
      <c r="BH4438" s="458">
        <v>9.0048826622082245E-2</v>
      </c>
      <c r="BI4438" s="477">
        <v>16553650.521451918</v>
      </c>
      <c r="BJ4438" s="458">
        <v>0.10463919447949777</v>
      </c>
      <c r="BK4438" s="477">
        <v>101879425.95230992</v>
      </c>
      <c r="BL4438" s="458">
        <v>0.25586677769212085</v>
      </c>
      <c r="BM4438" s="468">
        <v>10.318326217643548</v>
      </c>
    </row>
    <row r="4439" spans="12:65" x14ac:dyDescent="0.3">
      <c r="L4439" s="427">
        <v>15320743.3608</v>
      </c>
      <c r="BE4439" s="477">
        <v>7223150.6971671022</v>
      </c>
      <c r="BF4439" s="458">
        <v>5.898129864319146E-2</v>
      </c>
      <c r="BG4439" s="477">
        <v>13865355.799224494</v>
      </c>
      <c r="BH4439" s="458">
        <v>3.748645024511954E-2</v>
      </c>
      <c r="BI4439" s="477">
        <v>16982820.577295948</v>
      </c>
      <c r="BJ4439" s="458">
        <v>0.10884338557478102</v>
      </c>
      <c r="BK4439" s="477">
        <v>92942722.90097554</v>
      </c>
      <c r="BL4439" s="458">
        <v>0.29658404144951267</v>
      </c>
      <c r="BM4439" s="468">
        <v>6.197658259474462</v>
      </c>
    </row>
    <row r="4440" spans="12:65" x14ac:dyDescent="0.3">
      <c r="L4440" s="427">
        <v>792707.75699999998</v>
      </c>
      <c r="BE4440" s="477">
        <v>7813403.7643739553</v>
      </c>
      <c r="BF4440" s="458">
        <v>5.3634257931155283E-2</v>
      </c>
      <c r="BG4440" s="477">
        <v>7256899.4003920052</v>
      </c>
      <c r="BH4440" s="458">
        <v>7.4643443346200211E-2</v>
      </c>
      <c r="BI4440" s="477">
        <v>8528638.6408042703</v>
      </c>
      <c r="BJ4440" s="458">
        <v>0.10830734539996945</v>
      </c>
      <c r="BK4440" s="477">
        <v>99370117.877670556</v>
      </c>
      <c r="BL4440" s="458">
        <v>0.27060940738613892</v>
      </c>
      <c r="BM4440" s="468">
        <v>12.527062054703455</v>
      </c>
    </row>
    <row r="4441" spans="12:65" x14ac:dyDescent="0.3">
      <c r="L4441" s="427">
        <v>16535563.675799999</v>
      </c>
      <c r="BE4441" s="477">
        <v>4417397.6315617459</v>
      </c>
      <c r="BF4441" s="458">
        <v>4.5072666284278418E-2</v>
      </c>
      <c r="BG4441" s="477">
        <v>5724345.4049080331</v>
      </c>
      <c r="BH4441" s="458">
        <v>6.1633900771774996E-2</v>
      </c>
      <c r="BI4441" s="477">
        <v>9259268.3827053905</v>
      </c>
      <c r="BJ4441" s="458">
        <v>0.10125505640561649</v>
      </c>
      <c r="BK4441" s="477">
        <v>106685543.48746604</v>
      </c>
      <c r="BL4441" s="458">
        <v>0.25558963158581016</v>
      </c>
      <c r="BM4441" s="468">
        <v>11.998583940530404</v>
      </c>
    </row>
    <row r="4442" spans="12:65" x14ac:dyDescent="0.3">
      <c r="L4442" s="427">
        <v>23062143.135699999</v>
      </c>
      <c r="BE4442" s="477">
        <v>3855185.6007063822</v>
      </c>
      <c r="BF4442" s="458">
        <v>6.0751878960144445E-2</v>
      </c>
      <c r="BG4442" s="477">
        <v>11422846.128499458</v>
      </c>
      <c r="BH4442" s="458">
        <v>0.10450488893946108</v>
      </c>
      <c r="BI4442" s="477">
        <v>14386328.473278435</v>
      </c>
      <c r="BJ4442" s="458">
        <v>8.2388712319824364E-2</v>
      </c>
      <c r="BK4442" s="477">
        <v>83256474.334524319</v>
      </c>
      <c r="BL4442" s="458">
        <v>0.27635397945825169</v>
      </c>
      <c r="BM4442" s="468">
        <v>6.9787078107113478</v>
      </c>
    </row>
    <row r="4443" spans="12:65" x14ac:dyDescent="0.3">
      <c r="L4443" s="427">
        <v>14080078.884500001</v>
      </c>
      <c r="BE4443" s="477">
        <v>4140782.9071037173</v>
      </c>
      <c r="BF4443" s="458">
        <v>5.281515700138284E-2</v>
      </c>
      <c r="BG4443" s="477">
        <v>4445058.8542333972</v>
      </c>
      <c r="BH4443" s="458">
        <v>6.9161784921883962E-2</v>
      </c>
      <c r="BI4443" s="477">
        <v>17741413.163999423</v>
      </c>
      <c r="BJ4443" s="458">
        <v>0.11143990590522734</v>
      </c>
      <c r="BK4443" s="477">
        <v>93306869.17539154</v>
      </c>
      <c r="BL4443" s="458">
        <v>0.25762182997645411</v>
      </c>
      <c r="BM4443" s="468">
        <v>1.6553529414222705</v>
      </c>
    </row>
    <row r="4444" spans="12:65" x14ac:dyDescent="0.3">
      <c r="L4444" s="427">
        <v>7473368.6831999999</v>
      </c>
      <c r="BE4444" s="477">
        <v>1442771.2227746623</v>
      </c>
      <c r="BF4444" s="458">
        <v>3.5303183805615479E-2</v>
      </c>
      <c r="BG4444" s="477">
        <v>18470927.973333653</v>
      </c>
      <c r="BH4444" s="458">
        <v>7.4132289855012745E-2</v>
      </c>
      <c r="BI4444" s="477">
        <v>12569715.054016225</v>
      </c>
      <c r="BJ4444" s="458">
        <v>0.1280955054114723</v>
      </c>
      <c r="BK4444" s="477">
        <v>99031614.75319761</v>
      </c>
      <c r="BL4444" s="458">
        <v>0.26168747473231724</v>
      </c>
      <c r="BM4444" s="468">
        <v>6.2778364175532264</v>
      </c>
    </row>
    <row r="4445" spans="12:65" x14ac:dyDescent="0.3">
      <c r="L4445" s="427">
        <v>1095289.7245</v>
      </c>
      <c r="BE4445" s="477">
        <v>1590892.5905194865</v>
      </c>
      <c r="BF4445" s="458">
        <v>4.1314147806097212E-2</v>
      </c>
      <c r="BG4445" s="477">
        <v>5328134.6731685065</v>
      </c>
      <c r="BH4445" s="458">
        <v>5.5602179094426107E-2</v>
      </c>
      <c r="BI4445" s="477">
        <v>11421342.506119724</v>
      </c>
      <c r="BJ4445" s="458">
        <v>9.8510113928007126E-2</v>
      </c>
      <c r="BK4445" s="477">
        <v>78754771.195756644</v>
      </c>
      <c r="BL4445" s="458">
        <v>0.28993050641879448</v>
      </c>
      <c r="BM4445" s="468">
        <v>9.985850148470794</v>
      </c>
    </row>
    <row r="4446" spans="12:65" x14ac:dyDescent="0.3">
      <c r="L4446" s="427">
        <v>13399931.198100001</v>
      </c>
      <c r="BE4446" s="477">
        <v>5430288.3584356187</v>
      </c>
      <c r="BF4446" s="458">
        <v>6.9247213851886258E-3</v>
      </c>
      <c r="BG4446" s="477">
        <v>3074607.9155599927</v>
      </c>
      <c r="BH4446" s="458">
        <v>8.526749856431115E-2</v>
      </c>
      <c r="BI4446" s="477">
        <v>18507175.029966936</v>
      </c>
      <c r="BJ4446" s="458">
        <v>0.12800519169848945</v>
      </c>
      <c r="BK4446" s="477">
        <v>77163166.453556865</v>
      </c>
      <c r="BL4446" s="458">
        <v>0.27431555005498898</v>
      </c>
      <c r="BM4446" s="468">
        <v>9.5261938722012225</v>
      </c>
    </row>
    <row r="4447" spans="12:65" x14ac:dyDescent="0.3">
      <c r="L4447" s="427">
        <v>897985.31929999997</v>
      </c>
      <c r="BE4447" s="477">
        <v>2378720.1962897754</v>
      </c>
      <c r="BF4447" s="458">
        <v>3.3970926034391891E-2</v>
      </c>
      <c r="BG4447" s="477">
        <v>11426499.061820723</v>
      </c>
      <c r="BH4447" s="458">
        <v>6.5039563191581884E-2</v>
      </c>
      <c r="BI4447" s="477">
        <v>13351032.075555565</v>
      </c>
      <c r="BJ4447" s="458">
        <v>0.1139656856922393</v>
      </c>
      <c r="BK4447" s="477">
        <v>92275844.458902746</v>
      </c>
      <c r="BL4447" s="458">
        <v>0.27454990923445388</v>
      </c>
      <c r="BM4447" s="468">
        <v>3.8207781462171662</v>
      </c>
    </row>
    <row r="4448" spans="12:65" x14ac:dyDescent="0.3">
      <c r="L4448" s="427">
        <v>15633210.071699999</v>
      </c>
      <c r="BE4448" s="477">
        <v>5453963.2087359075</v>
      </c>
      <c r="BF4448" s="458">
        <v>7.6542975278028669E-2</v>
      </c>
      <c r="BG4448" s="477">
        <v>11215458.331506824</v>
      </c>
      <c r="BH4448" s="458">
        <v>4.6386180755925599E-2</v>
      </c>
      <c r="BI4448" s="477">
        <v>17679626.692200601</v>
      </c>
      <c r="BJ4448" s="458">
        <v>0.10097341527345494</v>
      </c>
      <c r="BK4448" s="477">
        <v>78432962.412930548</v>
      </c>
      <c r="BL4448" s="458">
        <v>0.28446410359883401</v>
      </c>
      <c r="BM4448" s="468">
        <v>6.6391790133415629</v>
      </c>
    </row>
    <row r="4449" spans="12:65" x14ac:dyDescent="0.3">
      <c r="L4449" s="427">
        <v>1432854.7154999999</v>
      </c>
      <c r="BE4449" s="477">
        <v>4490291.964286658</v>
      </c>
      <c r="BF4449" s="458">
        <v>4.432102140709171E-2</v>
      </c>
      <c r="BG4449" s="477">
        <v>4589586.1464297017</v>
      </c>
      <c r="BH4449" s="458">
        <v>6.4945211662449376E-2</v>
      </c>
      <c r="BI4449" s="477">
        <v>12073427.468351044</v>
      </c>
      <c r="BJ4449" s="458">
        <v>0.11037246458146743</v>
      </c>
      <c r="BK4449" s="477">
        <v>91110835.668413758</v>
      </c>
      <c r="BL4449" s="458">
        <v>0.27463459949716928</v>
      </c>
      <c r="BM4449" s="468">
        <v>17.776416985621452</v>
      </c>
    </row>
    <row r="4450" spans="12:65" x14ac:dyDescent="0.3">
      <c r="L4450" s="427">
        <v>5257617.6221000003</v>
      </c>
      <c r="BE4450" s="477">
        <v>6724221.991408702</v>
      </c>
      <c r="BF4450" s="458">
        <v>3.065537038540378E-2</v>
      </c>
      <c r="BG4450" s="477">
        <v>9205757.8337093182</v>
      </c>
      <c r="BH4450" s="458">
        <v>6.2336215601330514E-2</v>
      </c>
      <c r="BI4450" s="477">
        <v>14703293.951877903</v>
      </c>
      <c r="BJ4450" s="458">
        <v>0.12382130742416142</v>
      </c>
      <c r="BK4450" s="477">
        <v>93697667.939559281</v>
      </c>
      <c r="BL4450" s="458">
        <v>0.26600086001634038</v>
      </c>
      <c r="BM4450" s="468">
        <v>9.2198104737816227</v>
      </c>
    </row>
    <row r="4451" spans="12:65" x14ac:dyDescent="0.3">
      <c r="L4451" s="427">
        <v>18495498.0568</v>
      </c>
      <c r="BE4451" s="477">
        <v>9868102.4903374668</v>
      </c>
      <c r="BF4451" s="458">
        <v>4.6969023782408748E-2</v>
      </c>
      <c r="BG4451" s="477">
        <v>8483572.0651098788</v>
      </c>
      <c r="BH4451" s="458">
        <v>7.2910354809311295E-2</v>
      </c>
      <c r="BI4451" s="477">
        <v>20213510.61178951</v>
      </c>
      <c r="BJ4451" s="458">
        <v>0.1337805723344283</v>
      </c>
      <c r="BK4451" s="477">
        <v>101142036.08795339</v>
      </c>
      <c r="BL4451" s="458">
        <v>0.27606998200648425</v>
      </c>
      <c r="BM4451" s="468">
        <v>10.596612035667741</v>
      </c>
    </row>
    <row r="4452" spans="12:65" x14ac:dyDescent="0.3">
      <c r="L4452" s="427">
        <v>10062763.3123</v>
      </c>
      <c r="BE4452" s="477">
        <v>3671853.2924615373</v>
      </c>
      <c r="BF4452" s="458">
        <v>3.4347316072044443E-2</v>
      </c>
      <c r="BG4452" s="477">
        <v>12195797.542556737</v>
      </c>
      <c r="BH4452" s="458">
        <v>4.9018998442041495E-2</v>
      </c>
      <c r="BI4452" s="477">
        <v>19220617.961247191</v>
      </c>
      <c r="BJ4452" s="458">
        <v>0.10760505516710173</v>
      </c>
      <c r="BK4452" s="477">
        <v>89103836.414164603</v>
      </c>
      <c r="BL4452" s="458">
        <v>0.27151907702778222</v>
      </c>
      <c r="BM4452" s="468">
        <v>4.3079646056857452</v>
      </c>
    </row>
    <row r="4453" spans="12:65" x14ac:dyDescent="0.3">
      <c r="L4453" s="427">
        <v>5824211.9444000004</v>
      </c>
      <c r="BE4453" s="477">
        <v>5026439.5336543079</v>
      </c>
      <c r="BF4453" s="458">
        <v>3.5175489992310016E-2</v>
      </c>
      <c r="BG4453" s="477">
        <v>10725019.65071735</v>
      </c>
      <c r="BH4453" s="458">
        <v>7.526309770924744E-2</v>
      </c>
      <c r="BI4453" s="477">
        <v>17632817.248188961</v>
      </c>
      <c r="BJ4453" s="458">
        <v>0.1069892696741559</v>
      </c>
      <c r="BK4453" s="477">
        <v>90739580.419635564</v>
      </c>
      <c r="BL4453" s="458">
        <v>0.28024094002047684</v>
      </c>
      <c r="BM4453" s="468">
        <v>1.1868936143220665</v>
      </c>
    </row>
    <row r="4454" spans="12:65" x14ac:dyDescent="0.3">
      <c r="L4454" s="427">
        <v>12277273.918400001</v>
      </c>
      <c r="BE4454" s="477">
        <v>7470107.9618746154</v>
      </c>
      <c r="BF4454" s="458">
        <v>2.7005091808630199E-2</v>
      </c>
      <c r="BG4454" s="477">
        <v>12970524.844874015</v>
      </c>
      <c r="BH4454" s="458">
        <v>4.7030143037310568E-2</v>
      </c>
      <c r="BI4454" s="477">
        <v>13218881.456711389</v>
      </c>
      <c r="BJ4454" s="458">
        <v>0.11057962876023009</v>
      </c>
      <c r="BK4454" s="477">
        <v>91474611.285582289</v>
      </c>
      <c r="BL4454" s="458">
        <v>0.26689167778244416</v>
      </c>
      <c r="BM4454" s="468">
        <v>9.1316546636508562</v>
      </c>
    </row>
    <row r="4455" spans="12:65" x14ac:dyDescent="0.3">
      <c r="L4455" s="427">
        <v>8499047.0273000002</v>
      </c>
      <c r="BE4455" s="477">
        <v>7121989.0937822396</v>
      </c>
      <c r="BF4455" s="458">
        <v>3.1708498430545795E-2</v>
      </c>
      <c r="BG4455" s="477">
        <v>8476897.2389029805</v>
      </c>
      <c r="BH4455" s="458">
        <v>5.011822154825607E-2</v>
      </c>
      <c r="BI4455" s="477">
        <v>14305083.04606971</v>
      </c>
      <c r="BJ4455" s="458">
        <v>0.11268544565563521</v>
      </c>
      <c r="BK4455" s="477">
        <v>76636706.275253534</v>
      </c>
      <c r="BL4455" s="458">
        <v>0.26312119706539305</v>
      </c>
      <c r="BM4455" s="468">
        <v>4.776383403106415</v>
      </c>
    </row>
    <row r="4456" spans="12:65" x14ac:dyDescent="0.3">
      <c r="L4456" s="427">
        <v>26665203.559900001</v>
      </c>
      <c r="BE4456" s="477">
        <v>5548798.6037687985</v>
      </c>
      <c r="BF4456" s="458">
        <v>3.960660503598068E-2</v>
      </c>
      <c r="BG4456" s="477">
        <v>6717428.3318898156</v>
      </c>
      <c r="BH4456" s="458">
        <v>7.0568272953037026E-2</v>
      </c>
      <c r="BI4456" s="477">
        <v>18133834.350762848</v>
      </c>
      <c r="BJ4456" s="458">
        <v>8.9823111795242383E-2</v>
      </c>
      <c r="BK4456" s="477">
        <v>103263813.39912403</v>
      </c>
      <c r="BL4456" s="458">
        <v>0.26610198938849017</v>
      </c>
      <c r="BM4456" s="468">
        <v>5.1547727321187278</v>
      </c>
    </row>
    <row r="4457" spans="12:65" x14ac:dyDescent="0.3">
      <c r="L4457" s="427">
        <v>-18767105.094300002</v>
      </c>
      <c r="BE4457" s="477">
        <v>4578111.8370530885</v>
      </c>
      <c r="BF4457" s="458">
        <v>7.2015780855533729E-2</v>
      </c>
      <c r="BG4457" s="477">
        <v>9975426.2986041568</v>
      </c>
      <c r="BH4457" s="458">
        <v>7.8610257260826932E-2</v>
      </c>
      <c r="BI4457" s="477">
        <v>9973317.9671052862</v>
      </c>
      <c r="BJ4457" s="458">
        <v>0.11559264685869453</v>
      </c>
      <c r="BK4457" s="477">
        <v>91398801.931079865</v>
      </c>
      <c r="BL4457" s="458">
        <v>0.27130238500660453</v>
      </c>
      <c r="BM4457" s="468">
        <v>11.057493928937633</v>
      </c>
    </row>
    <row r="4458" spans="12:65" x14ac:dyDescent="0.3">
      <c r="L4458" s="427">
        <v>-272818.27100000001</v>
      </c>
      <c r="BE4458" s="477">
        <v>1951806.5781909211</v>
      </c>
      <c r="BF4458" s="458">
        <v>4.2540999575389593E-2</v>
      </c>
      <c r="BG4458" s="477">
        <v>14972893.792087978</v>
      </c>
      <c r="BH4458" s="458">
        <v>5.8515660173246831E-2</v>
      </c>
      <c r="BI4458" s="477">
        <v>11848213.418966008</v>
      </c>
      <c r="BJ4458" s="458">
        <v>0.13864282319413945</v>
      </c>
      <c r="BK4458" s="477">
        <v>96464078.500667542</v>
      </c>
      <c r="BL4458" s="458">
        <v>0.26800223793407496</v>
      </c>
      <c r="BM4458" s="468">
        <v>10.647136527886699</v>
      </c>
    </row>
    <row r="4459" spans="12:65" x14ac:dyDescent="0.3">
      <c r="L4459" s="427">
        <v>13518330.4714</v>
      </c>
      <c r="BE4459" s="477">
        <v>1964647.7003174771</v>
      </c>
      <c r="BF4459" s="458">
        <v>4.382870191303212E-2</v>
      </c>
      <c r="BG4459" s="477">
        <v>4281293.523775164</v>
      </c>
      <c r="BH4459" s="458">
        <v>6.8269267064968941E-2</v>
      </c>
      <c r="BI4459" s="477">
        <v>15814168.901726149</v>
      </c>
      <c r="BJ4459" s="458">
        <v>0.12887704708054271</v>
      </c>
      <c r="BK4459" s="477">
        <v>93021427.154589504</v>
      </c>
      <c r="BL4459" s="458">
        <v>0.27742330818921301</v>
      </c>
      <c r="BM4459" s="468">
        <v>1.3201683925398759</v>
      </c>
    </row>
    <row r="4460" spans="12:65" x14ac:dyDescent="0.3">
      <c r="L4460" s="427">
        <v>-13494.156300000001</v>
      </c>
      <c r="BE4460" s="477">
        <v>7478073.8918655142</v>
      </c>
      <c r="BF4460" s="458">
        <v>3.2724766793177595E-2</v>
      </c>
      <c r="BG4460" s="477">
        <v>12515891.963782836</v>
      </c>
      <c r="BH4460" s="458">
        <v>6.5246709568546057E-2</v>
      </c>
      <c r="BI4460" s="477">
        <v>13741898.55106171</v>
      </c>
      <c r="BJ4460" s="458">
        <v>0.12015898768857669</v>
      </c>
      <c r="BK4460" s="477">
        <v>70652073.016771719</v>
      </c>
      <c r="BL4460" s="458">
        <v>0.26629906437961504</v>
      </c>
      <c r="BM4460" s="468">
        <v>1.7885484944866956</v>
      </c>
    </row>
    <row r="4461" spans="12:65" x14ac:dyDescent="0.3">
      <c r="L4461" s="427">
        <v>-8760560.3570000008</v>
      </c>
      <c r="BE4461" s="477">
        <v>3698852.0177417365</v>
      </c>
      <c r="BF4461" s="458">
        <v>4.9816901460534302E-2</v>
      </c>
      <c r="BG4461" s="477">
        <v>14263666.049961178</v>
      </c>
      <c r="BH4461" s="458">
        <v>5.21081476235421E-2</v>
      </c>
      <c r="BI4461" s="477">
        <v>15420916.347470513</v>
      </c>
      <c r="BJ4461" s="458">
        <v>0.11263482854433682</v>
      </c>
      <c r="BK4461" s="477">
        <v>89490860.870014131</v>
      </c>
      <c r="BL4461" s="458">
        <v>0.26392529065311354</v>
      </c>
      <c r="BM4461" s="468">
        <v>9.5520934886751814</v>
      </c>
    </row>
    <row r="4462" spans="12:65" x14ac:dyDescent="0.3">
      <c r="L4462" s="427">
        <v>1678265.3762999999</v>
      </c>
      <c r="BE4462" s="477">
        <v>8911955.7420527637</v>
      </c>
      <c r="BF4462" s="458">
        <v>4.8740876693502244E-2</v>
      </c>
      <c r="BG4462" s="477">
        <v>16615739.211606473</v>
      </c>
      <c r="BH4462" s="458">
        <v>8.9396801010904525E-2</v>
      </c>
      <c r="BI4462" s="477">
        <v>14051205.998221179</v>
      </c>
      <c r="BJ4462" s="458">
        <v>0.12427446387351115</v>
      </c>
      <c r="BK4462" s="477">
        <v>88715176.408924669</v>
      </c>
      <c r="BL4462" s="458">
        <v>0.27680002312536511</v>
      </c>
      <c r="BM4462" s="468">
        <v>10.128227817735027</v>
      </c>
    </row>
    <row r="4463" spans="12:65" x14ac:dyDescent="0.3">
      <c r="L4463" s="427">
        <v>16184216.371300001</v>
      </c>
      <c r="BE4463" s="477">
        <v>2364637.4638290456</v>
      </c>
      <c r="BF4463" s="458">
        <v>4.2198459649721132E-2</v>
      </c>
      <c r="BG4463" s="477">
        <v>7583376.5025477987</v>
      </c>
      <c r="BH4463" s="458">
        <v>5.6602784184804245E-2</v>
      </c>
      <c r="BI4463" s="477">
        <v>16145772.896514058</v>
      </c>
      <c r="BJ4463" s="458">
        <v>0.10392378159691562</v>
      </c>
      <c r="BK4463" s="477">
        <v>108499340.87010257</v>
      </c>
      <c r="BL4463" s="458">
        <v>0.28466083848437118</v>
      </c>
      <c r="BM4463" s="468">
        <v>7.6669003012668355</v>
      </c>
    </row>
    <row r="4464" spans="12:65" x14ac:dyDescent="0.3">
      <c r="L4464" s="427">
        <v>-6819978.0263999999</v>
      </c>
      <c r="BE4464" s="477">
        <v>8078679.4109744765</v>
      </c>
      <c r="BF4464" s="458">
        <v>3.3302670202950413E-2</v>
      </c>
      <c r="BG4464" s="477">
        <v>7856627.9862758536</v>
      </c>
      <c r="BH4464" s="458">
        <v>7.1847989549954416E-2</v>
      </c>
      <c r="BI4464" s="477">
        <v>20480171.219999623</v>
      </c>
      <c r="BJ4464" s="458">
        <v>0.12640367869648639</v>
      </c>
      <c r="BK4464" s="477">
        <v>86282946.593868777</v>
      </c>
      <c r="BL4464" s="458">
        <v>0.27730378941986511</v>
      </c>
      <c r="BM4464" s="468">
        <v>12.317668769868524</v>
      </c>
    </row>
    <row r="4465" spans="12:65" x14ac:dyDescent="0.3">
      <c r="L4465" s="427">
        <v>356399.6519</v>
      </c>
      <c r="BE4465" s="477">
        <v>3657880.4847362554</v>
      </c>
      <c r="BF4465" s="458">
        <v>4.4787974309723255E-2</v>
      </c>
      <c r="BG4465" s="477">
        <v>2837811.7918957071</v>
      </c>
      <c r="BH4465" s="458">
        <v>5.6139731497922618E-2</v>
      </c>
      <c r="BI4465" s="477">
        <v>23347195.358132828</v>
      </c>
      <c r="BJ4465" s="458">
        <v>0.1107125783145495</v>
      </c>
      <c r="BK4465" s="477">
        <v>95285065.617957845</v>
      </c>
      <c r="BL4465" s="458">
        <v>0.26440042060176672</v>
      </c>
      <c r="BM4465" s="468">
        <v>8.3843895686687304</v>
      </c>
    </row>
    <row r="4466" spans="12:65" x14ac:dyDescent="0.3">
      <c r="L4466" s="427">
        <v>2224593.0762999998</v>
      </c>
      <c r="BE4466" s="477">
        <v>4959250.2376205167</v>
      </c>
      <c r="BF4466" s="458">
        <v>3.9312546157163064E-2</v>
      </c>
      <c r="BG4466" s="477">
        <v>13915483.596295239</v>
      </c>
      <c r="BH4466" s="458">
        <v>4.5096867715003874E-2</v>
      </c>
      <c r="BI4466" s="477">
        <v>14544126.962091777</v>
      </c>
      <c r="BJ4466" s="458">
        <v>7.0309461538168305E-2</v>
      </c>
      <c r="BK4466" s="477">
        <v>90209638.824309215</v>
      </c>
      <c r="BL4466" s="458">
        <v>0.26964117146033861</v>
      </c>
      <c r="BM4466" s="468">
        <v>7.6566011600816513</v>
      </c>
    </row>
    <row r="4467" spans="12:65" x14ac:dyDescent="0.3">
      <c r="L4467" s="427">
        <v>1516464.8932</v>
      </c>
      <c r="BE4467" s="477">
        <v>3454705.5966558028</v>
      </c>
      <c r="BF4467" s="458">
        <v>4.4268083996646279E-2</v>
      </c>
      <c r="BG4467" s="477">
        <v>6342439.1807256136</v>
      </c>
      <c r="BH4467" s="458">
        <v>4.2387161135929663E-2</v>
      </c>
      <c r="BI4467" s="477">
        <v>16443687.07384414</v>
      </c>
      <c r="BJ4467" s="458">
        <v>0.12171596232779303</v>
      </c>
      <c r="BK4467" s="477">
        <v>90669494.483436495</v>
      </c>
      <c r="BL4467" s="458">
        <v>0.25514545896807661</v>
      </c>
      <c r="BM4467" s="468">
        <v>13.196067500581016</v>
      </c>
    </row>
    <row r="4468" spans="12:65" x14ac:dyDescent="0.3">
      <c r="L4468" s="427">
        <v>10461553.7585</v>
      </c>
      <c r="BE4468" s="477">
        <v>2415994.2341768029</v>
      </c>
      <c r="BF4468" s="458">
        <v>2.2209896870207135E-2</v>
      </c>
      <c r="BG4468" s="477">
        <v>7594658.8178648157</v>
      </c>
      <c r="BH4468" s="458">
        <v>8.2591117649875923E-2</v>
      </c>
      <c r="BI4468" s="477">
        <v>18804406.309084222</v>
      </c>
      <c r="BJ4468" s="458">
        <v>0.11555222052208847</v>
      </c>
      <c r="BK4468" s="477">
        <v>101315030.23527846</v>
      </c>
      <c r="BL4468" s="458">
        <v>0.25440202056483208</v>
      </c>
      <c r="BM4468" s="468">
        <v>3.2944278232245603</v>
      </c>
    </row>
    <row r="4469" spans="12:65" x14ac:dyDescent="0.3">
      <c r="L4469" s="427">
        <v>9532202.3355999999</v>
      </c>
      <c r="BE4469" s="477">
        <v>7321600.404865657</v>
      </c>
      <c r="BF4469" s="458">
        <v>4.1095813008071191E-2</v>
      </c>
      <c r="BG4469" s="477">
        <v>7012784.7771615414</v>
      </c>
      <c r="BH4469" s="458">
        <v>8.2774947942305221E-2</v>
      </c>
      <c r="BI4469" s="477">
        <v>14878538.204023825</v>
      </c>
      <c r="BJ4469" s="458">
        <v>0.13415168613163075</v>
      </c>
      <c r="BK4469" s="477">
        <v>92380304.967912093</v>
      </c>
      <c r="BL4469" s="458">
        <v>0.25511718609328771</v>
      </c>
      <c r="BM4469" s="468">
        <v>5.3626546717600636</v>
      </c>
    </row>
    <row r="4470" spans="12:65" x14ac:dyDescent="0.3">
      <c r="L4470" s="427">
        <v>11476799.2476</v>
      </c>
      <c r="BE4470" s="477">
        <v>1137274.6979659719</v>
      </c>
      <c r="BF4470" s="458">
        <v>9.3418499245103259E-2</v>
      </c>
      <c r="BG4470" s="477">
        <v>4603502.1984718628</v>
      </c>
      <c r="BH4470" s="458">
        <v>9.0983231179669E-2</v>
      </c>
      <c r="BI4470" s="477">
        <v>25142754.94190488</v>
      </c>
      <c r="BJ4470" s="458">
        <v>0.11116768985639203</v>
      </c>
      <c r="BK4470" s="477">
        <v>76587649.965598941</v>
      </c>
      <c r="BL4470" s="458">
        <v>0.28721517582215683</v>
      </c>
      <c r="BM4470" s="468">
        <v>11.109477257101803</v>
      </c>
    </row>
    <row r="4471" spans="12:65" x14ac:dyDescent="0.3">
      <c r="L4471" s="427">
        <v>-804290.98270000005</v>
      </c>
      <c r="BE4471" s="477">
        <v>5240113.5159213431</v>
      </c>
      <c r="BF4471" s="458">
        <v>3.3362669483038898E-2</v>
      </c>
      <c r="BG4471" s="477">
        <v>8630753.7092322204</v>
      </c>
      <c r="BH4471" s="458">
        <v>6.5756653285432121E-2</v>
      </c>
      <c r="BI4471" s="477">
        <v>12237206.492356431</v>
      </c>
      <c r="BJ4471" s="458">
        <v>8.6696456342482797E-2</v>
      </c>
      <c r="BK4471" s="477">
        <v>83355072.381612241</v>
      </c>
      <c r="BL4471" s="458">
        <v>0.26400207321555058</v>
      </c>
      <c r="BM4471" s="468">
        <v>9.680361491876786</v>
      </c>
    </row>
    <row r="4472" spans="12:65" x14ac:dyDescent="0.3">
      <c r="L4472" s="427">
        <v>6593532.3765000002</v>
      </c>
      <c r="BE4472" s="477">
        <v>5024977.8392927693</v>
      </c>
      <c r="BF4472" s="458">
        <v>3.073646288730858E-2</v>
      </c>
      <c r="BG4472" s="477">
        <v>13058262.43239223</v>
      </c>
      <c r="BH4472" s="458">
        <v>7.3162255055241099E-2</v>
      </c>
      <c r="BI4472" s="477">
        <v>17502838.428531725</v>
      </c>
      <c r="BJ4472" s="458">
        <v>9.6184789504547341E-2</v>
      </c>
      <c r="BK4472" s="477">
        <v>99100553.364560276</v>
      </c>
      <c r="BL4472" s="458">
        <v>0.28191498542729998</v>
      </c>
      <c r="BM4472" s="468">
        <v>12.076916399594236</v>
      </c>
    </row>
    <row r="4473" spans="12:65" x14ac:dyDescent="0.3">
      <c r="L4473" s="427">
        <v>5829262.3777999999</v>
      </c>
      <c r="BE4473" s="477">
        <v>5744826.9482526211</v>
      </c>
      <c r="BF4473" s="458">
        <v>3.6635057743837018E-2</v>
      </c>
      <c r="BG4473" s="477">
        <v>5720338.7328867652</v>
      </c>
      <c r="BH4473" s="458">
        <v>4.9790590555725212E-2</v>
      </c>
      <c r="BI4473" s="477">
        <v>10956899.882882208</v>
      </c>
      <c r="BJ4473" s="458">
        <v>8.8954374528845692E-2</v>
      </c>
      <c r="BK4473" s="477">
        <v>89961913.172736675</v>
      </c>
      <c r="BL4473" s="458">
        <v>0.27005165361034522</v>
      </c>
      <c r="BM4473" s="468">
        <v>8.7638786950022833</v>
      </c>
    </row>
    <row r="4474" spans="12:65" x14ac:dyDescent="0.3">
      <c r="L4474" s="427">
        <v>7558428.7741999999</v>
      </c>
      <c r="BE4474" s="477">
        <v>5411925.1657331381</v>
      </c>
      <c r="BF4474" s="458">
        <v>4.3625466483434128E-2</v>
      </c>
      <c r="BG4474" s="477">
        <v>8812521.335064169</v>
      </c>
      <c r="BH4474" s="458">
        <v>3.8731699324196178E-2</v>
      </c>
      <c r="BI4474" s="477">
        <v>16875955.275778942</v>
      </c>
      <c r="BJ4474" s="458">
        <v>0.11496703900731742</v>
      </c>
      <c r="BK4474" s="477">
        <v>85021600.690623552</v>
      </c>
      <c r="BL4474" s="458">
        <v>0.27478800362554945</v>
      </c>
      <c r="BM4474" s="468">
        <v>8.7385915104022978</v>
      </c>
    </row>
    <row r="4475" spans="12:65" x14ac:dyDescent="0.3">
      <c r="L4475" s="427">
        <v>16025942.829</v>
      </c>
      <c r="BE4475" s="477">
        <v>-429625.83366012038</v>
      </c>
      <c r="BF4475" s="458">
        <v>5.0233220951356294E-2</v>
      </c>
      <c r="BG4475" s="477">
        <v>12794361.4875501</v>
      </c>
      <c r="BH4475" s="458">
        <v>5.6173831236830951E-2</v>
      </c>
      <c r="BI4475" s="477">
        <v>17498063.064638585</v>
      </c>
      <c r="BJ4475" s="458">
        <v>9.5451364695762875E-2</v>
      </c>
      <c r="BK4475" s="477">
        <v>100114597.52458763</v>
      </c>
      <c r="BL4475" s="458">
        <v>0.25104864849087272</v>
      </c>
      <c r="BM4475" s="468">
        <v>10.647084304214481</v>
      </c>
    </row>
    <row r="4476" spans="12:65" x14ac:dyDescent="0.3">
      <c r="L4476" s="427">
        <v>5150939.1469000001</v>
      </c>
      <c r="BE4476" s="477">
        <v>5153830.7717517316</v>
      </c>
      <c r="BF4476" s="458">
        <v>3.8461759914809601E-2</v>
      </c>
      <c r="BG4476" s="477">
        <v>12887885.626168409</v>
      </c>
      <c r="BH4476" s="458">
        <v>6.4398504363936127E-2</v>
      </c>
      <c r="BI4476" s="477">
        <v>18419590.209060822</v>
      </c>
      <c r="BJ4476" s="458">
        <v>0.1074929727311722</v>
      </c>
      <c r="BK4476" s="477">
        <v>81924868.202236071</v>
      </c>
      <c r="BL4476" s="458">
        <v>0.26195398949229221</v>
      </c>
      <c r="BM4476" s="468">
        <v>7.3244682587411347</v>
      </c>
    </row>
    <row r="4477" spans="12:65" x14ac:dyDescent="0.3">
      <c r="L4477" s="427">
        <v>7433004.4747000001</v>
      </c>
      <c r="BE4477" s="477">
        <v>4224980.6257375889</v>
      </c>
      <c r="BF4477" s="458">
        <v>5.3790413286454175E-2</v>
      </c>
      <c r="BG4477" s="477">
        <v>4618704.4006333342</v>
      </c>
      <c r="BH4477" s="458">
        <v>9.1060861120395131E-2</v>
      </c>
      <c r="BI4477" s="477">
        <v>3667171.074841009</v>
      </c>
      <c r="BJ4477" s="458">
        <v>0.10661819764082692</v>
      </c>
      <c r="BK4477" s="477">
        <v>91881854.195850492</v>
      </c>
      <c r="BL4477" s="458">
        <v>0.28644184533127182</v>
      </c>
      <c r="BM4477" s="468">
        <v>7.1095143583034215</v>
      </c>
    </row>
    <row r="4478" spans="12:65" x14ac:dyDescent="0.3">
      <c r="L4478" s="427">
        <v>19474110.0288</v>
      </c>
      <c r="BE4478" s="477">
        <v>3369429.219961341</v>
      </c>
      <c r="BF4478" s="458">
        <v>4.1655311272619677E-2</v>
      </c>
      <c r="BG4478" s="477">
        <v>11570590.693993799</v>
      </c>
      <c r="BH4478" s="458">
        <v>8.7541276536519996E-2</v>
      </c>
      <c r="BI4478" s="477">
        <v>-5444970.4224701319</v>
      </c>
      <c r="BJ4478" s="458">
        <v>0.12711536161481019</v>
      </c>
      <c r="BK4478" s="477">
        <v>80172715.4288432</v>
      </c>
      <c r="BL4478" s="458">
        <v>0.26580428008756707</v>
      </c>
      <c r="BM4478" s="468">
        <v>9.7003859732908388</v>
      </c>
    </row>
    <row r="4479" spans="12:65" x14ac:dyDescent="0.3">
      <c r="L4479" s="427">
        <v>7144360.6947999997</v>
      </c>
      <c r="BE4479" s="477">
        <v>3117254.9131884887</v>
      </c>
      <c r="BF4479" s="458">
        <v>3.0883802997129006E-2</v>
      </c>
      <c r="BG4479" s="477">
        <v>5042852.3041086905</v>
      </c>
      <c r="BH4479" s="458">
        <v>7.0337992323932008E-2</v>
      </c>
      <c r="BI4479" s="477">
        <v>15057069.205107827</v>
      </c>
      <c r="BJ4479" s="458">
        <v>9.8913115265937046E-2</v>
      </c>
      <c r="BK4479" s="477">
        <v>94357516.268660262</v>
      </c>
      <c r="BL4479" s="458">
        <v>0.26987760031162589</v>
      </c>
      <c r="BM4479" s="468">
        <v>13.916170079808172</v>
      </c>
    </row>
    <row r="4480" spans="12:65" x14ac:dyDescent="0.3">
      <c r="L4480" s="427">
        <v>1319634.7694000001</v>
      </c>
      <c r="BE4480" s="477">
        <v>2095693.240649737</v>
      </c>
      <c r="BF4480" s="458">
        <v>3.0584036425883143E-2</v>
      </c>
      <c r="BG4480" s="477">
        <v>8154006.7157675456</v>
      </c>
      <c r="BH4480" s="458">
        <v>5.7946790980788476E-2</v>
      </c>
      <c r="BI4480" s="477">
        <v>20107765.450857997</v>
      </c>
      <c r="BJ4480" s="458">
        <v>0.12586917226929861</v>
      </c>
      <c r="BK4480" s="477">
        <v>94028760.451715112</v>
      </c>
      <c r="BL4480" s="458">
        <v>0.26489674889550896</v>
      </c>
      <c r="BM4480" s="468">
        <v>4.119147217419604</v>
      </c>
    </row>
    <row r="4481" spans="12:65" x14ac:dyDescent="0.3">
      <c r="L4481" s="427">
        <v>17806778.7861</v>
      </c>
      <c r="BE4481" s="477">
        <v>4746240.2719337437</v>
      </c>
      <c r="BF4481" s="458">
        <v>7.3872591453882697E-2</v>
      </c>
      <c r="BG4481" s="477">
        <v>9712374.51652232</v>
      </c>
      <c r="BH4481" s="458">
        <v>7.0005081408225811E-2</v>
      </c>
      <c r="BI4481" s="477">
        <v>21138907.595442057</v>
      </c>
      <c r="BJ4481" s="458">
        <v>0.10467268924587203</v>
      </c>
      <c r="BK4481" s="477">
        <v>94930419.441746846</v>
      </c>
      <c r="BL4481" s="458">
        <v>0.30619637255562293</v>
      </c>
      <c r="BM4481" s="468">
        <v>3.2514319088544932</v>
      </c>
    </row>
    <row r="4482" spans="12:65" x14ac:dyDescent="0.3">
      <c r="L4482" s="427">
        <v>-1206217.5222</v>
      </c>
      <c r="BE4482" s="477">
        <v>3509665.737429515</v>
      </c>
      <c r="BF4482" s="458">
        <v>4.7491298036730578E-2</v>
      </c>
      <c r="BG4482" s="477">
        <v>4831803.3610452218</v>
      </c>
      <c r="BH4482" s="458">
        <v>8.7988246704897355E-2</v>
      </c>
      <c r="BI4482" s="477">
        <v>21370946.075001422</v>
      </c>
      <c r="BJ4482" s="458">
        <v>0.11561934864413526</v>
      </c>
      <c r="BK4482" s="477">
        <v>68942662.776048064</v>
      </c>
      <c r="BL4482" s="458">
        <v>0.26709743797384466</v>
      </c>
      <c r="BM4482" s="468">
        <v>1.2572472568269699</v>
      </c>
    </row>
    <row r="4483" spans="12:65" x14ac:dyDescent="0.3">
      <c r="L4483" s="427">
        <v>-2735689.8119999999</v>
      </c>
      <c r="BE4483" s="477">
        <v>1954715.1710796957</v>
      </c>
      <c r="BF4483" s="458">
        <v>4.4977133521037826E-2</v>
      </c>
      <c r="BG4483" s="477">
        <v>10544834.48749271</v>
      </c>
      <c r="BH4483" s="458">
        <v>7.3182958685839017E-2</v>
      </c>
      <c r="BI4483" s="477">
        <v>22557300.484258778</v>
      </c>
      <c r="BJ4483" s="458">
        <v>8.6689937284078589E-2</v>
      </c>
      <c r="BK4483" s="477">
        <v>96167377.44182536</v>
      </c>
      <c r="BL4483" s="458">
        <v>0.25488064755748718</v>
      </c>
      <c r="BM4483" s="468">
        <v>10.5336197025464</v>
      </c>
    </row>
    <row r="4484" spans="12:65" x14ac:dyDescent="0.3">
      <c r="L4484" s="427">
        <v>8005401.7429999998</v>
      </c>
      <c r="BE4484" s="477">
        <v>3557361.8748526727</v>
      </c>
      <c r="BF4484" s="458">
        <v>4.9105087726768026E-2</v>
      </c>
      <c r="BG4484" s="477">
        <v>13556946.938083334</v>
      </c>
      <c r="BH4484" s="458">
        <v>6.7787896626027688E-2</v>
      </c>
      <c r="BI4484" s="477">
        <v>16831872.492569566</v>
      </c>
      <c r="BJ4484" s="458">
        <v>9.8493870580707021E-2</v>
      </c>
      <c r="BK4484" s="477">
        <v>89472749.738754526</v>
      </c>
      <c r="BL4484" s="458">
        <v>0.28186445255589754</v>
      </c>
      <c r="BM4484" s="468">
        <v>3.6227372987458404</v>
      </c>
    </row>
    <row r="4485" spans="12:65" x14ac:dyDescent="0.3">
      <c r="L4485" s="427">
        <v>22863896.638300002</v>
      </c>
      <c r="BE4485" s="477">
        <v>3417335.4497904293</v>
      </c>
      <c r="BF4485" s="458">
        <v>3.9166940578309939E-2</v>
      </c>
      <c r="BG4485" s="477">
        <v>7003436.4296939652</v>
      </c>
      <c r="BH4485" s="458">
        <v>5.7596563679605195E-2</v>
      </c>
      <c r="BI4485" s="477">
        <v>20898523.471689671</v>
      </c>
      <c r="BJ4485" s="458">
        <v>9.4951155794767317E-2</v>
      </c>
      <c r="BK4485" s="477">
        <v>90023713.836091504</v>
      </c>
      <c r="BL4485" s="458">
        <v>0.26819256870885555</v>
      </c>
      <c r="BM4485" s="468">
        <v>6.1448174239835875</v>
      </c>
    </row>
    <row r="4486" spans="12:65" x14ac:dyDescent="0.3">
      <c r="L4486" s="427">
        <v>2710085.4649</v>
      </c>
      <c r="BE4486" s="477">
        <v>2635073.4159412291</v>
      </c>
      <c r="BF4486" s="458">
        <v>1.1787796569435072E-2</v>
      </c>
      <c r="BG4486" s="477">
        <v>13163823.087051369</v>
      </c>
      <c r="BH4486" s="458">
        <v>6.6146926210891133E-2</v>
      </c>
      <c r="BI4486" s="477">
        <v>13162731.371513052</v>
      </c>
      <c r="BJ4486" s="458">
        <v>0.11272006525991496</v>
      </c>
      <c r="BK4486" s="477">
        <v>98137925.906130433</v>
      </c>
      <c r="BL4486" s="458">
        <v>0.29416782087247539</v>
      </c>
      <c r="BM4486" s="468">
        <v>6.7543683497729727</v>
      </c>
    </row>
    <row r="4487" spans="12:65" x14ac:dyDescent="0.3">
      <c r="L4487" s="427">
        <v>9335659.6974999998</v>
      </c>
      <c r="BE4487" s="477">
        <v>10322895.508554773</v>
      </c>
      <c r="BF4487" s="458">
        <v>3.2173206056384851E-2</v>
      </c>
      <c r="BG4487" s="477">
        <v>5961206.4462233689</v>
      </c>
      <c r="BH4487" s="458">
        <v>6.0371764483251766E-2</v>
      </c>
      <c r="BI4487" s="477">
        <v>9411301.9360945337</v>
      </c>
      <c r="BJ4487" s="458">
        <v>0.11866205039459743</v>
      </c>
      <c r="BK4487" s="477">
        <v>83797619.214965403</v>
      </c>
      <c r="BL4487" s="458">
        <v>0.2901008161682781</v>
      </c>
      <c r="BM4487" s="468">
        <v>0.64780941242657519</v>
      </c>
    </row>
    <row r="4488" spans="12:65" x14ac:dyDescent="0.3">
      <c r="L4488" s="427">
        <v>1361113.3196</v>
      </c>
      <c r="BE4488" s="477">
        <v>7299499.845803692</v>
      </c>
      <c r="BF4488" s="458">
        <v>5.6441472229787459E-2</v>
      </c>
      <c r="BG4488" s="477">
        <v>6100752.3302517235</v>
      </c>
      <c r="BH4488" s="458">
        <v>3.85232626029961E-2</v>
      </c>
      <c r="BI4488" s="477">
        <v>17940083.927634973</v>
      </c>
      <c r="BJ4488" s="458">
        <v>9.6981451588458834E-2</v>
      </c>
      <c r="BK4488" s="477">
        <v>96980163.073204026</v>
      </c>
      <c r="BL4488" s="458">
        <v>0.27179743673301804</v>
      </c>
      <c r="BM4488" s="468">
        <v>10.808055760412826</v>
      </c>
    </row>
    <row r="4489" spans="12:65" x14ac:dyDescent="0.3">
      <c r="L4489" s="427">
        <v>-1753006.9519</v>
      </c>
      <c r="BE4489" s="477">
        <v>4562442.4882003199</v>
      </c>
      <c r="BF4489" s="458">
        <v>3.4435305274900907E-2</v>
      </c>
      <c r="BG4489" s="477">
        <v>6984448.1610619398</v>
      </c>
      <c r="BH4489" s="458">
        <v>0.10689633262351683</v>
      </c>
      <c r="BI4489" s="477">
        <v>18288986.736671109</v>
      </c>
      <c r="BJ4489" s="458">
        <v>0.1127487672965628</v>
      </c>
      <c r="BK4489" s="477">
        <v>75218220.224286005</v>
      </c>
      <c r="BL4489" s="458">
        <v>0.27419303602510747</v>
      </c>
      <c r="BM4489" s="468">
        <v>10.648123871623385</v>
      </c>
    </row>
    <row r="4490" spans="12:65" x14ac:dyDescent="0.3">
      <c r="L4490" s="427">
        <v>9977665.5056999996</v>
      </c>
      <c r="BE4490" s="477">
        <v>7514376.1090443209</v>
      </c>
      <c r="BF4490" s="458">
        <v>2.340471400483235E-2</v>
      </c>
      <c r="BG4490" s="477">
        <v>12854081.869506123</v>
      </c>
      <c r="BH4490" s="458">
        <v>6.6546918399209121E-2</v>
      </c>
      <c r="BI4490" s="477">
        <v>15949349.426898055</v>
      </c>
      <c r="BJ4490" s="458">
        <v>9.880806740050585E-2</v>
      </c>
      <c r="BK4490" s="477">
        <v>93524865.77011615</v>
      </c>
      <c r="BL4490" s="458">
        <v>0.26232060870193363</v>
      </c>
      <c r="BM4490" s="468">
        <v>17.786552619417868</v>
      </c>
    </row>
    <row r="4491" spans="12:65" x14ac:dyDescent="0.3">
      <c r="L4491" s="427">
        <v>11654854.9881</v>
      </c>
      <c r="BE4491" s="477">
        <v>234420.34066187002</v>
      </c>
      <c r="BF4491" s="458">
        <v>6.1928327587305265E-2</v>
      </c>
      <c r="BG4491" s="477">
        <v>13492660.966024827</v>
      </c>
      <c r="BH4491" s="458">
        <v>5.1459435754311889E-2</v>
      </c>
      <c r="BI4491" s="477">
        <v>14453356.075523432</v>
      </c>
      <c r="BJ4491" s="458">
        <v>0.10374413558010387</v>
      </c>
      <c r="BK4491" s="477">
        <v>86463962.606075853</v>
      </c>
      <c r="BL4491" s="458">
        <v>0.25809444192506414</v>
      </c>
      <c r="BM4491" s="468">
        <v>17.410488574683004</v>
      </c>
    </row>
    <row r="4492" spans="12:65" x14ac:dyDescent="0.3">
      <c r="L4492" s="427">
        <v>1450586.5203</v>
      </c>
      <c r="BE4492" s="477">
        <v>6057846.8081260119</v>
      </c>
      <c r="BF4492" s="458">
        <v>4.3508196204088856E-2</v>
      </c>
      <c r="BG4492" s="477">
        <v>13545336.77664634</v>
      </c>
      <c r="BH4492" s="458">
        <v>5.8054088056669118E-2</v>
      </c>
      <c r="BI4492" s="477">
        <v>15517975.022109881</v>
      </c>
      <c r="BJ4492" s="458">
        <v>0.10639459986485078</v>
      </c>
      <c r="BK4492" s="477">
        <v>76700271.570847139</v>
      </c>
      <c r="BL4492" s="458">
        <v>0.27235931281390346</v>
      </c>
      <c r="BM4492" s="468">
        <v>4.7240956700018639</v>
      </c>
    </row>
    <row r="4493" spans="12:65" x14ac:dyDescent="0.3">
      <c r="L4493" s="427">
        <v>8878367.9092999995</v>
      </c>
      <c r="BE4493" s="477">
        <v>4817588.2951760637</v>
      </c>
      <c r="BF4493" s="458">
        <v>6.3893130408520848E-2</v>
      </c>
      <c r="BG4493" s="477">
        <v>12679738.421811203</v>
      </c>
      <c r="BH4493" s="458">
        <v>8.0548994166488752E-2</v>
      </c>
      <c r="BI4493" s="477">
        <v>15083435.845164293</v>
      </c>
      <c r="BJ4493" s="458">
        <v>0.17005109365566318</v>
      </c>
      <c r="BK4493" s="477">
        <v>89316647.036949083</v>
      </c>
      <c r="BL4493" s="458">
        <v>0.29893795717752947</v>
      </c>
      <c r="BM4493" s="468">
        <v>5.9165790545444086</v>
      </c>
    </row>
    <row r="4494" spans="12:65" x14ac:dyDescent="0.3">
      <c r="L4494" s="427">
        <v>-6949037.5144999996</v>
      </c>
      <c r="BE4494" s="477">
        <v>7090344.0952420905</v>
      </c>
      <c r="BF4494" s="458">
        <v>3.9171047687502014E-2</v>
      </c>
      <c r="BG4494" s="477">
        <v>10900994.744976453</v>
      </c>
      <c r="BH4494" s="458">
        <v>7.2101845087527039E-2</v>
      </c>
      <c r="BI4494" s="477">
        <v>11727209.072053563</v>
      </c>
      <c r="BJ4494" s="458">
        <v>6.5458543985872142E-2</v>
      </c>
      <c r="BK4494" s="477">
        <v>90593878.914915949</v>
      </c>
      <c r="BL4494" s="458">
        <v>0.26900769721856355</v>
      </c>
      <c r="BM4494" s="468">
        <v>10.066183221813358</v>
      </c>
    </row>
    <row r="4495" spans="12:65" x14ac:dyDescent="0.3">
      <c r="L4495" s="427">
        <v>25103246.2905</v>
      </c>
      <c r="BE4495" s="477">
        <v>2646387.3385654269</v>
      </c>
      <c r="BF4495" s="458">
        <v>3.5611377840799596E-2</v>
      </c>
      <c r="BG4495" s="477">
        <v>5971636.4222023953</v>
      </c>
      <c r="BH4495" s="458">
        <v>3.677440644848784E-2</v>
      </c>
      <c r="BI4495" s="477">
        <v>10177871.816482436</v>
      </c>
      <c r="BJ4495" s="458">
        <v>0.13543971731960069</v>
      </c>
      <c r="BK4495" s="477">
        <v>97677675.173016042</v>
      </c>
      <c r="BL4495" s="458">
        <v>0.27788102401627568</v>
      </c>
      <c r="BM4495" s="468">
        <v>8.6238653435661927</v>
      </c>
    </row>
    <row r="4496" spans="12:65" x14ac:dyDescent="0.3">
      <c r="L4496" s="427">
        <v>15780715.1614</v>
      </c>
      <c r="BE4496" s="477">
        <v>5977565.836294611</v>
      </c>
      <c r="BF4496" s="458">
        <v>6.2615147735145982E-2</v>
      </c>
      <c r="BG4496" s="477">
        <v>8537478.8652890082</v>
      </c>
      <c r="BH4496" s="458">
        <v>8.0843113898193986E-2</v>
      </c>
      <c r="BI4496" s="477">
        <v>23113459.624977205</v>
      </c>
      <c r="BJ4496" s="458">
        <v>0.11270704008573507</v>
      </c>
      <c r="BK4496" s="477">
        <v>93743974.417035401</v>
      </c>
      <c r="BL4496" s="458">
        <v>0.27350245526147399</v>
      </c>
      <c r="BM4496" s="468">
        <v>8.5914735028324305</v>
      </c>
    </row>
    <row r="4497" spans="12:65" x14ac:dyDescent="0.3">
      <c r="L4497" s="427">
        <v>13472759.056399999</v>
      </c>
      <c r="BE4497" s="477">
        <v>2964669.6545680459</v>
      </c>
      <c r="BF4497" s="458">
        <v>6.0121797161083235E-2</v>
      </c>
      <c r="BG4497" s="477">
        <v>3225346.6837700182</v>
      </c>
      <c r="BH4497" s="458">
        <v>6.0401070196437479E-2</v>
      </c>
      <c r="BI4497" s="477">
        <v>11790695.687601609</v>
      </c>
      <c r="BJ4497" s="458">
        <v>0.10629981407952682</v>
      </c>
      <c r="BK4497" s="477">
        <v>75432595.62523672</v>
      </c>
      <c r="BL4497" s="458">
        <v>0.25272983096505719</v>
      </c>
      <c r="BM4497" s="468">
        <v>9.1531770272634496</v>
      </c>
    </row>
    <row r="4498" spans="12:65" x14ac:dyDescent="0.3">
      <c r="L4498" s="427">
        <v>-6375505.6595000001</v>
      </c>
      <c r="BE4498" s="477">
        <v>3926224.3809625986</v>
      </c>
      <c r="BF4498" s="458">
        <v>3.3046707966245981E-2</v>
      </c>
      <c r="BG4498" s="477">
        <v>11176327.610603742</v>
      </c>
      <c r="BH4498" s="458">
        <v>5.6722420936926143E-2</v>
      </c>
      <c r="BI4498" s="477">
        <v>23453069.619993825</v>
      </c>
      <c r="BJ4498" s="458">
        <v>0.11262436135048914</v>
      </c>
      <c r="BK4498" s="477">
        <v>87837221.194428623</v>
      </c>
      <c r="BL4498" s="458">
        <v>0.26360624272118005</v>
      </c>
      <c r="BM4498" s="468">
        <v>4.8280082868765275</v>
      </c>
    </row>
    <row r="4499" spans="12:65" x14ac:dyDescent="0.3">
      <c r="L4499" s="427">
        <v>9468787.6773000006</v>
      </c>
      <c r="BE4499" s="477">
        <v>842028.41323091672</v>
      </c>
      <c r="BF4499" s="458">
        <v>3.2723750506795657E-2</v>
      </c>
      <c r="BG4499" s="477">
        <v>8520243.0397146214</v>
      </c>
      <c r="BH4499" s="458">
        <v>7.3046835738730609E-2</v>
      </c>
      <c r="BI4499" s="477">
        <v>14125847.878859198</v>
      </c>
      <c r="BJ4499" s="458">
        <v>0.12152643377629135</v>
      </c>
      <c r="BK4499" s="477">
        <v>87406010.030166432</v>
      </c>
      <c r="BL4499" s="458">
        <v>0.30295855436493047</v>
      </c>
      <c r="BM4499" s="468">
        <v>13.404486617093429</v>
      </c>
    </row>
    <row r="4500" spans="12:65" x14ac:dyDescent="0.3">
      <c r="L4500" s="427">
        <v>17345418.0154</v>
      </c>
      <c r="BE4500" s="477">
        <v>183645.87930901011</v>
      </c>
      <c r="BF4500" s="458">
        <v>1.0151197867264594E-2</v>
      </c>
      <c r="BG4500" s="477">
        <v>10716554.31868572</v>
      </c>
      <c r="BH4500" s="458">
        <v>7.6973201664995772E-2</v>
      </c>
      <c r="BI4500" s="477">
        <v>19136174.51590592</v>
      </c>
      <c r="BJ4500" s="458">
        <v>0.10821107248051964</v>
      </c>
      <c r="BK4500" s="477">
        <v>82387775.435004324</v>
      </c>
      <c r="BL4500" s="458">
        <v>0.27766521253545529</v>
      </c>
      <c r="BM4500" s="468">
        <v>8.0442744921624847</v>
      </c>
    </row>
    <row r="4501" spans="12:65" x14ac:dyDescent="0.3">
      <c r="L4501" s="427">
        <v>14627635.5491</v>
      </c>
      <c r="BE4501" s="477">
        <v>3098588.9375829697</v>
      </c>
      <c r="BF4501" s="458">
        <v>3.3584241857355535E-2</v>
      </c>
      <c r="BG4501" s="477">
        <v>9733202.730003044</v>
      </c>
      <c r="BH4501" s="458">
        <v>7.2198206829458211E-2</v>
      </c>
      <c r="BI4501" s="477">
        <v>13454246.582598044</v>
      </c>
      <c r="BJ4501" s="458">
        <v>9.0880681885602721E-2</v>
      </c>
      <c r="BK4501" s="477">
        <v>88591014.365022913</v>
      </c>
      <c r="BL4501" s="458">
        <v>0.27228452736790976</v>
      </c>
      <c r="BM4501" s="468">
        <v>4.6989959143199664</v>
      </c>
    </row>
    <row r="4502" spans="12:65" x14ac:dyDescent="0.3">
      <c r="L4502" s="427">
        <v>-15944497.230900001</v>
      </c>
      <c r="BE4502" s="477">
        <v>5867098.4053263338</v>
      </c>
      <c r="BF4502" s="458">
        <v>3.3612662445671404E-2</v>
      </c>
      <c r="BG4502" s="477">
        <v>7631128.3130795499</v>
      </c>
      <c r="BH4502" s="458">
        <v>8.4106409205378707E-2</v>
      </c>
      <c r="BI4502" s="477">
        <v>17115372.535968311</v>
      </c>
      <c r="BJ4502" s="458">
        <v>0.12943514484020446</v>
      </c>
      <c r="BK4502" s="477">
        <v>96539786.857826456</v>
      </c>
      <c r="BL4502" s="458">
        <v>0.26002569769733075</v>
      </c>
      <c r="BM4502" s="468">
        <v>3.0376744231416932</v>
      </c>
    </row>
    <row r="4503" spans="12:65" x14ac:dyDescent="0.3">
      <c r="L4503" s="427">
        <v>13181477.727</v>
      </c>
      <c r="BE4503" s="477">
        <v>7861690.8339096485</v>
      </c>
      <c r="BF4503" s="458">
        <v>3.1500656423684603E-2</v>
      </c>
      <c r="BG4503" s="477">
        <v>14670399.384068869</v>
      </c>
      <c r="BH4503" s="458">
        <v>8.1570285592276193E-2</v>
      </c>
      <c r="BI4503" s="477">
        <v>20705540.258009885</v>
      </c>
      <c r="BJ4503" s="458">
        <v>0.12540079860154352</v>
      </c>
      <c r="BK4503" s="477">
        <v>85725399.018977776</v>
      </c>
      <c r="BL4503" s="458">
        <v>0.26013622668863623</v>
      </c>
      <c r="BM4503" s="468">
        <v>10.345778450643612</v>
      </c>
    </row>
    <row r="4504" spans="12:65" x14ac:dyDescent="0.3">
      <c r="L4504" s="427">
        <v>15053801.604800001</v>
      </c>
      <c r="BE4504" s="477">
        <v>3027363.8184061204</v>
      </c>
      <c r="BF4504" s="458">
        <v>4.9989578849866989E-2</v>
      </c>
      <c r="BG4504" s="477">
        <v>14872142.363390272</v>
      </c>
      <c r="BH4504" s="458">
        <v>7.7032633133993222E-2</v>
      </c>
      <c r="BI4504" s="477">
        <v>18283410.858776964</v>
      </c>
      <c r="BJ4504" s="458">
        <v>0.12114425388849992</v>
      </c>
      <c r="BK4504" s="477">
        <v>91207237.887531668</v>
      </c>
      <c r="BL4504" s="458">
        <v>0.27683559624272269</v>
      </c>
      <c r="BM4504" s="468">
        <v>7.3440994329298785</v>
      </c>
    </row>
    <row r="4505" spans="12:65" x14ac:dyDescent="0.3">
      <c r="L4505" s="427">
        <v>8769206.1721000001</v>
      </c>
      <c r="BE4505" s="477">
        <v>3283340.9031067183</v>
      </c>
      <c r="BF4505" s="458">
        <v>3.4909211580963717E-2</v>
      </c>
      <c r="BG4505" s="477">
        <v>9172032.1791175194</v>
      </c>
      <c r="BH4505" s="458">
        <v>5.8356532267646477E-2</v>
      </c>
      <c r="BI4505" s="477">
        <v>16800188.611987304</v>
      </c>
      <c r="BJ4505" s="458">
        <v>0.11930764269292538</v>
      </c>
      <c r="BK4505" s="477">
        <v>85090207.666157499</v>
      </c>
      <c r="BL4505" s="458">
        <v>0.26603442998623938</v>
      </c>
      <c r="BM4505" s="468">
        <v>7.8806652312165104</v>
      </c>
    </row>
    <row r="4506" spans="12:65" x14ac:dyDescent="0.3">
      <c r="L4506" s="427">
        <v>22967476.333999999</v>
      </c>
      <c r="BE4506" s="477">
        <v>1733708.2948669915</v>
      </c>
      <c r="BF4506" s="458">
        <v>1.6063227055853169E-2</v>
      </c>
      <c r="BG4506" s="477">
        <v>10811903.575019494</v>
      </c>
      <c r="BH4506" s="458">
        <v>5.4825600944020669E-2</v>
      </c>
      <c r="BI4506" s="477">
        <v>15922399.19210154</v>
      </c>
      <c r="BJ4506" s="458">
        <v>0.11268190870646744</v>
      </c>
      <c r="BK4506" s="477">
        <v>90453799.765475452</v>
      </c>
      <c r="BL4506" s="458">
        <v>0.28922749137909309</v>
      </c>
      <c r="BM4506" s="468">
        <v>13.22210775845392</v>
      </c>
    </row>
    <row r="4507" spans="12:65" x14ac:dyDescent="0.3">
      <c r="L4507" s="427">
        <v>14742764.770099999</v>
      </c>
      <c r="BE4507" s="477">
        <v>702486.82600980625</v>
      </c>
      <c r="BF4507" s="458">
        <v>4.1355372880362617E-2</v>
      </c>
      <c r="BG4507" s="477">
        <v>9597600.4209787957</v>
      </c>
      <c r="BH4507" s="458">
        <v>7.3366115680493671E-2</v>
      </c>
      <c r="BI4507" s="477">
        <v>16480045.136350093</v>
      </c>
      <c r="BJ4507" s="458">
        <v>0.11317792373615676</v>
      </c>
      <c r="BK4507" s="477">
        <v>89577015.971019924</v>
      </c>
      <c r="BL4507" s="458">
        <v>0.29900680025366566</v>
      </c>
      <c r="BM4507" s="468">
        <v>3.2999204673415816</v>
      </c>
    </row>
    <row r="4508" spans="12:65" x14ac:dyDescent="0.3">
      <c r="L4508" s="427">
        <v>7563812.3470000001</v>
      </c>
      <c r="BE4508" s="477">
        <v>7022905.9522174289</v>
      </c>
      <c r="BF4508" s="458">
        <v>6.8834702234511491E-2</v>
      </c>
      <c r="BG4508" s="477">
        <v>8426935.7347738296</v>
      </c>
      <c r="BH4508" s="458">
        <v>6.4005238953942944E-2</v>
      </c>
      <c r="BI4508" s="477">
        <v>19236484.58021586</v>
      </c>
      <c r="BJ4508" s="458">
        <v>9.216010079107706E-2</v>
      </c>
      <c r="BK4508" s="477">
        <v>81655255.856131628</v>
      </c>
      <c r="BL4508" s="458">
        <v>0.25283410444775156</v>
      </c>
      <c r="BM4508" s="468">
        <v>6.0303864373599669</v>
      </c>
    </row>
    <row r="4509" spans="12:65" x14ac:dyDescent="0.3">
      <c r="L4509" s="427">
        <v>13274871.009299999</v>
      </c>
      <c r="BE4509" s="477">
        <v>4395189.5189081328</v>
      </c>
      <c r="BF4509" s="458">
        <v>3.2402183817160424E-2</v>
      </c>
      <c r="BG4509" s="477">
        <v>12324540.903110817</v>
      </c>
      <c r="BH4509" s="458">
        <v>3.3737440063512425E-2</v>
      </c>
      <c r="BI4509" s="477">
        <v>13948147.283315932</v>
      </c>
      <c r="BJ4509" s="458">
        <v>8.6274216312379304E-2</v>
      </c>
      <c r="BK4509" s="477">
        <v>84524360.45430468</v>
      </c>
      <c r="BL4509" s="458">
        <v>0.25875457045088246</v>
      </c>
      <c r="BM4509" s="468">
        <v>13.855673945429579</v>
      </c>
    </row>
    <row r="4510" spans="12:65" x14ac:dyDescent="0.3">
      <c r="L4510" s="427">
        <v>-424502.0232</v>
      </c>
      <c r="BE4510" s="477">
        <v>1495797.6685502653</v>
      </c>
      <c r="BF4510" s="458">
        <v>6.8335841669982411E-2</v>
      </c>
      <c r="BG4510" s="477">
        <v>8281289.3408062253</v>
      </c>
      <c r="BH4510" s="458">
        <v>6.6119588952139319E-2</v>
      </c>
      <c r="BI4510" s="477">
        <v>9637023.8965917379</v>
      </c>
      <c r="BJ4510" s="458">
        <v>0.10040650904824755</v>
      </c>
      <c r="BK4510" s="477">
        <v>89774870.346786126</v>
      </c>
      <c r="BL4510" s="458">
        <v>0.26353671631843367</v>
      </c>
      <c r="BM4510" s="468">
        <v>-1.5373236186310368</v>
      </c>
    </row>
    <row r="4511" spans="12:65" x14ac:dyDescent="0.3">
      <c r="L4511" s="427">
        <v>17528611.559099998</v>
      </c>
      <c r="BE4511" s="477">
        <v>2492446.1926192394</v>
      </c>
      <c r="BF4511" s="458">
        <v>3.7203888776969674E-2</v>
      </c>
      <c r="BG4511" s="477">
        <v>14592132.442722334</v>
      </c>
      <c r="BH4511" s="458">
        <v>6.6208738934777189E-2</v>
      </c>
      <c r="BI4511" s="477">
        <v>17082352.323691543</v>
      </c>
      <c r="BJ4511" s="458">
        <v>0.11274699443683689</v>
      </c>
      <c r="BK4511" s="477">
        <v>91828575.244792908</v>
      </c>
      <c r="BL4511" s="458">
        <v>0.2551246354768899</v>
      </c>
      <c r="BM4511" s="468">
        <v>6.163922745852763</v>
      </c>
    </row>
    <row r="4512" spans="12:65" x14ac:dyDescent="0.3">
      <c r="L4512" s="427">
        <v>9292771.7726000007</v>
      </c>
      <c r="BE4512" s="477">
        <v>5460777.3214350017</v>
      </c>
      <c r="BF4512" s="458">
        <v>4.5643042322812466E-2</v>
      </c>
      <c r="BG4512" s="477">
        <v>16735966.299182359</v>
      </c>
      <c r="BH4512" s="458">
        <v>5.4404555292541401E-2</v>
      </c>
      <c r="BI4512" s="477">
        <v>18765725.337440398</v>
      </c>
      <c r="BJ4512" s="458">
        <v>0.1170203737476998</v>
      </c>
      <c r="BK4512" s="477">
        <v>85113338.184755221</v>
      </c>
      <c r="BL4512" s="458">
        <v>0.2751398996020189</v>
      </c>
      <c r="BM4512" s="468">
        <v>15.08810401176919</v>
      </c>
    </row>
    <row r="4513" spans="12:65" x14ac:dyDescent="0.3">
      <c r="L4513" s="427">
        <v>10160310.313999999</v>
      </c>
      <c r="BE4513" s="477">
        <v>10678487.512949608</v>
      </c>
      <c r="BF4513" s="458">
        <v>5.336618043753627E-2</v>
      </c>
      <c r="BG4513" s="477">
        <v>10736401.682073046</v>
      </c>
      <c r="BH4513" s="458">
        <v>6.6674650959942072E-2</v>
      </c>
      <c r="BI4513" s="477">
        <v>22466636.458066642</v>
      </c>
      <c r="BJ4513" s="458">
        <v>0.11338538598344972</v>
      </c>
      <c r="BK4513" s="477">
        <v>100746033.83682509</v>
      </c>
      <c r="BL4513" s="458">
        <v>0.26389554666677451</v>
      </c>
      <c r="BM4513" s="468">
        <v>7.8925542100385417</v>
      </c>
    </row>
    <row r="4514" spans="12:65" x14ac:dyDescent="0.3">
      <c r="L4514" s="427">
        <v>9158988.6381999999</v>
      </c>
      <c r="BE4514" s="477">
        <v>6587698.0651213555</v>
      </c>
      <c r="BF4514" s="458">
        <v>4.0100166607041077E-2</v>
      </c>
      <c r="BG4514" s="477">
        <v>10344637.833271693</v>
      </c>
      <c r="BH4514" s="458">
        <v>6.8171216817030311E-2</v>
      </c>
      <c r="BI4514" s="477">
        <v>18335324.826646406</v>
      </c>
      <c r="BJ4514" s="458">
        <v>7.1071914385248292E-2</v>
      </c>
      <c r="BK4514" s="477">
        <v>98245842.039369673</v>
      </c>
      <c r="BL4514" s="458">
        <v>0.27350517692267928</v>
      </c>
      <c r="BM4514" s="468">
        <v>6.5304438881509226</v>
      </c>
    </row>
    <row r="4515" spans="12:65" x14ac:dyDescent="0.3">
      <c r="L4515" s="427">
        <v>18300913.492899999</v>
      </c>
      <c r="BE4515" s="477">
        <v>3140527.9918625224</v>
      </c>
      <c r="BF4515" s="458">
        <v>3.6891882081379945E-2</v>
      </c>
      <c r="BG4515" s="477">
        <v>13374747.759303398</v>
      </c>
      <c r="BH4515" s="458">
        <v>7.903459947355751E-2</v>
      </c>
      <c r="BI4515" s="477">
        <v>14986578.711988073</v>
      </c>
      <c r="BJ4515" s="458">
        <v>0.12973084419647285</v>
      </c>
      <c r="BK4515" s="477">
        <v>76368636.100335568</v>
      </c>
      <c r="BL4515" s="458">
        <v>0.29713250995477325</v>
      </c>
      <c r="BM4515" s="468">
        <v>7.5150294457001161</v>
      </c>
    </row>
    <row r="4516" spans="12:65" x14ac:dyDescent="0.3">
      <c r="L4516" s="427">
        <v>7120763.4808999998</v>
      </c>
      <c r="BE4516" s="477">
        <v>4561651.2579902941</v>
      </c>
      <c r="BF4516" s="458">
        <v>4.0792253105080167E-2</v>
      </c>
      <c r="BG4516" s="477">
        <v>7940843.8976062993</v>
      </c>
      <c r="BH4516" s="458">
        <v>4.7077426149768842E-2</v>
      </c>
      <c r="BI4516" s="477">
        <v>20356889.069933664</v>
      </c>
      <c r="BJ4516" s="458">
        <v>0.13743828471870589</v>
      </c>
      <c r="BK4516" s="477">
        <v>86902666.955015123</v>
      </c>
      <c r="BL4516" s="458">
        <v>0.26836581053745401</v>
      </c>
      <c r="BM4516" s="468">
        <v>9.0266241655090234</v>
      </c>
    </row>
    <row r="4517" spans="12:65" x14ac:dyDescent="0.3">
      <c r="L4517" s="427">
        <v>15110103.114800001</v>
      </c>
      <c r="BE4517" s="477">
        <v>3336328.3717115065</v>
      </c>
      <c r="BF4517" s="458">
        <v>3.0635035989139192E-2</v>
      </c>
      <c r="BG4517" s="477">
        <v>12717800.647792751</v>
      </c>
      <c r="BH4517" s="458">
        <v>6.996691413719458E-2</v>
      </c>
      <c r="BI4517" s="477">
        <v>13511242.751136823</v>
      </c>
      <c r="BJ4517" s="458">
        <v>0.11761529403539761</v>
      </c>
      <c r="BK4517" s="477">
        <v>102523715.27827448</v>
      </c>
      <c r="BL4517" s="458">
        <v>0.25615506433776103</v>
      </c>
      <c r="BM4517" s="468">
        <v>6.2061528191803532</v>
      </c>
    </row>
    <row r="4518" spans="12:65" x14ac:dyDescent="0.3">
      <c r="L4518" s="427">
        <v>22841956.616999999</v>
      </c>
      <c r="BE4518" s="477">
        <v>3165574.2945852876</v>
      </c>
      <c r="BF4518" s="458">
        <v>2.4300152364224115E-2</v>
      </c>
      <c r="BG4518" s="477">
        <v>10672595.411814919</v>
      </c>
      <c r="BH4518" s="458">
        <v>5.8508610164377695E-2</v>
      </c>
      <c r="BI4518" s="477">
        <v>16078879.791269423</v>
      </c>
      <c r="BJ4518" s="458">
        <v>0.10091081343227093</v>
      </c>
      <c r="BK4518" s="477">
        <v>74446864.364545673</v>
      </c>
      <c r="BL4518" s="458">
        <v>0.24997355183236314</v>
      </c>
      <c r="BM4518" s="468">
        <v>3.1429629178454856</v>
      </c>
    </row>
    <row r="4519" spans="12:65" x14ac:dyDescent="0.3">
      <c r="L4519" s="427">
        <v>11371845.839299999</v>
      </c>
      <c r="BE4519" s="477">
        <v>5227418.1338547729</v>
      </c>
      <c r="BF4519" s="458">
        <v>6.1785042453349037E-2</v>
      </c>
      <c r="BG4519" s="477">
        <v>8282169.8263571551</v>
      </c>
      <c r="BH4519" s="458">
        <v>5.7264821355371254E-2</v>
      </c>
      <c r="BI4519" s="477">
        <v>20634025.378781803</v>
      </c>
      <c r="BJ4519" s="458">
        <v>9.1960240406802507E-2</v>
      </c>
      <c r="BK4519" s="477">
        <v>85140100.998629153</v>
      </c>
      <c r="BL4519" s="458">
        <v>0.26945651300088702</v>
      </c>
      <c r="BM4519" s="468">
        <v>2.9947162266880047</v>
      </c>
    </row>
    <row r="4520" spans="12:65" x14ac:dyDescent="0.3">
      <c r="L4520" s="427">
        <v>11556810.9224</v>
      </c>
      <c r="BE4520" s="477">
        <v>4201495.408706353</v>
      </c>
      <c r="BF4520" s="458">
        <v>5.6971368942229317E-2</v>
      </c>
      <c r="BG4520" s="477">
        <v>8970273.4751540888</v>
      </c>
      <c r="BH4520" s="458">
        <v>6.6486942938328575E-2</v>
      </c>
      <c r="BI4520" s="477">
        <v>18518695.771391291</v>
      </c>
      <c r="BJ4520" s="458">
        <v>0.10037788357255994</v>
      </c>
      <c r="BK4520" s="477">
        <v>82426236.704797119</v>
      </c>
      <c r="BL4520" s="458">
        <v>0.29355367358323736</v>
      </c>
      <c r="BM4520" s="468">
        <v>10.291141542200956</v>
      </c>
    </row>
    <row r="4521" spans="12:65" x14ac:dyDescent="0.3">
      <c r="L4521" s="427">
        <v>1067447.0153999999</v>
      </c>
      <c r="BE4521" s="477">
        <v>2624599.574884553</v>
      </c>
      <c r="BF4521" s="458">
        <v>5.8420155694197673E-2</v>
      </c>
      <c r="BG4521" s="477">
        <v>1417445.053778592</v>
      </c>
      <c r="BH4521" s="458">
        <v>4.0855063499189992E-2</v>
      </c>
      <c r="BI4521" s="477">
        <v>10502056.533659413</v>
      </c>
      <c r="BJ4521" s="458">
        <v>0.10309542819311113</v>
      </c>
      <c r="BK4521" s="477">
        <v>97627739.093548879</v>
      </c>
      <c r="BL4521" s="458">
        <v>0.28245315986517427</v>
      </c>
      <c r="BM4521" s="468">
        <v>10.614055152414702</v>
      </c>
    </row>
    <row r="4522" spans="12:65" x14ac:dyDescent="0.3">
      <c r="L4522" s="427">
        <v>13187380.2085</v>
      </c>
      <c r="BE4522" s="477">
        <v>4995884.3359792121</v>
      </c>
      <c r="BF4522" s="458">
        <v>3.9594683787778306E-2</v>
      </c>
      <c r="BG4522" s="477">
        <v>6474747.370188443</v>
      </c>
      <c r="BH4522" s="458">
        <v>7.0042751277573867E-2</v>
      </c>
      <c r="BI4522" s="477">
        <v>16158412.41945678</v>
      </c>
      <c r="BJ4522" s="458">
        <v>8.4853852749825265E-2</v>
      </c>
      <c r="BK4522" s="477">
        <v>71816297.464282691</v>
      </c>
      <c r="BL4522" s="458">
        <v>0.29372133548052992</v>
      </c>
      <c r="BM4522" s="468">
        <v>8.2727365623721028</v>
      </c>
    </row>
    <row r="4523" spans="12:65" x14ac:dyDescent="0.3">
      <c r="L4523" s="427">
        <v>13788602.3201</v>
      </c>
      <c r="BE4523" s="477">
        <v>5360967.0626839828</v>
      </c>
      <c r="BF4523" s="458">
        <v>6.2253613655609552E-2</v>
      </c>
      <c r="BG4523" s="477">
        <v>5839619.8619091138</v>
      </c>
      <c r="BH4523" s="458">
        <v>2.6312971990718026E-2</v>
      </c>
      <c r="BI4523" s="477">
        <v>25977130.796645001</v>
      </c>
      <c r="BJ4523" s="458">
        <v>9.7146561682936117E-2</v>
      </c>
      <c r="BK4523" s="477">
        <v>95337982.361943901</v>
      </c>
      <c r="BL4523" s="458">
        <v>0.28047531641538836</v>
      </c>
      <c r="BM4523" s="468">
        <v>8.7616311816536907</v>
      </c>
    </row>
    <row r="4524" spans="12:65" x14ac:dyDescent="0.3">
      <c r="L4524" s="427">
        <v>28574982.978700001</v>
      </c>
      <c r="BE4524" s="477">
        <v>8099022.9520663479</v>
      </c>
      <c r="BF4524" s="458">
        <v>4.3119093200028491E-2</v>
      </c>
      <c r="BG4524" s="477">
        <v>10326602.482640371</v>
      </c>
      <c r="BH4524" s="458">
        <v>8.5206437886800268E-2</v>
      </c>
      <c r="BI4524" s="477">
        <v>16489805.495313041</v>
      </c>
      <c r="BJ4524" s="458">
        <v>8.9705821081359716E-2</v>
      </c>
      <c r="BK4524" s="477">
        <v>96979366.708377048</v>
      </c>
      <c r="BL4524" s="458">
        <v>0.2613858369025448</v>
      </c>
      <c r="BM4524" s="468">
        <v>14.629440678038655</v>
      </c>
    </row>
    <row r="4525" spans="12:65" x14ac:dyDescent="0.3">
      <c r="L4525" s="427">
        <v>3809855.5238000001</v>
      </c>
      <c r="BE4525" s="477">
        <v>4187140.5500233164</v>
      </c>
      <c r="BF4525" s="458">
        <v>4.11891882832911E-2</v>
      </c>
      <c r="BG4525" s="477">
        <v>7195341.7893107571</v>
      </c>
      <c r="BH4525" s="458">
        <v>7.1589332579679255E-2</v>
      </c>
      <c r="BI4525" s="477">
        <v>18965867.52425833</v>
      </c>
      <c r="BJ4525" s="458">
        <v>0.11993376523674004</v>
      </c>
      <c r="BK4525" s="477">
        <v>84102301.661750004</v>
      </c>
      <c r="BL4525" s="458">
        <v>0.27605002638968457</v>
      </c>
      <c r="BM4525" s="468">
        <v>9.8993045444019394</v>
      </c>
    </row>
    <row r="4526" spans="12:65" x14ac:dyDescent="0.3">
      <c r="L4526" s="427">
        <v>4824169.0055</v>
      </c>
      <c r="BE4526" s="477">
        <v>311340.65729516337</v>
      </c>
      <c r="BF4526" s="458">
        <v>5.4004467342546159E-2</v>
      </c>
      <c r="BG4526" s="477">
        <v>7467507.0228963485</v>
      </c>
      <c r="BH4526" s="458">
        <v>6.0315712349825468E-2</v>
      </c>
      <c r="BI4526" s="477">
        <v>9402761.5642311629</v>
      </c>
      <c r="BJ4526" s="458">
        <v>8.3796691284458324E-2</v>
      </c>
      <c r="BK4526" s="477">
        <v>91063019.262411594</v>
      </c>
      <c r="BL4526" s="458">
        <v>0.27428561739582658</v>
      </c>
      <c r="BM4526" s="468">
        <v>11.151126387993695</v>
      </c>
    </row>
    <row r="4527" spans="12:65" x14ac:dyDescent="0.3">
      <c r="L4527" s="427">
        <v>5409101.3004999999</v>
      </c>
      <c r="BE4527" s="477">
        <v>5021417.9464711901</v>
      </c>
      <c r="BF4527" s="458">
        <v>4.0890208916916748E-2</v>
      </c>
      <c r="BG4527" s="477">
        <v>15455288.887850607</v>
      </c>
      <c r="BH4527" s="458">
        <v>7.3811586479921587E-2</v>
      </c>
      <c r="BI4527" s="477">
        <v>16531326.932679996</v>
      </c>
      <c r="BJ4527" s="458">
        <v>9.9602862760259869E-2</v>
      </c>
      <c r="BK4527" s="477">
        <v>86855985.569936484</v>
      </c>
      <c r="BL4527" s="458">
        <v>0.25253773685374337</v>
      </c>
      <c r="BM4527" s="468">
        <v>4.5478676479171973</v>
      </c>
    </row>
    <row r="4528" spans="12:65" x14ac:dyDescent="0.3">
      <c r="L4528" s="427">
        <v>5606144.2267000005</v>
      </c>
      <c r="BE4528" s="477">
        <v>7562428.9702939913</v>
      </c>
      <c r="BF4528" s="458">
        <v>4.3415781713634471E-2</v>
      </c>
      <c r="BG4528" s="477">
        <v>8211254.4038963309</v>
      </c>
      <c r="BH4528" s="458">
        <v>7.8990390341489913E-2</v>
      </c>
      <c r="BI4528" s="477">
        <v>17492062.893799637</v>
      </c>
      <c r="BJ4528" s="458">
        <v>9.847939010041773E-2</v>
      </c>
      <c r="BK4528" s="477">
        <v>93202989.980190784</v>
      </c>
      <c r="BL4528" s="458">
        <v>0.27684386273844952</v>
      </c>
      <c r="BM4528" s="468">
        <v>7.1219436546142942</v>
      </c>
    </row>
    <row r="4529" spans="12:65" x14ac:dyDescent="0.3">
      <c r="L4529" s="427">
        <v>18852853.642200001</v>
      </c>
      <c r="BE4529" s="477">
        <v>6966872.754359711</v>
      </c>
      <c r="BF4529" s="458">
        <v>3.0638199820734791E-2</v>
      </c>
      <c r="BG4529" s="477">
        <v>11176056.167043557</v>
      </c>
      <c r="BH4529" s="458">
        <v>5.4159715212578563E-2</v>
      </c>
      <c r="BI4529" s="477">
        <v>16431130.447150385</v>
      </c>
      <c r="BJ4529" s="458">
        <v>0.12864266612427522</v>
      </c>
      <c r="BK4529" s="477">
        <v>89221866.873922825</v>
      </c>
      <c r="BL4529" s="458">
        <v>0.25906670796350673</v>
      </c>
      <c r="BM4529" s="468">
        <v>4.6500028495648165</v>
      </c>
    </row>
    <row r="4530" spans="12:65" x14ac:dyDescent="0.3">
      <c r="L4530" s="427">
        <v>4315151.6535999998</v>
      </c>
      <c r="BE4530" s="477">
        <v>6223476.5991015537</v>
      </c>
      <c r="BF4530" s="458">
        <v>3.1350067231862955E-2</v>
      </c>
      <c r="BG4530" s="477">
        <v>10557841.456648787</v>
      </c>
      <c r="BH4530" s="458">
        <v>5.9800894737491728E-2</v>
      </c>
      <c r="BI4530" s="477">
        <v>14672475.995919313</v>
      </c>
      <c r="BJ4530" s="458">
        <v>0.15387668273384514</v>
      </c>
      <c r="BK4530" s="477">
        <v>91835158.170020476</v>
      </c>
      <c r="BL4530" s="458">
        <v>0.26140110472136513</v>
      </c>
      <c r="BM4530" s="468">
        <v>3.8385617207532894</v>
      </c>
    </row>
    <row r="4531" spans="12:65" x14ac:dyDescent="0.3">
      <c r="L4531" s="427">
        <v>4409466.7587000001</v>
      </c>
      <c r="BE4531" s="477">
        <v>740219.13419139269</v>
      </c>
      <c r="BF4531" s="458">
        <v>5.0114618003533895E-2</v>
      </c>
      <c r="BG4531" s="477">
        <v>14220857.600940028</v>
      </c>
      <c r="BH4531" s="458">
        <v>8.7205159057134551E-2</v>
      </c>
      <c r="BI4531" s="477">
        <v>20928759.559927586</v>
      </c>
      <c r="BJ4531" s="458">
        <v>9.441944907154376E-2</v>
      </c>
      <c r="BK4531" s="477">
        <v>98320428.80497922</v>
      </c>
      <c r="BL4531" s="458">
        <v>0.27595820900900669</v>
      </c>
      <c r="BM4531" s="468">
        <v>6.5849627523736736</v>
      </c>
    </row>
    <row r="4532" spans="12:65" x14ac:dyDescent="0.3">
      <c r="L4532" s="427">
        <v>2355845.6301000002</v>
      </c>
      <c r="BE4532" s="477">
        <v>3907195.0470557595</v>
      </c>
      <c r="BF4532" s="458">
        <v>4.3589717936923567E-2</v>
      </c>
      <c r="BG4532" s="477">
        <v>14202694.890948059</v>
      </c>
      <c r="BH4532" s="458">
        <v>3.5899017815052447E-2</v>
      </c>
      <c r="BI4532" s="477">
        <v>13538429.818298589</v>
      </c>
      <c r="BJ4532" s="458">
        <v>0.10472484542316152</v>
      </c>
      <c r="BK4532" s="477">
        <v>96001322.674798861</v>
      </c>
      <c r="BL4532" s="458">
        <v>0.28959418171728357</v>
      </c>
      <c r="BM4532" s="468">
        <v>7.8960447813553021</v>
      </c>
    </row>
    <row r="4533" spans="12:65" x14ac:dyDescent="0.3">
      <c r="L4533" s="427">
        <v>331147.36239999998</v>
      </c>
      <c r="BE4533" s="477">
        <v>9933928.3775347434</v>
      </c>
      <c r="BF4533" s="458">
        <v>3.4909330664433247E-2</v>
      </c>
      <c r="BG4533" s="477">
        <v>8465852.8222894669</v>
      </c>
      <c r="BH4533" s="458">
        <v>7.0947773605969822E-2</v>
      </c>
      <c r="BI4533" s="477">
        <v>15608288.718099967</v>
      </c>
      <c r="BJ4533" s="458">
        <v>0.11810175949598878</v>
      </c>
      <c r="BK4533" s="477">
        <v>92736210.98239094</v>
      </c>
      <c r="BL4533" s="458">
        <v>0.27183901038296443</v>
      </c>
      <c r="BM4533" s="468">
        <v>5.7518126714773716</v>
      </c>
    </row>
    <row r="4534" spans="12:65" x14ac:dyDescent="0.3">
      <c r="L4534" s="427">
        <v>9861017.9818999991</v>
      </c>
      <c r="BE4534" s="477">
        <v>9135188.5806691274</v>
      </c>
      <c r="BF4534" s="458">
        <v>5.8371828064996301E-2</v>
      </c>
      <c r="BG4534" s="477">
        <v>6474385.2169228317</v>
      </c>
      <c r="BH4534" s="458">
        <v>4.8056891965640114E-2</v>
      </c>
      <c r="BI4534" s="477">
        <v>28667801.735711738</v>
      </c>
      <c r="BJ4534" s="458">
        <v>0.10395480701024029</v>
      </c>
      <c r="BK4534" s="477">
        <v>88256908.539175451</v>
      </c>
      <c r="BL4534" s="458">
        <v>0.28906345184493043</v>
      </c>
      <c r="BM4534" s="468">
        <v>7.8338276253538037</v>
      </c>
    </row>
    <row r="4535" spans="12:65" x14ac:dyDescent="0.3">
      <c r="L4535" s="427">
        <v>13264651.1665</v>
      </c>
      <c r="BE4535" s="477">
        <v>7243732.3046573866</v>
      </c>
      <c r="BF4535" s="458">
        <v>3.2988238980091733E-2</v>
      </c>
      <c r="BG4535" s="477">
        <v>9974317.97400745</v>
      </c>
      <c r="BH4535" s="458">
        <v>5.3170650081581172E-2</v>
      </c>
      <c r="BI4535" s="477">
        <v>18984383.231249116</v>
      </c>
      <c r="BJ4535" s="458">
        <v>0.10557491935833618</v>
      </c>
      <c r="BK4535" s="477">
        <v>101738168.22680251</v>
      </c>
      <c r="BL4535" s="458">
        <v>0.27332128675092693</v>
      </c>
      <c r="BM4535" s="468">
        <v>10.486670334471773</v>
      </c>
    </row>
    <row r="4536" spans="12:65" x14ac:dyDescent="0.3">
      <c r="L4536" s="427">
        <v>7594361.4720000001</v>
      </c>
      <c r="BE4536" s="477">
        <v>-64832.50703436476</v>
      </c>
      <c r="BF4536" s="458">
        <v>3.0347062660281088E-2</v>
      </c>
      <c r="BG4536" s="477">
        <v>4946486.0374785764</v>
      </c>
      <c r="BH4536" s="458">
        <v>6.0540542683326537E-2</v>
      </c>
      <c r="BI4536" s="477">
        <v>14917787.139019482</v>
      </c>
      <c r="BJ4536" s="458">
        <v>8.6697077106974607E-2</v>
      </c>
      <c r="BK4536" s="477">
        <v>98620137.907550856</v>
      </c>
      <c r="BL4536" s="458">
        <v>0.28128366096552759</v>
      </c>
      <c r="BM4536" s="468">
        <v>9.6589183526847897</v>
      </c>
    </row>
    <row r="4537" spans="12:65" x14ac:dyDescent="0.3">
      <c r="L4537" s="427">
        <v>-4501238.9461000003</v>
      </c>
      <c r="BE4537" s="477">
        <v>8599466.7650628015</v>
      </c>
      <c r="BF4537" s="458">
        <v>4.799008632741053E-2</v>
      </c>
      <c r="BG4537" s="477">
        <v>12296015.131964756</v>
      </c>
      <c r="BH4537" s="458">
        <v>3.4797676015566825E-2</v>
      </c>
      <c r="BI4537" s="477">
        <v>26450018.974266041</v>
      </c>
      <c r="BJ4537" s="458">
        <v>8.9185813784908197E-2</v>
      </c>
      <c r="BK4537" s="477">
        <v>91039125.302782804</v>
      </c>
      <c r="BL4537" s="458">
        <v>0.26474183882699198</v>
      </c>
      <c r="BM4537" s="468">
        <v>7.8318389832160173</v>
      </c>
    </row>
    <row r="4538" spans="12:65" x14ac:dyDescent="0.3">
      <c r="L4538" s="427">
        <v>-2162071.9561000001</v>
      </c>
      <c r="BE4538" s="477">
        <v>1318721.2517769642</v>
      </c>
      <c r="BF4538" s="458">
        <v>5.4185851682585051E-2</v>
      </c>
      <c r="BG4538" s="477">
        <v>11103678.320064535</v>
      </c>
      <c r="BH4538" s="458">
        <v>6.3678562036094677E-2</v>
      </c>
      <c r="BI4538" s="477">
        <v>20286253.616976283</v>
      </c>
      <c r="BJ4538" s="458">
        <v>0.11172427228125525</v>
      </c>
      <c r="BK4538" s="477">
        <v>87380960.853104413</v>
      </c>
      <c r="BL4538" s="458">
        <v>0.269997942378712</v>
      </c>
      <c r="BM4538" s="468">
        <v>6.0142106662276982</v>
      </c>
    </row>
    <row r="4539" spans="12:65" x14ac:dyDescent="0.3">
      <c r="L4539" s="427">
        <v>6077958.3501000004</v>
      </c>
      <c r="BE4539" s="477">
        <v>4530457.510365638</v>
      </c>
      <c r="BF4539" s="458">
        <v>3.9642767785595279E-2</v>
      </c>
      <c r="BG4539" s="477">
        <v>14110972.254675345</v>
      </c>
      <c r="BH4539" s="458">
        <v>5.9746106065420301E-2</v>
      </c>
      <c r="BI4539" s="477">
        <v>13780645.763777975</v>
      </c>
      <c r="BJ4539" s="458">
        <v>0.11545424621713885</v>
      </c>
      <c r="BK4539" s="477">
        <v>91238412.260041058</v>
      </c>
      <c r="BL4539" s="458">
        <v>0.25432303283074531</v>
      </c>
      <c r="BM4539" s="468">
        <v>12.017459022372121</v>
      </c>
    </row>
    <row r="4540" spans="12:65" x14ac:dyDescent="0.3">
      <c r="L4540" s="427">
        <v>26283874.537500001</v>
      </c>
      <c r="BE4540" s="477">
        <v>2238023.8090549144</v>
      </c>
      <c r="BF4540" s="458">
        <v>2.7341069280831798E-2</v>
      </c>
      <c r="BG4540" s="477">
        <v>4708623.6625232119</v>
      </c>
      <c r="BH4540" s="458">
        <v>3.9168892069373795E-2</v>
      </c>
      <c r="BI4540" s="477">
        <v>10562769.886159372</v>
      </c>
      <c r="BJ4540" s="458">
        <v>0.10901082740165657</v>
      </c>
      <c r="BK4540" s="477">
        <v>77038231.02610904</v>
      </c>
      <c r="BL4540" s="458">
        <v>0.27358417062078644</v>
      </c>
      <c r="BM4540" s="468">
        <v>9.2325810843560792</v>
      </c>
    </row>
    <row r="4541" spans="12:65" x14ac:dyDescent="0.3">
      <c r="L4541" s="427">
        <v>10430209.091800001</v>
      </c>
      <c r="BE4541" s="477">
        <v>5276207.3376557548</v>
      </c>
      <c r="BF4541" s="458">
        <v>2.7679642796267778E-2</v>
      </c>
      <c r="BG4541" s="477">
        <v>3723738.2533694976</v>
      </c>
      <c r="BH4541" s="458">
        <v>7.1376930054279919E-2</v>
      </c>
      <c r="BI4541" s="477">
        <v>21143886.393372696</v>
      </c>
      <c r="BJ4541" s="458">
        <v>6.8439871982648226E-2</v>
      </c>
      <c r="BK4541" s="477">
        <v>99273713.569998533</v>
      </c>
      <c r="BL4541" s="458">
        <v>0.27144995195266186</v>
      </c>
      <c r="BM4541" s="468">
        <v>5.0846841123379525</v>
      </c>
    </row>
    <row r="4542" spans="12:65" x14ac:dyDescent="0.3">
      <c r="L4542" s="427">
        <v>14377858.134299999</v>
      </c>
      <c r="BE4542" s="477">
        <v>8083532.7237819191</v>
      </c>
      <c r="BF4542" s="458">
        <v>6.213969038520073E-2</v>
      </c>
      <c r="BG4542" s="477">
        <v>10157951.181737212</v>
      </c>
      <c r="BH4542" s="458">
        <v>4.5648419292217302E-2</v>
      </c>
      <c r="BI4542" s="477">
        <v>20357754.599738136</v>
      </c>
      <c r="BJ4542" s="458">
        <v>0.10515662162251171</v>
      </c>
      <c r="BK4542" s="477">
        <v>88124535.526438147</v>
      </c>
      <c r="BL4542" s="458">
        <v>0.28474914966820331</v>
      </c>
      <c r="BM4542" s="468">
        <v>0.97379452309081937</v>
      </c>
    </row>
    <row r="4543" spans="12:65" x14ac:dyDescent="0.3">
      <c r="L4543" s="427">
        <v>10882401.4312</v>
      </c>
      <c r="BE4543" s="477">
        <v>3883208.2171897418</v>
      </c>
      <c r="BF4543" s="458">
        <v>4.0904689135469186E-2</v>
      </c>
      <c r="BG4543" s="477">
        <v>11607953.386364039</v>
      </c>
      <c r="BH4543" s="458">
        <v>6.7940810962595188E-2</v>
      </c>
      <c r="BI4543" s="477">
        <v>14461166.956196034</v>
      </c>
      <c r="BJ4543" s="458">
        <v>0.11111782885049637</v>
      </c>
      <c r="BK4543" s="477">
        <v>79932595.278748199</v>
      </c>
      <c r="BL4543" s="458">
        <v>0.2730914565277105</v>
      </c>
      <c r="BM4543" s="468">
        <v>8.8391450831490044</v>
      </c>
    </row>
    <row r="4544" spans="12:65" x14ac:dyDescent="0.3">
      <c r="L4544" s="427">
        <v>-3755973.8892000001</v>
      </c>
      <c r="BE4544" s="477">
        <v>6043592.7079121405</v>
      </c>
      <c r="BF4544" s="458">
        <v>4.2630376778143075E-2</v>
      </c>
      <c r="BG4544" s="477">
        <v>7475265.6100241197</v>
      </c>
      <c r="BH4544" s="458">
        <v>4.4499077688194388E-2</v>
      </c>
      <c r="BI4544" s="477">
        <v>14781141.566942904</v>
      </c>
      <c r="BJ4544" s="458">
        <v>0.10711098353158977</v>
      </c>
      <c r="BK4544" s="477">
        <v>91449459.466588289</v>
      </c>
      <c r="BL4544" s="458">
        <v>0.26469562447283868</v>
      </c>
      <c r="BM4544" s="468">
        <v>2.7264529201134327</v>
      </c>
    </row>
    <row r="4545" spans="12:65" x14ac:dyDescent="0.3">
      <c r="L4545" s="427">
        <v>-9413428.4188000001</v>
      </c>
      <c r="BE4545" s="477">
        <v>10399060.871121805</v>
      </c>
      <c r="BF4545" s="458">
        <v>2.4094745803468598E-2</v>
      </c>
      <c r="BG4545" s="477">
        <v>17294437.158371247</v>
      </c>
      <c r="BH4545" s="458">
        <v>7.171279013592291E-2</v>
      </c>
      <c r="BI4545" s="477">
        <v>14684634.360459182</v>
      </c>
      <c r="BJ4545" s="458">
        <v>0.10501185889264342</v>
      </c>
      <c r="BK4545" s="477">
        <v>95827518.782171175</v>
      </c>
      <c r="BL4545" s="458">
        <v>0.25849804320690528</v>
      </c>
      <c r="BM4545" s="468">
        <v>13.422902297051465</v>
      </c>
    </row>
    <row r="4546" spans="12:65" x14ac:dyDescent="0.3">
      <c r="L4546" s="427">
        <v>-3872038.8982000002</v>
      </c>
      <c r="BE4546" s="477">
        <v>8043804.2713968307</v>
      </c>
      <c r="BF4546" s="458">
        <v>3.4799706154340138E-2</v>
      </c>
      <c r="BG4546" s="477">
        <v>15302416.724302795</v>
      </c>
      <c r="BH4546" s="458">
        <v>9.9064244627356413E-2</v>
      </c>
      <c r="BI4546" s="477">
        <v>14738603.617297979</v>
      </c>
      <c r="BJ4546" s="458">
        <v>0.11847635657063416</v>
      </c>
      <c r="BK4546" s="477">
        <v>99064187.038641885</v>
      </c>
      <c r="BL4546" s="458">
        <v>0.25538423224230589</v>
      </c>
      <c r="BM4546" s="468">
        <v>7.5881611523441013</v>
      </c>
    </row>
    <row r="4547" spans="12:65" x14ac:dyDescent="0.3">
      <c r="L4547" s="427">
        <v>6150541.4934</v>
      </c>
      <c r="BE4547" s="477">
        <v>3751406.9139336688</v>
      </c>
      <c r="BF4547" s="458">
        <v>3.1236933842345271E-2</v>
      </c>
      <c r="BG4547" s="477">
        <v>3890026.6753852391</v>
      </c>
      <c r="BH4547" s="458">
        <v>4.6162401426053323E-2</v>
      </c>
      <c r="BI4547" s="477">
        <v>13590727.705400903</v>
      </c>
      <c r="BJ4547" s="458">
        <v>0.11602158252042205</v>
      </c>
      <c r="BK4547" s="477">
        <v>95103442.652525023</v>
      </c>
      <c r="BL4547" s="458">
        <v>0.26009891156334342</v>
      </c>
      <c r="BM4547" s="468">
        <v>12.744559096386071</v>
      </c>
    </row>
    <row r="4548" spans="12:65" x14ac:dyDescent="0.3">
      <c r="L4548" s="427">
        <v>11294890.544500001</v>
      </c>
      <c r="BE4548" s="477">
        <v>7292282.9711275846</v>
      </c>
      <c r="BF4548" s="458">
        <v>2.1055912087452278E-2</v>
      </c>
      <c r="BG4548" s="477">
        <v>12923768.425459737</v>
      </c>
      <c r="BH4548" s="458">
        <v>7.7016375618134791E-2</v>
      </c>
      <c r="BI4548" s="477">
        <v>21995068.556804553</v>
      </c>
      <c r="BJ4548" s="458">
        <v>0.12734318714635484</v>
      </c>
      <c r="BK4548" s="477">
        <v>86623981.153574735</v>
      </c>
      <c r="BL4548" s="458">
        <v>0.27820605239120599</v>
      </c>
      <c r="BM4548" s="468">
        <v>12.476530332242111</v>
      </c>
    </row>
    <row r="4549" spans="12:65" x14ac:dyDescent="0.3">
      <c r="L4549" s="427">
        <v>-1434726.7220000001</v>
      </c>
      <c r="BE4549" s="477">
        <v>2117026.5009780382</v>
      </c>
      <c r="BF4549" s="458">
        <v>2.7231255468912918E-2</v>
      </c>
      <c r="BG4549" s="477">
        <v>11920353.785471689</v>
      </c>
      <c r="BH4549" s="458">
        <v>6.5177914364844991E-2</v>
      </c>
      <c r="BI4549" s="477">
        <v>15560833.905709315</v>
      </c>
      <c r="BJ4549" s="458">
        <v>0.10862195769323257</v>
      </c>
      <c r="BK4549" s="477">
        <v>93444311.544355139</v>
      </c>
      <c r="BL4549" s="458">
        <v>0.27799422188455503</v>
      </c>
      <c r="BM4549" s="468">
        <v>7.3788220884210656</v>
      </c>
    </row>
    <row r="4550" spans="12:65" x14ac:dyDescent="0.3">
      <c r="L4550" s="427">
        <v>-12277289.638</v>
      </c>
      <c r="BE4550" s="477">
        <v>5698650.0986725269</v>
      </c>
      <c r="BF4550" s="458">
        <v>3.9857915409419409E-2</v>
      </c>
      <c r="BG4550" s="477">
        <v>5352201.266771934</v>
      </c>
      <c r="BH4550" s="458">
        <v>7.8741917064202749E-2</v>
      </c>
      <c r="BI4550" s="477">
        <v>20480512.097116012</v>
      </c>
      <c r="BJ4550" s="458">
        <v>0.11142888403583395</v>
      </c>
      <c r="BK4550" s="477">
        <v>83350729.233081087</v>
      </c>
      <c r="BL4550" s="458">
        <v>0.2649929507065214</v>
      </c>
      <c r="BM4550" s="468">
        <v>15.35657819976614</v>
      </c>
    </row>
    <row r="4551" spans="12:65" x14ac:dyDescent="0.3">
      <c r="L4551" s="427">
        <v>-699499.09499999997</v>
      </c>
      <c r="BE4551" s="477">
        <v>6338670.5825517625</v>
      </c>
      <c r="BF4551" s="458">
        <v>3.7084439769704769E-2</v>
      </c>
      <c r="BG4551" s="477">
        <v>12164265.894932803</v>
      </c>
      <c r="BH4551" s="458">
        <v>7.6975639857386424E-2</v>
      </c>
      <c r="BI4551" s="477">
        <v>14032910.196877822</v>
      </c>
      <c r="BJ4551" s="458">
        <v>0.1251319259400876</v>
      </c>
      <c r="BK4551" s="477">
        <v>89996446.738026977</v>
      </c>
      <c r="BL4551" s="458">
        <v>0.28069096849902064</v>
      </c>
      <c r="BM4551" s="468">
        <v>12.804722923991068</v>
      </c>
    </row>
    <row r="4552" spans="12:65" x14ac:dyDescent="0.3">
      <c r="L4552" s="427">
        <v>5715156.5498000002</v>
      </c>
      <c r="BE4552" s="477">
        <v>314306.68684555689</v>
      </c>
      <c r="BF4552" s="458">
        <v>4.3110650798241501E-2</v>
      </c>
      <c r="BG4552" s="477">
        <v>11768167.822285315</v>
      </c>
      <c r="BH4552" s="458">
        <v>8.0439083927278388E-2</v>
      </c>
      <c r="BI4552" s="477">
        <v>15510200.92719101</v>
      </c>
      <c r="BJ4552" s="458">
        <v>9.4063790818882609E-2</v>
      </c>
      <c r="BK4552" s="477">
        <v>86163178.040104702</v>
      </c>
      <c r="BL4552" s="458">
        <v>0.27778212946711789</v>
      </c>
      <c r="BM4552" s="468">
        <v>11.923782624605407</v>
      </c>
    </row>
    <row r="4553" spans="12:65" x14ac:dyDescent="0.3">
      <c r="L4553" s="427">
        <v>14431648.3506</v>
      </c>
      <c r="BE4553" s="477">
        <v>9742694.8668769076</v>
      </c>
      <c r="BF4553" s="458">
        <v>3.4857930105140156E-2</v>
      </c>
      <c r="BG4553" s="477">
        <v>9288937.831771411</v>
      </c>
      <c r="BH4553" s="458">
        <v>5.4138667842267063E-2</v>
      </c>
      <c r="BI4553" s="477">
        <v>19797279.857068431</v>
      </c>
      <c r="BJ4553" s="458">
        <v>0.11785263929952494</v>
      </c>
      <c r="BK4553" s="477">
        <v>95451710.801875383</v>
      </c>
      <c r="BL4553" s="458">
        <v>0.28401437810770047</v>
      </c>
      <c r="BM4553" s="468">
        <v>8.2879784691063598</v>
      </c>
    </row>
    <row r="4554" spans="12:65" x14ac:dyDescent="0.3">
      <c r="L4554" s="427">
        <v>-2006339.4524999999</v>
      </c>
      <c r="BE4554" s="477">
        <v>5322604.0397514524</v>
      </c>
      <c r="BF4554" s="458">
        <v>3.8434939923101874E-2</v>
      </c>
      <c r="BG4554" s="477">
        <v>6934250.749022658</v>
      </c>
      <c r="BH4554" s="458">
        <v>5.596426918026598E-2</v>
      </c>
      <c r="BI4554" s="477">
        <v>14011682.596619545</v>
      </c>
      <c r="BJ4554" s="458">
        <v>0.15266562575718212</v>
      </c>
      <c r="BK4554" s="477">
        <v>81004428.387474656</v>
      </c>
      <c r="BL4554" s="458">
        <v>0.25416394105058515</v>
      </c>
      <c r="BM4554" s="468">
        <v>14.388304213078126</v>
      </c>
    </row>
    <row r="4555" spans="12:65" x14ac:dyDescent="0.3">
      <c r="L4555" s="427">
        <v>-8906833.0146999992</v>
      </c>
      <c r="BE4555" s="477">
        <v>2241098.227378842</v>
      </c>
      <c r="BF4555" s="458">
        <v>3.4552041212608575E-2</v>
      </c>
      <c r="BG4555" s="477">
        <v>11638091.502986537</v>
      </c>
      <c r="BH4555" s="458">
        <v>5.4509577003456933E-2</v>
      </c>
      <c r="BI4555" s="477">
        <v>16128378.295506127</v>
      </c>
      <c r="BJ4555" s="458">
        <v>0.11078003818530213</v>
      </c>
      <c r="BK4555" s="477">
        <v>91473203.770442516</v>
      </c>
      <c r="BL4555" s="458">
        <v>0.26104141893721833</v>
      </c>
      <c r="BM4555" s="468">
        <v>6.0637642694854055</v>
      </c>
    </row>
    <row r="4556" spans="12:65" x14ac:dyDescent="0.3">
      <c r="L4556" s="427">
        <v>-5642635.3014000002</v>
      </c>
      <c r="BE4556" s="477">
        <v>4387401.310638844</v>
      </c>
      <c r="BF4556" s="458">
        <v>6.4704330861519388E-2</v>
      </c>
      <c r="BG4556" s="477">
        <v>5944101.8231337732</v>
      </c>
      <c r="BH4556" s="458">
        <v>8.8207272282479154E-2</v>
      </c>
      <c r="BI4556" s="477">
        <v>11433729.075547539</v>
      </c>
      <c r="BJ4556" s="458">
        <v>0.10678946277990464</v>
      </c>
      <c r="BK4556" s="477">
        <v>111797350.44346845</v>
      </c>
      <c r="BL4556" s="458">
        <v>0.25065448004567403</v>
      </c>
      <c r="BM4556" s="468">
        <v>7.5841062555819265</v>
      </c>
    </row>
    <row r="4557" spans="12:65" x14ac:dyDescent="0.3">
      <c r="L4557" s="427">
        <v>2785036.4457999999</v>
      </c>
      <c r="BE4557" s="477">
        <v>-731012.81808745814</v>
      </c>
      <c r="BF4557" s="458">
        <v>4.0101264164988937E-2</v>
      </c>
      <c r="BG4557" s="477">
        <v>6791711.6818308057</v>
      </c>
      <c r="BH4557" s="458">
        <v>6.9998846700197292E-2</v>
      </c>
      <c r="BI4557" s="477">
        <v>16092376.491563192</v>
      </c>
      <c r="BJ4557" s="458">
        <v>0.10295825447285534</v>
      </c>
      <c r="BK4557" s="477">
        <v>89607911.684040084</v>
      </c>
      <c r="BL4557" s="458">
        <v>0.25405257233355116</v>
      </c>
      <c r="BM4557" s="468">
        <v>3.9943809746358614</v>
      </c>
    </row>
    <row r="4558" spans="12:65" x14ac:dyDescent="0.3">
      <c r="L4558" s="427">
        <v>-4607297.7037000004</v>
      </c>
      <c r="BE4558" s="477">
        <v>3102517.0633009109</v>
      </c>
      <c r="BF4558" s="458">
        <v>4.5467024347833895E-2</v>
      </c>
      <c r="BG4558" s="477">
        <v>7835965.7510469202</v>
      </c>
      <c r="BH4558" s="458">
        <v>4.2632736486362566E-2</v>
      </c>
      <c r="BI4558" s="477">
        <v>17986711.347557258</v>
      </c>
      <c r="BJ4558" s="458">
        <v>0.11462407272217146</v>
      </c>
      <c r="BK4558" s="477">
        <v>76558541.970474437</v>
      </c>
      <c r="BL4558" s="458">
        <v>0.25779412666230783</v>
      </c>
      <c r="BM4558" s="468">
        <v>8.4532419707994393</v>
      </c>
    </row>
    <row r="4559" spans="12:65" x14ac:dyDescent="0.3">
      <c r="L4559" s="427">
        <v>25393264.667399999</v>
      </c>
      <c r="BE4559" s="477">
        <v>2951715.3924267618</v>
      </c>
      <c r="BF4559" s="458">
        <v>5.0145614976889519E-2</v>
      </c>
      <c r="BG4559" s="477">
        <v>14466534.637912026</v>
      </c>
      <c r="BH4559" s="458">
        <v>5.4959587357557682E-2</v>
      </c>
      <c r="BI4559" s="477">
        <v>26669400.292502437</v>
      </c>
      <c r="BJ4559" s="458">
        <v>0.12335514000454184</v>
      </c>
      <c r="BK4559" s="477">
        <v>83324879.800600141</v>
      </c>
      <c r="BL4559" s="458">
        <v>0.2761351739051614</v>
      </c>
      <c r="BM4559" s="468">
        <v>8.253046597211446</v>
      </c>
    </row>
    <row r="4560" spans="12:65" x14ac:dyDescent="0.3">
      <c r="L4560" s="427">
        <v>4894350.7844000002</v>
      </c>
      <c r="BE4560" s="477">
        <v>2919089.5402119672</v>
      </c>
      <c r="BF4560" s="458">
        <v>3.9651769495665512E-2</v>
      </c>
      <c r="BG4560" s="477">
        <v>9521094.2628070265</v>
      </c>
      <c r="BH4560" s="458">
        <v>7.2640005405665731E-2</v>
      </c>
      <c r="BI4560" s="477">
        <v>13921895.632383404</v>
      </c>
      <c r="BJ4560" s="458">
        <v>0.10479509698766054</v>
      </c>
      <c r="BK4560" s="477">
        <v>95220570.328645214</v>
      </c>
      <c r="BL4560" s="458">
        <v>0.27003560512276659</v>
      </c>
      <c r="BM4560" s="468">
        <v>10.174741680435371</v>
      </c>
    </row>
    <row r="4561" spans="12:65" x14ac:dyDescent="0.3">
      <c r="L4561" s="427">
        <v>8872210.1887999997</v>
      </c>
      <c r="BE4561" s="477">
        <v>7553108.6863071304</v>
      </c>
      <c r="BF4561" s="458">
        <v>4.0545862032723923E-2</v>
      </c>
      <c r="BG4561" s="477">
        <v>5567844.0261250278</v>
      </c>
      <c r="BH4561" s="458">
        <v>7.2172515209446786E-2</v>
      </c>
      <c r="BI4561" s="477">
        <v>17076011.86496364</v>
      </c>
      <c r="BJ4561" s="458">
        <v>0.11107655685196272</v>
      </c>
      <c r="BK4561" s="477">
        <v>92266605.75597325</v>
      </c>
      <c r="BL4561" s="458">
        <v>0.28706532902914184</v>
      </c>
      <c r="BM4561" s="468">
        <v>8.5306034594603357</v>
      </c>
    </row>
    <row r="4562" spans="12:65" x14ac:dyDescent="0.3">
      <c r="L4562" s="427">
        <v>10661587.084000001</v>
      </c>
      <c r="BE4562" s="477">
        <v>6261216.3299263632</v>
      </c>
      <c r="BF4562" s="458">
        <v>3.1622438681287779E-2</v>
      </c>
      <c r="BG4562" s="477">
        <v>14046489.222616306</v>
      </c>
      <c r="BH4562" s="458">
        <v>7.8704955687757927E-2</v>
      </c>
      <c r="BI4562" s="477">
        <v>21249698.492396701</v>
      </c>
      <c r="BJ4562" s="458">
        <v>0.11021041209920446</v>
      </c>
      <c r="BK4562" s="477">
        <v>96639429.875167653</v>
      </c>
      <c r="BL4562" s="458">
        <v>0.31828211223916036</v>
      </c>
      <c r="BM4562" s="468">
        <v>5.7230494611747709</v>
      </c>
    </row>
    <row r="4563" spans="12:65" x14ac:dyDescent="0.3">
      <c r="L4563" s="427">
        <v>11305126.325300001</v>
      </c>
      <c r="BE4563" s="477">
        <v>4708875.3191587534</v>
      </c>
      <c r="BF4563" s="458">
        <v>2.6582394394749853E-2</v>
      </c>
      <c r="BG4563" s="477">
        <v>11508642.54206655</v>
      </c>
      <c r="BH4563" s="458">
        <v>5.9798943082759681E-2</v>
      </c>
      <c r="BI4563" s="477">
        <v>15757112.998889331</v>
      </c>
      <c r="BJ4563" s="458">
        <v>0.15141424456821695</v>
      </c>
      <c r="BK4563" s="477">
        <v>89561560.740314215</v>
      </c>
      <c r="BL4563" s="458">
        <v>0.26239187102829931</v>
      </c>
      <c r="BM4563" s="468">
        <v>8.5986101275906837</v>
      </c>
    </row>
    <row r="4564" spans="12:65" x14ac:dyDescent="0.3">
      <c r="L4564" s="427">
        <v>18021577.272599999</v>
      </c>
      <c r="BE4564" s="477">
        <v>8062854.6897968901</v>
      </c>
      <c r="BF4564" s="458">
        <v>4.7598023916658905E-2</v>
      </c>
      <c r="BG4564" s="477">
        <v>3754375.6665132409</v>
      </c>
      <c r="BH4564" s="458">
        <v>6.0763948829817283E-2</v>
      </c>
      <c r="BI4564" s="477">
        <v>13559268.310874313</v>
      </c>
      <c r="BJ4564" s="458">
        <v>0.10607596875146363</v>
      </c>
      <c r="BK4564" s="477">
        <v>94628487.251670763</v>
      </c>
      <c r="BL4564" s="458">
        <v>0.26546516548600851</v>
      </c>
      <c r="BM4564" s="468">
        <v>4.4953702123449473</v>
      </c>
    </row>
    <row r="4565" spans="12:65" x14ac:dyDescent="0.3">
      <c r="L4565" s="427">
        <v>19854541.250500001</v>
      </c>
      <c r="BE4565" s="477">
        <v>1942183.9570739605</v>
      </c>
      <c r="BF4565" s="458">
        <v>4.9922736841491622E-2</v>
      </c>
      <c r="BG4565" s="477">
        <v>8630404.6735494044</v>
      </c>
      <c r="BH4565" s="458">
        <v>7.0006395909783192E-2</v>
      </c>
      <c r="BI4565" s="477">
        <v>25528542.146684323</v>
      </c>
      <c r="BJ4565" s="458">
        <v>0.11753644384124096</v>
      </c>
      <c r="BK4565" s="477">
        <v>87618644.337751776</v>
      </c>
      <c r="BL4565" s="458">
        <v>0.28901087585115692</v>
      </c>
      <c r="BM4565" s="468">
        <v>11.092419188665762</v>
      </c>
    </row>
    <row r="4566" spans="12:65" x14ac:dyDescent="0.3">
      <c r="L4566" s="427">
        <v>4516465.8388999999</v>
      </c>
      <c r="BE4566" s="477">
        <v>3568666.0448998138</v>
      </c>
      <c r="BF4566" s="458">
        <v>2.5223529817474777E-2</v>
      </c>
      <c r="BG4566" s="477">
        <v>6131172.0843321653</v>
      </c>
      <c r="BH4566" s="458">
        <v>3.0407852448723238E-2</v>
      </c>
      <c r="BI4566" s="477">
        <v>10024846.570744967</v>
      </c>
      <c r="BJ4566" s="458">
        <v>8.8106846573165587E-2</v>
      </c>
      <c r="BK4566" s="477">
        <v>97386191.123458087</v>
      </c>
      <c r="BL4566" s="458">
        <v>0.25925355840636866</v>
      </c>
      <c r="BM4566" s="468">
        <v>2.4268897357458634</v>
      </c>
    </row>
    <row r="4567" spans="12:65" x14ac:dyDescent="0.3">
      <c r="L4567" s="427">
        <v>3683958.3417000002</v>
      </c>
      <c r="BE4567" s="477">
        <v>6601822.0216464382</v>
      </c>
      <c r="BF4567" s="458">
        <v>3.3574176725793325E-2</v>
      </c>
      <c r="BG4567" s="477">
        <v>3411874.6832536259</v>
      </c>
      <c r="BH4567" s="458">
        <v>5.7723045085741109E-2</v>
      </c>
      <c r="BI4567" s="477">
        <v>20049412.637982011</v>
      </c>
      <c r="BJ4567" s="458">
        <v>0.11740968574911514</v>
      </c>
      <c r="BK4567" s="477">
        <v>98067486.713595659</v>
      </c>
      <c r="BL4567" s="458">
        <v>0.26212786643282215</v>
      </c>
      <c r="BM4567" s="468">
        <v>4.5963341081860145</v>
      </c>
    </row>
    <row r="4568" spans="12:65" x14ac:dyDescent="0.3">
      <c r="L4568" s="427">
        <v>31860486.035</v>
      </c>
      <c r="BE4568" s="477">
        <v>4327865.1412035273</v>
      </c>
      <c r="BF4568" s="458">
        <v>5.6164964466180134E-2</v>
      </c>
      <c r="BG4568" s="477">
        <v>9974281.6189138424</v>
      </c>
      <c r="BH4568" s="458">
        <v>5.6256164524643548E-2</v>
      </c>
      <c r="BI4568" s="477">
        <v>14290340.357979387</v>
      </c>
      <c r="BJ4568" s="458">
        <v>0.12127626027109906</v>
      </c>
      <c r="BK4568" s="477">
        <v>88094190.005872399</v>
      </c>
      <c r="BL4568" s="458">
        <v>0.26876511346654497</v>
      </c>
      <c r="BM4568" s="468">
        <v>4.8519569075805684</v>
      </c>
    </row>
    <row r="4569" spans="12:65" x14ac:dyDescent="0.3">
      <c r="L4569" s="427">
        <v>-565539.85840000003</v>
      </c>
      <c r="BE4569" s="477">
        <v>8586838.7610770892</v>
      </c>
      <c r="BF4569" s="458">
        <v>1.4633269574774177E-2</v>
      </c>
      <c r="BG4569" s="477">
        <v>10595465.83576159</v>
      </c>
      <c r="BH4569" s="458">
        <v>4.4102962680431457E-2</v>
      </c>
      <c r="BI4569" s="477">
        <v>23837634.530382957</v>
      </c>
      <c r="BJ4569" s="458">
        <v>8.3165866094469187E-2</v>
      </c>
      <c r="BK4569" s="477">
        <v>90977208.476141483</v>
      </c>
      <c r="BL4569" s="458">
        <v>0.25608664373435208</v>
      </c>
      <c r="BM4569" s="468">
        <v>5.5991178252288663</v>
      </c>
    </row>
    <row r="4570" spans="12:65" x14ac:dyDescent="0.3">
      <c r="L4570" s="427">
        <v>-10278862.431500001</v>
      </c>
      <c r="BE4570" s="477">
        <v>4702973.5699784486</v>
      </c>
      <c r="BF4570" s="458">
        <v>4.727520979622013E-2</v>
      </c>
      <c r="BG4570" s="477">
        <v>7422499.5560187716</v>
      </c>
      <c r="BH4570" s="458">
        <v>7.2166483781276547E-2</v>
      </c>
      <c r="BI4570" s="477">
        <v>3820127.5431676819</v>
      </c>
      <c r="BJ4570" s="458">
        <v>7.5545157408574815E-2</v>
      </c>
      <c r="BK4570" s="477">
        <v>82316875.644096628</v>
      </c>
      <c r="BL4570" s="458">
        <v>0.27251246073504598</v>
      </c>
      <c r="BM4570" s="468">
        <v>9.8425651059298076</v>
      </c>
    </row>
    <row r="4571" spans="12:65" x14ac:dyDescent="0.3">
      <c r="L4571" s="427">
        <v>15724030.9739</v>
      </c>
      <c r="BE4571" s="477">
        <v>1556359.6730393921</v>
      </c>
      <c r="BF4571" s="458">
        <v>2.2620874099242183E-2</v>
      </c>
      <c r="BG4571" s="477">
        <v>9161229.1122547984</v>
      </c>
      <c r="BH4571" s="458">
        <v>5.2709119434036555E-2</v>
      </c>
      <c r="BI4571" s="477">
        <v>30707134.973420411</v>
      </c>
      <c r="BJ4571" s="458">
        <v>0.12077804502465472</v>
      </c>
      <c r="BK4571" s="477">
        <v>90462055.444645181</v>
      </c>
      <c r="BL4571" s="458">
        <v>0.25527803452315467</v>
      </c>
      <c r="BM4571" s="468">
        <v>11.965085276323743</v>
      </c>
    </row>
    <row r="4572" spans="12:65" x14ac:dyDescent="0.3">
      <c r="L4572" s="427">
        <v>6648829.7364999996</v>
      </c>
      <c r="BE4572" s="477">
        <v>8662572.6215183232</v>
      </c>
      <c r="BF4572" s="458">
        <v>2.9706850809508412E-2</v>
      </c>
      <c r="BG4572" s="477">
        <v>10703051.971970113</v>
      </c>
      <c r="BH4572" s="458">
        <v>5.3405825905836313E-2</v>
      </c>
      <c r="BI4572" s="477">
        <v>19612165.933096062</v>
      </c>
      <c r="BJ4572" s="458">
        <v>0.10806164902670279</v>
      </c>
      <c r="BK4572" s="477">
        <v>99578911.809421763</v>
      </c>
      <c r="BL4572" s="458">
        <v>0.2796945969526945</v>
      </c>
      <c r="BM4572" s="468">
        <v>12.188590699297027</v>
      </c>
    </row>
    <row r="4573" spans="12:65" x14ac:dyDescent="0.3">
      <c r="L4573" s="427">
        <v>49148.899899999997</v>
      </c>
      <c r="BE4573" s="477">
        <v>5517421.5793793192</v>
      </c>
      <c r="BF4573" s="458">
        <v>3.9640403461504103E-2</v>
      </c>
      <c r="BG4573" s="477">
        <v>8140448.8573300214</v>
      </c>
      <c r="BH4573" s="458">
        <v>7.8728862365550656E-2</v>
      </c>
      <c r="BI4573" s="477">
        <v>20966281.808008138</v>
      </c>
      <c r="BJ4573" s="458">
        <v>8.7464625964655651E-2</v>
      </c>
      <c r="BK4573" s="477">
        <v>83799672.987077728</v>
      </c>
      <c r="BL4573" s="458">
        <v>0.26685356641277869</v>
      </c>
      <c r="BM4573" s="468">
        <v>8.5279789850885876</v>
      </c>
    </row>
    <row r="4574" spans="12:65" x14ac:dyDescent="0.3">
      <c r="L4574" s="427">
        <v>58597.127</v>
      </c>
      <c r="BE4574" s="477">
        <v>5738702.0825238926</v>
      </c>
      <c r="BF4574" s="458">
        <v>3.4231138636464653E-2</v>
      </c>
      <c r="BG4574" s="477">
        <v>486394.75025470054</v>
      </c>
      <c r="BH4574" s="458">
        <v>7.5657524562547707E-2</v>
      </c>
      <c r="BI4574" s="477">
        <v>17159382.290933855</v>
      </c>
      <c r="BJ4574" s="458">
        <v>0.11497182401137906</v>
      </c>
      <c r="BK4574" s="477">
        <v>89630679.558609799</v>
      </c>
      <c r="BL4574" s="458">
        <v>0.27618372341172082</v>
      </c>
      <c r="BM4574" s="468">
        <v>11.861187776792505</v>
      </c>
    </row>
    <row r="4575" spans="12:65" x14ac:dyDescent="0.3">
      <c r="L4575" s="427">
        <v>14384568.656199999</v>
      </c>
      <c r="BE4575" s="477">
        <v>3349469.2901341571</v>
      </c>
      <c r="BF4575" s="458">
        <v>4.2203008790038687E-2</v>
      </c>
      <c r="BG4575" s="477">
        <v>9808639.5604525469</v>
      </c>
      <c r="BH4575" s="458">
        <v>4.9656804266280608E-2</v>
      </c>
      <c r="BI4575" s="477">
        <v>20668496.174186237</v>
      </c>
      <c r="BJ4575" s="458">
        <v>0.10930903579537921</v>
      </c>
      <c r="BK4575" s="477">
        <v>86858677.071610332</v>
      </c>
      <c r="BL4575" s="458">
        <v>0.26604098532773168</v>
      </c>
      <c r="BM4575" s="468">
        <v>5.25627698649512</v>
      </c>
    </row>
    <row r="4576" spans="12:65" x14ac:dyDescent="0.3">
      <c r="L4576" s="427">
        <v>16653626.995200001</v>
      </c>
      <c r="BE4576" s="477">
        <v>5604515.5526769999</v>
      </c>
      <c r="BF4576" s="458">
        <v>0.11435471161672006</v>
      </c>
      <c r="BG4576" s="477">
        <v>8388075.2586022876</v>
      </c>
      <c r="BH4576" s="458">
        <v>7.6349229442248756E-2</v>
      </c>
      <c r="BI4576" s="477">
        <v>17289767.049464654</v>
      </c>
      <c r="BJ4576" s="458">
        <v>9.9598646191370266E-2</v>
      </c>
      <c r="BK4576" s="477">
        <v>91176469.267368674</v>
      </c>
      <c r="BL4576" s="458">
        <v>0.27331948982527021</v>
      </c>
      <c r="BM4576" s="468">
        <v>7.1956708205194539</v>
      </c>
    </row>
    <row r="4577" spans="12:65" x14ac:dyDescent="0.3">
      <c r="L4577" s="427">
        <v>2272982.5787</v>
      </c>
      <c r="BE4577" s="477">
        <v>8584461.5360550508</v>
      </c>
      <c r="BF4577" s="458">
        <v>3.2719436570098015E-2</v>
      </c>
      <c r="BG4577" s="477">
        <v>14726021.669000259</v>
      </c>
      <c r="BH4577" s="458">
        <v>6.9606956354435923E-2</v>
      </c>
      <c r="BI4577" s="477">
        <v>20299278.929266177</v>
      </c>
      <c r="BJ4577" s="458">
        <v>0.12467286841782421</v>
      </c>
      <c r="BK4577" s="477">
        <v>82916525.206870794</v>
      </c>
      <c r="BL4577" s="458">
        <v>0.26449541812087629</v>
      </c>
      <c r="BM4577" s="468">
        <v>7.6030151800400763</v>
      </c>
    </row>
    <row r="4578" spans="12:65" x14ac:dyDescent="0.3">
      <c r="L4578" s="427">
        <v>14735675.217399999</v>
      </c>
      <c r="BE4578" s="477">
        <v>2087874.6662654865</v>
      </c>
      <c r="BF4578" s="458">
        <v>6.0075647905891483E-2</v>
      </c>
      <c r="BG4578" s="477">
        <v>2810773.6472177911</v>
      </c>
      <c r="BH4578" s="458">
        <v>7.6319234134849534E-2</v>
      </c>
      <c r="BI4578" s="477">
        <v>19807266.606496725</v>
      </c>
      <c r="BJ4578" s="458">
        <v>0.10947878749301676</v>
      </c>
      <c r="BK4578" s="477">
        <v>95506660.797400594</v>
      </c>
      <c r="BL4578" s="458">
        <v>0.27341023018638588</v>
      </c>
      <c r="BM4578" s="468">
        <v>7.1756496898534055</v>
      </c>
    </row>
    <row r="4579" spans="12:65" x14ac:dyDescent="0.3">
      <c r="L4579" s="427">
        <v>9289734.5459000003</v>
      </c>
      <c r="BE4579" s="477">
        <v>3598725.3147227159</v>
      </c>
      <c r="BF4579" s="458">
        <v>4.9134820566628878E-2</v>
      </c>
      <c r="BG4579" s="477">
        <v>6975957.3009171775</v>
      </c>
      <c r="BH4579" s="458">
        <v>7.6758553840037269E-2</v>
      </c>
      <c r="BI4579" s="477">
        <v>17413431.533476267</v>
      </c>
      <c r="BJ4579" s="458">
        <v>9.2650982749105326E-2</v>
      </c>
      <c r="BK4579" s="477">
        <v>80795937.116027996</v>
      </c>
      <c r="BL4579" s="458">
        <v>0.27319969900512309</v>
      </c>
      <c r="BM4579" s="468">
        <v>7.8233213801446757</v>
      </c>
    </row>
    <row r="4580" spans="12:65" x14ac:dyDescent="0.3">
      <c r="L4580" s="427">
        <v>10191468.2859</v>
      </c>
      <c r="BE4580" s="477">
        <v>7408495.8979139449</v>
      </c>
      <c r="BF4580" s="458">
        <v>3.9169877689584132E-2</v>
      </c>
      <c r="BG4580" s="477">
        <v>11725161.098409874</v>
      </c>
      <c r="BH4580" s="458">
        <v>5.9309814592007015E-2</v>
      </c>
      <c r="BI4580" s="477">
        <v>15386664.009533722</v>
      </c>
      <c r="BJ4580" s="458">
        <v>0.10413622102690567</v>
      </c>
      <c r="BK4580" s="477">
        <v>84227620.58637321</v>
      </c>
      <c r="BL4580" s="458">
        <v>0.27700533155818086</v>
      </c>
      <c r="BM4580" s="468">
        <v>6.3082295890210025</v>
      </c>
    </row>
    <row r="4581" spans="12:65" x14ac:dyDescent="0.3">
      <c r="L4581" s="427">
        <v>2649051.8327000001</v>
      </c>
      <c r="BE4581" s="477">
        <v>-1320757.7764363957</v>
      </c>
      <c r="BF4581" s="458">
        <v>4.8075779946507025E-2</v>
      </c>
      <c r="BG4581" s="477">
        <v>2253038.7484169565</v>
      </c>
      <c r="BH4581" s="458">
        <v>7.0948818739044794E-2</v>
      </c>
      <c r="BI4581" s="477">
        <v>14394316.11194877</v>
      </c>
      <c r="BJ4581" s="458">
        <v>0.14399832240113697</v>
      </c>
      <c r="BK4581" s="477">
        <v>96511199.570804566</v>
      </c>
      <c r="BL4581" s="458">
        <v>0.25466665306145475</v>
      </c>
      <c r="BM4581" s="468">
        <v>5.1091590889811371</v>
      </c>
    </row>
    <row r="4582" spans="12:65" x14ac:dyDescent="0.3">
      <c r="L4582" s="427">
        <v>3779700.9844999998</v>
      </c>
      <c r="BE4582" s="477">
        <v>7613244.1839929065</v>
      </c>
      <c r="BF4582" s="458">
        <v>7.8804961343211355E-2</v>
      </c>
      <c r="BG4582" s="477">
        <v>13900077.551002236</v>
      </c>
      <c r="BH4582" s="458">
        <v>9.2469297612565171E-2</v>
      </c>
      <c r="BI4582" s="477">
        <v>16033733.086711669</v>
      </c>
      <c r="BJ4582" s="458">
        <v>0.10958092331139269</v>
      </c>
      <c r="BK4582" s="477">
        <v>72771386.497487411</v>
      </c>
      <c r="BL4582" s="458">
        <v>0.26613798423146195</v>
      </c>
      <c r="BM4582" s="468">
        <v>5.2500329022404415</v>
      </c>
    </row>
    <row r="4583" spans="12:65" x14ac:dyDescent="0.3">
      <c r="L4583" s="427">
        <v>17761054.2159</v>
      </c>
      <c r="BE4583" s="477">
        <v>5156004.5569740664</v>
      </c>
      <c r="BF4583" s="458">
        <v>4.7342547419083836E-2</v>
      </c>
      <c r="BG4583" s="477">
        <v>4583799.3172608521</v>
      </c>
      <c r="BH4583" s="458">
        <v>4.4008548699788319E-2</v>
      </c>
      <c r="BI4583" s="477">
        <v>12790413.184163377</v>
      </c>
      <c r="BJ4583" s="458">
        <v>0.12316703238835625</v>
      </c>
      <c r="BK4583" s="477">
        <v>86809608.500965163</v>
      </c>
      <c r="BL4583" s="458">
        <v>0.27194517658234219</v>
      </c>
      <c r="BM4583" s="468">
        <v>11.072038899004262</v>
      </c>
    </row>
    <row r="4584" spans="12:65" x14ac:dyDescent="0.3">
      <c r="L4584" s="427">
        <v>9498844.2755999994</v>
      </c>
      <c r="BE4584" s="477">
        <v>2547360.8621841073</v>
      </c>
      <c r="BF4584" s="458">
        <v>6.8607154083530242E-2</v>
      </c>
      <c r="BG4584" s="477">
        <v>6920994.7743572528</v>
      </c>
      <c r="BH4584" s="458">
        <v>8.7945232336031687E-2</v>
      </c>
      <c r="BI4584" s="477">
        <v>18382756.153577842</v>
      </c>
      <c r="BJ4584" s="458">
        <v>0.12339552851804392</v>
      </c>
      <c r="BK4584" s="477">
        <v>101478483.03145796</v>
      </c>
      <c r="BL4584" s="458">
        <v>0.27328137216881143</v>
      </c>
      <c r="BM4584" s="468">
        <v>0.65336576707977301</v>
      </c>
    </row>
    <row r="4585" spans="12:65" x14ac:dyDescent="0.3">
      <c r="L4585" s="427">
        <v>-3064881.7738999999</v>
      </c>
      <c r="BE4585" s="477">
        <v>4983727.6181086134</v>
      </c>
      <c r="BF4585" s="458">
        <v>2.5090493313062012E-2</v>
      </c>
      <c r="BG4585" s="477">
        <v>8221861.921359038</v>
      </c>
      <c r="BH4585" s="458">
        <v>7.0956963157886355E-2</v>
      </c>
      <c r="BI4585" s="477">
        <v>5939775.0046783183</v>
      </c>
      <c r="BJ4585" s="458">
        <v>0.10339397583806531</v>
      </c>
      <c r="BK4585" s="477">
        <v>82976381.932080597</v>
      </c>
      <c r="BL4585" s="458">
        <v>0.25314445672098063</v>
      </c>
      <c r="BM4585" s="468">
        <v>20.45173343978685</v>
      </c>
    </row>
    <row r="4586" spans="12:65" x14ac:dyDescent="0.3">
      <c r="L4586" s="427">
        <v>18667505.771200001</v>
      </c>
      <c r="BE4586" s="477">
        <v>5271669.7432083013</v>
      </c>
      <c r="BF4586" s="458">
        <v>4.1418231658818749E-2</v>
      </c>
      <c r="BG4586" s="477">
        <v>6079055.357657549</v>
      </c>
      <c r="BH4586" s="458">
        <v>8.2955720611388228E-2</v>
      </c>
      <c r="BI4586" s="477">
        <v>12513741.83383566</v>
      </c>
      <c r="BJ4586" s="458">
        <v>0.10155935919801995</v>
      </c>
      <c r="BK4586" s="477">
        <v>88225594.897145286</v>
      </c>
      <c r="BL4586" s="458">
        <v>0.26910891492982048</v>
      </c>
      <c r="BM4586" s="468">
        <v>7.0287702668332299</v>
      </c>
    </row>
    <row r="4587" spans="12:65" x14ac:dyDescent="0.3">
      <c r="L4587" s="427">
        <v>6476666.8293000003</v>
      </c>
      <c r="BE4587" s="477">
        <v>7659277.6808797494</v>
      </c>
      <c r="BF4587" s="458">
        <v>3.7100742469202252E-2</v>
      </c>
      <c r="BG4587" s="477">
        <v>7433924.3123724032</v>
      </c>
      <c r="BH4587" s="458">
        <v>5.1558273278367484E-2</v>
      </c>
      <c r="BI4587" s="477">
        <v>17462305.310971357</v>
      </c>
      <c r="BJ4587" s="458">
        <v>0.10777605096442189</v>
      </c>
      <c r="BK4587" s="477">
        <v>89332270.8350541</v>
      </c>
      <c r="BL4587" s="458">
        <v>0.27326479970429163</v>
      </c>
      <c r="BM4587" s="468">
        <v>7.5349569206625961</v>
      </c>
    </row>
    <row r="4588" spans="12:65" x14ac:dyDescent="0.3">
      <c r="L4588" s="427">
        <v>2987777.0660000001</v>
      </c>
      <c r="BE4588" s="477">
        <v>5249625.3317227131</v>
      </c>
      <c r="BF4588" s="458">
        <v>4.5218573754460589E-2</v>
      </c>
      <c r="BG4588" s="477">
        <v>9655343.6963499114</v>
      </c>
      <c r="BH4588" s="458">
        <v>0.10249044070684143</v>
      </c>
      <c r="BI4588" s="477">
        <v>16039876.414599834</v>
      </c>
      <c r="BJ4588" s="458">
        <v>8.3002198538510985E-2</v>
      </c>
      <c r="BK4588" s="477">
        <v>91767554.209544897</v>
      </c>
      <c r="BL4588" s="458">
        <v>0.25725051381160724</v>
      </c>
      <c r="BM4588" s="468">
        <v>5.7861893311366623</v>
      </c>
    </row>
    <row r="4589" spans="12:65" x14ac:dyDescent="0.3">
      <c r="L4589" s="427">
        <v>1073082.5374</v>
      </c>
      <c r="BE4589" s="477">
        <v>8952833.268273171</v>
      </c>
      <c r="BF4589" s="458">
        <v>4.2670304850472185E-2</v>
      </c>
      <c r="BG4589" s="477">
        <v>4852910.3758401899</v>
      </c>
      <c r="BH4589" s="458">
        <v>6.3984469559238644E-2</v>
      </c>
      <c r="BI4589" s="477">
        <v>13742792.010723304</v>
      </c>
      <c r="BJ4589" s="458">
        <v>0.10372487305002775</v>
      </c>
      <c r="BK4589" s="477">
        <v>110968814.1036258</v>
      </c>
      <c r="BL4589" s="458">
        <v>0.2660476196968462</v>
      </c>
      <c r="BM4589" s="468">
        <v>9.4573917736141109</v>
      </c>
    </row>
    <row r="4590" spans="12:65" x14ac:dyDescent="0.3">
      <c r="L4590" s="427">
        <v>12743654.0451</v>
      </c>
      <c r="BE4590" s="477">
        <v>1991547.8781069969</v>
      </c>
      <c r="BF4590" s="458">
        <v>2.9217883105470799E-2</v>
      </c>
      <c r="BG4590" s="477">
        <v>14947932.03279998</v>
      </c>
      <c r="BH4590" s="458">
        <v>5.2105927965261367E-2</v>
      </c>
      <c r="BI4590" s="477">
        <v>27810209.179022789</v>
      </c>
      <c r="BJ4590" s="458">
        <v>8.044351728652166E-2</v>
      </c>
      <c r="BK4590" s="477">
        <v>92814439.184786528</v>
      </c>
      <c r="BL4590" s="458">
        <v>0.27936341894515748</v>
      </c>
      <c r="BM4590" s="468">
        <v>8.2647269258272047</v>
      </c>
    </row>
    <row r="4591" spans="12:65" x14ac:dyDescent="0.3">
      <c r="L4591" s="427">
        <v>-4750112.7971000001</v>
      </c>
      <c r="BE4591" s="477">
        <v>4846304.6522726668</v>
      </c>
      <c r="BF4591" s="458">
        <v>4.0089384818389862E-2</v>
      </c>
      <c r="BG4591" s="477">
        <v>7937006.3819185924</v>
      </c>
      <c r="BH4591" s="458">
        <v>6.4571793930667143E-2</v>
      </c>
      <c r="BI4591" s="477">
        <v>22122600.779042002</v>
      </c>
      <c r="BJ4591" s="458">
        <v>0.12131531654121708</v>
      </c>
      <c r="BK4591" s="477">
        <v>85468908.162618756</v>
      </c>
      <c r="BL4591" s="458">
        <v>0.25808358990836355</v>
      </c>
      <c r="BM4591" s="468">
        <v>5.599349658756072</v>
      </c>
    </row>
    <row r="4592" spans="12:65" x14ac:dyDescent="0.3">
      <c r="L4592" s="427">
        <v>1119996.9298</v>
      </c>
      <c r="BE4592" s="477">
        <v>4749075.2249292405</v>
      </c>
      <c r="BF4592" s="458">
        <v>3.4678776401573908E-2</v>
      </c>
      <c r="BG4592" s="477">
        <v>9606695.5697928034</v>
      </c>
      <c r="BH4592" s="458">
        <v>3.8503235896458321E-2</v>
      </c>
      <c r="BI4592" s="477">
        <v>17055757.577011358</v>
      </c>
      <c r="BJ4592" s="458">
        <v>0.11601839563563598</v>
      </c>
      <c r="BK4592" s="477">
        <v>86102825.60376586</v>
      </c>
      <c r="BL4592" s="458">
        <v>0.25139471076861586</v>
      </c>
      <c r="BM4592" s="468">
        <v>8.1908077992085531</v>
      </c>
    </row>
    <row r="4593" spans="12:65" x14ac:dyDescent="0.3">
      <c r="L4593" s="427">
        <v>16238848.931</v>
      </c>
      <c r="BE4593" s="477">
        <v>6713023.2496066196</v>
      </c>
      <c r="BF4593" s="458">
        <v>2.7258410833523206E-2</v>
      </c>
      <c r="BG4593" s="477">
        <v>11572970.592393853</v>
      </c>
      <c r="BH4593" s="458">
        <v>4.7751905567303687E-2</v>
      </c>
      <c r="BI4593" s="477">
        <v>12103730.616282022</v>
      </c>
      <c r="BJ4593" s="458">
        <v>0.12683247890630334</v>
      </c>
      <c r="BK4593" s="477">
        <v>80730692.300404981</v>
      </c>
      <c r="BL4593" s="458">
        <v>0.26685924614214462</v>
      </c>
      <c r="BM4593" s="468">
        <v>6.2184430744660943</v>
      </c>
    </row>
    <row r="4594" spans="12:65" x14ac:dyDescent="0.3">
      <c r="L4594" s="427">
        <v>18272639.316</v>
      </c>
      <c r="BE4594" s="477">
        <v>4442008.3161405781</v>
      </c>
      <c r="BF4594" s="458">
        <v>4.8514297789618688E-2</v>
      </c>
      <c r="BG4594" s="477">
        <v>13607368.405407757</v>
      </c>
      <c r="BH4594" s="458">
        <v>7.1114333609795688E-2</v>
      </c>
      <c r="BI4594" s="477">
        <v>24015602.928380873</v>
      </c>
      <c r="BJ4594" s="458">
        <v>0.13837483352725188</v>
      </c>
      <c r="BK4594" s="477">
        <v>88808151.101357192</v>
      </c>
      <c r="BL4594" s="458">
        <v>0.25411789732488521</v>
      </c>
      <c r="BM4594" s="468">
        <v>5.8382295295851776</v>
      </c>
    </row>
    <row r="4595" spans="12:65" x14ac:dyDescent="0.3">
      <c r="L4595" s="427">
        <v>-4076888.3160000001</v>
      </c>
      <c r="BE4595" s="477">
        <v>5593857.4191819727</v>
      </c>
      <c r="BF4595" s="458">
        <v>3.4197944918353151E-2</v>
      </c>
      <c r="BG4595" s="477">
        <v>14941118.760549041</v>
      </c>
      <c r="BH4595" s="458">
        <v>3.9099787641369455E-2</v>
      </c>
      <c r="BI4595" s="477">
        <v>16695812.556184072</v>
      </c>
      <c r="BJ4595" s="458">
        <v>0.13275412398607545</v>
      </c>
      <c r="BK4595" s="477">
        <v>78979221.652830914</v>
      </c>
      <c r="BL4595" s="458">
        <v>0.26465022152340389</v>
      </c>
      <c r="BM4595" s="468">
        <v>9.0371318199449533</v>
      </c>
    </row>
    <row r="4596" spans="12:65" x14ac:dyDescent="0.3">
      <c r="L4596" s="427">
        <v>16976540.6248</v>
      </c>
      <c r="BE4596" s="477">
        <v>-550135.05286455411</v>
      </c>
      <c r="BF4596" s="458">
        <v>4.6080577449667537E-2</v>
      </c>
      <c r="BG4596" s="477">
        <v>8055789.1170012821</v>
      </c>
      <c r="BH4596" s="458">
        <v>5.6724100777339137E-2</v>
      </c>
      <c r="BI4596" s="477">
        <v>17404564.353849933</v>
      </c>
      <c r="BJ4596" s="458">
        <v>0.11526496966655086</v>
      </c>
      <c r="BK4596" s="477">
        <v>86144176.096179381</v>
      </c>
      <c r="BL4596" s="458">
        <v>0.27614174628181254</v>
      </c>
      <c r="BM4596" s="468">
        <v>8.0146165326203818</v>
      </c>
    </row>
    <row r="4597" spans="12:65" x14ac:dyDescent="0.3">
      <c r="L4597" s="427">
        <v>-3874347.8445000001</v>
      </c>
      <c r="BE4597" s="477">
        <v>5523584.084144582</v>
      </c>
      <c r="BF4597" s="458">
        <v>4.9752776901339946E-2</v>
      </c>
      <c r="BG4597" s="477">
        <v>14581624.435711734</v>
      </c>
      <c r="BH4597" s="458">
        <v>4.3628057830206624E-2</v>
      </c>
      <c r="BI4597" s="477">
        <v>7886814.9867460076</v>
      </c>
      <c r="BJ4597" s="458">
        <v>0.1457867684874099</v>
      </c>
      <c r="BK4597" s="477">
        <v>81114614.145541742</v>
      </c>
      <c r="BL4597" s="458">
        <v>0.25603999439444802</v>
      </c>
      <c r="BM4597" s="468">
        <v>3.3602338862626819</v>
      </c>
    </row>
    <row r="4598" spans="12:65" x14ac:dyDescent="0.3">
      <c r="L4598" s="427">
        <v>12596080.644200001</v>
      </c>
      <c r="BE4598" s="477">
        <v>5523690.1839452507</v>
      </c>
      <c r="BF4598" s="458">
        <v>2.9603496165342191E-2</v>
      </c>
      <c r="BG4598" s="477">
        <v>10904956.470872268</v>
      </c>
      <c r="BH4598" s="458">
        <v>0.10966047754458907</v>
      </c>
      <c r="BI4598" s="477">
        <v>16324126.310102966</v>
      </c>
      <c r="BJ4598" s="458">
        <v>0.13130621341241677</v>
      </c>
      <c r="BK4598" s="477">
        <v>84304766.195114836</v>
      </c>
      <c r="BL4598" s="458">
        <v>0.27004289472841481</v>
      </c>
      <c r="BM4598" s="468">
        <v>7.9345350763053863</v>
      </c>
    </row>
    <row r="4599" spans="12:65" x14ac:dyDescent="0.3">
      <c r="L4599" s="427">
        <v>-3634853.0773</v>
      </c>
      <c r="BE4599" s="477">
        <v>45085.494053999369</v>
      </c>
      <c r="BF4599" s="458">
        <v>2.624474165350632E-2</v>
      </c>
      <c r="BG4599" s="477">
        <v>12850056.913069481</v>
      </c>
      <c r="BH4599" s="458">
        <v>7.2578706547482774E-2</v>
      </c>
      <c r="BI4599" s="477">
        <v>15710588.472854022</v>
      </c>
      <c r="BJ4599" s="458">
        <v>0.17183150268854264</v>
      </c>
      <c r="BK4599" s="477">
        <v>93215638.854075909</v>
      </c>
      <c r="BL4599" s="458">
        <v>0.27956950023684435</v>
      </c>
      <c r="BM4599" s="468">
        <v>10.300970139238331</v>
      </c>
    </row>
    <row r="4600" spans="12:65" x14ac:dyDescent="0.3">
      <c r="L4600" s="427">
        <v>10309205.0919</v>
      </c>
      <c r="BE4600" s="477">
        <v>6510950.1962833367</v>
      </c>
      <c r="BF4600" s="458">
        <v>2.9104839542233973E-2</v>
      </c>
      <c r="BG4600" s="477">
        <v>16441497.399251316</v>
      </c>
      <c r="BH4600" s="458">
        <v>5.6421090428241838E-2</v>
      </c>
      <c r="BI4600" s="477">
        <v>26463067.787870154</v>
      </c>
      <c r="BJ4600" s="458">
        <v>8.9710157837271876E-2</v>
      </c>
      <c r="BK4600" s="477">
        <v>75614618.405317098</v>
      </c>
      <c r="BL4600" s="458">
        <v>0.27032785792310143</v>
      </c>
      <c r="BM4600" s="468">
        <v>5.6718309983938227</v>
      </c>
    </row>
    <row r="4601" spans="12:65" x14ac:dyDescent="0.3">
      <c r="L4601" s="427">
        <v>14226989.3783</v>
      </c>
      <c r="BE4601" s="477">
        <v>5445587.5645180074</v>
      </c>
      <c r="BF4601" s="458">
        <v>2.362777658222881E-2</v>
      </c>
      <c r="BG4601" s="477">
        <v>15959182.810438178</v>
      </c>
      <c r="BH4601" s="458">
        <v>5.3573182003281206E-2</v>
      </c>
      <c r="BI4601" s="477">
        <v>20448770.934348285</v>
      </c>
      <c r="BJ4601" s="458">
        <v>9.4696966770815516E-2</v>
      </c>
      <c r="BK4601" s="477">
        <v>90993211.984975308</v>
      </c>
      <c r="BL4601" s="458">
        <v>0.28088835822811209</v>
      </c>
      <c r="BM4601" s="468">
        <v>7.4355681077509788</v>
      </c>
    </row>
    <row r="4602" spans="12:65" x14ac:dyDescent="0.3">
      <c r="L4602" s="427">
        <v>15402247.6205</v>
      </c>
      <c r="BE4602" s="477">
        <v>4904099.1970689138</v>
      </c>
      <c r="BF4602" s="458">
        <v>4.6132078140385113E-2</v>
      </c>
      <c r="BG4602" s="477">
        <v>5151545.8002619818</v>
      </c>
      <c r="BH4602" s="458">
        <v>7.3430482360565152E-2</v>
      </c>
      <c r="BI4602" s="477">
        <v>11437420.171924958</v>
      </c>
      <c r="BJ4602" s="458">
        <v>0.10040727687482964</v>
      </c>
      <c r="BK4602" s="477">
        <v>103313279.6527856</v>
      </c>
      <c r="BL4602" s="458">
        <v>0.27164207606610291</v>
      </c>
      <c r="BM4602" s="468">
        <v>8.281011498548315</v>
      </c>
    </row>
    <row r="4603" spans="12:65" x14ac:dyDescent="0.3">
      <c r="L4603" s="427">
        <v>22488134.614500001</v>
      </c>
      <c r="BE4603" s="477">
        <v>7723079.2301179441</v>
      </c>
      <c r="BF4603" s="458">
        <v>2.9994960293008299E-2</v>
      </c>
      <c r="BG4603" s="477">
        <v>13306174.876907758</v>
      </c>
      <c r="BH4603" s="458">
        <v>5.9220476079013595E-2</v>
      </c>
      <c r="BI4603" s="477">
        <v>23916121.490878854</v>
      </c>
      <c r="BJ4603" s="458">
        <v>0.10560479085890884</v>
      </c>
      <c r="BK4603" s="477">
        <v>82239371.895092756</v>
      </c>
      <c r="BL4603" s="458">
        <v>0.29129345071571877</v>
      </c>
      <c r="BM4603" s="468">
        <v>4.1026504344684227</v>
      </c>
    </row>
    <row r="4604" spans="12:65" x14ac:dyDescent="0.3">
      <c r="L4604" s="427">
        <v>13193670.0962</v>
      </c>
      <c r="BE4604" s="477">
        <v>5562004.4129743055</v>
      </c>
      <c r="BF4604" s="458">
        <v>3.4970041946263075E-2</v>
      </c>
      <c r="BG4604" s="477">
        <v>7023753.7029013801</v>
      </c>
      <c r="BH4604" s="458">
        <v>9.8105555010256973E-2</v>
      </c>
      <c r="BI4604" s="477">
        <v>13488481.22247207</v>
      </c>
      <c r="BJ4604" s="458">
        <v>0.11706129622993799</v>
      </c>
      <c r="BK4604" s="477">
        <v>95793324.095060319</v>
      </c>
      <c r="BL4604" s="458">
        <v>0.26760317936850875</v>
      </c>
      <c r="BM4604" s="468">
        <v>7.9120887091600371</v>
      </c>
    </row>
    <row r="4605" spans="12:65" x14ac:dyDescent="0.3">
      <c r="L4605" s="427">
        <v>9588260.5493999999</v>
      </c>
      <c r="BE4605" s="477">
        <v>8507478.1407939103</v>
      </c>
      <c r="BF4605" s="458">
        <v>6.1336617458480402E-2</v>
      </c>
      <c r="BG4605" s="477">
        <v>9982773.8608878776</v>
      </c>
      <c r="BH4605" s="458">
        <v>4.9191827953921408E-2</v>
      </c>
      <c r="BI4605" s="477">
        <v>12998051.910248376</v>
      </c>
      <c r="BJ4605" s="458">
        <v>0.11104780550746107</v>
      </c>
      <c r="BK4605" s="477">
        <v>92403048.549632072</v>
      </c>
      <c r="BL4605" s="458">
        <v>0.27379496383571889</v>
      </c>
      <c r="BM4605" s="468">
        <v>7.8709725699241293</v>
      </c>
    </row>
    <row r="4606" spans="12:65" x14ac:dyDescent="0.3">
      <c r="L4606" s="427">
        <v>-5057958.1610000003</v>
      </c>
      <c r="BE4606" s="477">
        <v>5505923.4480189839</v>
      </c>
      <c r="BF4606" s="458">
        <v>3.446992355498546E-2</v>
      </c>
      <c r="BG4606" s="477">
        <v>6077016.5748659847</v>
      </c>
      <c r="BH4606" s="458">
        <v>5.2619670402634933E-2</v>
      </c>
      <c r="BI4606" s="477">
        <v>11362808.670994898</v>
      </c>
      <c r="BJ4606" s="458">
        <v>0.11440670656906815</v>
      </c>
      <c r="BK4606" s="477">
        <v>86872035.223894566</v>
      </c>
      <c r="BL4606" s="458">
        <v>0.2699338555997064</v>
      </c>
      <c r="BM4606" s="468">
        <v>7.8833487859801235</v>
      </c>
    </row>
    <row r="4607" spans="12:65" x14ac:dyDescent="0.3">
      <c r="L4607" s="427">
        <v>37756627.434600003</v>
      </c>
      <c r="BE4607" s="477">
        <v>4132728.244073044</v>
      </c>
      <c r="BF4607" s="458">
        <v>3.1590362994631471E-2</v>
      </c>
      <c r="BG4607" s="477">
        <v>977999.3933084741</v>
      </c>
      <c r="BH4607" s="458">
        <v>4.5813190824146144E-2</v>
      </c>
      <c r="BI4607" s="477">
        <v>15406312.670012286</v>
      </c>
      <c r="BJ4607" s="458">
        <v>0.11378283294824332</v>
      </c>
      <c r="BK4607" s="477">
        <v>72856397.101241618</v>
      </c>
      <c r="BL4607" s="458">
        <v>0.28327732773404257</v>
      </c>
      <c r="BM4607" s="468">
        <v>5.9994013756803071</v>
      </c>
    </row>
    <row r="4608" spans="12:65" x14ac:dyDescent="0.3">
      <c r="L4608" s="427">
        <v>13452507.5723</v>
      </c>
      <c r="BE4608" s="477">
        <v>8301266.4181824448</v>
      </c>
      <c r="BF4608" s="458">
        <v>5.0878429359506594E-2</v>
      </c>
      <c r="BG4608" s="477">
        <v>6700342.2660145219</v>
      </c>
      <c r="BH4608" s="458">
        <v>7.9584049496318698E-2</v>
      </c>
      <c r="BI4608" s="477">
        <v>15367827.362619542</v>
      </c>
      <c r="BJ4608" s="458">
        <v>0.14116657066804983</v>
      </c>
      <c r="BK4608" s="477">
        <v>92749876.004657567</v>
      </c>
      <c r="BL4608" s="458">
        <v>0.27371266448700715</v>
      </c>
      <c r="BM4608" s="468">
        <v>5.3010158320278116</v>
      </c>
    </row>
    <row r="4609" spans="12:65" x14ac:dyDescent="0.3">
      <c r="L4609" s="427">
        <v>-4291845.8969000001</v>
      </c>
      <c r="BE4609" s="477">
        <v>9480296.2381627969</v>
      </c>
      <c r="BF4609" s="458">
        <v>2.7050190605940827E-2</v>
      </c>
      <c r="BG4609" s="477">
        <v>6158085.0577548873</v>
      </c>
      <c r="BH4609" s="458">
        <v>5.8325284266595556E-2</v>
      </c>
      <c r="BI4609" s="477">
        <v>14068785.231152657</v>
      </c>
      <c r="BJ4609" s="458">
        <v>0.1135357993828856</v>
      </c>
      <c r="BK4609" s="477">
        <v>92065722.91842249</v>
      </c>
      <c r="BL4609" s="458">
        <v>0.26272755239255341</v>
      </c>
      <c r="BM4609" s="468">
        <v>8.9898109180784029</v>
      </c>
    </row>
    <row r="4610" spans="12:65" x14ac:dyDescent="0.3">
      <c r="L4610" s="427">
        <v>6120642.7434999999</v>
      </c>
      <c r="BE4610" s="477">
        <v>5691657.9959459715</v>
      </c>
      <c r="BF4610" s="458">
        <v>6.6586616250849717E-2</v>
      </c>
      <c r="BG4610" s="477">
        <v>7033988.0492030689</v>
      </c>
      <c r="BH4610" s="458">
        <v>7.8356715831076729E-2</v>
      </c>
      <c r="BI4610" s="477">
        <v>13438610.641188361</v>
      </c>
      <c r="BJ4610" s="458">
        <v>9.8637544265374411E-2</v>
      </c>
      <c r="BK4610" s="477">
        <v>81492814.883830458</v>
      </c>
      <c r="BL4610" s="458">
        <v>0.26918149538241254</v>
      </c>
      <c r="BM4610" s="468">
        <v>2.0947034110474974</v>
      </c>
    </row>
    <row r="4611" spans="12:65" x14ac:dyDescent="0.3">
      <c r="L4611" s="427">
        <v>2465670.3286000001</v>
      </c>
      <c r="BE4611" s="477">
        <v>8249479.3918469483</v>
      </c>
      <c r="BF4611" s="458">
        <v>5.4195670125132045E-2</v>
      </c>
      <c r="BG4611" s="477">
        <v>13142790.540777719</v>
      </c>
      <c r="BH4611" s="458">
        <v>4.5527894130745095E-2</v>
      </c>
      <c r="BI4611" s="477">
        <v>18294738.88741662</v>
      </c>
      <c r="BJ4611" s="458">
        <v>8.5126982273612928E-2</v>
      </c>
      <c r="BK4611" s="477">
        <v>73402149.787629917</v>
      </c>
      <c r="BL4611" s="458">
        <v>0.24874272002821152</v>
      </c>
      <c r="BM4611" s="468">
        <v>17.596415657617577</v>
      </c>
    </row>
    <row r="4612" spans="12:65" x14ac:dyDescent="0.3">
      <c r="L4612" s="427">
        <v>21846359.5295</v>
      </c>
      <c r="BE4612" s="477">
        <v>5566218.2588031627</v>
      </c>
      <c r="BF4612" s="458">
        <v>4.9911547730475014E-2</v>
      </c>
      <c r="BG4612" s="477">
        <v>14266765.095790092</v>
      </c>
      <c r="BH4612" s="458">
        <v>5.4230457241590369E-2</v>
      </c>
      <c r="BI4612" s="477">
        <v>17634940.414290641</v>
      </c>
      <c r="BJ4612" s="458">
        <v>0.11330999832973254</v>
      </c>
      <c r="BK4612" s="477">
        <v>84476425.526562318</v>
      </c>
      <c r="BL4612" s="458">
        <v>0.26856457927698374</v>
      </c>
      <c r="BM4612" s="468">
        <v>3.4658738077628222</v>
      </c>
    </row>
    <row r="4613" spans="12:65" x14ac:dyDescent="0.3">
      <c r="L4613" s="427">
        <v>17682662.285399999</v>
      </c>
      <c r="BE4613" s="477">
        <v>6485721.9294774514</v>
      </c>
      <c r="BF4613" s="458">
        <v>3.7104367372735148E-2</v>
      </c>
      <c r="BG4613" s="477">
        <v>12668958.120392336</v>
      </c>
      <c r="BH4613" s="458">
        <v>4.9530770402061775E-2</v>
      </c>
      <c r="BI4613" s="477">
        <v>12249441.65838672</v>
      </c>
      <c r="BJ4613" s="458">
        <v>8.8544159784947007E-2</v>
      </c>
      <c r="BK4613" s="477">
        <v>98172905.363224894</v>
      </c>
      <c r="BL4613" s="458">
        <v>0.27822578969070677</v>
      </c>
      <c r="BM4613" s="468">
        <v>6.4732881749221649</v>
      </c>
    </row>
    <row r="4614" spans="12:65" x14ac:dyDescent="0.3">
      <c r="L4614" s="427">
        <v>15210808.5118</v>
      </c>
      <c r="BE4614" s="477">
        <v>3883037.1545291455</v>
      </c>
      <c r="BF4614" s="458">
        <v>5.0617727420358083E-2</v>
      </c>
      <c r="BG4614" s="477">
        <v>11135045.578685351</v>
      </c>
      <c r="BH4614" s="458">
        <v>5.000882667613471E-2</v>
      </c>
      <c r="BI4614" s="477">
        <v>8805319.3921379931</v>
      </c>
      <c r="BJ4614" s="458">
        <v>0.15095300097057618</v>
      </c>
      <c r="BK4614" s="477">
        <v>97615530.160051674</v>
      </c>
      <c r="BL4614" s="458">
        <v>0.28728860288952651</v>
      </c>
      <c r="BM4614" s="468">
        <v>8.494513470044323</v>
      </c>
    </row>
    <row r="4615" spans="12:65" x14ac:dyDescent="0.3">
      <c r="L4615" s="427">
        <v>19959564.519499999</v>
      </c>
      <c r="BE4615" s="477">
        <v>4533886.8821545169</v>
      </c>
      <c r="BF4615" s="458">
        <v>2.967776090896912E-2</v>
      </c>
      <c r="BG4615" s="477">
        <v>1353851.2415827981</v>
      </c>
      <c r="BH4615" s="458">
        <v>8.2732949621031837E-2</v>
      </c>
      <c r="BI4615" s="477">
        <v>14626155.697147323</v>
      </c>
      <c r="BJ4615" s="458">
        <v>0.12238482769284476</v>
      </c>
      <c r="BK4615" s="477">
        <v>75949717.536426559</v>
      </c>
      <c r="BL4615" s="458">
        <v>0.27352744317643363</v>
      </c>
      <c r="BM4615" s="468">
        <v>12.711474447437617</v>
      </c>
    </row>
    <row r="4616" spans="12:65" x14ac:dyDescent="0.3">
      <c r="L4616" s="427">
        <v>1541892.2397</v>
      </c>
      <c r="BE4616" s="477">
        <v>4869409.6201606039</v>
      </c>
      <c r="BF4616" s="458">
        <v>4.4291165753241657E-2</v>
      </c>
      <c r="BG4616" s="477">
        <v>9897186.5454924647</v>
      </c>
      <c r="BH4616" s="458">
        <v>7.5931832733189708E-2</v>
      </c>
      <c r="BI4616" s="477">
        <v>16911548.059043676</v>
      </c>
      <c r="BJ4616" s="458">
        <v>0.11996534149412752</v>
      </c>
      <c r="BK4616" s="477">
        <v>87133206.534561783</v>
      </c>
      <c r="BL4616" s="458">
        <v>0.25402799592770475</v>
      </c>
      <c r="BM4616" s="468">
        <v>8.4565988784593475</v>
      </c>
    </row>
    <row r="4617" spans="12:65" x14ac:dyDescent="0.3">
      <c r="L4617" s="427">
        <v>6762304.9857000001</v>
      </c>
      <c r="BE4617" s="477">
        <v>5912643.4003214631</v>
      </c>
      <c r="BF4617" s="458">
        <v>2.9733873671821787E-2</v>
      </c>
      <c r="BG4617" s="477">
        <v>7758015.820733835</v>
      </c>
      <c r="BH4617" s="458">
        <v>4.9515340386191875E-2</v>
      </c>
      <c r="BI4617" s="477">
        <v>11056239.576313384</v>
      </c>
      <c r="BJ4617" s="458">
        <v>0.12591958543700854</v>
      </c>
      <c r="BK4617" s="477">
        <v>95588108.366315812</v>
      </c>
      <c r="BL4617" s="458">
        <v>0.2616296721406477</v>
      </c>
      <c r="BM4617" s="468">
        <v>8.5897849312100121</v>
      </c>
    </row>
    <row r="4618" spans="12:65" x14ac:dyDescent="0.3">
      <c r="L4618" s="427">
        <v>10647821.0052</v>
      </c>
      <c r="BE4618" s="477">
        <v>4148713.9314668612</v>
      </c>
      <c r="BF4618" s="458">
        <v>3.0349913690849162E-2</v>
      </c>
      <c r="BG4618" s="477">
        <v>10553689.48280322</v>
      </c>
      <c r="BH4618" s="458">
        <v>6.4159924548749192E-2</v>
      </c>
      <c r="BI4618" s="477">
        <v>10300621.216597755</v>
      </c>
      <c r="BJ4618" s="458">
        <v>0.1015911178836344</v>
      </c>
      <c r="BK4618" s="477">
        <v>97743602.430379793</v>
      </c>
      <c r="BL4618" s="458">
        <v>0.26366166606064523</v>
      </c>
      <c r="BM4618" s="468">
        <v>9.3554078030287862</v>
      </c>
    </row>
    <row r="4619" spans="12:65" x14ac:dyDescent="0.3">
      <c r="L4619" s="427">
        <v>29572811.4276</v>
      </c>
      <c r="BE4619" s="477">
        <v>8441855.0811854862</v>
      </c>
      <c r="BF4619" s="458">
        <v>3.4142554710160367E-2</v>
      </c>
      <c r="BG4619" s="477">
        <v>10444701.27075804</v>
      </c>
      <c r="BH4619" s="458">
        <v>6.7537252875041531E-2</v>
      </c>
      <c r="BI4619" s="477">
        <v>12004427.539353414</v>
      </c>
      <c r="BJ4619" s="458">
        <v>0.1123181091594363</v>
      </c>
      <c r="BK4619" s="477">
        <v>98916326.303878993</v>
      </c>
      <c r="BL4619" s="458">
        <v>0.25665222501557716</v>
      </c>
      <c r="BM4619" s="468">
        <v>8.8906360706915777</v>
      </c>
    </row>
    <row r="4620" spans="12:65" x14ac:dyDescent="0.3">
      <c r="L4620" s="427">
        <v>-3047576.6057000002</v>
      </c>
      <c r="BE4620" s="477">
        <v>5650272.2847507093</v>
      </c>
      <c r="BF4620" s="458">
        <v>3.7481942951526515E-2</v>
      </c>
      <c r="BG4620" s="477">
        <v>2918064.4528410314</v>
      </c>
      <c r="BH4620" s="458">
        <v>6.251807481123528E-2</v>
      </c>
      <c r="BI4620" s="477">
        <v>14499140.629728638</v>
      </c>
      <c r="BJ4620" s="458">
        <v>9.237636992410736E-2</v>
      </c>
      <c r="BK4620" s="477">
        <v>87303600.02577056</v>
      </c>
      <c r="BL4620" s="458">
        <v>0.28251799546938039</v>
      </c>
      <c r="BM4620" s="468">
        <v>8.3405193594282956</v>
      </c>
    </row>
    <row r="4621" spans="12:65" x14ac:dyDescent="0.3">
      <c r="L4621" s="427">
        <v>7525569.0692999996</v>
      </c>
      <c r="BE4621" s="477">
        <v>3357913.3525002333</v>
      </c>
      <c r="BF4621" s="458">
        <v>4.1200969917730257E-2</v>
      </c>
      <c r="BG4621" s="477">
        <v>5847281.7473698463</v>
      </c>
      <c r="BH4621" s="458">
        <v>6.8892655921611201E-2</v>
      </c>
      <c r="BI4621" s="477">
        <v>17618463.731133077</v>
      </c>
      <c r="BJ4621" s="458">
        <v>0.12973099895065432</v>
      </c>
      <c r="BK4621" s="477">
        <v>103600234.24555597</v>
      </c>
      <c r="BL4621" s="458">
        <v>0.28872352693015757</v>
      </c>
      <c r="BM4621" s="468">
        <v>9.0288776221332885</v>
      </c>
    </row>
    <row r="4622" spans="12:65" x14ac:dyDescent="0.3">
      <c r="L4622" s="427">
        <v>9836761.8074999992</v>
      </c>
      <c r="BE4622" s="477">
        <v>1690387.3381302301</v>
      </c>
      <c r="BF4622" s="458">
        <v>2.0196897341933973E-2</v>
      </c>
      <c r="BG4622" s="477">
        <v>1141690.0639382652</v>
      </c>
      <c r="BH4622" s="458">
        <v>7.6792765706706234E-2</v>
      </c>
      <c r="BI4622" s="477">
        <v>23350249.668196287</v>
      </c>
      <c r="BJ4622" s="458">
        <v>0.11182340445610861</v>
      </c>
      <c r="BK4622" s="477">
        <v>85349597.875445634</v>
      </c>
      <c r="BL4622" s="458">
        <v>0.29511552984787315</v>
      </c>
      <c r="BM4622" s="468">
        <v>8.9884522452254672</v>
      </c>
    </row>
    <row r="4623" spans="12:65" x14ac:dyDescent="0.3">
      <c r="L4623" s="427">
        <v>7273558.8902000003</v>
      </c>
      <c r="BE4623" s="477">
        <v>3947154.680359371</v>
      </c>
      <c r="BF4623" s="458">
        <v>2.6689832028065741E-2</v>
      </c>
      <c r="BG4623" s="477">
        <v>-1523837.3887314375</v>
      </c>
      <c r="BH4623" s="458">
        <v>0.1029920381526046</v>
      </c>
      <c r="BI4623" s="477">
        <v>20277363.754688963</v>
      </c>
      <c r="BJ4623" s="458">
        <v>9.8444743543153246E-2</v>
      </c>
      <c r="BK4623" s="477">
        <v>83336664.308160752</v>
      </c>
      <c r="BL4623" s="458">
        <v>0.26191891386628852</v>
      </c>
      <c r="BM4623" s="468">
        <v>3.3317489054614118</v>
      </c>
    </row>
    <row r="4624" spans="12:65" x14ac:dyDescent="0.3">
      <c r="L4624" s="427">
        <v>19071146.267499998</v>
      </c>
      <c r="BE4624" s="477">
        <v>2896506.8471269482</v>
      </c>
      <c r="BF4624" s="458">
        <v>3.3287412196564059E-2</v>
      </c>
      <c r="BG4624" s="477">
        <v>4376873.2751379786</v>
      </c>
      <c r="BH4624" s="458">
        <v>3.886769724070982E-2</v>
      </c>
      <c r="BI4624" s="477">
        <v>13900295.28497503</v>
      </c>
      <c r="BJ4624" s="458">
        <v>9.7605672116310993E-2</v>
      </c>
      <c r="BK4624" s="477">
        <v>79763560.111062407</v>
      </c>
      <c r="BL4624" s="458">
        <v>0.2748695371230987</v>
      </c>
      <c r="BM4624" s="468">
        <v>9.5860366971307371</v>
      </c>
    </row>
    <row r="4625" spans="12:65" x14ac:dyDescent="0.3">
      <c r="L4625" s="427">
        <v>18782795.423599999</v>
      </c>
      <c r="BE4625" s="477">
        <v>10729533.431839796</v>
      </c>
      <c r="BF4625" s="458">
        <v>5.7583820755804593E-2</v>
      </c>
      <c r="BG4625" s="477">
        <v>8437470.5401138272</v>
      </c>
      <c r="BH4625" s="458">
        <v>0.10912124213323393</v>
      </c>
      <c r="BI4625" s="477">
        <v>20721860.16602464</v>
      </c>
      <c r="BJ4625" s="458">
        <v>9.7603931940494881E-2</v>
      </c>
      <c r="BK4625" s="477">
        <v>84000760.37993969</v>
      </c>
      <c r="BL4625" s="458">
        <v>0.28513796431017835</v>
      </c>
      <c r="BM4625" s="468">
        <v>0.62270673275275357</v>
      </c>
    </row>
    <row r="4626" spans="12:65" x14ac:dyDescent="0.3">
      <c r="L4626" s="427">
        <v>16557623.478399999</v>
      </c>
      <c r="BE4626" s="477">
        <v>525649.86866262567</v>
      </c>
      <c r="BF4626" s="458">
        <v>4.3347457787641597E-2</v>
      </c>
      <c r="BG4626" s="477">
        <v>10904179.873246713</v>
      </c>
      <c r="BH4626" s="458">
        <v>2.9351597969966114E-2</v>
      </c>
      <c r="BI4626" s="477">
        <v>17707183.57066017</v>
      </c>
      <c r="BJ4626" s="458">
        <v>0.10929440423845871</v>
      </c>
      <c r="BK4626" s="477">
        <v>77732959.177929699</v>
      </c>
      <c r="BL4626" s="458">
        <v>0.26863562499195814</v>
      </c>
      <c r="BM4626" s="468">
        <v>10.806970715138702</v>
      </c>
    </row>
    <row r="4627" spans="12:65" x14ac:dyDescent="0.3">
      <c r="L4627" s="427">
        <v>15170807.878900001</v>
      </c>
      <c r="BE4627" s="477">
        <v>2259134.7136082738</v>
      </c>
      <c r="BF4627" s="458">
        <v>1.6555920027357951E-2</v>
      </c>
      <c r="BG4627" s="477">
        <v>8479973.3485297225</v>
      </c>
      <c r="BH4627" s="458">
        <v>5.6104924491416241E-2</v>
      </c>
      <c r="BI4627" s="477">
        <v>14034142.56433445</v>
      </c>
      <c r="BJ4627" s="458">
        <v>8.9354521300524903E-2</v>
      </c>
      <c r="BK4627" s="477">
        <v>85878536.033917889</v>
      </c>
      <c r="BL4627" s="458">
        <v>0.28878455620978882</v>
      </c>
      <c r="BM4627" s="468">
        <v>5.8722172311861591</v>
      </c>
    </row>
    <row r="4628" spans="12:65" x14ac:dyDescent="0.3">
      <c r="L4628" s="427">
        <v>2718283.4194999998</v>
      </c>
      <c r="BE4628" s="477">
        <v>953611.08010835631</v>
      </c>
      <c r="BF4628" s="458">
        <v>5.7186350799905528E-2</v>
      </c>
      <c r="BG4628" s="477">
        <v>11717253.503684647</v>
      </c>
      <c r="BH4628" s="458">
        <v>3.2483168195860834E-2</v>
      </c>
      <c r="BI4628" s="477">
        <v>7768883.4551685974</v>
      </c>
      <c r="BJ4628" s="458">
        <v>9.4732125132303224E-2</v>
      </c>
      <c r="BK4628" s="477">
        <v>90660696.753814697</v>
      </c>
      <c r="BL4628" s="458">
        <v>0.27344965998033643</v>
      </c>
      <c r="BM4628" s="468">
        <v>7.7664101559339906</v>
      </c>
    </row>
    <row r="4629" spans="12:65" x14ac:dyDescent="0.3">
      <c r="L4629" s="427">
        <v>-6376129.2166999998</v>
      </c>
      <c r="BE4629" s="477">
        <v>4315435.394186548</v>
      </c>
      <c r="BF4629" s="458">
        <v>3.4434560801222203E-2</v>
      </c>
      <c r="BG4629" s="477">
        <v>9914079.8982306421</v>
      </c>
      <c r="BH4629" s="458">
        <v>6.0300390432109996E-2</v>
      </c>
      <c r="BI4629" s="477">
        <v>18802673.516910531</v>
      </c>
      <c r="BJ4629" s="458">
        <v>0.1187141135803591</v>
      </c>
      <c r="BK4629" s="477">
        <v>86508993.875025064</v>
      </c>
      <c r="BL4629" s="458">
        <v>0.26905560310934318</v>
      </c>
      <c r="BM4629" s="468">
        <v>8.0219362690965053</v>
      </c>
    </row>
    <row r="4630" spans="12:65" x14ac:dyDescent="0.3">
      <c r="L4630" s="427">
        <v>18571271.772700001</v>
      </c>
      <c r="BE4630" s="477">
        <v>1633646.1511325792</v>
      </c>
      <c r="BF4630" s="458">
        <v>3.7821156139510093E-2</v>
      </c>
      <c r="BG4630" s="477">
        <v>5275826.3453459479</v>
      </c>
      <c r="BH4630" s="458">
        <v>6.1318118996051219E-2</v>
      </c>
      <c r="BI4630" s="477">
        <v>13471994.422799006</v>
      </c>
      <c r="BJ4630" s="458">
        <v>0.12198849503045661</v>
      </c>
      <c r="BK4630" s="477">
        <v>92808011.676271424</v>
      </c>
      <c r="BL4630" s="458">
        <v>0.2591266644882817</v>
      </c>
      <c r="BM4630" s="468">
        <v>10.443134398152015</v>
      </c>
    </row>
    <row r="4631" spans="12:65" x14ac:dyDescent="0.3">
      <c r="L4631" s="427">
        <v>-3083897.9815000002</v>
      </c>
      <c r="BE4631" s="477">
        <v>-3511916.4524235353</v>
      </c>
      <c r="BF4631" s="458">
        <v>4.487909423253833E-2</v>
      </c>
      <c r="BG4631" s="477">
        <v>8856873.5085727833</v>
      </c>
      <c r="BH4631" s="458">
        <v>3.7423035815641992E-2</v>
      </c>
      <c r="BI4631" s="477">
        <v>20237743.408241872</v>
      </c>
      <c r="BJ4631" s="458">
        <v>0.10243853734514885</v>
      </c>
      <c r="BK4631" s="477">
        <v>99129709.451579913</v>
      </c>
      <c r="BL4631" s="458">
        <v>0.26098600179880793</v>
      </c>
      <c r="BM4631" s="468">
        <v>9.1879132594836399</v>
      </c>
    </row>
    <row r="4632" spans="12:65" x14ac:dyDescent="0.3">
      <c r="L4632" s="427">
        <v>8294568.6656999998</v>
      </c>
      <c r="BE4632" s="477">
        <v>8740068.7038311306</v>
      </c>
      <c r="BF4632" s="458">
        <v>3.5405611980462659E-2</v>
      </c>
      <c r="BG4632" s="477">
        <v>292523.4471068955</v>
      </c>
      <c r="BH4632" s="458">
        <v>5.2281899790281194E-2</v>
      </c>
      <c r="BI4632" s="477">
        <v>9448234.8889169991</v>
      </c>
      <c r="BJ4632" s="458">
        <v>0.10265860053426157</v>
      </c>
      <c r="BK4632" s="477">
        <v>88391432.583452076</v>
      </c>
      <c r="BL4632" s="458">
        <v>0.27444875231448229</v>
      </c>
      <c r="BM4632" s="468">
        <v>4.8883026224857602</v>
      </c>
    </row>
    <row r="4633" spans="12:65" x14ac:dyDescent="0.3">
      <c r="L4633" s="427">
        <v>7187053.0921</v>
      </c>
      <c r="BE4633" s="477">
        <v>8327643.1588104218</v>
      </c>
      <c r="BF4633" s="458">
        <v>2.7509076252418607E-2</v>
      </c>
      <c r="BG4633" s="477">
        <v>12058125.74987657</v>
      </c>
      <c r="BH4633" s="458">
        <v>0.10186442165493403</v>
      </c>
      <c r="BI4633" s="477">
        <v>17614059.407725222</v>
      </c>
      <c r="BJ4633" s="458">
        <v>0.11652871007190702</v>
      </c>
      <c r="BK4633" s="477">
        <v>95348292.978490874</v>
      </c>
      <c r="BL4633" s="458">
        <v>0.27735098270281133</v>
      </c>
      <c r="BM4633" s="468">
        <v>6.8646565307932166</v>
      </c>
    </row>
    <row r="4634" spans="12:65" x14ac:dyDescent="0.3">
      <c r="L4634" s="427">
        <v>6482647.2446999997</v>
      </c>
      <c r="BE4634" s="477">
        <v>5231625.49844578</v>
      </c>
      <c r="BF4634" s="458">
        <v>4.1362376451398619E-2</v>
      </c>
      <c r="BG4634" s="477">
        <v>6386360.8377161315</v>
      </c>
      <c r="BH4634" s="458">
        <v>8.6684717055897753E-2</v>
      </c>
      <c r="BI4634" s="477">
        <v>18409794.953209195</v>
      </c>
      <c r="BJ4634" s="458">
        <v>9.3467121008388832E-2</v>
      </c>
      <c r="BK4634" s="477">
        <v>88523575.499781281</v>
      </c>
      <c r="BL4634" s="458">
        <v>0.255016267909004</v>
      </c>
      <c r="BM4634" s="468">
        <v>6.5864303234234445</v>
      </c>
    </row>
    <row r="4635" spans="12:65" x14ac:dyDescent="0.3">
      <c r="L4635" s="427">
        <v>3058697.3724000002</v>
      </c>
      <c r="BE4635" s="477">
        <v>1497192.3041361298</v>
      </c>
      <c r="BF4635" s="458">
        <v>3.2116475926978527E-2</v>
      </c>
      <c r="BG4635" s="477">
        <v>7903112.6193726491</v>
      </c>
      <c r="BH4635" s="458">
        <v>6.8620362282850955E-2</v>
      </c>
      <c r="BI4635" s="477">
        <v>18371122.990406521</v>
      </c>
      <c r="BJ4635" s="458">
        <v>0.113049550825288</v>
      </c>
      <c r="BK4635" s="477">
        <v>87238392.141608104</v>
      </c>
      <c r="BL4635" s="458">
        <v>0.25991004967217579</v>
      </c>
      <c r="BM4635" s="468">
        <v>7.3420884677857217</v>
      </c>
    </row>
    <row r="4636" spans="12:65" x14ac:dyDescent="0.3">
      <c r="L4636" s="427">
        <v>3591856.3075999999</v>
      </c>
      <c r="BE4636" s="477">
        <v>4138075.2562630633</v>
      </c>
      <c r="BF4636" s="458">
        <v>4.0270080523213458E-2</v>
      </c>
      <c r="BG4636" s="477">
        <v>5669332.534750645</v>
      </c>
      <c r="BH4636" s="458">
        <v>5.1803035178412671E-2</v>
      </c>
      <c r="BI4636" s="477">
        <v>18584899.300579134</v>
      </c>
      <c r="BJ4636" s="458">
        <v>8.4409193571155727E-2</v>
      </c>
      <c r="BK4636" s="477">
        <v>94443986.202963158</v>
      </c>
      <c r="BL4636" s="458">
        <v>0.25768220926064633</v>
      </c>
      <c r="BM4636" s="468">
        <v>8.7350958993537766</v>
      </c>
    </row>
    <row r="4637" spans="12:65" x14ac:dyDescent="0.3">
      <c r="L4637" s="427">
        <v>10031045.289000001</v>
      </c>
      <c r="BE4637" s="477">
        <v>6239484.9229039429</v>
      </c>
      <c r="BF4637" s="458">
        <v>3.6104758720514551E-2</v>
      </c>
      <c r="BG4637" s="477">
        <v>8657578.7725064903</v>
      </c>
      <c r="BH4637" s="458">
        <v>5.7180195965834679E-2</v>
      </c>
      <c r="BI4637" s="477">
        <v>21981636.09682063</v>
      </c>
      <c r="BJ4637" s="458">
        <v>0.11017549472451549</v>
      </c>
      <c r="BK4637" s="477">
        <v>73750734.569135219</v>
      </c>
      <c r="BL4637" s="458">
        <v>0.2707061535871893</v>
      </c>
      <c r="BM4637" s="468">
        <v>7.9379630874352927</v>
      </c>
    </row>
    <row r="4638" spans="12:65" x14ac:dyDescent="0.3">
      <c r="L4638" s="427">
        <v>8637503.7522</v>
      </c>
      <c r="BE4638" s="477">
        <v>9230199.0238433369</v>
      </c>
      <c r="BF4638" s="458">
        <v>4.5694611473379831E-2</v>
      </c>
      <c r="BG4638" s="477">
        <v>5844885.6925214268</v>
      </c>
      <c r="BH4638" s="458">
        <v>6.9800575456058889E-2</v>
      </c>
      <c r="BI4638" s="477">
        <v>17086575.641597439</v>
      </c>
      <c r="BJ4638" s="458">
        <v>0.11894251604805928</v>
      </c>
      <c r="BK4638" s="477">
        <v>78893155.191083416</v>
      </c>
      <c r="BL4638" s="458">
        <v>0.25341691672850475</v>
      </c>
      <c r="BM4638" s="468">
        <v>4.7844587340957805</v>
      </c>
    </row>
    <row r="4639" spans="12:65" x14ac:dyDescent="0.3">
      <c r="L4639" s="427">
        <v>4779563.1836000001</v>
      </c>
      <c r="BE4639" s="477">
        <v>7278935.1147299195</v>
      </c>
      <c r="BF4639" s="458">
        <v>5.6041252000063713E-2</v>
      </c>
      <c r="BG4639" s="477">
        <v>9744626.4549235664</v>
      </c>
      <c r="BH4639" s="458">
        <v>9.5264147466870508E-2</v>
      </c>
      <c r="BI4639" s="477">
        <v>17253677.122604467</v>
      </c>
      <c r="BJ4639" s="458">
        <v>8.6650706940239353E-2</v>
      </c>
      <c r="BK4639" s="477">
        <v>91596865.57427372</v>
      </c>
      <c r="BL4639" s="458">
        <v>0.27548176188723383</v>
      </c>
      <c r="BM4639" s="468">
        <v>4.7928740683067321</v>
      </c>
    </row>
    <row r="4640" spans="12:65" x14ac:dyDescent="0.3">
      <c r="L4640" s="427">
        <v>17663176.883499999</v>
      </c>
      <c r="BE4640" s="477">
        <v>5530423.8114135917</v>
      </c>
      <c r="BF4640" s="458">
        <v>4.1384458558263892E-2</v>
      </c>
      <c r="BG4640" s="477">
        <v>10856329.39252661</v>
      </c>
      <c r="BH4640" s="458">
        <v>5.6091658899739105E-2</v>
      </c>
      <c r="BI4640" s="477">
        <v>12271504.694936983</v>
      </c>
      <c r="BJ4640" s="458">
        <v>9.6522260257440706E-2</v>
      </c>
      <c r="BK4640" s="477">
        <v>85091757.410783321</v>
      </c>
      <c r="BL4640" s="458">
        <v>0.2738895199788125</v>
      </c>
      <c r="BM4640" s="468">
        <v>11.843960064749703</v>
      </c>
    </row>
    <row r="4641" spans="12:65" x14ac:dyDescent="0.3">
      <c r="L4641" s="427">
        <v>-6732856.7204</v>
      </c>
      <c r="BE4641" s="477">
        <v>958176.8500868479</v>
      </c>
      <c r="BF4641" s="458">
        <v>5.8512311187058241E-2</v>
      </c>
      <c r="BG4641" s="477">
        <v>16015051.817378713</v>
      </c>
      <c r="BH4641" s="458">
        <v>6.0919576611793591E-2</v>
      </c>
      <c r="BI4641" s="477">
        <v>10469899.069641978</v>
      </c>
      <c r="BJ4641" s="458">
        <v>0.12383032604269006</v>
      </c>
      <c r="BK4641" s="477">
        <v>91171358.939220905</v>
      </c>
      <c r="BL4641" s="458">
        <v>0.25853447491166714</v>
      </c>
      <c r="BM4641" s="468">
        <v>8.2608182065643376</v>
      </c>
    </row>
    <row r="4642" spans="12:65" x14ac:dyDescent="0.3">
      <c r="L4642" s="427">
        <v>19270592.619100001</v>
      </c>
      <c r="BE4642" s="477">
        <v>-30270.001147535182</v>
      </c>
      <c r="BF4642" s="458">
        <v>3.1163046448739573E-2</v>
      </c>
      <c r="BG4642" s="477">
        <v>8883535.3661248069</v>
      </c>
      <c r="BH4642" s="458">
        <v>6.1529252645578625E-2</v>
      </c>
      <c r="BI4642" s="477">
        <v>10990301.78630615</v>
      </c>
      <c r="BJ4642" s="458">
        <v>0.11306777604867091</v>
      </c>
      <c r="BK4642" s="477">
        <v>96095059.103272945</v>
      </c>
      <c r="BL4642" s="458">
        <v>0.25118148831818066</v>
      </c>
      <c r="BM4642" s="468">
        <v>8.7777329872987337</v>
      </c>
    </row>
    <row r="4643" spans="12:65" x14ac:dyDescent="0.3">
      <c r="L4643" s="427">
        <v>7328061.0573000005</v>
      </c>
      <c r="BE4643" s="477">
        <v>4009049.4508543937</v>
      </c>
      <c r="BF4643" s="458">
        <v>4.2040896699480301E-2</v>
      </c>
      <c r="BG4643" s="477">
        <v>3085742.3989533386</v>
      </c>
      <c r="BH4643" s="458">
        <v>8.7750271785894229E-2</v>
      </c>
      <c r="BI4643" s="477">
        <v>16078261.414180253</v>
      </c>
      <c r="BJ4643" s="458">
        <v>0.11149695425165307</v>
      </c>
      <c r="BK4643" s="477">
        <v>91652916.921286926</v>
      </c>
      <c r="BL4643" s="458">
        <v>0.27263559960861183</v>
      </c>
      <c r="BM4643" s="468">
        <v>3.6217529376780764</v>
      </c>
    </row>
    <row r="4644" spans="12:65" x14ac:dyDescent="0.3">
      <c r="L4644" s="427">
        <v>23934599.461599998</v>
      </c>
      <c r="BE4644" s="477">
        <v>6985829.0558328684</v>
      </c>
      <c r="BF4644" s="458">
        <v>3.3792446809616683E-2</v>
      </c>
      <c r="BG4644" s="477">
        <v>7872895.7308728909</v>
      </c>
      <c r="BH4644" s="458">
        <v>5.6786300844859028E-2</v>
      </c>
      <c r="BI4644" s="477">
        <v>15698737.673331687</v>
      </c>
      <c r="BJ4644" s="458">
        <v>0.11664686732596175</v>
      </c>
      <c r="BK4644" s="477">
        <v>87086110.844646156</v>
      </c>
      <c r="BL4644" s="458">
        <v>0.2629041784219952</v>
      </c>
      <c r="BM4644" s="468">
        <v>4.2030978764102036</v>
      </c>
    </row>
    <row r="4645" spans="12:65" x14ac:dyDescent="0.3">
      <c r="L4645" s="427">
        <v>1753805.0958</v>
      </c>
      <c r="BE4645" s="477">
        <v>5199469.9796607643</v>
      </c>
      <c r="BF4645" s="458">
        <v>5.4593739564423149E-2</v>
      </c>
      <c r="BG4645" s="477">
        <v>5848357.6194287688</v>
      </c>
      <c r="BH4645" s="458">
        <v>4.659572548234947E-2</v>
      </c>
      <c r="BI4645" s="477">
        <v>12646407.107033296</v>
      </c>
      <c r="BJ4645" s="458">
        <v>0.12020865122156432</v>
      </c>
      <c r="BK4645" s="477">
        <v>95807341.918462381</v>
      </c>
      <c r="BL4645" s="458">
        <v>0.26312936751411486</v>
      </c>
      <c r="BM4645" s="468">
        <v>10.136751104728962</v>
      </c>
    </row>
    <row r="4646" spans="12:65" x14ac:dyDescent="0.3">
      <c r="L4646" s="427">
        <v>-3821383.3752000001</v>
      </c>
      <c r="BE4646" s="477">
        <v>4095038.5362290237</v>
      </c>
      <c r="BF4646" s="458">
        <v>5.0678148308893611E-2</v>
      </c>
      <c r="BG4646" s="477">
        <v>15328347.088931004</v>
      </c>
      <c r="BH4646" s="458">
        <v>6.6796455354694029E-2</v>
      </c>
      <c r="BI4646" s="477">
        <v>16401331.758112555</v>
      </c>
      <c r="BJ4646" s="458">
        <v>0.10167461583526061</v>
      </c>
      <c r="BK4646" s="477">
        <v>84334585.491535455</v>
      </c>
      <c r="BL4646" s="458">
        <v>0.26469344108119519</v>
      </c>
      <c r="BM4646" s="468">
        <v>11.284187536506995</v>
      </c>
    </row>
    <row r="4647" spans="12:65" x14ac:dyDescent="0.3">
      <c r="L4647" s="427">
        <v>12483970.617000001</v>
      </c>
      <c r="BE4647" s="477">
        <v>6903453.3737040218</v>
      </c>
      <c r="BF4647" s="458">
        <v>5.5006945727482437E-2</v>
      </c>
      <c r="BG4647" s="477">
        <v>13418144.966290591</v>
      </c>
      <c r="BH4647" s="458">
        <v>8.0077651856544918E-2</v>
      </c>
      <c r="BI4647" s="477">
        <v>17419391.739421044</v>
      </c>
      <c r="BJ4647" s="458">
        <v>9.7898507724878403E-2</v>
      </c>
      <c r="BK4647" s="477">
        <v>87078095.825972348</v>
      </c>
      <c r="BL4647" s="458">
        <v>0.28965262874588737</v>
      </c>
      <c r="BM4647" s="468">
        <v>7.8597357396571086</v>
      </c>
    </row>
    <row r="4648" spans="12:65" x14ac:dyDescent="0.3">
      <c r="L4648" s="427">
        <v>-858015.68039999995</v>
      </c>
      <c r="BE4648" s="477">
        <v>8366862.7931227433</v>
      </c>
      <c r="BF4648" s="458">
        <v>4.9013289317422215E-2</v>
      </c>
      <c r="BG4648" s="477">
        <v>5214695.0877215965</v>
      </c>
      <c r="BH4648" s="458">
        <v>7.0755874570648469E-2</v>
      </c>
      <c r="BI4648" s="477">
        <v>16539436.170728946</v>
      </c>
      <c r="BJ4648" s="458">
        <v>0.10038053453976103</v>
      </c>
      <c r="BK4648" s="477">
        <v>89116477.555377856</v>
      </c>
      <c r="BL4648" s="458">
        <v>0.26202737443563118</v>
      </c>
      <c r="BM4648" s="468">
        <v>2.4539247792891592</v>
      </c>
    </row>
    <row r="4649" spans="12:65" x14ac:dyDescent="0.3">
      <c r="L4649" s="427">
        <v>5645932.4747000001</v>
      </c>
      <c r="BE4649" s="477">
        <v>4412531.1836139718</v>
      </c>
      <c r="BF4649" s="458">
        <v>4.0780324534491985E-2</v>
      </c>
      <c r="BG4649" s="477">
        <v>3112871.6768643758</v>
      </c>
      <c r="BH4649" s="458">
        <v>7.7277704910730716E-2</v>
      </c>
      <c r="BI4649" s="477">
        <v>10613398.811865671</v>
      </c>
      <c r="BJ4649" s="458">
        <v>0.10237445967875347</v>
      </c>
      <c r="BK4649" s="477">
        <v>81703740.14250429</v>
      </c>
      <c r="BL4649" s="458">
        <v>0.25573862999994446</v>
      </c>
      <c r="BM4649" s="468">
        <v>10.205828051888005</v>
      </c>
    </row>
    <row r="4650" spans="12:65" x14ac:dyDescent="0.3">
      <c r="L4650" s="427">
        <v>10004993.4542</v>
      </c>
      <c r="BE4650" s="477">
        <v>5745866.4580030171</v>
      </c>
      <c r="BF4650" s="458">
        <v>3.9243791668245764E-2</v>
      </c>
      <c r="BG4650" s="477">
        <v>8689140.4301823657</v>
      </c>
      <c r="BH4650" s="458">
        <v>6.8096405318666786E-2</v>
      </c>
      <c r="BI4650" s="477">
        <v>13732590.095304467</v>
      </c>
      <c r="BJ4650" s="458">
        <v>9.9349067769155752E-2</v>
      </c>
      <c r="BK4650" s="477">
        <v>79385330.356498465</v>
      </c>
      <c r="BL4650" s="458">
        <v>0.26035562074124186</v>
      </c>
      <c r="BM4650" s="468">
        <v>6.3613388661692483</v>
      </c>
    </row>
    <row r="4651" spans="12:65" x14ac:dyDescent="0.3">
      <c r="L4651" s="427">
        <v>25444768.229499999</v>
      </c>
      <c r="BE4651" s="477">
        <v>5091302.2289072815</v>
      </c>
      <c r="BF4651" s="458">
        <v>4.5825148552694817E-2</v>
      </c>
      <c r="BG4651" s="477">
        <v>10913522.709509457</v>
      </c>
      <c r="BH4651" s="458">
        <v>7.6696866883347203E-2</v>
      </c>
      <c r="BI4651" s="477">
        <v>19714056.998658564</v>
      </c>
      <c r="BJ4651" s="458">
        <v>0.12317670221560206</v>
      </c>
      <c r="BK4651" s="477">
        <v>95142210.453277037</v>
      </c>
      <c r="BL4651" s="458">
        <v>0.29319677137560674</v>
      </c>
      <c r="BM4651" s="468">
        <v>12.828083361541886</v>
      </c>
    </row>
    <row r="4652" spans="12:65" x14ac:dyDescent="0.3">
      <c r="L4652" s="427">
        <v>-1211906.4722</v>
      </c>
      <c r="BE4652" s="477">
        <v>4986255.9165993491</v>
      </c>
      <c r="BF4652" s="458">
        <v>4.1317068150408254E-2</v>
      </c>
      <c r="BG4652" s="477">
        <v>11568940.185168589</v>
      </c>
      <c r="BH4652" s="458">
        <v>8.8662386656639169E-2</v>
      </c>
      <c r="BI4652" s="477">
        <v>11970096.656153142</v>
      </c>
      <c r="BJ4652" s="458">
        <v>0.13699928261786409</v>
      </c>
      <c r="BK4652" s="477">
        <v>90574712.725214556</v>
      </c>
      <c r="BL4652" s="458">
        <v>0.25569496318089668</v>
      </c>
      <c r="BM4652" s="468">
        <v>4.7322851329095839</v>
      </c>
    </row>
    <row r="4653" spans="12:65" x14ac:dyDescent="0.3">
      <c r="L4653" s="427">
        <v>9163839.0084000006</v>
      </c>
      <c r="BE4653" s="477">
        <v>5374623.9552641418</v>
      </c>
      <c r="BF4653" s="458">
        <v>3.2088877578069441E-2</v>
      </c>
      <c r="BG4653" s="477">
        <v>8881548.1760095675</v>
      </c>
      <c r="BH4653" s="458">
        <v>7.5022268364616229E-2</v>
      </c>
      <c r="BI4653" s="477">
        <v>10558467.462040657</v>
      </c>
      <c r="BJ4653" s="458">
        <v>0.10359641778430628</v>
      </c>
      <c r="BK4653" s="477">
        <v>92653796.887386382</v>
      </c>
      <c r="BL4653" s="458">
        <v>0.28306764161200193</v>
      </c>
      <c r="BM4653" s="468">
        <v>1.4335816570204765</v>
      </c>
    </row>
    <row r="4654" spans="12:65" x14ac:dyDescent="0.3">
      <c r="L4654" s="427">
        <v>8948997.1700999998</v>
      </c>
      <c r="BE4654" s="477">
        <v>9811437.0095964652</v>
      </c>
      <c r="BF4654" s="458">
        <v>5.2798285221737018E-2</v>
      </c>
      <c r="BG4654" s="477">
        <v>6154733.5181321679</v>
      </c>
      <c r="BH4654" s="458">
        <v>6.3837702969965715E-2</v>
      </c>
      <c r="BI4654" s="477">
        <v>18781949.09479399</v>
      </c>
      <c r="BJ4654" s="458">
        <v>0.1192854862892414</v>
      </c>
      <c r="BK4654" s="477">
        <v>84637315.54323642</v>
      </c>
      <c r="BL4654" s="458">
        <v>0.25640760471272905</v>
      </c>
      <c r="BM4654" s="468">
        <v>10.73516552941128</v>
      </c>
    </row>
    <row r="4655" spans="12:65" x14ac:dyDescent="0.3">
      <c r="L4655" s="427">
        <v>23728837.010899998</v>
      </c>
      <c r="BE4655" s="477">
        <v>8383972.4547091946</v>
      </c>
      <c r="BF4655" s="458">
        <v>3.2411136303232668E-2</v>
      </c>
      <c r="BG4655" s="477">
        <v>12476350.688001163</v>
      </c>
      <c r="BH4655" s="458">
        <v>2.9645100702757166E-2</v>
      </c>
      <c r="BI4655" s="477">
        <v>21044184.861598674</v>
      </c>
      <c r="BJ4655" s="458">
        <v>0.11722898223002431</v>
      </c>
      <c r="BK4655" s="477">
        <v>96698991.496161938</v>
      </c>
      <c r="BL4655" s="458">
        <v>0.26706284550022663</v>
      </c>
      <c r="BM4655" s="468">
        <v>11.745685652321816</v>
      </c>
    </row>
    <row r="4656" spans="12:65" x14ac:dyDescent="0.3">
      <c r="L4656" s="427">
        <v>12265085.488600001</v>
      </c>
      <c r="BE4656" s="477">
        <v>239182.68790620426</v>
      </c>
      <c r="BF4656" s="458">
        <v>4.4751883234627865E-2</v>
      </c>
      <c r="BG4656" s="477">
        <v>8603468.0197170097</v>
      </c>
      <c r="BH4656" s="458">
        <v>4.3163572046033272E-2</v>
      </c>
      <c r="BI4656" s="477">
        <v>17668034.558634151</v>
      </c>
      <c r="BJ4656" s="458">
        <v>0.10484951415599886</v>
      </c>
      <c r="BK4656" s="477">
        <v>83256987.018643618</v>
      </c>
      <c r="BL4656" s="458">
        <v>0.27570233722211213</v>
      </c>
      <c r="BM4656" s="468">
        <v>1.9709258886897585</v>
      </c>
    </row>
    <row r="4657" spans="12:65" x14ac:dyDescent="0.3">
      <c r="L4657" s="427">
        <v>5855822.2251000004</v>
      </c>
      <c r="BE4657" s="477">
        <v>4138304.5776203163</v>
      </c>
      <c r="BF4657" s="458">
        <v>3.3560839931816799E-2</v>
      </c>
      <c r="BG4657" s="477">
        <v>4947731.5778438039</v>
      </c>
      <c r="BH4657" s="458">
        <v>7.0076988692976849E-2</v>
      </c>
      <c r="BI4657" s="477">
        <v>14952961.698660877</v>
      </c>
      <c r="BJ4657" s="458">
        <v>0.12155660108940358</v>
      </c>
      <c r="BK4657" s="477">
        <v>85113256.047598749</v>
      </c>
      <c r="BL4657" s="458">
        <v>0.26569806155722153</v>
      </c>
      <c r="BM4657" s="468">
        <v>3.8491335704788359</v>
      </c>
    </row>
    <row r="4658" spans="12:65" x14ac:dyDescent="0.3">
      <c r="L4658" s="427">
        <v>6729905.5634000003</v>
      </c>
      <c r="BE4658" s="477">
        <v>7797506.288821605</v>
      </c>
      <c r="BF4658" s="458">
        <v>2.9756763351694415E-2</v>
      </c>
      <c r="BG4658" s="477">
        <v>5910104.3335318733</v>
      </c>
      <c r="BH4658" s="458">
        <v>6.8132809590993215E-2</v>
      </c>
      <c r="BI4658" s="477">
        <v>14562206.445766907</v>
      </c>
      <c r="BJ4658" s="458">
        <v>0.11672066942718651</v>
      </c>
      <c r="BK4658" s="477">
        <v>94084465.395152867</v>
      </c>
      <c r="BL4658" s="458">
        <v>0.26164435900194349</v>
      </c>
      <c r="BM4658" s="468">
        <v>9.4197253360462945</v>
      </c>
    </row>
    <row r="4659" spans="12:65" x14ac:dyDescent="0.3">
      <c r="L4659" s="427">
        <v>-3634074.1867</v>
      </c>
      <c r="BE4659" s="477">
        <v>4683155.7861460606</v>
      </c>
      <c r="BF4659" s="458">
        <v>5.8425476297595758E-2</v>
      </c>
      <c r="BG4659" s="477">
        <v>10427941.272364257</v>
      </c>
      <c r="BH4659" s="458">
        <v>8.8159954678088459E-2</v>
      </c>
      <c r="BI4659" s="477">
        <v>15905667.434869345</v>
      </c>
      <c r="BJ4659" s="458">
        <v>0.11017191763557266</v>
      </c>
      <c r="BK4659" s="477">
        <v>81658020.101596087</v>
      </c>
      <c r="BL4659" s="458">
        <v>0.29288898009024811</v>
      </c>
      <c r="BM4659" s="468">
        <v>11.212152952497391</v>
      </c>
    </row>
    <row r="4660" spans="12:65" x14ac:dyDescent="0.3">
      <c r="L4660" s="427">
        <v>4115466.5482999999</v>
      </c>
      <c r="BE4660" s="477">
        <v>5789941.7426622724</v>
      </c>
      <c r="BF4660" s="458">
        <v>5.5099761549680659E-2</v>
      </c>
      <c r="BG4660" s="477">
        <v>8180255.9010080146</v>
      </c>
      <c r="BH4660" s="458">
        <v>7.6970416649783324E-2</v>
      </c>
      <c r="BI4660" s="477">
        <v>19164116.609913055</v>
      </c>
      <c r="BJ4660" s="458">
        <v>9.8726454235065653E-2</v>
      </c>
      <c r="BK4660" s="477">
        <v>96113803.999436677</v>
      </c>
      <c r="BL4660" s="458">
        <v>0.27012516458974289</v>
      </c>
      <c r="BM4660" s="468">
        <v>9.628476570020414</v>
      </c>
    </row>
    <row r="4661" spans="12:65" x14ac:dyDescent="0.3">
      <c r="L4661" s="427">
        <v>-1878877.8223000001</v>
      </c>
      <c r="BE4661" s="477">
        <v>2737814.7674994268</v>
      </c>
      <c r="BF4661" s="458">
        <v>3.6054988541454946E-2</v>
      </c>
      <c r="BG4661" s="477">
        <v>7537867.5877545169</v>
      </c>
      <c r="BH4661" s="458">
        <v>6.981937220288037E-2</v>
      </c>
      <c r="BI4661" s="477">
        <v>11025835.784329185</v>
      </c>
      <c r="BJ4661" s="458">
        <v>0.10928177389411808</v>
      </c>
      <c r="BK4661" s="477">
        <v>91073090.024673164</v>
      </c>
      <c r="BL4661" s="458">
        <v>0.27377565216793309</v>
      </c>
      <c r="BM4661" s="468">
        <v>4.3438511374863618</v>
      </c>
    </row>
    <row r="4662" spans="12:65" x14ac:dyDescent="0.3">
      <c r="L4662" s="427">
        <v>17301255.274900001</v>
      </c>
      <c r="BE4662" s="477">
        <v>7806324.3553351453</v>
      </c>
      <c r="BF4662" s="458">
        <v>3.2380236890273695E-2</v>
      </c>
      <c r="BG4662" s="477">
        <v>11805545.025838656</v>
      </c>
      <c r="BH4662" s="458">
        <v>6.4943476904760988E-2</v>
      </c>
      <c r="BI4662" s="477">
        <v>18235386.453592688</v>
      </c>
      <c r="BJ4662" s="458">
        <v>0.12029794415722628</v>
      </c>
      <c r="BK4662" s="477">
        <v>87020555.038570002</v>
      </c>
      <c r="BL4662" s="458">
        <v>0.26299288301014334</v>
      </c>
      <c r="BM4662" s="468">
        <v>7.7014797684672285</v>
      </c>
    </row>
    <row r="4663" spans="12:65" x14ac:dyDescent="0.3">
      <c r="L4663" s="427">
        <v>15764405.963099999</v>
      </c>
      <c r="BE4663" s="477">
        <v>5809348.2743520867</v>
      </c>
      <c r="BF4663" s="458">
        <v>3.8565856505878848E-3</v>
      </c>
      <c r="BG4663" s="477">
        <v>5507142.434681925</v>
      </c>
      <c r="BH4663" s="458">
        <v>5.7598998445041572E-2</v>
      </c>
      <c r="BI4663" s="477">
        <v>16978092.034959234</v>
      </c>
      <c r="BJ4663" s="458">
        <v>0.13474123583317255</v>
      </c>
      <c r="BK4663" s="477">
        <v>80580666.058537021</v>
      </c>
      <c r="BL4663" s="458">
        <v>0.2913752872954618</v>
      </c>
      <c r="BM4663" s="468">
        <v>5.8316005496180434</v>
      </c>
    </row>
    <row r="4664" spans="12:65" x14ac:dyDescent="0.3">
      <c r="L4664" s="427">
        <v>-4354718.2691000002</v>
      </c>
      <c r="BE4664" s="477">
        <v>3860550.4225289607</v>
      </c>
      <c r="BF4664" s="458">
        <v>1.8045222037511355E-2</v>
      </c>
      <c r="BG4664" s="477">
        <v>4160809.3078950257</v>
      </c>
      <c r="BH4664" s="458">
        <v>6.4028644815646185E-2</v>
      </c>
      <c r="BI4664" s="477">
        <v>22716825.398288943</v>
      </c>
      <c r="BJ4664" s="458">
        <v>0.14986890756758875</v>
      </c>
      <c r="BK4664" s="477">
        <v>96175229.427591056</v>
      </c>
      <c r="BL4664" s="458">
        <v>0.26217501804337662</v>
      </c>
      <c r="BM4664" s="468">
        <v>5.9282550293152756</v>
      </c>
    </row>
    <row r="4665" spans="12:65" x14ac:dyDescent="0.3">
      <c r="L4665" s="427">
        <v>21607483.277899999</v>
      </c>
      <c r="BE4665" s="477">
        <v>1179184.1058306666</v>
      </c>
      <c r="BF4665" s="458">
        <v>2.6241519619255804E-2</v>
      </c>
      <c r="BG4665" s="477">
        <v>5489701.1600712007</v>
      </c>
      <c r="BH4665" s="458">
        <v>0.1000894704318267</v>
      </c>
      <c r="BI4665" s="477">
        <v>16377741.229307169</v>
      </c>
      <c r="BJ4665" s="458">
        <v>0.10708302379641443</v>
      </c>
      <c r="BK4665" s="477">
        <v>100633432.62665801</v>
      </c>
      <c r="BL4665" s="458">
        <v>0.24892824040095296</v>
      </c>
      <c r="BM4665" s="468">
        <v>4.2850161421221085</v>
      </c>
    </row>
    <row r="4666" spans="12:65" x14ac:dyDescent="0.3">
      <c r="L4666" s="427">
        <v>25499613.110399999</v>
      </c>
      <c r="BE4666" s="477">
        <v>2268024.0320372102</v>
      </c>
      <c r="BF4666" s="458">
        <v>3.161086417066894E-2</v>
      </c>
      <c r="BG4666" s="477">
        <v>9605902.7453492638</v>
      </c>
      <c r="BH4666" s="458">
        <v>8.2371054622328188E-2</v>
      </c>
      <c r="BI4666" s="477">
        <v>16163987.861993978</v>
      </c>
      <c r="BJ4666" s="458">
        <v>0.12204523904394549</v>
      </c>
      <c r="BK4666" s="477">
        <v>72558626.472410873</v>
      </c>
      <c r="BL4666" s="458">
        <v>0.30004949197629971</v>
      </c>
      <c r="BM4666" s="468">
        <v>5.3060778740769425</v>
      </c>
    </row>
    <row r="4667" spans="12:65" x14ac:dyDescent="0.3">
      <c r="L4667" s="427">
        <v>13087995.947000001</v>
      </c>
      <c r="BE4667" s="477">
        <v>1790058.6386153942</v>
      </c>
      <c r="BF4667" s="458">
        <v>4.6335885939833288E-2</v>
      </c>
      <c r="BG4667" s="477">
        <v>12389575.158540308</v>
      </c>
      <c r="BH4667" s="458">
        <v>4.0288961612743979E-2</v>
      </c>
      <c r="BI4667" s="477">
        <v>18673957.457263384</v>
      </c>
      <c r="BJ4667" s="458">
        <v>0.13693954493058835</v>
      </c>
      <c r="BK4667" s="477">
        <v>86641756.817109048</v>
      </c>
      <c r="BL4667" s="458">
        <v>0.28604089988454384</v>
      </c>
      <c r="BM4667" s="468">
        <v>13.668198160605638</v>
      </c>
    </row>
    <row r="4668" spans="12:65" x14ac:dyDescent="0.3">
      <c r="L4668" s="427">
        <v>8522991.8114999998</v>
      </c>
      <c r="BE4668" s="477">
        <v>3395973.5457563051</v>
      </c>
      <c r="BF4668" s="458">
        <v>3.0682315992124565E-2</v>
      </c>
      <c r="BG4668" s="477">
        <v>10706910.384669689</v>
      </c>
      <c r="BH4668" s="458">
        <v>5.8608067553619581E-2</v>
      </c>
      <c r="BI4668" s="477">
        <v>15524535.853496274</v>
      </c>
      <c r="BJ4668" s="458">
        <v>0.11863646799083782</v>
      </c>
      <c r="BK4668" s="477">
        <v>94978961.674612075</v>
      </c>
      <c r="BL4668" s="458">
        <v>0.27186889131426106</v>
      </c>
      <c r="BM4668" s="468">
        <v>5.1732826814537898</v>
      </c>
    </row>
    <row r="4669" spans="12:65" x14ac:dyDescent="0.3">
      <c r="L4669" s="427">
        <v>5770609.9264000002</v>
      </c>
      <c r="BE4669" s="477">
        <v>6495938.8240526523</v>
      </c>
      <c r="BF4669" s="458">
        <v>7.0749710107418817E-2</v>
      </c>
      <c r="BG4669" s="477">
        <v>17692311.890235335</v>
      </c>
      <c r="BH4669" s="458">
        <v>7.2946124114601885E-2</v>
      </c>
      <c r="BI4669" s="477">
        <v>16674551.102612915</v>
      </c>
      <c r="BJ4669" s="458">
        <v>9.3694997228279897E-2</v>
      </c>
      <c r="BK4669" s="477">
        <v>88635869.475722536</v>
      </c>
      <c r="BL4669" s="458">
        <v>0.25813475763718996</v>
      </c>
      <c r="BM4669" s="468">
        <v>6.1277631930399838</v>
      </c>
    </row>
    <row r="4670" spans="12:65" x14ac:dyDescent="0.3">
      <c r="L4670" s="427">
        <v>302585.33960000001</v>
      </c>
      <c r="BE4670" s="477">
        <v>4416762.0728217755</v>
      </c>
      <c r="BF4670" s="458">
        <v>5.278692180996214E-2</v>
      </c>
      <c r="BG4670" s="477">
        <v>4769094.5187856238</v>
      </c>
      <c r="BH4670" s="458">
        <v>6.6855991724088959E-2</v>
      </c>
      <c r="BI4670" s="477">
        <v>13643253.669457372</v>
      </c>
      <c r="BJ4670" s="458">
        <v>9.5387487521354508E-2</v>
      </c>
      <c r="BK4670" s="477">
        <v>83122851.750061527</v>
      </c>
      <c r="BL4670" s="458">
        <v>0.27112816732154887</v>
      </c>
      <c r="BM4670" s="468">
        <v>14.284292134182895</v>
      </c>
    </row>
    <row r="4671" spans="12:65" x14ac:dyDescent="0.3">
      <c r="L4671" s="427">
        <v>12863264.8379</v>
      </c>
      <c r="BE4671" s="477">
        <v>4001936.1564288847</v>
      </c>
      <c r="BF4671" s="458">
        <v>2.4339044900864693E-2</v>
      </c>
      <c r="BG4671" s="477">
        <v>-1007768.1457672608</v>
      </c>
      <c r="BH4671" s="458">
        <v>6.7860556462697286E-2</v>
      </c>
      <c r="BI4671" s="477">
        <v>23642994.277097143</v>
      </c>
      <c r="BJ4671" s="458">
        <v>0.1044581125031212</v>
      </c>
      <c r="BK4671" s="477">
        <v>97894387.482288599</v>
      </c>
      <c r="BL4671" s="458">
        <v>0.26207150179399141</v>
      </c>
      <c r="BM4671" s="468">
        <v>10.201756400100873</v>
      </c>
    </row>
    <row r="4672" spans="12:65" x14ac:dyDescent="0.3">
      <c r="L4672" s="427">
        <v>-6192006.9935999997</v>
      </c>
      <c r="BE4672" s="477">
        <v>14969.604026782483</v>
      </c>
      <c r="BF4672" s="458">
        <v>4.4497325402387489E-2</v>
      </c>
      <c r="BG4672" s="477">
        <v>7895795.6515015112</v>
      </c>
      <c r="BH4672" s="458">
        <v>6.1125490192376786E-2</v>
      </c>
      <c r="BI4672" s="477">
        <v>10311332.70891894</v>
      </c>
      <c r="BJ4672" s="458">
        <v>0.10293136815735915</v>
      </c>
      <c r="BK4672" s="477">
        <v>91710333.5430886</v>
      </c>
      <c r="BL4672" s="458">
        <v>0.27539695103940298</v>
      </c>
      <c r="BM4672" s="468">
        <v>3.6720811790114354</v>
      </c>
    </row>
    <row r="4673" spans="12:65" x14ac:dyDescent="0.3">
      <c r="L4673" s="427">
        <v>10472066.200200001</v>
      </c>
      <c r="BE4673" s="477">
        <v>10943032.366955953</v>
      </c>
      <c r="BF4673" s="458">
        <v>5.4177430688070682E-2</v>
      </c>
      <c r="BG4673" s="477">
        <v>9238731.2135288399</v>
      </c>
      <c r="BH4673" s="458">
        <v>5.5148985103417703E-2</v>
      </c>
      <c r="BI4673" s="477">
        <v>18081042.657824468</v>
      </c>
      <c r="BJ4673" s="458">
        <v>0.12696883361921096</v>
      </c>
      <c r="BK4673" s="477">
        <v>76275139.769460782</v>
      </c>
      <c r="BL4673" s="458">
        <v>0.27143273874549423</v>
      </c>
      <c r="BM4673" s="468">
        <v>12.305648871579997</v>
      </c>
    </row>
    <row r="4674" spans="12:65" x14ac:dyDescent="0.3">
      <c r="L4674" s="427">
        <v>3552094.6623999998</v>
      </c>
      <c r="BE4674" s="477">
        <v>6156882.9760619905</v>
      </c>
      <c r="BF4674" s="458">
        <v>6.2271643502141538E-2</v>
      </c>
      <c r="BG4674" s="477">
        <v>9633718.2620777879</v>
      </c>
      <c r="BH4674" s="458">
        <v>8.9537410322521271E-2</v>
      </c>
      <c r="BI4674" s="477">
        <v>15648170.462582583</v>
      </c>
      <c r="BJ4674" s="458">
        <v>8.9918955452945148E-2</v>
      </c>
      <c r="BK4674" s="477">
        <v>95081109.612516776</v>
      </c>
      <c r="BL4674" s="458">
        <v>0.2608971438751273</v>
      </c>
      <c r="BM4674" s="468">
        <v>13.853078052113391</v>
      </c>
    </row>
    <row r="4675" spans="12:65" x14ac:dyDescent="0.3">
      <c r="L4675" s="427">
        <v>1236300.6037000001</v>
      </c>
      <c r="BE4675" s="477">
        <v>3142654.9234144571</v>
      </c>
      <c r="BF4675" s="458">
        <v>3.907468191448582E-2</v>
      </c>
      <c r="BG4675" s="477">
        <v>11829439.282255504</v>
      </c>
      <c r="BH4675" s="458">
        <v>6.2931649229864384E-2</v>
      </c>
      <c r="BI4675" s="477">
        <v>20585109.045794271</v>
      </c>
      <c r="BJ4675" s="458">
        <v>0.12439575159841398</v>
      </c>
      <c r="BK4675" s="477">
        <v>83111611.553975344</v>
      </c>
      <c r="BL4675" s="458">
        <v>0.27438403186863969</v>
      </c>
      <c r="BM4675" s="468">
        <v>8.7291541644503319</v>
      </c>
    </row>
    <row r="4676" spans="12:65" x14ac:dyDescent="0.3">
      <c r="L4676" s="427">
        <v>8993239.9734000005</v>
      </c>
      <c r="BE4676" s="477">
        <v>2783613.0593636492</v>
      </c>
      <c r="BF4676" s="458">
        <v>6.4398716651209442E-2</v>
      </c>
      <c r="BG4676" s="477">
        <v>9854226.0402300563</v>
      </c>
      <c r="BH4676" s="458">
        <v>4.5709750083140266E-2</v>
      </c>
      <c r="BI4676" s="477">
        <v>15179272.243130324</v>
      </c>
      <c r="BJ4676" s="458">
        <v>0.12427748288481433</v>
      </c>
      <c r="BK4676" s="477">
        <v>88883803.831634998</v>
      </c>
      <c r="BL4676" s="458">
        <v>0.26161025531113702</v>
      </c>
      <c r="BM4676" s="468">
        <v>10.015383541500171</v>
      </c>
    </row>
    <row r="4677" spans="12:65" x14ac:dyDescent="0.3">
      <c r="L4677" s="427">
        <v>447760.57150000002</v>
      </c>
      <c r="BE4677" s="477">
        <v>2764816.3637546147</v>
      </c>
      <c r="BF4677" s="458">
        <v>4.3992263888555705E-2</v>
      </c>
      <c r="BG4677" s="477">
        <v>11925882.24261117</v>
      </c>
      <c r="BH4677" s="458">
        <v>6.9624283743999538E-2</v>
      </c>
      <c r="BI4677" s="477">
        <v>18192403.846236933</v>
      </c>
      <c r="BJ4677" s="458">
        <v>0.11313299127764243</v>
      </c>
      <c r="BK4677" s="477">
        <v>87555787.172441363</v>
      </c>
      <c r="BL4677" s="458">
        <v>0.28251446465863328</v>
      </c>
      <c r="BM4677" s="468">
        <v>14.031201924799396</v>
      </c>
    </row>
    <row r="4678" spans="12:65" x14ac:dyDescent="0.3">
      <c r="L4678" s="427">
        <v>11166872.8814</v>
      </c>
      <c r="BE4678" s="477">
        <v>6242994.0507987831</v>
      </c>
      <c r="BF4678" s="458">
        <v>3.4916478410567553E-2</v>
      </c>
      <c r="BG4678" s="477">
        <v>11012742.029104874</v>
      </c>
      <c r="BH4678" s="458">
        <v>6.4515918041827325E-2</v>
      </c>
      <c r="BI4678" s="477">
        <v>10992559.363904275</v>
      </c>
      <c r="BJ4678" s="458">
        <v>9.1729513662507367E-2</v>
      </c>
      <c r="BK4678" s="477">
        <v>74309100.413436025</v>
      </c>
      <c r="BL4678" s="458">
        <v>0.26065667685215366</v>
      </c>
      <c r="BM4678" s="468">
        <v>4.019204180605767</v>
      </c>
    </row>
    <row r="4679" spans="12:65" x14ac:dyDescent="0.3">
      <c r="L4679" s="427">
        <v>17552973.782699998</v>
      </c>
      <c r="BE4679" s="477">
        <v>385994.84348243754</v>
      </c>
      <c r="BF4679" s="458">
        <v>6.5544106972659666E-2</v>
      </c>
      <c r="BG4679" s="477">
        <v>8471748.641238777</v>
      </c>
      <c r="BH4679" s="458">
        <v>4.6271720188703735E-2</v>
      </c>
      <c r="BI4679" s="477">
        <v>20700874.022621833</v>
      </c>
      <c r="BJ4679" s="458">
        <v>0.11124239988123463</v>
      </c>
      <c r="BK4679" s="477">
        <v>100298780.97511283</v>
      </c>
      <c r="BL4679" s="458">
        <v>0.25619633963281307</v>
      </c>
      <c r="BM4679" s="468">
        <v>7.1597739282091615</v>
      </c>
    </row>
    <row r="4680" spans="12:65" x14ac:dyDescent="0.3">
      <c r="L4680" s="427">
        <v>13091586.0066</v>
      </c>
      <c r="BE4680" s="477">
        <v>4235700.9786224933</v>
      </c>
      <c r="BF4680" s="458">
        <v>3.6233193632153382E-2</v>
      </c>
      <c r="BG4680" s="477">
        <v>6482879.5222956613</v>
      </c>
      <c r="BH4680" s="458">
        <v>7.1356092391640535E-2</v>
      </c>
      <c r="BI4680" s="477">
        <v>13204977.789172349</v>
      </c>
      <c r="BJ4680" s="458">
        <v>0.10205148267223296</v>
      </c>
      <c r="BK4680" s="477">
        <v>88359898.540457964</v>
      </c>
      <c r="BL4680" s="458">
        <v>0.24912236486403816</v>
      </c>
      <c r="BM4680" s="468">
        <v>4.7851124498541919</v>
      </c>
    </row>
    <row r="4681" spans="12:65" x14ac:dyDescent="0.3">
      <c r="L4681" s="427">
        <v>18986637.366099998</v>
      </c>
      <c r="BE4681" s="477">
        <v>2800090.8774161837</v>
      </c>
      <c r="BF4681" s="458">
        <v>3.6121719318962464E-2</v>
      </c>
      <c r="BG4681" s="477">
        <v>7873227.7439023266</v>
      </c>
      <c r="BH4681" s="458">
        <v>8.4332830310259288E-2</v>
      </c>
      <c r="BI4681" s="477">
        <v>17713768.157379609</v>
      </c>
      <c r="BJ4681" s="458">
        <v>0.12015742772512494</v>
      </c>
      <c r="BK4681" s="477">
        <v>96053117.910826415</v>
      </c>
      <c r="BL4681" s="458">
        <v>0.27031860007567499</v>
      </c>
      <c r="BM4681" s="468">
        <v>3.840496822500266</v>
      </c>
    </row>
    <row r="4682" spans="12:65" x14ac:dyDescent="0.3">
      <c r="L4682" s="427">
        <v>12044159.661900001</v>
      </c>
      <c r="BE4682" s="477">
        <v>7509207.813322234</v>
      </c>
      <c r="BF4682" s="458">
        <v>4.250614665815533E-2</v>
      </c>
      <c r="BG4682" s="477">
        <v>8247224.7228619149</v>
      </c>
      <c r="BH4682" s="458">
        <v>5.93795953250984E-2</v>
      </c>
      <c r="BI4682" s="477">
        <v>10383998.455767291</v>
      </c>
      <c r="BJ4682" s="458">
        <v>0.10751677170648999</v>
      </c>
      <c r="BK4682" s="477">
        <v>90367559.47709243</v>
      </c>
      <c r="BL4682" s="458">
        <v>0.2537267420263758</v>
      </c>
      <c r="BM4682" s="468">
        <v>10.044421720282987</v>
      </c>
    </row>
    <row r="4683" spans="12:65" x14ac:dyDescent="0.3">
      <c r="L4683" s="427">
        <v>7482524.1446000002</v>
      </c>
      <c r="BE4683" s="477">
        <v>5348684.7313878266</v>
      </c>
      <c r="BF4683" s="458">
        <v>4.6944179273992415E-2</v>
      </c>
      <c r="BG4683" s="477">
        <v>7350205.2869921317</v>
      </c>
      <c r="BH4683" s="458">
        <v>5.8101573991965694E-2</v>
      </c>
      <c r="BI4683" s="477">
        <v>15907570.017689044</v>
      </c>
      <c r="BJ4683" s="458">
        <v>0.10572078432956089</v>
      </c>
      <c r="BK4683" s="477">
        <v>105661846.82782111</v>
      </c>
      <c r="BL4683" s="458">
        <v>0.28811280415365803</v>
      </c>
      <c r="BM4683" s="468">
        <v>4.276640067699506</v>
      </c>
    </row>
    <row r="4684" spans="12:65" x14ac:dyDescent="0.3">
      <c r="L4684" s="427">
        <v>19094908.738499999</v>
      </c>
      <c r="BE4684" s="477">
        <v>4569164.9749947917</v>
      </c>
      <c r="BF4684" s="458">
        <v>3.6313715317318973E-2</v>
      </c>
      <c r="BG4684" s="477">
        <v>15622511.648288518</v>
      </c>
      <c r="BH4684" s="458">
        <v>6.2088834682129335E-2</v>
      </c>
      <c r="BI4684" s="477">
        <v>9873881.8320168518</v>
      </c>
      <c r="BJ4684" s="458">
        <v>0.12405167794877747</v>
      </c>
      <c r="BK4684" s="477">
        <v>92187004.098012805</v>
      </c>
      <c r="BL4684" s="458">
        <v>0.25545716689779385</v>
      </c>
      <c r="BM4684" s="468">
        <v>12.047589708129497</v>
      </c>
    </row>
    <row r="4685" spans="12:65" x14ac:dyDescent="0.3">
      <c r="L4685" s="427">
        <v>18558362.670600001</v>
      </c>
      <c r="BE4685" s="477">
        <v>9206726.3416063283</v>
      </c>
      <c r="BF4685" s="458">
        <v>5.3249381388109196E-2</v>
      </c>
      <c r="BG4685" s="477">
        <v>638353.57599569391</v>
      </c>
      <c r="BH4685" s="458">
        <v>5.6599120849553319E-2</v>
      </c>
      <c r="BI4685" s="477">
        <v>15011276.73625564</v>
      </c>
      <c r="BJ4685" s="458">
        <v>6.4612070192019422E-2</v>
      </c>
      <c r="BK4685" s="477">
        <v>86256202.196777314</v>
      </c>
      <c r="BL4685" s="458">
        <v>0.27858646179549384</v>
      </c>
      <c r="BM4685" s="468">
        <v>7.2977133762812265</v>
      </c>
    </row>
    <row r="4686" spans="12:65" x14ac:dyDescent="0.3">
      <c r="L4686" s="427">
        <v>24799410.5286</v>
      </c>
      <c r="BE4686" s="477">
        <v>4447586.7113734046</v>
      </c>
      <c r="BF4686" s="458">
        <v>3.2028037434045142E-2</v>
      </c>
      <c r="BG4686" s="477">
        <v>15291735.975526245</v>
      </c>
      <c r="BH4686" s="458">
        <v>7.0818789306175578E-2</v>
      </c>
      <c r="BI4686" s="477">
        <v>8721993.8034299184</v>
      </c>
      <c r="BJ4686" s="458">
        <v>0.10622475041019053</v>
      </c>
      <c r="BK4686" s="477">
        <v>82113858.507645473</v>
      </c>
      <c r="BL4686" s="458">
        <v>0.27255450325701958</v>
      </c>
      <c r="BM4686" s="468">
        <v>11.201220647417786</v>
      </c>
    </row>
    <row r="4687" spans="12:65" x14ac:dyDescent="0.3">
      <c r="L4687" s="427">
        <v>4949752.1404999997</v>
      </c>
      <c r="BE4687" s="477">
        <v>8302043.9727439461</v>
      </c>
      <c r="BF4687" s="458">
        <v>1.5044203571439985E-2</v>
      </c>
      <c r="BG4687" s="477">
        <v>11512543.19984189</v>
      </c>
      <c r="BH4687" s="458">
        <v>8.1719159282421128E-2</v>
      </c>
      <c r="BI4687" s="477">
        <v>14723213.97621855</v>
      </c>
      <c r="BJ4687" s="458">
        <v>0.10482726578014945</v>
      </c>
      <c r="BK4687" s="477">
        <v>100595205.25868857</v>
      </c>
      <c r="BL4687" s="458">
        <v>0.28443656908763049</v>
      </c>
      <c r="BM4687" s="468">
        <v>7.6593176081441028</v>
      </c>
    </row>
    <row r="4688" spans="12:65" x14ac:dyDescent="0.3">
      <c r="L4688" s="427">
        <v>1002315.5082</v>
      </c>
      <c r="BE4688" s="477">
        <v>8576493.3529531714</v>
      </c>
      <c r="BF4688" s="458">
        <v>3.6443696571509365E-2</v>
      </c>
      <c r="BG4688" s="477">
        <v>5420531.2070905287</v>
      </c>
      <c r="BH4688" s="458">
        <v>6.5496097834032652E-2</v>
      </c>
      <c r="BI4688" s="477">
        <v>18065461.194033347</v>
      </c>
      <c r="BJ4688" s="458">
        <v>9.2181412889673853E-2</v>
      </c>
      <c r="BK4688" s="477">
        <v>96600729.150299311</v>
      </c>
      <c r="BL4688" s="458">
        <v>0.26772079368715218</v>
      </c>
      <c r="BM4688" s="468">
        <v>9.4215028586219418</v>
      </c>
    </row>
    <row r="4689" spans="12:65" x14ac:dyDescent="0.3">
      <c r="L4689" s="427">
        <v>19094350.923900001</v>
      </c>
      <c r="BE4689" s="477">
        <v>5790642.7891086545</v>
      </c>
      <c r="BF4689" s="458">
        <v>6.1035177922261319E-2</v>
      </c>
      <c r="BG4689" s="477">
        <v>9068452.2122660298</v>
      </c>
      <c r="BH4689" s="458">
        <v>7.2938533721985888E-2</v>
      </c>
      <c r="BI4689" s="477">
        <v>20408044.860275127</v>
      </c>
      <c r="BJ4689" s="458">
        <v>0.11509206194959432</v>
      </c>
      <c r="BK4689" s="477">
        <v>82199812.956818923</v>
      </c>
      <c r="BL4689" s="458">
        <v>0.28645054140474602</v>
      </c>
      <c r="BM4689" s="468">
        <v>-0.2978542225846077</v>
      </c>
    </row>
    <row r="4690" spans="12:65" x14ac:dyDescent="0.3">
      <c r="L4690" s="427">
        <v>3354243.6894999999</v>
      </c>
      <c r="BE4690" s="477">
        <v>9417205.5940980855</v>
      </c>
      <c r="BF4690" s="458">
        <v>5.5452520172620812E-2</v>
      </c>
      <c r="BG4690" s="477">
        <v>7965033.7395491246</v>
      </c>
      <c r="BH4690" s="458">
        <v>6.2611296423246809E-2</v>
      </c>
      <c r="BI4690" s="477">
        <v>17522429.977953598</v>
      </c>
      <c r="BJ4690" s="458">
        <v>0.10067354296702358</v>
      </c>
      <c r="BK4690" s="477">
        <v>83419225.61135684</v>
      </c>
      <c r="BL4690" s="458">
        <v>0.26954066484506556</v>
      </c>
      <c r="BM4690" s="468">
        <v>5.7708878531493486</v>
      </c>
    </row>
    <row r="4691" spans="12:65" x14ac:dyDescent="0.3">
      <c r="L4691" s="427">
        <v>12890721.4013</v>
      </c>
      <c r="BE4691" s="477">
        <v>8444194.6947203465</v>
      </c>
      <c r="BF4691" s="458">
        <v>2.6932704927950857E-2</v>
      </c>
      <c r="BG4691" s="477">
        <v>11369006.331619665</v>
      </c>
      <c r="BH4691" s="458">
        <v>2.1908949404800149E-2</v>
      </c>
      <c r="BI4691" s="477">
        <v>21762584.472895138</v>
      </c>
      <c r="BJ4691" s="458">
        <v>0.1214945228912605</v>
      </c>
      <c r="BK4691" s="477">
        <v>90891164.010146871</v>
      </c>
      <c r="BL4691" s="458">
        <v>0.28440295988933184</v>
      </c>
      <c r="BM4691" s="468">
        <v>5.6915575044137858</v>
      </c>
    </row>
    <row r="4692" spans="12:65" x14ac:dyDescent="0.3">
      <c r="L4692" s="427">
        <v>16377485.1304</v>
      </c>
      <c r="BE4692" s="477">
        <v>8217495.13111265</v>
      </c>
      <c r="BF4692" s="458">
        <v>2.0996738802788739E-2</v>
      </c>
      <c r="BG4692" s="477">
        <v>7501601.9657971235</v>
      </c>
      <c r="BH4692" s="458">
        <v>7.540412852369216E-2</v>
      </c>
      <c r="BI4692" s="477">
        <v>5793156.5487420382</v>
      </c>
      <c r="BJ4692" s="458">
        <v>9.9988467915252954E-2</v>
      </c>
      <c r="BK4692" s="477">
        <v>87345480.033135936</v>
      </c>
      <c r="BL4692" s="458">
        <v>0.27199511717293579</v>
      </c>
      <c r="BM4692" s="468">
        <v>7.3877641640449321</v>
      </c>
    </row>
    <row r="4693" spans="12:65" x14ac:dyDescent="0.3">
      <c r="L4693" s="427">
        <v>-3353576.0151</v>
      </c>
      <c r="BE4693" s="477">
        <v>4498194.422354958</v>
      </c>
      <c r="BF4693" s="458">
        <v>5.3991168474208262E-2</v>
      </c>
      <c r="BG4693" s="477">
        <v>6368037.9994636457</v>
      </c>
      <c r="BH4693" s="458">
        <v>7.7649139521798638E-2</v>
      </c>
      <c r="BI4693" s="477">
        <v>13649029.107454546</v>
      </c>
      <c r="BJ4693" s="458">
        <v>9.5733590660371348E-2</v>
      </c>
      <c r="BK4693" s="477">
        <v>85013511.367359072</v>
      </c>
      <c r="BL4693" s="458">
        <v>0.26226892143460478</v>
      </c>
      <c r="BM4693" s="468">
        <v>7.205363614393403</v>
      </c>
    </row>
    <row r="4694" spans="12:65" x14ac:dyDescent="0.3">
      <c r="L4694" s="427">
        <v>14316156.7751</v>
      </c>
      <c r="BE4694" s="477">
        <v>6316825.2916826336</v>
      </c>
      <c r="BF4694" s="458">
        <v>3.7473996712054536E-2</v>
      </c>
      <c r="BG4694" s="477">
        <v>11062668.863820663</v>
      </c>
      <c r="BH4694" s="458">
        <v>8.1498854231480511E-2</v>
      </c>
      <c r="BI4694" s="477">
        <v>25056727.706169493</v>
      </c>
      <c r="BJ4694" s="458">
        <v>7.4954421886031408E-2</v>
      </c>
      <c r="BK4694" s="477">
        <v>85576711.978779376</v>
      </c>
      <c r="BL4694" s="458">
        <v>0.28302320871350917</v>
      </c>
      <c r="BM4694" s="468">
        <v>8.0160438569793033</v>
      </c>
    </row>
    <row r="4695" spans="12:65" x14ac:dyDescent="0.3">
      <c r="L4695" s="427">
        <v>14177198.592800001</v>
      </c>
      <c r="BE4695" s="477">
        <v>5998208.617722678</v>
      </c>
      <c r="BF4695" s="458">
        <v>2.8632577357152078E-2</v>
      </c>
      <c r="BG4695" s="477">
        <v>6560502.2943136645</v>
      </c>
      <c r="BH4695" s="458">
        <v>8.1189051705703896E-2</v>
      </c>
      <c r="BI4695" s="477">
        <v>11506060.406139163</v>
      </c>
      <c r="BJ4695" s="458">
        <v>0.10892107485672553</v>
      </c>
      <c r="BK4695" s="477">
        <v>94531183.563020691</v>
      </c>
      <c r="BL4695" s="458">
        <v>0.29255879486398007</v>
      </c>
      <c r="BM4695" s="468">
        <v>8.9042075530200453</v>
      </c>
    </row>
    <row r="4696" spans="12:65" x14ac:dyDescent="0.3">
      <c r="L4696" s="427">
        <v>-241726.49979999999</v>
      </c>
      <c r="BE4696" s="477">
        <v>4492863.6385972956</v>
      </c>
      <c r="BF4696" s="458">
        <v>4.2157760331314353E-2</v>
      </c>
      <c r="BG4696" s="477">
        <v>4254084.2445199722</v>
      </c>
      <c r="BH4696" s="458">
        <v>3.1165604345638087E-2</v>
      </c>
      <c r="BI4696" s="477">
        <v>16998769.394389469</v>
      </c>
      <c r="BJ4696" s="458">
        <v>9.9872203750326349E-2</v>
      </c>
      <c r="BK4696" s="477">
        <v>97284186.778843135</v>
      </c>
      <c r="BL4696" s="458">
        <v>0.25843999537084383</v>
      </c>
      <c r="BM4696" s="468">
        <v>6.4782815111937309</v>
      </c>
    </row>
    <row r="4697" spans="12:65" x14ac:dyDescent="0.3">
      <c r="L4697" s="427">
        <v>6540697.8344000001</v>
      </c>
      <c r="BE4697" s="477">
        <v>6166016.4561214484</v>
      </c>
      <c r="BF4697" s="458">
        <v>3.6380454114420147E-2</v>
      </c>
      <c r="BG4697" s="477">
        <v>5229486.4834479671</v>
      </c>
      <c r="BH4697" s="458">
        <v>6.7121170924573148E-2</v>
      </c>
      <c r="BI4697" s="477">
        <v>17279630.615179323</v>
      </c>
      <c r="BJ4697" s="458">
        <v>0.11472912746926101</v>
      </c>
      <c r="BK4697" s="477">
        <v>95008004.908315852</v>
      </c>
      <c r="BL4697" s="458">
        <v>0.28189622569811812</v>
      </c>
      <c r="BM4697" s="468">
        <v>11.663375669789744</v>
      </c>
    </row>
    <row r="4698" spans="12:65" x14ac:dyDescent="0.3">
      <c r="L4698" s="427">
        <v>8455629.7697000001</v>
      </c>
      <c r="BE4698" s="477">
        <v>5281520.7952799248</v>
      </c>
      <c r="BF4698" s="458">
        <v>4.3019836972189696E-2</v>
      </c>
      <c r="BG4698" s="477">
        <v>9615411.9784964081</v>
      </c>
      <c r="BH4698" s="458">
        <v>8.8592280930914757E-2</v>
      </c>
      <c r="BI4698" s="477">
        <v>21637527.206244614</v>
      </c>
      <c r="BJ4698" s="458">
        <v>0.12444948473130535</v>
      </c>
      <c r="BK4698" s="477">
        <v>87021031.063324854</v>
      </c>
      <c r="BL4698" s="458">
        <v>0.24998138610433984</v>
      </c>
      <c r="BM4698" s="468">
        <v>11.846039274663465</v>
      </c>
    </row>
    <row r="4699" spans="12:65" x14ac:dyDescent="0.3">
      <c r="L4699" s="427">
        <v>3265784.8443</v>
      </c>
      <c r="BE4699" s="477">
        <v>6779857.0914378511</v>
      </c>
      <c r="BF4699" s="458">
        <v>4.1965633860542306E-2</v>
      </c>
      <c r="BG4699" s="477">
        <v>7518835.5023644613</v>
      </c>
      <c r="BH4699" s="458">
        <v>7.2960827385281979E-2</v>
      </c>
      <c r="BI4699" s="477">
        <v>19496928.353222579</v>
      </c>
      <c r="BJ4699" s="458">
        <v>0.10664684987171857</v>
      </c>
      <c r="BK4699" s="477">
        <v>91242696.434630424</v>
      </c>
      <c r="BL4699" s="458">
        <v>0.27187886022749264</v>
      </c>
      <c r="BM4699" s="468">
        <v>12.247579538548498</v>
      </c>
    </row>
    <row r="4700" spans="12:65" x14ac:dyDescent="0.3">
      <c r="L4700" s="427">
        <v>-8591480.3750999998</v>
      </c>
      <c r="BE4700" s="477">
        <v>4350782.6903321017</v>
      </c>
      <c r="BF4700" s="458">
        <v>3.9036278653940659E-2</v>
      </c>
      <c r="BG4700" s="477">
        <v>7555368.8156474158</v>
      </c>
      <c r="BH4700" s="458">
        <v>3.2363305814584464E-2</v>
      </c>
      <c r="BI4700" s="477">
        <v>5755937.9911361821</v>
      </c>
      <c r="BJ4700" s="458">
        <v>0.12897808308306669</v>
      </c>
      <c r="BK4700" s="477">
        <v>76605748.396205723</v>
      </c>
      <c r="BL4700" s="458">
        <v>0.28426116847251492</v>
      </c>
      <c r="BM4700" s="468">
        <v>8.5038820373671573</v>
      </c>
    </row>
    <row r="4701" spans="12:65" x14ac:dyDescent="0.3">
      <c r="L4701" s="427">
        <v>9486357.4926999994</v>
      </c>
      <c r="BE4701" s="477">
        <v>4202945.2045106255</v>
      </c>
      <c r="BF4701" s="458">
        <v>2.1603289361959543E-2</v>
      </c>
      <c r="BG4701" s="477">
        <v>7500357.3689277628</v>
      </c>
      <c r="BH4701" s="458">
        <v>0.10074336227287195</v>
      </c>
      <c r="BI4701" s="477">
        <v>16936978.309582897</v>
      </c>
      <c r="BJ4701" s="458">
        <v>0.10459531246981246</v>
      </c>
      <c r="BK4701" s="477">
        <v>79791252.3069859</v>
      </c>
      <c r="BL4701" s="458">
        <v>0.25202749520192835</v>
      </c>
      <c r="BM4701" s="468">
        <v>9.3432114561691115</v>
      </c>
    </row>
    <row r="4702" spans="12:65" x14ac:dyDescent="0.3">
      <c r="L4702" s="427">
        <v>4504746.4869999997</v>
      </c>
      <c r="BE4702" s="477">
        <v>3296192.8590185889</v>
      </c>
      <c r="BF4702" s="458">
        <v>4.5824567527882332E-2</v>
      </c>
      <c r="BG4702" s="477">
        <v>6634791.8941867631</v>
      </c>
      <c r="BH4702" s="458">
        <v>5.8081702262621437E-2</v>
      </c>
      <c r="BI4702" s="477">
        <v>19861523.420537196</v>
      </c>
      <c r="BJ4702" s="458">
        <v>0.1231807594172234</v>
      </c>
      <c r="BK4702" s="477">
        <v>101289760.37165537</v>
      </c>
      <c r="BL4702" s="458">
        <v>0.27124220077476124</v>
      </c>
      <c r="BM4702" s="468">
        <v>11.220149147522598</v>
      </c>
    </row>
    <row r="4703" spans="12:65" x14ac:dyDescent="0.3">
      <c r="L4703" s="427">
        <v>30093547.173500001</v>
      </c>
      <c r="BE4703" s="477">
        <v>3326663.6117736911</v>
      </c>
      <c r="BF4703" s="458">
        <v>2.6086308320920626E-2</v>
      </c>
      <c r="BG4703" s="477">
        <v>4711124.7442294657</v>
      </c>
      <c r="BH4703" s="458">
        <v>0.11900786453624446</v>
      </c>
      <c r="BI4703" s="477">
        <v>21326907.192859028</v>
      </c>
      <c r="BJ4703" s="458">
        <v>0.12310977026295911</v>
      </c>
      <c r="BK4703" s="477">
        <v>88528218.860362828</v>
      </c>
      <c r="BL4703" s="458">
        <v>0.25644450102168515</v>
      </c>
      <c r="BM4703" s="468">
        <v>2.554681056283707</v>
      </c>
    </row>
    <row r="4704" spans="12:65" x14ac:dyDescent="0.3">
      <c r="L4704" s="427">
        <v>26073.481</v>
      </c>
      <c r="BE4704" s="477">
        <v>4994547.2867353475</v>
      </c>
      <c r="BF4704" s="458">
        <v>2.8564225788539233E-2</v>
      </c>
      <c r="BG4704" s="477">
        <v>6703476.6676186631</v>
      </c>
      <c r="BH4704" s="458">
        <v>6.6106618672231221E-2</v>
      </c>
      <c r="BI4704" s="477">
        <v>12371490.89416329</v>
      </c>
      <c r="BJ4704" s="458">
        <v>0.10280884145375602</v>
      </c>
      <c r="BK4704" s="477">
        <v>92334404.696271122</v>
      </c>
      <c r="BL4704" s="458">
        <v>0.27683939978605432</v>
      </c>
      <c r="BM4704" s="468">
        <v>7.6360786615182183</v>
      </c>
    </row>
    <row r="4705" spans="12:65" x14ac:dyDescent="0.3">
      <c r="L4705" s="427">
        <v>10181685.9345</v>
      </c>
      <c r="BE4705" s="477">
        <v>2226688.6812580051</v>
      </c>
      <c r="BF4705" s="458">
        <v>4.5298287236086532E-2</v>
      </c>
      <c r="BG4705" s="477">
        <v>7112860.2898049569</v>
      </c>
      <c r="BH4705" s="458">
        <v>7.5086181457025614E-2</v>
      </c>
      <c r="BI4705" s="477">
        <v>11107833.9545958</v>
      </c>
      <c r="BJ4705" s="458">
        <v>9.9021040039205088E-2</v>
      </c>
      <c r="BK4705" s="477">
        <v>82678394.153033748</v>
      </c>
      <c r="BL4705" s="458">
        <v>0.25328077573177743</v>
      </c>
      <c r="BM4705" s="468">
        <v>4.1671005458054982</v>
      </c>
    </row>
    <row r="4706" spans="12:65" x14ac:dyDescent="0.3">
      <c r="L4706" s="427">
        <v>-2721070.0718999999</v>
      </c>
      <c r="BE4706" s="477">
        <v>6449858.6575154075</v>
      </c>
      <c r="BF4706" s="458">
        <v>4.9249618563026454E-2</v>
      </c>
      <c r="BG4706" s="477">
        <v>2313901.164886822</v>
      </c>
      <c r="BH4706" s="458">
        <v>5.0591386097946778E-2</v>
      </c>
      <c r="BI4706" s="477">
        <v>7433912.0841904199</v>
      </c>
      <c r="BJ4706" s="458">
        <v>9.8850945333676776E-2</v>
      </c>
      <c r="BK4706" s="477">
        <v>93540441.629081964</v>
      </c>
      <c r="BL4706" s="458">
        <v>0.26111495414410069</v>
      </c>
      <c r="BM4706" s="468">
        <v>12.930044213904443</v>
      </c>
    </row>
    <row r="4707" spans="12:65" x14ac:dyDescent="0.3">
      <c r="L4707" s="427">
        <v>-1990196.4579</v>
      </c>
      <c r="BE4707" s="477">
        <v>8735575.3753172345</v>
      </c>
      <c r="BF4707" s="458">
        <v>7.3982620977601776E-2</v>
      </c>
      <c r="BG4707" s="477">
        <v>9368305.5717315581</v>
      </c>
      <c r="BH4707" s="458">
        <v>5.1425052102299862E-2</v>
      </c>
      <c r="BI4707" s="477">
        <v>13023343.178421939</v>
      </c>
      <c r="BJ4707" s="458">
        <v>0.12508371289759679</v>
      </c>
      <c r="BK4707" s="477">
        <v>111976379.28146139</v>
      </c>
      <c r="BL4707" s="458">
        <v>0.2741253580734786</v>
      </c>
      <c r="BM4707" s="468">
        <v>12.899326985392371</v>
      </c>
    </row>
    <row r="4708" spans="12:65" x14ac:dyDescent="0.3">
      <c r="L4708" s="427">
        <v>6683144.0904999999</v>
      </c>
      <c r="BE4708" s="477">
        <v>9297020.4365582336</v>
      </c>
      <c r="BF4708" s="458">
        <v>2.1918762084117471E-2</v>
      </c>
      <c r="BG4708" s="477">
        <v>14437661.196435131</v>
      </c>
      <c r="BH4708" s="458">
        <v>7.1549210862968726E-2</v>
      </c>
      <c r="BI4708" s="477">
        <v>15193560.242352679</v>
      </c>
      <c r="BJ4708" s="458">
        <v>9.6946188774993836E-2</v>
      </c>
      <c r="BK4708" s="477">
        <v>102202953.83425707</v>
      </c>
      <c r="BL4708" s="458">
        <v>0.2761070301427091</v>
      </c>
      <c r="BM4708" s="468">
        <v>10.033178320881785</v>
      </c>
    </row>
    <row r="4709" spans="12:65" x14ac:dyDescent="0.3">
      <c r="L4709" s="427">
        <v>7960840.1360999998</v>
      </c>
      <c r="BE4709" s="477">
        <v>3981808.7309902636</v>
      </c>
      <c r="BF4709" s="458">
        <v>3.6045937791524985E-2</v>
      </c>
      <c r="BG4709" s="477">
        <v>3889134.1839179802</v>
      </c>
      <c r="BH4709" s="458">
        <v>3.4995000249219643E-2</v>
      </c>
      <c r="BI4709" s="477">
        <v>5842209.5272858106</v>
      </c>
      <c r="BJ4709" s="458">
        <v>0.1094933638570379</v>
      </c>
      <c r="BK4709" s="477">
        <v>113094569.08995675</v>
      </c>
      <c r="BL4709" s="458">
        <v>0.27735771554562327</v>
      </c>
      <c r="BM4709" s="468">
        <v>9.0830918597887713</v>
      </c>
    </row>
    <row r="4710" spans="12:65" x14ac:dyDescent="0.3">
      <c r="L4710" s="427">
        <v>8744913.0451999996</v>
      </c>
      <c r="BE4710" s="477">
        <v>9945386.1060898788</v>
      </c>
      <c r="BF4710" s="458">
        <v>3.6280754251734493E-2</v>
      </c>
      <c r="BG4710" s="477">
        <v>11575840.111991934</v>
      </c>
      <c r="BH4710" s="458">
        <v>4.420958178232981E-2</v>
      </c>
      <c r="BI4710" s="477">
        <v>10614010.188160988</v>
      </c>
      <c r="BJ4710" s="458">
        <v>0.12703460860943006</v>
      </c>
      <c r="BK4710" s="477">
        <v>92626754.442061365</v>
      </c>
      <c r="BL4710" s="458">
        <v>0.27283681606495058</v>
      </c>
      <c r="BM4710" s="468">
        <v>10.612847792111513</v>
      </c>
    </row>
    <row r="4711" spans="12:65" x14ac:dyDescent="0.3">
      <c r="L4711" s="427">
        <v>16173907.551100001</v>
      </c>
      <c r="BE4711" s="477">
        <v>8939427.6832784656</v>
      </c>
      <c r="BF4711" s="458">
        <v>3.8489199435031374E-2</v>
      </c>
      <c r="BG4711" s="477">
        <v>12795278.022219542</v>
      </c>
      <c r="BH4711" s="458">
        <v>2.8386399378057314E-2</v>
      </c>
      <c r="BI4711" s="477">
        <v>17157121.254205145</v>
      </c>
      <c r="BJ4711" s="458">
        <v>0.10297674852945082</v>
      </c>
      <c r="BK4711" s="477">
        <v>82391718.698500454</v>
      </c>
      <c r="BL4711" s="458">
        <v>0.29048429474442261</v>
      </c>
      <c r="BM4711" s="468">
        <v>6.0378331648478412</v>
      </c>
    </row>
    <row r="4712" spans="12:65" x14ac:dyDescent="0.3">
      <c r="L4712" s="427">
        <v>13293800.016000001</v>
      </c>
      <c r="BE4712" s="477">
        <v>3608901.7686943021</v>
      </c>
      <c r="BF4712" s="458">
        <v>3.3637612345635448E-2</v>
      </c>
      <c r="BG4712" s="477">
        <v>8576197.798388226</v>
      </c>
      <c r="BH4712" s="458">
        <v>8.3733432220177706E-2</v>
      </c>
      <c r="BI4712" s="477">
        <v>17547117.147816505</v>
      </c>
      <c r="BJ4712" s="458">
        <v>0.10488272250996533</v>
      </c>
      <c r="BK4712" s="477">
        <v>86641742.463562027</v>
      </c>
      <c r="BL4712" s="458">
        <v>0.26798401237403402</v>
      </c>
      <c r="BM4712" s="468">
        <v>11.59846777510238</v>
      </c>
    </row>
    <row r="4713" spans="12:65" x14ac:dyDescent="0.3">
      <c r="L4713" s="427">
        <v>9873393.2645999994</v>
      </c>
      <c r="BE4713" s="477">
        <v>3807029.3582969713</v>
      </c>
      <c r="BF4713" s="458">
        <v>2.2860914006417765E-2</v>
      </c>
      <c r="BG4713" s="477">
        <v>5180436.4255241957</v>
      </c>
      <c r="BH4713" s="458">
        <v>7.014635092849697E-2</v>
      </c>
      <c r="BI4713" s="477">
        <v>21107880.607138712</v>
      </c>
      <c r="BJ4713" s="458">
        <v>0.10394922427480835</v>
      </c>
      <c r="BK4713" s="477">
        <v>105725689.51067232</v>
      </c>
      <c r="BL4713" s="458">
        <v>0.26880027527999162</v>
      </c>
      <c r="BM4713" s="468">
        <v>6.1453603125613387</v>
      </c>
    </row>
    <row r="4714" spans="12:65" x14ac:dyDescent="0.3">
      <c r="L4714" s="427">
        <v>88200.665999999997</v>
      </c>
      <c r="BE4714" s="477">
        <v>7206229.8767530583</v>
      </c>
      <c r="BF4714" s="458">
        <v>4.0598342287142541E-2</v>
      </c>
      <c r="BG4714" s="477">
        <v>13004067.613298887</v>
      </c>
      <c r="BH4714" s="458">
        <v>7.7935655937924064E-2</v>
      </c>
      <c r="BI4714" s="477">
        <v>12747958.06611765</v>
      </c>
      <c r="BJ4714" s="458">
        <v>0.11620940316518502</v>
      </c>
      <c r="BK4714" s="477">
        <v>90136204.774699584</v>
      </c>
      <c r="BL4714" s="458">
        <v>0.27355690720827419</v>
      </c>
      <c r="BM4714" s="468">
        <v>4.8360188719528701</v>
      </c>
    </row>
    <row r="4715" spans="12:65" x14ac:dyDescent="0.3">
      <c r="L4715" s="427">
        <v>11488706.4038</v>
      </c>
      <c r="BE4715" s="477">
        <v>7777723.8383120475</v>
      </c>
      <c r="BF4715" s="458">
        <v>3.8665855351017075E-2</v>
      </c>
      <c r="BG4715" s="477">
        <v>8108070.019998895</v>
      </c>
      <c r="BH4715" s="458">
        <v>7.5515006399639484E-2</v>
      </c>
      <c r="BI4715" s="477">
        <v>16271308.935596475</v>
      </c>
      <c r="BJ4715" s="458">
        <v>0.10464525497904953</v>
      </c>
      <c r="BK4715" s="477">
        <v>115647819.22791997</v>
      </c>
      <c r="BL4715" s="458">
        <v>0.28224517493666301</v>
      </c>
      <c r="BM4715" s="468">
        <v>6.8260312950133599</v>
      </c>
    </row>
    <row r="4716" spans="12:65" x14ac:dyDescent="0.3">
      <c r="L4716" s="427">
        <v>2115644.4589999998</v>
      </c>
      <c r="BE4716" s="477">
        <v>4180253.2123857974</v>
      </c>
      <c r="BF4716" s="458">
        <v>0.11311295282583611</v>
      </c>
      <c r="BG4716" s="477">
        <v>6006742.7764221961</v>
      </c>
      <c r="BH4716" s="458">
        <v>6.4813811535356258E-2</v>
      </c>
      <c r="BI4716" s="477">
        <v>16897855.797590971</v>
      </c>
      <c r="BJ4716" s="458">
        <v>0.10834736720590832</v>
      </c>
      <c r="BK4716" s="477">
        <v>93078362.297294587</v>
      </c>
      <c r="BL4716" s="458">
        <v>0.27289636175763832</v>
      </c>
      <c r="BM4716" s="468">
        <v>6.4487796150388617</v>
      </c>
    </row>
    <row r="4717" spans="12:65" x14ac:dyDescent="0.3">
      <c r="L4717" s="427">
        <v>4906761.2629000004</v>
      </c>
      <c r="BE4717" s="477">
        <v>1273916.9158257386</v>
      </c>
      <c r="BF4717" s="458">
        <v>5.0054385657887002E-2</v>
      </c>
      <c r="BG4717" s="477">
        <v>11414718.478125511</v>
      </c>
      <c r="BH4717" s="458">
        <v>4.5935859813590385E-2</v>
      </c>
      <c r="BI4717" s="477">
        <v>18680317.348431341</v>
      </c>
      <c r="BJ4717" s="458">
        <v>9.2191113371788758E-2</v>
      </c>
      <c r="BK4717" s="477">
        <v>72201987.907038435</v>
      </c>
      <c r="BL4717" s="458">
        <v>0.26690572178021355</v>
      </c>
      <c r="BM4717" s="468">
        <v>8.0277750092742597</v>
      </c>
    </row>
    <row r="4718" spans="12:65" x14ac:dyDescent="0.3">
      <c r="L4718" s="427">
        <v>-3985661.1392000001</v>
      </c>
      <c r="BE4718" s="477">
        <v>8026509.9643329931</v>
      </c>
      <c r="BF4718" s="458">
        <v>4.9977381869607429E-2</v>
      </c>
      <c r="BG4718" s="477">
        <v>12675848.086890543</v>
      </c>
      <c r="BH4718" s="458">
        <v>8.2611196880709725E-2</v>
      </c>
      <c r="BI4718" s="477">
        <v>14184103.945292059</v>
      </c>
      <c r="BJ4718" s="458">
        <v>0.10748404378447241</v>
      </c>
      <c r="BK4718" s="477">
        <v>96146632.511567399</v>
      </c>
      <c r="BL4718" s="458">
        <v>0.3260012985816978</v>
      </c>
      <c r="BM4718" s="468">
        <v>5.5029141863563762</v>
      </c>
    </row>
    <row r="4719" spans="12:65" x14ac:dyDescent="0.3">
      <c r="L4719" s="427">
        <v>5513925.8103</v>
      </c>
      <c r="BE4719" s="477">
        <v>1458567.1617575099</v>
      </c>
      <c r="BF4719" s="458">
        <v>2.237776115169865E-2</v>
      </c>
      <c r="BG4719" s="477">
        <v>9766702.6043945849</v>
      </c>
      <c r="BH4719" s="458">
        <v>4.7688769894911776E-2</v>
      </c>
      <c r="BI4719" s="477">
        <v>16233071.550922412</v>
      </c>
      <c r="BJ4719" s="458">
        <v>0.1239722079319967</v>
      </c>
      <c r="BK4719" s="477">
        <v>101883338.34827404</v>
      </c>
      <c r="BL4719" s="458">
        <v>0.27628073382285989</v>
      </c>
      <c r="BM4719" s="468">
        <v>12.366291529016589</v>
      </c>
    </row>
    <row r="4720" spans="12:65" x14ac:dyDescent="0.3">
      <c r="L4720" s="427">
        <v>9938136.8469999991</v>
      </c>
      <c r="BE4720" s="477">
        <v>5290101.8576085232</v>
      </c>
      <c r="BF4720" s="458">
        <v>3.7806314183194578E-2</v>
      </c>
      <c r="BG4720" s="477">
        <v>7981192.2713795304</v>
      </c>
      <c r="BH4720" s="458">
        <v>5.5502575173750568E-2</v>
      </c>
      <c r="BI4720" s="477">
        <v>12149258.755840989</v>
      </c>
      <c r="BJ4720" s="458">
        <v>0.11718751342336087</v>
      </c>
      <c r="BK4720" s="477">
        <v>87370632.803940147</v>
      </c>
      <c r="BL4720" s="458">
        <v>0.26372836470040539</v>
      </c>
      <c r="BM4720" s="468">
        <v>8.8456918408303</v>
      </c>
    </row>
    <row r="4721" spans="12:65" x14ac:dyDescent="0.3">
      <c r="L4721" s="427">
        <v>480591.77980000002</v>
      </c>
      <c r="BE4721" s="477">
        <v>6828999.5978023987</v>
      </c>
      <c r="BF4721" s="458">
        <v>4.0904928279877462E-2</v>
      </c>
      <c r="BG4721" s="477">
        <v>2300470.9948965837</v>
      </c>
      <c r="BH4721" s="458">
        <v>6.2822121167107836E-2</v>
      </c>
      <c r="BI4721" s="477">
        <v>14434927.736337749</v>
      </c>
      <c r="BJ4721" s="458">
        <v>0.10677576080273599</v>
      </c>
      <c r="BK4721" s="477">
        <v>99783162.099373698</v>
      </c>
      <c r="BL4721" s="458">
        <v>0.27704694706606303</v>
      </c>
      <c r="BM4721" s="468">
        <v>5.5077868370361101</v>
      </c>
    </row>
    <row r="4722" spans="12:65" x14ac:dyDescent="0.3">
      <c r="L4722" s="427">
        <v>25954471.2181</v>
      </c>
      <c r="BE4722" s="477">
        <v>2018363.2550018323</v>
      </c>
      <c r="BF4722" s="458">
        <v>4.8180444141525225E-2</v>
      </c>
      <c r="BG4722" s="477">
        <v>12379611.595418105</v>
      </c>
      <c r="BH4722" s="458">
        <v>8.264048813633007E-2</v>
      </c>
      <c r="BI4722" s="477">
        <v>21734681.772042826</v>
      </c>
      <c r="BJ4722" s="458">
        <v>0.1245110992568812</v>
      </c>
      <c r="BK4722" s="477">
        <v>80489587.729084283</v>
      </c>
      <c r="BL4722" s="458">
        <v>0.28362132046257527</v>
      </c>
      <c r="BM4722" s="468">
        <v>4.583009664782705</v>
      </c>
    </row>
    <row r="4723" spans="12:65" x14ac:dyDescent="0.3">
      <c r="L4723" s="427">
        <v>26593920.976399999</v>
      </c>
      <c r="BE4723" s="477">
        <v>6208103.8075675126</v>
      </c>
      <c r="BF4723" s="458">
        <v>3.6467609846970506E-2</v>
      </c>
      <c r="BG4723" s="477">
        <v>8533780.4279276263</v>
      </c>
      <c r="BH4723" s="458">
        <v>5.668875503369164E-2</v>
      </c>
      <c r="BI4723" s="477">
        <v>12739399.793382579</v>
      </c>
      <c r="BJ4723" s="458">
        <v>0.10874480449551283</v>
      </c>
      <c r="BK4723" s="477">
        <v>78859342.162071496</v>
      </c>
      <c r="BL4723" s="458">
        <v>0.25373240732436786</v>
      </c>
      <c r="BM4723" s="468">
        <v>15.177478694159175</v>
      </c>
    </row>
    <row r="4724" spans="12:65" x14ac:dyDescent="0.3">
      <c r="L4724" s="427">
        <v>31392201.9089</v>
      </c>
      <c r="BE4724" s="477">
        <v>6250293.4618437663</v>
      </c>
      <c r="BF4724" s="458">
        <v>2.8351403358801264E-2</v>
      </c>
      <c r="BG4724" s="477">
        <v>8780956.1000064146</v>
      </c>
      <c r="BH4724" s="458">
        <v>7.3800569389998127E-2</v>
      </c>
      <c r="BI4724" s="477">
        <v>17688078.565622132</v>
      </c>
      <c r="BJ4724" s="458">
        <v>0.11246010392662908</v>
      </c>
      <c r="BK4724" s="477">
        <v>97946753.169638917</v>
      </c>
      <c r="BL4724" s="458">
        <v>0.29179949581319375</v>
      </c>
      <c r="BM4724" s="468">
        <v>9.6562118185134675</v>
      </c>
    </row>
    <row r="4725" spans="12:65" x14ac:dyDescent="0.3">
      <c r="L4725" s="427">
        <v>7462561.9419999998</v>
      </c>
      <c r="BE4725" s="477">
        <v>7697664.1993406871</v>
      </c>
      <c r="BF4725" s="458">
        <v>3.7972333107294531E-2</v>
      </c>
      <c r="BG4725" s="477">
        <v>7892920.7615119237</v>
      </c>
      <c r="BH4725" s="458">
        <v>5.8331799954375541E-2</v>
      </c>
      <c r="BI4725" s="477">
        <v>15372071.902217034</v>
      </c>
      <c r="BJ4725" s="458">
        <v>0.11528449545009001</v>
      </c>
      <c r="BK4725" s="477">
        <v>87762183.054605752</v>
      </c>
      <c r="BL4725" s="458">
        <v>0.2642224695084574</v>
      </c>
      <c r="BM4725" s="468">
        <v>5.366628011299734</v>
      </c>
    </row>
    <row r="4726" spans="12:65" x14ac:dyDescent="0.3">
      <c r="L4726" s="427">
        <v>868075.14009999996</v>
      </c>
      <c r="BE4726" s="477">
        <v>7732241.4028417654</v>
      </c>
      <c r="BF4726" s="458">
        <v>3.9100458151916095E-2</v>
      </c>
      <c r="BG4726" s="477">
        <v>12220373.929214891</v>
      </c>
      <c r="BH4726" s="458">
        <v>5.7682959649103749E-2</v>
      </c>
      <c r="BI4726" s="477">
        <v>16487106.856538577</v>
      </c>
      <c r="BJ4726" s="458">
        <v>0.11968698993982918</v>
      </c>
      <c r="BK4726" s="477">
        <v>93551113.275197119</v>
      </c>
      <c r="BL4726" s="458">
        <v>0.28774080865783835</v>
      </c>
      <c r="BM4726" s="468">
        <v>9.1539387309285445</v>
      </c>
    </row>
    <row r="4727" spans="12:65" x14ac:dyDescent="0.3">
      <c r="L4727" s="427">
        <v>12819038.170299999</v>
      </c>
      <c r="BE4727" s="477">
        <v>994734.84956266382</v>
      </c>
      <c r="BF4727" s="458">
        <v>4.7057208798627181E-2</v>
      </c>
      <c r="BG4727" s="477">
        <v>9015674.8997678384</v>
      </c>
      <c r="BH4727" s="458">
        <v>6.6567543958446773E-2</v>
      </c>
      <c r="BI4727" s="477">
        <v>14757193.994237069</v>
      </c>
      <c r="BJ4727" s="458">
        <v>0.11096479717775387</v>
      </c>
      <c r="BK4727" s="477">
        <v>98795555.209089682</v>
      </c>
      <c r="BL4727" s="458">
        <v>0.24981216222412539</v>
      </c>
      <c r="BM4727" s="468">
        <v>9.8258055764859691</v>
      </c>
    </row>
    <row r="4728" spans="12:65" x14ac:dyDescent="0.3">
      <c r="L4728" s="427">
        <v>4455510.7330999998</v>
      </c>
      <c r="BE4728" s="477">
        <v>2565428.5985931349</v>
      </c>
      <c r="BF4728" s="458">
        <v>3.7122494258471805E-2</v>
      </c>
      <c r="BG4728" s="477">
        <v>-546913.31223349075</v>
      </c>
      <c r="BH4728" s="458">
        <v>6.6559279329129639E-2</v>
      </c>
      <c r="BI4728" s="477">
        <v>15176829.525536342</v>
      </c>
      <c r="BJ4728" s="458">
        <v>0.1071323759585836</v>
      </c>
      <c r="BK4728" s="477">
        <v>86208214.017071038</v>
      </c>
      <c r="BL4728" s="458">
        <v>0.28999254100652605</v>
      </c>
      <c r="BM4728" s="468">
        <v>14.364798317741032</v>
      </c>
    </row>
    <row r="4729" spans="12:65" x14ac:dyDescent="0.3">
      <c r="L4729" s="427">
        <v>8762636.3640999999</v>
      </c>
      <c r="BE4729" s="477">
        <v>1783811.272090879</v>
      </c>
      <c r="BF4729" s="458">
        <v>4.444702723491667E-2</v>
      </c>
      <c r="BG4729" s="477">
        <v>14460410.590065401</v>
      </c>
      <c r="BH4729" s="458">
        <v>9.3467395510872686E-2</v>
      </c>
      <c r="BI4729" s="477">
        <v>20892646.959855229</v>
      </c>
      <c r="BJ4729" s="458">
        <v>0.11006956957716652</v>
      </c>
      <c r="BK4729" s="477">
        <v>94704540.322274387</v>
      </c>
      <c r="BL4729" s="458">
        <v>0.25728170007896534</v>
      </c>
      <c r="BM4729" s="468">
        <v>13.557085024136736</v>
      </c>
    </row>
    <row r="4730" spans="12:65" x14ac:dyDescent="0.3">
      <c r="L4730" s="427">
        <v>-2191640.2401999999</v>
      </c>
      <c r="BE4730" s="477">
        <v>1211855.6550156847</v>
      </c>
      <c r="BF4730" s="458">
        <v>9.5929151308655758E-3</v>
      </c>
      <c r="BG4730" s="477">
        <v>12120329.228923684</v>
      </c>
      <c r="BH4730" s="458">
        <v>7.7316183847112141E-2</v>
      </c>
      <c r="BI4730" s="477">
        <v>23891910.987969682</v>
      </c>
      <c r="BJ4730" s="458">
        <v>0.12253125514226171</v>
      </c>
      <c r="BK4730" s="477">
        <v>80705600.292228118</v>
      </c>
      <c r="BL4730" s="458">
        <v>0.27297074754651973</v>
      </c>
      <c r="BM4730" s="468">
        <v>2.8732787538455931</v>
      </c>
    </row>
    <row r="4731" spans="12:65" x14ac:dyDescent="0.3">
      <c r="L4731" s="427">
        <v>15082962.2172</v>
      </c>
      <c r="BE4731" s="477">
        <v>2736239.1176609807</v>
      </c>
      <c r="BF4731" s="458">
        <v>4.1599310821879509E-2</v>
      </c>
      <c r="BG4731" s="477">
        <v>9639355.2683946211</v>
      </c>
      <c r="BH4731" s="458">
        <v>6.6946004203187304E-2</v>
      </c>
      <c r="BI4731" s="477">
        <v>25315382.357202984</v>
      </c>
      <c r="BJ4731" s="458">
        <v>9.859794405833866E-2</v>
      </c>
      <c r="BK4731" s="477">
        <v>78398575.465332195</v>
      </c>
      <c r="BL4731" s="458">
        <v>0.26531970073441258</v>
      </c>
      <c r="BM4731" s="468">
        <v>8.9562969214923243</v>
      </c>
    </row>
    <row r="4732" spans="12:65" x14ac:dyDescent="0.3">
      <c r="L4732" s="427">
        <v>-5805710.2721999995</v>
      </c>
      <c r="BE4732" s="477">
        <v>1819604.9821779013</v>
      </c>
      <c r="BF4732" s="458">
        <v>3.1160410133304284E-2</v>
      </c>
      <c r="BG4732" s="477">
        <v>11160451.127860758</v>
      </c>
      <c r="BH4732" s="458">
        <v>6.4559745823128845E-2</v>
      </c>
      <c r="BI4732" s="477">
        <v>15763806.010217115</v>
      </c>
      <c r="BJ4732" s="458">
        <v>0.1051087651928746</v>
      </c>
      <c r="BK4732" s="477">
        <v>88895003.48207593</v>
      </c>
      <c r="BL4732" s="458">
        <v>0.32469693432097957</v>
      </c>
      <c r="BM4732" s="468">
        <v>11.258723702159283</v>
      </c>
    </row>
    <row r="4733" spans="12:65" x14ac:dyDescent="0.3">
      <c r="L4733" s="427">
        <v>13295401.4596</v>
      </c>
      <c r="BE4733" s="477">
        <v>8609831.4994558264</v>
      </c>
      <c r="BF4733" s="458">
        <v>2.8740042070967586E-2</v>
      </c>
      <c r="BG4733" s="477">
        <v>7543221.5917874891</v>
      </c>
      <c r="BH4733" s="458">
        <v>7.4143484637060997E-2</v>
      </c>
      <c r="BI4733" s="477">
        <v>13443220.668937022</v>
      </c>
      <c r="BJ4733" s="458">
        <v>0.10551184441015438</v>
      </c>
      <c r="BK4733" s="477">
        <v>89839012.144806013</v>
      </c>
      <c r="BL4733" s="458">
        <v>0.26344981295168002</v>
      </c>
      <c r="BM4733" s="468">
        <v>6.9878024966301622</v>
      </c>
    </row>
    <row r="4734" spans="12:65" x14ac:dyDescent="0.3">
      <c r="L4734" s="427">
        <v>12480385.934599999</v>
      </c>
      <c r="BE4734" s="477">
        <v>2783768.5469996571</v>
      </c>
      <c r="BF4734" s="458">
        <v>2.7178254756189846E-2</v>
      </c>
      <c r="BG4734" s="477">
        <v>12634870.666595228</v>
      </c>
      <c r="BH4734" s="458">
        <v>6.6283465473982783E-2</v>
      </c>
      <c r="BI4734" s="477">
        <v>15497114.473388374</v>
      </c>
      <c r="BJ4734" s="458">
        <v>0.11822770118993398</v>
      </c>
      <c r="BK4734" s="477">
        <v>95412336.655963197</v>
      </c>
      <c r="BL4734" s="458">
        <v>0.29279775452977708</v>
      </c>
      <c r="BM4734" s="468">
        <v>3.5620223741510877</v>
      </c>
    </row>
    <row r="4735" spans="12:65" x14ac:dyDescent="0.3">
      <c r="L4735" s="427">
        <v>6487445.2007999998</v>
      </c>
      <c r="BE4735" s="477">
        <v>2006139.1514672528</v>
      </c>
      <c r="BF4735" s="458">
        <v>4.1606913429132364E-2</v>
      </c>
      <c r="BG4735" s="477">
        <v>6136930.3599202624</v>
      </c>
      <c r="BH4735" s="458">
        <v>5.2594965883058009E-2</v>
      </c>
      <c r="BI4735" s="477">
        <v>9825947.0656124782</v>
      </c>
      <c r="BJ4735" s="458">
        <v>0.12366967667372153</v>
      </c>
      <c r="BK4735" s="477">
        <v>81820935.02438958</v>
      </c>
      <c r="BL4735" s="458">
        <v>0.27811490209907208</v>
      </c>
      <c r="BM4735" s="468">
        <v>4.7997046162431065</v>
      </c>
    </row>
    <row r="4736" spans="12:65" x14ac:dyDescent="0.3">
      <c r="L4736" s="427">
        <v>218232.6813</v>
      </c>
      <c r="BE4736" s="477">
        <v>4262935.2634918746</v>
      </c>
      <c r="BF4736" s="458">
        <v>3.3846992182164248E-2</v>
      </c>
      <c r="BG4736" s="477">
        <v>2077790.6068633548</v>
      </c>
      <c r="BH4736" s="458">
        <v>4.6336556488412395E-2</v>
      </c>
      <c r="BI4736" s="477">
        <v>16714756.173821442</v>
      </c>
      <c r="BJ4736" s="458">
        <v>0.10045630065791422</v>
      </c>
      <c r="BK4736" s="477">
        <v>89334758.636235029</v>
      </c>
      <c r="BL4736" s="458">
        <v>0.2559236927641162</v>
      </c>
      <c r="BM4736" s="468">
        <v>9.5813712588471649</v>
      </c>
    </row>
    <row r="4737" spans="12:65" x14ac:dyDescent="0.3">
      <c r="L4737" s="427">
        <v>613779.72620000003</v>
      </c>
      <c r="BE4737" s="477">
        <v>1245028.1759733595</v>
      </c>
      <c r="BF4737" s="458">
        <v>1.5123459338696632E-2</v>
      </c>
      <c r="BG4737" s="477">
        <v>9621951.9065542128</v>
      </c>
      <c r="BH4737" s="458">
        <v>3.9650735927570846E-2</v>
      </c>
      <c r="BI4737" s="477">
        <v>14016698.307893479</v>
      </c>
      <c r="BJ4737" s="458">
        <v>9.8520777218276345E-2</v>
      </c>
      <c r="BK4737" s="477">
        <v>88739651.679997355</v>
      </c>
      <c r="BL4737" s="458">
        <v>0.25886172246148309</v>
      </c>
      <c r="BM4737" s="468">
        <v>12.864031159780074</v>
      </c>
    </row>
    <row r="4738" spans="12:65" x14ac:dyDescent="0.3">
      <c r="L4738" s="427">
        <v>11388736.701300001</v>
      </c>
      <c r="BE4738" s="477">
        <v>5331346.9509713817</v>
      </c>
      <c r="BF4738" s="458">
        <v>3.6878432499868996E-2</v>
      </c>
      <c r="BG4738" s="477">
        <v>4847048.403829176</v>
      </c>
      <c r="BH4738" s="458">
        <v>5.80898359883677E-2</v>
      </c>
      <c r="BI4738" s="477">
        <v>17992361.321844243</v>
      </c>
      <c r="BJ4738" s="458">
        <v>0.10728716882744815</v>
      </c>
      <c r="BK4738" s="477">
        <v>86647563.168879956</v>
      </c>
      <c r="BL4738" s="458">
        <v>0.27257446821179632</v>
      </c>
      <c r="BM4738" s="468">
        <v>10.296459519190094</v>
      </c>
    </row>
    <row r="4739" spans="12:65" x14ac:dyDescent="0.3">
      <c r="L4739" s="427">
        <v>17215167.668299999</v>
      </c>
      <c r="BE4739" s="477">
        <v>4663222.4163985662</v>
      </c>
      <c r="BF4739" s="458">
        <v>4.2720665408312763E-2</v>
      </c>
      <c r="BG4739" s="477">
        <v>7330397.7061142307</v>
      </c>
      <c r="BH4739" s="458">
        <v>5.8219601895980855E-2</v>
      </c>
      <c r="BI4739" s="477">
        <v>18075196.587558832</v>
      </c>
      <c r="BJ4739" s="458">
        <v>0.11062596475877751</v>
      </c>
      <c r="BK4739" s="477">
        <v>76126429.220761478</v>
      </c>
      <c r="BL4739" s="458">
        <v>0.29431533619686445</v>
      </c>
      <c r="BM4739" s="468">
        <v>6.3381532681896173</v>
      </c>
    </row>
    <row r="4740" spans="12:65" x14ac:dyDescent="0.3">
      <c r="L4740" s="427">
        <v>-428621.06109999999</v>
      </c>
      <c r="BE4740" s="477">
        <v>9546818.508347759</v>
      </c>
      <c r="BF4740" s="458">
        <v>9.7670595205386457E-2</v>
      </c>
      <c r="BG4740" s="477">
        <v>7938709.2155117588</v>
      </c>
      <c r="BH4740" s="458">
        <v>6.6611508844978573E-2</v>
      </c>
      <c r="BI4740" s="477">
        <v>22306423.971287999</v>
      </c>
      <c r="BJ4740" s="458">
        <v>0.10471185257218529</v>
      </c>
      <c r="BK4740" s="477">
        <v>93369501.480245784</v>
      </c>
      <c r="BL4740" s="458">
        <v>0.27229231143910693</v>
      </c>
      <c r="BM4740" s="468">
        <v>5.6493558314787631</v>
      </c>
    </row>
    <row r="4741" spans="12:65" x14ac:dyDescent="0.3">
      <c r="L4741" s="427">
        <v>188947.39610000001</v>
      </c>
      <c r="BE4741" s="477">
        <v>8441478.6636612043</v>
      </c>
      <c r="BF4741" s="458">
        <v>2.9306713895209668E-2</v>
      </c>
      <c r="BG4741" s="477">
        <v>11872422.558487127</v>
      </c>
      <c r="BH4741" s="458">
        <v>5.6920665026224837E-2</v>
      </c>
      <c r="BI4741" s="477">
        <v>22686624.170043357</v>
      </c>
      <c r="BJ4741" s="458">
        <v>0.10060839149287903</v>
      </c>
      <c r="BK4741" s="477">
        <v>96950200.41736874</v>
      </c>
      <c r="BL4741" s="458">
        <v>0.26178743025408258</v>
      </c>
      <c r="BM4741" s="468">
        <v>10.031597126860508</v>
      </c>
    </row>
    <row r="4742" spans="12:65" x14ac:dyDescent="0.3">
      <c r="L4742" s="427">
        <v>3962544.3843999999</v>
      </c>
      <c r="BE4742" s="477">
        <v>8047907.0016168579</v>
      </c>
      <c r="BF4742" s="458">
        <v>5.9964603165697072E-2</v>
      </c>
      <c r="BG4742" s="477">
        <v>7849063.9749017404</v>
      </c>
      <c r="BH4742" s="458">
        <v>8.5593951997201323E-2</v>
      </c>
      <c r="BI4742" s="477">
        <v>13071063.719013063</v>
      </c>
      <c r="BJ4742" s="458">
        <v>9.62616369320759E-2</v>
      </c>
      <c r="BK4742" s="477">
        <v>91374186.357923567</v>
      </c>
      <c r="BL4742" s="458">
        <v>0.25138535553421293</v>
      </c>
      <c r="BM4742" s="468">
        <v>3.8655909642541522</v>
      </c>
    </row>
    <row r="4743" spans="12:65" x14ac:dyDescent="0.3">
      <c r="L4743" s="427">
        <v>7980389.9479</v>
      </c>
      <c r="BE4743" s="477">
        <v>10318750.005115999</v>
      </c>
      <c r="BF4743" s="458">
        <v>3.147127444517861E-2</v>
      </c>
      <c r="BG4743" s="477">
        <v>8650598.4784514736</v>
      </c>
      <c r="BH4743" s="458">
        <v>6.4364476703039575E-2</v>
      </c>
      <c r="BI4743" s="477">
        <v>11518481.412081461</v>
      </c>
      <c r="BJ4743" s="458">
        <v>0.11689773697192996</v>
      </c>
      <c r="BK4743" s="477">
        <v>89445335.688487798</v>
      </c>
      <c r="BL4743" s="458">
        <v>0.29493773672918833</v>
      </c>
      <c r="BM4743" s="468">
        <v>7.3867389064963067</v>
      </c>
    </row>
    <row r="4744" spans="12:65" x14ac:dyDescent="0.3">
      <c r="L4744" s="427">
        <v>4619071.6847000001</v>
      </c>
      <c r="BE4744" s="477">
        <v>5079621.1411386905</v>
      </c>
      <c r="BF4744" s="458">
        <v>2.6777741321346138E-2</v>
      </c>
      <c r="BG4744" s="477">
        <v>9413199.6021537371</v>
      </c>
      <c r="BH4744" s="458">
        <v>7.6281275213066824E-2</v>
      </c>
      <c r="BI4744" s="477">
        <v>19596374.740453128</v>
      </c>
      <c r="BJ4744" s="458">
        <v>0.1220322698743237</v>
      </c>
      <c r="BK4744" s="477">
        <v>91314368.873718202</v>
      </c>
      <c r="BL4744" s="458">
        <v>0.26980119466749297</v>
      </c>
      <c r="BM4744" s="468">
        <v>8.6290594819590005</v>
      </c>
    </row>
    <row r="4745" spans="12:65" x14ac:dyDescent="0.3">
      <c r="L4745" s="427">
        <v>9303236.8720999993</v>
      </c>
      <c r="BE4745" s="477">
        <v>2968626.0213590162</v>
      </c>
      <c r="BF4745" s="458">
        <v>4.0415271238362527E-2</v>
      </c>
      <c r="BG4745" s="477">
        <v>8413136.1245395169</v>
      </c>
      <c r="BH4745" s="458">
        <v>8.1579881662050768E-2</v>
      </c>
      <c r="BI4745" s="477">
        <v>11876441.269076155</v>
      </c>
      <c r="BJ4745" s="458">
        <v>0.11453915998714281</v>
      </c>
      <c r="BK4745" s="477">
        <v>76724326.496685386</v>
      </c>
      <c r="BL4745" s="458">
        <v>0.29791591710780096</v>
      </c>
      <c r="BM4745" s="468">
        <v>13.013254514749457</v>
      </c>
    </row>
    <row r="4746" spans="12:65" x14ac:dyDescent="0.3">
      <c r="L4746" s="427">
        <v>25840156.828200001</v>
      </c>
      <c r="BE4746" s="477">
        <v>7016132.8800349152</v>
      </c>
      <c r="BF4746" s="458">
        <v>5.6662131554650053E-2</v>
      </c>
      <c r="BG4746" s="477">
        <v>6447571.5033617364</v>
      </c>
      <c r="BH4746" s="458">
        <v>7.4802168039010741E-2</v>
      </c>
      <c r="BI4746" s="477">
        <v>19127943.840303369</v>
      </c>
      <c r="BJ4746" s="458">
        <v>0.11608263359897042</v>
      </c>
      <c r="BK4746" s="477">
        <v>88872983.324828029</v>
      </c>
      <c r="BL4746" s="458">
        <v>0.28638483485186339</v>
      </c>
      <c r="BM4746" s="468">
        <v>13.101808176061455</v>
      </c>
    </row>
    <row r="4747" spans="12:65" x14ac:dyDescent="0.3">
      <c r="L4747" s="427">
        <v>18956507.9408</v>
      </c>
      <c r="BE4747" s="477">
        <v>4910752.763553068</v>
      </c>
      <c r="BF4747" s="458">
        <v>4.428525449766374E-2</v>
      </c>
      <c r="BG4747" s="477">
        <v>6527383.6714384099</v>
      </c>
      <c r="BH4747" s="458">
        <v>3.3592271462214329E-2</v>
      </c>
      <c r="BI4747" s="477">
        <v>24602094.48100134</v>
      </c>
      <c r="BJ4747" s="458">
        <v>8.9624605153278081E-2</v>
      </c>
      <c r="BK4747" s="477">
        <v>84887432.92631951</v>
      </c>
      <c r="BL4747" s="458">
        <v>0.26145753297777885</v>
      </c>
      <c r="BM4747" s="468">
        <v>16.777853409305873</v>
      </c>
    </row>
    <row r="4748" spans="12:65" x14ac:dyDescent="0.3">
      <c r="L4748" s="427">
        <v>-1128203.4687999999</v>
      </c>
      <c r="BE4748" s="477">
        <v>8550817.2096883059</v>
      </c>
      <c r="BF4748" s="458">
        <v>4.6980201893880968E-2</v>
      </c>
      <c r="BG4748" s="477">
        <v>10362534.924692117</v>
      </c>
      <c r="BH4748" s="458">
        <v>4.662015349842008E-2</v>
      </c>
      <c r="BI4748" s="477">
        <v>10427790.466142425</v>
      </c>
      <c r="BJ4748" s="458">
        <v>0.11088165148458451</v>
      </c>
      <c r="BK4748" s="477">
        <v>93429509.544989392</v>
      </c>
      <c r="BL4748" s="458">
        <v>0.27452265324201841</v>
      </c>
      <c r="BM4748" s="468">
        <v>14.642367304907383</v>
      </c>
    </row>
    <row r="4749" spans="12:65" x14ac:dyDescent="0.3">
      <c r="L4749" s="427">
        <v>12788565.341600001</v>
      </c>
      <c r="BE4749" s="477">
        <v>9206604.7421716917</v>
      </c>
      <c r="BF4749" s="458">
        <v>3.7400597772776267E-2</v>
      </c>
      <c r="BG4749" s="477">
        <v>9612986.3288081493</v>
      </c>
      <c r="BH4749" s="458">
        <v>7.3575795509064346E-2</v>
      </c>
      <c r="BI4749" s="477">
        <v>15357138.29912388</v>
      </c>
      <c r="BJ4749" s="458">
        <v>0.1306281764677677</v>
      </c>
      <c r="BK4749" s="477">
        <v>91769410.504340768</v>
      </c>
      <c r="BL4749" s="458">
        <v>0.29096334751354291</v>
      </c>
      <c r="BM4749" s="468">
        <v>10.060928818148382</v>
      </c>
    </row>
    <row r="4750" spans="12:65" x14ac:dyDescent="0.3">
      <c r="L4750" s="427">
        <v>7780399.8459000001</v>
      </c>
      <c r="BE4750" s="477">
        <v>3308506.8877757881</v>
      </c>
      <c r="BF4750" s="458">
        <v>2.9715904222510137E-2</v>
      </c>
      <c r="BG4750" s="477">
        <v>11489089.910706853</v>
      </c>
      <c r="BH4750" s="458">
        <v>5.8640645413360781E-2</v>
      </c>
      <c r="BI4750" s="477">
        <v>12669624.03300662</v>
      </c>
      <c r="BJ4750" s="458">
        <v>0.12529451170863681</v>
      </c>
      <c r="BK4750" s="477">
        <v>90114690.818684444</v>
      </c>
      <c r="BL4750" s="458">
        <v>0.27658428451416417</v>
      </c>
      <c r="BM4750" s="468">
        <v>14.237596062294662</v>
      </c>
    </row>
    <row r="4751" spans="12:65" x14ac:dyDescent="0.3">
      <c r="L4751" s="427">
        <v>14070606.832800001</v>
      </c>
      <c r="BE4751" s="477">
        <v>7347614.9451700896</v>
      </c>
      <c r="BF4751" s="458">
        <v>3.8941080706096365E-2</v>
      </c>
      <c r="BG4751" s="477">
        <v>7949595.9508663733</v>
      </c>
      <c r="BH4751" s="458">
        <v>5.4139046931771739E-2</v>
      </c>
      <c r="BI4751" s="477">
        <v>23555539.296382714</v>
      </c>
      <c r="BJ4751" s="458">
        <v>0.12568321090486378</v>
      </c>
      <c r="BK4751" s="477">
        <v>88597434.61091952</v>
      </c>
      <c r="BL4751" s="458">
        <v>0.26267375667741244</v>
      </c>
      <c r="BM4751" s="468">
        <v>7.3251828173504636</v>
      </c>
    </row>
    <row r="4752" spans="12:65" x14ac:dyDescent="0.3">
      <c r="L4752" s="427">
        <v>2490592.6389000001</v>
      </c>
      <c r="BE4752" s="477">
        <v>1517217.9881833084</v>
      </c>
      <c r="BF4752" s="458">
        <v>1.1832031676007437E-2</v>
      </c>
      <c r="BG4752" s="477">
        <v>8990846.1298036855</v>
      </c>
      <c r="BH4752" s="458">
        <v>5.9129084063667348E-2</v>
      </c>
      <c r="BI4752" s="477">
        <v>15664808.172154116</v>
      </c>
      <c r="BJ4752" s="458">
        <v>0.11264111597033222</v>
      </c>
      <c r="BK4752" s="477">
        <v>90882894.602962583</v>
      </c>
      <c r="BL4752" s="458">
        <v>0.30665115083745498</v>
      </c>
      <c r="BM4752" s="468">
        <v>3.6291635680702337</v>
      </c>
    </row>
    <row r="4753" spans="12:65" x14ac:dyDescent="0.3">
      <c r="L4753" s="427">
        <v>-208433.99069999999</v>
      </c>
      <c r="BE4753" s="477">
        <v>6131258.9526832504</v>
      </c>
      <c r="BF4753" s="458">
        <v>4.5561317441813909E-2</v>
      </c>
      <c r="BG4753" s="477">
        <v>13454710.397356905</v>
      </c>
      <c r="BH4753" s="458">
        <v>7.1102905221626322E-2</v>
      </c>
      <c r="BI4753" s="477">
        <v>7907876.6666218089</v>
      </c>
      <c r="BJ4753" s="458">
        <v>8.7193810970491725E-2</v>
      </c>
      <c r="BK4753" s="477">
        <v>89869542.291866422</v>
      </c>
      <c r="BL4753" s="458">
        <v>0.26541900204350233</v>
      </c>
      <c r="BM4753" s="468">
        <v>12.534330391787574</v>
      </c>
    </row>
    <row r="4754" spans="12:65" x14ac:dyDescent="0.3">
      <c r="L4754" s="427">
        <v>18989274.449299999</v>
      </c>
      <c r="BE4754" s="477">
        <v>5116582.150532458</v>
      </c>
      <c r="BF4754" s="458">
        <v>5.3931420918948314E-2</v>
      </c>
      <c r="BG4754" s="477">
        <v>9586498.5545050241</v>
      </c>
      <c r="BH4754" s="458">
        <v>6.5412984913759464E-2</v>
      </c>
      <c r="BI4754" s="477">
        <v>17874053.80861897</v>
      </c>
      <c r="BJ4754" s="458">
        <v>0.10746593421317852</v>
      </c>
      <c r="BK4754" s="477">
        <v>77108299.33628346</v>
      </c>
      <c r="BL4754" s="458">
        <v>0.25744560601466882</v>
      </c>
      <c r="BM4754" s="468">
        <v>7.5329928270823237</v>
      </c>
    </row>
    <row r="4755" spans="12:65" x14ac:dyDescent="0.3">
      <c r="L4755" s="427">
        <v>-142051.53330000001</v>
      </c>
      <c r="BE4755" s="477">
        <v>2205747.3154139342</v>
      </c>
      <c r="BF4755" s="458">
        <v>3.2054705369024106E-2</v>
      </c>
      <c r="BG4755" s="477">
        <v>10928834.229356589</v>
      </c>
      <c r="BH4755" s="458">
        <v>0.10374223700686791</v>
      </c>
      <c r="BI4755" s="477">
        <v>18433044.577399474</v>
      </c>
      <c r="BJ4755" s="458">
        <v>0.11674992977123999</v>
      </c>
      <c r="BK4755" s="477">
        <v>75307189.545134962</v>
      </c>
      <c r="BL4755" s="458">
        <v>0.24731549948103737</v>
      </c>
      <c r="BM4755" s="468">
        <v>12.300097850547781</v>
      </c>
    </row>
    <row r="4756" spans="12:65" x14ac:dyDescent="0.3">
      <c r="L4756" s="427">
        <v>16777198.469699999</v>
      </c>
      <c r="BE4756" s="477">
        <v>10221238.453817133</v>
      </c>
      <c r="BF4756" s="458">
        <v>2.1747653553986002E-2</v>
      </c>
      <c r="BG4756" s="477">
        <v>7616481.8106925422</v>
      </c>
      <c r="BH4756" s="458">
        <v>4.4319175203484606E-2</v>
      </c>
      <c r="BI4756" s="477">
        <v>5020687.1994882254</v>
      </c>
      <c r="BJ4756" s="458">
        <v>9.0560013314371579E-2</v>
      </c>
      <c r="BK4756" s="477">
        <v>89650043.357454494</v>
      </c>
      <c r="BL4756" s="458">
        <v>0.28782548660617358</v>
      </c>
      <c r="BM4756" s="468">
        <v>10.537372041926991</v>
      </c>
    </row>
    <row r="4757" spans="12:65" x14ac:dyDescent="0.3">
      <c r="L4757" s="427">
        <v>23649723.965399999</v>
      </c>
      <c r="BE4757" s="477">
        <v>1524132.6401757959</v>
      </c>
      <c r="BF4757" s="458">
        <v>2.1747653553986002E-2</v>
      </c>
      <c r="BG4757" s="477">
        <v>10961237.586356277</v>
      </c>
      <c r="BH4757" s="458">
        <v>6.1502238882296778E-2</v>
      </c>
      <c r="BI4757" s="477">
        <v>24542021.035543621</v>
      </c>
      <c r="BJ4757" s="458">
        <v>0.12468842132706737</v>
      </c>
      <c r="BK4757" s="477">
        <v>96612410.411915392</v>
      </c>
      <c r="BL4757" s="458">
        <v>0.26244082615536346</v>
      </c>
      <c r="BM4757" s="468">
        <v>6.706780642370636</v>
      </c>
    </row>
    <row r="4758" spans="12:65" x14ac:dyDescent="0.3">
      <c r="L4758" s="427">
        <v>8728298.6998999994</v>
      </c>
      <c r="BE4758" s="477">
        <v>5626153.6877783509</v>
      </c>
      <c r="BF4758" s="458">
        <v>2.7830706825890283E-2</v>
      </c>
      <c r="BG4758" s="477">
        <v>11537017.759199878</v>
      </c>
      <c r="BH4758" s="458">
        <v>8.5992774370780012E-2</v>
      </c>
      <c r="BI4758" s="477">
        <v>23613195.653323099</v>
      </c>
      <c r="BJ4758" s="458">
        <v>9.8881284825073745E-2</v>
      </c>
      <c r="BK4758" s="477">
        <v>79826029.483460233</v>
      </c>
      <c r="BL4758" s="458">
        <v>0.25696744616153078</v>
      </c>
      <c r="BM4758" s="468">
        <v>3.7883388309909813</v>
      </c>
    </row>
    <row r="4759" spans="12:65" x14ac:dyDescent="0.3">
      <c r="L4759" s="427">
        <v>20865359.721700002</v>
      </c>
      <c r="BE4759" s="477">
        <v>3869937.4729596837</v>
      </c>
      <c r="BF4759" s="458">
        <v>5.549972073731313E-2</v>
      </c>
      <c r="BG4759" s="477">
        <v>10765245.164455751</v>
      </c>
      <c r="BH4759" s="458">
        <v>7.2861954956572772E-2</v>
      </c>
      <c r="BI4759" s="477">
        <v>7716617.1568288077</v>
      </c>
      <c r="BJ4759" s="458">
        <v>0.12373689379440567</v>
      </c>
      <c r="BK4759" s="477">
        <v>97108126.24626343</v>
      </c>
      <c r="BL4759" s="458">
        <v>0.27686730743195143</v>
      </c>
      <c r="BM4759" s="468">
        <v>14.507394227146623</v>
      </c>
    </row>
    <row r="4760" spans="12:65" x14ac:dyDescent="0.3">
      <c r="L4760" s="427">
        <v>13660372.4123</v>
      </c>
      <c r="BE4760" s="477">
        <v>5652716.4118715087</v>
      </c>
      <c r="BF4760" s="458">
        <v>7.2553111832114325E-2</v>
      </c>
      <c r="BG4760" s="477">
        <v>8030817.5889973696</v>
      </c>
      <c r="BH4760" s="458">
        <v>5.0061141820766153E-2</v>
      </c>
      <c r="BI4760" s="477">
        <v>16920339.735738132</v>
      </c>
      <c r="BJ4760" s="458">
        <v>0.10477041338749915</v>
      </c>
      <c r="BK4760" s="477">
        <v>89884588.007938087</v>
      </c>
      <c r="BL4760" s="458">
        <v>0.2807038105057722</v>
      </c>
      <c r="BM4760" s="468">
        <v>7.2284152409623692</v>
      </c>
    </row>
    <row r="4761" spans="12:65" x14ac:dyDescent="0.3">
      <c r="L4761" s="427">
        <v>20762107.6065</v>
      </c>
      <c r="BE4761" s="477">
        <v>3146621.4565443634</v>
      </c>
      <c r="BF4761" s="458">
        <v>4.8203441943706293E-2</v>
      </c>
      <c r="BG4761" s="477">
        <v>4726263.722803684</v>
      </c>
      <c r="BH4761" s="458">
        <v>6.8360620273093975E-2</v>
      </c>
      <c r="BI4761" s="477">
        <v>15707014.600980764</v>
      </c>
      <c r="BJ4761" s="458">
        <v>0.10009464978699367</v>
      </c>
      <c r="BK4761" s="477">
        <v>88730624.40723215</v>
      </c>
      <c r="BL4761" s="458">
        <v>0.26774478310578642</v>
      </c>
      <c r="BM4761" s="468">
        <v>7.7286657714428699</v>
      </c>
    </row>
    <row r="4762" spans="12:65" x14ac:dyDescent="0.3">
      <c r="L4762" s="427">
        <v>22753323.141800001</v>
      </c>
      <c r="BE4762" s="477">
        <v>2797572.7761370423</v>
      </c>
      <c r="BF4762" s="458">
        <v>5.2019149601261638E-2</v>
      </c>
      <c r="BG4762" s="477">
        <v>10580071.089387696</v>
      </c>
      <c r="BH4762" s="458">
        <v>4.3327537150535278E-2</v>
      </c>
      <c r="BI4762" s="477">
        <v>24927418.950484119</v>
      </c>
      <c r="BJ4762" s="458">
        <v>7.860982063385813E-2</v>
      </c>
      <c r="BK4762" s="477">
        <v>93016212.155770928</v>
      </c>
      <c r="BL4762" s="458">
        <v>0.30073197273200014</v>
      </c>
      <c r="BM4762" s="468">
        <v>9.2444356730151913</v>
      </c>
    </row>
    <row r="4763" spans="12:65" x14ac:dyDescent="0.3">
      <c r="L4763" s="427">
        <v>9774521.7727000006</v>
      </c>
      <c r="BE4763" s="477">
        <v>5307857.0470368173</v>
      </c>
      <c r="BF4763" s="458">
        <v>4.8807165333613955E-2</v>
      </c>
      <c r="BG4763" s="477">
        <v>10426775.431766648</v>
      </c>
      <c r="BH4763" s="458">
        <v>7.6013337792473434E-2</v>
      </c>
      <c r="BI4763" s="477">
        <v>20771368.391833816</v>
      </c>
      <c r="BJ4763" s="458">
        <v>0.12794810997302553</v>
      </c>
      <c r="BK4763" s="477">
        <v>90451566.219572812</v>
      </c>
      <c r="BL4763" s="458">
        <v>0.27659200963941077</v>
      </c>
      <c r="BM4763" s="468">
        <v>9.6946461497811285</v>
      </c>
    </row>
    <row r="4764" spans="12:65" x14ac:dyDescent="0.3">
      <c r="L4764" s="427">
        <v>14352576.9047</v>
      </c>
      <c r="BE4764" s="477">
        <v>5709171.1398757547</v>
      </c>
      <c r="BF4764" s="458">
        <v>3.3347791222669843E-2</v>
      </c>
      <c r="BG4764" s="477">
        <v>10782718.612411268</v>
      </c>
      <c r="BH4764" s="458">
        <v>7.465274550980161E-2</v>
      </c>
      <c r="BI4764" s="477">
        <v>13619737.412373293</v>
      </c>
      <c r="BJ4764" s="458">
        <v>0.10992073025404059</v>
      </c>
      <c r="BK4764" s="477">
        <v>80498407.812752083</v>
      </c>
      <c r="BL4764" s="458">
        <v>0.30939614911574131</v>
      </c>
      <c r="BM4764" s="468">
        <v>8.18485665608031</v>
      </c>
    </row>
    <row r="4765" spans="12:65" x14ac:dyDescent="0.3">
      <c r="L4765" s="427">
        <v>12221702.432700001</v>
      </c>
      <c r="BE4765" s="477">
        <v>5877163.1254259041</v>
      </c>
      <c r="BF4765" s="458">
        <v>4.0820228868008401E-2</v>
      </c>
      <c r="BG4765" s="477">
        <v>6145650.1833463488</v>
      </c>
      <c r="BH4765" s="458">
        <v>0.11117266910597579</v>
      </c>
      <c r="BI4765" s="477">
        <v>18300772.27558079</v>
      </c>
      <c r="BJ4765" s="458">
        <v>0.10709901704259783</v>
      </c>
      <c r="BK4765" s="477">
        <v>77144320.376356483</v>
      </c>
      <c r="BL4765" s="458">
        <v>0.27776683593199958</v>
      </c>
      <c r="BM4765" s="468">
        <v>8.7145501276421538</v>
      </c>
    </row>
    <row r="4766" spans="12:65" x14ac:dyDescent="0.3">
      <c r="L4766" s="427">
        <v>-3588859.7714999998</v>
      </c>
      <c r="BE4766" s="477">
        <v>3908690.3062632913</v>
      </c>
      <c r="BF4766" s="458">
        <v>-1.6898882826354988E-4</v>
      </c>
      <c r="BG4766" s="477">
        <v>13123229.209099555</v>
      </c>
      <c r="BH4766" s="458">
        <v>4.8267080597438783E-2</v>
      </c>
      <c r="BI4766" s="477">
        <v>12324510.07650733</v>
      </c>
      <c r="BJ4766" s="458">
        <v>9.8592601130155444E-2</v>
      </c>
      <c r="BK4766" s="477">
        <v>91502792.277462408</v>
      </c>
      <c r="BL4766" s="458">
        <v>0.25391167414678795</v>
      </c>
      <c r="BM4766" s="468">
        <v>7.1551182612046391</v>
      </c>
    </row>
    <row r="4767" spans="12:65" x14ac:dyDescent="0.3">
      <c r="L4767" s="427">
        <v>-9815048.7863999996</v>
      </c>
      <c r="BE4767" s="477">
        <v>302702.43064215768</v>
      </c>
      <c r="BF4767" s="458">
        <v>3.4092583473322779E-2</v>
      </c>
      <c r="BG4767" s="477">
        <v>19547829.056590877</v>
      </c>
      <c r="BH4767" s="458">
        <v>5.496060487505483E-2</v>
      </c>
      <c r="BI4767" s="477">
        <v>8509775.8458483424</v>
      </c>
      <c r="BJ4767" s="458">
        <v>9.8411067423390675E-2</v>
      </c>
      <c r="BK4767" s="477">
        <v>109669668.00539896</v>
      </c>
      <c r="BL4767" s="458">
        <v>0.25928714187344792</v>
      </c>
      <c r="BM4767" s="468">
        <v>17.339586906916949</v>
      </c>
    </row>
    <row r="4768" spans="12:65" x14ac:dyDescent="0.3">
      <c r="L4768" s="427">
        <v>17566852.078499999</v>
      </c>
      <c r="BE4768" s="477">
        <v>3288318.4965415061</v>
      </c>
      <c r="BF4768" s="458">
        <v>1.1671352218154407E-2</v>
      </c>
      <c r="BG4768" s="477">
        <v>8481700.1675098389</v>
      </c>
      <c r="BH4768" s="458">
        <v>5.3474711026917143E-2</v>
      </c>
      <c r="BI4768" s="477">
        <v>18331107.759712417</v>
      </c>
      <c r="BJ4768" s="458">
        <v>0.13550350571731151</v>
      </c>
      <c r="BK4768" s="477">
        <v>85378590.665023416</v>
      </c>
      <c r="BL4768" s="458">
        <v>0.27096921695973863</v>
      </c>
      <c r="BM4768" s="468">
        <v>9.4232418740695536</v>
      </c>
    </row>
    <row r="4769" spans="12:65" x14ac:dyDescent="0.3">
      <c r="L4769" s="427">
        <v>4551320.1255999999</v>
      </c>
      <c r="BE4769" s="477">
        <v>5112818.0384335853</v>
      </c>
      <c r="BF4769" s="458">
        <v>3.5961189313391095E-2</v>
      </c>
      <c r="BG4769" s="477">
        <v>11355790.923846209</v>
      </c>
      <c r="BH4769" s="458">
        <v>0.14462334302633884</v>
      </c>
      <c r="BI4769" s="477">
        <v>21616005.935566481</v>
      </c>
      <c r="BJ4769" s="458">
        <v>9.1439293963517132E-2</v>
      </c>
      <c r="BK4769" s="477">
        <v>117951483.6590029</v>
      </c>
      <c r="BL4769" s="458">
        <v>0.26544168317964645</v>
      </c>
      <c r="BM4769" s="468">
        <v>4.2110737934400477</v>
      </c>
    </row>
    <row r="4770" spans="12:65" x14ac:dyDescent="0.3">
      <c r="L4770" s="427">
        <v>10468974.0426</v>
      </c>
      <c r="BE4770" s="477">
        <v>3339274.7361066584</v>
      </c>
      <c r="BF4770" s="458">
        <v>4.3598861706628078E-2</v>
      </c>
      <c r="BG4770" s="477">
        <v>9675374.9082347117</v>
      </c>
      <c r="BH4770" s="458">
        <v>4.5245413477157825E-2</v>
      </c>
      <c r="BI4770" s="477">
        <v>16971401.374761198</v>
      </c>
      <c r="BJ4770" s="458">
        <v>8.6136175563416684E-2</v>
      </c>
      <c r="BK4770" s="477">
        <v>84595630.543037698</v>
      </c>
      <c r="BL4770" s="458">
        <v>0.27505458673082694</v>
      </c>
      <c r="BM4770" s="468">
        <v>7.1193511543396752</v>
      </c>
    </row>
    <row r="4771" spans="12:65" x14ac:dyDescent="0.3">
      <c r="L4771" s="427">
        <v>1155229.3515000001</v>
      </c>
      <c r="BE4771" s="477">
        <v>8097920.9983209316</v>
      </c>
      <c r="BF4771" s="458">
        <v>3.8511139523036864E-2</v>
      </c>
      <c r="BG4771" s="477">
        <v>8254996.3201148184</v>
      </c>
      <c r="BH4771" s="458">
        <v>6.3622628339166987E-2</v>
      </c>
      <c r="BI4771" s="477">
        <v>18714721.153851792</v>
      </c>
      <c r="BJ4771" s="458">
        <v>0.10944712655532918</v>
      </c>
      <c r="BK4771" s="477">
        <v>92598793.331006482</v>
      </c>
      <c r="BL4771" s="458">
        <v>0.27449161052197391</v>
      </c>
      <c r="BM4771" s="468">
        <v>8.8821126782281077</v>
      </c>
    </row>
    <row r="4772" spans="12:65" x14ac:dyDescent="0.3">
      <c r="L4772" s="427">
        <v>9648619.2337999996</v>
      </c>
      <c r="BE4772" s="477">
        <v>4842885.4009345667</v>
      </c>
      <c r="BF4772" s="458">
        <v>4.2897396955060341E-2</v>
      </c>
      <c r="BG4772" s="477">
        <v>10174379.752129495</v>
      </c>
      <c r="BH4772" s="458">
        <v>7.741417075267365E-2</v>
      </c>
      <c r="BI4772" s="477">
        <v>3880416.5712216911</v>
      </c>
      <c r="BJ4772" s="458">
        <v>0.10687405120165816</v>
      </c>
      <c r="BK4772" s="477">
        <v>97641945.647155315</v>
      </c>
      <c r="BL4772" s="458">
        <v>0.27473503041758507</v>
      </c>
      <c r="BM4772" s="468">
        <v>8.1235605870442864</v>
      </c>
    </row>
    <row r="4773" spans="12:65" x14ac:dyDescent="0.3">
      <c r="L4773" s="427">
        <v>2099138.2179</v>
      </c>
      <c r="BE4773" s="477">
        <v>3081449.7651208164</v>
      </c>
      <c r="BF4773" s="458">
        <v>3.9080067983607858E-2</v>
      </c>
      <c r="BG4773" s="477">
        <v>4113872.2620816357</v>
      </c>
      <c r="BH4773" s="458">
        <v>4.5393871415701392E-2</v>
      </c>
      <c r="BI4773" s="477">
        <v>21104974.191424288</v>
      </c>
      <c r="BJ4773" s="458">
        <v>0.12596097714386301</v>
      </c>
      <c r="BK4773" s="477">
        <v>87135168.183617696</v>
      </c>
      <c r="BL4773" s="458">
        <v>0.26657681623577623</v>
      </c>
      <c r="BM4773" s="468">
        <v>10.57817882241836</v>
      </c>
    </row>
    <row r="4774" spans="12:65" x14ac:dyDescent="0.3">
      <c r="L4774" s="427">
        <v>10149799.489399999</v>
      </c>
      <c r="BE4774" s="477">
        <v>2878498.433314723</v>
      </c>
      <c r="BF4774" s="458">
        <v>3.0416515430529811E-2</v>
      </c>
      <c r="BG4774" s="477">
        <v>11848809.848186474</v>
      </c>
      <c r="BH4774" s="458">
        <v>8.0677356814998546E-2</v>
      </c>
      <c r="BI4774" s="477">
        <v>7954342.9192404989</v>
      </c>
      <c r="BJ4774" s="458">
        <v>0.12362330068121286</v>
      </c>
      <c r="BK4774" s="477">
        <v>96025945.432842702</v>
      </c>
      <c r="BL4774" s="458">
        <v>0.2693177621377898</v>
      </c>
      <c r="BM4774" s="468">
        <v>6.861901247887034</v>
      </c>
    </row>
    <row r="4775" spans="12:65" x14ac:dyDescent="0.3">
      <c r="L4775" s="427">
        <v>-2939023.2256999998</v>
      </c>
      <c r="BE4775" s="477">
        <v>4293772.5440733423</v>
      </c>
      <c r="BF4775" s="458">
        <v>4.7372958948146193E-2</v>
      </c>
      <c r="BG4775" s="477">
        <v>8811411.784227265</v>
      </c>
      <c r="BH4775" s="458">
        <v>5.7289755155250921E-2</v>
      </c>
      <c r="BI4775" s="477">
        <v>13343969.370504301</v>
      </c>
      <c r="BJ4775" s="458">
        <v>6.4446063566015788E-2</v>
      </c>
      <c r="BK4775" s="477">
        <v>89133582.72500056</v>
      </c>
      <c r="BL4775" s="458">
        <v>0.27621746481650589</v>
      </c>
      <c r="BM4775" s="468">
        <v>9.5855558242817196</v>
      </c>
    </row>
    <row r="4776" spans="12:65" x14ac:dyDescent="0.3">
      <c r="L4776" s="427">
        <v>-3333206.7094000001</v>
      </c>
      <c r="BE4776" s="477">
        <v>1877673.3014636333</v>
      </c>
      <c r="BF4776" s="458">
        <v>3.7873064070268692E-2</v>
      </c>
      <c r="BG4776" s="477">
        <v>10682514.575515108</v>
      </c>
      <c r="BH4776" s="458">
        <v>7.7325561072006721E-2</v>
      </c>
      <c r="BI4776" s="477">
        <v>20630966.66918071</v>
      </c>
      <c r="BJ4776" s="458">
        <v>0.1213765982923567</v>
      </c>
      <c r="BK4776" s="477">
        <v>108430476.61061889</v>
      </c>
      <c r="BL4776" s="458">
        <v>0.27934502136895767</v>
      </c>
      <c r="BM4776" s="468">
        <v>1.1310500805001871</v>
      </c>
    </row>
    <row r="4777" spans="12:65" x14ac:dyDescent="0.3">
      <c r="L4777" s="427">
        <v>11164514.812200001</v>
      </c>
      <c r="BE4777" s="477">
        <v>5678831.1349104177</v>
      </c>
      <c r="BF4777" s="458">
        <v>1.0833968916233117E-2</v>
      </c>
      <c r="BG4777" s="477">
        <v>10755280.068762733</v>
      </c>
      <c r="BH4777" s="458">
        <v>6.7989916878081313E-2</v>
      </c>
      <c r="BI4777" s="477">
        <v>20546389.924247716</v>
      </c>
      <c r="BJ4777" s="458">
        <v>0.10503270122514841</v>
      </c>
      <c r="BK4777" s="477">
        <v>73335368.194541186</v>
      </c>
      <c r="BL4777" s="458">
        <v>0.27483091036504459</v>
      </c>
      <c r="BM4777" s="468">
        <v>10.999815328514419</v>
      </c>
    </row>
    <row r="4778" spans="12:65" x14ac:dyDescent="0.3">
      <c r="L4778" s="427">
        <v>11029503.306500001</v>
      </c>
      <c r="BE4778" s="477">
        <v>5548599.4767661532</v>
      </c>
      <c r="BF4778" s="458">
        <v>5.941792555965475E-2</v>
      </c>
      <c r="BG4778" s="477">
        <v>10553152.334397554</v>
      </c>
      <c r="BH4778" s="458">
        <v>5.3428292387246223E-2</v>
      </c>
      <c r="BI4778" s="477">
        <v>16808998.579833444</v>
      </c>
      <c r="BJ4778" s="458">
        <v>0.10681374683654643</v>
      </c>
      <c r="BK4778" s="477">
        <v>103492516.18327625</v>
      </c>
      <c r="BL4778" s="458">
        <v>0.25376229022074059</v>
      </c>
      <c r="BM4778" s="468">
        <v>9.2163135921362169</v>
      </c>
    </row>
    <row r="4779" spans="12:65" x14ac:dyDescent="0.3">
      <c r="L4779" s="427">
        <v>-5135274.5465000002</v>
      </c>
      <c r="BE4779" s="477">
        <v>5838754.2477228586</v>
      </c>
      <c r="BF4779" s="458">
        <v>2.7042667650073682E-2</v>
      </c>
      <c r="BG4779" s="477">
        <v>8946115.1503993589</v>
      </c>
      <c r="BH4779" s="458">
        <v>6.0538301459079236E-2</v>
      </c>
      <c r="BI4779" s="477">
        <v>22643938.629940402</v>
      </c>
      <c r="BJ4779" s="458">
        <v>0.11570454936823737</v>
      </c>
      <c r="BK4779" s="477">
        <v>91305112.68259719</v>
      </c>
      <c r="BL4779" s="458">
        <v>0.25219993458348289</v>
      </c>
      <c r="BM4779" s="468">
        <v>13.059477925973045</v>
      </c>
    </row>
    <row r="4780" spans="12:65" x14ac:dyDescent="0.3">
      <c r="L4780" s="427">
        <v>3572619.1030999999</v>
      </c>
      <c r="BE4780" s="477">
        <v>9097394.2802297641</v>
      </c>
      <c r="BF4780" s="458">
        <v>5.4895922985979784E-2</v>
      </c>
      <c r="BG4780" s="477">
        <v>5398725.5935400492</v>
      </c>
      <c r="BH4780" s="458">
        <v>6.0373335772891723E-2</v>
      </c>
      <c r="BI4780" s="477">
        <v>10251018.120255997</v>
      </c>
      <c r="BJ4780" s="458">
        <v>0.11926497007357617</v>
      </c>
      <c r="BK4780" s="477">
        <v>92403992.672881931</v>
      </c>
      <c r="BL4780" s="458">
        <v>0.2672417027150622</v>
      </c>
      <c r="BM4780" s="468">
        <v>10.129370071793993</v>
      </c>
    </row>
    <row r="4781" spans="12:65" x14ac:dyDescent="0.3">
      <c r="L4781" s="427">
        <v>3697041.5098999999</v>
      </c>
      <c r="BE4781" s="477">
        <v>12583546.663106738</v>
      </c>
      <c r="BF4781" s="458">
        <v>4.4761809266114838E-2</v>
      </c>
      <c r="BG4781" s="477">
        <v>8131167.8135291766</v>
      </c>
      <c r="BH4781" s="458">
        <v>5.1683649285787947E-2</v>
      </c>
      <c r="BI4781" s="477">
        <v>21784785.251230992</v>
      </c>
      <c r="BJ4781" s="458">
        <v>0.10579194009869974</v>
      </c>
      <c r="BK4781" s="477">
        <v>92945011.564322665</v>
      </c>
      <c r="BL4781" s="458">
        <v>0.25204430572781233</v>
      </c>
      <c r="BM4781" s="468">
        <v>9.6867061263726519</v>
      </c>
    </row>
    <row r="4782" spans="12:65" x14ac:dyDescent="0.3">
      <c r="L4782" s="427">
        <v>7085847.6322999997</v>
      </c>
      <c r="BE4782" s="477">
        <v>1945415.797173962</v>
      </c>
      <c r="BF4782" s="458">
        <v>3.8661147211851654E-2</v>
      </c>
      <c r="BG4782" s="477">
        <v>8327251.2201681174</v>
      </c>
      <c r="BH4782" s="458">
        <v>5.3344359324538404E-2</v>
      </c>
      <c r="BI4782" s="477">
        <v>13397816.955509394</v>
      </c>
      <c r="BJ4782" s="458">
        <v>0.10292288462001209</v>
      </c>
      <c r="BK4782" s="477">
        <v>90104956.278490663</v>
      </c>
      <c r="BL4782" s="458">
        <v>0.28033633526847446</v>
      </c>
      <c r="BM4782" s="468">
        <v>9.5193232224462943</v>
      </c>
    </row>
    <row r="4783" spans="12:65" x14ac:dyDescent="0.3">
      <c r="L4783" s="427">
        <v>3489838.5833999999</v>
      </c>
      <c r="BE4783" s="477">
        <v>235518.6454521821</v>
      </c>
      <c r="BF4783" s="458">
        <v>3.5715681275463096E-2</v>
      </c>
      <c r="BG4783" s="477">
        <v>8024668.7914942186</v>
      </c>
      <c r="BH4783" s="458">
        <v>8.4681890934363624E-2</v>
      </c>
      <c r="BI4783" s="477">
        <v>17274767.685732137</v>
      </c>
      <c r="BJ4783" s="458">
        <v>0.10720405122333809</v>
      </c>
      <c r="BK4783" s="477">
        <v>88267582.855680883</v>
      </c>
      <c r="BL4783" s="458">
        <v>0.2976828244192411</v>
      </c>
      <c r="BM4783" s="468">
        <v>9.1470788721075067</v>
      </c>
    </row>
    <row r="4784" spans="12:65" x14ac:dyDescent="0.3">
      <c r="L4784" s="427">
        <v>23140261.341600001</v>
      </c>
      <c r="BE4784" s="477">
        <v>6700354.3684524838</v>
      </c>
      <c r="BF4784" s="458">
        <v>1.7845210902937447E-2</v>
      </c>
      <c r="BG4784" s="477">
        <v>14142442.841731539</v>
      </c>
      <c r="BH4784" s="458">
        <v>7.5757834187772932E-2</v>
      </c>
      <c r="BI4784" s="477">
        <v>20091514.047826007</v>
      </c>
      <c r="BJ4784" s="458">
        <v>9.9861114337058243E-2</v>
      </c>
      <c r="BK4784" s="477">
        <v>90833743.620977014</v>
      </c>
      <c r="BL4784" s="458">
        <v>0.28177624115954503</v>
      </c>
      <c r="BM4784" s="468">
        <v>8.3895710342895473</v>
      </c>
    </row>
    <row r="4785" spans="12:65" x14ac:dyDescent="0.3">
      <c r="L4785" s="427">
        <v>-3681527.9550999999</v>
      </c>
      <c r="BE4785" s="477">
        <v>4731138.503486366</v>
      </c>
      <c r="BF4785" s="458">
        <v>4.4942411892970657E-2</v>
      </c>
      <c r="BG4785" s="477">
        <v>11992138.513225356</v>
      </c>
      <c r="BH4785" s="458">
        <v>6.7650274280072864E-2</v>
      </c>
      <c r="BI4785" s="477">
        <v>23967605.412248701</v>
      </c>
      <c r="BJ4785" s="458">
        <v>7.1839259429571145E-2</v>
      </c>
      <c r="BK4785" s="477">
        <v>91567834.642519578</v>
      </c>
      <c r="BL4785" s="458">
        <v>0.28389395408644669</v>
      </c>
      <c r="BM4785" s="468">
        <v>11.483677310285163</v>
      </c>
    </row>
    <row r="4786" spans="12:65" x14ac:dyDescent="0.3">
      <c r="L4786" s="427">
        <v>16733976.422599999</v>
      </c>
      <c r="BE4786" s="477">
        <v>2774756.0809018281</v>
      </c>
      <c r="BF4786" s="458">
        <v>8.6150409865988875E-2</v>
      </c>
      <c r="BG4786" s="477">
        <v>6415239.4120557532</v>
      </c>
      <c r="BH4786" s="458">
        <v>6.442225430340609E-2</v>
      </c>
      <c r="BI4786" s="477">
        <v>12609337.767305102</v>
      </c>
      <c r="BJ4786" s="458">
        <v>0.11960502113243643</v>
      </c>
      <c r="BK4786" s="477">
        <v>87198054.840989143</v>
      </c>
      <c r="BL4786" s="458">
        <v>0.26160487020219692</v>
      </c>
      <c r="BM4786" s="468">
        <v>2.8197150152381081</v>
      </c>
    </row>
    <row r="4787" spans="12:65" x14ac:dyDescent="0.3">
      <c r="L4787" s="427">
        <v>8894471.5670999996</v>
      </c>
      <c r="BE4787" s="477">
        <v>6880218.0163090341</v>
      </c>
      <c r="BF4787" s="458">
        <v>4.2171346600327286E-2</v>
      </c>
      <c r="BG4787" s="477">
        <v>12147876.704521418</v>
      </c>
      <c r="BH4787" s="458">
        <v>5.4448657576148696E-2</v>
      </c>
      <c r="BI4787" s="477">
        <v>7684301.9331096979</v>
      </c>
      <c r="BJ4787" s="458">
        <v>0.10387590502617616</v>
      </c>
      <c r="BK4787" s="477">
        <v>78246169.210655257</v>
      </c>
      <c r="BL4787" s="458">
        <v>0.25495449426477945</v>
      </c>
      <c r="BM4787" s="468">
        <v>12.565400672750044</v>
      </c>
    </row>
    <row r="4788" spans="12:65" x14ac:dyDescent="0.3">
      <c r="L4788" s="427">
        <v>1137368.1074999999</v>
      </c>
      <c r="BE4788" s="477">
        <v>2155479.8133286014</v>
      </c>
      <c r="BF4788" s="458">
        <v>3.1316881583760559E-2</v>
      </c>
      <c r="BG4788" s="477">
        <v>9121754.4313966185</v>
      </c>
      <c r="BH4788" s="458">
        <v>4.1302103738452667E-2</v>
      </c>
      <c r="BI4788" s="477">
        <v>8417585.1367421634</v>
      </c>
      <c r="BJ4788" s="458">
        <v>0.12549950880105265</v>
      </c>
      <c r="BK4788" s="477">
        <v>93621967.716652319</v>
      </c>
      <c r="BL4788" s="458">
        <v>0.27207404875675212</v>
      </c>
      <c r="BM4788" s="468">
        <v>2.8675298490783296</v>
      </c>
    </row>
    <row r="4789" spans="12:65" x14ac:dyDescent="0.3">
      <c r="L4789" s="427">
        <v>11779380.4911</v>
      </c>
      <c r="BE4789" s="477">
        <v>5387289.5050990498</v>
      </c>
      <c r="BF4789" s="458">
        <v>5.6255419586232147E-2</v>
      </c>
      <c r="BG4789" s="477">
        <v>10091556.52920959</v>
      </c>
      <c r="BH4789" s="458">
        <v>6.9405202369810848E-2</v>
      </c>
      <c r="BI4789" s="477">
        <v>14176897.599425223</v>
      </c>
      <c r="BJ4789" s="458">
        <v>8.8410391439612379E-2</v>
      </c>
      <c r="BK4789" s="477">
        <v>90333582.727761239</v>
      </c>
      <c r="BL4789" s="458">
        <v>0.2706675032791499</v>
      </c>
      <c r="BM4789" s="468">
        <v>11.908259623728643</v>
      </c>
    </row>
    <row r="4790" spans="12:65" x14ac:dyDescent="0.3">
      <c r="L4790" s="427">
        <v>13446285.3137</v>
      </c>
      <c r="BE4790" s="477">
        <v>5068190.7338684034</v>
      </c>
      <c r="BF4790" s="458">
        <v>3.0863317239801402E-2</v>
      </c>
      <c r="BG4790" s="477">
        <v>9075623.5418225769</v>
      </c>
      <c r="BH4790" s="458">
        <v>7.6548062032084863E-2</v>
      </c>
      <c r="BI4790" s="477">
        <v>21868425.229043283</v>
      </c>
      <c r="BJ4790" s="458">
        <v>9.7205426167263242E-2</v>
      </c>
      <c r="BK4790" s="477">
        <v>86762409.600790113</v>
      </c>
      <c r="BL4790" s="458">
        <v>0.27769050986870858</v>
      </c>
      <c r="BM4790" s="468">
        <v>7.1223543982504465</v>
      </c>
    </row>
    <row r="4791" spans="12:65" x14ac:dyDescent="0.3">
      <c r="L4791" s="427">
        <v>6155004.6530999998</v>
      </c>
      <c r="BE4791" s="477">
        <v>4409096.9102975316</v>
      </c>
      <c r="BF4791" s="458">
        <v>2.9570646670176615E-2</v>
      </c>
      <c r="BG4791" s="477">
        <v>14625161.190554935</v>
      </c>
      <c r="BH4791" s="458">
        <v>3.3923855257784075E-2</v>
      </c>
      <c r="BI4791" s="477">
        <v>15305650.571877405</v>
      </c>
      <c r="BJ4791" s="458">
        <v>0.10796110613854482</v>
      </c>
      <c r="BK4791" s="477">
        <v>88904079.198218763</v>
      </c>
      <c r="BL4791" s="458">
        <v>0.2854187358875957</v>
      </c>
      <c r="BM4791" s="468">
        <v>6.3454569188813981</v>
      </c>
    </row>
    <row r="4792" spans="12:65" x14ac:dyDescent="0.3">
      <c r="L4792" s="427">
        <v>10141536.027000001</v>
      </c>
      <c r="BE4792" s="477">
        <v>2650640.477762111</v>
      </c>
      <c r="BF4792" s="458">
        <v>3.8818363607177497E-2</v>
      </c>
      <c r="BG4792" s="477">
        <v>7309072.8746423377</v>
      </c>
      <c r="BH4792" s="458">
        <v>7.7366497653489796E-2</v>
      </c>
      <c r="BI4792" s="477">
        <v>12651261.18740499</v>
      </c>
      <c r="BJ4792" s="458">
        <v>0.10510713720993037</v>
      </c>
      <c r="BK4792" s="477">
        <v>82041811.686514691</v>
      </c>
      <c r="BL4792" s="458">
        <v>0.29146618724899498</v>
      </c>
      <c r="BM4792" s="468">
        <v>11.996024034920062</v>
      </c>
    </row>
    <row r="4793" spans="12:65" x14ac:dyDescent="0.3">
      <c r="L4793" s="427">
        <v>9719001.3096999992</v>
      </c>
      <c r="BE4793" s="477">
        <v>3180526.6761033894</v>
      </c>
      <c r="BF4793" s="458">
        <v>4.1152297352652356E-2</v>
      </c>
      <c r="BG4793" s="477">
        <v>4698726.6774691399</v>
      </c>
      <c r="BH4793" s="458">
        <v>4.1940954397656327E-2</v>
      </c>
      <c r="BI4793" s="477">
        <v>10806938.264950015</v>
      </c>
      <c r="BJ4793" s="458">
        <v>0.10562468748045606</v>
      </c>
      <c r="BK4793" s="477">
        <v>96158564.74748449</v>
      </c>
      <c r="BL4793" s="458">
        <v>0.26080009857425468</v>
      </c>
      <c r="BM4793" s="468">
        <v>5.6296495462092695</v>
      </c>
    </row>
    <row r="4794" spans="12:65" x14ac:dyDescent="0.3">
      <c r="L4794" s="427">
        <v>-4343964.0754000004</v>
      </c>
      <c r="BE4794" s="477">
        <v>8485986.381097991</v>
      </c>
      <c r="BF4794" s="458">
        <v>4.1292270134377196E-2</v>
      </c>
      <c r="BG4794" s="477">
        <v>12942643.717432536</v>
      </c>
      <c r="BH4794" s="458">
        <v>0.10125410279968428</v>
      </c>
      <c r="BI4794" s="477">
        <v>13360918.197553016</v>
      </c>
      <c r="BJ4794" s="458">
        <v>8.3473527549339455E-2</v>
      </c>
      <c r="BK4794" s="477">
        <v>80131422.348023772</v>
      </c>
      <c r="BL4794" s="458">
        <v>0.26320849391637058</v>
      </c>
      <c r="BM4794" s="468">
        <v>7.8182023245935959</v>
      </c>
    </row>
    <row r="4795" spans="12:65" x14ac:dyDescent="0.3">
      <c r="L4795" s="427">
        <v>-5524324.0931000002</v>
      </c>
      <c r="BE4795" s="477">
        <v>3936255.7015841957</v>
      </c>
      <c r="BF4795" s="458">
        <v>6.3355217462110591E-2</v>
      </c>
      <c r="BG4795" s="477">
        <v>-5257658.2670836141</v>
      </c>
      <c r="BH4795" s="458">
        <v>6.24503812756807E-2</v>
      </c>
      <c r="BI4795" s="477">
        <v>15049175.994668217</v>
      </c>
      <c r="BJ4795" s="458">
        <v>0.12398141357108838</v>
      </c>
      <c r="BK4795" s="477">
        <v>89727122.631033048</v>
      </c>
      <c r="BL4795" s="458">
        <v>0.30616455944267318</v>
      </c>
      <c r="BM4795" s="468">
        <v>10.572919179465515</v>
      </c>
    </row>
    <row r="4796" spans="12:65" x14ac:dyDescent="0.3">
      <c r="L4796" s="427">
        <v>-4307301.6668999996</v>
      </c>
      <c r="BE4796" s="477">
        <v>6483041.3658857662</v>
      </c>
      <c r="BF4796" s="458">
        <v>2.6366643374121201E-2</v>
      </c>
      <c r="BG4796" s="477">
        <v>7821318.923177449</v>
      </c>
      <c r="BH4796" s="458">
        <v>5.209914598356824E-2</v>
      </c>
      <c r="BI4796" s="477">
        <v>12857052.211877204</v>
      </c>
      <c r="BJ4796" s="458">
        <v>0.10561722966312037</v>
      </c>
      <c r="BK4796" s="477">
        <v>90973262.650116816</v>
      </c>
      <c r="BL4796" s="458">
        <v>0.25771020002509282</v>
      </c>
      <c r="BM4796" s="468">
        <v>8.5159300777916602</v>
      </c>
    </row>
    <row r="4797" spans="12:65" x14ac:dyDescent="0.3">
      <c r="L4797" s="427">
        <v>8204784.3515999997</v>
      </c>
      <c r="BE4797" s="477">
        <v>5798152.7765921839</v>
      </c>
      <c r="BF4797" s="458">
        <v>4.4551524870359849E-2</v>
      </c>
      <c r="BG4797" s="477">
        <v>1818708.5409235922</v>
      </c>
      <c r="BH4797" s="458">
        <v>5.7260913526961499E-2</v>
      </c>
      <c r="BI4797" s="477">
        <v>14157805.434114663</v>
      </c>
      <c r="BJ4797" s="458">
        <v>9.3802300513393444E-2</v>
      </c>
      <c r="BK4797" s="477">
        <v>87904322.601487622</v>
      </c>
      <c r="BL4797" s="458">
        <v>0.27918667092610505</v>
      </c>
      <c r="BM4797" s="468">
        <v>9.9833350833765451</v>
      </c>
    </row>
    <row r="4798" spans="12:65" x14ac:dyDescent="0.3">
      <c r="L4798" s="427">
        <v>2004113.2032000001</v>
      </c>
      <c r="BE4798" s="477">
        <v>3444605.7905099411</v>
      </c>
      <c r="BF4798" s="458">
        <v>4.9094295010451372E-2</v>
      </c>
      <c r="BG4798" s="477">
        <v>15947000.557955993</v>
      </c>
      <c r="BH4798" s="458">
        <v>5.1995685001919645E-2</v>
      </c>
      <c r="BI4798" s="477">
        <v>16711685.91509496</v>
      </c>
      <c r="BJ4798" s="458">
        <v>0.12568469421273654</v>
      </c>
      <c r="BK4798" s="477">
        <v>92113010.616355851</v>
      </c>
      <c r="BL4798" s="458">
        <v>0.27031370304298563</v>
      </c>
      <c r="BM4798" s="468">
        <v>1.625361721613884</v>
      </c>
    </row>
    <row r="4799" spans="12:65" x14ac:dyDescent="0.3">
      <c r="L4799" s="427">
        <v>19030065.829100002</v>
      </c>
      <c r="BE4799" s="477">
        <v>6573984.1624733228</v>
      </c>
      <c r="BF4799" s="458">
        <v>3.9637171759275835E-2</v>
      </c>
      <c r="BG4799" s="477">
        <v>12901215.183436142</v>
      </c>
      <c r="BH4799" s="458">
        <v>6.6489754623272335E-2</v>
      </c>
      <c r="BI4799" s="477">
        <v>13857600.849347884</v>
      </c>
      <c r="BJ4799" s="458">
        <v>0.1220003981665323</v>
      </c>
      <c r="BK4799" s="477">
        <v>98240435.7307612</v>
      </c>
      <c r="BL4799" s="458">
        <v>0.28042388589623957</v>
      </c>
      <c r="BM4799" s="468">
        <v>11.633180212917585</v>
      </c>
    </row>
    <row r="4800" spans="12:65" x14ac:dyDescent="0.3">
      <c r="L4800" s="427">
        <v>-6399954.4233999997</v>
      </c>
      <c r="BE4800" s="477">
        <v>2930943.7721370389</v>
      </c>
      <c r="BF4800" s="458">
        <v>3.6051219560849779E-2</v>
      </c>
      <c r="BG4800" s="477">
        <v>9928080.0061185006</v>
      </c>
      <c r="BH4800" s="458">
        <v>6.0219035855949121E-2</v>
      </c>
      <c r="BI4800" s="477">
        <v>9928943.5170369316</v>
      </c>
      <c r="BJ4800" s="458">
        <v>0.11851074609821555</v>
      </c>
      <c r="BK4800" s="477">
        <v>78429151.089566693</v>
      </c>
      <c r="BL4800" s="458">
        <v>0.25471792405123383</v>
      </c>
      <c r="BM4800" s="468">
        <v>9.7709728131433398</v>
      </c>
    </row>
    <row r="4801" spans="12:65" x14ac:dyDescent="0.3">
      <c r="L4801" s="427">
        <v>14642912.4738</v>
      </c>
      <c r="BE4801" s="477">
        <v>4601275.611860428</v>
      </c>
      <c r="BF4801" s="458">
        <v>2.3685848894185568E-2</v>
      </c>
      <c r="BG4801" s="477">
        <v>9487552.9234134965</v>
      </c>
      <c r="BH4801" s="458">
        <v>5.8576140919643249E-2</v>
      </c>
      <c r="BI4801" s="477">
        <v>20827409.225221224</v>
      </c>
      <c r="BJ4801" s="458">
        <v>0.11522705366374164</v>
      </c>
      <c r="BK4801" s="477">
        <v>88003052.597446516</v>
      </c>
      <c r="BL4801" s="458">
        <v>0.26164551640385891</v>
      </c>
      <c r="BM4801" s="468">
        <v>4.6167783079385787</v>
      </c>
    </row>
    <row r="4802" spans="12:65" x14ac:dyDescent="0.3">
      <c r="L4802" s="427">
        <v>21789082.388099998</v>
      </c>
      <c r="BE4802" s="477">
        <v>6678101.6850166107</v>
      </c>
      <c r="BF4802" s="458">
        <v>5.8675567858140543E-2</v>
      </c>
      <c r="BG4802" s="477">
        <v>2503067.7815546282</v>
      </c>
      <c r="BH4802" s="458">
        <v>6.3514849442252164E-2</v>
      </c>
      <c r="BI4802" s="477">
        <v>10953198.003852269</v>
      </c>
      <c r="BJ4802" s="458">
        <v>0.13186945981223275</v>
      </c>
      <c r="BK4802" s="477">
        <v>82810282.058575124</v>
      </c>
      <c r="BL4802" s="458">
        <v>0.27251124028560914</v>
      </c>
      <c r="BM4802" s="468">
        <v>12.718371856930675</v>
      </c>
    </row>
    <row r="4803" spans="12:65" x14ac:dyDescent="0.3">
      <c r="L4803" s="427">
        <v>11719843.5085</v>
      </c>
      <c r="BE4803" s="477">
        <v>8641106.3751349989</v>
      </c>
      <c r="BF4803" s="458">
        <v>4.0062481254973026E-2</v>
      </c>
      <c r="BG4803" s="477">
        <v>10285341.453855013</v>
      </c>
      <c r="BH4803" s="458">
        <v>8.2562538081285775E-2</v>
      </c>
      <c r="BI4803" s="477">
        <v>22661020.664631214</v>
      </c>
      <c r="BJ4803" s="458">
        <v>0.11361492698843567</v>
      </c>
      <c r="BK4803" s="477">
        <v>96520758.402149394</v>
      </c>
      <c r="BL4803" s="458">
        <v>0.28453270747111015</v>
      </c>
      <c r="BM4803" s="468">
        <v>5.0638515226475551</v>
      </c>
    </row>
    <row r="4804" spans="12:65" x14ac:dyDescent="0.3">
      <c r="L4804" s="427">
        <v>23360865.710099999</v>
      </c>
      <c r="BE4804" s="477">
        <v>2483856.5631593987</v>
      </c>
      <c r="BF4804" s="458">
        <v>4.388504854176678E-2</v>
      </c>
      <c r="BG4804" s="477">
        <v>8517390.2960920874</v>
      </c>
      <c r="BH4804" s="458">
        <v>4.906434771167878E-2</v>
      </c>
      <c r="BI4804" s="477">
        <v>14105104.138086781</v>
      </c>
      <c r="BJ4804" s="458">
        <v>9.7064625158536533E-2</v>
      </c>
      <c r="BK4804" s="477">
        <v>97207191.008436874</v>
      </c>
      <c r="BL4804" s="458">
        <v>0.27106863358690281</v>
      </c>
      <c r="BM4804" s="468">
        <v>-3.3575867467806582</v>
      </c>
    </row>
    <row r="4805" spans="12:65" x14ac:dyDescent="0.3">
      <c r="L4805" s="427">
        <v>7496517.0088</v>
      </c>
      <c r="BE4805" s="477">
        <v>5702705.2915376304</v>
      </c>
      <c r="BF4805" s="458">
        <v>3.7993250958567648E-2</v>
      </c>
      <c r="BG4805" s="477">
        <v>7233793.2726805611</v>
      </c>
      <c r="BH4805" s="458">
        <v>6.189357791366068E-2</v>
      </c>
      <c r="BI4805" s="477">
        <v>17863902.241650604</v>
      </c>
      <c r="BJ4805" s="458">
        <v>0.10546461363656601</v>
      </c>
      <c r="BK4805" s="477">
        <v>94411615.910743624</v>
      </c>
      <c r="BL4805" s="458">
        <v>0.26508791283573907</v>
      </c>
      <c r="BM4805" s="468">
        <v>8.6112031138288394</v>
      </c>
    </row>
    <row r="4806" spans="12:65" x14ac:dyDescent="0.3">
      <c r="L4806" s="427">
        <v>11006259.6895</v>
      </c>
      <c r="BE4806" s="477">
        <v>6616071.8014831701</v>
      </c>
      <c r="BF4806" s="458">
        <v>3.5386810947886316E-2</v>
      </c>
      <c r="BG4806" s="477">
        <v>11996980.465566527</v>
      </c>
      <c r="BH4806" s="458">
        <v>1.6290612665710302E-2</v>
      </c>
      <c r="BI4806" s="477">
        <v>23680199.468643524</v>
      </c>
      <c r="BJ4806" s="458">
        <v>0.10497804785912135</v>
      </c>
      <c r="BK4806" s="477">
        <v>101763565.58019045</v>
      </c>
      <c r="BL4806" s="458">
        <v>0.29083453249903846</v>
      </c>
      <c r="BM4806" s="468">
        <v>5.4777846545744824</v>
      </c>
    </row>
    <row r="4807" spans="12:65" x14ac:dyDescent="0.3">
      <c r="L4807" s="427">
        <v>8057579.5957000004</v>
      </c>
      <c r="BE4807" s="477">
        <v>6870070.4960855367</v>
      </c>
      <c r="BF4807" s="458">
        <v>5.3048385759501437E-2</v>
      </c>
      <c r="BG4807" s="477">
        <v>10607710.926283319</v>
      </c>
      <c r="BH4807" s="458">
        <v>7.4505567674667539E-2</v>
      </c>
      <c r="BI4807" s="477">
        <v>18786055.752001967</v>
      </c>
      <c r="BJ4807" s="458">
        <v>0.1048920933449502</v>
      </c>
      <c r="BK4807" s="477">
        <v>100162505.91346867</v>
      </c>
      <c r="BL4807" s="458">
        <v>0.26751477516587885</v>
      </c>
      <c r="BM4807" s="468">
        <v>8.046970975569014</v>
      </c>
    </row>
    <row r="4808" spans="12:65" x14ac:dyDescent="0.3">
      <c r="L4808" s="427">
        <v>7539841.8671000004</v>
      </c>
      <c r="BE4808" s="477">
        <v>6268357.9460665854</v>
      </c>
      <c r="BF4808" s="458">
        <v>3.9004430795770428E-2</v>
      </c>
      <c r="BG4808" s="477">
        <v>14747993.729273057</v>
      </c>
      <c r="BH4808" s="458">
        <v>0.13093680507181338</v>
      </c>
      <c r="BI4808" s="477">
        <v>16134704.259076511</v>
      </c>
      <c r="BJ4808" s="458">
        <v>0.12648688139646613</v>
      </c>
      <c r="BK4808" s="477">
        <v>89371204.441336513</v>
      </c>
      <c r="BL4808" s="458">
        <v>0.27950773672717766</v>
      </c>
      <c r="BM4808" s="468">
        <v>3.5369616043326442</v>
      </c>
    </row>
    <row r="4809" spans="12:65" x14ac:dyDescent="0.3">
      <c r="L4809" s="427">
        <v>-824535.89260000002</v>
      </c>
      <c r="BE4809" s="477">
        <v>8910673.0684346035</v>
      </c>
      <c r="BF4809" s="458">
        <v>3.9782344030439898E-2</v>
      </c>
      <c r="BG4809" s="477">
        <v>6822756.0651882282</v>
      </c>
      <c r="BH4809" s="458">
        <v>6.5397525756004216E-2</v>
      </c>
      <c r="BI4809" s="477">
        <v>10772806.899258327</v>
      </c>
      <c r="BJ4809" s="458">
        <v>0.10848597874665145</v>
      </c>
      <c r="BK4809" s="477">
        <v>101207238.07570377</v>
      </c>
      <c r="BL4809" s="458">
        <v>0.27060368956996594</v>
      </c>
      <c r="BM4809" s="468">
        <v>13.972580063926031</v>
      </c>
    </row>
    <row r="4810" spans="12:65" x14ac:dyDescent="0.3">
      <c r="L4810" s="427">
        <v>10737942.176999999</v>
      </c>
      <c r="BE4810" s="477">
        <v>4755448.8883209024</v>
      </c>
      <c r="BF4810" s="458">
        <v>6.3800998328793046E-2</v>
      </c>
      <c r="BG4810" s="477">
        <v>7890473.0660335608</v>
      </c>
      <c r="BH4810" s="458">
        <v>4.5659033720224507E-2</v>
      </c>
      <c r="BI4810" s="477">
        <v>19405699.583579153</v>
      </c>
      <c r="BJ4810" s="458">
        <v>0.12207758048591177</v>
      </c>
      <c r="BK4810" s="477">
        <v>66074524.409343652</v>
      </c>
      <c r="BL4810" s="458">
        <v>0.26400726782384365</v>
      </c>
      <c r="BM4810" s="468">
        <v>10.196320303237743</v>
      </c>
    </row>
    <row r="4811" spans="12:65" x14ac:dyDescent="0.3">
      <c r="L4811" s="427">
        <v>3905063.3292</v>
      </c>
      <c r="BE4811" s="477">
        <v>4805284.3629866913</v>
      </c>
      <c r="BF4811" s="458">
        <v>3.4081871317419798E-2</v>
      </c>
      <c r="BG4811" s="477">
        <v>10139604.596572245</v>
      </c>
      <c r="BH4811" s="458">
        <v>5.9716674974171324E-2</v>
      </c>
      <c r="BI4811" s="477">
        <v>14480717.387420597</v>
      </c>
      <c r="BJ4811" s="458">
        <v>0.101280587874226</v>
      </c>
      <c r="BK4811" s="477">
        <v>91104237.412823543</v>
      </c>
      <c r="BL4811" s="458">
        <v>0.25716826494694245</v>
      </c>
      <c r="BM4811" s="468">
        <v>13.608365469278866</v>
      </c>
    </row>
    <row r="4812" spans="12:65" x14ac:dyDescent="0.3">
      <c r="L4812" s="427">
        <v>9401863.0820000004</v>
      </c>
      <c r="BE4812" s="477">
        <v>3350701.9713714658</v>
      </c>
      <c r="BF4812" s="458">
        <v>4.3503462776738333E-2</v>
      </c>
      <c r="BG4812" s="477">
        <v>7224802.9707700508</v>
      </c>
      <c r="BH4812" s="458">
        <v>6.4794447283226475E-2</v>
      </c>
      <c r="BI4812" s="477">
        <v>17589239.392795399</v>
      </c>
      <c r="BJ4812" s="458">
        <v>0.12252752698736424</v>
      </c>
      <c r="BK4812" s="477">
        <v>80727578.205809057</v>
      </c>
      <c r="BL4812" s="458">
        <v>0.2793610974425913</v>
      </c>
      <c r="BM4812" s="468">
        <v>7.0594343122532619</v>
      </c>
    </row>
    <row r="4813" spans="12:65" x14ac:dyDescent="0.3">
      <c r="L4813" s="427">
        <v>21976526.132399999</v>
      </c>
      <c r="BE4813" s="477">
        <v>2814252.5698038731</v>
      </c>
      <c r="BF4813" s="458">
        <v>3.2950466437920989E-2</v>
      </c>
      <c r="BG4813" s="477">
        <v>15841834.900371626</v>
      </c>
      <c r="BH4813" s="458">
        <v>6.6937262931484387E-2</v>
      </c>
      <c r="BI4813" s="477">
        <v>19165931.150966559</v>
      </c>
      <c r="BJ4813" s="458">
        <v>9.8633235362014293E-2</v>
      </c>
      <c r="BK4813" s="477">
        <v>104692740.64670788</v>
      </c>
      <c r="BL4813" s="458">
        <v>0.27062998627285118</v>
      </c>
      <c r="BM4813" s="468">
        <v>10.809500927418826</v>
      </c>
    </row>
    <row r="4814" spans="12:65" x14ac:dyDescent="0.3">
      <c r="L4814" s="427">
        <v>11202115.087300001</v>
      </c>
      <c r="BE4814" s="477">
        <v>7707473.6160621708</v>
      </c>
      <c r="BF4814" s="458">
        <v>3.3459540576239233E-2</v>
      </c>
      <c r="BG4814" s="477">
        <v>10901580.644258911</v>
      </c>
      <c r="BH4814" s="458">
        <v>8.1745768003674169E-2</v>
      </c>
      <c r="BI4814" s="477">
        <v>22405684.682544533</v>
      </c>
      <c r="BJ4814" s="458">
        <v>0.11315004752518032</v>
      </c>
      <c r="BK4814" s="477">
        <v>86735510.52911596</v>
      </c>
      <c r="BL4814" s="458">
        <v>0.27931816296080747</v>
      </c>
      <c r="BM4814" s="468">
        <v>6.2567347406765457</v>
      </c>
    </row>
    <row r="4815" spans="12:65" x14ac:dyDescent="0.3">
      <c r="L4815" s="427">
        <v>-843992.96299999999</v>
      </c>
      <c r="BE4815" s="477">
        <v>6316318.8671784811</v>
      </c>
      <c r="BF4815" s="458">
        <v>5.18699209634923E-2</v>
      </c>
      <c r="BG4815" s="477">
        <v>13260922.306927543</v>
      </c>
      <c r="BH4815" s="458">
        <v>0.10502231934335171</v>
      </c>
      <c r="BI4815" s="477">
        <v>20130697.456452701</v>
      </c>
      <c r="BJ4815" s="458">
        <v>8.2259619027531983E-2</v>
      </c>
      <c r="BK4815" s="477">
        <v>98209428.321759179</v>
      </c>
      <c r="BL4815" s="458">
        <v>0.25887906570512298</v>
      </c>
      <c r="BM4815" s="468">
        <v>10.215347240294939</v>
      </c>
    </row>
    <row r="4816" spans="12:65" x14ac:dyDescent="0.3">
      <c r="L4816" s="427">
        <v>20161286.716200002</v>
      </c>
      <c r="BE4816" s="477">
        <v>5190196.6831996851</v>
      </c>
      <c r="BF4816" s="458">
        <v>3.6983107556112005E-2</v>
      </c>
      <c r="BG4816" s="477">
        <v>11211348.141145322</v>
      </c>
      <c r="BH4816" s="458">
        <v>4.1712465359769579E-2</v>
      </c>
      <c r="BI4816" s="477">
        <v>21459537.904235773</v>
      </c>
      <c r="BJ4816" s="458">
        <v>8.7555392198964688E-2</v>
      </c>
      <c r="BK4816" s="477">
        <v>89778624.123382896</v>
      </c>
      <c r="BL4816" s="458">
        <v>0.28075482701375742</v>
      </c>
      <c r="BM4816" s="468">
        <v>6.1070720544150241</v>
      </c>
    </row>
    <row r="4817" spans="12:65" x14ac:dyDescent="0.3">
      <c r="L4817" s="427">
        <v>3573261.4114000001</v>
      </c>
      <c r="BE4817" s="477">
        <v>4709054.2837365139</v>
      </c>
      <c r="BF4817" s="458">
        <v>4.840347495706121E-2</v>
      </c>
      <c r="BG4817" s="477">
        <v>10541777.315698396</v>
      </c>
      <c r="BH4817" s="458">
        <v>7.1327998931031589E-2</v>
      </c>
      <c r="BI4817" s="477">
        <v>19842891.562940657</v>
      </c>
      <c r="BJ4817" s="458">
        <v>0.10227404978720278</v>
      </c>
      <c r="BK4817" s="477">
        <v>104101277.15754046</v>
      </c>
      <c r="BL4817" s="458">
        <v>0.27140415012055019</v>
      </c>
      <c r="BM4817" s="468">
        <v>7.5558908525583801</v>
      </c>
    </row>
    <row r="4818" spans="12:65" x14ac:dyDescent="0.3">
      <c r="L4818" s="427">
        <v>5007349.0454000002</v>
      </c>
      <c r="BE4818" s="477">
        <v>4159365.441696974</v>
      </c>
      <c r="BF4818" s="458">
        <v>4.9154763464316353E-2</v>
      </c>
      <c r="BG4818" s="477">
        <v>2814568.0152411978</v>
      </c>
      <c r="BH4818" s="458">
        <v>3.8130775230937219E-2</v>
      </c>
      <c r="BI4818" s="477">
        <v>14519515.471318224</v>
      </c>
      <c r="BJ4818" s="458">
        <v>0.10920444396348983</v>
      </c>
      <c r="BK4818" s="477">
        <v>91750357.254907429</v>
      </c>
      <c r="BL4818" s="458">
        <v>0.26600311069787019</v>
      </c>
      <c r="BM4818" s="468">
        <v>5.9769686410618483</v>
      </c>
    </row>
    <row r="4819" spans="12:65" x14ac:dyDescent="0.3">
      <c r="L4819" s="427">
        <v>4942190.1825999999</v>
      </c>
      <c r="BE4819" s="477">
        <v>2446150.1293913741</v>
      </c>
      <c r="BF4819" s="458">
        <v>4.0765975675785215E-2</v>
      </c>
      <c r="BG4819" s="477">
        <v>10919829.373982662</v>
      </c>
      <c r="BH4819" s="458">
        <v>6.0282009094763334E-2</v>
      </c>
      <c r="BI4819" s="477">
        <v>18711840.317295805</v>
      </c>
      <c r="BJ4819" s="458">
        <v>0.10432268810754919</v>
      </c>
      <c r="BK4819" s="477">
        <v>85691512.752099752</v>
      </c>
      <c r="BL4819" s="458">
        <v>0.27938311888680678</v>
      </c>
      <c r="BM4819" s="468">
        <v>5.59774786988317</v>
      </c>
    </row>
    <row r="4820" spans="12:65" x14ac:dyDescent="0.3">
      <c r="L4820" s="427">
        <v>15331037.397600001</v>
      </c>
      <c r="BE4820" s="477">
        <v>3957846.4549982054</v>
      </c>
      <c r="BF4820" s="458">
        <v>4.9813283165016653E-2</v>
      </c>
      <c r="BG4820" s="477">
        <v>15496997.101473438</v>
      </c>
      <c r="BH4820" s="458">
        <v>8.2231226660907986E-2</v>
      </c>
      <c r="BI4820" s="477">
        <v>22089650.542019632</v>
      </c>
      <c r="BJ4820" s="458">
        <v>9.7573220504725722E-2</v>
      </c>
      <c r="BK4820" s="477">
        <v>89871954.864705548</v>
      </c>
      <c r="BL4820" s="458">
        <v>0.26266274243383392</v>
      </c>
      <c r="BM4820" s="468">
        <v>9.9049665562849132</v>
      </c>
    </row>
    <row r="4821" spans="12:65" x14ac:dyDescent="0.3">
      <c r="L4821" s="427">
        <v>-5225700.2569000004</v>
      </c>
      <c r="BE4821" s="477">
        <v>4727038.4702730449</v>
      </c>
      <c r="BF4821" s="458">
        <v>3.4463345794443212E-2</v>
      </c>
      <c r="BG4821" s="477">
        <v>7648301.6474095127</v>
      </c>
      <c r="BH4821" s="458">
        <v>6.3669078810084434E-2</v>
      </c>
      <c r="BI4821" s="477">
        <v>16075747.452810789</v>
      </c>
      <c r="BJ4821" s="458">
        <v>9.0350145685802241E-2</v>
      </c>
      <c r="BK4821" s="477">
        <v>79375030.059060708</v>
      </c>
      <c r="BL4821" s="458">
        <v>0.26221690196129877</v>
      </c>
      <c r="BM4821" s="468">
        <v>5.9035635999137188</v>
      </c>
    </row>
    <row r="4822" spans="12:65" x14ac:dyDescent="0.3">
      <c r="L4822" s="427">
        <v>18054543.159400001</v>
      </c>
      <c r="BE4822" s="477">
        <v>4373460.4874579888</v>
      </c>
      <c r="BF4822" s="458">
        <v>3.3338000572799675E-2</v>
      </c>
      <c r="BG4822" s="477">
        <v>9342471.8063829448</v>
      </c>
      <c r="BH4822" s="458">
        <v>7.8939500915885086E-2</v>
      </c>
      <c r="BI4822" s="477">
        <v>14274778.67239717</v>
      </c>
      <c r="BJ4822" s="458">
        <v>9.5920407209229674E-2</v>
      </c>
      <c r="BK4822" s="477">
        <v>91969815.892831862</v>
      </c>
      <c r="BL4822" s="458">
        <v>0.27675308166528478</v>
      </c>
      <c r="BM4822" s="468">
        <v>12.029985318321225</v>
      </c>
    </row>
    <row r="4823" spans="12:65" x14ac:dyDescent="0.3">
      <c r="L4823" s="427">
        <v>-8316972.9686000003</v>
      </c>
      <c r="BE4823" s="477">
        <v>3642456.4562550876</v>
      </c>
      <c r="BF4823" s="458">
        <v>5.0466176134005503E-2</v>
      </c>
      <c r="BG4823" s="477">
        <v>14305187.758868525</v>
      </c>
      <c r="BH4823" s="458">
        <v>6.8585907387068712E-2</v>
      </c>
      <c r="BI4823" s="477">
        <v>12266285.03506954</v>
      </c>
      <c r="BJ4823" s="458">
        <v>0.11566814734816222</v>
      </c>
      <c r="BK4823" s="477">
        <v>103081175.76648727</v>
      </c>
      <c r="BL4823" s="458">
        <v>0.26593544411746106</v>
      </c>
      <c r="BM4823" s="468">
        <v>6.7285333326243846</v>
      </c>
    </row>
    <row r="4824" spans="12:65" x14ac:dyDescent="0.3">
      <c r="L4824" s="427">
        <v>9586079.3776999991</v>
      </c>
      <c r="BE4824" s="477">
        <v>7053932.4543012129</v>
      </c>
      <c r="BF4824" s="458">
        <v>4.4575339671232728E-2</v>
      </c>
      <c r="BG4824" s="477">
        <v>3287976.6735114236</v>
      </c>
      <c r="BH4824" s="458">
        <v>6.6026698968662423E-2</v>
      </c>
      <c r="BI4824" s="477">
        <v>10580633.263251878</v>
      </c>
      <c r="BJ4824" s="458">
        <v>0.14366930096353925</v>
      </c>
      <c r="BK4824" s="477">
        <v>93678538.443170279</v>
      </c>
      <c r="BL4824" s="458">
        <v>0.25639955258479308</v>
      </c>
      <c r="BM4824" s="468">
        <v>5.0888452714375934</v>
      </c>
    </row>
    <row r="4825" spans="12:65" x14ac:dyDescent="0.3">
      <c r="L4825" s="427">
        <v>21549735.308899999</v>
      </c>
      <c r="BE4825" s="477">
        <v>6362667.1352142617</v>
      </c>
      <c r="BF4825" s="458">
        <v>3.6385606720862995E-2</v>
      </c>
      <c r="BG4825" s="477">
        <v>-2277788.1394553673</v>
      </c>
      <c r="BH4825" s="458">
        <v>4.0388852266829423E-2</v>
      </c>
      <c r="BI4825" s="477">
        <v>11158933.5390359</v>
      </c>
      <c r="BJ4825" s="458">
        <v>0.10747873015638287</v>
      </c>
      <c r="BK4825" s="477">
        <v>100823677.26844473</v>
      </c>
      <c r="BL4825" s="458">
        <v>0.26036272567099572</v>
      </c>
      <c r="BM4825" s="468">
        <v>8.8898246949891071</v>
      </c>
    </row>
    <row r="4826" spans="12:65" x14ac:dyDescent="0.3">
      <c r="L4826" s="427">
        <v>7511448.1240999997</v>
      </c>
      <c r="BE4826" s="477">
        <v>6512429.5256072171</v>
      </c>
      <c r="BF4826" s="458">
        <v>4.8857591342778894E-2</v>
      </c>
      <c r="BG4826" s="477">
        <v>6283542.8691481762</v>
      </c>
      <c r="BH4826" s="458">
        <v>9.4139211037387316E-2</v>
      </c>
      <c r="BI4826" s="477">
        <v>12896124.016448332</v>
      </c>
      <c r="BJ4826" s="458">
        <v>0.11289823238769814</v>
      </c>
      <c r="BK4826" s="477">
        <v>82659264.175207242</v>
      </c>
      <c r="BL4826" s="458">
        <v>0.28295531464227319</v>
      </c>
      <c r="BM4826" s="468">
        <v>9.8148837234209925</v>
      </c>
    </row>
    <row r="4827" spans="12:65" x14ac:dyDescent="0.3">
      <c r="L4827" s="427">
        <v>14508097.7261</v>
      </c>
      <c r="BE4827" s="477">
        <v>7447045.95936934</v>
      </c>
      <c r="BF4827" s="458">
        <v>4.5304636699024625E-2</v>
      </c>
      <c r="BG4827" s="477">
        <v>8221128.9089204622</v>
      </c>
      <c r="BH4827" s="458">
        <v>7.4964409314418834E-2</v>
      </c>
      <c r="BI4827" s="477">
        <v>22170169.243268345</v>
      </c>
      <c r="BJ4827" s="458">
        <v>0.10302785551984694</v>
      </c>
      <c r="BK4827" s="477">
        <v>92755516.564550444</v>
      </c>
      <c r="BL4827" s="458">
        <v>0.28338496875431241</v>
      </c>
      <c r="BM4827" s="468">
        <v>6.8932550787849554</v>
      </c>
    </row>
    <row r="4828" spans="12:65" x14ac:dyDescent="0.3">
      <c r="L4828" s="427">
        <v>5015976.5131000001</v>
      </c>
      <c r="BE4828" s="477">
        <v>7573143.2865969026</v>
      </c>
      <c r="BF4828" s="458">
        <v>4.877785424787584E-2</v>
      </c>
      <c r="BG4828" s="477">
        <v>6955324.3265733831</v>
      </c>
      <c r="BH4828" s="458">
        <v>2.7462217435433089E-2</v>
      </c>
      <c r="BI4828" s="477">
        <v>19871006.598034061</v>
      </c>
      <c r="BJ4828" s="458">
        <v>0.11111721200002034</v>
      </c>
      <c r="BK4828" s="477">
        <v>85798877.597546712</v>
      </c>
      <c r="BL4828" s="458">
        <v>0.26489305967383747</v>
      </c>
      <c r="BM4828" s="468">
        <v>9.9855469116910882</v>
      </c>
    </row>
    <row r="4829" spans="12:65" x14ac:dyDescent="0.3">
      <c r="L4829" s="427">
        <v>2877674.8204999999</v>
      </c>
      <c r="BE4829" s="477">
        <v>4235828.3031044686</v>
      </c>
      <c r="BF4829" s="458">
        <v>6.9621771759879048E-2</v>
      </c>
      <c r="BG4829" s="477">
        <v>7942802.3697416475</v>
      </c>
      <c r="BH4829" s="458">
        <v>5.9988639659160015E-2</v>
      </c>
      <c r="BI4829" s="477">
        <v>20782323.358385887</v>
      </c>
      <c r="BJ4829" s="458">
        <v>8.6942433219227011E-2</v>
      </c>
      <c r="BK4829" s="477">
        <v>108688373.30074993</v>
      </c>
      <c r="BL4829" s="458">
        <v>0.26362999854207603</v>
      </c>
      <c r="BM4829" s="468">
        <v>10.671427843763441</v>
      </c>
    </row>
    <row r="4830" spans="12:65" x14ac:dyDescent="0.3">
      <c r="L4830" s="427">
        <v>-6637089.8850999996</v>
      </c>
      <c r="BE4830" s="477">
        <v>7590647.6818924025</v>
      </c>
      <c r="BF4830" s="458">
        <v>4.7916208758732814E-2</v>
      </c>
      <c r="BG4830" s="477">
        <v>8901662.92457252</v>
      </c>
      <c r="BH4830" s="458">
        <v>5.2132727308306093E-2</v>
      </c>
      <c r="BI4830" s="477">
        <v>8057306.9011439467</v>
      </c>
      <c r="BJ4830" s="458">
        <v>9.1395536643118724E-2</v>
      </c>
      <c r="BK4830" s="477">
        <v>79911400.307156354</v>
      </c>
      <c r="BL4830" s="458">
        <v>0.2540104304382782</v>
      </c>
      <c r="BM4830" s="468">
        <v>8.5504573097379861</v>
      </c>
    </row>
    <row r="4831" spans="12:65" x14ac:dyDescent="0.3">
      <c r="L4831" s="427">
        <v>6679366.0429999996</v>
      </c>
      <c r="BE4831" s="477">
        <v>6029603.0213799225</v>
      </c>
      <c r="BF4831" s="458">
        <v>5.4056949765368234E-2</v>
      </c>
      <c r="BG4831" s="477">
        <v>6240030.2443326535</v>
      </c>
      <c r="BH4831" s="458">
        <v>6.9791611748037274E-2</v>
      </c>
      <c r="BI4831" s="477">
        <v>18063638.337088052</v>
      </c>
      <c r="BJ4831" s="458">
        <v>0.11511102505935966</v>
      </c>
      <c r="BK4831" s="477">
        <v>89648318.798204839</v>
      </c>
      <c r="BL4831" s="458">
        <v>0.29152242459747058</v>
      </c>
      <c r="BM4831" s="468">
        <v>5.2580103717300126</v>
      </c>
    </row>
    <row r="4832" spans="12:65" x14ac:dyDescent="0.3">
      <c r="L4832" s="427">
        <v>5377947.3554999996</v>
      </c>
      <c r="BE4832" s="477">
        <v>7430045.271320452</v>
      </c>
      <c r="BF4832" s="458">
        <v>4.594824137407838E-2</v>
      </c>
      <c r="BG4832" s="477">
        <v>-1118796.8820292288</v>
      </c>
      <c r="BH4832" s="458">
        <v>6.6380725032194832E-2</v>
      </c>
      <c r="BI4832" s="477">
        <v>18201239.37556839</v>
      </c>
      <c r="BJ4832" s="458">
        <v>0.12507166723759044</v>
      </c>
      <c r="BK4832" s="477">
        <v>81610284.521964401</v>
      </c>
      <c r="BL4832" s="458">
        <v>0.27358222481494088</v>
      </c>
      <c r="BM4832" s="468">
        <v>15.505999318230952</v>
      </c>
    </row>
    <row r="4833" spans="12:65" x14ac:dyDescent="0.3">
      <c r="L4833" s="427">
        <v>5682223.0218000002</v>
      </c>
      <c r="BE4833" s="477">
        <v>5237794.7585606501</v>
      </c>
      <c r="BF4833" s="458">
        <v>2.9541886662969752E-2</v>
      </c>
      <c r="BG4833" s="477">
        <v>6220581.6772233406</v>
      </c>
      <c r="BH4833" s="458">
        <v>8.5994254334662346E-2</v>
      </c>
      <c r="BI4833" s="477">
        <v>17002538.862432081</v>
      </c>
      <c r="BJ4833" s="458">
        <v>7.818283867844622E-2</v>
      </c>
      <c r="BK4833" s="477">
        <v>92621013.254607409</v>
      </c>
      <c r="BL4833" s="458">
        <v>0.26474535733618509</v>
      </c>
      <c r="BM4833" s="468">
        <v>4.4876337325959241</v>
      </c>
    </row>
    <row r="4834" spans="12:65" x14ac:dyDescent="0.3">
      <c r="L4834" s="427">
        <v>8230911.1787999999</v>
      </c>
      <c r="BE4834" s="477">
        <v>4063561.9399609836</v>
      </c>
      <c r="BF4834" s="458">
        <v>2.5047001284634662E-2</v>
      </c>
      <c r="BG4834" s="477">
        <v>6564889.5704887165</v>
      </c>
      <c r="BH4834" s="458">
        <v>7.3158405481779099E-2</v>
      </c>
      <c r="BI4834" s="477">
        <v>18368048.764667764</v>
      </c>
      <c r="BJ4834" s="458">
        <v>8.7619208497059065E-2</v>
      </c>
      <c r="BK4834" s="477">
        <v>83991415.223483413</v>
      </c>
      <c r="BL4834" s="458">
        <v>0.26855585640031099</v>
      </c>
      <c r="BM4834" s="468">
        <v>6.7841358394946667</v>
      </c>
    </row>
    <row r="4835" spans="12:65" x14ac:dyDescent="0.3">
      <c r="L4835" s="427">
        <v>-6766029.0603999998</v>
      </c>
      <c r="BE4835" s="477">
        <v>9803067.6093399413</v>
      </c>
      <c r="BF4835" s="458">
        <v>4.2712663872334078E-2</v>
      </c>
      <c r="BG4835" s="477">
        <v>2910133.760399289</v>
      </c>
      <c r="BH4835" s="458">
        <v>7.5446086321937722E-2</v>
      </c>
      <c r="BI4835" s="477">
        <v>17800195.420115512</v>
      </c>
      <c r="BJ4835" s="458">
        <v>9.5255405783685632E-2</v>
      </c>
      <c r="BK4835" s="477">
        <v>88158329.814395398</v>
      </c>
      <c r="BL4835" s="458">
        <v>0.2698318841391858</v>
      </c>
      <c r="BM4835" s="468">
        <v>11.460252954857761</v>
      </c>
    </row>
    <row r="4836" spans="12:65" x14ac:dyDescent="0.3">
      <c r="L4836" s="427">
        <v>13128210.871099999</v>
      </c>
      <c r="BE4836" s="477">
        <v>3142785.1535502612</v>
      </c>
      <c r="BF4836" s="458">
        <v>3.0079617285735161E-2</v>
      </c>
      <c r="BG4836" s="477">
        <v>3638283.4163118741</v>
      </c>
      <c r="BH4836" s="458">
        <v>4.1907109122136132E-2</v>
      </c>
      <c r="BI4836" s="477">
        <v>16672058.964237172</v>
      </c>
      <c r="BJ4836" s="458">
        <v>0.1252313567872787</v>
      </c>
      <c r="BK4836" s="477">
        <v>105124811.18794623</v>
      </c>
      <c r="BL4836" s="458">
        <v>0.24614822202724285</v>
      </c>
      <c r="BM4836" s="468">
        <v>5.3430141600489076</v>
      </c>
    </row>
    <row r="4837" spans="12:65" x14ac:dyDescent="0.3">
      <c r="L4837" s="427">
        <v>10065913.526799999</v>
      </c>
      <c r="BE4837" s="477">
        <v>2688015.9244758934</v>
      </c>
      <c r="BF4837" s="458">
        <v>4.1691944601894404E-2</v>
      </c>
      <c r="BG4837" s="477">
        <v>9156549.8256573901</v>
      </c>
      <c r="BH4837" s="458">
        <v>8.6098810213915522E-2</v>
      </c>
      <c r="BI4837" s="477">
        <v>10550256.681939367</v>
      </c>
      <c r="BJ4837" s="458">
        <v>0.11045379445591785</v>
      </c>
      <c r="BK4837" s="477">
        <v>92200461.120086506</v>
      </c>
      <c r="BL4837" s="458">
        <v>0.26843623829646512</v>
      </c>
      <c r="BM4837" s="468">
        <v>13.392470510543477</v>
      </c>
    </row>
    <row r="4838" spans="12:65" x14ac:dyDescent="0.3">
      <c r="L4838" s="427">
        <v>1588534.7497</v>
      </c>
      <c r="BE4838" s="477">
        <v>5642075.362052395</v>
      </c>
      <c r="BF4838" s="458">
        <v>1.1019642047154443E-2</v>
      </c>
      <c r="BG4838" s="477">
        <v>13409322.862334436</v>
      </c>
      <c r="BH4838" s="458">
        <v>7.5139398219519205E-2</v>
      </c>
      <c r="BI4838" s="477">
        <v>14313693.968051279</v>
      </c>
      <c r="BJ4838" s="458">
        <v>0.13283072791518391</v>
      </c>
      <c r="BK4838" s="477">
        <v>93436494.115396127</v>
      </c>
      <c r="BL4838" s="458">
        <v>0.2772315501085505</v>
      </c>
      <c r="BM4838" s="468">
        <v>9.3807307214937588</v>
      </c>
    </row>
    <row r="4839" spans="12:65" x14ac:dyDescent="0.3">
      <c r="L4839" s="427">
        <v>19308457.591400001</v>
      </c>
      <c r="BE4839" s="477">
        <v>4728603.3692976004</v>
      </c>
      <c r="BF4839" s="458">
        <v>2.9339085922711838E-2</v>
      </c>
      <c r="BG4839" s="477">
        <v>10052888.615223348</v>
      </c>
      <c r="BH4839" s="458">
        <v>7.3796791025855679E-2</v>
      </c>
      <c r="BI4839" s="477">
        <v>11994729.931384545</v>
      </c>
      <c r="BJ4839" s="458">
        <v>0.10402988053832352</v>
      </c>
      <c r="BK4839" s="477">
        <v>112141500.90123798</v>
      </c>
      <c r="BL4839" s="458">
        <v>0.2691325318947444</v>
      </c>
      <c r="BM4839" s="468">
        <v>13.881298019217059</v>
      </c>
    </row>
    <row r="4840" spans="12:65" x14ac:dyDescent="0.3">
      <c r="L4840" s="427">
        <v>361349.93070000003</v>
      </c>
      <c r="BE4840" s="477">
        <v>-1367129.4840856355</v>
      </c>
      <c r="BF4840" s="458">
        <v>2.6409593888055749E-2</v>
      </c>
      <c r="BG4840" s="477">
        <v>11067388.909333335</v>
      </c>
      <c r="BH4840" s="458">
        <v>7.4040195927325358E-2</v>
      </c>
      <c r="BI4840" s="477">
        <v>12302078.417696577</v>
      </c>
      <c r="BJ4840" s="458">
        <v>0.11605912262927909</v>
      </c>
      <c r="BK4840" s="477">
        <v>95881126.985539123</v>
      </c>
      <c r="BL4840" s="458">
        <v>0.27793786556302758</v>
      </c>
      <c r="BM4840" s="468">
        <v>10.714836187687915</v>
      </c>
    </row>
    <row r="4841" spans="12:65" x14ac:dyDescent="0.3">
      <c r="L4841" s="427">
        <v>-6086684.1359000001</v>
      </c>
      <c r="BE4841" s="477">
        <v>6484560.130959983</v>
      </c>
      <c r="BF4841" s="458">
        <v>6.0142400447930733E-2</v>
      </c>
      <c r="BG4841" s="477">
        <v>17895685.380097415</v>
      </c>
      <c r="BH4841" s="458">
        <v>5.2509242967451408E-2</v>
      </c>
      <c r="BI4841" s="477">
        <v>17530145.550612155</v>
      </c>
      <c r="BJ4841" s="458">
        <v>0.11965038381395532</v>
      </c>
      <c r="BK4841" s="477">
        <v>96279288.651465297</v>
      </c>
      <c r="BL4841" s="458">
        <v>0.26272560749314189</v>
      </c>
      <c r="BM4841" s="468">
        <v>7.5855778823469437</v>
      </c>
    </row>
    <row r="4842" spans="12:65" x14ac:dyDescent="0.3">
      <c r="L4842" s="427">
        <v>16243246.5065</v>
      </c>
      <c r="BE4842" s="477">
        <v>6194634.8460524296</v>
      </c>
      <c r="BF4842" s="458">
        <v>4.4758884292500634E-2</v>
      </c>
      <c r="BG4842" s="477">
        <v>9037200.68609358</v>
      </c>
      <c r="BH4842" s="458">
        <v>5.6586534768652053E-2</v>
      </c>
      <c r="BI4842" s="477">
        <v>17855629.226200707</v>
      </c>
      <c r="BJ4842" s="458">
        <v>0.11874041338584362</v>
      </c>
      <c r="BK4842" s="477">
        <v>87963033.749560341</v>
      </c>
      <c r="BL4842" s="458">
        <v>0.25690935171408324</v>
      </c>
      <c r="BM4842" s="468">
        <v>14.491650826079805</v>
      </c>
    </row>
    <row r="4843" spans="12:65" x14ac:dyDescent="0.3">
      <c r="L4843" s="427">
        <v>-4954279.6782999998</v>
      </c>
      <c r="BE4843" s="477">
        <v>4499813.0669603078</v>
      </c>
      <c r="BF4843" s="458">
        <v>5.0765794059221436E-2</v>
      </c>
      <c r="BG4843" s="477">
        <v>12476423.382623205</v>
      </c>
      <c r="BH4843" s="458">
        <v>5.8358604360896127E-2</v>
      </c>
      <c r="BI4843" s="477">
        <v>15369530.592914982</v>
      </c>
      <c r="BJ4843" s="458">
        <v>0.11483692915373478</v>
      </c>
      <c r="BK4843" s="477">
        <v>97087659.382891566</v>
      </c>
      <c r="BL4843" s="458">
        <v>0.2590947762990099</v>
      </c>
      <c r="BM4843" s="468">
        <v>7.0431794289170826</v>
      </c>
    </row>
    <row r="4844" spans="12:65" x14ac:dyDescent="0.3">
      <c r="L4844" s="427">
        <v>4733192.3690999998</v>
      </c>
      <c r="BE4844" s="477">
        <v>6270094.4095876692</v>
      </c>
      <c r="BF4844" s="458">
        <v>4.283861712984427E-2</v>
      </c>
      <c r="BG4844" s="477">
        <v>9666236.7405459434</v>
      </c>
      <c r="BH4844" s="458">
        <v>5.3215439877942305E-2</v>
      </c>
      <c r="BI4844" s="477">
        <v>699732.34184758435</v>
      </c>
      <c r="BJ4844" s="458">
        <v>0.11588187727875199</v>
      </c>
      <c r="BK4844" s="477">
        <v>88942570.761579275</v>
      </c>
      <c r="BL4844" s="458">
        <v>0.27109539731012977</v>
      </c>
      <c r="BM4844" s="468">
        <v>9.5694628054051538</v>
      </c>
    </row>
    <row r="4845" spans="12:65" x14ac:dyDescent="0.3">
      <c r="L4845" s="427">
        <v>281848.99080000003</v>
      </c>
      <c r="BE4845" s="477">
        <v>3484264.7123171571</v>
      </c>
      <c r="BF4845" s="458">
        <v>4.2648862379933483E-2</v>
      </c>
      <c r="BG4845" s="477">
        <v>8246019.2454368556</v>
      </c>
      <c r="BH4845" s="458">
        <v>6.7041945566475469E-2</v>
      </c>
      <c r="BI4845" s="477">
        <v>19757272.880595438</v>
      </c>
      <c r="BJ4845" s="458">
        <v>9.7467341751986902E-2</v>
      </c>
      <c r="BK4845" s="477">
        <v>77394078.212484524</v>
      </c>
      <c r="BL4845" s="458">
        <v>0.25578022827967528</v>
      </c>
      <c r="BM4845" s="468">
        <v>7.3329395956394237</v>
      </c>
    </row>
    <row r="4846" spans="12:65" x14ac:dyDescent="0.3">
      <c r="L4846" s="427">
        <v>10664033.7378</v>
      </c>
      <c r="BE4846" s="477">
        <v>5010434.7330616508</v>
      </c>
      <c r="BF4846" s="458">
        <v>6.5449541220123475E-2</v>
      </c>
      <c r="BG4846" s="477">
        <v>5120899.7577917799</v>
      </c>
      <c r="BH4846" s="458">
        <v>3.8762747925031649E-2</v>
      </c>
      <c r="BI4846" s="477">
        <v>19192311.910795331</v>
      </c>
      <c r="BJ4846" s="458">
        <v>0.10480154227859173</v>
      </c>
      <c r="BK4846" s="477">
        <v>87071029.838956982</v>
      </c>
      <c r="BL4846" s="458">
        <v>0.25361720889449568</v>
      </c>
      <c r="BM4846" s="468">
        <v>20.539990411169832</v>
      </c>
    </row>
    <row r="4847" spans="12:65" x14ac:dyDescent="0.3">
      <c r="L4847" s="427">
        <v>651166.87490000005</v>
      </c>
      <c r="BE4847" s="477">
        <v>5791945.9536239719</v>
      </c>
      <c r="BF4847" s="458">
        <v>5.0389008227197163E-2</v>
      </c>
      <c r="BG4847" s="477">
        <v>4544749.8236734532</v>
      </c>
      <c r="BH4847" s="458">
        <v>6.3738964601737669E-2</v>
      </c>
      <c r="BI4847" s="477">
        <v>15900547.659661165</v>
      </c>
      <c r="BJ4847" s="458">
        <v>0.10857713659209245</v>
      </c>
      <c r="BK4847" s="477">
        <v>91832921.65657419</v>
      </c>
      <c r="BL4847" s="458">
        <v>0.25256703163248573</v>
      </c>
      <c r="BM4847" s="468">
        <v>9.4916633635861984</v>
      </c>
    </row>
    <row r="4848" spans="12:65" x14ac:dyDescent="0.3">
      <c r="L4848" s="427">
        <v>-2454439.7781000002</v>
      </c>
      <c r="BE4848" s="477">
        <v>7509341.1037003389</v>
      </c>
      <c r="BF4848" s="458">
        <v>1.2304062268226001E-2</v>
      </c>
      <c r="BG4848" s="477">
        <v>9642432.6328578498</v>
      </c>
      <c r="BH4848" s="458">
        <v>5.2048149983161762E-2</v>
      </c>
      <c r="BI4848" s="477">
        <v>13140467.692299373</v>
      </c>
      <c r="BJ4848" s="458">
        <v>0.11525689871114286</v>
      </c>
      <c r="BK4848" s="477">
        <v>84719574.227242798</v>
      </c>
      <c r="BL4848" s="458">
        <v>0.28727900286763242</v>
      </c>
      <c r="BM4848" s="468">
        <v>3.3456742519978437</v>
      </c>
    </row>
    <row r="4849" spans="12:65" x14ac:dyDescent="0.3">
      <c r="L4849" s="427">
        <v>4500983.1760999998</v>
      </c>
      <c r="BE4849" s="477">
        <v>6651328.3175471118</v>
      </c>
      <c r="BF4849" s="458">
        <v>5.3883756470419542E-2</v>
      </c>
      <c r="BG4849" s="477">
        <v>13016545.452457171</v>
      </c>
      <c r="BH4849" s="458">
        <v>7.926871085206999E-2</v>
      </c>
      <c r="BI4849" s="477">
        <v>12547682.296646457</v>
      </c>
      <c r="BJ4849" s="458">
        <v>0.10254696233832195</v>
      </c>
      <c r="BK4849" s="477">
        <v>86247838.536656067</v>
      </c>
      <c r="BL4849" s="458">
        <v>0.25746540153224129</v>
      </c>
      <c r="BM4849" s="468">
        <v>4.4655303387337622</v>
      </c>
    </row>
    <row r="4850" spans="12:65" x14ac:dyDescent="0.3">
      <c r="L4850" s="427">
        <v>-4192922.8698</v>
      </c>
      <c r="BE4850" s="477">
        <v>3731629.3173953076</v>
      </c>
      <c r="BF4850" s="458">
        <v>4.5310020526837747E-2</v>
      </c>
      <c r="BG4850" s="477">
        <v>8332607.3643523529</v>
      </c>
      <c r="BH4850" s="458">
        <v>7.1871950425384412E-2</v>
      </c>
      <c r="BI4850" s="477">
        <v>21513039.385122683</v>
      </c>
      <c r="BJ4850" s="458">
        <v>0.11542269057883625</v>
      </c>
      <c r="BK4850" s="477">
        <v>95451921.629424363</v>
      </c>
      <c r="BL4850" s="458">
        <v>0.25693158149016004</v>
      </c>
      <c r="BM4850" s="468">
        <v>6.7726970926404082</v>
      </c>
    </row>
    <row r="4851" spans="12:65" x14ac:dyDescent="0.3">
      <c r="L4851" s="427">
        <v>7617656.5544999996</v>
      </c>
      <c r="BE4851" s="477">
        <v>9687393.5522050355</v>
      </c>
      <c r="BF4851" s="458">
        <v>3.727415187232852E-2</v>
      </c>
      <c r="BG4851" s="477">
        <v>16113541.452628033</v>
      </c>
      <c r="BH4851" s="458">
        <v>8.8581918112885294E-2</v>
      </c>
      <c r="BI4851" s="477">
        <v>11174455.452604895</v>
      </c>
      <c r="BJ4851" s="458">
        <v>0.13164981397265185</v>
      </c>
      <c r="BK4851" s="477">
        <v>85895952.244891077</v>
      </c>
      <c r="BL4851" s="458">
        <v>0.27630470320136125</v>
      </c>
      <c r="BM4851" s="468">
        <v>4.7354412726320776</v>
      </c>
    </row>
    <row r="4852" spans="12:65" x14ac:dyDescent="0.3">
      <c r="L4852" s="427">
        <v>19013147.202500001</v>
      </c>
      <c r="BE4852" s="477">
        <v>4845320.3430168498</v>
      </c>
      <c r="BF4852" s="458">
        <v>2.6709817740305342E-2</v>
      </c>
      <c r="BG4852" s="477">
        <v>5912267.5337162716</v>
      </c>
      <c r="BH4852" s="458">
        <v>7.5667276191215382E-2</v>
      </c>
      <c r="BI4852" s="477">
        <v>18982966.496877376</v>
      </c>
      <c r="BJ4852" s="458">
        <v>0.10757932447204688</v>
      </c>
      <c r="BK4852" s="477">
        <v>92852509.979766205</v>
      </c>
      <c r="BL4852" s="458">
        <v>0.28111684399075565</v>
      </c>
      <c r="BM4852" s="468">
        <v>5.2902772628137047</v>
      </c>
    </row>
    <row r="4853" spans="12:65" x14ac:dyDescent="0.3">
      <c r="L4853" s="427">
        <v>-5974520.3798000002</v>
      </c>
      <c r="BE4853" s="477">
        <v>4512508.9775990238</v>
      </c>
      <c r="BF4853" s="458">
        <v>4.0440558690627348E-2</v>
      </c>
      <c r="BG4853" s="477">
        <v>10481373.096103793</v>
      </c>
      <c r="BH4853" s="458">
        <v>6.1581147896886623E-2</v>
      </c>
      <c r="BI4853" s="477">
        <v>18316687.102074407</v>
      </c>
      <c r="BJ4853" s="458">
        <v>0.10418601103914882</v>
      </c>
      <c r="BK4853" s="477">
        <v>83420836.971917659</v>
      </c>
      <c r="BL4853" s="458">
        <v>0.29071973665137807</v>
      </c>
      <c r="BM4853" s="468">
        <v>4.1186609803049947</v>
      </c>
    </row>
    <row r="4854" spans="12:65" x14ac:dyDescent="0.3">
      <c r="L4854" s="427">
        <v>8800471.4934</v>
      </c>
      <c r="BE4854" s="477">
        <v>7298054.9649742963</v>
      </c>
      <c r="BF4854" s="458">
        <v>4.4439112470315845E-2</v>
      </c>
      <c r="BG4854" s="477">
        <v>5074264.5586616797</v>
      </c>
      <c r="BH4854" s="458">
        <v>6.3874405168416137E-2</v>
      </c>
      <c r="BI4854" s="477">
        <v>25363866.419850573</v>
      </c>
      <c r="BJ4854" s="458">
        <v>0.13556123624862249</v>
      </c>
      <c r="BK4854" s="477">
        <v>90029642.216463119</v>
      </c>
      <c r="BL4854" s="458">
        <v>0.2625805211962231</v>
      </c>
      <c r="BM4854" s="468">
        <v>13.265711818547931</v>
      </c>
    </row>
    <row r="4855" spans="12:65" x14ac:dyDescent="0.3">
      <c r="L4855" s="427">
        <v>11415727.2947</v>
      </c>
      <c r="BE4855" s="477">
        <v>-791623.44275026338</v>
      </c>
      <c r="BF4855" s="458">
        <v>4.2217341591009427E-2</v>
      </c>
      <c r="BG4855" s="477">
        <v>11321866.306953598</v>
      </c>
      <c r="BH4855" s="458">
        <v>8.0741230493258653E-2</v>
      </c>
      <c r="BI4855" s="477">
        <v>21377440.300079174</v>
      </c>
      <c r="BJ4855" s="458">
        <v>0.11810305300191604</v>
      </c>
      <c r="BK4855" s="477">
        <v>92241699.429133534</v>
      </c>
      <c r="BL4855" s="458">
        <v>0.25864722367659954</v>
      </c>
      <c r="BM4855" s="468">
        <v>11.328893497270544</v>
      </c>
    </row>
    <row r="4856" spans="12:65" x14ac:dyDescent="0.3">
      <c r="L4856" s="427">
        <v>-741168.58940000006</v>
      </c>
      <c r="BE4856" s="477">
        <v>4949601.8534078253</v>
      </c>
      <c r="BF4856" s="458">
        <v>3.4200016829651458E-2</v>
      </c>
      <c r="BG4856" s="477">
        <v>11382648.210018778</v>
      </c>
      <c r="BH4856" s="458">
        <v>5.8563577030981362E-2</v>
      </c>
      <c r="BI4856" s="477">
        <v>20907560.768892303</v>
      </c>
      <c r="BJ4856" s="458">
        <v>0.12470197092710356</v>
      </c>
      <c r="BK4856" s="477">
        <v>92135208.202502191</v>
      </c>
      <c r="BL4856" s="458">
        <v>0.27245995804283241</v>
      </c>
      <c r="BM4856" s="468">
        <v>5.7327885831711258</v>
      </c>
    </row>
    <row r="4857" spans="12:65" x14ac:dyDescent="0.3">
      <c r="L4857" s="427">
        <v>9960519.2968000006</v>
      </c>
      <c r="BE4857" s="477">
        <v>3834698.9313781071</v>
      </c>
      <c r="BF4857" s="458">
        <v>4.1943584059589423E-2</v>
      </c>
      <c r="BG4857" s="477">
        <v>7627994.6866936767</v>
      </c>
      <c r="BH4857" s="458">
        <v>6.5339964443721366E-2</v>
      </c>
      <c r="BI4857" s="477">
        <v>23500563.181002751</v>
      </c>
      <c r="BJ4857" s="458">
        <v>0.12570108090790955</v>
      </c>
      <c r="BK4857" s="477">
        <v>94466836.38707979</v>
      </c>
      <c r="BL4857" s="458">
        <v>0.25059509734153007</v>
      </c>
      <c r="BM4857" s="468">
        <v>5.6818150515156649</v>
      </c>
    </row>
    <row r="4858" spans="12:65" x14ac:dyDescent="0.3">
      <c r="L4858" s="427">
        <v>1361035.835</v>
      </c>
      <c r="BE4858" s="477">
        <v>7266081.8728968706</v>
      </c>
      <c r="BF4858" s="458">
        <v>4.3355071622629859E-2</v>
      </c>
      <c r="BG4858" s="477">
        <v>9066563.757121874</v>
      </c>
      <c r="BH4858" s="458">
        <v>4.1218479868657676E-2</v>
      </c>
      <c r="BI4858" s="477">
        <v>18362459.223229874</v>
      </c>
      <c r="BJ4858" s="458">
        <v>0.1069176750118761</v>
      </c>
      <c r="BK4858" s="477">
        <v>93008892.154817075</v>
      </c>
      <c r="BL4858" s="458">
        <v>0.2773330551979285</v>
      </c>
      <c r="BM4858" s="468">
        <v>7.8197597899129683</v>
      </c>
    </row>
    <row r="4859" spans="12:65" x14ac:dyDescent="0.3">
      <c r="L4859" s="427">
        <v>17671164.905999999</v>
      </c>
      <c r="BE4859" s="477">
        <v>13106126.037105406</v>
      </c>
      <c r="BF4859" s="458">
        <v>4.4840199686446036E-2</v>
      </c>
      <c r="BG4859" s="477">
        <v>5964521.0426430637</v>
      </c>
      <c r="BH4859" s="458">
        <v>6.7441717459439499E-2</v>
      </c>
      <c r="BI4859" s="477">
        <v>20723589.768223044</v>
      </c>
      <c r="BJ4859" s="458">
        <v>0.13594549794124466</v>
      </c>
      <c r="BK4859" s="477">
        <v>102366267.85766469</v>
      </c>
      <c r="BL4859" s="458">
        <v>0.26405991023009401</v>
      </c>
      <c r="BM4859" s="468">
        <v>5.2867523968260954</v>
      </c>
    </row>
    <row r="4860" spans="12:65" x14ac:dyDescent="0.3">
      <c r="L4860" s="427">
        <v>-8496064.8563999999</v>
      </c>
      <c r="BE4860" s="477">
        <v>6357681.4613589086</v>
      </c>
      <c r="BF4860" s="458">
        <v>5.673851862940027E-2</v>
      </c>
      <c r="BG4860" s="477">
        <v>5509149.2420907039</v>
      </c>
      <c r="BH4860" s="458">
        <v>7.2181772966433355E-2</v>
      </c>
      <c r="BI4860" s="477">
        <v>22877365.51624316</v>
      </c>
      <c r="BJ4860" s="458">
        <v>9.3384099364573148E-2</v>
      </c>
      <c r="BK4860" s="477">
        <v>85007234.662420183</v>
      </c>
      <c r="BL4860" s="458">
        <v>0.26952854886089384</v>
      </c>
      <c r="BM4860" s="468">
        <v>7.3348894206684054</v>
      </c>
    </row>
    <row r="4861" spans="12:65" x14ac:dyDescent="0.3">
      <c r="L4861" s="427">
        <v>12282027.5645</v>
      </c>
      <c r="BE4861" s="477">
        <v>4270239.302964218</v>
      </c>
      <c r="BF4861" s="458">
        <v>2.2521717034184485E-2</v>
      </c>
      <c r="BG4861" s="477">
        <v>9392345.8598016016</v>
      </c>
      <c r="BH4861" s="458">
        <v>7.0048610612348794E-2</v>
      </c>
      <c r="BI4861" s="477">
        <v>28640060.5573502</v>
      </c>
      <c r="BJ4861" s="458">
        <v>9.7589062513401492E-2</v>
      </c>
      <c r="BK4861" s="477">
        <v>76788718.552778453</v>
      </c>
      <c r="BL4861" s="458">
        <v>0.2760454806541468</v>
      </c>
      <c r="BM4861" s="468">
        <v>6.842458759009963</v>
      </c>
    </row>
    <row r="4862" spans="12:65" x14ac:dyDescent="0.3">
      <c r="L4862" s="427">
        <v>2798268.0087000001</v>
      </c>
      <c r="BE4862" s="477">
        <v>9172435.7940188348</v>
      </c>
      <c r="BF4862" s="458">
        <v>6.3681074850506558E-2</v>
      </c>
      <c r="BG4862" s="477">
        <v>6483091.6405857084</v>
      </c>
      <c r="BH4862" s="458">
        <v>7.2806459734528595E-2</v>
      </c>
      <c r="BI4862" s="477">
        <v>13478820.050126074</v>
      </c>
      <c r="BJ4862" s="458">
        <v>9.376557118789286E-2</v>
      </c>
      <c r="BK4862" s="477">
        <v>75738056.126267746</v>
      </c>
      <c r="BL4862" s="458">
        <v>0.25431049064201972</v>
      </c>
      <c r="BM4862" s="468">
        <v>15.286035058047183</v>
      </c>
    </row>
    <row r="4863" spans="12:65" x14ac:dyDescent="0.3">
      <c r="L4863" s="427">
        <v>6578475.5831000004</v>
      </c>
      <c r="BE4863" s="477">
        <v>890193.79075117316</v>
      </c>
      <c r="BF4863" s="458">
        <v>9.8603776220822503E-2</v>
      </c>
      <c r="BG4863" s="477">
        <v>8755244.9299700763</v>
      </c>
      <c r="BH4863" s="458">
        <v>7.2883673762538459E-2</v>
      </c>
      <c r="BI4863" s="477">
        <v>7431809.329290322</v>
      </c>
      <c r="BJ4863" s="458">
        <v>0.120738584603024</v>
      </c>
      <c r="BK4863" s="477">
        <v>87217531.6069296</v>
      </c>
      <c r="BL4863" s="458">
        <v>0.25938315000889789</v>
      </c>
      <c r="BM4863" s="468">
        <v>8.4516086868745166</v>
      </c>
    </row>
    <row r="4864" spans="12:65" x14ac:dyDescent="0.3">
      <c r="L4864" s="427">
        <v>5835718.5723999999</v>
      </c>
      <c r="BE4864" s="477">
        <v>4576280.2751145791</v>
      </c>
      <c r="BF4864" s="458">
        <v>2.6654386240396732E-2</v>
      </c>
      <c r="BG4864" s="477">
        <v>9896782.8227551691</v>
      </c>
      <c r="BH4864" s="458">
        <v>2.5283817781664331E-2</v>
      </c>
      <c r="BI4864" s="477">
        <v>15721819.87442816</v>
      </c>
      <c r="BJ4864" s="458">
        <v>7.6931150674074189E-2</v>
      </c>
      <c r="BK4864" s="477">
        <v>84136630.075585544</v>
      </c>
      <c r="BL4864" s="458">
        <v>0.28423270510448195</v>
      </c>
      <c r="BM4864" s="468">
        <v>3.2356779253822259</v>
      </c>
    </row>
    <row r="4865" spans="12:65" x14ac:dyDescent="0.3">
      <c r="L4865" s="427">
        <v>806407.93539999996</v>
      </c>
      <c r="BE4865" s="477">
        <v>8512076.2232382838</v>
      </c>
      <c r="BF4865" s="458">
        <v>3.6196778566651489E-2</v>
      </c>
      <c r="BG4865" s="477">
        <v>5893038.298069383</v>
      </c>
      <c r="BH4865" s="458">
        <v>7.5202721490194024E-2</v>
      </c>
      <c r="BI4865" s="477">
        <v>28113256.919236194</v>
      </c>
      <c r="BJ4865" s="458">
        <v>0.11542964231662411</v>
      </c>
      <c r="BK4865" s="477">
        <v>93908314.482629418</v>
      </c>
      <c r="BL4865" s="458">
        <v>0.2718345265950266</v>
      </c>
      <c r="BM4865" s="468">
        <v>11.741974284089061</v>
      </c>
    </row>
    <row r="4866" spans="12:65" x14ac:dyDescent="0.3">
      <c r="L4866" s="427">
        <v>-3490010.0638000001</v>
      </c>
      <c r="BE4866" s="477">
        <v>3805523.7533232151</v>
      </c>
      <c r="BF4866" s="458">
        <v>2.7829712693434816E-2</v>
      </c>
      <c r="BG4866" s="477">
        <v>7682486.1804279909</v>
      </c>
      <c r="BH4866" s="458">
        <v>7.9917145239502441E-2</v>
      </c>
      <c r="BI4866" s="477">
        <v>16467249.15601352</v>
      </c>
      <c r="BJ4866" s="458">
        <v>9.8519403460699539E-2</v>
      </c>
      <c r="BK4866" s="477">
        <v>83117956.342069536</v>
      </c>
      <c r="BL4866" s="458">
        <v>0.27057202412204018</v>
      </c>
      <c r="BM4866" s="468">
        <v>8.4197566886759443</v>
      </c>
    </row>
    <row r="4867" spans="12:65" x14ac:dyDescent="0.3">
      <c r="L4867" s="427">
        <v>11288397.468</v>
      </c>
      <c r="BE4867" s="477">
        <v>5326881.5818462912</v>
      </c>
      <c r="BF4867" s="458">
        <v>5.2928849268256251E-2</v>
      </c>
      <c r="BG4867" s="477">
        <v>10323715.031446256</v>
      </c>
      <c r="BH4867" s="458">
        <v>5.6648614759774008E-2</v>
      </c>
      <c r="BI4867" s="477">
        <v>17275839.027926318</v>
      </c>
      <c r="BJ4867" s="458">
        <v>0.11446272883385333</v>
      </c>
      <c r="BK4867" s="477">
        <v>92975171.983482093</v>
      </c>
      <c r="BL4867" s="458">
        <v>0.27466981434586857</v>
      </c>
      <c r="BM4867" s="468">
        <v>11.303475387269225</v>
      </c>
    </row>
    <row r="4868" spans="12:65" x14ac:dyDescent="0.3">
      <c r="L4868" s="427">
        <v>9594684.9732000008</v>
      </c>
      <c r="BE4868" s="477">
        <v>577667.56379770895</v>
      </c>
      <c r="BF4868" s="458">
        <v>4.1364141275039845E-2</v>
      </c>
      <c r="BG4868" s="477">
        <v>9266180.1866870001</v>
      </c>
      <c r="BH4868" s="458">
        <v>5.0387662550486212E-2</v>
      </c>
      <c r="BI4868" s="477">
        <v>18595760.988090079</v>
      </c>
      <c r="BJ4868" s="458">
        <v>0.1217273382122912</v>
      </c>
      <c r="BK4868" s="477">
        <v>99458785.818924099</v>
      </c>
      <c r="BL4868" s="458">
        <v>0.2759644538829702</v>
      </c>
      <c r="BM4868" s="468">
        <v>11.981833615762032</v>
      </c>
    </row>
    <row r="4869" spans="12:65" x14ac:dyDescent="0.3">
      <c r="L4869" s="427">
        <v>-3693752.1697999998</v>
      </c>
      <c r="BE4869" s="477">
        <v>4248566.4032882079</v>
      </c>
      <c r="BF4869" s="458">
        <v>2.9628914357322733E-2</v>
      </c>
      <c r="BG4869" s="477">
        <v>10589913.028984224</v>
      </c>
      <c r="BH4869" s="458">
        <v>3.5885723240052458E-2</v>
      </c>
      <c r="BI4869" s="477">
        <v>19905702.275617789</v>
      </c>
      <c r="BJ4869" s="458">
        <v>9.8768051418439917E-2</v>
      </c>
      <c r="BK4869" s="477">
        <v>91522074.707688674</v>
      </c>
      <c r="BL4869" s="458">
        <v>0.27322851471944309</v>
      </c>
      <c r="BM4869" s="468">
        <v>14.113332957632476</v>
      </c>
    </row>
    <row r="4870" spans="12:65" x14ac:dyDescent="0.3">
      <c r="L4870" s="427">
        <v>6937783.0350000001</v>
      </c>
      <c r="BE4870" s="477">
        <v>5338795.4014151553</v>
      </c>
      <c r="BF4870" s="458">
        <v>3.1814324892522672E-2</v>
      </c>
      <c r="BG4870" s="477">
        <v>-588154.12755302747</v>
      </c>
      <c r="BH4870" s="458">
        <v>7.9164650057550912E-2</v>
      </c>
      <c r="BI4870" s="477">
        <v>18971306.976020642</v>
      </c>
      <c r="BJ4870" s="458">
        <v>0.10256125671672622</v>
      </c>
      <c r="BK4870" s="477">
        <v>90201142.953354701</v>
      </c>
      <c r="BL4870" s="458">
        <v>0.2591078181437374</v>
      </c>
      <c r="BM4870" s="468">
        <v>6.7537274168262798</v>
      </c>
    </row>
    <row r="4871" spans="12:65" x14ac:dyDescent="0.3">
      <c r="L4871" s="427">
        <v>-6905938.1410999997</v>
      </c>
      <c r="BE4871" s="477">
        <v>6850055.7073395737</v>
      </c>
      <c r="BF4871" s="458">
        <v>4.8365093877692056E-2</v>
      </c>
      <c r="BG4871" s="477">
        <v>11054029.441731645</v>
      </c>
      <c r="BH4871" s="458">
        <v>4.2785448662671532E-2</v>
      </c>
      <c r="BI4871" s="477">
        <v>21999505.811432246</v>
      </c>
      <c r="BJ4871" s="458">
        <v>0.10687929871037238</v>
      </c>
      <c r="BK4871" s="477">
        <v>78964842.746281296</v>
      </c>
      <c r="BL4871" s="458">
        <v>0.28086488357153372</v>
      </c>
      <c r="BM4871" s="468">
        <v>11.056523673526195</v>
      </c>
    </row>
    <row r="4872" spans="12:65" x14ac:dyDescent="0.3">
      <c r="L4872" s="427">
        <v>24978010.4767</v>
      </c>
      <c r="BE4872" s="477">
        <v>4981774.8592639994</v>
      </c>
      <c r="BF4872" s="458">
        <v>4.5722666071687845E-2</v>
      </c>
      <c r="BG4872" s="477">
        <v>3572152.6720460905</v>
      </c>
      <c r="BH4872" s="458">
        <v>5.5244611374374086E-2</v>
      </c>
      <c r="BI4872" s="477">
        <v>22892431.229431793</v>
      </c>
      <c r="BJ4872" s="458">
        <v>0.11696366561048865</v>
      </c>
      <c r="BK4872" s="477">
        <v>95493487.91318427</v>
      </c>
      <c r="BL4872" s="458">
        <v>0.27928196150458628</v>
      </c>
      <c r="BM4872" s="468">
        <v>13.126444255523452</v>
      </c>
    </row>
    <row r="4873" spans="12:65" x14ac:dyDescent="0.3">
      <c r="L4873" s="427">
        <v>9940863.9770999998</v>
      </c>
      <c r="BE4873" s="477">
        <v>5013222.9813868701</v>
      </c>
      <c r="BF4873" s="458">
        <v>2.2517967425606855E-2</v>
      </c>
      <c r="BG4873" s="477">
        <v>5435348.0688519292</v>
      </c>
      <c r="BH4873" s="458">
        <v>6.1603218904352719E-2</v>
      </c>
      <c r="BI4873" s="477">
        <v>8526460.6985124443</v>
      </c>
      <c r="BJ4873" s="458">
        <v>0.12281235615285335</v>
      </c>
      <c r="BK4873" s="477">
        <v>96314785.084037229</v>
      </c>
      <c r="BL4873" s="458">
        <v>0.27021012101866759</v>
      </c>
      <c r="BM4873" s="468">
        <v>2.1119877679603345</v>
      </c>
    </row>
    <row r="4874" spans="12:65" x14ac:dyDescent="0.3">
      <c r="L4874" s="427">
        <v>-8605288.9885000009</v>
      </c>
      <c r="BE4874" s="477">
        <v>2450534.7376016141</v>
      </c>
      <c r="BF4874" s="458">
        <v>3.6958273228110849E-2</v>
      </c>
      <c r="BG4874" s="477">
        <v>5256137.7399359886</v>
      </c>
      <c r="BH4874" s="458">
        <v>4.6983466271699914E-2</v>
      </c>
      <c r="BI4874" s="477">
        <v>13342024.451253556</v>
      </c>
      <c r="BJ4874" s="458">
        <v>0.10947628332684411</v>
      </c>
      <c r="BK4874" s="477">
        <v>82494704.578655362</v>
      </c>
      <c r="BL4874" s="458">
        <v>0.25459746178751796</v>
      </c>
      <c r="BM4874" s="468">
        <v>7.2870008922755192</v>
      </c>
    </row>
    <row r="4875" spans="12:65" x14ac:dyDescent="0.3">
      <c r="L4875" s="427">
        <v>9205531.2635999992</v>
      </c>
      <c r="BE4875" s="477">
        <v>2313015.2514196755</v>
      </c>
      <c r="BF4875" s="458">
        <v>5.068604133137633E-2</v>
      </c>
      <c r="BG4875" s="477">
        <v>14197528.530120676</v>
      </c>
      <c r="BH4875" s="458">
        <v>3.4583721349230379E-2</v>
      </c>
      <c r="BI4875" s="477">
        <v>19359566.340323146</v>
      </c>
      <c r="BJ4875" s="458">
        <v>0.14008985008761932</v>
      </c>
      <c r="BK4875" s="477">
        <v>71762010.401449695</v>
      </c>
      <c r="BL4875" s="458">
        <v>0.26361701365542101</v>
      </c>
      <c r="BM4875" s="468">
        <v>12.517228386102619</v>
      </c>
    </row>
    <row r="4876" spans="12:65" x14ac:dyDescent="0.3">
      <c r="L4876" s="427">
        <v>24643935.911600001</v>
      </c>
      <c r="BE4876" s="477">
        <v>3717095.9379878412</v>
      </c>
      <c r="BF4876" s="458">
        <v>4.4152566153368156E-2</v>
      </c>
      <c r="BG4876" s="477">
        <v>7154749.6877141111</v>
      </c>
      <c r="BH4876" s="458">
        <v>5.2504908187686938E-2</v>
      </c>
      <c r="BI4876" s="477">
        <v>10419637.873253981</v>
      </c>
      <c r="BJ4876" s="458">
        <v>0.11810726679361139</v>
      </c>
      <c r="BK4876" s="477">
        <v>92887020.498112962</v>
      </c>
      <c r="BL4876" s="458">
        <v>0.2567837976141969</v>
      </c>
      <c r="BM4876" s="468">
        <v>7.1741919365279108</v>
      </c>
    </row>
    <row r="4877" spans="12:65" x14ac:dyDescent="0.3">
      <c r="L4877" s="427">
        <v>-1209481.5474</v>
      </c>
      <c r="BE4877" s="477">
        <v>4668891.8004244845</v>
      </c>
      <c r="BF4877" s="458">
        <v>1.8062320625074513E-2</v>
      </c>
      <c r="BG4877" s="477">
        <v>11676194.057097247</v>
      </c>
      <c r="BH4877" s="458">
        <v>5.5729160475437078E-2</v>
      </c>
      <c r="BI4877" s="477">
        <v>18395037.490494478</v>
      </c>
      <c r="BJ4877" s="458">
        <v>0.10486515273890928</v>
      </c>
      <c r="BK4877" s="477">
        <v>82684651.899359331</v>
      </c>
      <c r="BL4877" s="458">
        <v>0.31327524731089063</v>
      </c>
      <c r="BM4877" s="468">
        <v>4.0530955164382556</v>
      </c>
    </row>
    <row r="4878" spans="12:65" x14ac:dyDescent="0.3">
      <c r="L4878" s="427">
        <v>11953379.396199999</v>
      </c>
      <c r="BE4878" s="477">
        <v>2687573.6759877042</v>
      </c>
      <c r="BF4878" s="458">
        <v>5.2482829220997784E-2</v>
      </c>
      <c r="BG4878" s="477">
        <v>10926004.934123501</v>
      </c>
      <c r="BH4878" s="458">
        <v>8.4345162190712086E-2</v>
      </c>
      <c r="BI4878" s="477">
        <v>15678745.13516034</v>
      </c>
      <c r="BJ4878" s="458">
        <v>0.10028397890731644</v>
      </c>
      <c r="BK4878" s="477">
        <v>83227373.042783558</v>
      </c>
      <c r="BL4878" s="458">
        <v>0.26571430407678109</v>
      </c>
      <c r="BM4878" s="468">
        <v>9.8658348571833585</v>
      </c>
    </row>
    <row r="4879" spans="12:65" x14ac:dyDescent="0.3">
      <c r="L4879" s="427">
        <v>5640612.8535000002</v>
      </c>
      <c r="BE4879" s="477">
        <v>5928906.8933554776</v>
      </c>
      <c r="BF4879" s="458">
        <v>3.3108875069743693E-2</v>
      </c>
      <c r="BG4879" s="477">
        <v>14095060.796418237</v>
      </c>
      <c r="BH4879" s="458">
        <v>7.9833910530067387E-2</v>
      </c>
      <c r="BI4879" s="477">
        <v>14493841.697824134</v>
      </c>
      <c r="BJ4879" s="458">
        <v>0.1164623650418013</v>
      </c>
      <c r="BK4879" s="477">
        <v>98481354.142154336</v>
      </c>
      <c r="BL4879" s="458">
        <v>0.25890255249272265</v>
      </c>
      <c r="BM4879" s="468">
        <v>7.5490027463978002</v>
      </c>
    </row>
    <row r="4880" spans="12:65" x14ac:dyDescent="0.3">
      <c r="L4880" s="427">
        <v>16973789.1402</v>
      </c>
      <c r="BE4880" s="477">
        <v>3042296.212003849</v>
      </c>
      <c r="BF4880" s="458">
        <v>2.5931137151302464E-2</v>
      </c>
      <c r="BG4880" s="477">
        <v>10585065.077130837</v>
      </c>
      <c r="BH4880" s="458">
        <v>5.0858353892682118E-2</v>
      </c>
      <c r="BI4880" s="477">
        <v>19386691.625627704</v>
      </c>
      <c r="BJ4880" s="458">
        <v>0.13590356635393674</v>
      </c>
      <c r="BK4880" s="477">
        <v>98489941.112489447</v>
      </c>
      <c r="BL4880" s="458">
        <v>0.26420394291277205</v>
      </c>
      <c r="BM4880" s="468">
        <v>1.6900932328607698</v>
      </c>
    </row>
    <row r="4881" spans="12:65" x14ac:dyDescent="0.3">
      <c r="L4881" s="427">
        <v>-935668.01699999999</v>
      </c>
      <c r="BE4881" s="477">
        <v>4603189.2129543172</v>
      </c>
      <c r="BF4881" s="458">
        <v>5.8540508438009065E-2</v>
      </c>
      <c r="BG4881" s="477">
        <v>6436301.251884304</v>
      </c>
      <c r="BH4881" s="458">
        <v>9.4648507016403371E-2</v>
      </c>
      <c r="BI4881" s="477">
        <v>16035724.23338169</v>
      </c>
      <c r="BJ4881" s="458">
        <v>8.6937602124639302E-2</v>
      </c>
      <c r="BK4881" s="477">
        <v>96600706.057671577</v>
      </c>
      <c r="BL4881" s="458">
        <v>0.28068649418601965</v>
      </c>
      <c r="BM4881" s="468">
        <v>5.9577972251271278</v>
      </c>
    </row>
    <row r="4882" spans="12:65" x14ac:dyDescent="0.3">
      <c r="L4882" s="427">
        <v>8989824.0133999996</v>
      </c>
      <c r="BE4882" s="477">
        <v>7190680.1954047885</v>
      </c>
      <c r="BF4882" s="458">
        <v>3.3214960586691822E-2</v>
      </c>
      <c r="BG4882" s="477">
        <v>5817089.4866508283</v>
      </c>
      <c r="BH4882" s="458">
        <v>5.1925931156288518E-2</v>
      </c>
      <c r="BI4882" s="477">
        <v>18423652.065750457</v>
      </c>
      <c r="BJ4882" s="458">
        <v>0.1053352000863963</v>
      </c>
      <c r="BK4882" s="477">
        <v>97141911.68103984</v>
      </c>
      <c r="BL4882" s="458">
        <v>0.24845016652948404</v>
      </c>
      <c r="BM4882" s="468">
        <v>6.7683507789779558</v>
      </c>
    </row>
    <row r="4883" spans="12:65" x14ac:dyDescent="0.3">
      <c r="L4883" s="427">
        <v>4215328.6720000003</v>
      </c>
      <c r="BE4883" s="477">
        <v>8612010.399218617</v>
      </c>
      <c r="BF4883" s="458">
        <v>3.2652179312374408E-2</v>
      </c>
      <c r="BG4883" s="477">
        <v>10707272.894595919</v>
      </c>
      <c r="BH4883" s="458">
        <v>7.8410864807656466E-2</v>
      </c>
      <c r="BI4883" s="477">
        <v>7838561.0323725715</v>
      </c>
      <c r="BJ4883" s="458">
        <v>0.10846145501847526</v>
      </c>
      <c r="BK4883" s="477">
        <v>87423040.660967007</v>
      </c>
      <c r="BL4883" s="458">
        <v>0.26725011258091369</v>
      </c>
      <c r="BM4883" s="468">
        <v>3.4998209085596823</v>
      </c>
    </row>
    <row r="4884" spans="12:65" x14ac:dyDescent="0.3">
      <c r="L4884" s="427">
        <v>10685470.294399999</v>
      </c>
      <c r="BE4884" s="477">
        <v>4275633.8406932428</v>
      </c>
      <c r="BF4884" s="458">
        <v>3.8307554035367453E-2</v>
      </c>
      <c r="BG4884" s="477">
        <v>12425481.952089291</v>
      </c>
      <c r="BH4884" s="458">
        <v>4.7030272020228692E-2</v>
      </c>
      <c r="BI4884" s="477">
        <v>17962275.716004569</v>
      </c>
      <c r="BJ4884" s="458">
        <v>0.12967264391288125</v>
      </c>
      <c r="BK4884" s="477">
        <v>98475302.518847257</v>
      </c>
      <c r="BL4884" s="458">
        <v>0.2590936801681385</v>
      </c>
      <c r="BM4884" s="468">
        <v>9.69682941483706</v>
      </c>
    </row>
    <row r="4885" spans="12:65" x14ac:dyDescent="0.3">
      <c r="L4885" s="427">
        <v>14299609.350500001</v>
      </c>
      <c r="BE4885" s="477">
        <v>11114203.600403121</v>
      </c>
      <c r="BF4885" s="458">
        <v>2.5010466210656723E-2</v>
      </c>
      <c r="BG4885" s="477">
        <v>-3110690.9166711075</v>
      </c>
      <c r="BH4885" s="458">
        <v>4.7763155348517383E-2</v>
      </c>
      <c r="BI4885" s="477">
        <v>20599989.770050887</v>
      </c>
      <c r="BJ4885" s="458">
        <v>0.11227951325070173</v>
      </c>
      <c r="BK4885" s="477">
        <v>87762932.009280458</v>
      </c>
      <c r="BL4885" s="458">
        <v>0.26404026014690252</v>
      </c>
      <c r="BM4885" s="468">
        <v>6.5084795588415831</v>
      </c>
    </row>
    <row r="4886" spans="12:65" x14ac:dyDescent="0.3">
      <c r="L4886" s="427">
        <v>10286056.4597</v>
      </c>
      <c r="BE4886" s="477">
        <v>2289223.4236013968</v>
      </c>
      <c r="BF4886" s="458">
        <v>3.7355341136507514E-2</v>
      </c>
      <c r="BG4886" s="477">
        <v>9235708.4490998015</v>
      </c>
      <c r="BH4886" s="458">
        <v>6.3148445660969443E-2</v>
      </c>
      <c r="BI4886" s="477">
        <v>14472181.94192089</v>
      </c>
      <c r="BJ4886" s="458">
        <v>0.10342003253428289</v>
      </c>
      <c r="BK4886" s="477">
        <v>97192780.540192351</v>
      </c>
      <c r="BL4886" s="458">
        <v>0.28455953764752318</v>
      </c>
      <c r="BM4886" s="468">
        <v>8.2452624698210979</v>
      </c>
    </row>
    <row r="4887" spans="12:65" x14ac:dyDescent="0.3">
      <c r="L4887" s="427">
        <v>4625727.2657000003</v>
      </c>
      <c r="BE4887" s="477">
        <v>7601578.3741411697</v>
      </c>
      <c r="BF4887" s="458">
        <v>2.9617895889728629E-2</v>
      </c>
      <c r="BG4887" s="477">
        <v>5876973.1401627837</v>
      </c>
      <c r="BH4887" s="458">
        <v>5.9992581182810811E-2</v>
      </c>
      <c r="BI4887" s="477">
        <v>16431466.450036561</v>
      </c>
      <c r="BJ4887" s="458">
        <v>0.11043360667570212</v>
      </c>
      <c r="BK4887" s="477">
        <v>78724844.092860714</v>
      </c>
      <c r="BL4887" s="458">
        <v>0.26216904559212906</v>
      </c>
      <c r="BM4887" s="468">
        <v>3.4209654127761038</v>
      </c>
    </row>
    <row r="4888" spans="12:65" x14ac:dyDescent="0.3">
      <c r="L4888" s="427">
        <v>15940301.124299999</v>
      </c>
      <c r="BE4888" s="477">
        <v>2917853.9367154832</v>
      </c>
      <c r="BF4888" s="458">
        <v>4.5528698841094561E-2</v>
      </c>
      <c r="BG4888" s="477">
        <v>2261585.6986117228</v>
      </c>
      <c r="BH4888" s="458">
        <v>6.9180495138152942E-2</v>
      </c>
      <c r="BI4888" s="477">
        <v>21405885.026490141</v>
      </c>
      <c r="BJ4888" s="458">
        <v>0.14726609255458301</v>
      </c>
      <c r="BK4888" s="477">
        <v>78362912.392040864</v>
      </c>
      <c r="BL4888" s="458">
        <v>0.26153374441203692</v>
      </c>
      <c r="BM4888" s="468">
        <v>11.327268040023736</v>
      </c>
    </row>
    <row r="4889" spans="12:65" x14ac:dyDescent="0.3">
      <c r="L4889" s="427">
        <v>3739799.9901000001</v>
      </c>
      <c r="BE4889" s="477">
        <v>-2413752.9822539045</v>
      </c>
      <c r="BF4889" s="458">
        <v>4.2281704553899013E-2</v>
      </c>
      <c r="BG4889" s="477">
        <v>4344989.5792819522</v>
      </c>
      <c r="BH4889" s="458">
        <v>7.4258147115159767E-2</v>
      </c>
      <c r="BI4889" s="477">
        <v>8132897.6262606978</v>
      </c>
      <c r="BJ4889" s="458">
        <v>0.12084524084867909</v>
      </c>
      <c r="BK4889" s="477">
        <v>103328606.64176226</v>
      </c>
      <c r="BL4889" s="458">
        <v>0.26123054298872628</v>
      </c>
      <c r="BM4889" s="468">
        <v>2.9929211707247774</v>
      </c>
    </row>
    <row r="4890" spans="12:65" x14ac:dyDescent="0.3">
      <c r="L4890" s="427">
        <v>14589688.1601</v>
      </c>
      <c r="BE4890" s="477">
        <v>6634329.2522421805</v>
      </c>
      <c r="BF4890" s="458">
        <v>4.0141005207503966E-2</v>
      </c>
      <c r="BG4890" s="477">
        <v>4248437.9829004407</v>
      </c>
      <c r="BH4890" s="458">
        <v>8.3758062458163529E-2</v>
      </c>
      <c r="BI4890" s="477">
        <v>15210637.737431224</v>
      </c>
      <c r="BJ4890" s="458">
        <v>0.12855549114997733</v>
      </c>
      <c r="BK4890" s="477">
        <v>86066488.427223518</v>
      </c>
      <c r="BL4890" s="458">
        <v>0.26667521481243228</v>
      </c>
      <c r="BM4890" s="468">
        <v>11.163487310229492</v>
      </c>
    </row>
    <row r="4891" spans="12:65" x14ac:dyDescent="0.3">
      <c r="L4891" s="427">
        <v>5505773.8369000005</v>
      </c>
      <c r="BE4891" s="477">
        <v>9530626.62467172</v>
      </c>
      <c r="BF4891" s="458">
        <v>2.900990697633965E-2</v>
      </c>
      <c r="BG4891" s="477">
        <v>13227637.233872168</v>
      </c>
      <c r="BH4891" s="458">
        <v>3.590926181781473E-2</v>
      </c>
      <c r="BI4891" s="477">
        <v>18971010.094593331</v>
      </c>
      <c r="BJ4891" s="458">
        <v>0.12251894740916613</v>
      </c>
      <c r="BK4891" s="477">
        <v>76381762.982272625</v>
      </c>
      <c r="BL4891" s="458">
        <v>0.25329686341437063</v>
      </c>
      <c r="BM4891" s="468">
        <v>8.6523919387825998</v>
      </c>
    </row>
    <row r="4892" spans="12:65" x14ac:dyDescent="0.3">
      <c r="L4892" s="427">
        <v>21737837.558400001</v>
      </c>
      <c r="BE4892" s="477">
        <v>5970005.3549509076</v>
      </c>
      <c r="BF4892" s="458">
        <v>1.9993363121384E-2</v>
      </c>
      <c r="BG4892" s="477">
        <v>6159821.0086918101</v>
      </c>
      <c r="BH4892" s="458">
        <v>5.4121003333866824E-2</v>
      </c>
      <c r="BI4892" s="477">
        <v>11197102.234497918</v>
      </c>
      <c r="BJ4892" s="458">
        <v>9.6926627073008476E-2</v>
      </c>
      <c r="BK4892" s="477">
        <v>93803386.143095076</v>
      </c>
      <c r="BL4892" s="458">
        <v>0.26881800219177587</v>
      </c>
      <c r="BM4892" s="468">
        <v>13.602343323728197</v>
      </c>
    </row>
    <row r="4893" spans="12:65" x14ac:dyDescent="0.3">
      <c r="L4893" s="427">
        <v>7944537.4176000003</v>
      </c>
      <c r="BE4893" s="477">
        <v>3396248.2874754616</v>
      </c>
      <c r="BF4893" s="458">
        <v>3.3735768513660558E-2</v>
      </c>
      <c r="BG4893" s="477">
        <v>3834815.1746860463</v>
      </c>
      <c r="BH4893" s="458">
        <v>4.9617843891690105E-2</v>
      </c>
      <c r="BI4893" s="477">
        <v>13337305.022232024</v>
      </c>
      <c r="BJ4893" s="458">
        <v>0.12552065414531999</v>
      </c>
      <c r="BK4893" s="477">
        <v>87090713.876168013</v>
      </c>
      <c r="BL4893" s="458">
        <v>0.27055956208920162</v>
      </c>
      <c r="BM4893" s="468">
        <v>14.042118005494814</v>
      </c>
    </row>
    <row r="4894" spans="12:65" x14ac:dyDescent="0.3">
      <c r="L4894" s="427">
        <v>-565310.19499999995</v>
      </c>
      <c r="BE4894" s="477">
        <v>7034532.1954860948</v>
      </c>
      <c r="BF4894" s="458">
        <v>4.2212291002787117E-2</v>
      </c>
      <c r="BG4894" s="477">
        <v>4016645.6959180874</v>
      </c>
      <c r="BH4894" s="458">
        <v>8.4115894605703234E-2</v>
      </c>
      <c r="BI4894" s="477">
        <v>23264131.015971486</v>
      </c>
      <c r="BJ4894" s="458">
        <v>0.10497512170206913</v>
      </c>
      <c r="BK4894" s="477">
        <v>89006885.531891957</v>
      </c>
      <c r="BL4894" s="458">
        <v>0.25478277211375855</v>
      </c>
      <c r="BM4894" s="468">
        <v>5.3960752626029205</v>
      </c>
    </row>
    <row r="4895" spans="12:65" x14ac:dyDescent="0.3">
      <c r="L4895" s="427">
        <v>19750116.229400001</v>
      </c>
      <c r="BE4895" s="477">
        <v>2199950.5285684415</v>
      </c>
      <c r="BF4895" s="458">
        <v>5.244262863699789E-2</v>
      </c>
      <c r="BG4895" s="477">
        <v>12559308.327349041</v>
      </c>
      <c r="BH4895" s="458">
        <v>4.8403057752598011E-2</v>
      </c>
      <c r="BI4895" s="477">
        <v>20109354.476373978</v>
      </c>
      <c r="BJ4895" s="458">
        <v>0.11745225607155185</v>
      </c>
      <c r="BK4895" s="477">
        <v>88494098.320176363</v>
      </c>
      <c r="BL4895" s="458">
        <v>0.30241502917031249</v>
      </c>
      <c r="BM4895" s="468">
        <v>12.579337394231473</v>
      </c>
    </row>
    <row r="4896" spans="12:65" x14ac:dyDescent="0.3">
      <c r="L4896" s="427">
        <v>13646739.0239</v>
      </c>
      <c r="BE4896" s="477">
        <v>3612533.6443236088</v>
      </c>
      <c r="BF4896" s="458">
        <v>2.85869114146311E-2</v>
      </c>
      <c r="BG4896" s="477">
        <v>12245386.618440095</v>
      </c>
      <c r="BH4896" s="458">
        <v>6.5177650509455898E-2</v>
      </c>
      <c r="BI4896" s="477">
        <v>22701965.777329605</v>
      </c>
      <c r="BJ4896" s="458">
        <v>0.10348257021732143</v>
      </c>
      <c r="BK4896" s="477">
        <v>83338705.125204802</v>
      </c>
      <c r="BL4896" s="458">
        <v>0.26426348436091884</v>
      </c>
      <c r="BM4896" s="468">
        <v>7.8237222274800056</v>
      </c>
    </row>
    <row r="4897" spans="12:65" x14ac:dyDescent="0.3">
      <c r="L4897" s="427">
        <v>-302451.37729999999</v>
      </c>
      <c r="BE4897" s="477">
        <v>3152805.9337578001</v>
      </c>
      <c r="BF4897" s="458">
        <v>3.5727778504529795E-2</v>
      </c>
      <c r="BG4897" s="477">
        <v>7973817.0666744607</v>
      </c>
      <c r="BH4897" s="458">
        <v>6.4526752397401133E-2</v>
      </c>
      <c r="BI4897" s="477">
        <v>16413416.855372859</v>
      </c>
      <c r="BJ4897" s="458">
        <v>0.10880975070273546</v>
      </c>
      <c r="BK4897" s="477">
        <v>90159983.454850256</v>
      </c>
      <c r="BL4897" s="458">
        <v>0.25937441760923674</v>
      </c>
      <c r="BM4897" s="468">
        <v>9.7036140044643737</v>
      </c>
    </row>
    <row r="4898" spans="12:65" x14ac:dyDescent="0.3">
      <c r="L4898" s="427">
        <v>22127786.476199999</v>
      </c>
      <c r="BE4898" s="477">
        <v>10386511.721115306</v>
      </c>
      <c r="BF4898" s="458">
        <v>2.0586411419203587E-2</v>
      </c>
      <c r="BG4898" s="477">
        <v>18229426.411334552</v>
      </c>
      <c r="BH4898" s="458">
        <v>5.1119557271425364E-2</v>
      </c>
      <c r="BI4898" s="477">
        <v>8288257.1617675265</v>
      </c>
      <c r="BJ4898" s="458">
        <v>9.7650478190902446E-2</v>
      </c>
      <c r="BK4898" s="477">
        <v>77845882.782234907</v>
      </c>
      <c r="BL4898" s="458">
        <v>0.26477875585928778</v>
      </c>
      <c r="BM4898" s="468">
        <v>3.6922441819345666</v>
      </c>
    </row>
    <row r="4899" spans="12:65" x14ac:dyDescent="0.3">
      <c r="L4899" s="427">
        <v>-932959.90150000004</v>
      </c>
      <c r="BE4899" s="477">
        <v>5648718.0685634194</v>
      </c>
      <c r="BF4899" s="458">
        <v>4.1412068823249548E-2</v>
      </c>
      <c r="BG4899" s="477">
        <v>10494749.92067956</v>
      </c>
      <c r="BH4899" s="458">
        <v>9.4743172546852383E-2</v>
      </c>
      <c r="BI4899" s="477">
        <v>14758746.072852749</v>
      </c>
      <c r="BJ4899" s="458">
        <v>0.1388209599154997</v>
      </c>
      <c r="BK4899" s="477">
        <v>79357675.881060913</v>
      </c>
      <c r="BL4899" s="458">
        <v>0.27134108777320143</v>
      </c>
      <c r="BM4899" s="468">
        <v>2.9672278675284929</v>
      </c>
    </row>
    <row r="4900" spans="12:65" x14ac:dyDescent="0.3">
      <c r="L4900" s="427">
        <v>7837930.5717000002</v>
      </c>
      <c r="BE4900" s="477">
        <v>2433528.4966529277</v>
      </c>
      <c r="BF4900" s="458">
        <v>4.0037921253792241E-2</v>
      </c>
      <c r="BG4900" s="477">
        <v>10057165.910251249</v>
      </c>
      <c r="BH4900" s="458">
        <v>6.7905256786843005E-2</v>
      </c>
      <c r="BI4900" s="477">
        <v>11782563.606841374</v>
      </c>
      <c r="BJ4900" s="458">
        <v>9.0296215449812589E-2</v>
      </c>
      <c r="BK4900" s="477">
        <v>96150152.434884831</v>
      </c>
      <c r="BL4900" s="458">
        <v>0.26011995066339777</v>
      </c>
      <c r="BM4900" s="468">
        <v>5.4075775647163642</v>
      </c>
    </row>
    <row r="4901" spans="12:65" x14ac:dyDescent="0.3">
      <c r="L4901" s="427">
        <v>17259503.914099999</v>
      </c>
      <c r="BE4901" s="477">
        <v>3079564.5703401705</v>
      </c>
      <c r="BF4901" s="458">
        <v>4.1871788922225539E-2</v>
      </c>
      <c r="BG4901" s="477">
        <v>8365617.9787299288</v>
      </c>
      <c r="BH4901" s="458">
        <v>7.9099573786322264E-2</v>
      </c>
      <c r="BI4901" s="477">
        <v>19030920.025660612</v>
      </c>
      <c r="BJ4901" s="458">
        <v>0.11247341552056689</v>
      </c>
      <c r="BK4901" s="477">
        <v>96967882.635384709</v>
      </c>
      <c r="BL4901" s="458">
        <v>0.26833356993944535</v>
      </c>
      <c r="BM4901" s="468">
        <v>8.8678812150083708</v>
      </c>
    </row>
    <row r="4902" spans="12:65" x14ac:dyDescent="0.3">
      <c r="L4902" s="427">
        <v>-2098472.2922</v>
      </c>
      <c r="BE4902" s="477">
        <v>7394232.2753582243</v>
      </c>
      <c r="BF4902" s="458">
        <v>5.1413750234839739E-2</v>
      </c>
      <c r="BG4902" s="477">
        <v>11390814.726279901</v>
      </c>
      <c r="BH4902" s="458">
        <v>4.9083773535877562E-2</v>
      </c>
      <c r="BI4902" s="477">
        <v>21332901.417877581</v>
      </c>
      <c r="BJ4902" s="458">
        <v>0.11127245581980261</v>
      </c>
      <c r="BK4902" s="477">
        <v>98671987.802103966</v>
      </c>
      <c r="BL4902" s="458">
        <v>0.25112557228416699</v>
      </c>
      <c r="BM4902" s="468">
        <v>4.5452732628738453</v>
      </c>
    </row>
    <row r="4903" spans="12:65" x14ac:dyDescent="0.3">
      <c r="L4903" s="427">
        <v>-5426454.9024</v>
      </c>
      <c r="BE4903" s="477">
        <v>7876625.0089818519</v>
      </c>
      <c r="BF4903" s="458">
        <v>3.2322452164574855E-2</v>
      </c>
      <c r="BG4903" s="477">
        <v>16389802.404574048</v>
      </c>
      <c r="BH4903" s="458">
        <v>4.0762054657544899E-2</v>
      </c>
      <c r="BI4903" s="477">
        <v>20405932.640748497</v>
      </c>
      <c r="BJ4903" s="458">
        <v>0.11213688082960771</v>
      </c>
      <c r="BK4903" s="477">
        <v>62368254.416875541</v>
      </c>
      <c r="BL4903" s="458">
        <v>0.25106237105281592</v>
      </c>
      <c r="BM4903" s="468">
        <v>4.2101850846588187</v>
      </c>
    </row>
    <row r="4904" spans="12:65" x14ac:dyDescent="0.3">
      <c r="L4904" s="427">
        <v>12497604.9789</v>
      </c>
      <c r="BE4904" s="477">
        <v>10009110.180732829</v>
      </c>
      <c r="BF4904" s="458">
        <v>3.7825730439332572E-2</v>
      </c>
      <c r="BG4904" s="477">
        <v>13423913.074565969</v>
      </c>
      <c r="BH4904" s="458">
        <v>3.6608997263612331E-2</v>
      </c>
      <c r="BI4904" s="477">
        <v>21216681.157622632</v>
      </c>
      <c r="BJ4904" s="458">
        <v>8.9024053766130651E-2</v>
      </c>
      <c r="BK4904" s="477">
        <v>94967796.939357549</v>
      </c>
      <c r="BL4904" s="458">
        <v>0.24747183021800678</v>
      </c>
      <c r="BM4904" s="468">
        <v>14.190293209678323</v>
      </c>
    </row>
    <row r="4905" spans="12:65" x14ac:dyDescent="0.3">
      <c r="L4905" s="427">
        <v>1635411.8729000001</v>
      </c>
      <c r="BE4905" s="477">
        <v>6172832.2497837273</v>
      </c>
      <c r="BF4905" s="458">
        <v>6.2611712576289502E-2</v>
      </c>
      <c r="BG4905" s="477">
        <v>10171131.571789399</v>
      </c>
      <c r="BH4905" s="458">
        <v>6.0872180316732694E-2</v>
      </c>
      <c r="BI4905" s="477">
        <v>17937317.693246447</v>
      </c>
      <c r="BJ4905" s="458">
        <v>0.11040700641033463</v>
      </c>
      <c r="BK4905" s="477">
        <v>102007437.62352315</v>
      </c>
      <c r="BL4905" s="458">
        <v>0.25063061077665072</v>
      </c>
      <c r="BM4905" s="468">
        <v>18.226836005104865</v>
      </c>
    </row>
    <row r="4906" spans="12:65" x14ac:dyDescent="0.3">
      <c r="L4906" s="427">
        <v>7374963.0011999998</v>
      </c>
      <c r="BE4906" s="477">
        <v>5123196.7923078723</v>
      </c>
      <c r="BF4906" s="458">
        <v>3.9454441750026659E-2</v>
      </c>
      <c r="BG4906" s="477">
        <v>4331760.652220875</v>
      </c>
      <c r="BH4906" s="458">
        <v>7.0836620255924299E-2</v>
      </c>
      <c r="BI4906" s="477">
        <v>7417994.5689204047</v>
      </c>
      <c r="BJ4906" s="458">
        <v>0.10281463371848987</v>
      </c>
      <c r="BK4906" s="477">
        <v>109733973.83069333</v>
      </c>
      <c r="BL4906" s="458">
        <v>0.26519534724218108</v>
      </c>
      <c r="BM4906" s="468">
        <v>5.7358237508462135</v>
      </c>
    </row>
    <row r="4907" spans="12:65" x14ac:dyDescent="0.3">
      <c r="L4907" s="427">
        <v>5264898.3782000002</v>
      </c>
      <c r="BE4907" s="477">
        <v>6382912.0275800945</v>
      </c>
      <c r="BF4907" s="458">
        <v>5.7375051279241696E-2</v>
      </c>
      <c r="BG4907" s="477">
        <v>13240794.521319162</v>
      </c>
      <c r="BH4907" s="458">
        <v>8.1297167188136399E-2</v>
      </c>
      <c r="BI4907" s="477">
        <v>21377521.120013222</v>
      </c>
      <c r="BJ4907" s="458">
        <v>0.10669710017243572</v>
      </c>
      <c r="BK4907" s="477">
        <v>92601527.254581213</v>
      </c>
      <c r="BL4907" s="458">
        <v>0.2633064658568145</v>
      </c>
      <c r="BM4907" s="468">
        <v>8.6247409436125739</v>
      </c>
    </row>
    <row r="4908" spans="12:65" x14ac:dyDescent="0.3">
      <c r="L4908" s="427">
        <v>7277501.5151000004</v>
      </c>
      <c r="BE4908" s="477">
        <v>7172148.9288055729</v>
      </c>
      <c r="BF4908" s="458">
        <v>2.9769789668104174E-2</v>
      </c>
      <c r="BG4908" s="477">
        <v>4551903.0596904689</v>
      </c>
      <c r="BH4908" s="458">
        <v>4.7257935338568924E-2</v>
      </c>
      <c r="BI4908" s="477">
        <v>16333991.898693535</v>
      </c>
      <c r="BJ4908" s="458">
        <v>0.10901012983454716</v>
      </c>
      <c r="BK4908" s="477">
        <v>94125524.665577859</v>
      </c>
      <c r="BL4908" s="458">
        <v>0.29002868403629245</v>
      </c>
      <c r="BM4908" s="468">
        <v>10.952604227232197</v>
      </c>
    </row>
    <row r="4909" spans="12:65" x14ac:dyDescent="0.3">
      <c r="L4909" s="427">
        <v>-3605701.4010000001</v>
      </c>
      <c r="BE4909" s="477">
        <v>5283938.2348452099</v>
      </c>
      <c r="BF4909" s="458">
        <v>4.2712450086052067E-2</v>
      </c>
      <c r="BG4909" s="477">
        <v>9625525.1790040359</v>
      </c>
      <c r="BH4909" s="458">
        <v>6.3189077331110344E-2</v>
      </c>
      <c r="BI4909" s="477">
        <v>13638576.19275834</v>
      </c>
      <c r="BJ4909" s="458">
        <v>0.14031392204395821</v>
      </c>
      <c r="BK4909" s="477">
        <v>81171072.616632029</v>
      </c>
      <c r="BL4909" s="458">
        <v>0.28397571483204875</v>
      </c>
      <c r="BM4909" s="468">
        <v>11.681170672020961</v>
      </c>
    </row>
    <row r="4910" spans="12:65" x14ac:dyDescent="0.3">
      <c r="L4910" s="427">
        <v>11471922.222200001</v>
      </c>
      <c r="BE4910" s="477">
        <v>4958807.7128383396</v>
      </c>
      <c r="BF4910" s="458">
        <v>2.6740789958042077E-2</v>
      </c>
      <c r="BG4910" s="477">
        <v>12976495.694669118</v>
      </c>
      <c r="BH4910" s="458">
        <v>8.0057623451192494E-2</v>
      </c>
      <c r="BI4910" s="477">
        <v>21955593.879796751</v>
      </c>
      <c r="BJ4910" s="458">
        <v>0.10680827940694337</v>
      </c>
      <c r="BK4910" s="477">
        <v>72331810.407005891</v>
      </c>
      <c r="BL4910" s="458">
        <v>0.25530578716253305</v>
      </c>
      <c r="BM4910" s="468">
        <v>15.615340487737186</v>
      </c>
    </row>
    <row r="4911" spans="12:65" x14ac:dyDescent="0.3">
      <c r="L4911" s="427">
        <v>3040342.9953999999</v>
      </c>
      <c r="BE4911" s="477">
        <v>8773180.7328327056</v>
      </c>
      <c r="BF4911" s="458">
        <v>4.967245197892356E-2</v>
      </c>
      <c r="BG4911" s="477">
        <v>11523986.411047678</v>
      </c>
      <c r="BH4911" s="458">
        <v>6.4477625706504282E-2</v>
      </c>
      <c r="BI4911" s="477">
        <v>12522302.736164343</v>
      </c>
      <c r="BJ4911" s="458">
        <v>0.10885526757808095</v>
      </c>
      <c r="BK4911" s="477">
        <v>92242462.598912522</v>
      </c>
      <c r="BL4911" s="458">
        <v>0.2826235624710085</v>
      </c>
      <c r="BM4911" s="468">
        <v>11.491072500012589</v>
      </c>
    </row>
    <row r="4912" spans="12:65" x14ac:dyDescent="0.3">
      <c r="L4912" s="427">
        <v>1964119.1479</v>
      </c>
      <c r="BE4912" s="477">
        <v>7920601.3634302961</v>
      </c>
      <c r="BF4912" s="458">
        <v>2.7426890754058686E-2</v>
      </c>
      <c r="BG4912" s="477">
        <v>11572521.09695806</v>
      </c>
      <c r="BH4912" s="458">
        <v>7.3056980012008221E-2</v>
      </c>
      <c r="BI4912" s="477">
        <v>17550624.695482213</v>
      </c>
      <c r="BJ4912" s="458">
        <v>0.10464527165979387</v>
      </c>
      <c r="BK4912" s="477">
        <v>85454223.14075923</v>
      </c>
      <c r="BL4912" s="458">
        <v>0.2617628476371805</v>
      </c>
      <c r="BM4912" s="468">
        <v>10.525028491070977</v>
      </c>
    </row>
    <row r="4913" spans="12:65" x14ac:dyDescent="0.3">
      <c r="L4913" s="427">
        <v>14925869.9438</v>
      </c>
      <c r="BE4913" s="477">
        <v>3749558.3708634754</v>
      </c>
      <c r="BF4913" s="458">
        <v>5.7074091781475156E-2</v>
      </c>
      <c r="BG4913" s="477">
        <v>8566935.3011758532</v>
      </c>
      <c r="BH4913" s="458">
        <v>7.2022201758093818E-2</v>
      </c>
      <c r="BI4913" s="477">
        <v>8891736.0702625606</v>
      </c>
      <c r="BJ4913" s="458">
        <v>9.862205558710424E-2</v>
      </c>
      <c r="BK4913" s="477">
        <v>93920834.896295026</v>
      </c>
      <c r="BL4913" s="458">
        <v>0.26078144113619595</v>
      </c>
      <c r="BM4913" s="468">
        <v>7.1963858377321159</v>
      </c>
    </row>
    <row r="4914" spans="12:65" x14ac:dyDescent="0.3">
      <c r="L4914" s="427">
        <v>-1006897.5343000001</v>
      </c>
      <c r="BE4914" s="477">
        <v>4667467.093747776</v>
      </c>
      <c r="BF4914" s="458">
        <v>4.5705923361998524E-2</v>
      </c>
      <c r="BG4914" s="477">
        <v>5232508.3776674932</v>
      </c>
      <c r="BH4914" s="458">
        <v>8.2081500765775361E-2</v>
      </c>
      <c r="BI4914" s="477">
        <v>16391833.488361919</v>
      </c>
      <c r="BJ4914" s="458">
        <v>9.2566078835381038E-2</v>
      </c>
      <c r="BK4914" s="477">
        <v>86580521.188319281</v>
      </c>
      <c r="BL4914" s="458">
        <v>0.24958085897994731</v>
      </c>
      <c r="BM4914" s="468">
        <v>8.436044368620756</v>
      </c>
    </row>
    <row r="4915" spans="12:65" x14ac:dyDescent="0.3">
      <c r="L4915" s="427">
        <v>16690918.762599999</v>
      </c>
      <c r="BE4915" s="477">
        <v>2679457.4411263289</v>
      </c>
      <c r="BF4915" s="458">
        <v>4.992114240358303E-2</v>
      </c>
      <c r="BG4915" s="477">
        <v>10175661.287370481</v>
      </c>
      <c r="BH4915" s="458">
        <v>6.3551759138504194E-2</v>
      </c>
      <c r="BI4915" s="477">
        <v>15841124.967746329</v>
      </c>
      <c r="BJ4915" s="458">
        <v>0.11502318182645244</v>
      </c>
      <c r="BK4915" s="477">
        <v>92926421.891222924</v>
      </c>
      <c r="BL4915" s="458">
        <v>0.27537281677256775</v>
      </c>
      <c r="BM4915" s="468">
        <v>15.169743429965667</v>
      </c>
    </row>
    <row r="4916" spans="12:65" x14ac:dyDescent="0.3">
      <c r="L4916" s="427">
        <v>5624925.0618000003</v>
      </c>
      <c r="BE4916" s="477">
        <v>4268215.4567197766</v>
      </c>
      <c r="BF4916" s="458">
        <v>3.5780283641294153E-2</v>
      </c>
      <c r="BG4916" s="477">
        <v>10760518.869636649</v>
      </c>
      <c r="BH4916" s="458">
        <v>6.1030048066169851E-2</v>
      </c>
      <c r="BI4916" s="477">
        <v>20784736.565094486</v>
      </c>
      <c r="BJ4916" s="458">
        <v>0.1008865877639209</v>
      </c>
      <c r="BK4916" s="477">
        <v>93657896.259526014</v>
      </c>
      <c r="BL4916" s="458">
        <v>0.27130769735963289</v>
      </c>
      <c r="BM4916" s="468">
        <v>15.261612580064995</v>
      </c>
    </row>
    <row r="4917" spans="12:65" x14ac:dyDescent="0.3">
      <c r="L4917" s="427">
        <v>-3177221.6047999999</v>
      </c>
      <c r="BE4917" s="477">
        <v>5536609.0675673103</v>
      </c>
      <c r="BF4917" s="458">
        <v>4.5647019432274449E-2</v>
      </c>
      <c r="BG4917" s="477">
        <v>5291100.015782184</v>
      </c>
      <c r="BH4917" s="458">
        <v>4.9966712342336184E-2</v>
      </c>
      <c r="BI4917" s="477">
        <v>18298110.275868185</v>
      </c>
      <c r="BJ4917" s="458">
        <v>0.12254891753031827</v>
      </c>
      <c r="BK4917" s="477">
        <v>86639131.613103777</v>
      </c>
      <c r="BL4917" s="458">
        <v>0.28176830321516144</v>
      </c>
      <c r="BM4917" s="468">
        <v>15.027203794886582</v>
      </c>
    </row>
    <row r="4918" spans="12:65" x14ac:dyDescent="0.3">
      <c r="L4918" s="427">
        <v>7526729.6297000004</v>
      </c>
      <c r="BE4918" s="477">
        <v>468171.1283276559</v>
      </c>
      <c r="BF4918" s="458">
        <v>5.5698772199456403E-2</v>
      </c>
      <c r="BG4918" s="477">
        <v>6609242.8962620134</v>
      </c>
      <c r="BH4918" s="458">
        <v>7.4921903901155718E-2</v>
      </c>
      <c r="BI4918" s="477">
        <v>8950277.0748908259</v>
      </c>
      <c r="BJ4918" s="458">
        <v>9.7883352489674058E-2</v>
      </c>
      <c r="BK4918" s="477">
        <v>75330824.588966742</v>
      </c>
      <c r="BL4918" s="458">
        <v>0.26978630934894121</v>
      </c>
      <c r="BM4918" s="468">
        <v>4.9007383950032875</v>
      </c>
    </row>
    <row r="4919" spans="12:65" x14ac:dyDescent="0.3">
      <c r="L4919" s="427">
        <v>19467958.0348</v>
      </c>
      <c r="BE4919" s="477">
        <v>6623068.1932549858</v>
      </c>
      <c r="BF4919" s="458">
        <v>5.3038548076877134E-2</v>
      </c>
      <c r="BG4919" s="477">
        <v>16669583.378779007</v>
      </c>
      <c r="BH4919" s="458">
        <v>7.6877671049599305E-2</v>
      </c>
      <c r="BI4919" s="477">
        <v>18141888.810292516</v>
      </c>
      <c r="BJ4919" s="458">
        <v>0.13995088382457732</v>
      </c>
      <c r="BK4919" s="477">
        <v>106685950.44342355</v>
      </c>
      <c r="BL4919" s="458">
        <v>0.25234531160249318</v>
      </c>
      <c r="BM4919" s="468">
        <v>5.1445888362872765</v>
      </c>
    </row>
    <row r="4920" spans="12:65" x14ac:dyDescent="0.3">
      <c r="L4920" s="427">
        <v>22386357.8149</v>
      </c>
      <c r="BE4920" s="477">
        <v>7085406.3878859831</v>
      </c>
      <c r="BF4920" s="458">
        <v>7.5561637785726665E-2</v>
      </c>
      <c r="BG4920" s="477">
        <v>7632692.433339024</v>
      </c>
      <c r="BH4920" s="458">
        <v>8.7196555933111597E-2</v>
      </c>
      <c r="BI4920" s="477">
        <v>21095453.100200586</v>
      </c>
      <c r="BJ4920" s="458">
        <v>0.12363627112918696</v>
      </c>
      <c r="BK4920" s="477">
        <v>91658854.133742541</v>
      </c>
      <c r="BL4920" s="458">
        <v>0.25680495285469296</v>
      </c>
      <c r="BM4920" s="468">
        <v>9.7829549180661495</v>
      </c>
    </row>
    <row r="4921" spans="12:65" x14ac:dyDescent="0.3">
      <c r="L4921" s="427">
        <v>19064894.1723</v>
      </c>
      <c r="BE4921" s="477">
        <v>2351234.6540030697</v>
      </c>
      <c r="BF4921" s="458">
        <v>4.8343273707406986E-2</v>
      </c>
      <c r="BG4921" s="477">
        <v>5575340.1495484551</v>
      </c>
      <c r="BH4921" s="458">
        <v>5.5569618950151778E-2</v>
      </c>
      <c r="BI4921" s="477">
        <v>10966163.374014324</v>
      </c>
      <c r="BJ4921" s="458">
        <v>9.7467314296419527E-2</v>
      </c>
      <c r="BK4921" s="477">
        <v>87092776.976977468</v>
      </c>
      <c r="BL4921" s="458">
        <v>0.25595260962328958</v>
      </c>
      <c r="BM4921" s="468">
        <v>7.3156095487606621</v>
      </c>
    </row>
    <row r="4922" spans="12:65" x14ac:dyDescent="0.3">
      <c r="L4922" s="427">
        <v>-5202205.9128999999</v>
      </c>
      <c r="BE4922" s="477">
        <v>273715.65436555649</v>
      </c>
      <c r="BF4922" s="458">
        <v>5.8940447109064209E-2</v>
      </c>
      <c r="BG4922" s="477">
        <v>6369561.885551543</v>
      </c>
      <c r="BH4922" s="458">
        <v>7.1480249883001612E-2</v>
      </c>
      <c r="BI4922" s="477">
        <v>13889452.120991228</v>
      </c>
      <c r="BJ4922" s="458">
        <v>7.0038330121073633E-2</v>
      </c>
      <c r="BK4922" s="477">
        <v>87523276.722702831</v>
      </c>
      <c r="BL4922" s="458">
        <v>0.27367480557931056</v>
      </c>
      <c r="BM4922" s="468">
        <v>9.3223957965930566</v>
      </c>
    </row>
    <row r="4923" spans="12:65" x14ac:dyDescent="0.3">
      <c r="L4923" s="427">
        <v>4655000.9011000004</v>
      </c>
      <c r="BE4923" s="477">
        <v>6554766.9546444407</v>
      </c>
      <c r="BF4923" s="458">
        <v>5.2356608196726828E-2</v>
      </c>
      <c r="BG4923" s="477">
        <v>6375549.1517285947</v>
      </c>
      <c r="BH4923" s="458">
        <v>6.2534371099509878E-2</v>
      </c>
      <c r="BI4923" s="477">
        <v>9462941.4621610027</v>
      </c>
      <c r="BJ4923" s="458">
        <v>0.11467041897553187</v>
      </c>
      <c r="BK4923" s="477">
        <v>71200237.460355863</v>
      </c>
      <c r="BL4923" s="458">
        <v>0.25953080596129641</v>
      </c>
      <c r="BM4923" s="468">
        <v>10.532251328798248</v>
      </c>
    </row>
    <row r="4924" spans="12:65" x14ac:dyDescent="0.3">
      <c r="L4924" s="427">
        <v>-2724755.3229</v>
      </c>
      <c r="BE4924" s="477">
        <v>4015096.3213868174</v>
      </c>
      <c r="BF4924" s="458">
        <v>4.7286473888872527E-2</v>
      </c>
      <c r="BG4924" s="477">
        <v>2409326.7896043696</v>
      </c>
      <c r="BH4924" s="458">
        <v>7.2259075100760572E-2</v>
      </c>
      <c r="BI4924" s="477">
        <v>20721005.597253401</v>
      </c>
      <c r="BJ4924" s="458">
        <v>9.1057138553106265E-2</v>
      </c>
      <c r="BK4924" s="477">
        <v>85493551.750159591</v>
      </c>
      <c r="BL4924" s="458">
        <v>0.24868714084635335</v>
      </c>
      <c r="BM4924" s="468">
        <v>6.0936351800165074</v>
      </c>
    </row>
    <row r="4925" spans="12:65" x14ac:dyDescent="0.3">
      <c r="L4925" s="427">
        <v>13423870.956900001</v>
      </c>
      <c r="BE4925" s="477">
        <v>4320540.2184105478</v>
      </c>
      <c r="BF4925" s="458">
        <v>6.5249527732217816E-2</v>
      </c>
      <c r="BG4925" s="477">
        <v>11745170.353358749</v>
      </c>
      <c r="BH4925" s="458">
        <v>7.3171639451079296E-2</v>
      </c>
      <c r="BI4925" s="477">
        <v>18667456.860920742</v>
      </c>
      <c r="BJ4925" s="458">
        <v>0.10652632447866028</v>
      </c>
      <c r="BK4925" s="477">
        <v>77943304.622871011</v>
      </c>
      <c r="BL4925" s="458">
        <v>0.25814996914416088</v>
      </c>
      <c r="BM4925" s="468">
        <v>9.7461234985791894</v>
      </c>
    </row>
    <row r="4926" spans="12:65" x14ac:dyDescent="0.3">
      <c r="L4926" s="427">
        <v>5795968.5938999997</v>
      </c>
      <c r="BE4926" s="477">
        <v>6265284.0376730934</v>
      </c>
      <c r="BF4926" s="458">
        <v>7.8971438202551703E-2</v>
      </c>
      <c r="BG4926" s="477">
        <v>5537209.7749396795</v>
      </c>
      <c r="BH4926" s="458">
        <v>5.9650774096562387E-2</v>
      </c>
      <c r="BI4926" s="477">
        <v>20548915.642827377</v>
      </c>
      <c r="BJ4926" s="458">
        <v>9.7935296006288253E-2</v>
      </c>
      <c r="BK4926" s="477">
        <v>92484394.036010981</v>
      </c>
      <c r="BL4926" s="458">
        <v>0.28812849268882634</v>
      </c>
      <c r="BM4926" s="468">
        <v>10.198225919701709</v>
      </c>
    </row>
    <row r="4927" spans="12:65" x14ac:dyDescent="0.3">
      <c r="L4927" s="427">
        <v>17142787.580200002</v>
      </c>
      <c r="BE4927" s="477">
        <v>2960834.5090321233</v>
      </c>
      <c r="BF4927" s="458">
        <v>7.732072859412864E-2</v>
      </c>
      <c r="BG4927" s="477">
        <v>6850693.1137088537</v>
      </c>
      <c r="BH4927" s="458">
        <v>3.5076347070286396E-2</v>
      </c>
      <c r="BI4927" s="477">
        <v>19397617.066078674</v>
      </c>
      <c r="BJ4927" s="458">
        <v>8.7936325282632621E-2</v>
      </c>
      <c r="BK4927" s="477">
        <v>85007475.539644659</v>
      </c>
      <c r="BL4927" s="458">
        <v>0.27756018421702633</v>
      </c>
      <c r="BM4927" s="468">
        <v>13.462661790209474</v>
      </c>
    </row>
    <row r="4928" spans="12:65" x14ac:dyDescent="0.3">
      <c r="L4928" s="427">
        <v>23074410.361400001</v>
      </c>
      <c r="BE4928" s="477">
        <v>3102018.1854209336</v>
      </c>
      <c r="BF4928" s="458">
        <v>5.4168067799383879E-2</v>
      </c>
      <c r="BG4928" s="477">
        <v>7663432.3138904916</v>
      </c>
      <c r="BH4928" s="458">
        <v>7.0508652157932561E-2</v>
      </c>
      <c r="BI4928" s="477">
        <v>15337200.806635598</v>
      </c>
      <c r="BJ4928" s="458">
        <v>0.13189522444770674</v>
      </c>
      <c r="BK4928" s="477">
        <v>88017042.723434851</v>
      </c>
      <c r="BL4928" s="458">
        <v>0.27277188846704092</v>
      </c>
      <c r="BM4928" s="468">
        <v>13.348137719532954</v>
      </c>
    </row>
    <row r="4929" spans="12:65" x14ac:dyDescent="0.3">
      <c r="L4929" s="427">
        <v>17487636.625999998</v>
      </c>
      <c r="BE4929" s="477">
        <v>6261940.3767071199</v>
      </c>
      <c r="BF4929" s="458">
        <v>4.8887630074219812E-2</v>
      </c>
      <c r="BG4929" s="477">
        <v>7741855.8595803715</v>
      </c>
      <c r="BH4929" s="458">
        <v>8.0415676280733095E-2</v>
      </c>
      <c r="BI4929" s="477">
        <v>21843847.800686043</v>
      </c>
      <c r="BJ4929" s="458">
        <v>0.13007615929115901</v>
      </c>
      <c r="BK4929" s="477">
        <v>85208827.338923946</v>
      </c>
      <c r="BL4929" s="458">
        <v>0.27022047128816751</v>
      </c>
      <c r="BM4929" s="468">
        <v>6.086046685590027</v>
      </c>
    </row>
    <row r="4930" spans="12:65" x14ac:dyDescent="0.3">
      <c r="L4930" s="427">
        <v>11364754.3489</v>
      </c>
      <c r="BE4930" s="477">
        <v>7766449.6902357135</v>
      </c>
      <c r="BF4930" s="458">
        <v>3.0908791422690207E-2</v>
      </c>
      <c r="BG4930" s="477">
        <v>10564356.46378232</v>
      </c>
      <c r="BH4930" s="458">
        <v>4.2423843157856522E-2</v>
      </c>
      <c r="BI4930" s="477">
        <v>18215248.377128098</v>
      </c>
      <c r="BJ4930" s="458">
        <v>0.11411650194100975</v>
      </c>
      <c r="BK4930" s="477">
        <v>100177287.28884552</v>
      </c>
      <c r="BL4930" s="458">
        <v>0.28218155269023248</v>
      </c>
      <c r="BM4930" s="468">
        <v>10.457066210106131</v>
      </c>
    </row>
    <row r="4931" spans="12:65" x14ac:dyDescent="0.3">
      <c r="L4931" s="427">
        <v>10866871.011600001</v>
      </c>
      <c r="BE4931" s="477">
        <v>7167608.4770946624</v>
      </c>
      <c r="BF4931" s="458">
        <v>6.2453036488087976E-2</v>
      </c>
      <c r="BG4931" s="477">
        <v>11467468.642130878</v>
      </c>
      <c r="BH4931" s="458">
        <v>4.4801126775936062E-2</v>
      </c>
      <c r="BI4931" s="477">
        <v>10275405.135500558</v>
      </c>
      <c r="BJ4931" s="458">
        <v>9.5602858353135201E-2</v>
      </c>
      <c r="BK4931" s="477">
        <v>105356030.09313893</v>
      </c>
      <c r="BL4931" s="458">
        <v>0.25625999943501432</v>
      </c>
      <c r="BM4931" s="468">
        <v>11.288976372133776</v>
      </c>
    </row>
    <row r="4932" spans="12:65" x14ac:dyDescent="0.3">
      <c r="L4932" s="427">
        <v>1421755.1118999999</v>
      </c>
      <c r="BE4932" s="477">
        <v>3631964.3955279328</v>
      </c>
      <c r="BF4932" s="458">
        <v>3.3402158008948968E-2</v>
      </c>
      <c r="BG4932" s="477">
        <v>2728856.8163759466</v>
      </c>
      <c r="BH4932" s="458">
        <v>6.152402070196783E-2</v>
      </c>
      <c r="BI4932" s="477">
        <v>26723351.216195405</v>
      </c>
      <c r="BJ4932" s="458">
        <v>0.10050699161894827</v>
      </c>
      <c r="BK4932" s="477">
        <v>96218854.927117348</v>
      </c>
      <c r="BL4932" s="458">
        <v>0.26328290137177612</v>
      </c>
      <c r="BM4932" s="468">
        <v>11.867178197049515</v>
      </c>
    </row>
    <row r="4933" spans="12:65" x14ac:dyDescent="0.3">
      <c r="L4933" s="427">
        <v>172266.88959999999</v>
      </c>
      <c r="BE4933" s="477">
        <v>4006701.8414437855</v>
      </c>
      <c r="BF4933" s="458">
        <v>5.1454442104881482E-2</v>
      </c>
      <c r="BG4933" s="477">
        <v>8640710.9566395227</v>
      </c>
      <c r="BH4933" s="458">
        <v>7.9109297285601343E-2</v>
      </c>
      <c r="BI4933" s="477">
        <v>26072207.171079885</v>
      </c>
      <c r="BJ4933" s="458">
        <v>0.12419666617864045</v>
      </c>
      <c r="BK4933" s="477">
        <v>79624469.458594143</v>
      </c>
      <c r="BL4933" s="458">
        <v>0.27452792662004888</v>
      </c>
      <c r="BM4933" s="468">
        <v>8.7327110152404046</v>
      </c>
    </row>
    <row r="4934" spans="12:65" x14ac:dyDescent="0.3">
      <c r="L4934" s="427">
        <v>4904124.7556999996</v>
      </c>
      <c r="BE4934" s="477">
        <v>8262321.463569547</v>
      </c>
      <c r="BF4934" s="458">
        <v>5.8158263224372453E-2</v>
      </c>
      <c r="BG4934" s="477">
        <v>2991636.918912611</v>
      </c>
      <c r="BH4934" s="458">
        <v>0.11858698823618297</v>
      </c>
      <c r="BI4934" s="477">
        <v>18404877.088542048</v>
      </c>
      <c r="BJ4934" s="458">
        <v>8.5818076383589181E-2</v>
      </c>
      <c r="BK4934" s="477">
        <v>92481216.161385387</v>
      </c>
      <c r="BL4934" s="458">
        <v>0.27449232999689488</v>
      </c>
      <c r="BM4934" s="468">
        <v>10.471678966774045</v>
      </c>
    </row>
    <row r="4935" spans="12:65" x14ac:dyDescent="0.3">
      <c r="L4935" s="427">
        <v>-503866.2071</v>
      </c>
      <c r="BE4935" s="477">
        <v>9031345.4715692326</v>
      </c>
      <c r="BF4935" s="458">
        <v>4.0520610321315376E-2</v>
      </c>
      <c r="BG4935" s="477">
        <v>6552100.5905297436</v>
      </c>
      <c r="BH4935" s="458">
        <v>6.4096989648172675E-2</v>
      </c>
      <c r="BI4935" s="477">
        <v>23480379.782523219</v>
      </c>
      <c r="BJ4935" s="458">
        <v>7.9929011298410346E-2</v>
      </c>
      <c r="BK4935" s="477">
        <v>90407443.768918633</v>
      </c>
      <c r="BL4935" s="458">
        <v>0.25853217805801965</v>
      </c>
      <c r="BM4935" s="468">
        <v>0.68157316972795901</v>
      </c>
    </row>
    <row r="4936" spans="12:65" x14ac:dyDescent="0.3">
      <c r="L4936" s="427">
        <v>14226121.6843</v>
      </c>
      <c r="BE4936" s="477">
        <v>6186442.0466082674</v>
      </c>
      <c r="BF4936" s="458">
        <v>2.1145030963615197E-2</v>
      </c>
      <c r="BG4936" s="477">
        <v>4649996.2235784773</v>
      </c>
      <c r="BH4936" s="458">
        <v>6.9480209900243839E-2</v>
      </c>
      <c r="BI4936" s="477">
        <v>19209684.011237048</v>
      </c>
      <c r="BJ4936" s="458">
        <v>0.10613784861705899</v>
      </c>
      <c r="BK4936" s="477">
        <v>94644527.541543424</v>
      </c>
      <c r="BL4936" s="458">
        <v>0.27673126647782209</v>
      </c>
      <c r="BM4936" s="468">
        <v>13.803958630357128</v>
      </c>
    </row>
    <row r="4937" spans="12:65" x14ac:dyDescent="0.3">
      <c r="L4937" s="427">
        <v>-2078015.6706999999</v>
      </c>
      <c r="BE4937" s="477">
        <v>4266466.7366344128</v>
      </c>
      <c r="BF4937" s="458">
        <v>3.561817093700026E-2</v>
      </c>
      <c r="BG4937" s="477">
        <v>11339778.453609874</v>
      </c>
      <c r="BH4937" s="458">
        <v>5.0394942324666347E-2</v>
      </c>
      <c r="BI4937" s="477">
        <v>20362333.723245095</v>
      </c>
      <c r="BJ4937" s="458">
        <v>8.7338553420518883E-2</v>
      </c>
      <c r="BK4937" s="477">
        <v>92047671.123581439</v>
      </c>
      <c r="BL4937" s="458">
        <v>0.28326435174336972</v>
      </c>
      <c r="BM4937" s="468">
        <v>9.5581419328164472</v>
      </c>
    </row>
    <row r="4938" spans="12:65" x14ac:dyDescent="0.3">
      <c r="L4938" s="427">
        <v>20888186.257800002</v>
      </c>
      <c r="BE4938" s="477">
        <v>5325762.9704268128</v>
      </c>
      <c r="BF4938" s="458">
        <v>2.4512616454712033E-2</v>
      </c>
      <c r="BG4938" s="477">
        <v>7535235.3588000853</v>
      </c>
      <c r="BH4938" s="458">
        <v>6.7632025946897656E-2</v>
      </c>
      <c r="BI4938" s="477">
        <v>4268706.5627870942</v>
      </c>
      <c r="BJ4938" s="458">
        <v>0.11415370182286666</v>
      </c>
      <c r="BK4938" s="477">
        <v>95029592.215192586</v>
      </c>
      <c r="BL4938" s="458">
        <v>0.27651518870346647</v>
      </c>
      <c r="BM4938" s="468">
        <v>9.6582663229863162</v>
      </c>
    </row>
    <row r="4939" spans="12:65" x14ac:dyDescent="0.3">
      <c r="L4939" s="427">
        <v>6189411.4122000001</v>
      </c>
      <c r="BE4939" s="477">
        <v>4242414.6168674845</v>
      </c>
      <c r="BF4939" s="458">
        <v>1.8977713881698222E-2</v>
      </c>
      <c r="BG4939" s="477">
        <v>14124675.115972679</v>
      </c>
      <c r="BH4939" s="458">
        <v>7.96230761333796E-2</v>
      </c>
      <c r="BI4939" s="477">
        <v>13726694.177977081</v>
      </c>
      <c r="BJ4939" s="458">
        <v>9.6039021026186333E-2</v>
      </c>
      <c r="BK4939" s="477">
        <v>85684471.633347213</v>
      </c>
      <c r="BL4939" s="458">
        <v>0.28724012375184627</v>
      </c>
      <c r="BM4939" s="468">
        <v>9.2588596485361325</v>
      </c>
    </row>
    <row r="4940" spans="12:65" x14ac:dyDescent="0.3">
      <c r="L4940" s="427">
        <v>-56397.044600000001</v>
      </c>
      <c r="BE4940" s="477">
        <v>5799244.635859333</v>
      </c>
      <c r="BF4940" s="458">
        <v>2.8567487154360416E-2</v>
      </c>
      <c r="BG4940" s="477">
        <v>13317572.059273215</v>
      </c>
      <c r="BH4940" s="458">
        <v>7.272603219313023E-2</v>
      </c>
      <c r="BI4940" s="477">
        <v>13600793.290390942</v>
      </c>
      <c r="BJ4940" s="458">
        <v>0.1321724058792666</v>
      </c>
      <c r="BK4940" s="477">
        <v>96160986.785232753</v>
      </c>
      <c r="BL4940" s="458">
        <v>0.274984176316726</v>
      </c>
      <c r="BM4940" s="468">
        <v>-3.6314511848782818</v>
      </c>
    </row>
    <row r="4941" spans="12:65" x14ac:dyDescent="0.3">
      <c r="L4941" s="427">
        <v>19086696.533799998</v>
      </c>
      <c r="BE4941" s="477">
        <v>9998452.8074816987</v>
      </c>
      <c r="BF4941" s="458">
        <v>3.2242280438186777E-2</v>
      </c>
      <c r="BG4941" s="477">
        <v>5563253.1252370132</v>
      </c>
      <c r="BH4941" s="458">
        <v>6.329364163566753E-2</v>
      </c>
      <c r="BI4941" s="477">
        <v>7487893.263845345</v>
      </c>
      <c r="BJ4941" s="458">
        <v>0.1077949586065583</v>
      </c>
      <c r="BK4941" s="477">
        <v>75628246.189908594</v>
      </c>
      <c r="BL4941" s="458">
        <v>0.26272736774508121</v>
      </c>
      <c r="BM4941" s="468">
        <v>5.209545305526941</v>
      </c>
    </row>
    <row r="4942" spans="12:65" x14ac:dyDescent="0.3">
      <c r="L4942" s="427">
        <v>13575968.881200001</v>
      </c>
      <c r="BE4942" s="477">
        <v>7340183.9977112291</v>
      </c>
      <c r="BF4942" s="458">
        <v>2.7798087964679752E-2</v>
      </c>
      <c r="BG4942" s="477">
        <v>5364025.7477027532</v>
      </c>
      <c r="BH4942" s="458">
        <v>5.0692413330803543E-2</v>
      </c>
      <c r="BI4942" s="477">
        <v>21746156.85484194</v>
      </c>
      <c r="BJ4942" s="458">
        <v>0.10701038132286422</v>
      </c>
      <c r="BK4942" s="477">
        <v>86153834.297207817</v>
      </c>
      <c r="BL4942" s="458">
        <v>0.2695239100731468</v>
      </c>
      <c r="BM4942" s="468">
        <v>6.7029996401300203</v>
      </c>
    </row>
    <row r="4943" spans="12:65" x14ac:dyDescent="0.3">
      <c r="L4943" s="427">
        <v>5932673.9687999999</v>
      </c>
      <c r="BE4943" s="477">
        <v>11492522.087640716</v>
      </c>
      <c r="BF4943" s="458">
        <v>4.918188758033426E-2</v>
      </c>
      <c r="BG4943" s="477">
        <v>9765389.4285490904</v>
      </c>
      <c r="BH4943" s="458">
        <v>1.8201863356740233E-2</v>
      </c>
      <c r="BI4943" s="477">
        <v>7394722.3755911374</v>
      </c>
      <c r="BJ4943" s="458">
        <v>0.11192356414556692</v>
      </c>
      <c r="BK4943" s="477">
        <v>76827204.949789524</v>
      </c>
      <c r="BL4943" s="458">
        <v>0.26797391788442915</v>
      </c>
      <c r="BM4943" s="468">
        <v>8.5131102900236151</v>
      </c>
    </row>
    <row r="4944" spans="12:65" x14ac:dyDescent="0.3">
      <c r="L4944" s="427">
        <v>20324074.168200001</v>
      </c>
      <c r="BE4944" s="477">
        <v>1486951.0366390385</v>
      </c>
      <c r="BF4944" s="458">
        <v>1.9665026139299213E-2</v>
      </c>
      <c r="BG4944" s="477">
        <v>8961709.5704411995</v>
      </c>
      <c r="BH4944" s="458">
        <v>5.7665638734761382E-2</v>
      </c>
      <c r="BI4944" s="477">
        <v>12793565.813393965</v>
      </c>
      <c r="BJ4944" s="458">
        <v>0.11713598580512796</v>
      </c>
      <c r="BK4944" s="477">
        <v>97412541.567232892</v>
      </c>
      <c r="BL4944" s="458">
        <v>0.260556287542413</v>
      </c>
      <c r="BM4944" s="468">
        <v>5.3482345581843571</v>
      </c>
    </row>
    <row r="4945" spans="12:65" x14ac:dyDescent="0.3">
      <c r="L4945" s="427">
        <v>9856839.8549000006</v>
      </c>
      <c r="BE4945" s="477">
        <v>3942891.2516936995</v>
      </c>
      <c r="BF4945" s="458">
        <v>4.5767400286550242E-2</v>
      </c>
      <c r="BG4945" s="477">
        <v>8737071.7822685577</v>
      </c>
      <c r="BH4945" s="458">
        <v>7.2722507993791874E-2</v>
      </c>
      <c r="BI4945" s="477">
        <v>10492453.436950598</v>
      </c>
      <c r="BJ4945" s="458">
        <v>0.12566681035924598</v>
      </c>
      <c r="BK4945" s="477">
        <v>97764880.295969412</v>
      </c>
      <c r="BL4945" s="458">
        <v>0.25794167772673715</v>
      </c>
      <c r="BM4945" s="468">
        <v>7.5363132732133513</v>
      </c>
    </row>
    <row r="4946" spans="12:65" x14ac:dyDescent="0.3">
      <c r="L4946" s="427">
        <v>13548073.936699999</v>
      </c>
      <c r="BE4946" s="477">
        <v>2637735.5006802701</v>
      </c>
      <c r="BF4946" s="458">
        <v>5.7561523386417512E-2</v>
      </c>
      <c r="BG4946" s="477">
        <v>1299573.2033403823</v>
      </c>
      <c r="BH4946" s="458">
        <v>5.6562288877546996E-2</v>
      </c>
      <c r="BI4946" s="477">
        <v>19121616.818471566</v>
      </c>
      <c r="BJ4946" s="458">
        <v>0.12529096280123708</v>
      </c>
      <c r="BK4946" s="477">
        <v>93322130.058412969</v>
      </c>
      <c r="BL4946" s="458">
        <v>0.27698609050378553</v>
      </c>
      <c r="BM4946" s="468">
        <v>8.2044363116983625</v>
      </c>
    </row>
    <row r="4947" spans="12:65" x14ac:dyDescent="0.3">
      <c r="L4947" s="427">
        <v>8543272.4768000003</v>
      </c>
      <c r="BE4947" s="477">
        <v>7507381.599001986</v>
      </c>
      <c r="BF4947" s="458">
        <v>3.2992309134316056E-2</v>
      </c>
      <c r="BG4947" s="477">
        <v>12817045.491452042</v>
      </c>
      <c r="BH4947" s="458">
        <v>6.5433423468465035E-2</v>
      </c>
      <c r="BI4947" s="477">
        <v>14760853.53929458</v>
      </c>
      <c r="BJ4947" s="458">
        <v>0.11680609549569088</v>
      </c>
      <c r="BK4947" s="477">
        <v>76061565.544606104</v>
      </c>
      <c r="BL4947" s="458">
        <v>0.2655974637897407</v>
      </c>
      <c r="BM4947" s="468">
        <v>8.5226443880634406</v>
      </c>
    </row>
    <row r="4948" spans="12:65" x14ac:dyDescent="0.3">
      <c r="L4948" s="427">
        <v>4707195.7833000002</v>
      </c>
      <c r="BE4948" s="477">
        <v>1290088.477686459</v>
      </c>
      <c r="BF4948" s="458">
        <v>4.7778548591053571E-2</v>
      </c>
      <c r="BG4948" s="477">
        <v>10861822.522350786</v>
      </c>
      <c r="BH4948" s="458">
        <v>6.5763075829698758E-2</v>
      </c>
      <c r="BI4948" s="477">
        <v>7084855.7929256009</v>
      </c>
      <c r="BJ4948" s="458">
        <v>0.10516361428271592</v>
      </c>
      <c r="BK4948" s="477">
        <v>92115628.48796244</v>
      </c>
      <c r="BL4948" s="458">
        <v>0.25638044062677756</v>
      </c>
      <c r="BM4948" s="468">
        <v>6.5089878918278785</v>
      </c>
    </row>
    <row r="4949" spans="12:65" x14ac:dyDescent="0.3">
      <c r="L4949" s="427">
        <v>11105561.003900001</v>
      </c>
      <c r="BE4949" s="477">
        <v>3568726.4717811872</v>
      </c>
      <c r="BF4949" s="458">
        <v>3.6127602282225668E-2</v>
      </c>
      <c r="BG4949" s="477">
        <v>3158909.9279652205</v>
      </c>
      <c r="BH4949" s="458">
        <v>5.6990552548703777E-2</v>
      </c>
      <c r="BI4949" s="477">
        <v>16761745.225559587</v>
      </c>
      <c r="BJ4949" s="458">
        <v>8.3371617740553683E-2</v>
      </c>
      <c r="BK4949" s="477">
        <v>81720477.922798678</v>
      </c>
      <c r="BL4949" s="458">
        <v>0.27511720773543735</v>
      </c>
      <c r="BM4949" s="468">
        <v>13.736487827913557</v>
      </c>
    </row>
    <row r="4950" spans="12:65" x14ac:dyDescent="0.3">
      <c r="L4950" s="427">
        <v>11127038.1448</v>
      </c>
      <c r="BE4950" s="477">
        <v>5203966.3812789274</v>
      </c>
      <c r="BF4950" s="458">
        <v>2.5770853937790772E-2</v>
      </c>
      <c r="BG4950" s="477">
        <v>7116365.429513704</v>
      </c>
      <c r="BH4950" s="458">
        <v>4.3630742293385261E-2</v>
      </c>
      <c r="BI4950" s="477">
        <v>9728045.2115579881</v>
      </c>
      <c r="BJ4950" s="458">
        <v>0.1270129446281687</v>
      </c>
      <c r="BK4950" s="477">
        <v>93374598.457037553</v>
      </c>
      <c r="BL4950" s="458">
        <v>0.26688774905536983</v>
      </c>
      <c r="BM4950" s="468">
        <v>6.1466762756863371</v>
      </c>
    </row>
    <row r="4951" spans="12:65" x14ac:dyDescent="0.3">
      <c r="L4951" s="427">
        <v>-326211.0429</v>
      </c>
      <c r="BE4951" s="477">
        <v>8776322.5594335794</v>
      </c>
      <c r="BF4951" s="458">
        <v>5.233269411340391E-2</v>
      </c>
      <c r="BG4951" s="477">
        <v>1144761.0811055216</v>
      </c>
      <c r="BH4951" s="458">
        <v>8.333250772693046E-2</v>
      </c>
      <c r="BI4951" s="477">
        <v>17037455.079297703</v>
      </c>
      <c r="BJ4951" s="458">
        <v>0.11418411482742252</v>
      </c>
      <c r="BK4951" s="477">
        <v>89433459.457365423</v>
      </c>
      <c r="BL4951" s="458">
        <v>0.27983186121989378</v>
      </c>
      <c r="BM4951" s="468">
        <v>10.860638435450205</v>
      </c>
    </row>
    <row r="4952" spans="12:65" x14ac:dyDescent="0.3">
      <c r="L4952" s="427">
        <v>1452740.7250000001</v>
      </c>
      <c r="BE4952" s="477">
        <v>5116882.2627926962</v>
      </c>
      <c r="BF4952" s="458">
        <v>4.0105733941794508E-2</v>
      </c>
      <c r="BG4952" s="477">
        <v>6518047.0129080219</v>
      </c>
      <c r="BH4952" s="458">
        <v>5.9488564371644514E-2</v>
      </c>
      <c r="BI4952" s="477">
        <v>19758758.009815134</v>
      </c>
      <c r="BJ4952" s="458">
        <v>0.1195276321003369</v>
      </c>
      <c r="BK4952" s="477">
        <v>101371379.49025823</v>
      </c>
      <c r="BL4952" s="458">
        <v>0.26172426413838856</v>
      </c>
      <c r="BM4952" s="468">
        <v>7.0506161722234708</v>
      </c>
    </row>
    <row r="4953" spans="12:65" x14ac:dyDescent="0.3">
      <c r="L4953" s="427">
        <v>13277230.963300001</v>
      </c>
      <c r="BE4953" s="477">
        <v>10066196.254019251</v>
      </c>
      <c r="BF4953" s="458">
        <v>3.2405906748905311E-2</v>
      </c>
      <c r="BG4953" s="477">
        <v>10174635.188989004</v>
      </c>
      <c r="BH4953" s="458">
        <v>7.7817754661417382E-2</v>
      </c>
      <c r="BI4953" s="477">
        <v>22074700.17962515</v>
      </c>
      <c r="BJ4953" s="458">
        <v>0.11935323998928737</v>
      </c>
      <c r="BK4953" s="477">
        <v>98493318.406397909</v>
      </c>
      <c r="BL4953" s="458">
        <v>0.26753984840867462</v>
      </c>
      <c r="BM4953" s="468">
        <v>13.061601952200171</v>
      </c>
    </row>
    <row r="4954" spans="12:65" x14ac:dyDescent="0.3">
      <c r="L4954" s="427">
        <v>14003564.228700001</v>
      </c>
      <c r="BE4954" s="477">
        <v>5664409.8994603883</v>
      </c>
      <c r="BF4954" s="458">
        <v>4.1608527701379794E-2</v>
      </c>
      <c r="BG4954" s="477">
        <v>7969968.5107995858</v>
      </c>
      <c r="BH4954" s="458">
        <v>7.2054192904609238E-2</v>
      </c>
      <c r="BI4954" s="477">
        <v>13075840.792775698</v>
      </c>
      <c r="BJ4954" s="458">
        <v>0.10115186657159758</v>
      </c>
      <c r="BK4954" s="477">
        <v>87229275.59579581</v>
      </c>
      <c r="BL4954" s="458">
        <v>0.27553618916836853</v>
      </c>
      <c r="BM4954" s="468">
        <v>15.328590937054109</v>
      </c>
    </row>
    <row r="4955" spans="12:65" x14ac:dyDescent="0.3">
      <c r="L4955" s="427">
        <v>9429404.0557000004</v>
      </c>
      <c r="BE4955" s="477">
        <v>3444788.78012917</v>
      </c>
      <c r="BF4955" s="458">
        <v>1.7679416803852765E-2</v>
      </c>
      <c r="BG4955" s="477">
        <v>8563862.2426289748</v>
      </c>
      <c r="BH4955" s="458">
        <v>8.5958860045209473E-2</v>
      </c>
      <c r="BI4955" s="477">
        <v>11365303.230088213</v>
      </c>
      <c r="BJ4955" s="458">
        <v>9.3353025008497292E-2</v>
      </c>
      <c r="BK4955" s="477">
        <v>97857659.971376583</v>
      </c>
      <c r="BL4955" s="458">
        <v>0.28118464825668998</v>
      </c>
      <c r="BM4955" s="468">
        <v>6.0010242214119884</v>
      </c>
    </row>
    <row r="4956" spans="12:65" x14ac:dyDescent="0.3">
      <c r="L4956" s="427">
        <v>-3571216.8166</v>
      </c>
      <c r="BE4956" s="477">
        <v>3187647.8433221122</v>
      </c>
      <c r="BF4956" s="458">
        <v>7.2048372741199129E-2</v>
      </c>
      <c r="BG4956" s="477">
        <v>14404906.830706825</v>
      </c>
      <c r="BH4956" s="458">
        <v>7.48616331166303E-2</v>
      </c>
      <c r="BI4956" s="477">
        <v>9541354.847474074</v>
      </c>
      <c r="BJ4956" s="458">
        <v>0.10112925013592222</v>
      </c>
      <c r="BK4956" s="477">
        <v>77460692.927124113</v>
      </c>
      <c r="BL4956" s="458">
        <v>0.27016325921969297</v>
      </c>
      <c r="BM4956" s="468">
        <v>7.30785226408518</v>
      </c>
    </row>
    <row r="4957" spans="12:65" x14ac:dyDescent="0.3">
      <c r="L4957" s="427">
        <v>25140252.098200001</v>
      </c>
      <c r="BE4957" s="477">
        <v>6092162.6563353436</v>
      </c>
      <c r="BF4957" s="458">
        <v>6.9257282057916036E-2</v>
      </c>
      <c r="BG4957" s="477">
        <v>11765938.126541905</v>
      </c>
      <c r="BH4957" s="458">
        <v>5.4020087215222334E-2</v>
      </c>
      <c r="BI4957" s="477">
        <v>14077669.189458948</v>
      </c>
      <c r="BJ4957" s="458">
        <v>7.6164051015242817E-2</v>
      </c>
      <c r="BK4957" s="477">
        <v>89394180.547371939</v>
      </c>
      <c r="BL4957" s="458">
        <v>0.27313964790461287</v>
      </c>
      <c r="BM4957" s="468">
        <v>4.5703464083664009</v>
      </c>
    </row>
    <row r="4958" spans="12:65" x14ac:dyDescent="0.3">
      <c r="L4958" s="427">
        <v>10207622.7173</v>
      </c>
      <c r="BE4958" s="477">
        <v>3570737.5905432091</v>
      </c>
      <c r="BF4958" s="458">
        <v>3.5343649514345543E-2</v>
      </c>
      <c r="BG4958" s="477">
        <v>10747980.466512674</v>
      </c>
      <c r="BH4958" s="458">
        <v>5.7841045589274609E-2</v>
      </c>
      <c r="BI4958" s="477">
        <v>11292174.793386107</v>
      </c>
      <c r="BJ4958" s="458">
        <v>0.10768272300587833</v>
      </c>
      <c r="BK4958" s="477">
        <v>101147641.10518023</v>
      </c>
      <c r="BL4958" s="458">
        <v>0.25472104828410735</v>
      </c>
      <c r="BM4958" s="468">
        <v>12.42097435273441</v>
      </c>
    </row>
    <row r="4959" spans="12:65" x14ac:dyDescent="0.3">
      <c r="L4959" s="427">
        <v>11396588.246200001</v>
      </c>
      <c r="BE4959" s="477">
        <v>2105018.7624113988</v>
      </c>
      <c r="BF4959" s="458">
        <v>2.689670760269891E-2</v>
      </c>
      <c r="BG4959" s="477">
        <v>6288287.4609937798</v>
      </c>
      <c r="BH4959" s="458">
        <v>5.4752816811352467E-2</v>
      </c>
      <c r="BI4959" s="477">
        <v>15811353.281690788</v>
      </c>
      <c r="BJ4959" s="458">
        <v>9.0638983931047967E-2</v>
      </c>
      <c r="BK4959" s="477">
        <v>82156867.187849477</v>
      </c>
      <c r="BL4959" s="458">
        <v>0.29633726475194599</v>
      </c>
      <c r="BM4959" s="468">
        <v>7.9924017806063414</v>
      </c>
    </row>
    <row r="4960" spans="12:65" x14ac:dyDescent="0.3">
      <c r="L4960" s="427">
        <v>-2068212.9393</v>
      </c>
      <c r="BE4960" s="477">
        <v>4720107.6051898655</v>
      </c>
      <c r="BF4960" s="458">
        <v>2.9295655688836186E-2</v>
      </c>
      <c r="BG4960" s="477">
        <v>8117818.7290398441</v>
      </c>
      <c r="BH4960" s="458">
        <v>6.8626957187289728E-2</v>
      </c>
      <c r="BI4960" s="477">
        <v>16700231.312277855</v>
      </c>
      <c r="BJ4960" s="458">
        <v>0.13049086366677964</v>
      </c>
      <c r="BK4960" s="477">
        <v>101158150.07172608</v>
      </c>
      <c r="BL4960" s="458">
        <v>0.26785997913818371</v>
      </c>
      <c r="BM4960" s="468">
        <v>-2.8588236529475655</v>
      </c>
    </row>
    <row r="4961" spans="12:65" x14ac:dyDescent="0.3">
      <c r="L4961" s="427">
        <v>2708648.4770999998</v>
      </c>
      <c r="BE4961" s="477">
        <v>4762490.5498373536</v>
      </c>
      <c r="BF4961" s="458">
        <v>3.8212874523528617E-2</v>
      </c>
      <c r="BG4961" s="477">
        <v>9962189.3027687259</v>
      </c>
      <c r="BH4961" s="458">
        <v>8.1673442461438928E-2</v>
      </c>
      <c r="BI4961" s="477">
        <v>15872268.712012654</v>
      </c>
      <c r="BJ4961" s="458">
        <v>0.13393560174069208</v>
      </c>
      <c r="BK4961" s="477">
        <v>87460320.000337198</v>
      </c>
      <c r="BL4961" s="458">
        <v>0.269463962948848</v>
      </c>
      <c r="BM4961" s="468">
        <v>4.1958314231904401</v>
      </c>
    </row>
    <row r="4962" spans="12:65" x14ac:dyDescent="0.3">
      <c r="L4962" s="427">
        <v>8513476.7236000001</v>
      </c>
      <c r="BE4962" s="477">
        <v>6695747.0245890981</v>
      </c>
      <c r="BF4962" s="458">
        <v>5.011873035590253E-2</v>
      </c>
      <c r="BG4962" s="477">
        <v>3430572.8833797798</v>
      </c>
      <c r="BH4962" s="458">
        <v>5.1105852079019964E-2</v>
      </c>
      <c r="BI4962" s="477">
        <v>13509767.733040266</v>
      </c>
      <c r="BJ4962" s="458">
        <v>0.10366423439725758</v>
      </c>
      <c r="BK4962" s="477">
        <v>93876880.418737829</v>
      </c>
      <c r="BL4962" s="458">
        <v>0.26951141397736711</v>
      </c>
      <c r="BM4962" s="468">
        <v>2.112312734094286</v>
      </c>
    </row>
    <row r="4963" spans="12:65" x14ac:dyDescent="0.3">
      <c r="L4963" s="427">
        <v>7012221.5515000001</v>
      </c>
      <c r="BE4963" s="477">
        <v>9710260.9378783833</v>
      </c>
      <c r="BF4963" s="458">
        <v>4.2961754652914186E-2</v>
      </c>
      <c r="BG4963" s="477">
        <v>7221804.0224465327</v>
      </c>
      <c r="BH4963" s="458">
        <v>5.8445391497988775E-2</v>
      </c>
      <c r="BI4963" s="477">
        <v>16663373.291167475</v>
      </c>
      <c r="BJ4963" s="458">
        <v>9.3094386476288982E-2</v>
      </c>
      <c r="BK4963" s="477">
        <v>86248217.466966659</v>
      </c>
      <c r="BL4963" s="458">
        <v>0.26623830435486284</v>
      </c>
      <c r="BM4963" s="468">
        <v>1.1670897623036858</v>
      </c>
    </row>
    <row r="4964" spans="12:65" x14ac:dyDescent="0.3">
      <c r="L4964" s="427">
        <v>-16465953.1587</v>
      </c>
      <c r="BE4964" s="477">
        <v>10857347.797120897</v>
      </c>
      <c r="BF4964" s="458">
        <v>4.0931133359329186E-2</v>
      </c>
      <c r="BG4964" s="477">
        <v>4984000.6908750441</v>
      </c>
      <c r="BH4964" s="458">
        <v>4.753797871909482E-2</v>
      </c>
      <c r="BI4964" s="477">
        <v>18815764.721060865</v>
      </c>
      <c r="BJ4964" s="458">
        <v>0.10607831026895043</v>
      </c>
      <c r="BK4964" s="477">
        <v>103585049.55249567</v>
      </c>
      <c r="BL4964" s="458">
        <v>0.26228533653615815</v>
      </c>
      <c r="BM4964" s="468">
        <v>11.496325632242842</v>
      </c>
    </row>
    <row r="4965" spans="12:65" x14ac:dyDescent="0.3">
      <c r="L4965" s="427">
        <v>12574812.6896</v>
      </c>
      <c r="BE4965" s="477">
        <v>8988553.7702211235</v>
      </c>
      <c r="BF4965" s="458">
        <v>2.3497313803376496E-2</v>
      </c>
      <c r="BG4965" s="477">
        <v>10315477.835242307</v>
      </c>
      <c r="BH4965" s="458">
        <v>6.3276269543328656E-2</v>
      </c>
      <c r="BI4965" s="477">
        <v>21843862.853035696</v>
      </c>
      <c r="BJ4965" s="458">
        <v>0.13044783363404822</v>
      </c>
      <c r="BK4965" s="477">
        <v>80961161.551609084</v>
      </c>
      <c r="BL4965" s="458">
        <v>0.26801152255045158</v>
      </c>
      <c r="BM4965" s="468">
        <v>9.6347196751448454</v>
      </c>
    </row>
    <row r="4966" spans="12:65" x14ac:dyDescent="0.3">
      <c r="L4966" s="427">
        <v>5814429.5729999999</v>
      </c>
      <c r="BE4966" s="477">
        <v>9495106.8710984774</v>
      </c>
      <c r="BF4966" s="458">
        <v>4.5588981207041579E-2</v>
      </c>
      <c r="BG4966" s="477">
        <v>8850446.228356991</v>
      </c>
      <c r="BH4966" s="458">
        <v>7.2510092118110991E-2</v>
      </c>
      <c r="BI4966" s="477">
        <v>30718007.625066184</v>
      </c>
      <c r="BJ4966" s="458">
        <v>9.3780047818628365E-2</v>
      </c>
      <c r="BK4966" s="477">
        <v>83532144.104344442</v>
      </c>
      <c r="BL4966" s="458">
        <v>0.25404270759871306</v>
      </c>
      <c r="BM4966" s="468">
        <v>7.7355782827600459</v>
      </c>
    </row>
    <row r="4967" spans="12:65" x14ac:dyDescent="0.3">
      <c r="L4967" s="427">
        <v>-3594606.0288999998</v>
      </c>
      <c r="BE4967" s="477">
        <v>4623988.5342933666</v>
      </c>
      <c r="BF4967" s="458">
        <v>5.0965538470613803E-2</v>
      </c>
      <c r="BG4967" s="477">
        <v>11443584.359427856</v>
      </c>
      <c r="BH4967" s="458">
        <v>5.4437826381220189E-2</v>
      </c>
      <c r="BI4967" s="477">
        <v>6372566.9146932019</v>
      </c>
      <c r="BJ4967" s="458">
        <v>0.11101172130707337</v>
      </c>
      <c r="BK4967" s="477">
        <v>95409185.478539377</v>
      </c>
      <c r="BL4967" s="458">
        <v>0.26334210842525163</v>
      </c>
      <c r="BM4967" s="468">
        <v>8.9699448648244573</v>
      </c>
    </row>
    <row r="4968" spans="12:65" x14ac:dyDescent="0.3">
      <c r="L4968" s="427">
        <v>29339004.923</v>
      </c>
      <c r="BE4968" s="477">
        <v>4816120.3273465782</v>
      </c>
      <c r="BF4968" s="458">
        <v>8.037635991294656E-2</v>
      </c>
      <c r="BG4968" s="477">
        <v>8151535.6010666834</v>
      </c>
      <c r="BH4968" s="458">
        <v>8.0402193585689341E-2</v>
      </c>
      <c r="BI4968" s="477">
        <v>24540161.606962603</v>
      </c>
      <c r="BJ4968" s="458">
        <v>0.11578815215010452</v>
      </c>
      <c r="BK4968" s="477">
        <v>72749409.755560651</v>
      </c>
      <c r="BL4968" s="458">
        <v>0.27137598737291868</v>
      </c>
      <c r="BM4968" s="468">
        <v>8.1660282716882513</v>
      </c>
    </row>
    <row r="4969" spans="12:65" x14ac:dyDescent="0.3">
      <c r="L4969" s="427">
        <v>-4209185.5428999998</v>
      </c>
      <c r="BE4969" s="477">
        <v>2036051.4355684447</v>
      </c>
      <c r="BF4969" s="458">
        <v>2.3204111625781065E-2</v>
      </c>
      <c r="BG4969" s="477">
        <v>13027956.650549838</v>
      </c>
      <c r="BH4969" s="458">
        <v>7.7090791725069607E-2</v>
      </c>
      <c r="BI4969" s="477">
        <v>18796252.193297438</v>
      </c>
      <c r="BJ4969" s="458">
        <v>0.13542893429365765</v>
      </c>
      <c r="BK4969" s="477">
        <v>102141056.60455689</v>
      </c>
      <c r="BL4969" s="458">
        <v>0.26421278971071183</v>
      </c>
      <c r="BM4969" s="468">
        <v>4.0203128775476538</v>
      </c>
    </row>
    <row r="4970" spans="12:65" x14ac:dyDescent="0.3">
      <c r="L4970" s="427">
        <v>4604458.0159999998</v>
      </c>
      <c r="BE4970" s="477">
        <v>6694125.119728365</v>
      </c>
      <c r="BF4970" s="458">
        <v>1.4023550975385879E-2</v>
      </c>
      <c r="BG4970" s="477">
        <v>8205371.3232130203</v>
      </c>
      <c r="BH4970" s="458">
        <v>5.2842319563559892E-2</v>
      </c>
      <c r="BI4970" s="477">
        <v>16185482.716606002</v>
      </c>
      <c r="BJ4970" s="458">
        <v>9.9546861473372994E-2</v>
      </c>
      <c r="BK4970" s="477">
        <v>92575729.94008857</v>
      </c>
      <c r="BL4970" s="458">
        <v>0.24097219526426383</v>
      </c>
      <c r="BM4970" s="468">
        <v>11.395501251692083</v>
      </c>
    </row>
    <row r="4971" spans="12:65" x14ac:dyDescent="0.3">
      <c r="L4971" s="427">
        <v>12439034.703600001</v>
      </c>
      <c r="BE4971" s="477">
        <v>3911379.3483854746</v>
      </c>
      <c r="BF4971" s="458">
        <v>4.8148276577890226E-2</v>
      </c>
      <c r="BG4971" s="477">
        <v>5071302.8588741953</v>
      </c>
      <c r="BH4971" s="458">
        <v>5.7986154431646231E-2</v>
      </c>
      <c r="BI4971" s="477">
        <v>20332319.953163199</v>
      </c>
      <c r="BJ4971" s="458">
        <v>9.9809269686558233E-2</v>
      </c>
      <c r="BK4971" s="477">
        <v>86557399.220787689</v>
      </c>
      <c r="BL4971" s="458">
        <v>0.25151572930069732</v>
      </c>
      <c r="BM4971" s="468">
        <v>10.853567320034852</v>
      </c>
    </row>
    <row r="4972" spans="12:65" x14ac:dyDescent="0.3">
      <c r="L4972" s="427">
        <v>26753103.289700001</v>
      </c>
      <c r="BE4972" s="477">
        <v>5182169.4229079671</v>
      </c>
      <c r="BF4972" s="458">
        <v>4.0869280509996164E-2</v>
      </c>
      <c r="BG4972" s="477">
        <v>10596502.235228375</v>
      </c>
      <c r="BH4972" s="458">
        <v>5.4661941094757305E-2</v>
      </c>
      <c r="BI4972" s="477">
        <v>14726180.755167225</v>
      </c>
      <c r="BJ4972" s="458">
        <v>0.11335730855346204</v>
      </c>
      <c r="BK4972" s="477">
        <v>95022926.350734144</v>
      </c>
      <c r="BL4972" s="458">
        <v>0.29701429057207118</v>
      </c>
      <c r="BM4972" s="468">
        <v>12.440410928276275</v>
      </c>
    </row>
    <row r="4973" spans="12:65" x14ac:dyDescent="0.3">
      <c r="L4973" s="427">
        <v>13322950.5044</v>
      </c>
      <c r="BE4973" s="477">
        <v>9641168.021635456</v>
      </c>
      <c r="BF4973" s="458">
        <v>4.6034060128011367E-2</v>
      </c>
      <c r="BG4973" s="477">
        <v>8175779.1638352312</v>
      </c>
      <c r="BH4973" s="458">
        <v>5.1281075309380864E-2</v>
      </c>
      <c r="BI4973" s="477">
        <v>22168338.095227018</v>
      </c>
      <c r="BJ4973" s="458">
        <v>0.11631191911805971</v>
      </c>
      <c r="BK4973" s="477">
        <v>87754125.27817902</v>
      </c>
      <c r="BL4973" s="458">
        <v>0.27932789538568081</v>
      </c>
      <c r="BM4973" s="468">
        <v>14.246816358199961</v>
      </c>
    </row>
    <row r="4974" spans="12:65" x14ac:dyDescent="0.3">
      <c r="L4974" s="427">
        <v>15668689.310000001</v>
      </c>
      <c r="BE4974" s="477">
        <v>5545611.0525582349</v>
      </c>
      <c r="BF4974" s="458">
        <v>4.7726489065521571E-2</v>
      </c>
      <c r="BG4974" s="477">
        <v>14366454.564037682</v>
      </c>
      <c r="BH4974" s="458">
        <v>5.8073014137163037E-2</v>
      </c>
      <c r="BI4974" s="477">
        <v>12778879.582501583</v>
      </c>
      <c r="BJ4974" s="458">
        <v>0.10637041953230142</v>
      </c>
      <c r="BK4974" s="477">
        <v>88233605.043384224</v>
      </c>
      <c r="BL4974" s="458">
        <v>0.25692932397416146</v>
      </c>
      <c r="BM4974" s="468">
        <v>5.2607939645051065</v>
      </c>
    </row>
    <row r="4975" spans="12:65" x14ac:dyDescent="0.3">
      <c r="L4975" s="427">
        <v>17846115.160799999</v>
      </c>
      <c r="BE4975" s="477">
        <v>6295007.4183067698</v>
      </c>
      <c r="BF4975" s="458">
        <v>4.2681445813855579E-2</v>
      </c>
      <c r="BG4975" s="477">
        <v>7355137.0722324466</v>
      </c>
      <c r="BH4975" s="458">
        <v>6.4988365126106507E-2</v>
      </c>
      <c r="BI4975" s="477">
        <v>15847029.910252905</v>
      </c>
      <c r="BJ4975" s="458">
        <v>0.10808661866733571</v>
      </c>
      <c r="BK4975" s="477">
        <v>73060205.894595072</v>
      </c>
      <c r="BL4975" s="458">
        <v>0.26226914149317682</v>
      </c>
      <c r="BM4975" s="468">
        <v>-0.33700041315447393</v>
      </c>
    </row>
    <row r="4976" spans="12:65" x14ac:dyDescent="0.3">
      <c r="L4976" s="427">
        <v>4849484.2259999998</v>
      </c>
      <c r="BE4976" s="477">
        <v>6932086.4347109515</v>
      </c>
      <c r="BF4976" s="458">
        <v>5.410544336803369E-2</v>
      </c>
      <c r="BG4976" s="477">
        <v>14026344.826140231</v>
      </c>
      <c r="BH4976" s="458">
        <v>5.9716205137165579E-2</v>
      </c>
      <c r="BI4976" s="477">
        <v>17524608.817981046</v>
      </c>
      <c r="BJ4976" s="458">
        <v>7.1501589827798862E-2</v>
      </c>
      <c r="BK4976" s="477">
        <v>99536526.870940357</v>
      </c>
      <c r="BL4976" s="458">
        <v>0.27474317834200646</v>
      </c>
      <c r="BM4976" s="468">
        <v>9.52430524194288</v>
      </c>
    </row>
    <row r="4977" spans="12:65" x14ac:dyDescent="0.3">
      <c r="L4977" s="427">
        <v>20386245.704599999</v>
      </c>
      <c r="BE4977" s="477">
        <v>9404030.1504738275</v>
      </c>
      <c r="BF4977" s="458">
        <v>2.7471462990031448E-2</v>
      </c>
      <c r="BG4977" s="477">
        <v>8309554.9743052581</v>
      </c>
      <c r="BH4977" s="458">
        <v>6.7118325656819522E-2</v>
      </c>
      <c r="BI4977" s="477">
        <v>20887909.399600267</v>
      </c>
      <c r="BJ4977" s="458">
        <v>9.5780976365379633E-2</v>
      </c>
      <c r="BK4977" s="477">
        <v>89210836.789136812</v>
      </c>
      <c r="BL4977" s="458">
        <v>0.26899594054082798</v>
      </c>
      <c r="BM4977" s="468">
        <v>9.4788513705627349</v>
      </c>
    </row>
    <row r="4978" spans="12:65" x14ac:dyDescent="0.3">
      <c r="L4978" s="427">
        <v>4107830.8184000002</v>
      </c>
      <c r="BE4978" s="477">
        <v>6155398.3336112741</v>
      </c>
      <c r="BF4978" s="458">
        <v>5.214119777921189E-2</v>
      </c>
      <c r="BG4978" s="477">
        <v>15065983.042728957</v>
      </c>
      <c r="BH4978" s="458">
        <v>5.9871869347476681E-2</v>
      </c>
      <c r="BI4978" s="477">
        <v>23706011.110004947</v>
      </c>
      <c r="BJ4978" s="458">
        <v>0.10569367984774769</v>
      </c>
      <c r="BK4978" s="477">
        <v>97801350.369151428</v>
      </c>
      <c r="BL4978" s="458">
        <v>0.24859644245124146</v>
      </c>
      <c r="BM4978" s="468">
        <v>10.12550302331946</v>
      </c>
    </row>
    <row r="4979" spans="12:65" x14ac:dyDescent="0.3">
      <c r="L4979" s="427">
        <v>12526466.779200001</v>
      </c>
      <c r="BE4979" s="477">
        <v>12652360.457409687</v>
      </c>
      <c r="BF4979" s="458">
        <v>4.4361009187779965E-2</v>
      </c>
      <c r="BG4979" s="477">
        <v>9944476.5229378194</v>
      </c>
      <c r="BH4979" s="458">
        <v>4.0936441674779944E-2</v>
      </c>
      <c r="BI4979" s="477">
        <v>11693439.365341417</v>
      </c>
      <c r="BJ4979" s="458">
        <v>0.10069982146983225</v>
      </c>
      <c r="BK4979" s="477">
        <v>96173962.939962551</v>
      </c>
      <c r="BL4979" s="458">
        <v>0.26226469804973629</v>
      </c>
      <c r="BM4979" s="468">
        <v>5.6588561089697338</v>
      </c>
    </row>
    <row r="4980" spans="12:65" x14ac:dyDescent="0.3">
      <c r="L4980" s="427">
        <v>13779559.3939</v>
      </c>
      <c r="BE4980" s="477">
        <v>2367725.2865224304</v>
      </c>
      <c r="BF4980" s="458">
        <v>3.7472247522348789E-2</v>
      </c>
      <c r="BG4980" s="477">
        <v>1775372.9862177512</v>
      </c>
      <c r="BH4980" s="458">
        <v>3.4089255404806229E-2</v>
      </c>
      <c r="BI4980" s="477">
        <v>16647287.089371398</v>
      </c>
      <c r="BJ4980" s="458">
        <v>0.11077280517422827</v>
      </c>
      <c r="BK4980" s="477">
        <v>98287442.709157854</v>
      </c>
      <c r="BL4980" s="458">
        <v>0.26403559734192261</v>
      </c>
      <c r="BM4980" s="468">
        <v>3.9205483889367834</v>
      </c>
    </row>
    <row r="4981" spans="12:65" x14ac:dyDescent="0.3">
      <c r="L4981" s="427">
        <v>4632463.0727000004</v>
      </c>
      <c r="BE4981" s="477">
        <v>2574798.3468689322</v>
      </c>
      <c r="BF4981" s="458">
        <v>5.5512208188059464E-2</v>
      </c>
      <c r="BG4981" s="477">
        <v>15219847.501490615</v>
      </c>
      <c r="BH4981" s="458">
        <v>3.388097905303411E-2</v>
      </c>
      <c r="BI4981" s="477">
        <v>19085823.414077897</v>
      </c>
      <c r="BJ4981" s="458">
        <v>0.10309407656420499</v>
      </c>
      <c r="BK4981" s="477">
        <v>84659988.037728071</v>
      </c>
      <c r="BL4981" s="458">
        <v>0.25412981111380373</v>
      </c>
      <c r="BM4981" s="468">
        <v>7.2168816762813295</v>
      </c>
    </row>
    <row r="4982" spans="12:65" x14ac:dyDescent="0.3">
      <c r="L4982" s="427">
        <v>8498177.5614</v>
      </c>
      <c r="BE4982" s="477">
        <v>3898895.1009785854</v>
      </c>
      <c r="BF4982" s="458">
        <v>2.536811735995026E-2</v>
      </c>
      <c r="BG4982" s="477">
        <v>14958242.30790358</v>
      </c>
      <c r="BH4982" s="458">
        <v>6.1629833010278023E-2</v>
      </c>
      <c r="BI4982" s="477">
        <v>16329608.366123825</v>
      </c>
      <c r="BJ4982" s="458">
        <v>0.11764316484819748</v>
      </c>
      <c r="BK4982" s="477">
        <v>86235020.322768062</v>
      </c>
      <c r="BL4982" s="458">
        <v>0.2752085890064393</v>
      </c>
      <c r="BM4982" s="468">
        <v>9.1895402748737602</v>
      </c>
    </row>
    <row r="4983" spans="12:65" x14ac:dyDescent="0.3">
      <c r="L4983" s="427">
        <v>9508215.8293999992</v>
      </c>
      <c r="BE4983" s="477">
        <v>4664027.4106347552</v>
      </c>
      <c r="BF4983" s="458">
        <v>5.8838292343037724E-2</v>
      </c>
      <c r="BG4983" s="477">
        <v>12321823.349240307</v>
      </c>
      <c r="BH4983" s="458">
        <v>7.3283831592641402E-2</v>
      </c>
      <c r="BI4983" s="477">
        <v>20928691.85188514</v>
      </c>
      <c r="BJ4983" s="458">
        <v>0.12393062231445184</v>
      </c>
      <c r="BK4983" s="477">
        <v>82173987.448998481</v>
      </c>
      <c r="BL4983" s="458">
        <v>0.27539277514197957</v>
      </c>
      <c r="BM4983" s="468">
        <v>4.3138966772789331</v>
      </c>
    </row>
    <row r="4984" spans="12:65" x14ac:dyDescent="0.3">
      <c r="L4984" s="427">
        <v>761863.80070000002</v>
      </c>
      <c r="BE4984" s="477">
        <v>4980604.1620765002</v>
      </c>
      <c r="BF4984" s="458">
        <v>3.4563589433166175E-2</v>
      </c>
      <c r="BG4984" s="477">
        <v>6927050.5622463254</v>
      </c>
      <c r="BH4984" s="458">
        <v>7.4052815183596188E-2</v>
      </c>
      <c r="BI4984" s="477">
        <v>13259521.176303651</v>
      </c>
      <c r="BJ4984" s="458">
        <v>0.13030539692396959</v>
      </c>
      <c r="BK4984" s="477">
        <v>78662170.985474795</v>
      </c>
      <c r="BL4984" s="458">
        <v>0.27350168211507797</v>
      </c>
      <c r="BM4984" s="468">
        <v>16.415016897968336</v>
      </c>
    </row>
    <row r="4985" spans="12:65" x14ac:dyDescent="0.3">
      <c r="L4985" s="427">
        <v>9439638.7232000008</v>
      </c>
      <c r="BE4985" s="477">
        <v>8823875.4001361895</v>
      </c>
      <c r="BF4985" s="458">
        <v>3.9381471810420177E-2</v>
      </c>
      <c r="BG4985" s="477">
        <v>15622490.522745229</v>
      </c>
      <c r="BH4985" s="458">
        <v>5.2008174299644105E-2</v>
      </c>
      <c r="BI4985" s="477">
        <v>12628727.328935644</v>
      </c>
      <c r="BJ4985" s="458">
        <v>0.10846031606022466</v>
      </c>
      <c r="BK4985" s="477">
        <v>98582701.284509212</v>
      </c>
      <c r="BL4985" s="458">
        <v>0.25865070939123669</v>
      </c>
      <c r="BM4985" s="468">
        <v>7.3846783355929109</v>
      </c>
    </row>
    <row r="4986" spans="12:65" x14ac:dyDescent="0.3">
      <c r="L4986" s="427">
        <v>-8624686.841</v>
      </c>
      <c r="BE4986" s="477">
        <v>6028513.6250500772</v>
      </c>
      <c r="BF4986" s="458">
        <v>3.9076869044934348E-2</v>
      </c>
      <c r="BG4986" s="477">
        <v>6275684.6234325562</v>
      </c>
      <c r="BH4986" s="458">
        <v>8.1497620857414743E-2</v>
      </c>
      <c r="BI4986" s="477">
        <v>20874329.865590889</v>
      </c>
      <c r="BJ4986" s="458">
        <v>0.12302466142819846</v>
      </c>
      <c r="BK4986" s="477">
        <v>90507866.076904148</v>
      </c>
      <c r="BL4986" s="458">
        <v>0.26568734957478402</v>
      </c>
      <c r="BM4986" s="468">
        <v>5.3491142239939702</v>
      </c>
    </row>
    <row r="4987" spans="12:65" x14ac:dyDescent="0.3">
      <c r="L4987" s="427">
        <v>8180596.2839000002</v>
      </c>
      <c r="BE4987" s="477">
        <v>598067.68678537908</v>
      </c>
      <c r="BF4987" s="458">
        <v>8.1647608810695216E-2</v>
      </c>
      <c r="BG4987" s="477">
        <v>11574575.529441928</v>
      </c>
      <c r="BH4987" s="458">
        <v>6.3279687949461039E-2</v>
      </c>
      <c r="BI4987" s="477">
        <v>11865883.189855099</v>
      </c>
      <c r="BJ4987" s="458">
        <v>7.8404364578170016E-2</v>
      </c>
      <c r="BK4987" s="477">
        <v>88790741.24246417</v>
      </c>
      <c r="BL4987" s="458">
        <v>0.28191249573899579</v>
      </c>
      <c r="BM4987" s="468">
        <v>16.647717977280841</v>
      </c>
    </row>
    <row r="4988" spans="12:65" x14ac:dyDescent="0.3">
      <c r="L4988" s="427">
        <v>4716067.7472000001</v>
      </c>
      <c r="BE4988" s="477">
        <v>1576332.5252845651</v>
      </c>
      <c r="BF4988" s="458">
        <v>5.2308263403191058E-2</v>
      </c>
      <c r="BG4988" s="477">
        <v>11718135.81777996</v>
      </c>
      <c r="BH4988" s="458">
        <v>6.0461036689707592E-2</v>
      </c>
      <c r="BI4988" s="477">
        <v>18400436.406941805</v>
      </c>
      <c r="BJ4988" s="458">
        <v>9.010971776590293E-2</v>
      </c>
      <c r="BK4988" s="477">
        <v>103169193.84726486</v>
      </c>
      <c r="BL4988" s="458">
        <v>0.26520346123923333</v>
      </c>
      <c r="BM4988" s="468">
        <v>8.4542980133155989</v>
      </c>
    </row>
    <row r="4989" spans="12:65" x14ac:dyDescent="0.3">
      <c r="L4989" s="427">
        <v>15494435.594599999</v>
      </c>
      <c r="BE4989" s="477">
        <v>4441232.7989910357</v>
      </c>
      <c r="BF4989" s="458">
        <v>4.0518210790301934E-2</v>
      </c>
      <c r="BG4989" s="477">
        <v>5627858.2065817462</v>
      </c>
      <c r="BH4989" s="458">
        <v>2.2051685563694079E-2</v>
      </c>
      <c r="BI4989" s="477">
        <v>20940190.374787573</v>
      </c>
      <c r="BJ4989" s="458">
        <v>0.11797489169365516</v>
      </c>
      <c r="BK4989" s="477">
        <v>102713573.50857344</v>
      </c>
      <c r="BL4989" s="458">
        <v>0.28623986154904535</v>
      </c>
      <c r="BM4989" s="468">
        <v>14.966195297179747</v>
      </c>
    </row>
    <row r="4990" spans="12:65" x14ac:dyDescent="0.3">
      <c r="L4990" s="427">
        <v>16687833.852299999</v>
      </c>
      <c r="BE4990" s="477">
        <v>6837268.2501218319</v>
      </c>
      <c r="BF4990" s="458">
        <v>7.4250343887716008E-2</v>
      </c>
      <c r="BG4990" s="477">
        <v>9046518.223453166</v>
      </c>
      <c r="BH4990" s="458">
        <v>4.9367949147366641E-2</v>
      </c>
      <c r="BI4990" s="477">
        <v>14056481.849913443</v>
      </c>
      <c r="BJ4990" s="458">
        <v>0.11727630635971154</v>
      </c>
      <c r="BK4990" s="477">
        <v>94449380.150284052</v>
      </c>
      <c r="BL4990" s="458">
        <v>0.30660397169586462</v>
      </c>
      <c r="BM4990" s="468">
        <v>5.0802501830614322</v>
      </c>
    </row>
    <row r="4991" spans="12:65" x14ac:dyDescent="0.3">
      <c r="L4991" s="427">
        <v>2696169.3185999999</v>
      </c>
      <c r="BE4991" s="477">
        <v>8525612.2695281804</v>
      </c>
      <c r="BF4991" s="458">
        <v>3.7298581500526007E-2</v>
      </c>
      <c r="BG4991" s="477">
        <v>8184093.2528394302</v>
      </c>
      <c r="BH4991" s="458">
        <v>7.5938655015900469E-2</v>
      </c>
      <c r="BI4991" s="477">
        <v>14825963.808838258</v>
      </c>
      <c r="BJ4991" s="458">
        <v>0.12793756442613402</v>
      </c>
      <c r="BK4991" s="477">
        <v>83755021.823141932</v>
      </c>
      <c r="BL4991" s="458">
        <v>0.2639554862108493</v>
      </c>
      <c r="BM4991" s="468">
        <v>8.5290278766900105</v>
      </c>
    </row>
    <row r="4992" spans="12:65" x14ac:dyDescent="0.3">
      <c r="L4992" s="427">
        <v>8494937.3727000002</v>
      </c>
      <c r="BE4992" s="477">
        <v>5710482.9856296703</v>
      </c>
      <c r="BF4992" s="458">
        <v>6.4984585174822307E-2</v>
      </c>
      <c r="BG4992" s="477">
        <v>13708398.497934384</v>
      </c>
      <c r="BH4992" s="458">
        <v>4.9365206176892551E-2</v>
      </c>
      <c r="BI4992" s="477">
        <v>20456072.647874136</v>
      </c>
      <c r="BJ4992" s="458">
        <v>0.10670042402263391</v>
      </c>
      <c r="BK4992" s="477">
        <v>93778007.193315476</v>
      </c>
      <c r="BL4992" s="458">
        <v>0.25972738008824225</v>
      </c>
      <c r="BM4992" s="468">
        <v>5.8416106907357594</v>
      </c>
    </row>
    <row r="4993" spans="12:65" x14ac:dyDescent="0.3">
      <c r="L4993" s="427">
        <v>-11285456.800899999</v>
      </c>
      <c r="BE4993" s="477">
        <v>5181459.7286386192</v>
      </c>
      <c r="BF4993" s="458">
        <v>4.8776317808240544E-2</v>
      </c>
      <c r="BG4993" s="477">
        <v>12491471.688567571</v>
      </c>
      <c r="BH4993" s="458">
        <v>4.1709427078093331E-2</v>
      </c>
      <c r="BI4993" s="477">
        <v>12957720.662459247</v>
      </c>
      <c r="BJ4993" s="458">
        <v>0.10245998894232455</v>
      </c>
      <c r="BK4993" s="477">
        <v>85868536.85062246</v>
      </c>
      <c r="BL4993" s="458">
        <v>0.25127190107841724</v>
      </c>
      <c r="BM4993" s="468">
        <v>10.138232276935669</v>
      </c>
    </row>
    <row r="4994" spans="12:65" x14ac:dyDescent="0.3">
      <c r="L4994" s="427">
        <v>18032069.197700001</v>
      </c>
      <c r="BE4994" s="477">
        <v>6499510.6400606697</v>
      </c>
      <c r="BF4994" s="458">
        <v>5.1649784995341896E-2</v>
      </c>
      <c r="BG4994" s="477">
        <v>11071402.087196508</v>
      </c>
      <c r="BH4994" s="458">
        <v>6.0447224887956175E-2</v>
      </c>
      <c r="BI4994" s="477">
        <v>20005015.587042361</v>
      </c>
      <c r="BJ4994" s="458">
        <v>0.108509074766997</v>
      </c>
      <c r="BK4994" s="477">
        <v>89749194.185553238</v>
      </c>
      <c r="BL4994" s="458">
        <v>0.26573178253304408</v>
      </c>
      <c r="BM4994" s="468">
        <v>10.132637509182842</v>
      </c>
    </row>
    <row r="4995" spans="12:65" x14ac:dyDescent="0.3">
      <c r="L4995" s="427">
        <v>6199959.4380999999</v>
      </c>
      <c r="BE4995" s="477">
        <v>2770867.0098134563</v>
      </c>
      <c r="BF4995" s="458">
        <v>3.3960946554744575E-2</v>
      </c>
      <c r="BG4995" s="477">
        <v>12594947.438826865</v>
      </c>
      <c r="BH4995" s="458">
        <v>6.0210619651652975E-2</v>
      </c>
      <c r="BI4995" s="477">
        <v>14190827.52694582</v>
      </c>
      <c r="BJ4995" s="458">
        <v>0.11433642174970449</v>
      </c>
      <c r="BK4995" s="477">
        <v>81881878.710503563</v>
      </c>
      <c r="BL4995" s="458">
        <v>0.2911917882474877</v>
      </c>
      <c r="BM4995" s="468">
        <v>10.130178626128263</v>
      </c>
    </row>
    <row r="4996" spans="12:65" x14ac:dyDescent="0.3">
      <c r="L4996" s="427">
        <v>13759093.001399999</v>
      </c>
      <c r="BE4996" s="477">
        <v>2026419.0120925943</v>
      </c>
      <c r="BF4996" s="458">
        <v>4.014507053204297E-2</v>
      </c>
      <c r="BG4996" s="477">
        <v>11317716.439098218</v>
      </c>
      <c r="BH4996" s="458">
        <v>5.2901403052351137E-2</v>
      </c>
      <c r="BI4996" s="477">
        <v>17933307.937390484</v>
      </c>
      <c r="BJ4996" s="458">
        <v>8.5461444230398476E-2</v>
      </c>
      <c r="BK4996" s="477">
        <v>98707275.446276963</v>
      </c>
      <c r="BL4996" s="458">
        <v>0.26509604567165335</v>
      </c>
      <c r="BM4996" s="468">
        <v>7.2013731560052818</v>
      </c>
    </row>
    <row r="4997" spans="12:65" x14ac:dyDescent="0.3">
      <c r="L4997" s="427">
        <v>15926338.1491</v>
      </c>
      <c r="BE4997" s="477">
        <v>7637680.5400622208</v>
      </c>
      <c r="BF4997" s="458">
        <v>6.6274124028587567E-2</v>
      </c>
      <c r="BG4997" s="477">
        <v>7239553.3565641139</v>
      </c>
      <c r="BH4997" s="458">
        <v>7.092417403310991E-2</v>
      </c>
      <c r="BI4997" s="477">
        <v>10991633.889922874</v>
      </c>
      <c r="BJ4997" s="458">
        <v>9.2919569561564552E-2</v>
      </c>
      <c r="BK4997" s="477">
        <v>95773326.334125116</v>
      </c>
      <c r="BL4997" s="458">
        <v>0.26869964589842343</v>
      </c>
      <c r="BM4997" s="468">
        <v>6.0218817794994806</v>
      </c>
    </row>
    <row r="4998" spans="12:65" x14ac:dyDescent="0.3">
      <c r="L4998" s="427">
        <v>-1821591.0241</v>
      </c>
      <c r="BE4998" s="477">
        <v>9895891.7407848947</v>
      </c>
      <c r="BF4998" s="458">
        <v>2.6016958165846482E-2</v>
      </c>
      <c r="BG4998" s="477">
        <v>9629563.0925315693</v>
      </c>
      <c r="BH4998" s="458">
        <v>7.3956045023083616E-2</v>
      </c>
      <c r="BI4998" s="477">
        <v>13707115.074670557</v>
      </c>
      <c r="BJ4998" s="458">
        <v>0.13610446496973827</v>
      </c>
      <c r="BK4998" s="477">
        <v>95246642.549812093</v>
      </c>
      <c r="BL4998" s="458">
        <v>0.24792942208729674</v>
      </c>
      <c r="BM4998" s="468">
        <v>12.772320840595007</v>
      </c>
    </row>
    <row r="4999" spans="12:65" x14ac:dyDescent="0.3">
      <c r="L4999" s="427">
        <v>3971235.6047999999</v>
      </c>
      <c r="BE4999" s="477">
        <v>2883400.3354362804</v>
      </c>
      <c r="BF4999" s="458">
        <v>1.9124506768634975E-2</v>
      </c>
      <c r="BG4999" s="477">
        <v>11739212.899760248</v>
      </c>
      <c r="BH4999" s="458">
        <v>7.0090811217423443E-2</v>
      </c>
      <c r="BI4999" s="477">
        <v>13816669.859361257</v>
      </c>
      <c r="BJ4999" s="458">
        <v>9.9827438019745474E-2</v>
      </c>
      <c r="BK4999" s="477">
        <v>83456446.443234876</v>
      </c>
      <c r="BL4999" s="458">
        <v>0.29601248272739356</v>
      </c>
      <c r="BM4999" s="468">
        <v>8.1289608064083119</v>
      </c>
    </row>
    <row r="5000" spans="12:65" x14ac:dyDescent="0.3">
      <c r="L5000" s="427">
        <v>4863004.58</v>
      </c>
      <c r="BE5000" s="477">
        <v>5134025.8107941467</v>
      </c>
      <c r="BF5000" s="458">
        <v>5.7948313832298037E-2</v>
      </c>
      <c r="BG5000" s="477">
        <v>7316398.9402203374</v>
      </c>
      <c r="BH5000" s="458">
        <v>6.1256807228827093E-2</v>
      </c>
      <c r="BI5000" s="477">
        <v>15965291.253157869</v>
      </c>
      <c r="BJ5000" s="458">
        <v>0.11290790480978274</v>
      </c>
      <c r="BK5000" s="477">
        <v>90473657.840401843</v>
      </c>
      <c r="BL5000" s="458">
        <v>0.27433667129998685</v>
      </c>
      <c r="BM5000" s="468">
        <v>12.711994925766579</v>
      </c>
    </row>
    <row r="5001" spans="12:65" x14ac:dyDescent="0.3">
      <c r="L5001" s="427">
        <v>20319014.2498</v>
      </c>
      <c r="BE5001" s="477">
        <v>9831235.3692111708</v>
      </c>
      <c r="BF5001" s="458">
        <v>1.9835913457445953E-2</v>
      </c>
      <c r="BG5001" s="477">
        <v>2596250.3899726034</v>
      </c>
      <c r="BH5001" s="458">
        <v>5.8788337510660593E-2</v>
      </c>
      <c r="BI5001" s="477">
        <v>20900752.225512352</v>
      </c>
      <c r="BJ5001" s="458">
        <v>9.6899415210139228E-2</v>
      </c>
      <c r="BK5001" s="477">
        <v>102207716.40275595</v>
      </c>
      <c r="BL5001" s="458">
        <v>0.27350547258750102</v>
      </c>
      <c r="BM5001" s="468">
        <v>5.5011378596318075</v>
      </c>
    </row>
    <row r="5002" spans="12:65" x14ac:dyDescent="0.3">
      <c r="L5002" s="427">
        <v>13576118.317299999</v>
      </c>
      <c r="BE5002" s="477">
        <v>5932974.4630997786</v>
      </c>
      <c r="BF5002" s="458">
        <v>3.4276050684209469E-2</v>
      </c>
      <c r="BG5002" s="477">
        <v>8731357.7770987675</v>
      </c>
      <c r="BH5002" s="458">
        <v>7.0910307230253267E-2</v>
      </c>
      <c r="BI5002" s="477">
        <v>14528840.884802185</v>
      </c>
      <c r="BJ5002" s="458">
        <v>0.10758117511487608</v>
      </c>
      <c r="BK5002" s="477">
        <v>97673769.8864384</v>
      </c>
      <c r="BL5002" s="458">
        <v>0.27195215273425388</v>
      </c>
      <c r="BM5002" s="468">
        <v>4.6195781615096738</v>
      </c>
    </row>
    <row r="5003" spans="12:65" x14ac:dyDescent="0.3">
      <c r="L5003" s="427">
        <v>9583279.4082999993</v>
      </c>
      <c r="BE5003" s="477">
        <v>1968530.7052038151</v>
      </c>
      <c r="BF5003" s="458">
        <v>6.3905806180380997E-2</v>
      </c>
      <c r="BG5003" s="477">
        <v>8625748.4308863021</v>
      </c>
      <c r="BH5003" s="458">
        <v>5.7973844274924691E-2</v>
      </c>
      <c r="BI5003" s="477">
        <v>15672725.355406247</v>
      </c>
      <c r="BJ5003" s="458">
        <v>0.13827204540604754</v>
      </c>
      <c r="BK5003" s="477">
        <v>109421910.58674113</v>
      </c>
      <c r="BL5003" s="458">
        <v>0.2835913757818822</v>
      </c>
      <c r="BM5003" s="468">
        <v>4.7796779276295247</v>
      </c>
    </row>
    <row r="5004" spans="12:65" x14ac:dyDescent="0.3">
      <c r="L5004" s="427">
        <v>22360657.198399998</v>
      </c>
    </row>
    <row r="5005" spans="12:65" x14ac:dyDescent="0.3">
      <c r="L5005" s="427">
        <v>-13544303.248600001</v>
      </c>
    </row>
    <row r="5006" spans="12:65" x14ac:dyDescent="0.3">
      <c r="L5006" s="427">
        <v>13502031.265000001</v>
      </c>
    </row>
    <row r="5007" spans="12:65" x14ac:dyDescent="0.3">
      <c r="L5007" s="427">
        <v>15880418.361099999</v>
      </c>
    </row>
    <row r="5008" spans="12:65" x14ac:dyDescent="0.3">
      <c r="L5008" s="427">
        <v>12599428.2358</v>
      </c>
    </row>
    <row r="5009" spans="12:12" x14ac:dyDescent="0.3">
      <c r="L5009" s="427">
        <v>-3952259.4071</v>
      </c>
    </row>
    <row r="5010" spans="12:12" x14ac:dyDescent="0.3">
      <c r="L5010" s="427">
        <v>6826540.9945999999</v>
      </c>
    </row>
    <row r="5011" spans="12:12" x14ac:dyDescent="0.3">
      <c r="L5011" s="427">
        <v>15423933.172900001</v>
      </c>
    </row>
    <row r="5012" spans="12:12" x14ac:dyDescent="0.3">
      <c r="L5012" s="427">
        <v>14429096.081700001</v>
      </c>
    </row>
    <row r="5013" spans="12:12" x14ac:dyDescent="0.3">
      <c r="L5013" s="427">
        <v>1188929.0962</v>
      </c>
    </row>
    <row r="5014" spans="12:12" x14ac:dyDescent="0.3">
      <c r="L5014" s="427">
        <v>16954379.401000001</v>
      </c>
    </row>
    <row r="5015" spans="12:12" x14ac:dyDescent="0.3">
      <c r="L5015" s="427">
        <v>9687102.0577000007</v>
      </c>
    </row>
    <row r="5016" spans="12:12" x14ac:dyDescent="0.3">
      <c r="L5016" s="427">
        <v>13223872.692299999</v>
      </c>
    </row>
    <row r="5017" spans="12:12" x14ac:dyDescent="0.3">
      <c r="L5017" s="427">
        <v>8848208.9633000009</v>
      </c>
    </row>
    <row r="5018" spans="12:12" x14ac:dyDescent="0.3">
      <c r="L5018" s="427">
        <v>-7591008.2257000003</v>
      </c>
    </row>
    <row r="5019" spans="12:12" x14ac:dyDescent="0.3">
      <c r="L5019" s="427">
        <v>20082055.223499998</v>
      </c>
    </row>
    <row r="5020" spans="12:12" x14ac:dyDescent="0.3">
      <c r="L5020" s="427">
        <v>1163861.3746</v>
      </c>
    </row>
    <row r="5021" spans="12:12" x14ac:dyDescent="0.3">
      <c r="L5021" s="427">
        <v>7016990.4281000001</v>
      </c>
    </row>
    <row r="5022" spans="12:12" x14ac:dyDescent="0.3">
      <c r="L5022" s="427">
        <v>15926635.819800001</v>
      </c>
    </row>
    <row r="5023" spans="12:12" x14ac:dyDescent="0.3">
      <c r="L5023" s="427">
        <v>13126557.937899999</v>
      </c>
    </row>
    <row r="5024" spans="12:12" x14ac:dyDescent="0.3">
      <c r="L5024" s="427">
        <v>9338883.1677000001</v>
      </c>
    </row>
    <row r="5025" spans="12:12" x14ac:dyDescent="0.3">
      <c r="L5025" s="427">
        <v>16642120.0867</v>
      </c>
    </row>
    <row r="5026" spans="12:12" x14ac:dyDescent="0.3">
      <c r="L5026" s="427">
        <v>17113552.688700002</v>
      </c>
    </row>
    <row r="5027" spans="12:12" x14ac:dyDescent="0.3">
      <c r="L5027" s="427">
        <v>27579714.162599999</v>
      </c>
    </row>
    <row r="5028" spans="12:12" x14ac:dyDescent="0.3">
      <c r="L5028" s="427">
        <v>17055890.544799998</v>
      </c>
    </row>
    <row r="5029" spans="12:12" x14ac:dyDescent="0.3">
      <c r="L5029" s="427">
        <v>769749.00560000003</v>
      </c>
    </row>
    <row r="5030" spans="12:12" x14ac:dyDescent="0.3">
      <c r="L5030" s="427">
        <v>3466520.5836999998</v>
      </c>
    </row>
    <row r="5031" spans="12:12" x14ac:dyDescent="0.3">
      <c r="L5031" s="427">
        <v>-2369262.6159000001</v>
      </c>
    </row>
    <row r="5032" spans="12:12" x14ac:dyDescent="0.3">
      <c r="L5032" s="427">
        <v>21749851.123300001</v>
      </c>
    </row>
    <row r="5033" spans="12:12" x14ac:dyDescent="0.3">
      <c r="L5033" s="427">
        <v>12871696.126399999</v>
      </c>
    </row>
    <row r="5034" spans="12:12" x14ac:dyDescent="0.3">
      <c r="L5034" s="427">
        <v>-9637092.1981000006</v>
      </c>
    </row>
    <row r="5035" spans="12:12" x14ac:dyDescent="0.3">
      <c r="L5035" s="427">
        <v>10833371.789100001</v>
      </c>
    </row>
    <row r="5036" spans="12:12" x14ac:dyDescent="0.3">
      <c r="L5036" s="427">
        <v>789939.05579999997</v>
      </c>
    </row>
    <row r="5037" spans="12:12" x14ac:dyDescent="0.3">
      <c r="L5037" s="427">
        <v>8620638.7725000009</v>
      </c>
    </row>
    <row r="5038" spans="12:12" x14ac:dyDescent="0.3">
      <c r="L5038" s="427">
        <v>16828420.9318</v>
      </c>
    </row>
    <row r="5039" spans="12:12" x14ac:dyDescent="0.3">
      <c r="L5039" s="427">
        <v>-2867035.6565</v>
      </c>
    </row>
    <row r="5040" spans="12:12" x14ac:dyDescent="0.3">
      <c r="L5040" s="427">
        <v>16557296.786599999</v>
      </c>
    </row>
    <row r="5041" spans="12:12" x14ac:dyDescent="0.3">
      <c r="L5041" s="427">
        <v>22920631.943700001</v>
      </c>
    </row>
    <row r="5042" spans="12:12" x14ac:dyDescent="0.3">
      <c r="L5042" s="427">
        <v>7728773.4962999998</v>
      </c>
    </row>
    <row r="5043" spans="12:12" x14ac:dyDescent="0.3">
      <c r="L5043" s="427">
        <v>-2884359.9874</v>
      </c>
    </row>
  </sheetData>
  <mergeCells count="6">
    <mergeCell ref="A2:A4"/>
    <mergeCell ref="B3:B4"/>
    <mergeCell ref="B35:B36"/>
    <mergeCell ref="AY7:AZ7"/>
    <mergeCell ref="AY11:AZ11"/>
    <mergeCell ref="AY15:AZ15"/>
  </mergeCells>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61441" r:id="rId3" name="CommandButton1">
          <controlPr defaultSize="0" autoLine="0" r:id="rId4">
            <anchor moveWithCells="1">
              <from>
                <xdr:col>12</xdr:col>
                <xdr:colOff>190500</xdr:colOff>
                <xdr:row>46</xdr:row>
                <xdr:rowOff>85725</xdr:rowOff>
              </from>
              <to>
                <xdr:col>12</xdr:col>
                <xdr:colOff>809625</xdr:colOff>
                <xdr:row>49</xdr:row>
                <xdr:rowOff>19050</xdr:rowOff>
              </to>
            </anchor>
          </controlPr>
        </control>
      </mc:Choice>
      <mc:Fallback>
        <control shapeId="61441" r:id="rId3" name="CommandButton1"/>
      </mc:Fallback>
    </mc:AlternateContent>
  </control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24C32-A716-4B08-B779-36715AC39ED0}">
  <sheetPr codeName="Planilha27"/>
  <dimension ref="A1:I5001"/>
  <sheetViews>
    <sheetView tabSelected="1" workbookViewId="0">
      <selection activeCell="K8" sqref="K8"/>
    </sheetView>
  </sheetViews>
  <sheetFormatPr defaultRowHeight="15" x14ac:dyDescent="0.25"/>
  <cols>
    <col min="1" max="1" width="12.28515625" bestFit="1" customWidth="1"/>
    <col min="3" max="3" width="12.28515625" bestFit="1" customWidth="1"/>
    <col min="5" max="5" width="12.28515625" bestFit="1" customWidth="1"/>
    <col min="6" max="6" width="7" bestFit="1" customWidth="1"/>
    <col min="7" max="7" width="13.42578125" bestFit="1" customWidth="1"/>
    <col min="8" max="8" width="7" bestFit="1" customWidth="1"/>
  </cols>
  <sheetData>
    <row r="1" spans="1:9" x14ac:dyDescent="0.25">
      <c r="A1" t="s">
        <v>4253</v>
      </c>
      <c r="B1" t="s">
        <v>4254</v>
      </c>
      <c r="C1" t="s">
        <v>4255</v>
      </c>
      <c r="D1" t="s">
        <v>4258</v>
      </c>
      <c r="E1" t="s">
        <v>4256</v>
      </c>
      <c r="F1" t="s">
        <v>4259</v>
      </c>
      <c r="G1" t="s">
        <v>4041</v>
      </c>
      <c r="H1" t="s">
        <v>4226</v>
      </c>
      <c r="I1" t="s">
        <v>4277</v>
      </c>
    </row>
    <row r="2" spans="1:9" ht="16.5" x14ac:dyDescent="0.3">
      <c r="A2" s="477">
        <v>4935665.9326943634</v>
      </c>
      <c r="B2" s="458">
        <v>3.9718886676776366E-2</v>
      </c>
      <c r="C2" s="477">
        <v>11667164.424253056</v>
      </c>
      <c r="D2" s="458">
        <v>0.10552487407631839</v>
      </c>
      <c r="E2" s="477">
        <v>19624035.435300689</v>
      </c>
      <c r="F2" s="458">
        <v>0.10648827388327908</v>
      </c>
      <c r="G2" s="477">
        <v>91327023.28697896</v>
      </c>
      <c r="H2" s="458">
        <v>0.28615252168282801</v>
      </c>
      <c r="I2" s="468">
        <v>7.9914975603490284</v>
      </c>
    </row>
    <row r="3" spans="1:9" ht="16.5" x14ac:dyDescent="0.3">
      <c r="A3" s="478">
        <v>1092125.1523053662</v>
      </c>
      <c r="B3" s="479">
        <v>2.7777507537178669E-2</v>
      </c>
      <c r="C3" s="478">
        <v>6791560.5763403364</v>
      </c>
      <c r="D3" s="479">
        <v>9.6923531172669497E-2</v>
      </c>
      <c r="E3" s="478">
        <v>14649784.352047984</v>
      </c>
      <c r="F3" s="479">
        <v>0.10025574311946017</v>
      </c>
      <c r="G3" s="478">
        <v>88141479.485814422</v>
      </c>
      <c r="H3" s="479">
        <v>0.25495623197472383</v>
      </c>
      <c r="I3" s="481">
        <v>8.0822714215268139</v>
      </c>
    </row>
    <row r="4" spans="1:9" ht="16.5" x14ac:dyDescent="0.3">
      <c r="A4" s="478">
        <v>6148149.5337290382</v>
      </c>
      <c r="B4" s="479">
        <v>2.8710227638799379E-2</v>
      </c>
      <c r="C4" s="478">
        <v>18015353.19770582</v>
      </c>
      <c r="D4" s="479">
        <v>4.7271021589316176E-2</v>
      </c>
      <c r="E4" s="478">
        <v>15898254.189903043</v>
      </c>
      <c r="F4" s="479">
        <v>9.3151943756548894E-2</v>
      </c>
      <c r="G4" s="478">
        <v>94179200.538731113</v>
      </c>
      <c r="H4" s="479">
        <v>0.23696832593669503</v>
      </c>
      <c r="I4" s="481">
        <v>12.301280402147427</v>
      </c>
    </row>
    <row r="5" spans="1:9" ht="16.5" x14ac:dyDescent="0.3">
      <c r="A5" s="478">
        <v>3546877.8196968669</v>
      </c>
      <c r="B5" s="479">
        <v>5.891752079852508E-2</v>
      </c>
      <c r="C5" s="478">
        <v>12712354.065759463</v>
      </c>
      <c r="D5" s="479">
        <v>8.1060353986114109E-2</v>
      </c>
      <c r="E5" s="478">
        <v>13878286.046477377</v>
      </c>
      <c r="F5" s="479">
        <v>0.10805185359722147</v>
      </c>
      <c r="G5" s="478">
        <v>89475204.214327902</v>
      </c>
      <c r="H5" s="479">
        <v>0.26663018006978789</v>
      </c>
      <c r="I5" s="481">
        <v>6.9710858030844562</v>
      </c>
    </row>
    <row r="6" spans="1:9" ht="16.5" x14ac:dyDescent="0.3">
      <c r="A6" s="478">
        <v>1750828.818478107</v>
      </c>
      <c r="B6" s="479">
        <v>3.075306642509279E-2</v>
      </c>
      <c r="C6" s="478">
        <v>14079648.597442001</v>
      </c>
      <c r="D6" s="479">
        <v>5.4232103088907024E-2</v>
      </c>
      <c r="E6" s="478">
        <v>19620629.172101218</v>
      </c>
      <c r="F6" s="479">
        <v>0.10956883051669264</v>
      </c>
      <c r="G6" s="478">
        <v>79491701.570738152</v>
      </c>
      <c r="H6" s="479">
        <v>0.25581707978510226</v>
      </c>
      <c r="I6" s="481">
        <v>13.305646600771642</v>
      </c>
    </row>
    <row r="7" spans="1:9" ht="16.5" x14ac:dyDescent="0.3">
      <c r="A7" s="478">
        <v>7833208.9015733199</v>
      </c>
      <c r="B7" s="479">
        <v>6.6852062360068576E-2</v>
      </c>
      <c r="C7" s="478">
        <v>1003520.3999420503</v>
      </c>
      <c r="D7" s="479">
        <v>6.325257130625217E-2</v>
      </c>
      <c r="E7" s="478">
        <v>20556325.214281693</v>
      </c>
      <c r="F7" s="479">
        <v>0.12730276856534228</v>
      </c>
      <c r="G7" s="478">
        <v>85962297.067132905</v>
      </c>
      <c r="H7" s="479">
        <v>0.26909642379180565</v>
      </c>
      <c r="I7" s="481">
        <v>4.4906362859491553</v>
      </c>
    </row>
    <row r="8" spans="1:9" ht="16.5" x14ac:dyDescent="0.3">
      <c r="A8" s="477">
        <v>7404078.944678626</v>
      </c>
      <c r="B8" s="458">
        <v>1.9667943134388688E-2</v>
      </c>
      <c r="C8" s="477">
        <v>10423130.552558007</v>
      </c>
      <c r="D8" s="458">
        <v>5.2213332542443647E-2</v>
      </c>
      <c r="E8" s="477">
        <v>11434638.89946509</v>
      </c>
      <c r="F8" s="458">
        <v>9.7628272682039885E-2</v>
      </c>
      <c r="G8" s="477">
        <v>94728401.58958064</v>
      </c>
      <c r="H8" s="458">
        <v>0.25443326877093808</v>
      </c>
      <c r="I8" s="468">
        <v>7.6779864967459446</v>
      </c>
    </row>
    <row r="9" spans="1:9" ht="16.5" x14ac:dyDescent="0.3">
      <c r="A9" s="477">
        <v>1928857.2826322063</v>
      </c>
      <c r="B9" s="458">
        <v>5.0096492071532994E-2</v>
      </c>
      <c r="C9" s="477">
        <v>6211734.9929566626</v>
      </c>
      <c r="D9" s="458">
        <v>0.10052503048975381</v>
      </c>
      <c r="E9" s="477">
        <v>20936658.320056986</v>
      </c>
      <c r="F9" s="458">
        <v>0.10915231743344989</v>
      </c>
      <c r="G9" s="477">
        <v>85464111.103766903</v>
      </c>
      <c r="H9" s="458">
        <v>0.27312530827177683</v>
      </c>
      <c r="I9" s="468">
        <v>4.4923307012653595</v>
      </c>
    </row>
    <row r="10" spans="1:9" ht="16.5" x14ac:dyDescent="0.3">
      <c r="A10" s="477">
        <v>4805995.8875549259</v>
      </c>
      <c r="B10" s="458">
        <v>3.2732417189174967E-2</v>
      </c>
      <c r="C10" s="477">
        <v>3559401.6219957578</v>
      </c>
      <c r="D10" s="458">
        <v>9.281352347472005E-2</v>
      </c>
      <c r="E10" s="477">
        <v>11137270.841593936</v>
      </c>
      <c r="F10" s="458">
        <v>0.11026167829701006</v>
      </c>
      <c r="G10" s="477">
        <v>90364794.887940869</v>
      </c>
      <c r="H10" s="458">
        <v>0.27166803091591607</v>
      </c>
      <c r="I10" s="468">
        <v>11.475268867023781</v>
      </c>
    </row>
    <row r="11" spans="1:9" ht="16.5" x14ac:dyDescent="0.3">
      <c r="A11" s="477">
        <v>5187975.2625833219</v>
      </c>
      <c r="B11" s="458">
        <v>9.6769747358673275E-2</v>
      </c>
      <c r="C11" s="477">
        <v>3493846.6283117826</v>
      </c>
      <c r="D11" s="458">
        <v>6.828266345752354E-2</v>
      </c>
      <c r="E11" s="477">
        <v>18576735.352341115</v>
      </c>
      <c r="F11" s="458">
        <v>0.11119026743176796</v>
      </c>
      <c r="G11" s="477">
        <v>96987470.301072523</v>
      </c>
      <c r="H11" s="458">
        <v>0.28639458244472049</v>
      </c>
      <c r="I11" s="468">
        <v>10.882096754445579</v>
      </c>
    </row>
    <row r="12" spans="1:9" ht="16.5" x14ac:dyDescent="0.3">
      <c r="A12" s="477">
        <v>8116346.9313738644</v>
      </c>
      <c r="B12" s="458">
        <v>2.5133220833106318E-2</v>
      </c>
      <c r="C12" s="477">
        <v>8348869.530060784</v>
      </c>
      <c r="D12" s="458">
        <v>7.2968105313805154E-2</v>
      </c>
      <c r="E12" s="477">
        <v>7194467.6264340859</v>
      </c>
      <c r="F12" s="458">
        <v>0.12074444323228573</v>
      </c>
      <c r="G12" s="477">
        <v>84048957.716649517</v>
      </c>
      <c r="H12" s="458">
        <v>0.27322024766129704</v>
      </c>
      <c r="I12" s="468">
        <v>6.8829125831882001</v>
      </c>
    </row>
    <row r="13" spans="1:9" ht="16.5" x14ac:dyDescent="0.3">
      <c r="A13" s="477">
        <v>8716434.0392371919</v>
      </c>
      <c r="B13" s="458">
        <v>4.463986719341384E-2</v>
      </c>
      <c r="C13" s="477">
        <v>4367774.2873194702</v>
      </c>
      <c r="D13" s="458">
        <v>4.7278164986104931E-2</v>
      </c>
      <c r="E13" s="477">
        <v>16806714.422759712</v>
      </c>
      <c r="F13" s="458">
        <v>0.13523955285755695</v>
      </c>
      <c r="G13" s="477">
        <v>82908455.011644095</v>
      </c>
      <c r="H13" s="458">
        <v>0.29609954000678651</v>
      </c>
      <c r="I13" s="468">
        <v>7.8987223003892124</v>
      </c>
    </row>
    <row r="14" spans="1:9" ht="16.5" x14ac:dyDescent="0.3">
      <c r="A14" s="477">
        <v>4773080.9799869601</v>
      </c>
      <c r="B14" s="458">
        <v>3.6963430645603257E-2</v>
      </c>
      <c r="C14" s="477">
        <v>7576512.4191618124</v>
      </c>
      <c r="D14" s="458">
        <v>9.1226645859904032E-2</v>
      </c>
      <c r="E14" s="477">
        <v>10389992.404774744</v>
      </c>
      <c r="F14" s="458">
        <v>8.8942404262437602E-2</v>
      </c>
      <c r="G14" s="477">
        <v>86670389.582617357</v>
      </c>
      <c r="H14" s="458">
        <v>0.25563323200042976</v>
      </c>
      <c r="I14" s="468">
        <v>0.71792114525590733</v>
      </c>
    </row>
    <row r="15" spans="1:9" ht="16.5" x14ac:dyDescent="0.3">
      <c r="A15" s="477">
        <v>9120775.8502953127</v>
      </c>
      <c r="B15" s="458">
        <v>4.752919263579658E-2</v>
      </c>
      <c r="C15" s="477">
        <v>10164232.360463554</v>
      </c>
      <c r="D15" s="458">
        <v>6.4694574948769956E-2</v>
      </c>
      <c r="E15" s="477">
        <v>22802311.027561076</v>
      </c>
      <c r="F15" s="458">
        <v>0.11961815411967613</v>
      </c>
      <c r="G15" s="477">
        <v>108201952.97928967</v>
      </c>
      <c r="H15" s="458">
        <v>0.2564791572109506</v>
      </c>
      <c r="I15" s="468">
        <v>11.260595990638391</v>
      </c>
    </row>
    <row r="16" spans="1:9" ht="16.5" x14ac:dyDescent="0.3">
      <c r="A16" s="478">
        <v>5600865.353380397</v>
      </c>
      <c r="B16" s="479">
        <v>1.9478418992659341E-2</v>
      </c>
      <c r="C16" s="478">
        <v>9108742.2774187177</v>
      </c>
      <c r="D16" s="479">
        <v>9.0406932953988051E-2</v>
      </c>
      <c r="E16" s="478">
        <v>2998085.6484202794</v>
      </c>
      <c r="F16" s="479">
        <v>9.6794124066674314E-2</v>
      </c>
      <c r="G16" s="478">
        <v>87570515.244794637</v>
      </c>
      <c r="H16" s="479">
        <v>0.27033822310380584</v>
      </c>
      <c r="I16" s="481">
        <v>10.865691284148879</v>
      </c>
    </row>
    <row r="17" spans="1:9" ht="16.5" x14ac:dyDescent="0.3">
      <c r="A17" s="477">
        <v>-1176378.7829565646</v>
      </c>
      <c r="B17" s="458">
        <v>3.220001392279892E-2</v>
      </c>
      <c r="C17" s="477">
        <v>1869922.2893367491</v>
      </c>
      <c r="D17" s="458">
        <v>8.05168259269331E-2</v>
      </c>
      <c r="E17" s="477">
        <v>23782938.006513406</v>
      </c>
      <c r="F17" s="458">
        <v>0.11900627379908646</v>
      </c>
      <c r="G17" s="477">
        <v>98458653.350120693</v>
      </c>
      <c r="H17" s="458">
        <v>0.25347062996640601</v>
      </c>
      <c r="I17" s="468">
        <v>14.494591040239143</v>
      </c>
    </row>
    <row r="18" spans="1:9" ht="16.5" x14ac:dyDescent="0.3">
      <c r="A18" s="477">
        <v>2827227.9971065251</v>
      </c>
      <c r="B18" s="458">
        <v>2.0502640474723943E-2</v>
      </c>
      <c r="C18" s="477">
        <v>10012183.059401</v>
      </c>
      <c r="D18" s="458">
        <v>8.2244957460089418E-2</v>
      </c>
      <c r="E18" s="477">
        <v>6483542.4126465349</v>
      </c>
      <c r="F18" s="458">
        <v>0.11311781067461757</v>
      </c>
      <c r="G18" s="477">
        <v>85443523.990121424</v>
      </c>
      <c r="H18" s="458">
        <v>0.25634975253404924</v>
      </c>
      <c r="I18" s="468">
        <v>11.697024750740365</v>
      </c>
    </row>
    <row r="19" spans="1:9" ht="16.5" x14ac:dyDescent="0.3">
      <c r="A19" s="477">
        <v>9177648.5729979146</v>
      </c>
      <c r="B19" s="458">
        <v>3.9911083286691129E-2</v>
      </c>
      <c r="C19" s="477">
        <v>9743736.0999345537</v>
      </c>
      <c r="D19" s="458">
        <v>7.2352720724540465E-2</v>
      </c>
      <c r="E19" s="477">
        <v>5867835.8863310628</v>
      </c>
      <c r="F19" s="458">
        <v>9.0082161128060445E-2</v>
      </c>
      <c r="G19" s="477">
        <v>81039517.134280205</v>
      </c>
      <c r="H19" s="458">
        <v>0.25637771672798948</v>
      </c>
      <c r="I19" s="468">
        <v>4.8489433086764215</v>
      </c>
    </row>
    <row r="20" spans="1:9" ht="16.5" x14ac:dyDescent="0.3">
      <c r="A20" s="477">
        <v>7138629.1630500136</v>
      </c>
      <c r="B20" s="458">
        <v>2.2335174267912317E-2</v>
      </c>
      <c r="C20" s="477">
        <v>7828626.5424303319</v>
      </c>
      <c r="D20" s="458">
        <v>4.3463393710452047E-2</v>
      </c>
      <c r="E20" s="477">
        <v>10529950.476621708</v>
      </c>
      <c r="F20" s="458">
        <v>0.10671985912945026</v>
      </c>
      <c r="G20" s="477">
        <v>97695877.664464757</v>
      </c>
      <c r="H20" s="458">
        <v>0.26940963872749091</v>
      </c>
      <c r="I20" s="468">
        <v>10.137830387042211</v>
      </c>
    </row>
    <row r="21" spans="1:9" ht="16.5" x14ac:dyDescent="0.3">
      <c r="A21" s="477">
        <v>11650351.505372414</v>
      </c>
      <c r="B21" s="458">
        <v>8.1044028941355872E-2</v>
      </c>
      <c r="C21" s="477">
        <v>9016753.2772280853</v>
      </c>
      <c r="D21" s="458">
        <v>0.11587868882714414</v>
      </c>
      <c r="E21" s="477">
        <v>15848516.328425832</v>
      </c>
      <c r="F21" s="458">
        <v>8.9353165078731589E-2</v>
      </c>
      <c r="G21" s="477">
        <v>81003902.033058733</v>
      </c>
      <c r="H21" s="458">
        <v>0.27016598743316456</v>
      </c>
      <c r="I21" s="468">
        <v>3.9974771358678014</v>
      </c>
    </row>
    <row r="22" spans="1:9" ht="16.5" x14ac:dyDescent="0.3">
      <c r="A22" s="477">
        <v>8265977.4201708259</v>
      </c>
      <c r="B22" s="458">
        <v>3.6094211851052105E-2</v>
      </c>
      <c r="C22" s="477">
        <v>17541913.447109248</v>
      </c>
      <c r="D22" s="458">
        <v>5.6351274084229352E-2</v>
      </c>
      <c r="E22" s="477">
        <v>14538045.37482697</v>
      </c>
      <c r="F22" s="458">
        <v>0.11320970686779996</v>
      </c>
      <c r="G22" s="477">
        <v>81287697.903401017</v>
      </c>
      <c r="H22" s="458">
        <v>0.29138325808391663</v>
      </c>
      <c r="I22" s="468">
        <v>13.277594884635816</v>
      </c>
    </row>
    <row r="23" spans="1:9" ht="16.5" x14ac:dyDescent="0.3">
      <c r="A23" s="477">
        <v>3381841.4245722783</v>
      </c>
      <c r="B23" s="458">
        <v>3.0292576028227547E-2</v>
      </c>
      <c r="C23" s="477">
        <v>11334876.41939717</v>
      </c>
      <c r="D23" s="458">
        <v>4.6205729831195308E-2</v>
      </c>
      <c r="E23" s="477">
        <v>23056363.305806417</v>
      </c>
      <c r="F23" s="458">
        <v>0.12600458062981579</v>
      </c>
      <c r="G23" s="477">
        <v>80514445.934169129</v>
      </c>
      <c r="H23" s="458">
        <v>0.25816637297010869</v>
      </c>
      <c r="I23" s="468">
        <v>13.712294497268182</v>
      </c>
    </row>
    <row r="24" spans="1:9" ht="16.5" x14ac:dyDescent="0.3">
      <c r="A24" s="477">
        <v>5273704.1542471396</v>
      </c>
      <c r="B24" s="458">
        <v>2.8723021840939555E-2</v>
      </c>
      <c r="C24" s="477">
        <v>9307551.1120845247</v>
      </c>
      <c r="D24" s="458">
        <v>6.4423745352737427E-2</v>
      </c>
      <c r="E24" s="477">
        <v>8879377.226110192</v>
      </c>
      <c r="F24" s="458">
        <v>0.10632635262968937</v>
      </c>
      <c r="G24" s="477">
        <v>81828774.257183999</v>
      </c>
      <c r="H24" s="458">
        <v>0.26091086412741338</v>
      </c>
      <c r="I24" s="468">
        <v>5.3701060160140646</v>
      </c>
    </row>
    <row r="25" spans="1:9" ht="16.5" x14ac:dyDescent="0.3">
      <c r="A25" s="477">
        <v>7629449.0307244482</v>
      </c>
      <c r="B25" s="458">
        <v>2.9316620209538069E-2</v>
      </c>
      <c r="C25" s="477">
        <v>4400753.8778299671</v>
      </c>
      <c r="D25" s="458">
        <v>6.3602310864754097E-2</v>
      </c>
      <c r="E25" s="477">
        <v>13825265.884660278</v>
      </c>
      <c r="F25" s="458">
        <v>0.10052671874019681</v>
      </c>
      <c r="G25" s="477">
        <v>98122148.801549822</v>
      </c>
      <c r="H25" s="458">
        <v>0.26592933480798808</v>
      </c>
      <c r="I25" s="468">
        <v>6.3855086782934247</v>
      </c>
    </row>
    <row r="26" spans="1:9" ht="16.5" x14ac:dyDescent="0.3">
      <c r="A26" s="477">
        <v>5587152.6362719899</v>
      </c>
      <c r="B26" s="458">
        <v>4.3626186962945734E-2</v>
      </c>
      <c r="C26" s="477">
        <v>6351041.1147175701</v>
      </c>
      <c r="D26" s="458">
        <v>5.7747634066656728E-2</v>
      </c>
      <c r="E26" s="477">
        <v>26714883.568886049</v>
      </c>
      <c r="F26" s="458">
        <v>0.10412207599166456</v>
      </c>
      <c r="G26" s="477">
        <v>104297355.61721343</v>
      </c>
      <c r="H26" s="458">
        <v>0.27326707119104188</v>
      </c>
      <c r="I26" s="468">
        <v>7.1446716012950278</v>
      </c>
    </row>
    <row r="27" spans="1:9" ht="16.5" x14ac:dyDescent="0.3">
      <c r="A27" s="477">
        <v>6908634.4643948935</v>
      </c>
      <c r="B27" s="458">
        <v>5.147562950744633E-2</v>
      </c>
      <c r="C27" s="477">
        <v>2357081.5347401751</v>
      </c>
      <c r="D27" s="458">
        <v>5.585996354403866E-2</v>
      </c>
      <c r="E27" s="477">
        <v>14630732.172729589</v>
      </c>
      <c r="F27" s="458">
        <v>0.11669907624274267</v>
      </c>
      <c r="G27" s="477">
        <v>89996256.990318269</v>
      </c>
      <c r="H27" s="458">
        <v>0.25657088947979223</v>
      </c>
      <c r="I27" s="468">
        <v>9.2786606927483728</v>
      </c>
    </row>
    <row r="28" spans="1:9" ht="16.5" x14ac:dyDescent="0.3">
      <c r="A28" s="477">
        <v>7063487.415056021</v>
      </c>
      <c r="B28" s="458">
        <v>4.6543396000849224E-2</v>
      </c>
      <c r="C28" s="477">
        <v>8149290.8148619328</v>
      </c>
      <c r="D28" s="458">
        <v>8.4446137544799127E-2</v>
      </c>
      <c r="E28" s="477">
        <v>14323221.054962009</v>
      </c>
      <c r="F28" s="458">
        <v>0.11293332607810824</v>
      </c>
      <c r="G28" s="477">
        <v>107856168.50762495</v>
      </c>
      <c r="H28" s="458">
        <v>0.24407885146054964</v>
      </c>
      <c r="I28" s="468">
        <v>8.1090638896686542</v>
      </c>
    </row>
    <row r="29" spans="1:9" ht="16.5" x14ac:dyDescent="0.3">
      <c r="A29" s="477">
        <v>2297698.5414766688</v>
      </c>
      <c r="B29" s="458">
        <v>2.5658010267815223E-2</v>
      </c>
      <c r="C29" s="477">
        <v>9656602.1307196468</v>
      </c>
      <c r="D29" s="458">
        <v>7.7417263510797918E-2</v>
      </c>
      <c r="E29" s="477">
        <v>13584019.277737485</v>
      </c>
      <c r="F29" s="458">
        <v>8.5651643185744808E-2</v>
      </c>
      <c r="G29" s="477">
        <v>97684783.695477307</v>
      </c>
      <c r="H29" s="458">
        <v>0.26825448799268536</v>
      </c>
      <c r="I29" s="468">
        <v>10.912006139172492</v>
      </c>
    </row>
    <row r="30" spans="1:9" ht="16.5" x14ac:dyDescent="0.3">
      <c r="A30" s="477">
        <v>6942638.033421481</v>
      </c>
      <c r="B30" s="458">
        <v>3.9211705668396046E-2</v>
      </c>
      <c r="C30" s="477">
        <v>6738871.6995989652</v>
      </c>
      <c r="D30" s="458">
        <v>5.9659442048681122E-2</v>
      </c>
      <c r="E30" s="477">
        <v>20661232.275823995</v>
      </c>
      <c r="F30" s="458">
        <v>0.10916255571417754</v>
      </c>
      <c r="G30" s="477">
        <v>97053363.294266894</v>
      </c>
      <c r="H30" s="458">
        <v>0.26990671726193671</v>
      </c>
      <c r="I30" s="468">
        <v>4.5505795878378636</v>
      </c>
    </row>
    <row r="31" spans="1:9" ht="16.5" x14ac:dyDescent="0.3">
      <c r="A31" s="477">
        <v>5275666.5965115363</v>
      </c>
      <c r="B31" s="458">
        <v>5.5980073620445658E-2</v>
      </c>
      <c r="C31" s="477">
        <v>11270393.769711727</v>
      </c>
      <c r="D31" s="458">
        <v>9.7461442020732925E-2</v>
      </c>
      <c r="E31" s="477">
        <v>21355886.304321006</v>
      </c>
      <c r="F31" s="458">
        <v>0.11433570388971726</v>
      </c>
      <c r="G31" s="477">
        <v>93179273.356507957</v>
      </c>
      <c r="H31" s="458">
        <v>0.29003148911906451</v>
      </c>
      <c r="I31" s="468">
        <v>11.216298937829507</v>
      </c>
    </row>
    <row r="32" spans="1:9" ht="16.5" x14ac:dyDescent="0.3">
      <c r="A32" s="478">
        <v>4243667.7697437694</v>
      </c>
      <c r="B32" s="479">
        <v>3.931987561697059E-2</v>
      </c>
      <c r="C32" s="478">
        <v>4122668.7897364753</v>
      </c>
      <c r="D32" s="479">
        <v>6.5691672541917434E-2</v>
      </c>
      <c r="E32" s="478">
        <v>15414180.676396828</v>
      </c>
      <c r="F32" s="479">
        <v>0.12226121502872456</v>
      </c>
      <c r="G32" s="478">
        <v>88166141.00175859</v>
      </c>
      <c r="H32" s="479">
        <v>0.25857876710362016</v>
      </c>
      <c r="I32" s="481">
        <v>5.5208450981439201</v>
      </c>
    </row>
    <row r="33" spans="1:9" ht="16.5" x14ac:dyDescent="0.3">
      <c r="A33" s="477">
        <v>4703982.3343281364</v>
      </c>
      <c r="B33" s="458">
        <v>4.870996697942509E-2</v>
      </c>
      <c r="C33" s="477">
        <v>6134653.7529396638</v>
      </c>
      <c r="D33" s="458">
        <v>7.8746516761872831E-2</v>
      </c>
      <c r="E33" s="477">
        <v>17367283.141152374</v>
      </c>
      <c r="F33" s="458">
        <v>0.10916391926948843</v>
      </c>
      <c r="G33" s="477">
        <v>73979756.873680532</v>
      </c>
      <c r="H33" s="458">
        <v>0.27563207486279384</v>
      </c>
      <c r="I33" s="468">
        <v>11.987758628136925</v>
      </c>
    </row>
    <row r="34" spans="1:9" ht="16.5" x14ac:dyDescent="0.3">
      <c r="A34" s="477">
        <v>5160794.9284870792</v>
      </c>
      <c r="B34" s="458">
        <v>3.139072359148809E-2</v>
      </c>
      <c r="C34" s="477">
        <v>11809338.94913334</v>
      </c>
      <c r="D34" s="458">
        <v>5.6866015130841552E-2</v>
      </c>
      <c r="E34" s="477">
        <v>20751656.761520259</v>
      </c>
      <c r="F34" s="458">
        <v>0.10925553396811583</v>
      </c>
      <c r="G34" s="477">
        <v>74013772.027126908</v>
      </c>
      <c r="H34" s="458">
        <v>0.25488351413306742</v>
      </c>
      <c r="I34" s="468">
        <v>12.251684713695884</v>
      </c>
    </row>
    <row r="35" spans="1:9" ht="16.5" x14ac:dyDescent="0.3">
      <c r="A35" s="477">
        <v>6806897.2504994906</v>
      </c>
      <c r="B35" s="458">
        <v>3.6558295867302082E-2</v>
      </c>
      <c r="C35" s="477">
        <v>6359130.8324445924</v>
      </c>
      <c r="D35" s="458">
        <v>5.9710872190080311E-2</v>
      </c>
      <c r="E35" s="477">
        <v>20501856.396182563</v>
      </c>
      <c r="F35" s="458">
        <v>0.10264505671609725</v>
      </c>
      <c r="G35" s="477">
        <v>76843938.091846421</v>
      </c>
      <c r="H35" s="458">
        <v>0.29467889261956315</v>
      </c>
      <c r="I35" s="468">
        <v>9.0825134341900835</v>
      </c>
    </row>
    <row r="36" spans="1:9" ht="16.5" x14ac:dyDescent="0.3">
      <c r="A36" s="478">
        <v>1188930.6006846623</v>
      </c>
      <c r="B36" s="479">
        <v>4.6274231033486934E-2</v>
      </c>
      <c r="C36" s="478">
        <v>5993783.1705767903</v>
      </c>
      <c r="D36" s="479">
        <v>7.211251341744096E-2</v>
      </c>
      <c r="E36" s="478">
        <v>22559953.214300182</v>
      </c>
      <c r="F36" s="479">
        <v>0.12960185025644755</v>
      </c>
      <c r="G36" s="478">
        <v>91847340.431613415</v>
      </c>
      <c r="H36" s="479">
        <v>0.27487295486446617</v>
      </c>
      <c r="I36" s="481">
        <v>11.002052152818283</v>
      </c>
    </row>
    <row r="37" spans="1:9" ht="16.5" x14ac:dyDescent="0.3">
      <c r="A37" s="478">
        <v>3164333.4344140142</v>
      </c>
      <c r="B37" s="479">
        <v>2.2360145977130763E-2</v>
      </c>
      <c r="C37" s="478">
        <v>5029652.5797883347</v>
      </c>
      <c r="D37" s="479">
        <v>7.6619840410901752E-2</v>
      </c>
      <c r="E37" s="478">
        <v>11402008.15811919</v>
      </c>
      <c r="F37" s="479">
        <v>0.12110192665884378</v>
      </c>
      <c r="G37" s="478">
        <v>87588837.779590771</v>
      </c>
      <c r="H37" s="479">
        <v>0.25772522679530119</v>
      </c>
      <c r="I37" s="481">
        <v>8.5732043463915417</v>
      </c>
    </row>
    <row r="38" spans="1:9" ht="16.5" x14ac:dyDescent="0.3">
      <c r="A38" s="478">
        <v>8342321.1188858384</v>
      </c>
      <c r="B38" s="479">
        <v>3.9351958493153205E-2</v>
      </c>
      <c r="C38" s="478">
        <v>11860161.808877286</v>
      </c>
      <c r="D38" s="479">
        <v>4.2922318175699026E-2</v>
      </c>
      <c r="E38" s="478">
        <v>13664972.015921885</v>
      </c>
      <c r="F38" s="479">
        <v>9.7811096373889184E-2</v>
      </c>
      <c r="G38" s="478">
        <v>107419655.03112622</v>
      </c>
      <c r="H38" s="479">
        <v>0.25354251217624979</v>
      </c>
      <c r="I38" s="481">
        <v>5.2269368104195877</v>
      </c>
    </row>
    <row r="39" spans="1:9" ht="16.5" x14ac:dyDescent="0.3">
      <c r="A39" s="478">
        <v>6576572.4067977164</v>
      </c>
      <c r="B39" s="479">
        <v>3.4345487050459145E-2</v>
      </c>
      <c r="C39" s="478">
        <v>11128023.1981718</v>
      </c>
      <c r="D39" s="479">
        <v>8.4713915669865969E-2</v>
      </c>
      <c r="E39" s="478">
        <v>8755874.3570879549</v>
      </c>
      <c r="F39" s="479">
        <v>9.6675563531204212E-2</v>
      </c>
      <c r="G39" s="478">
        <v>89522092.948865458</v>
      </c>
      <c r="H39" s="479">
        <v>0.25785071692033545</v>
      </c>
      <c r="I39" s="481">
        <v>6.4541329206599984</v>
      </c>
    </row>
    <row r="40" spans="1:9" ht="16.5" x14ac:dyDescent="0.3">
      <c r="A40" s="477">
        <v>7893837.6740500079</v>
      </c>
      <c r="B40" s="458">
        <v>3.7006336853190325E-2</v>
      </c>
      <c r="C40" s="477">
        <v>6254578.0710034519</v>
      </c>
      <c r="D40" s="458">
        <v>6.4439336020958748E-2</v>
      </c>
      <c r="E40" s="477">
        <v>14693911.924954772</v>
      </c>
      <c r="F40" s="458">
        <v>6.490905591178997E-2</v>
      </c>
      <c r="G40" s="477">
        <v>84440865.370173424</v>
      </c>
      <c r="H40" s="458">
        <v>0.25348573443741063</v>
      </c>
      <c r="I40" s="468">
        <v>8.7360577594960791</v>
      </c>
    </row>
    <row r="41" spans="1:9" ht="16.5" x14ac:dyDescent="0.3">
      <c r="A41" s="477">
        <v>1256752.6675089672</v>
      </c>
      <c r="B41" s="458">
        <v>2.3358772110395831E-2</v>
      </c>
      <c r="C41" s="477">
        <v>13423748.434801405</v>
      </c>
      <c r="D41" s="458">
        <v>7.6024303869658194E-2</v>
      </c>
      <c r="E41" s="477">
        <v>14751716.566104259</v>
      </c>
      <c r="F41" s="458">
        <v>9.3770234192903201E-2</v>
      </c>
      <c r="G41" s="477">
        <v>65114206.284102008</v>
      </c>
      <c r="H41" s="458">
        <v>0.2595208922974237</v>
      </c>
      <c r="I41" s="468">
        <v>8.5525252288498059</v>
      </c>
    </row>
    <row r="42" spans="1:9" ht="16.5" x14ac:dyDescent="0.3">
      <c r="A42" s="477">
        <v>2964378.5837299218</v>
      </c>
      <c r="B42" s="458">
        <v>3.6323180714534775E-2</v>
      </c>
      <c r="C42" s="477">
        <v>9743198.6684586257</v>
      </c>
      <c r="D42" s="458">
        <v>6.9619227238752135E-2</v>
      </c>
      <c r="E42" s="477">
        <v>21594224.032126095</v>
      </c>
      <c r="F42" s="458">
        <v>0.10201769404974503</v>
      </c>
      <c r="G42" s="477">
        <v>98369420.147617504</v>
      </c>
      <c r="H42" s="458">
        <v>0.26069237291985248</v>
      </c>
      <c r="I42" s="468">
        <v>15.893470485463901</v>
      </c>
    </row>
    <row r="43" spans="1:9" ht="16.5" x14ac:dyDescent="0.3">
      <c r="A43" s="477">
        <v>9751852.8843400851</v>
      </c>
      <c r="B43" s="458">
        <v>5.1218986669461897E-2</v>
      </c>
      <c r="C43" s="477">
        <v>4879324.6468821187</v>
      </c>
      <c r="D43" s="458">
        <v>7.7753685348659562E-2</v>
      </c>
      <c r="E43" s="477">
        <v>17362747.722234398</v>
      </c>
      <c r="F43" s="458">
        <v>9.6612600334257781E-2</v>
      </c>
      <c r="G43" s="477">
        <v>85272564.974894747</v>
      </c>
      <c r="H43" s="458">
        <v>0.28778451306134989</v>
      </c>
      <c r="I43" s="468">
        <v>11.108224902400465</v>
      </c>
    </row>
    <row r="44" spans="1:9" ht="16.5" x14ac:dyDescent="0.3">
      <c r="A44" s="477">
        <v>3234955.4413182153</v>
      </c>
      <c r="B44" s="458">
        <v>3.5534043105310609E-2</v>
      </c>
      <c r="C44" s="477">
        <v>11403352.924355561</v>
      </c>
      <c r="D44" s="458">
        <v>7.7720450907756033E-2</v>
      </c>
      <c r="E44" s="477">
        <v>19060805.798980363</v>
      </c>
      <c r="F44" s="458">
        <v>9.9174085753162444E-2</v>
      </c>
      <c r="G44" s="477">
        <v>76767507.317715436</v>
      </c>
      <c r="H44" s="458">
        <v>0.25640213502183617</v>
      </c>
      <c r="I44" s="468">
        <v>6.805815511606454</v>
      </c>
    </row>
    <row r="45" spans="1:9" ht="16.5" x14ac:dyDescent="0.3">
      <c r="A45" s="477">
        <v>5249445.7617162438</v>
      </c>
      <c r="B45" s="458">
        <v>2.6966314676557301E-2</v>
      </c>
      <c r="C45" s="477">
        <v>10434626.613150682</v>
      </c>
      <c r="D45" s="458">
        <v>8.7516087081900507E-2</v>
      </c>
      <c r="E45" s="477">
        <v>13285557.660391528</v>
      </c>
      <c r="F45" s="458">
        <v>0.1000321766375174</v>
      </c>
      <c r="G45" s="477">
        <v>90962893.496221811</v>
      </c>
      <c r="H45" s="458">
        <v>0.27038599626903581</v>
      </c>
      <c r="I45" s="468">
        <v>13.903395955710319</v>
      </c>
    </row>
    <row r="46" spans="1:9" ht="16.5" x14ac:dyDescent="0.3">
      <c r="A46" s="477">
        <v>4853866.3663848322</v>
      </c>
      <c r="B46" s="458">
        <v>4.5009761192219999E-2</v>
      </c>
      <c r="C46" s="477">
        <v>5189967.2157475865</v>
      </c>
      <c r="D46" s="458">
        <v>5.8357927115756603E-2</v>
      </c>
      <c r="E46" s="477">
        <v>13604232.607690321</v>
      </c>
      <c r="F46" s="458">
        <v>0.14154413073977357</v>
      </c>
      <c r="G46" s="477">
        <v>89983810.98073031</v>
      </c>
      <c r="H46" s="458">
        <v>0.2685765491699359</v>
      </c>
      <c r="I46" s="468">
        <v>2.7532661642933869</v>
      </c>
    </row>
    <row r="47" spans="1:9" ht="16.5" x14ac:dyDescent="0.3">
      <c r="A47" s="477">
        <v>7496384.6308832653</v>
      </c>
      <c r="B47" s="458">
        <v>2.2290952668026387E-2</v>
      </c>
      <c r="C47" s="477">
        <v>8378423.405746283</v>
      </c>
      <c r="D47" s="458">
        <v>5.9810413038207111E-2</v>
      </c>
      <c r="E47" s="477">
        <v>24526258.84930807</v>
      </c>
      <c r="F47" s="458">
        <v>0.11400884049959159</v>
      </c>
      <c r="G47" s="477">
        <v>76112656.457690626</v>
      </c>
      <c r="H47" s="458">
        <v>0.28092534101159261</v>
      </c>
      <c r="I47" s="468">
        <v>8.4632505435012018</v>
      </c>
    </row>
    <row r="48" spans="1:9" ht="16.5" x14ac:dyDescent="0.3">
      <c r="A48" s="477">
        <v>3455081.0178544521</v>
      </c>
      <c r="B48" s="458">
        <v>3.6943765711205279E-2</v>
      </c>
      <c r="C48" s="477">
        <v>9669874.6279132981</v>
      </c>
      <c r="D48" s="458">
        <v>6.5540562191568119E-2</v>
      </c>
      <c r="E48" s="477">
        <v>13653856.988957906</v>
      </c>
      <c r="F48" s="458">
        <v>0.103304266120263</v>
      </c>
      <c r="G48" s="477">
        <v>85149719.858182535</v>
      </c>
      <c r="H48" s="458">
        <v>0.27047537513299735</v>
      </c>
      <c r="I48" s="468">
        <v>1.4206642841023651</v>
      </c>
    </row>
    <row r="49" spans="1:9" ht="16.5" x14ac:dyDescent="0.3">
      <c r="A49" s="477">
        <v>2339903.8956000023</v>
      </c>
      <c r="B49" s="458">
        <v>4.2975063760592347E-2</v>
      </c>
      <c r="C49" s="477">
        <v>7595885.5295539834</v>
      </c>
      <c r="D49" s="458">
        <v>6.1048989746861793E-2</v>
      </c>
      <c r="E49" s="477">
        <v>19919277.350236569</v>
      </c>
      <c r="F49" s="458">
        <v>0.11679099261210335</v>
      </c>
      <c r="G49" s="477">
        <v>88920509.489105165</v>
      </c>
      <c r="H49" s="458">
        <v>0.27273708275235475</v>
      </c>
      <c r="I49" s="468">
        <v>-1.5074127985876391</v>
      </c>
    </row>
    <row r="50" spans="1:9" ht="16.5" x14ac:dyDescent="0.3">
      <c r="A50" s="477">
        <v>2052982.8352281</v>
      </c>
      <c r="B50" s="458">
        <v>3.7509940073569448E-2</v>
      </c>
      <c r="C50" s="477">
        <v>4733613.4035503361</v>
      </c>
      <c r="D50" s="458">
        <v>5.502962985333637E-2</v>
      </c>
      <c r="E50" s="477">
        <v>15256682.099124657</v>
      </c>
      <c r="F50" s="458">
        <v>0.10901030281011015</v>
      </c>
      <c r="G50" s="477">
        <v>79951399.709650502</v>
      </c>
      <c r="H50" s="458">
        <v>0.27699013868272337</v>
      </c>
      <c r="I50" s="468">
        <v>13.770478350848776</v>
      </c>
    </row>
    <row r="51" spans="1:9" ht="16.5" x14ac:dyDescent="0.3">
      <c r="A51" s="477">
        <v>3271377.0842819181</v>
      </c>
      <c r="B51" s="458">
        <v>2.1399419288749222E-2</v>
      </c>
      <c r="C51" s="477">
        <v>2134817.3879760941</v>
      </c>
      <c r="D51" s="458">
        <v>5.5124710799333565E-2</v>
      </c>
      <c r="E51" s="477">
        <v>19130489.221609242</v>
      </c>
      <c r="F51" s="458">
        <v>9.7670061421666787E-2</v>
      </c>
      <c r="G51" s="477">
        <v>103031217.40302089</v>
      </c>
      <c r="H51" s="458">
        <v>0.26594093704753741</v>
      </c>
      <c r="I51" s="468">
        <v>5.4320365994310347</v>
      </c>
    </row>
    <row r="52" spans="1:9" ht="16.5" x14ac:dyDescent="0.3">
      <c r="A52" s="477">
        <v>5885223.331172822</v>
      </c>
      <c r="B52" s="458">
        <v>1.9459559600796927E-2</v>
      </c>
      <c r="C52" s="477">
        <v>7831297.4581707343</v>
      </c>
      <c r="D52" s="458">
        <v>6.7235797003395881E-2</v>
      </c>
      <c r="E52" s="477">
        <v>19939457.522411849</v>
      </c>
      <c r="F52" s="458">
        <v>0.12141002806841672</v>
      </c>
      <c r="G52" s="477">
        <v>89525057.147889465</v>
      </c>
      <c r="H52" s="458">
        <v>0.30718458218813827</v>
      </c>
      <c r="I52" s="468">
        <v>2.8097200987043633</v>
      </c>
    </row>
    <row r="53" spans="1:9" ht="16.5" x14ac:dyDescent="0.3">
      <c r="A53" s="477">
        <v>4340840.990341777</v>
      </c>
      <c r="B53" s="458">
        <v>2.1186569127716881E-2</v>
      </c>
      <c r="C53" s="477">
        <v>4480877.2564396951</v>
      </c>
      <c r="D53" s="458">
        <v>6.8237605484740671E-2</v>
      </c>
      <c r="E53" s="477">
        <v>18230499.197527822</v>
      </c>
      <c r="F53" s="458">
        <v>8.3897523578201127E-2</v>
      </c>
      <c r="G53" s="477">
        <v>74013445.503161088</v>
      </c>
      <c r="H53" s="458">
        <v>0.27516273847063455</v>
      </c>
      <c r="I53" s="468">
        <v>5.4431181428572497</v>
      </c>
    </row>
    <row r="54" spans="1:9" ht="16.5" x14ac:dyDescent="0.3">
      <c r="A54" s="477">
        <v>7715275.2016518218</v>
      </c>
      <c r="B54" s="458">
        <v>4.4096365709282326E-2</v>
      </c>
      <c r="C54" s="477">
        <v>7880124.8619179819</v>
      </c>
      <c r="D54" s="458">
        <v>6.9409996651075945E-2</v>
      </c>
      <c r="E54" s="477">
        <v>10282016.85621568</v>
      </c>
      <c r="F54" s="458">
        <v>0.11251096752456391</v>
      </c>
      <c r="G54" s="477">
        <v>80502337.363475084</v>
      </c>
      <c r="H54" s="458">
        <v>0.27962338179666668</v>
      </c>
      <c r="I54" s="468">
        <v>6.2050189666414282</v>
      </c>
    </row>
    <row r="55" spans="1:9" ht="16.5" x14ac:dyDescent="0.3">
      <c r="A55" s="477">
        <v>7005047.9938582201</v>
      </c>
      <c r="B55" s="458">
        <v>4.10401121817352E-2</v>
      </c>
      <c r="C55" s="477">
        <v>1947596.8889804804</v>
      </c>
      <c r="D55" s="458">
        <v>7.9538497930145224E-2</v>
      </c>
      <c r="E55" s="477">
        <v>21703584.650550611</v>
      </c>
      <c r="F55" s="458">
        <v>9.5089085113212235E-2</v>
      </c>
      <c r="G55" s="477">
        <v>73439834.457334116</v>
      </c>
      <c r="H55" s="458">
        <v>0.25703063990785013</v>
      </c>
      <c r="I55" s="468">
        <v>4.0886194099488824</v>
      </c>
    </row>
    <row r="56" spans="1:9" ht="16.5" x14ac:dyDescent="0.3">
      <c r="A56" s="477">
        <v>4163026.6505691563</v>
      </c>
      <c r="B56" s="458">
        <v>3.5255142798065631E-2</v>
      </c>
      <c r="C56" s="477">
        <v>10702441.680084676</v>
      </c>
      <c r="D56" s="458">
        <v>7.3294434664177288E-2</v>
      </c>
      <c r="E56" s="477">
        <v>21607191.507914022</v>
      </c>
      <c r="F56" s="458">
        <v>0.1283030596970931</v>
      </c>
      <c r="G56" s="477">
        <v>74435855.426653296</v>
      </c>
      <c r="H56" s="458">
        <v>0.26970717150502055</v>
      </c>
      <c r="I56" s="468">
        <v>11.425378421834143</v>
      </c>
    </row>
    <row r="57" spans="1:9" ht="16.5" x14ac:dyDescent="0.3">
      <c r="A57" s="477">
        <v>7526088.8572477708</v>
      </c>
      <c r="B57" s="458">
        <v>1.6645867129772673E-2</v>
      </c>
      <c r="C57" s="477">
        <v>9305310.4167006388</v>
      </c>
      <c r="D57" s="458">
        <v>8.0497264503546662E-2</v>
      </c>
      <c r="E57" s="477">
        <v>15543496.88374519</v>
      </c>
      <c r="F57" s="458">
        <v>0.11011603073754617</v>
      </c>
      <c r="G57" s="477">
        <v>98651788.441836149</v>
      </c>
      <c r="H57" s="458">
        <v>0.26841566518897109</v>
      </c>
      <c r="I57" s="468">
        <v>8.2455358637474365</v>
      </c>
    </row>
    <row r="58" spans="1:9" ht="16.5" x14ac:dyDescent="0.3">
      <c r="A58" s="477">
        <v>4811919.1291462602</v>
      </c>
      <c r="B58" s="458">
        <v>3.5073020950338707E-2</v>
      </c>
      <c r="C58" s="477">
        <v>2685907.9900466879</v>
      </c>
      <c r="D58" s="458">
        <v>6.8440822804648693E-2</v>
      </c>
      <c r="E58" s="477">
        <v>8621023.6286737528</v>
      </c>
      <c r="F58" s="458">
        <v>0.10352111175739798</v>
      </c>
      <c r="G58" s="477">
        <v>86359603.478297427</v>
      </c>
      <c r="H58" s="458">
        <v>0.2757045901584394</v>
      </c>
      <c r="I58" s="468">
        <v>6.5524268588407057</v>
      </c>
    </row>
    <row r="59" spans="1:9" ht="16.5" x14ac:dyDescent="0.3">
      <c r="A59" s="477">
        <v>5840504.3626291584</v>
      </c>
      <c r="B59" s="458">
        <v>5.3944982726930046E-2</v>
      </c>
      <c r="C59" s="477">
        <v>5933862.7591456454</v>
      </c>
      <c r="D59" s="458">
        <v>4.6270989841703747E-2</v>
      </c>
      <c r="E59" s="477">
        <v>16777062.492581975</v>
      </c>
      <c r="F59" s="458">
        <v>0.12503549680138848</v>
      </c>
      <c r="G59" s="477">
        <v>95556239.439387619</v>
      </c>
      <c r="H59" s="458">
        <v>0.24232362628629622</v>
      </c>
      <c r="I59" s="468">
        <v>10.825175806824426</v>
      </c>
    </row>
    <row r="60" spans="1:9" ht="16.5" x14ac:dyDescent="0.3">
      <c r="A60" s="477">
        <v>8502125.3689807672</v>
      </c>
      <c r="B60" s="458">
        <v>5.2483955043593156E-2</v>
      </c>
      <c r="C60" s="477">
        <v>14843741.704383278</v>
      </c>
      <c r="D60" s="458">
        <v>7.8331333333333752E-2</v>
      </c>
      <c r="E60" s="477">
        <v>26517274.103531409</v>
      </c>
      <c r="F60" s="458">
        <v>0.13191653923999902</v>
      </c>
      <c r="G60" s="477">
        <v>82171900.203588873</v>
      </c>
      <c r="H60" s="458">
        <v>0.25404303332430822</v>
      </c>
      <c r="I60" s="468">
        <v>1.2795041719252644</v>
      </c>
    </row>
    <row r="61" spans="1:9" ht="16.5" x14ac:dyDescent="0.3">
      <c r="A61" s="477">
        <v>7404592.0255609779</v>
      </c>
      <c r="B61" s="458">
        <v>4.5875430622443147E-2</v>
      </c>
      <c r="C61" s="477">
        <v>8396924.3909734674</v>
      </c>
      <c r="D61" s="458">
        <v>6.5073342269931E-2</v>
      </c>
      <c r="E61" s="477">
        <v>21547913.13722042</v>
      </c>
      <c r="F61" s="458">
        <v>0.10583156766479651</v>
      </c>
      <c r="G61" s="477">
        <v>103610269.5829207</v>
      </c>
      <c r="H61" s="458">
        <v>0.28850821418460404</v>
      </c>
      <c r="I61" s="468">
        <v>10.54954736588294</v>
      </c>
    </row>
    <row r="62" spans="1:9" ht="16.5" x14ac:dyDescent="0.3">
      <c r="A62" s="477">
        <v>6077282.7411179757</v>
      </c>
      <c r="B62" s="458">
        <v>1.4993075217727414E-2</v>
      </c>
      <c r="C62" s="477">
        <v>7907683.1869721394</v>
      </c>
      <c r="D62" s="458">
        <v>5.5859086073396291E-2</v>
      </c>
      <c r="E62" s="477">
        <v>11732668.501881661</v>
      </c>
      <c r="F62" s="458">
        <v>9.4091324582206592E-2</v>
      </c>
      <c r="G62" s="477">
        <v>86149115.367535636</v>
      </c>
      <c r="H62" s="458">
        <v>0.27274566795179989</v>
      </c>
      <c r="I62" s="468">
        <v>5.2042525642347108</v>
      </c>
    </row>
    <row r="63" spans="1:9" ht="16.5" x14ac:dyDescent="0.3">
      <c r="A63" s="477">
        <v>5311675.8350872984</v>
      </c>
      <c r="B63" s="458">
        <v>3.9745281888131201E-2</v>
      </c>
      <c r="C63" s="477">
        <v>12842860.075935146</v>
      </c>
      <c r="D63" s="458">
        <v>6.5711264605789133E-2</v>
      </c>
      <c r="E63" s="477">
        <v>12794355.25537852</v>
      </c>
      <c r="F63" s="458">
        <v>0.10401003051816371</v>
      </c>
      <c r="G63" s="477">
        <v>92678480.392091542</v>
      </c>
      <c r="H63" s="458">
        <v>0.2789853381578431</v>
      </c>
      <c r="I63" s="468">
        <v>10.962136921480099</v>
      </c>
    </row>
    <row r="64" spans="1:9" ht="16.5" x14ac:dyDescent="0.3">
      <c r="A64" s="477">
        <v>7017700.1455620993</v>
      </c>
      <c r="B64" s="458">
        <v>3.2586944394950468E-2</v>
      </c>
      <c r="C64" s="477">
        <v>6018487.3318421459</v>
      </c>
      <c r="D64" s="458">
        <v>5.4406457024395838E-2</v>
      </c>
      <c r="E64" s="477">
        <v>17197381.668115582</v>
      </c>
      <c r="F64" s="458">
        <v>0.13546406225339713</v>
      </c>
      <c r="G64" s="477">
        <v>80850197.010337278</v>
      </c>
      <c r="H64" s="458">
        <v>0.27338991549244773</v>
      </c>
      <c r="I64" s="468">
        <v>4.9040177514347025</v>
      </c>
    </row>
    <row r="65" spans="1:9" ht="16.5" x14ac:dyDescent="0.3">
      <c r="A65" s="477">
        <v>2527353.2112227958</v>
      </c>
      <c r="B65" s="458">
        <v>3.7241247389607546E-2</v>
      </c>
      <c r="C65" s="477">
        <v>708190.29745110089</v>
      </c>
      <c r="D65" s="458">
        <v>7.4149457387045148E-2</v>
      </c>
      <c r="E65" s="477">
        <v>22231416.810753744</v>
      </c>
      <c r="F65" s="458">
        <v>8.6683101790559158E-2</v>
      </c>
      <c r="G65" s="477">
        <v>83833572.011972263</v>
      </c>
      <c r="H65" s="458">
        <v>0.27238757127038093</v>
      </c>
      <c r="I65" s="468">
        <v>13.178357937050809</v>
      </c>
    </row>
    <row r="66" spans="1:9" ht="16.5" x14ac:dyDescent="0.3">
      <c r="A66" s="477">
        <v>4038094.5626550154</v>
      </c>
      <c r="B66" s="458">
        <v>4.7127128181425615E-2</v>
      </c>
      <c r="C66" s="477">
        <v>4854681.8927832153</v>
      </c>
      <c r="D66" s="458">
        <v>8.4067562587662792E-2</v>
      </c>
      <c r="E66" s="477">
        <v>8577362.4863853734</v>
      </c>
      <c r="F66" s="458">
        <v>0.14583708779105908</v>
      </c>
      <c r="G66" s="477">
        <v>93256190.862317517</v>
      </c>
      <c r="H66" s="458">
        <v>0.28007565821025127</v>
      </c>
      <c r="I66" s="468">
        <v>4.4764379958756564</v>
      </c>
    </row>
    <row r="67" spans="1:9" ht="16.5" x14ac:dyDescent="0.3">
      <c r="A67" s="477">
        <v>1793506.8837443681</v>
      </c>
      <c r="B67" s="458">
        <v>4.5633311163288726E-2</v>
      </c>
      <c r="C67" s="477">
        <v>13791003.519800356</v>
      </c>
      <c r="D67" s="458">
        <v>8.0028475443187919E-2</v>
      </c>
      <c r="E67" s="477">
        <v>16132651.638160378</v>
      </c>
      <c r="F67" s="458">
        <v>0.10976534545753158</v>
      </c>
      <c r="G67" s="477">
        <v>84239089.903177559</v>
      </c>
      <c r="H67" s="458">
        <v>0.28145803520822632</v>
      </c>
      <c r="I67" s="468">
        <v>3.9170067397013462</v>
      </c>
    </row>
    <row r="68" spans="1:9" ht="16.5" x14ac:dyDescent="0.3">
      <c r="A68" s="477">
        <v>5504359.8031973019</v>
      </c>
      <c r="B68" s="458">
        <v>3.8783397565515632E-2</v>
      </c>
      <c r="C68" s="477">
        <v>6033401.321147861</v>
      </c>
      <c r="D68" s="458">
        <v>6.1838484824026096E-2</v>
      </c>
      <c r="E68" s="477">
        <v>20528943.516238246</v>
      </c>
      <c r="F68" s="458">
        <v>9.0319992111492553E-2</v>
      </c>
      <c r="G68" s="477">
        <v>87115045.550427809</v>
      </c>
      <c r="H68" s="458">
        <v>0.27521888041218623</v>
      </c>
      <c r="I68" s="468">
        <v>9.7669377570185425</v>
      </c>
    </row>
    <row r="69" spans="1:9" ht="16.5" x14ac:dyDescent="0.3">
      <c r="A69" s="477">
        <v>3101476.3794396329</v>
      </c>
      <c r="B69" s="458">
        <v>3.6090719369009427E-2</v>
      </c>
      <c r="C69" s="477">
        <v>14893835.943183167</v>
      </c>
      <c r="D69" s="458">
        <v>6.3260011639737712E-2</v>
      </c>
      <c r="E69" s="477">
        <v>20502192.654876806</v>
      </c>
      <c r="F69" s="458">
        <v>0.12058498184056132</v>
      </c>
      <c r="G69" s="477">
        <v>95509450.986502528</v>
      </c>
      <c r="H69" s="458">
        <v>0.2545562206007137</v>
      </c>
      <c r="I69" s="468">
        <v>6.0107748023186929</v>
      </c>
    </row>
    <row r="70" spans="1:9" ht="16.5" x14ac:dyDescent="0.3">
      <c r="A70" s="477">
        <v>1639004.1463175768</v>
      </c>
      <c r="B70" s="458">
        <v>3.9476979850323168E-2</v>
      </c>
      <c r="C70" s="477">
        <v>10482678.281441806</v>
      </c>
      <c r="D70" s="458">
        <v>5.6076035480752129E-2</v>
      </c>
      <c r="E70" s="477">
        <v>20133637.963751256</v>
      </c>
      <c r="F70" s="458">
        <v>0.12926584768339611</v>
      </c>
      <c r="G70" s="477">
        <v>103380477.96769662</v>
      </c>
      <c r="H70" s="458">
        <v>0.27949238449780456</v>
      </c>
      <c r="I70" s="468">
        <v>2.169245260729431</v>
      </c>
    </row>
    <row r="71" spans="1:9" ht="16.5" x14ac:dyDescent="0.3">
      <c r="A71" s="477">
        <v>5289157.7174950568</v>
      </c>
      <c r="B71" s="458">
        <v>2.8482608672586451E-3</v>
      </c>
      <c r="C71" s="477">
        <v>5869225.6066179201</v>
      </c>
      <c r="D71" s="458">
        <v>3.9060840292696408E-2</v>
      </c>
      <c r="E71" s="477">
        <v>11679350.493866108</v>
      </c>
      <c r="F71" s="458">
        <v>0.10891403304337355</v>
      </c>
      <c r="G71" s="477">
        <v>84298917.844581246</v>
      </c>
      <c r="H71" s="458">
        <v>0.26343621533384698</v>
      </c>
      <c r="I71" s="468">
        <v>6.7954355107277431</v>
      </c>
    </row>
    <row r="72" spans="1:9" ht="16.5" x14ac:dyDescent="0.3">
      <c r="A72" s="477">
        <v>10784030.902452329</v>
      </c>
      <c r="B72" s="458">
        <v>2.593317407987028E-2</v>
      </c>
      <c r="C72" s="477">
        <v>10841033.067387018</v>
      </c>
      <c r="D72" s="458">
        <v>5.1584740027478704E-2</v>
      </c>
      <c r="E72" s="477">
        <v>11251361.731478401</v>
      </c>
      <c r="F72" s="458">
        <v>0.10064963526169968</v>
      </c>
      <c r="G72" s="477">
        <v>84311736.956051186</v>
      </c>
      <c r="H72" s="458">
        <v>0.25138870035618366</v>
      </c>
      <c r="I72" s="468">
        <v>8.1296614099052835</v>
      </c>
    </row>
    <row r="73" spans="1:9" ht="16.5" x14ac:dyDescent="0.3">
      <c r="A73" s="477">
        <v>3691418.1594926124</v>
      </c>
      <c r="B73" s="458">
        <v>4.1434346854453574E-2</v>
      </c>
      <c r="C73" s="477">
        <v>7859484.1397379749</v>
      </c>
      <c r="D73" s="458">
        <v>6.2963653163459643E-2</v>
      </c>
      <c r="E73" s="477">
        <v>14406825.407482456</v>
      </c>
      <c r="F73" s="458">
        <v>0.13056016833938711</v>
      </c>
      <c r="G73" s="477">
        <v>88929580.133729413</v>
      </c>
      <c r="H73" s="458">
        <v>0.26695814198092149</v>
      </c>
      <c r="I73" s="468">
        <v>7.3755576243219618</v>
      </c>
    </row>
    <row r="74" spans="1:9" ht="16.5" x14ac:dyDescent="0.3">
      <c r="A74" s="477">
        <v>5955109.1675816411</v>
      </c>
      <c r="B74" s="458">
        <v>6.7788965342361118E-2</v>
      </c>
      <c r="C74" s="477">
        <v>7337259.7007751353</v>
      </c>
      <c r="D74" s="458">
        <v>7.1743072283278586E-2</v>
      </c>
      <c r="E74" s="477">
        <v>16417894.356183281</v>
      </c>
      <c r="F74" s="458">
        <v>0.10846312435378858</v>
      </c>
      <c r="G74" s="477">
        <v>91111754.271790117</v>
      </c>
      <c r="H74" s="458">
        <v>0.29280428761858213</v>
      </c>
      <c r="I74" s="468">
        <v>11.700741274580126</v>
      </c>
    </row>
    <row r="75" spans="1:9" ht="16.5" x14ac:dyDescent="0.3">
      <c r="A75" s="477">
        <v>5543201.084243359</v>
      </c>
      <c r="B75" s="458">
        <v>2.4142588371588669E-2</v>
      </c>
      <c r="C75" s="477">
        <v>7071826.1904218858</v>
      </c>
      <c r="D75" s="458">
        <v>3.6247204533401689E-2</v>
      </c>
      <c r="E75" s="477">
        <v>26439450.26107746</v>
      </c>
      <c r="F75" s="458">
        <v>9.2947735345989546E-2</v>
      </c>
      <c r="G75" s="477">
        <v>98039547.445699692</v>
      </c>
      <c r="H75" s="458">
        <v>0.27657106988281543</v>
      </c>
      <c r="I75" s="468">
        <v>3.7376036711882179</v>
      </c>
    </row>
    <row r="76" spans="1:9" ht="16.5" x14ac:dyDescent="0.3">
      <c r="A76" s="477">
        <v>5317265.2427756796</v>
      </c>
      <c r="B76" s="458">
        <v>1.9605918078899665E-2</v>
      </c>
      <c r="C76" s="477">
        <v>5621217.9632152673</v>
      </c>
      <c r="D76" s="458">
        <v>3.1789110484375271E-2</v>
      </c>
      <c r="E76" s="477">
        <v>18455387.331264812</v>
      </c>
      <c r="F76" s="458">
        <v>0.12309379375071483</v>
      </c>
      <c r="G76" s="477">
        <v>82678107.43955116</v>
      </c>
      <c r="H76" s="458">
        <v>0.27745303741504324</v>
      </c>
      <c r="I76" s="468">
        <v>2.9738566596633946</v>
      </c>
    </row>
    <row r="77" spans="1:9" ht="16.5" x14ac:dyDescent="0.3">
      <c r="A77" s="477">
        <v>6105470.3261723975</v>
      </c>
      <c r="B77" s="458">
        <v>4.1805816434605347E-2</v>
      </c>
      <c r="C77" s="477">
        <v>9359035.0871188454</v>
      </c>
      <c r="D77" s="458">
        <v>5.5151460802804975E-2</v>
      </c>
      <c r="E77" s="477">
        <v>15493955.109476903</v>
      </c>
      <c r="F77" s="458">
        <v>0.12872026727500963</v>
      </c>
      <c r="G77" s="477">
        <v>94056166.835861325</v>
      </c>
      <c r="H77" s="458">
        <v>0.26523658789014815</v>
      </c>
      <c r="I77" s="468">
        <v>2.8838465000923721</v>
      </c>
    </row>
    <row r="78" spans="1:9" ht="16.5" x14ac:dyDescent="0.3">
      <c r="A78" s="477">
        <v>9418792.425611034</v>
      </c>
      <c r="B78" s="458">
        <v>3.4342438348967219E-2</v>
      </c>
      <c r="C78" s="477">
        <v>10514178.263227882</v>
      </c>
      <c r="D78" s="458">
        <v>8.4483906612835336E-2</v>
      </c>
      <c r="E78" s="477">
        <v>18650625.027795266</v>
      </c>
      <c r="F78" s="458">
        <v>0.12028374597371672</v>
      </c>
      <c r="G78" s="477">
        <v>92918372.126822382</v>
      </c>
      <c r="H78" s="458">
        <v>0.26336449264011441</v>
      </c>
      <c r="I78" s="468">
        <v>13.052210398566142</v>
      </c>
    </row>
    <row r="79" spans="1:9" ht="16.5" x14ac:dyDescent="0.3">
      <c r="A79" s="477">
        <v>10379539.851221632</v>
      </c>
      <c r="B79" s="458">
        <v>1.6052817505383343E-2</v>
      </c>
      <c r="C79" s="477">
        <v>7973298.2940047933</v>
      </c>
      <c r="D79" s="458">
        <v>7.2345543708497884E-2</v>
      </c>
      <c r="E79" s="477">
        <v>22572448.646435544</v>
      </c>
      <c r="F79" s="458">
        <v>0.13114657130863883</v>
      </c>
      <c r="G79" s="477">
        <v>93319883.530815944</v>
      </c>
      <c r="H79" s="458">
        <v>0.26075416340359636</v>
      </c>
      <c r="I79" s="468">
        <v>9.5030371964545708</v>
      </c>
    </row>
    <row r="80" spans="1:9" ht="16.5" x14ac:dyDescent="0.3">
      <c r="A80" s="477">
        <v>7411764.5734368218</v>
      </c>
      <c r="B80" s="458">
        <v>2.3226818806253435E-2</v>
      </c>
      <c r="C80" s="477">
        <v>8643180.661224829</v>
      </c>
      <c r="D80" s="458">
        <v>8.7317045992524767E-2</v>
      </c>
      <c r="E80" s="477">
        <v>25131339.099021059</v>
      </c>
      <c r="F80" s="458">
        <v>0.10586868176046327</v>
      </c>
      <c r="G80" s="477">
        <v>96996854.88711454</v>
      </c>
      <c r="H80" s="458">
        <v>0.25321203854617802</v>
      </c>
      <c r="I80" s="468">
        <v>6.8155760591316001</v>
      </c>
    </row>
    <row r="81" spans="1:9" ht="16.5" x14ac:dyDescent="0.3">
      <c r="A81" s="477">
        <v>6990839.6238794625</v>
      </c>
      <c r="B81" s="458">
        <v>3.0289075361083828E-2</v>
      </c>
      <c r="C81" s="477">
        <v>8478261.2329362165</v>
      </c>
      <c r="D81" s="458">
        <v>3.1325303367694568E-2</v>
      </c>
      <c r="E81" s="477">
        <v>18420477.444961119</v>
      </c>
      <c r="F81" s="458">
        <v>0.12457555489005023</v>
      </c>
      <c r="G81" s="477">
        <v>84649561.74307622</v>
      </c>
      <c r="H81" s="458">
        <v>0.26813755184965427</v>
      </c>
      <c r="I81" s="468">
        <v>9.6008796957297591</v>
      </c>
    </row>
    <row r="82" spans="1:9" ht="16.5" x14ac:dyDescent="0.3">
      <c r="A82" s="477">
        <v>1821821.7579136342</v>
      </c>
      <c r="B82" s="458">
        <v>4.0627586360911794E-2</v>
      </c>
      <c r="C82" s="477">
        <v>10964289.075697945</v>
      </c>
      <c r="D82" s="458">
        <v>3.9462350116068912E-2</v>
      </c>
      <c r="E82" s="477">
        <v>18160723.275047369</v>
      </c>
      <c r="F82" s="458">
        <v>9.8960083202602966E-2</v>
      </c>
      <c r="G82" s="477">
        <v>101215525.20751932</v>
      </c>
      <c r="H82" s="458">
        <v>0.26627922092905765</v>
      </c>
      <c r="I82" s="468">
        <v>11.105587512138143</v>
      </c>
    </row>
    <row r="83" spans="1:9" ht="16.5" x14ac:dyDescent="0.3">
      <c r="A83" s="477">
        <v>7498901.2949457513</v>
      </c>
      <c r="B83" s="458">
        <v>2.7691204662599667E-2</v>
      </c>
      <c r="C83" s="477">
        <v>3156202.3820987893</v>
      </c>
      <c r="D83" s="458">
        <v>7.0233444875719808E-2</v>
      </c>
      <c r="E83" s="477">
        <v>16214610.944071785</v>
      </c>
      <c r="F83" s="458">
        <v>0.12451341871678379</v>
      </c>
      <c r="G83" s="477">
        <v>77720324.088375941</v>
      </c>
      <c r="H83" s="458">
        <v>0.27207584179525046</v>
      </c>
      <c r="I83" s="468">
        <v>4.4772922737636005</v>
      </c>
    </row>
    <row r="84" spans="1:9" ht="16.5" x14ac:dyDescent="0.3">
      <c r="A84" s="477">
        <v>5242264.4163941648</v>
      </c>
      <c r="B84" s="458">
        <v>4.7765168423711257E-2</v>
      </c>
      <c r="C84" s="477">
        <v>5961260.0931969276</v>
      </c>
      <c r="D84" s="458">
        <v>6.4990849162376518E-2</v>
      </c>
      <c r="E84" s="477">
        <v>18935154.747576281</v>
      </c>
      <c r="F84" s="458">
        <v>0.11337691778493153</v>
      </c>
      <c r="G84" s="477">
        <v>93862704.188412428</v>
      </c>
      <c r="H84" s="458">
        <v>0.26278320035910752</v>
      </c>
      <c r="I84" s="468">
        <v>8.6451990496842104</v>
      </c>
    </row>
    <row r="85" spans="1:9" ht="16.5" x14ac:dyDescent="0.3">
      <c r="A85" s="477">
        <v>5802123.871197314</v>
      </c>
      <c r="B85" s="458">
        <v>2.3150190417465799E-2</v>
      </c>
      <c r="C85" s="477">
        <v>5295613.6995835118</v>
      </c>
      <c r="D85" s="458">
        <v>6.0671432925450297E-2</v>
      </c>
      <c r="E85" s="477">
        <v>13031506.456355141</v>
      </c>
      <c r="F85" s="458">
        <v>0.10576595643672482</v>
      </c>
      <c r="G85" s="477">
        <v>91909861.382030904</v>
      </c>
      <c r="H85" s="458">
        <v>0.26578821451704426</v>
      </c>
      <c r="I85" s="468">
        <v>10.666104256904186</v>
      </c>
    </row>
    <row r="86" spans="1:9" ht="16.5" x14ac:dyDescent="0.3">
      <c r="A86" s="477">
        <v>2183091.2428609687</v>
      </c>
      <c r="B86" s="458">
        <v>3.6185877741896855E-2</v>
      </c>
      <c r="C86" s="477">
        <v>12420075.035833495</v>
      </c>
      <c r="D86" s="458">
        <v>5.184816148292537E-2</v>
      </c>
      <c r="E86" s="477">
        <v>10202845.083006432</v>
      </c>
      <c r="F86" s="458">
        <v>0.10720924211407534</v>
      </c>
      <c r="G86" s="477">
        <v>92690079.868316114</v>
      </c>
      <c r="H86" s="458">
        <v>0.2727285251420406</v>
      </c>
      <c r="I86" s="468">
        <v>9.7083853262059492</v>
      </c>
    </row>
    <row r="87" spans="1:9" ht="16.5" x14ac:dyDescent="0.3">
      <c r="A87" s="477">
        <v>8470343.2564383242</v>
      </c>
      <c r="B87" s="458">
        <v>4.2248458440278247E-2</v>
      </c>
      <c r="C87" s="477">
        <v>7958359.3758024788</v>
      </c>
      <c r="D87" s="458">
        <v>6.3887904957202535E-2</v>
      </c>
      <c r="E87" s="477">
        <v>21253901.28371197</v>
      </c>
      <c r="F87" s="458">
        <v>0.12658434254918349</v>
      </c>
      <c r="G87" s="477">
        <v>84378596.651102602</v>
      </c>
      <c r="H87" s="458">
        <v>0.26328329489101709</v>
      </c>
      <c r="I87" s="468">
        <v>6.7571855415367192</v>
      </c>
    </row>
    <row r="88" spans="1:9" ht="16.5" x14ac:dyDescent="0.3">
      <c r="A88" s="477">
        <v>-685907.83597101714</v>
      </c>
      <c r="B88" s="458">
        <v>4.4211775350626148E-2</v>
      </c>
      <c r="C88" s="477">
        <v>7705470.7782085687</v>
      </c>
      <c r="D88" s="458">
        <v>4.4713483395237175E-2</v>
      </c>
      <c r="E88" s="477">
        <v>10369868.239973726</v>
      </c>
      <c r="F88" s="458">
        <v>0.10159020016090348</v>
      </c>
      <c r="G88" s="477">
        <v>81254044.816343442</v>
      </c>
      <c r="H88" s="458">
        <v>0.29126057131292216</v>
      </c>
      <c r="I88" s="468">
        <v>10.643521754548175</v>
      </c>
    </row>
    <row r="89" spans="1:9" ht="16.5" x14ac:dyDescent="0.3">
      <c r="A89" s="477">
        <v>9285777.8609292191</v>
      </c>
      <c r="B89" s="458">
        <v>4.3736169802832237E-2</v>
      </c>
      <c r="C89" s="477">
        <v>10366213.749527927</v>
      </c>
      <c r="D89" s="458">
        <v>4.5083731258608317E-2</v>
      </c>
      <c r="E89" s="477">
        <v>16708985.502322037</v>
      </c>
      <c r="F89" s="458">
        <v>0.10188165868399879</v>
      </c>
      <c r="G89" s="477">
        <v>91520165.746064812</v>
      </c>
      <c r="H89" s="458">
        <v>0.26484568240388229</v>
      </c>
      <c r="I89" s="468">
        <v>8.401241869967242</v>
      </c>
    </row>
    <row r="90" spans="1:9" ht="16.5" x14ac:dyDescent="0.3">
      <c r="A90" s="477">
        <v>6183304.1891834708</v>
      </c>
      <c r="B90" s="458">
        <v>1.3398162742674025E-2</v>
      </c>
      <c r="C90" s="477">
        <v>5324786.7392424121</v>
      </c>
      <c r="D90" s="458">
        <v>7.3843533192680999E-2</v>
      </c>
      <c r="E90" s="477">
        <v>19541931.504244778</v>
      </c>
      <c r="F90" s="458">
        <v>0.11094707344692556</v>
      </c>
      <c r="G90" s="477">
        <v>76227784.02469483</v>
      </c>
      <c r="H90" s="458">
        <v>0.27481419102977234</v>
      </c>
      <c r="I90" s="468">
        <v>8.2411503197098472</v>
      </c>
    </row>
    <row r="91" spans="1:9" ht="16.5" x14ac:dyDescent="0.3">
      <c r="A91" s="477">
        <v>-608444.38825314073</v>
      </c>
      <c r="B91" s="458">
        <v>6.701502516490554E-2</v>
      </c>
      <c r="C91" s="477">
        <v>11657841.932445498</v>
      </c>
      <c r="D91" s="458">
        <v>6.3653477815282411E-2</v>
      </c>
      <c r="E91" s="477">
        <v>19087549.158135906</v>
      </c>
      <c r="F91" s="458">
        <v>9.4484279025981888E-2</v>
      </c>
      <c r="G91" s="477">
        <v>93033250.172849849</v>
      </c>
      <c r="H91" s="458">
        <v>0.27383652443299278</v>
      </c>
      <c r="I91" s="468">
        <v>2.3421050591058137</v>
      </c>
    </row>
    <row r="92" spans="1:9" ht="16.5" x14ac:dyDescent="0.3">
      <c r="A92" s="477">
        <v>4446519.0752610704</v>
      </c>
      <c r="B92" s="458">
        <v>3.7157109020247381E-2</v>
      </c>
      <c r="C92" s="477">
        <v>6780971.6262222901</v>
      </c>
      <c r="D92" s="458">
        <v>7.2238068552578305E-2</v>
      </c>
      <c r="E92" s="477">
        <v>22495373.618120678</v>
      </c>
      <c r="F92" s="458">
        <v>0.1088525627108432</v>
      </c>
      <c r="G92" s="477">
        <v>90339174.172821522</v>
      </c>
      <c r="H92" s="458">
        <v>0.26724600828393608</v>
      </c>
      <c r="I92" s="468">
        <v>5.4802697632855963</v>
      </c>
    </row>
    <row r="93" spans="1:9" ht="16.5" x14ac:dyDescent="0.3">
      <c r="A93" s="477">
        <v>8974295.3478250392</v>
      </c>
      <c r="B93" s="458">
        <v>4.721822509282414E-2</v>
      </c>
      <c r="C93" s="477">
        <v>9177469.7012408432</v>
      </c>
      <c r="D93" s="458">
        <v>7.2580085001525685E-2</v>
      </c>
      <c r="E93" s="477">
        <v>15714118.811644306</v>
      </c>
      <c r="F93" s="458">
        <v>0.11820039724714659</v>
      </c>
      <c r="G93" s="477">
        <v>84122410.698180646</v>
      </c>
      <c r="H93" s="458">
        <v>0.31459980659655562</v>
      </c>
      <c r="I93" s="468">
        <v>9.8813401840198765</v>
      </c>
    </row>
    <row r="94" spans="1:9" ht="16.5" x14ac:dyDescent="0.3">
      <c r="A94" s="477">
        <v>3820434.8558231769</v>
      </c>
      <c r="B94" s="458">
        <v>3.749076088190284E-2</v>
      </c>
      <c r="C94" s="477">
        <v>8771771.9968499187</v>
      </c>
      <c r="D94" s="458">
        <v>5.7160446364642903E-2</v>
      </c>
      <c r="E94" s="477">
        <v>17580337.453789137</v>
      </c>
      <c r="F94" s="458">
        <v>0.11805759148970618</v>
      </c>
      <c r="G94" s="477">
        <v>92055522.946746513</v>
      </c>
      <c r="H94" s="458">
        <v>0.27718930406652031</v>
      </c>
      <c r="I94" s="468">
        <v>9.1282711091393001</v>
      </c>
    </row>
    <row r="95" spans="1:9" ht="16.5" x14ac:dyDescent="0.3">
      <c r="A95" s="477">
        <v>6591617.8753223801</v>
      </c>
      <c r="B95" s="458">
        <v>7.2483516459656006E-3</v>
      </c>
      <c r="C95" s="477">
        <v>8278977.914710097</v>
      </c>
      <c r="D95" s="458">
        <v>5.5795908032542085E-2</v>
      </c>
      <c r="E95" s="477">
        <v>14954657.131640587</v>
      </c>
      <c r="F95" s="458">
        <v>0.10685614726035642</v>
      </c>
      <c r="G95" s="477">
        <v>90893381.336400181</v>
      </c>
      <c r="H95" s="458">
        <v>0.27049014256948634</v>
      </c>
      <c r="I95" s="468">
        <v>10.359855748834061</v>
      </c>
    </row>
    <row r="96" spans="1:9" ht="16.5" x14ac:dyDescent="0.3">
      <c r="A96" s="477">
        <v>6369043.5055832304</v>
      </c>
      <c r="B96" s="458">
        <v>3.8800746032491285E-2</v>
      </c>
      <c r="C96" s="477">
        <v>6785244.8633397045</v>
      </c>
      <c r="D96" s="458">
        <v>7.9149311180330528E-2</v>
      </c>
      <c r="E96" s="477">
        <v>16701190.078867879</v>
      </c>
      <c r="F96" s="458">
        <v>0.10846473412359781</v>
      </c>
      <c r="G96" s="477">
        <v>74893741.451076508</v>
      </c>
      <c r="H96" s="458">
        <v>0.2604257538430752</v>
      </c>
      <c r="I96" s="468">
        <v>6.1424702597079301</v>
      </c>
    </row>
    <row r="97" spans="1:9" ht="16.5" x14ac:dyDescent="0.3">
      <c r="A97" s="477">
        <v>5407698.3263246641</v>
      </c>
      <c r="B97" s="458">
        <v>7.8275966445354728E-2</v>
      </c>
      <c r="C97" s="477">
        <v>2111823.2144284006</v>
      </c>
      <c r="D97" s="458">
        <v>5.0815963400868913E-2</v>
      </c>
      <c r="E97" s="477">
        <v>17540511.905506235</v>
      </c>
      <c r="F97" s="458">
        <v>0.10265978783433916</v>
      </c>
      <c r="G97" s="477">
        <v>88414008.313485757</v>
      </c>
      <c r="H97" s="458">
        <v>0.26546185159853719</v>
      </c>
      <c r="I97" s="468">
        <v>-2.7710920075941434</v>
      </c>
    </row>
    <row r="98" spans="1:9" ht="16.5" x14ac:dyDescent="0.3">
      <c r="A98" s="477">
        <v>5150188.71585654</v>
      </c>
      <c r="B98" s="458">
        <v>3.1140274243672161E-2</v>
      </c>
      <c r="C98" s="477">
        <v>10101450.003411697</v>
      </c>
      <c r="D98" s="458">
        <v>5.9931239184311424E-2</v>
      </c>
      <c r="E98" s="477">
        <v>10145337.312664624</v>
      </c>
      <c r="F98" s="458">
        <v>7.2984196533899759E-2</v>
      </c>
      <c r="G98" s="477">
        <v>88076164.706370175</v>
      </c>
      <c r="H98" s="458">
        <v>0.2787941418531712</v>
      </c>
      <c r="I98" s="468">
        <v>7.7079437944338913</v>
      </c>
    </row>
    <row r="99" spans="1:9" ht="16.5" x14ac:dyDescent="0.3">
      <c r="A99" s="477">
        <v>6257980.1941285534</v>
      </c>
      <c r="B99" s="458">
        <v>5.1812981382542089E-2</v>
      </c>
      <c r="C99" s="477">
        <v>9137072.8903826773</v>
      </c>
      <c r="D99" s="458">
        <v>5.3754672913738588E-2</v>
      </c>
      <c r="E99" s="477">
        <v>16444387.194478178</v>
      </c>
      <c r="F99" s="458">
        <v>0.11562863809402457</v>
      </c>
      <c r="G99" s="477">
        <v>86224058.466010824</v>
      </c>
      <c r="H99" s="458">
        <v>0.26786958001494865</v>
      </c>
      <c r="I99" s="468">
        <v>7.8274310398620681</v>
      </c>
    </row>
    <row r="100" spans="1:9" ht="16.5" x14ac:dyDescent="0.3">
      <c r="A100" s="477">
        <v>5696605.6286863405</v>
      </c>
      <c r="B100" s="458">
        <v>3.3977161023970082E-2</v>
      </c>
      <c r="C100" s="477">
        <v>11303421.787837831</v>
      </c>
      <c r="D100" s="458">
        <v>6.9756928801901763E-2</v>
      </c>
      <c r="E100" s="477">
        <v>5942978.117867115</v>
      </c>
      <c r="F100" s="458">
        <v>0.1017200717381328</v>
      </c>
      <c r="G100" s="477">
        <v>77465194.732167602</v>
      </c>
      <c r="H100" s="458">
        <v>0.29318888364721096</v>
      </c>
      <c r="I100" s="468">
        <v>10.144048732168878</v>
      </c>
    </row>
    <row r="101" spans="1:9" ht="16.5" x14ac:dyDescent="0.3">
      <c r="A101" s="477">
        <v>8146437.0589818116</v>
      </c>
      <c r="B101" s="458">
        <v>4.6727814328419104E-2</v>
      </c>
      <c r="C101" s="477">
        <v>7047165.5217761379</v>
      </c>
      <c r="D101" s="458">
        <v>3.709828572784768E-2</v>
      </c>
      <c r="E101" s="477">
        <v>17265411.867809676</v>
      </c>
      <c r="F101" s="458">
        <v>9.6046643771575457E-2</v>
      </c>
      <c r="G101" s="477">
        <v>87261366.792568862</v>
      </c>
      <c r="H101" s="458">
        <v>0.2504113444118572</v>
      </c>
      <c r="I101" s="468">
        <v>13.519853222937147</v>
      </c>
    </row>
    <row r="102" spans="1:9" ht="16.5" x14ac:dyDescent="0.3">
      <c r="A102" s="477">
        <v>4288145.1200758256</v>
      </c>
      <c r="B102" s="458">
        <v>2.6741522101073611E-2</v>
      </c>
      <c r="C102" s="477">
        <v>12687567.036321456</v>
      </c>
      <c r="D102" s="458">
        <v>5.5134204357603078E-2</v>
      </c>
      <c r="E102" s="477">
        <v>-2605963.4530668384</v>
      </c>
      <c r="F102" s="458">
        <v>0.12116830539853285</v>
      </c>
      <c r="G102" s="477">
        <v>92671384.301942751</v>
      </c>
      <c r="H102" s="458">
        <v>0.28715727929262314</v>
      </c>
      <c r="I102" s="468">
        <v>14.983219241018748</v>
      </c>
    </row>
    <row r="103" spans="1:9" ht="16.5" x14ac:dyDescent="0.3">
      <c r="A103" s="477">
        <v>4354976.3672531154</v>
      </c>
      <c r="B103" s="458">
        <v>3.0743356717393144E-2</v>
      </c>
      <c r="C103" s="477">
        <v>4656547.8621815201</v>
      </c>
      <c r="D103" s="458">
        <v>5.9079612079477872E-2</v>
      </c>
      <c r="E103" s="477">
        <v>11387610.366339939</v>
      </c>
      <c r="F103" s="458">
        <v>0.11358682560222344</v>
      </c>
      <c r="G103" s="477">
        <v>99036209.639163196</v>
      </c>
      <c r="H103" s="458">
        <v>0.25786032814037108</v>
      </c>
      <c r="I103" s="468">
        <v>3.651683311531893</v>
      </c>
    </row>
    <row r="104" spans="1:9" ht="16.5" x14ac:dyDescent="0.3">
      <c r="A104" s="477">
        <v>1734452.1004489658</v>
      </c>
      <c r="B104" s="458">
        <v>3.896287940243659E-2</v>
      </c>
      <c r="C104" s="477">
        <v>12293668.77783832</v>
      </c>
      <c r="D104" s="458">
        <v>6.5191185211908476E-2</v>
      </c>
      <c r="E104" s="477">
        <v>9871219.1895629596</v>
      </c>
      <c r="F104" s="458">
        <v>0.12035582648368837</v>
      </c>
      <c r="G104" s="477">
        <v>89733027.541590929</v>
      </c>
      <c r="H104" s="458">
        <v>0.2793058796872161</v>
      </c>
      <c r="I104" s="468">
        <v>6.990423899812237</v>
      </c>
    </row>
    <row r="105" spans="1:9" ht="16.5" x14ac:dyDescent="0.3">
      <c r="A105" s="477">
        <v>6543896.9213433741</v>
      </c>
      <c r="B105" s="458">
        <v>6.9203553642342763E-2</v>
      </c>
      <c r="C105" s="477">
        <v>10203466.853205016</v>
      </c>
      <c r="D105" s="458">
        <v>3.5472652753135714E-2</v>
      </c>
      <c r="E105" s="477">
        <v>21018839.866856016</v>
      </c>
      <c r="F105" s="458">
        <v>0.11806954656453472</v>
      </c>
      <c r="G105" s="477">
        <v>84107629.236534253</v>
      </c>
      <c r="H105" s="458">
        <v>0.25618367056002955</v>
      </c>
      <c r="I105" s="468">
        <v>3.319034125020532</v>
      </c>
    </row>
    <row r="106" spans="1:9" ht="16.5" x14ac:dyDescent="0.3">
      <c r="A106" s="477">
        <v>5476530.3423964363</v>
      </c>
      <c r="B106" s="458">
        <v>1.8018062410100955E-2</v>
      </c>
      <c r="C106" s="477">
        <v>14655225.767683538</v>
      </c>
      <c r="D106" s="458">
        <v>4.2953534538340055E-2</v>
      </c>
      <c r="E106" s="477">
        <v>19267278.015424673</v>
      </c>
      <c r="F106" s="458">
        <v>8.7234586502407785E-2</v>
      </c>
      <c r="G106" s="477">
        <v>102997849.82609746</v>
      </c>
      <c r="H106" s="458">
        <v>0.25805322471729886</v>
      </c>
      <c r="I106" s="468">
        <v>9.2545183765709478</v>
      </c>
    </row>
    <row r="107" spans="1:9" ht="16.5" x14ac:dyDescent="0.3">
      <c r="A107" s="477">
        <v>5256932.5346172778</v>
      </c>
      <c r="B107" s="458">
        <v>-1.6387872280947402E-3</v>
      </c>
      <c r="C107" s="477">
        <v>7723910.1340473248</v>
      </c>
      <c r="D107" s="458">
        <v>8.6119271895037652E-2</v>
      </c>
      <c r="E107" s="477">
        <v>18895825.06991775</v>
      </c>
      <c r="F107" s="458">
        <v>9.7264035331945609E-2</v>
      </c>
      <c r="G107" s="477">
        <v>83279535.162671432</v>
      </c>
      <c r="H107" s="458">
        <v>0.2483261385054687</v>
      </c>
      <c r="I107" s="468">
        <v>7.1498351693164981</v>
      </c>
    </row>
    <row r="108" spans="1:9" ht="16.5" x14ac:dyDescent="0.3">
      <c r="A108" s="477">
        <v>5388521.1493402319</v>
      </c>
      <c r="B108" s="458">
        <v>4.6618259879084745E-2</v>
      </c>
      <c r="C108" s="477">
        <v>4974766.9586650161</v>
      </c>
      <c r="D108" s="458">
        <v>4.8037135233005346E-2</v>
      </c>
      <c r="E108" s="477">
        <v>22186009.014007524</v>
      </c>
      <c r="F108" s="458">
        <v>9.0455283815940701E-2</v>
      </c>
      <c r="G108" s="477">
        <v>95829847.145911634</v>
      </c>
      <c r="H108" s="458">
        <v>0.27017080913413305</v>
      </c>
      <c r="I108" s="468">
        <v>7.6111579796088913</v>
      </c>
    </row>
    <row r="109" spans="1:9" ht="16.5" x14ac:dyDescent="0.3">
      <c r="A109" s="477">
        <v>5041823.953620608</v>
      </c>
      <c r="B109" s="458">
        <v>4.8659963072301915E-2</v>
      </c>
      <c r="C109" s="477">
        <v>412335.40918460744</v>
      </c>
      <c r="D109" s="458">
        <v>5.6661012662337473E-2</v>
      </c>
      <c r="E109" s="477">
        <v>7504076.7237537969</v>
      </c>
      <c r="F109" s="458">
        <v>0.13232442647658504</v>
      </c>
      <c r="G109" s="477">
        <v>80968397.300602987</v>
      </c>
      <c r="H109" s="458">
        <v>0.27352349200068971</v>
      </c>
      <c r="I109" s="468">
        <v>8.2216192367477348</v>
      </c>
    </row>
    <row r="110" spans="1:9" ht="16.5" x14ac:dyDescent="0.3">
      <c r="A110" s="477">
        <v>5719893.676797362</v>
      </c>
      <c r="B110" s="458">
        <v>3.2483199920783745E-2</v>
      </c>
      <c r="C110" s="477">
        <v>2626325.1378815691</v>
      </c>
      <c r="D110" s="458">
        <v>6.2122584923059998E-2</v>
      </c>
      <c r="E110" s="477">
        <v>19971717.514914654</v>
      </c>
      <c r="F110" s="458">
        <v>0.15463839751991726</v>
      </c>
      <c r="G110" s="477">
        <v>85550474.043442905</v>
      </c>
      <c r="H110" s="458">
        <v>0.28862529984325325</v>
      </c>
      <c r="I110" s="468">
        <v>8.759123875287246</v>
      </c>
    </row>
    <row r="111" spans="1:9" ht="16.5" x14ac:dyDescent="0.3">
      <c r="A111" s="477">
        <v>8375679.2064576466</v>
      </c>
      <c r="B111" s="458">
        <v>3.711032430762562E-2</v>
      </c>
      <c r="C111" s="477">
        <v>9975226.7749625538</v>
      </c>
      <c r="D111" s="458">
        <v>7.6543627719414919E-2</v>
      </c>
      <c r="E111" s="477">
        <v>9211120.6443712581</v>
      </c>
      <c r="F111" s="458">
        <v>0.10926390082139692</v>
      </c>
      <c r="G111" s="477">
        <v>81598155.991708934</v>
      </c>
      <c r="H111" s="458">
        <v>0.26858868338866859</v>
      </c>
      <c r="I111" s="468">
        <v>9.2058641701540296</v>
      </c>
    </row>
    <row r="112" spans="1:9" ht="16.5" x14ac:dyDescent="0.3">
      <c r="A112" s="477">
        <v>1455696.5464980174</v>
      </c>
      <c r="B112" s="458">
        <v>5.1854386493411564E-2</v>
      </c>
      <c r="C112" s="477">
        <v>11485543.184868637</v>
      </c>
      <c r="D112" s="458">
        <v>8.6339189031004349E-2</v>
      </c>
      <c r="E112" s="477">
        <v>21337062.682501175</v>
      </c>
      <c r="F112" s="458">
        <v>0.11050543695629367</v>
      </c>
      <c r="G112" s="477">
        <v>89325419.167925924</v>
      </c>
      <c r="H112" s="458">
        <v>0.2967478521630933</v>
      </c>
      <c r="I112" s="468">
        <v>8.1119487092637144</v>
      </c>
    </row>
    <row r="113" spans="1:9" ht="16.5" x14ac:dyDescent="0.3">
      <c r="A113" s="477">
        <v>8098743.0866313782</v>
      </c>
      <c r="B113" s="458">
        <v>3.3421660865401881E-2</v>
      </c>
      <c r="C113" s="477">
        <v>9914784.8544237744</v>
      </c>
      <c r="D113" s="458">
        <v>9.3231886193747338E-2</v>
      </c>
      <c r="E113" s="477">
        <v>18102023.406212557</v>
      </c>
      <c r="F113" s="458">
        <v>0.14122077526630639</v>
      </c>
      <c r="G113" s="477">
        <v>66393331.865965411</v>
      </c>
      <c r="H113" s="458">
        <v>0.27396044702965616</v>
      </c>
      <c r="I113" s="468">
        <v>6.8780662855351515</v>
      </c>
    </row>
    <row r="114" spans="1:9" ht="16.5" x14ac:dyDescent="0.3">
      <c r="A114" s="477">
        <v>6413182.0655312557</v>
      </c>
      <c r="B114" s="458">
        <v>3.6655607472893648E-2</v>
      </c>
      <c r="C114" s="477">
        <v>9138836.8273917045</v>
      </c>
      <c r="D114" s="458">
        <v>6.7374941553364209E-2</v>
      </c>
      <c r="E114" s="477">
        <v>20763559.468969878</v>
      </c>
      <c r="F114" s="458">
        <v>9.9447445282784042E-2</v>
      </c>
      <c r="G114" s="477">
        <v>84322347.816537589</v>
      </c>
      <c r="H114" s="458">
        <v>0.25926829441908694</v>
      </c>
      <c r="I114" s="468">
        <v>8.601191175281043</v>
      </c>
    </row>
    <row r="115" spans="1:9" ht="16.5" x14ac:dyDescent="0.3">
      <c r="A115" s="477">
        <v>1826205.8655021882</v>
      </c>
      <c r="B115" s="458">
        <v>4.0743251613111653E-2</v>
      </c>
      <c r="C115" s="477">
        <v>4522553.3059808891</v>
      </c>
      <c r="D115" s="458">
        <v>7.5256143668417597E-2</v>
      </c>
      <c r="E115" s="477">
        <v>20858004.927171104</v>
      </c>
      <c r="F115" s="458">
        <v>7.6470982133644672E-2</v>
      </c>
      <c r="G115" s="477">
        <v>92211713.515712142</v>
      </c>
      <c r="H115" s="458">
        <v>0.24911050488188202</v>
      </c>
      <c r="I115" s="468">
        <v>6.3471795039699295</v>
      </c>
    </row>
    <row r="116" spans="1:9" ht="16.5" x14ac:dyDescent="0.3">
      <c r="A116" s="477">
        <v>7896065.9902656693</v>
      </c>
      <c r="B116" s="458">
        <v>2.9044804253569145E-2</v>
      </c>
      <c r="C116" s="477">
        <v>5360241.221249965</v>
      </c>
      <c r="D116" s="458">
        <v>8.6406681366338445E-2</v>
      </c>
      <c r="E116" s="477">
        <v>17656076.771291409</v>
      </c>
      <c r="F116" s="458">
        <v>0.12796706036636962</v>
      </c>
      <c r="G116" s="477">
        <v>76267599.614994064</v>
      </c>
      <c r="H116" s="458">
        <v>0.27117368800948682</v>
      </c>
      <c r="I116" s="468">
        <v>9.53076838032481</v>
      </c>
    </row>
    <row r="117" spans="1:9" ht="16.5" x14ac:dyDescent="0.3">
      <c r="A117" s="477">
        <v>6504571.0689072134</v>
      </c>
      <c r="B117" s="458">
        <v>3.8398948935346677E-2</v>
      </c>
      <c r="C117" s="477">
        <v>15451501.890011856</v>
      </c>
      <c r="D117" s="458">
        <v>6.050965170605882E-2</v>
      </c>
      <c r="E117" s="477">
        <v>19797970.248104446</v>
      </c>
      <c r="F117" s="458">
        <v>0.10005102666092913</v>
      </c>
      <c r="G117" s="477">
        <v>97398798.765032321</v>
      </c>
      <c r="H117" s="458">
        <v>0.26955909740764739</v>
      </c>
      <c r="I117" s="468">
        <v>13.535664713638091</v>
      </c>
    </row>
    <row r="118" spans="1:9" ht="16.5" x14ac:dyDescent="0.3">
      <c r="A118" s="477">
        <v>8019031.0192619748</v>
      </c>
      <c r="B118" s="458">
        <v>2.7285943701619519E-2</v>
      </c>
      <c r="C118" s="477">
        <v>14610092.112411426</v>
      </c>
      <c r="D118" s="458">
        <v>8.5337916642400424E-2</v>
      </c>
      <c r="E118" s="477">
        <v>25964551.835819397</v>
      </c>
      <c r="F118" s="458">
        <v>0.11975271361821194</v>
      </c>
      <c r="G118" s="477">
        <v>88507876.586560965</v>
      </c>
      <c r="H118" s="458">
        <v>0.25584387531714081</v>
      </c>
      <c r="I118" s="468">
        <v>12.40124740060222</v>
      </c>
    </row>
    <row r="119" spans="1:9" ht="16.5" x14ac:dyDescent="0.3">
      <c r="A119" s="477">
        <v>6918578.7800051197</v>
      </c>
      <c r="B119" s="458">
        <v>5.2945212961494237E-2</v>
      </c>
      <c r="C119" s="477">
        <v>3392776.8511892045</v>
      </c>
      <c r="D119" s="458">
        <v>3.7425783368187693E-2</v>
      </c>
      <c r="E119" s="477">
        <v>12464141.91044987</v>
      </c>
      <c r="F119" s="458">
        <v>0.11828418479376412</v>
      </c>
      <c r="G119" s="477">
        <v>94939242.530436486</v>
      </c>
      <c r="H119" s="458">
        <v>0.24868107792742311</v>
      </c>
      <c r="I119" s="468">
        <v>4.3413905872653231</v>
      </c>
    </row>
    <row r="120" spans="1:9" ht="16.5" x14ac:dyDescent="0.3">
      <c r="A120" s="477">
        <v>8483333.0872145481</v>
      </c>
      <c r="B120" s="458">
        <v>2.9360316243143947E-2</v>
      </c>
      <c r="C120" s="477">
        <v>10143266.619777989</v>
      </c>
      <c r="D120" s="458">
        <v>7.7414027420461773E-2</v>
      </c>
      <c r="E120" s="477">
        <v>24908704.751606394</v>
      </c>
      <c r="F120" s="458">
        <v>0.10069582234572683</v>
      </c>
      <c r="G120" s="477">
        <v>98768620.726983413</v>
      </c>
      <c r="H120" s="458">
        <v>0.26364085842555562</v>
      </c>
      <c r="I120" s="468">
        <v>9.0910873932732059</v>
      </c>
    </row>
    <row r="121" spans="1:9" ht="16.5" x14ac:dyDescent="0.3">
      <c r="A121" s="477">
        <v>2661292.3883732292</v>
      </c>
      <c r="B121" s="458">
        <v>3.038920450520477E-2</v>
      </c>
      <c r="C121" s="477">
        <v>2531059.9547751034</v>
      </c>
      <c r="D121" s="458">
        <v>5.8743955376467261E-2</v>
      </c>
      <c r="E121" s="477">
        <v>19837635.479170337</v>
      </c>
      <c r="F121" s="458">
        <v>9.6390321389528077E-2</v>
      </c>
      <c r="G121" s="477">
        <v>96475979.417538494</v>
      </c>
      <c r="H121" s="458">
        <v>0.25980190004622061</v>
      </c>
      <c r="I121" s="468">
        <v>8.2188553272646043</v>
      </c>
    </row>
    <row r="122" spans="1:9" ht="16.5" x14ac:dyDescent="0.3">
      <c r="A122" s="477">
        <v>4591146.0226395978</v>
      </c>
      <c r="B122" s="458">
        <v>3.8816282688359127E-2</v>
      </c>
      <c r="C122" s="477">
        <v>559942.55673177494</v>
      </c>
      <c r="D122" s="458">
        <v>8.866470460521847E-2</v>
      </c>
      <c r="E122" s="477">
        <v>17387415.98714985</v>
      </c>
      <c r="F122" s="458">
        <v>0.11181775246140591</v>
      </c>
      <c r="G122" s="477">
        <v>92745484.375720397</v>
      </c>
      <c r="H122" s="458">
        <v>0.3117049463009316</v>
      </c>
      <c r="I122" s="468">
        <v>10.114080797845393</v>
      </c>
    </row>
    <row r="123" spans="1:9" ht="16.5" x14ac:dyDescent="0.3">
      <c r="A123" s="477">
        <v>6957619.9306132998</v>
      </c>
      <c r="B123" s="458">
        <v>2.6318693177336927E-2</v>
      </c>
      <c r="C123" s="477">
        <v>10278792.893582178</v>
      </c>
      <c r="D123" s="458">
        <v>7.9265085580729311E-2</v>
      </c>
      <c r="E123" s="477">
        <v>9245352.838878369</v>
      </c>
      <c r="F123" s="458">
        <v>0.11587499304478954</v>
      </c>
      <c r="G123" s="477">
        <v>80213133.614447594</v>
      </c>
      <c r="H123" s="458">
        <v>0.2785532131397539</v>
      </c>
      <c r="I123" s="468">
        <v>6.4108803381412969</v>
      </c>
    </row>
    <row r="124" spans="1:9" ht="16.5" x14ac:dyDescent="0.3">
      <c r="A124" s="477">
        <v>3189983.0165947052</v>
      </c>
      <c r="B124" s="458">
        <v>4.9983664473972178E-2</v>
      </c>
      <c r="C124" s="477">
        <v>10810712.829482712</v>
      </c>
      <c r="D124" s="458">
        <v>8.0587551955249026E-2</v>
      </c>
      <c r="E124" s="477">
        <v>18496378.671076056</v>
      </c>
      <c r="F124" s="458">
        <v>9.918852732223149E-2</v>
      </c>
      <c r="G124" s="477">
        <v>90218053.103199974</v>
      </c>
      <c r="H124" s="458">
        <v>0.27763345655991545</v>
      </c>
      <c r="I124" s="468">
        <v>3.5462701070376479</v>
      </c>
    </row>
    <row r="125" spans="1:9" ht="16.5" x14ac:dyDescent="0.3">
      <c r="A125" s="477">
        <v>4307313.7499559624</v>
      </c>
      <c r="B125" s="458">
        <v>4.1408970666165112E-2</v>
      </c>
      <c r="C125" s="477">
        <v>10855107.433474023</v>
      </c>
      <c r="D125" s="458">
        <v>5.3709475822242725E-2</v>
      </c>
      <c r="E125" s="477">
        <v>7982683.0422290107</v>
      </c>
      <c r="F125" s="458">
        <v>0.10087592170927473</v>
      </c>
      <c r="G125" s="477">
        <v>102823851.40245098</v>
      </c>
      <c r="H125" s="458">
        <v>0.26080007724740861</v>
      </c>
      <c r="I125" s="468">
        <v>4.0897159537989145</v>
      </c>
    </row>
    <row r="126" spans="1:9" ht="16.5" x14ac:dyDescent="0.3">
      <c r="A126" s="477">
        <v>2119849.2584558981</v>
      </c>
      <c r="B126" s="458">
        <v>5.8647934252837208E-2</v>
      </c>
      <c r="C126" s="477">
        <v>6074219.5541849649</v>
      </c>
      <c r="D126" s="458">
        <v>4.7686798236295402E-2</v>
      </c>
      <c r="E126" s="477">
        <v>17327503.917814691</v>
      </c>
      <c r="F126" s="458">
        <v>0.10754995920144972</v>
      </c>
      <c r="G126" s="477">
        <v>85533130.89045535</v>
      </c>
      <c r="H126" s="458">
        <v>0.26169296467761205</v>
      </c>
      <c r="I126" s="468">
        <v>7.95448130368941</v>
      </c>
    </row>
    <row r="127" spans="1:9" ht="16.5" x14ac:dyDescent="0.3">
      <c r="A127" s="477">
        <v>4475635.1936071776</v>
      </c>
      <c r="B127" s="458">
        <v>3.7195966970446914E-3</v>
      </c>
      <c r="C127" s="477">
        <v>2952939.562308345</v>
      </c>
      <c r="D127" s="458">
        <v>9.2716216074430147E-2</v>
      </c>
      <c r="E127" s="477">
        <v>20714949.855326731</v>
      </c>
      <c r="F127" s="458">
        <v>9.1417063108800489E-2</v>
      </c>
      <c r="G127" s="477">
        <v>94728637.007657751</v>
      </c>
      <c r="H127" s="458">
        <v>0.28447399447661526</v>
      </c>
      <c r="I127" s="468">
        <v>5.6818542600004944</v>
      </c>
    </row>
    <row r="128" spans="1:9" ht="16.5" x14ac:dyDescent="0.3">
      <c r="A128" s="477">
        <v>5405167.7466847841</v>
      </c>
      <c r="B128" s="458">
        <v>2.0887966377781453E-2</v>
      </c>
      <c r="C128" s="477">
        <v>9701442.0830500871</v>
      </c>
      <c r="D128" s="458">
        <v>7.5973776981852037E-2</v>
      </c>
      <c r="E128" s="477">
        <v>9413612.9871438649</v>
      </c>
      <c r="F128" s="458">
        <v>9.9704254636490797E-2</v>
      </c>
      <c r="G128" s="477">
        <v>83005999.069133967</v>
      </c>
      <c r="H128" s="458">
        <v>0.26667483111597456</v>
      </c>
      <c r="I128" s="468">
        <v>5.5894022923679216</v>
      </c>
    </row>
    <row r="129" spans="1:9" ht="16.5" x14ac:dyDescent="0.3">
      <c r="A129" s="477">
        <v>4021024.1251393151</v>
      </c>
      <c r="B129" s="458">
        <v>6.5265439381030799E-2</v>
      </c>
      <c r="C129" s="477">
        <v>4094879.9011776173</v>
      </c>
      <c r="D129" s="458">
        <v>6.2672163154242844E-2</v>
      </c>
      <c r="E129" s="477">
        <v>15886601.631758431</v>
      </c>
      <c r="F129" s="458">
        <v>9.7863736114754074E-2</v>
      </c>
      <c r="G129" s="477">
        <v>94305444.75359112</v>
      </c>
      <c r="H129" s="458">
        <v>0.27208381056837649</v>
      </c>
      <c r="I129" s="468">
        <v>10.246546579049641</v>
      </c>
    </row>
    <row r="130" spans="1:9" ht="16.5" x14ac:dyDescent="0.3">
      <c r="A130" s="477">
        <v>5537823.9630615218</v>
      </c>
      <c r="B130" s="458">
        <v>4.2002307464571231E-2</v>
      </c>
      <c r="C130" s="477">
        <v>6027499.1917211004</v>
      </c>
      <c r="D130" s="458">
        <v>7.5215598817236939E-2</v>
      </c>
      <c r="E130" s="477">
        <v>17424506.973932363</v>
      </c>
      <c r="F130" s="458">
        <v>0.12632345910398524</v>
      </c>
      <c r="G130" s="477">
        <v>86730091.072443753</v>
      </c>
      <c r="H130" s="458">
        <v>0.27446526096304802</v>
      </c>
      <c r="I130" s="468">
        <v>11.164038524300588</v>
      </c>
    </row>
    <row r="131" spans="1:9" ht="16.5" x14ac:dyDescent="0.3">
      <c r="A131" s="477">
        <v>4912576.1632746356</v>
      </c>
      <c r="B131" s="458">
        <v>6.6014121940461523E-2</v>
      </c>
      <c r="C131" s="477">
        <v>4818527.843159901</v>
      </c>
      <c r="D131" s="458">
        <v>7.1667672221173095E-2</v>
      </c>
      <c r="E131" s="477">
        <v>17929515.621622909</v>
      </c>
      <c r="F131" s="458">
        <v>8.7842689791154838E-2</v>
      </c>
      <c r="G131" s="477">
        <v>73381441.328768134</v>
      </c>
      <c r="H131" s="458">
        <v>0.27105859281673217</v>
      </c>
      <c r="I131" s="468">
        <v>9.9412918295783648</v>
      </c>
    </row>
    <row r="132" spans="1:9" ht="16.5" x14ac:dyDescent="0.3">
      <c r="A132" s="477">
        <v>6748895.5897667073</v>
      </c>
      <c r="B132" s="458">
        <v>7.6010593128935433E-2</v>
      </c>
      <c r="C132" s="477">
        <v>5464629.1159374071</v>
      </c>
      <c r="D132" s="458">
        <v>2.784147262166714E-2</v>
      </c>
      <c r="E132" s="477">
        <v>13889946.319032982</v>
      </c>
      <c r="F132" s="458">
        <v>0.10935978993996898</v>
      </c>
      <c r="G132" s="477">
        <v>103639342.34865336</v>
      </c>
      <c r="H132" s="458">
        <v>0.27128335898102374</v>
      </c>
      <c r="I132" s="468">
        <v>6.1323168617093815</v>
      </c>
    </row>
    <row r="133" spans="1:9" ht="16.5" x14ac:dyDescent="0.3">
      <c r="A133" s="477">
        <v>5506942.5168578438</v>
      </c>
      <c r="B133" s="458">
        <v>5.072710138730252E-2</v>
      </c>
      <c r="C133" s="477">
        <v>9687878.0734830424</v>
      </c>
      <c r="D133" s="458">
        <v>5.4839224706663803E-2</v>
      </c>
      <c r="E133" s="477">
        <v>10597724.137209754</v>
      </c>
      <c r="F133" s="458">
        <v>0.12437248866398987</v>
      </c>
      <c r="G133" s="477">
        <v>97079077.198941395</v>
      </c>
      <c r="H133" s="458">
        <v>0.27714177007111074</v>
      </c>
      <c r="I133" s="468">
        <v>12.503525521325795</v>
      </c>
    </row>
    <row r="134" spans="1:9" ht="16.5" x14ac:dyDescent="0.3">
      <c r="A134" s="477">
        <v>12153450.285989022</v>
      </c>
      <c r="B134" s="458">
        <v>1.5243886937893025E-2</v>
      </c>
      <c r="C134" s="477">
        <v>12096020.097786512</v>
      </c>
      <c r="D134" s="458">
        <v>9.0087692106391559E-2</v>
      </c>
      <c r="E134" s="477">
        <v>24904488.704127323</v>
      </c>
      <c r="F134" s="458">
        <v>9.789245078351283E-2</v>
      </c>
      <c r="G134" s="477">
        <v>97170811.434797287</v>
      </c>
      <c r="H134" s="458">
        <v>0.28655716966220512</v>
      </c>
      <c r="I134" s="468">
        <v>7.3251573923278466</v>
      </c>
    </row>
    <row r="135" spans="1:9" ht="16.5" x14ac:dyDescent="0.3">
      <c r="A135" s="477">
        <v>7381677.5528011601</v>
      </c>
      <c r="B135" s="458">
        <v>2.8945310892628306E-2</v>
      </c>
      <c r="C135" s="477">
        <v>9583310.1307725515</v>
      </c>
      <c r="D135" s="458">
        <v>7.4721479235823729E-2</v>
      </c>
      <c r="E135" s="477">
        <v>14724687.501441874</v>
      </c>
      <c r="F135" s="458">
        <v>0.14147202775911261</v>
      </c>
      <c r="G135" s="477">
        <v>88150867.38798587</v>
      </c>
      <c r="H135" s="458">
        <v>0.24696325906584371</v>
      </c>
      <c r="I135" s="468">
        <v>6.994766720816747</v>
      </c>
    </row>
    <row r="136" spans="1:9" ht="16.5" x14ac:dyDescent="0.3">
      <c r="A136" s="477">
        <v>5468751.1019635042</v>
      </c>
      <c r="B136" s="458">
        <v>2.6125720659768037E-2</v>
      </c>
      <c r="C136" s="477">
        <v>6459466.3969130181</v>
      </c>
      <c r="D136" s="458">
        <v>4.8502484391750977E-2</v>
      </c>
      <c r="E136" s="477">
        <v>17367319.57114049</v>
      </c>
      <c r="F136" s="458">
        <v>0.12491443328982754</v>
      </c>
      <c r="G136" s="477">
        <v>96133149.736513928</v>
      </c>
      <c r="H136" s="458">
        <v>0.27187781563202695</v>
      </c>
      <c r="I136" s="468">
        <v>4.117310463003907</v>
      </c>
    </row>
    <row r="137" spans="1:9" ht="16.5" x14ac:dyDescent="0.3">
      <c r="A137" s="477">
        <v>7763649.7105461759</v>
      </c>
      <c r="B137" s="458">
        <v>8.4150109132123951E-2</v>
      </c>
      <c r="C137" s="477">
        <v>9547079.1375311334</v>
      </c>
      <c r="D137" s="458">
        <v>7.2757554517469014E-2</v>
      </c>
      <c r="E137" s="477">
        <v>6859157.0489472616</v>
      </c>
      <c r="F137" s="458">
        <v>0.13144844733229366</v>
      </c>
      <c r="G137" s="477">
        <v>89845278.086329192</v>
      </c>
      <c r="H137" s="458">
        <v>0.26340373118626781</v>
      </c>
      <c r="I137" s="468">
        <v>-2.874966843194283</v>
      </c>
    </row>
    <row r="138" spans="1:9" ht="16.5" x14ac:dyDescent="0.3">
      <c r="A138" s="477">
        <v>2731007.7339960565</v>
      </c>
      <c r="B138" s="458">
        <v>4.0263490610840558E-2</v>
      </c>
      <c r="C138" s="477">
        <v>11811527.996472573</v>
      </c>
      <c r="D138" s="458">
        <v>3.0562671898592297E-2</v>
      </c>
      <c r="E138" s="477">
        <v>21164928.259196345</v>
      </c>
      <c r="F138" s="458">
        <v>0.12000986599846919</v>
      </c>
      <c r="G138" s="477">
        <v>86753764.118568435</v>
      </c>
      <c r="H138" s="458">
        <v>0.27941922630873783</v>
      </c>
      <c r="I138" s="468">
        <v>9.4102615184030345</v>
      </c>
    </row>
    <row r="139" spans="1:9" ht="16.5" x14ac:dyDescent="0.3">
      <c r="A139" s="477">
        <v>7109721.479934263</v>
      </c>
      <c r="B139" s="458">
        <v>4.5252571527391039E-2</v>
      </c>
      <c r="C139" s="477">
        <v>5458563.2635481693</v>
      </c>
      <c r="D139" s="458">
        <v>5.0622606309846496E-2</v>
      </c>
      <c r="E139" s="477">
        <v>14493546.409040892</v>
      </c>
      <c r="F139" s="458">
        <v>0.13244757233168292</v>
      </c>
      <c r="G139" s="477">
        <v>76143724.513408303</v>
      </c>
      <c r="H139" s="458">
        <v>0.29944277692454202</v>
      </c>
      <c r="I139" s="468">
        <v>3.2412039139723392</v>
      </c>
    </row>
    <row r="140" spans="1:9" ht="16.5" x14ac:dyDescent="0.3">
      <c r="A140" s="477">
        <v>745983.82979609445</v>
      </c>
      <c r="B140" s="458">
        <v>3.4130578685337198E-2</v>
      </c>
      <c r="C140" s="477">
        <v>10894217.042304395</v>
      </c>
      <c r="D140" s="458">
        <v>4.7726756190264563E-2</v>
      </c>
      <c r="E140" s="477">
        <v>18164314.291620649</v>
      </c>
      <c r="F140" s="458">
        <v>0.10805044887636317</v>
      </c>
      <c r="G140" s="477">
        <v>82130505.662018746</v>
      </c>
      <c r="H140" s="458">
        <v>0.27255220574281092</v>
      </c>
      <c r="I140" s="468">
        <v>3.6663602680057235</v>
      </c>
    </row>
    <row r="141" spans="1:9" ht="16.5" x14ac:dyDescent="0.3">
      <c r="A141" s="477">
        <v>846958.19498717051</v>
      </c>
      <c r="B141" s="458">
        <v>2.5650183837720553E-2</v>
      </c>
      <c r="C141" s="477">
        <v>12126807.7795927</v>
      </c>
      <c r="D141" s="458">
        <v>4.8908509147184809E-2</v>
      </c>
      <c r="E141" s="477">
        <v>15787083.53226077</v>
      </c>
      <c r="F141" s="458">
        <v>0.11829615467906329</v>
      </c>
      <c r="G141" s="477">
        <v>91515137.351653501</v>
      </c>
      <c r="H141" s="458">
        <v>0.28309042813751084</v>
      </c>
      <c r="I141" s="468">
        <v>13.622087607941987</v>
      </c>
    </row>
    <row r="142" spans="1:9" ht="16.5" x14ac:dyDescent="0.3">
      <c r="A142" s="477">
        <v>6353813.1298387842</v>
      </c>
      <c r="B142" s="458">
        <v>3.4742195192510872E-2</v>
      </c>
      <c r="C142" s="477">
        <v>12833900.297351858</v>
      </c>
      <c r="D142" s="458">
        <v>7.0040918272165076E-2</v>
      </c>
      <c r="E142" s="477">
        <v>17281033.227895375</v>
      </c>
      <c r="F142" s="458">
        <v>0.1050230315114975</v>
      </c>
      <c r="G142" s="477">
        <v>85714974.698385373</v>
      </c>
      <c r="H142" s="458">
        <v>0.26514389869211308</v>
      </c>
      <c r="I142" s="468">
        <v>14.197443634658089</v>
      </c>
    </row>
    <row r="143" spans="1:9" ht="16.5" x14ac:dyDescent="0.3">
      <c r="A143" s="477">
        <v>-110178.98320923871</v>
      </c>
      <c r="B143" s="458">
        <v>2.9191913649479817E-2</v>
      </c>
      <c r="C143" s="477">
        <v>5281747.8993807817</v>
      </c>
      <c r="D143" s="458">
        <v>6.0570521867191474E-2</v>
      </c>
      <c r="E143" s="477">
        <v>17495231.939229317</v>
      </c>
      <c r="F143" s="458">
        <v>0.12497776875263367</v>
      </c>
      <c r="G143" s="477">
        <v>92279655.85828653</v>
      </c>
      <c r="H143" s="458">
        <v>0.26273686840445865</v>
      </c>
      <c r="I143" s="468">
        <v>-3.3367697016604776</v>
      </c>
    </row>
    <row r="144" spans="1:9" ht="16.5" x14ac:dyDescent="0.3">
      <c r="A144" s="477">
        <v>2195971.9408061695</v>
      </c>
      <c r="B144" s="458">
        <v>4.1979647498043171E-2</v>
      </c>
      <c r="C144" s="477">
        <v>5355046.2374804588</v>
      </c>
      <c r="D144" s="458">
        <v>2.5069256383538407E-2</v>
      </c>
      <c r="E144" s="477">
        <v>18328832.420162264</v>
      </c>
      <c r="F144" s="458">
        <v>0.1459852297816111</v>
      </c>
      <c r="G144" s="477">
        <v>87877517.789111853</v>
      </c>
      <c r="H144" s="458">
        <v>0.32774194422861735</v>
      </c>
      <c r="I144" s="468">
        <v>4.5037498057122729</v>
      </c>
    </row>
    <row r="145" spans="1:9" ht="16.5" x14ac:dyDescent="0.3">
      <c r="A145" s="477">
        <v>6615885.5631500212</v>
      </c>
      <c r="B145" s="458">
        <v>6.2543034908026929E-2</v>
      </c>
      <c r="C145" s="477">
        <v>1882685.6942609639</v>
      </c>
      <c r="D145" s="458">
        <v>8.3161436160379409E-2</v>
      </c>
      <c r="E145" s="477">
        <v>14433552.263938436</v>
      </c>
      <c r="F145" s="458">
        <v>0.14381882532602219</v>
      </c>
      <c r="G145" s="477">
        <v>94651026.264870808</v>
      </c>
      <c r="H145" s="458">
        <v>0.2779643430783465</v>
      </c>
      <c r="I145" s="468">
        <v>4.1592861201277351</v>
      </c>
    </row>
    <row r="146" spans="1:9" ht="16.5" x14ac:dyDescent="0.3">
      <c r="A146" s="477">
        <v>7838524.0194062795</v>
      </c>
      <c r="B146" s="458">
        <v>2.6303624908311951E-2</v>
      </c>
      <c r="C146" s="477">
        <v>1123871.8287416964</v>
      </c>
      <c r="D146" s="458">
        <v>7.8298678263245103E-2</v>
      </c>
      <c r="E146" s="477">
        <v>14475632.681339949</v>
      </c>
      <c r="F146" s="458">
        <v>8.8711509391128152E-2</v>
      </c>
      <c r="G146" s="477">
        <v>84136151.522939399</v>
      </c>
      <c r="H146" s="458">
        <v>0.250854291672582</v>
      </c>
      <c r="I146" s="468">
        <v>10.985020896359956</v>
      </c>
    </row>
    <row r="147" spans="1:9" ht="16.5" x14ac:dyDescent="0.3">
      <c r="A147" s="477">
        <v>8113338.2974212226</v>
      </c>
      <c r="B147" s="458">
        <v>7.2076279315424152E-2</v>
      </c>
      <c r="C147" s="477">
        <v>12248268.437562164</v>
      </c>
      <c r="D147" s="458">
        <v>7.8199070131789394E-2</v>
      </c>
      <c r="E147" s="477">
        <v>23513781.922567405</v>
      </c>
      <c r="F147" s="458">
        <v>0.11026251792469588</v>
      </c>
      <c r="G147" s="477">
        <v>80637002.383528903</v>
      </c>
      <c r="H147" s="458">
        <v>0.26394844974677745</v>
      </c>
      <c r="I147" s="468">
        <v>8.5458156355141561</v>
      </c>
    </row>
    <row r="148" spans="1:9" ht="16.5" x14ac:dyDescent="0.3">
      <c r="A148" s="477">
        <v>943283.81174619577</v>
      </c>
      <c r="B148" s="458">
        <v>4.0420804994589554E-2</v>
      </c>
      <c r="C148" s="477">
        <v>8120663.3195211934</v>
      </c>
      <c r="D148" s="458">
        <v>6.7469128170947856E-2</v>
      </c>
      <c r="E148" s="477">
        <v>20215223.598783139</v>
      </c>
      <c r="F148" s="458">
        <v>0.12072352527579167</v>
      </c>
      <c r="G148" s="477">
        <v>97620492.967847943</v>
      </c>
      <c r="H148" s="458">
        <v>0.29230099869174286</v>
      </c>
      <c r="I148" s="468">
        <v>6.2630724809270166</v>
      </c>
    </row>
    <row r="149" spans="1:9" ht="16.5" x14ac:dyDescent="0.3">
      <c r="A149" s="477">
        <v>2560362.7526994511</v>
      </c>
      <c r="B149" s="458">
        <v>4.8518520848794378E-2</v>
      </c>
      <c r="C149" s="477">
        <v>11782978.933284588</v>
      </c>
      <c r="D149" s="458">
        <v>5.0377184097032401E-2</v>
      </c>
      <c r="E149" s="477">
        <v>11852400.214525321</v>
      </c>
      <c r="F149" s="458">
        <v>0.12623061480409214</v>
      </c>
      <c r="G149" s="477">
        <v>78550576.073053926</v>
      </c>
      <c r="H149" s="458">
        <v>0.25686939741445647</v>
      </c>
      <c r="I149" s="468">
        <v>5.9679396834016263</v>
      </c>
    </row>
    <row r="150" spans="1:9" ht="16.5" x14ac:dyDescent="0.3">
      <c r="A150" s="477">
        <v>6645415.3990050349</v>
      </c>
      <c r="B150" s="458">
        <v>4.8104978136817467E-2</v>
      </c>
      <c r="C150" s="477">
        <v>7742424.2227237411</v>
      </c>
      <c r="D150" s="458">
        <v>6.1479071500582627E-2</v>
      </c>
      <c r="E150" s="477">
        <v>7449254.307237776</v>
      </c>
      <c r="F150" s="458">
        <v>0.12756398750891851</v>
      </c>
      <c r="G150" s="477">
        <v>92850047.269009948</v>
      </c>
      <c r="H150" s="458">
        <v>0.28796781791014969</v>
      </c>
      <c r="I150" s="468">
        <v>7.0056924500714581</v>
      </c>
    </row>
    <row r="151" spans="1:9" ht="16.5" x14ac:dyDescent="0.3">
      <c r="A151" s="477">
        <v>4663923.7739182999</v>
      </c>
      <c r="B151" s="458">
        <v>4.2879300072176996E-2</v>
      </c>
      <c r="C151" s="477">
        <v>5157732.4776826501</v>
      </c>
      <c r="D151" s="458">
        <v>7.2486017169563821E-2</v>
      </c>
      <c r="E151" s="477">
        <v>23456095.477745134</v>
      </c>
      <c r="F151" s="458">
        <v>0.11528673189186711</v>
      </c>
      <c r="G151" s="477">
        <v>87968818.946003214</v>
      </c>
      <c r="H151" s="458">
        <v>0.26374172791403505</v>
      </c>
      <c r="I151" s="468">
        <v>7.7792743054144875</v>
      </c>
    </row>
    <row r="152" spans="1:9" ht="16.5" x14ac:dyDescent="0.3">
      <c r="A152" s="477">
        <v>6128283.3291873531</v>
      </c>
      <c r="B152" s="458">
        <v>3.607105251203957E-2</v>
      </c>
      <c r="C152" s="477">
        <v>3854106.2193342159</v>
      </c>
      <c r="D152" s="458">
        <v>5.5879724167256617E-2</v>
      </c>
      <c r="E152" s="477">
        <v>21967762.811976433</v>
      </c>
      <c r="F152" s="458">
        <v>0.11993919146034981</v>
      </c>
      <c r="G152" s="477">
        <v>103798732.96082789</v>
      </c>
      <c r="H152" s="458">
        <v>0.30698885716759405</v>
      </c>
      <c r="I152" s="468">
        <v>13.260076391555273</v>
      </c>
    </row>
    <row r="153" spans="1:9" ht="16.5" x14ac:dyDescent="0.3">
      <c r="A153" s="477">
        <v>2263324.3282878343</v>
      </c>
      <c r="B153" s="458">
        <v>3.1552667040458005E-2</v>
      </c>
      <c r="C153" s="477">
        <v>5713671.4998297365</v>
      </c>
      <c r="D153" s="458">
        <v>9.4246937170324729E-2</v>
      </c>
      <c r="E153" s="477">
        <v>22893858.858668562</v>
      </c>
      <c r="F153" s="458">
        <v>8.7581782939661901E-2</v>
      </c>
      <c r="G153" s="477">
        <v>93628050.329979554</v>
      </c>
      <c r="H153" s="458">
        <v>0.26534789385465163</v>
      </c>
      <c r="I153" s="468">
        <v>1.2648551466141607</v>
      </c>
    </row>
    <row r="154" spans="1:9" ht="16.5" x14ac:dyDescent="0.3">
      <c r="A154" s="477">
        <v>2019488.8514389901</v>
      </c>
      <c r="B154" s="458">
        <v>5.3602789837088771E-2</v>
      </c>
      <c r="C154" s="477">
        <v>12444165.771584133</v>
      </c>
      <c r="D154" s="458">
        <v>6.5766353755914331E-2</v>
      </c>
      <c r="E154" s="477">
        <v>20997443.060367122</v>
      </c>
      <c r="F154" s="458">
        <v>0.11281391230976734</v>
      </c>
      <c r="G154" s="477">
        <v>94988654.940061375</v>
      </c>
      <c r="H154" s="458">
        <v>0.26325740627373095</v>
      </c>
      <c r="I154" s="468">
        <v>9.0559868538264023</v>
      </c>
    </row>
    <row r="155" spans="1:9" ht="16.5" x14ac:dyDescent="0.3">
      <c r="A155" s="477">
        <v>4908498.4867716786</v>
      </c>
      <c r="B155" s="458">
        <v>2.9719345277784637E-2</v>
      </c>
      <c r="C155" s="477">
        <v>7193715.8810337102</v>
      </c>
      <c r="D155" s="458">
        <v>6.8992452419081474E-2</v>
      </c>
      <c r="E155" s="477">
        <v>10839393.836043129</v>
      </c>
      <c r="F155" s="458">
        <v>0.1216734965939279</v>
      </c>
      <c r="G155" s="477">
        <v>77714056.191771105</v>
      </c>
      <c r="H155" s="458">
        <v>0.27267711447845389</v>
      </c>
      <c r="I155" s="468">
        <v>10.851549554008303</v>
      </c>
    </row>
    <row r="156" spans="1:9" ht="16.5" x14ac:dyDescent="0.3">
      <c r="A156" s="477">
        <v>4709531.7572617643</v>
      </c>
      <c r="B156" s="458">
        <v>4.8081115663437091E-2</v>
      </c>
      <c r="C156" s="477">
        <v>10040630.437380387</v>
      </c>
      <c r="D156" s="458">
        <v>6.5035113725288474E-2</v>
      </c>
      <c r="E156" s="477">
        <v>20612362.703720406</v>
      </c>
      <c r="F156" s="458">
        <v>0.11277579534602022</v>
      </c>
      <c r="G156" s="477">
        <v>78233462.598224983</v>
      </c>
      <c r="H156" s="458">
        <v>0.25763826561175662</v>
      </c>
      <c r="I156" s="468">
        <v>6.8223981426287938</v>
      </c>
    </row>
    <row r="157" spans="1:9" ht="16.5" x14ac:dyDescent="0.3">
      <c r="A157" s="477">
        <v>2172628.747996442</v>
      </c>
      <c r="B157" s="458">
        <v>4.1070844656753591E-2</v>
      </c>
      <c r="C157" s="477">
        <v>6109696.3993812092</v>
      </c>
      <c r="D157" s="458">
        <v>5.4843158601492359E-2</v>
      </c>
      <c r="E157" s="477">
        <v>10451386.42121771</v>
      </c>
      <c r="F157" s="458">
        <v>0.13555863057578188</v>
      </c>
      <c r="G157" s="477">
        <v>91881511.413022399</v>
      </c>
      <c r="H157" s="458">
        <v>0.26959245780307817</v>
      </c>
      <c r="I157" s="468">
        <v>4.4895721304606688</v>
      </c>
    </row>
    <row r="158" spans="1:9" ht="16.5" x14ac:dyDescent="0.3">
      <c r="A158" s="477">
        <v>8747342.6023680735</v>
      </c>
      <c r="B158" s="458">
        <v>5.8222712894350881E-2</v>
      </c>
      <c r="C158" s="477">
        <v>10012514.302310346</v>
      </c>
      <c r="D158" s="458">
        <v>7.4241287462385896E-2</v>
      </c>
      <c r="E158" s="477">
        <v>17082577.052248918</v>
      </c>
      <c r="F158" s="458">
        <v>0.10872329157287797</v>
      </c>
      <c r="G158" s="477">
        <v>86820351.74133791</v>
      </c>
      <c r="H158" s="458">
        <v>0.27397763797921071</v>
      </c>
      <c r="I158" s="468">
        <v>8.9788767996293579</v>
      </c>
    </row>
    <row r="159" spans="1:9" ht="16.5" x14ac:dyDescent="0.3">
      <c r="A159" s="477">
        <v>5412498.216350588</v>
      </c>
      <c r="B159" s="458">
        <v>3.3442334173511501E-2</v>
      </c>
      <c r="C159" s="477">
        <v>6508107.6045096582</v>
      </c>
      <c r="D159" s="458">
        <v>5.8563635589661933E-2</v>
      </c>
      <c r="E159" s="477">
        <v>25256733.558728509</v>
      </c>
      <c r="F159" s="458">
        <v>0.11686751878741375</v>
      </c>
      <c r="G159" s="477">
        <v>95211482.085415184</v>
      </c>
      <c r="H159" s="458">
        <v>0.26598812066286448</v>
      </c>
      <c r="I159" s="468">
        <v>18.663658145751914</v>
      </c>
    </row>
    <row r="160" spans="1:9" ht="16.5" x14ac:dyDescent="0.3">
      <c r="A160" s="477">
        <v>3985460.9063910162</v>
      </c>
      <c r="B160" s="458">
        <v>5.4950493244502852E-2</v>
      </c>
      <c r="C160" s="477">
        <v>7962039.3942433214</v>
      </c>
      <c r="D160" s="458">
        <v>8.1514944736744255E-2</v>
      </c>
      <c r="E160" s="477">
        <v>16521605.95528565</v>
      </c>
      <c r="F160" s="458">
        <v>0.12490526820929171</v>
      </c>
      <c r="G160" s="477">
        <v>85608806.805120036</v>
      </c>
      <c r="H160" s="458">
        <v>0.27013066801771402</v>
      </c>
      <c r="I160" s="468">
        <v>13.591858524791011</v>
      </c>
    </row>
    <row r="161" spans="1:9" ht="16.5" x14ac:dyDescent="0.3">
      <c r="A161" s="477">
        <v>7925604.7780479882</v>
      </c>
      <c r="B161" s="458">
        <v>5.3415269818425593E-2</v>
      </c>
      <c r="C161" s="477">
        <v>14031558.911699036</v>
      </c>
      <c r="D161" s="458">
        <v>6.974794971496423E-2</v>
      </c>
      <c r="E161" s="477">
        <v>21410427.127406873</v>
      </c>
      <c r="F161" s="458">
        <v>0.11375463223813975</v>
      </c>
      <c r="G161" s="477">
        <v>82555839.811922714</v>
      </c>
      <c r="H161" s="458">
        <v>0.28877649269931704</v>
      </c>
      <c r="I161" s="468">
        <v>6.3588588640427606</v>
      </c>
    </row>
    <row r="162" spans="1:9" ht="16.5" x14ac:dyDescent="0.3">
      <c r="A162" s="477">
        <v>4992219.3658665521</v>
      </c>
      <c r="B162" s="458">
        <v>2.0994672346478671E-2</v>
      </c>
      <c r="C162" s="477">
        <v>8584038.9591193236</v>
      </c>
      <c r="D162" s="458">
        <v>5.8413846213762444E-2</v>
      </c>
      <c r="E162" s="477">
        <v>13491568.69932574</v>
      </c>
      <c r="F162" s="458">
        <v>0.10364083422636394</v>
      </c>
      <c r="G162" s="477">
        <v>105566525.92874014</v>
      </c>
      <c r="H162" s="458">
        <v>0.24976465018496374</v>
      </c>
      <c r="I162" s="468">
        <v>15.296822620254918</v>
      </c>
    </row>
    <row r="163" spans="1:9" ht="16.5" x14ac:dyDescent="0.3">
      <c r="A163" s="477">
        <v>4832080.7241755901</v>
      </c>
      <c r="B163" s="458">
        <v>5.4394391772547124E-2</v>
      </c>
      <c r="C163" s="477">
        <v>14709371.540099736</v>
      </c>
      <c r="D163" s="458">
        <v>7.9103299285468776E-2</v>
      </c>
      <c r="E163" s="477">
        <v>24101553.823625673</v>
      </c>
      <c r="F163" s="458">
        <v>0.11431218332882964</v>
      </c>
      <c r="G163" s="477">
        <v>88796306.962260559</v>
      </c>
      <c r="H163" s="458">
        <v>0.2667878745942871</v>
      </c>
      <c r="I163" s="468">
        <v>13.168545499183644</v>
      </c>
    </row>
    <row r="164" spans="1:9" ht="16.5" x14ac:dyDescent="0.3">
      <c r="A164" s="477">
        <v>4297046.9223212861</v>
      </c>
      <c r="B164" s="458">
        <v>5.8615215865170711E-2</v>
      </c>
      <c r="C164" s="477">
        <v>12674424.57277352</v>
      </c>
      <c r="D164" s="458">
        <v>9.4143731919001272E-2</v>
      </c>
      <c r="E164" s="477">
        <v>12690460.691247331</v>
      </c>
      <c r="F164" s="458">
        <v>0.12438460449196254</v>
      </c>
      <c r="G164" s="477">
        <v>81858489.953893349</v>
      </c>
      <c r="H164" s="458">
        <v>0.28837569180735367</v>
      </c>
      <c r="I164" s="468">
        <v>4.2294143901145791</v>
      </c>
    </row>
    <row r="165" spans="1:9" ht="16.5" x14ac:dyDescent="0.3">
      <c r="A165" s="477">
        <v>4384108.8190600686</v>
      </c>
      <c r="B165" s="458">
        <v>4.3171801509152674E-2</v>
      </c>
      <c r="C165" s="477">
        <v>10205731.194498364</v>
      </c>
      <c r="D165" s="458">
        <v>5.9964779270291757E-2</v>
      </c>
      <c r="E165" s="477">
        <v>23616432.625353031</v>
      </c>
      <c r="F165" s="458">
        <v>9.6267459414676626E-2</v>
      </c>
      <c r="G165" s="477">
        <v>90215671.124593899</v>
      </c>
      <c r="H165" s="458">
        <v>0.28572044188447321</v>
      </c>
      <c r="I165" s="468">
        <v>9.2829900172050124</v>
      </c>
    </row>
    <row r="166" spans="1:9" ht="16.5" x14ac:dyDescent="0.3">
      <c r="A166" s="477">
        <v>8569957.9228485283</v>
      </c>
      <c r="B166" s="458">
        <v>5.1852568119507891E-2</v>
      </c>
      <c r="C166" s="477">
        <v>7389549.1496134289</v>
      </c>
      <c r="D166" s="458">
        <v>2.6145064077794489E-2</v>
      </c>
      <c r="E166" s="477">
        <v>13697289.569815837</v>
      </c>
      <c r="F166" s="458">
        <v>0.11141429410086778</v>
      </c>
      <c r="G166" s="477">
        <v>98885688.970357686</v>
      </c>
      <c r="H166" s="458">
        <v>0.25986963018916209</v>
      </c>
      <c r="I166" s="468">
        <v>9.3767894148515385</v>
      </c>
    </row>
    <row r="167" spans="1:9" ht="16.5" x14ac:dyDescent="0.3">
      <c r="A167" s="477">
        <v>4225325.4452771069</v>
      </c>
      <c r="B167" s="458">
        <v>4.620399222209115E-2</v>
      </c>
      <c r="C167" s="477">
        <v>12979347.834219506</v>
      </c>
      <c r="D167" s="458">
        <v>6.573686117274935E-2</v>
      </c>
      <c r="E167" s="477">
        <v>23787063.525346629</v>
      </c>
      <c r="F167" s="458">
        <v>9.3001947601367929E-2</v>
      </c>
      <c r="G167" s="477">
        <v>90889932.972476497</v>
      </c>
      <c r="H167" s="458">
        <v>0.25684457613738765</v>
      </c>
      <c r="I167" s="468">
        <v>7.7075702148903895</v>
      </c>
    </row>
    <row r="168" spans="1:9" ht="16.5" x14ac:dyDescent="0.3">
      <c r="A168" s="477">
        <v>7762245.9574449919</v>
      </c>
      <c r="B168" s="458">
        <v>0.101189843934961</v>
      </c>
      <c r="C168" s="477">
        <v>13637750.119559094</v>
      </c>
      <c r="D168" s="458">
        <v>5.6850863239435334E-2</v>
      </c>
      <c r="E168" s="477">
        <v>16188391.244912658</v>
      </c>
      <c r="F168" s="458">
        <v>0.1117244302927991</v>
      </c>
      <c r="G168" s="477">
        <v>102047802.85583097</v>
      </c>
      <c r="H168" s="458">
        <v>0.26888054562037222</v>
      </c>
      <c r="I168" s="468">
        <v>7.8705329926353151</v>
      </c>
    </row>
    <row r="169" spans="1:9" ht="16.5" x14ac:dyDescent="0.3">
      <c r="A169" s="477">
        <v>6026512.9453316061</v>
      </c>
      <c r="B169" s="458">
        <v>5.9699226782976567E-2</v>
      </c>
      <c r="C169" s="477">
        <v>8090825.9502241937</v>
      </c>
      <c r="D169" s="458">
        <v>7.8212214306909944E-2</v>
      </c>
      <c r="E169" s="477">
        <v>17725089.61627413</v>
      </c>
      <c r="F169" s="458">
        <v>9.2826996913182747E-2</v>
      </c>
      <c r="G169" s="477">
        <v>79422114.721617326</v>
      </c>
      <c r="H169" s="458">
        <v>0.26904183394919712</v>
      </c>
      <c r="I169" s="468">
        <v>10.133736594037337</v>
      </c>
    </row>
    <row r="170" spans="1:9" ht="16.5" x14ac:dyDescent="0.3">
      <c r="A170" s="477">
        <v>6696014.6685069036</v>
      </c>
      <c r="B170" s="458">
        <v>2.2473852480983769E-2</v>
      </c>
      <c r="C170" s="477">
        <v>9265512.6827482674</v>
      </c>
      <c r="D170" s="458">
        <v>6.2969948668970099E-2</v>
      </c>
      <c r="E170" s="477">
        <v>17485797.540828921</v>
      </c>
      <c r="F170" s="458">
        <v>0.10192593586487719</v>
      </c>
      <c r="G170" s="477">
        <v>97072309.390100792</v>
      </c>
      <c r="H170" s="458">
        <v>0.28030375938266516</v>
      </c>
      <c r="I170" s="468">
        <v>3.4469448292537583</v>
      </c>
    </row>
    <row r="171" spans="1:9" ht="16.5" x14ac:dyDescent="0.3">
      <c r="A171" s="477">
        <v>3270631.3059985321</v>
      </c>
      <c r="B171" s="458">
        <v>5.7479663119458957E-2</v>
      </c>
      <c r="C171" s="477">
        <v>3014092.2250950914</v>
      </c>
      <c r="D171" s="458">
        <v>5.4263700996742603E-2</v>
      </c>
      <c r="E171" s="477">
        <v>13566109.828341991</v>
      </c>
      <c r="F171" s="458">
        <v>0.12251281148329185</v>
      </c>
      <c r="G171" s="477">
        <v>86446539.707868367</v>
      </c>
      <c r="H171" s="458">
        <v>0.27290577118416115</v>
      </c>
      <c r="I171" s="468">
        <v>6.4325781455568185</v>
      </c>
    </row>
    <row r="172" spans="1:9" ht="16.5" x14ac:dyDescent="0.3">
      <c r="A172" s="477">
        <v>6470396.9157402301</v>
      </c>
      <c r="B172" s="458">
        <v>9.3156864660242533E-2</v>
      </c>
      <c r="C172" s="477">
        <v>12771766.675214611</v>
      </c>
      <c r="D172" s="458">
        <v>7.423469647067571E-2</v>
      </c>
      <c r="E172" s="477">
        <v>23244453.964793764</v>
      </c>
      <c r="F172" s="458">
        <v>0.16389679749941988</v>
      </c>
      <c r="G172" s="477">
        <v>90556961.869921505</v>
      </c>
      <c r="H172" s="458">
        <v>0.27028146411017451</v>
      </c>
      <c r="I172" s="468">
        <v>12.572386935716708</v>
      </c>
    </row>
    <row r="173" spans="1:9" ht="16.5" x14ac:dyDescent="0.3">
      <c r="A173" s="477">
        <v>1382913.9979619205</v>
      </c>
      <c r="B173" s="458">
        <v>6.1861015103563011E-2</v>
      </c>
      <c r="C173" s="477">
        <v>7728038.3192982227</v>
      </c>
      <c r="D173" s="458">
        <v>9.5370548825020496E-2</v>
      </c>
      <c r="E173" s="477">
        <v>10265433.640588403</v>
      </c>
      <c r="F173" s="458">
        <v>9.7761380670924991E-2</v>
      </c>
      <c r="G173" s="477">
        <v>74264040.89765273</v>
      </c>
      <c r="H173" s="458">
        <v>0.25600556135029939</v>
      </c>
      <c r="I173" s="468">
        <v>7.6040124548019881</v>
      </c>
    </row>
    <row r="174" spans="1:9" ht="16.5" x14ac:dyDescent="0.3">
      <c r="A174" s="477">
        <v>4413198.9146657316</v>
      </c>
      <c r="B174" s="458">
        <v>3.7468806545657873E-2</v>
      </c>
      <c r="C174" s="477">
        <v>10269459.389576482</v>
      </c>
      <c r="D174" s="458">
        <v>1.4913964010780489E-2</v>
      </c>
      <c r="E174" s="477">
        <v>19543765.469354842</v>
      </c>
      <c r="F174" s="458">
        <v>7.8664502044048179E-2</v>
      </c>
      <c r="G174" s="477">
        <v>87286716.498521909</v>
      </c>
      <c r="H174" s="458">
        <v>0.2797161284887153</v>
      </c>
      <c r="I174" s="468">
        <v>2.1655892917057455</v>
      </c>
    </row>
    <row r="175" spans="1:9" ht="16.5" x14ac:dyDescent="0.3">
      <c r="A175" s="477">
        <v>5450366.5240834849</v>
      </c>
      <c r="B175" s="458">
        <v>1.4764909739285903E-2</v>
      </c>
      <c r="C175" s="477">
        <v>7884594.8075322071</v>
      </c>
      <c r="D175" s="458">
        <v>4.706750487981104E-2</v>
      </c>
      <c r="E175" s="477">
        <v>17840177.75277276</v>
      </c>
      <c r="F175" s="458">
        <v>0.12414262150369559</v>
      </c>
      <c r="G175" s="477">
        <v>88864013.460425779</v>
      </c>
      <c r="H175" s="458">
        <v>0.26485418202128908</v>
      </c>
      <c r="I175" s="468">
        <v>4.3437895573032606</v>
      </c>
    </row>
    <row r="176" spans="1:9" ht="16.5" x14ac:dyDescent="0.3">
      <c r="A176" s="477">
        <v>4852694.1214623842</v>
      </c>
      <c r="B176" s="458">
        <v>3.4382904252446611E-2</v>
      </c>
      <c r="C176" s="477">
        <v>3272299.0060389289</v>
      </c>
      <c r="D176" s="458">
        <v>8.0859287844657013E-2</v>
      </c>
      <c r="E176" s="477">
        <v>13433314.934149988</v>
      </c>
      <c r="F176" s="458">
        <v>9.8843083080094596E-2</v>
      </c>
      <c r="G176" s="477">
        <v>85241754.855319992</v>
      </c>
      <c r="H176" s="458">
        <v>0.24697044730982087</v>
      </c>
      <c r="I176" s="468">
        <v>8.2847766088565749</v>
      </c>
    </row>
    <row r="177" spans="1:9" ht="16.5" x14ac:dyDescent="0.3">
      <c r="A177" s="477">
        <v>3904782.9839486131</v>
      </c>
      <c r="B177" s="458">
        <v>-2.3328365460909217E-2</v>
      </c>
      <c r="C177" s="477">
        <v>8068249.895965456</v>
      </c>
      <c r="D177" s="458">
        <v>4.6875501699868316E-2</v>
      </c>
      <c r="E177" s="477">
        <v>14522813.287402239</v>
      </c>
      <c r="F177" s="458">
        <v>0.11106197780911997</v>
      </c>
      <c r="G177" s="477">
        <v>99851036.000877932</v>
      </c>
      <c r="H177" s="458">
        <v>0.26291087803731861</v>
      </c>
      <c r="I177" s="468">
        <v>11.342636539169028</v>
      </c>
    </row>
    <row r="178" spans="1:9" ht="16.5" x14ac:dyDescent="0.3">
      <c r="A178" s="477">
        <v>1756986.4805907623</v>
      </c>
      <c r="B178" s="458">
        <v>7.4264441555240257E-2</v>
      </c>
      <c r="C178" s="477">
        <v>9361322.3742335476</v>
      </c>
      <c r="D178" s="458">
        <v>5.8195962985993832E-2</v>
      </c>
      <c r="E178" s="477">
        <v>16910379.519097794</v>
      </c>
      <c r="F178" s="458">
        <v>8.2248754855525963E-2</v>
      </c>
      <c r="G178" s="477">
        <v>95033144.159972653</v>
      </c>
      <c r="H178" s="458">
        <v>0.26801760789612228</v>
      </c>
      <c r="I178" s="468">
        <v>1.5339021027266204</v>
      </c>
    </row>
    <row r="179" spans="1:9" ht="16.5" x14ac:dyDescent="0.3">
      <c r="A179" s="477">
        <v>3928257.0023364187</v>
      </c>
      <c r="B179" s="458">
        <v>4.3872192601208893E-2</v>
      </c>
      <c r="C179" s="477">
        <v>7886647.9078347636</v>
      </c>
      <c r="D179" s="458">
        <v>5.5425097517721289E-2</v>
      </c>
      <c r="E179" s="477">
        <v>18040482.627220504</v>
      </c>
      <c r="F179" s="458">
        <v>9.0041761016629973E-2</v>
      </c>
      <c r="G179" s="477">
        <v>83976527.899792403</v>
      </c>
      <c r="H179" s="458">
        <v>0.27610912758615758</v>
      </c>
      <c r="I179" s="468">
        <v>4.2908334445107066</v>
      </c>
    </row>
    <row r="180" spans="1:9" ht="16.5" x14ac:dyDescent="0.3">
      <c r="A180" s="477">
        <v>4859597.8685442703</v>
      </c>
      <c r="B180" s="458">
        <v>3.0088351257386181E-2</v>
      </c>
      <c r="C180" s="477">
        <v>7772134.034447426</v>
      </c>
      <c r="D180" s="458">
        <v>5.3625870448304136E-2</v>
      </c>
      <c r="E180" s="477">
        <v>22400518.037987784</v>
      </c>
      <c r="F180" s="458">
        <v>9.8185501019455224E-2</v>
      </c>
      <c r="G180" s="477">
        <v>76297897.371852085</v>
      </c>
      <c r="H180" s="458">
        <v>0.26208309632226579</v>
      </c>
      <c r="I180" s="468">
        <v>11.155066166137562</v>
      </c>
    </row>
    <row r="181" spans="1:9" ht="16.5" x14ac:dyDescent="0.3">
      <c r="A181" s="477">
        <v>2886840.1192109957</v>
      </c>
      <c r="B181" s="458">
        <v>4.579493931132661E-2</v>
      </c>
      <c r="C181" s="477">
        <v>7600577.7313181264</v>
      </c>
      <c r="D181" s="458">
        <v>5.5616640592238031E-2</v>
      </c>
      <c r="E181" s="477">
        <v>14162281.675870419</v>
      </c>
      <c r="F181" s="458">
        <v>7.8216817135825734E-2</v>
      </c>
      <c r="G181" s="477">
        <v>83272783.366003871</v>
      </c>
      <c r="H181" s="458">
        <v>0.26861729719715566</v>
      </c>
      <c r="I181" s="468">
        <v>9.3510579028259109</v>
      </c>
    </row>
    <row r="182" spans="1:9" ht="16.5" x14ac:dyDescent="0.3">
      <c r="A182" s="477">
        <v>4686114.2674980825</v>
      </c>
      <c r="B182" s="458">
        <v>3.4601906751825284E-2</v>
      </c>
      <c r="C182" s="477">
        <v>4516439.3929778421</v>
      </c>
      <c r="D182" s="458">
        <v>2.2475312062953501E-2</v>
      </c>
      <c r="E182" s="477">
        <v>11815670.58460178</v>
      </c>
      <c r="F182" s="458">
        <v>0.10763365785737444</v>
      </c>
      <c r="G182" s="477">
        <v>83345741.785800576</v>
      </c>
      <c r="H182" s="458">
        <v>0.25961395823583699</v>
      </c>
      <c r="I182" s="468">
        <v>6.537004522067825</v>
      </c>
    </row>
    <row r="183" spans="1:9" ht="16.5" x14ac:dyDescent="0.3">
      <c r="A183" s="477">
        <v>4814708.4223504923</v>
      </c>
      <c r="B183" s="458">
        <v>5.8837498165072111E-2</v>
      </c>
      <c r="C183" s="477">
        <v>6780222.3049330432</v>
      </c>
      <c r="D183" s="458">
        <v>6.5895843716325064E-2</v>
      </c>
      <c r="E183" s="477">
        <v>10774621.11411516</v>
      </c>
      <c r="F183" s="458">
        <v>0.10967687771631707</v>
      </c>
      <c r="G183" s="477">
        <v>111738994.59756446</v>
      </c>
      <c r="H183" s="458">
        <v>0.26959063524534344</v>
      </c>
      <c r="I183" s="468">
        <v>14.50896415356274</v>
      </c>
    </row>
    <row r="184" spans="1:9" ht="16.5" x14ac:dyDescent="0.3">
      <c r="A184" s="477">
        <v>6030701.8170772977</v>
      </c>
      <c r="B184" s="458">
        <v>8.1653991602566256E-2</v>
      </c>
      <c r="C184" s="477">
        <v>4790378.4276966471</v>
      </c>
      <c r="D184" s="458">
        <v>8.6826653805110565E-2</v>
      </c>
      <c r="E184" s="477">
        <v>18182553.8765762</v>
      </c>
      <c r="F184" s="458">
        <v>9.6210222048576988E-2</v>
      </c>
      <c r="G184" s="477">
        <v>96557541.57368131</v>
      </c>
      <c r="H184" s="458">
        <v>0.27575226652544882</v>
      </c>
      <c r="I184" s="468">
        <v>13.51144179152573</v>
      </c>
    </row>
    <row r="185" spans="1:9" ht="16.5" x14ac:dyDescent="0.3">
      <c r="A185" s="477">
        <v>7310604.6808137354</v>
      </c>
      <c r="B185" s="458">
        <v>4.6529832095978607E-2</v>
      </c>
      <c r="C185" s="477">
        <v>13601864.960281931</v>
      </c>
      <c r="D185" s="458">
        <v>6.4572762036746223E-2</v>
      </c>
      <c r="E185" s="477">
        <v>13535856.760742921</v>
      </c>
      <c r="F185" s="458">
        <v>9.8438138613429427E-2</v>
      </c>
      <c r="G185" s="477">
        <v>85100555.041233182</v>
      </c>
      <c r="H185" s="458">
        <v>0.26157016849251025</v>
      </c>
      <c r="I185" s="468">
        <v>9.0697463165737915</v>
      </c>
    </row>
    <row r="186" spans="1:9" ht="16.5" x14ac:dyDescent="0.3">
      <c r="A186" s="477">
        <v>3265554.6956888204</v>
      </c>
      <c r="B186" s="458">
        <v>2.565737175293159E-2</v>
      </c>
      <c r="C186" s="477">
        <v>4212797.5299087232</v>
      </c>
      <c r="D186" s="458">
        <v>8.957615146389708E-2</v>
      </c>
      <c r="E186" s="477">
        <v>14059138.504043976</v>
      </c>
      <c r="F186" s="458">
        <v>9.6729456813825054E-2</v>
      </c>
      <c r="G186" s="477">
        <v>98995977.655743003</v>
      </c>
      <c r="H186" s="458">
        <v>0.2626240505824593</v>
      </c>
      <c r="I186" s="468">
        <v>5.6824016109851936</v>
      </c>
    </row>
    <row r="187" spans="1:9" ht="16.5" x14ac:dyDescent="0.3">
      <c r="A187" s="477">
        <v>5809986.2420824766</v>
      </c>
      <c r="B187" s="458">
        <v>3.8025922145848989E-2</v>
      </c>
      <c r="C187" s="477">
        <v>8799777.5179557931</v>
      </c>
      <c r="D187" s="458">
        <v>7.3010907524192481E-2</v>
      </c>
      <c r="E187" s="477">
        <v>23943106.747487165</v>
      </c>
      <c r="F187" s="458">
        <v>0.11262739404038191</v>
      </c>
      <c r="G187" s="477">
        <v>104388315.3663246</v>
      </c>
      <c r="H187" s="458">
        <v>0.27359202407920113</v>
      </c>
      <c r="I187" s="468">
        <v>9.2689995434442238</v>
      </c>
    </row>
    <row r="188" spans="1:9" ht="16.5" x14ac:dyDescent="0.3">
      <c r="A188" s="477">
        <v>9737104.050795339</v>
      </c>
      <c r="B188" s="458">
        <v>3.5130730001892152E-2</v>
      </c>
      <c r="C188" s="477">
        <v>8462110.5181506872</v>
      </c>
      <c r="D188" s="458">
        <v>5.250805256671498E-2</v>
      </c>
      <c r="E188" s="477">
        <v>17149829.674716141</v>
      </c>
      <c r="F188" s="458">
        <v>0.11919660446386016</v>
      </c>
      <c r="G188" s="477">
        <v>83216417.029725328</v>
      </c>
      <c r="H188" s="458">
        <v>0.28826537533920216</v>
      </c>
      <c r="I188" s="468">
        <v>3.3020011909667435</v>
      </c>
    </row>
    <row r="189" spans="1:9" ht="16.5" x14ac:dyDescent="0.3">
      <c r="A189" s="477">
        <v>10126062.21518009</v>
      </c>
      <c r="B189" s="458">
        <v>4.4927888356623091E-2</v>
      </c>
      <c r="C189" s="477">
        <v>15166631.662939588</v>
      </c>
      <c r="D189" s="458">
        <v>7.6261122495372646E-2</v>
      </c>
      <c r="E189" s="477">
        <v>19524724.930875868</v>
      </c>
      <c r="F189" s="458">
        <v>0.10423743635652727</v>
      </c>
      <c r="G189" s="477">
        <v>98217448.003750399</v>
      </c>
      <c r="H189" s="458">
        <v>0.24506879093290657</v>
      </c>
      <c r="I189" s="468">
        <v>11.258228625864541</v>
      </c>
    </row>
    <row r="190" spans="1:9" ht="16.5" x14ac:dyDescent="0.3">
      <c r="A190" s="477">
        <v>4501437.6408766108</v>
      </c>
      <c r="B190" s="458">
        <v>4.4328639541672876E-2</v>
      </c>
      <c r="C190" s="477">
        <v>5938760.206167534</v>
      </c>
      <c r="D190" s="458">
        <v>7.6302534621099039E-2</v>
      </c>
      <c r="E190" s="477">
        <v>7840708.8001808468</v>
      </c>
      <c r="F190" s="458">
        <v>8.9247879539093189E-2</v>
      </c>
      <c r="G190" s="477">
        <v>92069952.815301433</v>
      </c>
      <c r="H190" s="458">
        <v>0.28358539474952882</v>
      </c>
      <c r="I190" s="468">
        <v>6.8204535620607292</v>
      </c>
    </row>
    <row r="191" spans="1:9" ht="16.5" x14ac:dyDescent="0.3">
      <c r="A191" s="477">
        <v>5871716.9604398934</v>
      </c>
      <c r="B191" s="458">
        <v>4.8684094478831152E-2</v>
      </c>
      <c r="C191" s="477">
        <v>8475918.3519619014</v>
      </c>
      <c r="D191" s="458">
        <v>6.7919022747195079E-2</v>
      </c>
      <c r="E191" s="477">
        <v>10911582.296566438</v>
      </c>
      <c r="F191" s="458">
        <v>0.16568797288080894</v>
      </c>
      <c r="G191" s="477">
        <v>80989572.40142113</v>
      </c>
      <c r="H191" s="458">
        <v>0.27033724370702372</v>
      </c>
      <c r="I191" s="468">
        <v>8.3439386401447191</v>
      </c>
    </row>
    <row r="192" spans="1:9" ht="16.5" x14ac:dyDescent="0.3">
      <c r="A192" s="477">
        <v>12150250.521916043</v>
      </c>
      <c r="B192" s="458">
        <v>4.0322256388379829E-2</v>
      </c>
      <c r="C192" s="477">
        <v>12562731.818927107</v>
      </c>
      <c r="D192" s="458">
        <v>5.217158318924553E-2</v>
      </c>
      <c r="E192" s="477">
        <v>18492625.573730558</v>
      </c>
      <c r="F192" s="458">
        <v>0.12754546666087085</v>
      </c>
      <c r="G192" s="477">
        <v>82727216.363832146</v>
      </c>
      <c r="H192" s="458">
        <v>0.26325070210071067</v>
      </c>
      <c r="I192" s="468">
        <v>10.496881837278675</v>
      </c>
    </row>
    <row r="193" spans="1:9" ht="16.5" x14ac:dyDescent="0.3">
      <c r="A193" s="477">
        <v>8675019.8919467982</v>
      </c>
      <c r="B193" s="458">
        <v>4.0822359612914028E-2</v>
      </c>
      <c r="C193" s="477">
        <v>15339866.043902243</v>
      </c>
      <c r="D193" s="458">
        <v>7.7704274580916222E-2</v>
      </c>
      <c r="E193" s="477">
        <v>15782296.07105094</v>
      </c>
      <c r="F193" s="458">
        <v>0.12949688490087286</v>
      </c>
      <c r="G193" s="477">
        <v>88993946.682470754</v>
      </c>
      <c r="H193" s="458">
        <v>0.27278239097935453</v>
      </c>
      <c r="I193" s="468">
        <v>10.859916682779055</v>
      </c>
    </row>
    <row r="194" spans="1:9" ht="16.5" x14ac:dyDescent="0.3">
      <c r="A194" s="477">
        <v>6668964.9773801463</v>
      </c>
      <c r="B194" s="458">
        <v>3.8094164342232117E-2</v>
      </c>
      <c r="C194" s="477">
        <v>10983316.971941121</v>
      </c>
      <c r="D194" s="458">
        <v>7.368522669279276E-2</v>
      </c>
      <c r="E194" s="477">
        <v>23341179.166091315</v>
      </c>
      <c r="F194" s="458">
        <v>0.12143096034661638</v>
      </c>
      <c r="G194" s="477">
        <v>102057769.87298901</v>
      </c>
      <c r="H194" s="458">
        <v>0.270484882308339</v>
      </c>
      <c r="I194" s="468">
        <v>9.6030011043158439</v>
      </c>
    </row>
    <row r="195" spans="1:9" ht="16.5" x14ac:dyDescent="0.3">
      <c r="A195" s="477">
        <v>5262837.3342539975</v>
      </c>
      <c r="B195" s="458">
        <v>4.6629814993145224E-2</v>
      </c>
      <c r="C195" s="477">
        <v>8777373.2406275235</v>
      </c>
      <c r="D195" s="458">
        <v>9.1225990508761567E-2</v>
      </c>
      <c r="E195" s="477">
        <v>12928990.860239437</v>
      </c>
      <c r="F195" s="458">
        <v>9.3063722518942571E-2</v>
      </c>
      <c r="G195" s="477">
        <v>94852860.624099448</v>
      </c>
      <c r="H195" s="458">
        <v>0.27698468482855421</v>
      </c>
      <c r="I195" s="468">
        <v>7.5569749530884378</v>
      </c>
    </row>
    <row r="196" spans="1:9" ht="16.5" x14ac:dyDescent="0.3">
      <c r="A196" s="477">
        <v>4604017.2502097934</v>
      </c>
      <c r="B196" s="458">
        <v>3.2106400690294912E-2</v>
      </c>
      <c r="C196" s="477">
        <v>13449654.224143855</v>
      </c>
      <c r="D196" s="458">
        <v>6.7187135536570519E-2</v>
      </c>
      <c r="E196" s="477">
        <v>13612296.630591342</v>
      </c>
      <c r="F196" s="458">
        <v>0.11102143352854732</v>
      </c>
      <c r="G196" s="477">
        <v>83378237.011277944</v>
      </c>
      <c r="H196" s="458">
        <v>0.26693263557030344</v>
      </c>
      <c r="I196" s="468">
        <v>11.46805651005741</v>
      </c>
    </row>
    <row r="197" spans="1:9" ht="16.5" x14ac:dyDescent="0.3">
      <c r="A197" s="477">
        <v>3273522.9971113992</v>
      </c>
      <c r="B197" s="458">
        <v>6.24672690679835E-2</v>
      </c>
      <c r="C197" s="477">
        <v>9236514.005107915</v>
      </c>
      <c r="D197" s="458">
        <v>5.3969774891339695E-2</v>
      </c>
      <c r="E197" s="477">
        <v>18149793.790640231</v>
      </c>
      <c r="F197" s="458">
        <v>0.10662973175361312</v>
      </c>
      <c r="G197" s="477">
        <v>93840107.459093094</v>
      </c>
      <c r="H197" s="458">
        <v>0.27636843583589932</v>
      </c>
      <c r="I197" s="468">
        <v>8.8491144094847289</v>
      </c>
    </row>
    <row r="198" spans="1:9" ht="16.5" x14ac:dyDescent="0.3">
      <c r="A198" s="477">
        <v>4654220.3607047694</v>
      </c>
      <c r="B198" s="458">
        <v>3.9573924008746264E-2</v>
      </c>
      <c r="C198" s="477">
        <v>8814837.717024317</v>
      </c>
      <c r="D198" s="458">
        <v>8.3346657530705359E-2</v>
      </c>
      <c r="E198" s="477">
        <v>10602138.969967119</v>
      </c>
      <c r="F198" s="458">
        <v>0.15463022557641959</v>
      </c>
      <c r="G198" s="477">
        <v>86127485.221155271</v>
      </c>
      <c r="H198" s="458">
        <v>0.26469621454949444</v>
      </c>
      <c r="I198" s="468">
        <v>7.9285350136114641</v>
      </c>
    </row>
    <row r="199" spans="1:9" ht="16.5" x14ac:dyDescent="0.3">
      <c r="A199" s="477">
        <v>-1742895.988363344</v>
      </c>
      <c r="B199" s="458">
        <v>2.6347670263644263E-2</v>
      </c>
      <c r="C199" s="477">
        <v>8906523.9560297132</v>
      </c>
      <c r="D199" s="458">
        <v>6.6504785806411393E-2</v>
      </c>
      <c r="E199" s="477">
        <v>13020223.251014713</v>
      </c>
      <c r="F199" s="458">
        <v>7.0360655451576548E-2</v>
      </c>
      <c r="G199" s="477">
        <v>85259467.466300294</v>
      </c>
      <c r="H199" s="458">
        <v>0.25420535147385825</v>
      </c>
      <c r="I199" s="468">
        <v>6.6168391993323876</v>
      </c>
    </row>
    <row r="200" spans="1:9" ht="16.5" x14ac:dyDescent="0.3">
      <c r="A200" s="477">
        <v>5127552.0311955679</v>
      </c>
      <c r="B200" s="458">
        <v>3.4508053759708224E-2</v>
      </c>
      <c r="C200" s="477">
        <v>547314.33436446532</v>
      </c>
      <c r="D200" s="458">
        <v>5.4312646592813651E-2</v>
      </c>
      <c r="E200" s="477">
        <v>20749761.491195418</v>
      </c>
      <c r="F200" s="458">
        <v>0.11547759560285753</v>
      </c>
      <c r="G200" s="477">
        <v>90051872.805466384</v>
      </c>
      <c r="H200" s="458">
        <v>0.30763871457678094</v>
      </c>
      <c r="I200" s="468">
        <v>7.5052904440190327</v>
      </c>
    </row>
    <row r="201" spans="1:9" ht="16.5" x14ac:dyDescent="0.3">
      <c r="A201" s="477">
        <v>8337250.161216232</v>
      </c>
      <c r="B201" s="458">
        <v>4.6854676591792099E-2</v>
      </c>
      <c r="C201" s="477">
        <v>8536799.4437101893</v>
      </c>
      <c r="D201" s="458">
        <v>8.3140138545582332E-2</v>
      </c>
      <c r="E201" s="477">
        <v>15550734.663020454</v>
      </c>
      <c r="F201" s="458">
        <v>8.6827331544605535E-2</v>
      </c>
      <c r="G201" s="477">
        <v>80960172.896951765</v>
      </c>
      <c r="H201" s="458">
        <v>0.27510109291767781</v>
      </c>
      <c r="I201" s="468">
        <v>12.585174724775836</v>
      </c>
    </row>
    <row r="202" spans="1:9" ht="16.5" x14ac:dyDescent="0.3">
      <c r="A202" s="477">
        <v>8922918.6037929934</v>
      </c>
      <c r="B202" s="458">
        <v>4.3710370856868908E-2</v>
      </c>
      <c r="C202" s="477">
        <v>5065225.2479914268</v>
      </c>
      <c r="D202" s="458">
        <v>5.0379539966394216E-2</v>
      </c>
      <c r="E202" s="477">
        <v>16763545.838087825</v>
      </c>
      <c r="F202" s="458">
        <v>9.4410704747232677E-2</v>
      </c>
      <c r="G202" s="477">
        <v>97218280.896836326</v>
      </c>
      <c r="H202" s="458">
        <v>0.27512539606630804</v>
      </c>
      <c r="I202" s="468">
        <v>12.882459425111488</v>
      </c>
    </row>
    <row r="203" spans="1:9" ht="16.5" x14ac:dyDescent="0.3">
      <c r="A203" s="477">
        <v>7312203.5007178048</v>
      </c>
      <c r="B203" s="458">
        <v>3.7548796673873008E-2</v>
      </c>
      <c r="C203" s="477">
        <v>5530735.7903124793</v>
      </c>
      <c r="D203" s="458">
        <v>7.5484356587919521E-2</v>
      </c>
      <c r="E203" s="477">
        <v>22588703.442416213</v>
      </c>
      <c r="F203" s="458">
        <v>0.1382079639896765</v>
      </c>
      <c r="G203" s="477">
        <v>76646594.646935791</v>
      </c>
      <c r="H203" s="458">
        <v>0.25542505856532616</v>
      </c>
      <c r="I203" s="468">
        <v>8.5066157664912758</v>
      </c>
    </row>
    <row r="204" spans="1:9" ht="16.5" x14ac:dyDescent="0.3">
      <c r="A204" s="477">
        <v>2265274.3251986946</v>
      </c>
      <c r="B204" s="458">
        <v>3.8021338730911181E-2</v>
      </c>
      <c r="C204" s="477">
        <v>9528714.736093577</v>
      </c>
      <c r="D204" s="458">
        <v>7.0627824736777534E-2</v>
      </c>
      <c r="E204" s="477">
        <v>17217362.997939631</v>
      </c>
      <c r="F204" s="458">
        <v>9.2382072499100687E-2</v>
      </c>
      <c r="G204" s="477">
        <v>104855780.46478416</v>
      </c>
      <c r="H204" s="458">
        <v>0.29165220278002812</v>
      </c>
      <c r="I204" s="468">
        <v>7.0553779087858803</v>
      </c>
    </row>
    <row r="205" spans="1:9" ht="16.5" x14ac:dyDescent="0.3">
      <c r="A205" s="477">
        <v>4835838.3492005728</v>
      </c>
      <c r="B205" s="458">
        <v>3.4162720948361702E-2</v>
      </c>
      <c r="C205" s="477">
        <v>10116865.496509638</v>
      </c>
      <c r="D205" s="458">
        <v>9.5745099472270834E-2</v>
      </c>
      <c r="E205" s="477">
        <v>14591652.915636485</v>
      </c>
      <c r="F205" s="458">
        <v>0.12424684807842556</v>
      </c>
      <c r="G205" s="477">
        <v>103004103.86070831</v>
      </c>
      <c r="H205" s="458">
        <v>0.27864004535395348</v>
      </c>
      <c r="I205" s="468">
        <v>12.858370799472432</v>
      </c>
    </row>
    <row r="206" spans="1:9" ht="16.5" x14ac:dyDescent="0.3">
      <c r="A206" s="477">
        <v>1776711.2385091519</v>
      </c>
      <c r="B206" s="458">
        <v>4.2922013315133123E-2</v>
      </c>
      <c r="C206" s="477">
        <v>8475959.4043220095</v>
      </c>
      <c r="D206" s="458">
        <v>8.1294033271110067E-2</v>
      </c>
      <c r="E206" s="477">
        <v>15543943.680832593</v>
      </c>
      <c r="F206" s="458">
        <v>6.3961331544312827E-2</v>
      </c>
      <c r="G206" s="477">
        <v>80959272.123782963</v>
      </c>
      <c r="H206" s="458">
        <v>0.2999253312550163</v>
      </c>
      <c r="I206" s="468">
        <v>4.942086223698066</v>
      </c>
    </row>
    <row r="207" spans="1:9" ht="16.5" x14ac:dyDescent="0.3">
      <c r="A207" s="477">
        <v>6053376.389942701</v>
      </c>
      <c r="B207" s="458">
        <v>4.0192648300451994E-2</v>
      </c>
      <c r="C207" s="477">
        <v>10109733.243947115</v>
      </c>
      <c r="D207" s="458">
        <v>3.7784254006961948E-2</v>
      </c>
      <c r="E207" s="477">
        <v>16912494.394406397</v>
      </c>
      <c r="F207" s="458">
        <v>0.10763896212980306</v>
      </c>
      <c r="G207" s="477">
        <v>98846370.267897055</v>
      </c>
      <c r="H207" s="458">
        <v>0.29476835731016826</v>
      </c>
      <c r="I207" s="468">
        <v>3.4152357614020117</v>
      </c>
    </row>
    <row r="208" spans="1:9" ht="16.5" x14ac:dyDescent="0.3">
      <c r="A208" s="477">
        <v>6742164.5832770793</v>
      </c>
      <c r="B208" s="458">
        <v>3.1606620099535965E-2</v>
      </c>
      <c r="C208" s="477">
        <v>7130817.1910087122</v>
      </c>
      <c r="D208" s="458">
        <v>8.7503213029680893E-2</v>
      </c>
      <c r="E208" s="477">
        <v>28842477.119360596</v>
      </c>
      <c r="F208" s="458">
        <v>9.9761053272831912E-2</v>
      </c>
      <c r="G208" s="477">
        <v>105381407.97458503</v>
      </c>
      <c r="H208" s="458">
        <v>0.30856067365391326</v>
      </c>
      <c r="I208" s="468">
        <v>9.4914433923063886</v>
      </c>
    </row>
    <row r="209" spans="1:9" ht="16.5" x14ac:dyDescent="0.3">
      <c r="A209" s="477">
        <v>11946853.355999719</v>
      </c>
      <c r="B209" s="458">
        <v>4.6419466198752257E-2</v>
      </c>
      <c r="C209" s="477">
        <v>7364886.144164308</v>
      </c>
      <c r="D209" s="458">
        <v>7.3500547303789077E-2</v>
      </c>
      <c r="E209" s="477">
        <v>15542948.628912548</v>
      </c>
      <c r="F209" s="458">
        <v>9.3617296205507072E-2</v>
      </c>
      <c r="G209" s="477">
        <v>87419086.181634292</v>
      </c>
      <c r="H209" s="458">
        <v>0.26226193301597323</v>
      </c>
      <c r="I209" s="468">
        <v>0.5163105397464518</v>
      </c>
    </row>
    <row r="210" spans="1:9" ht="16.5" x14ac:dyDescent="0.3">
      <c r="A210" s="477">
        <v>6275552.8661020501</v>
      </c>
      <c r="B210" s="458">
        <v>7.1963186180882044E-2</v>
      </c>
      <c r="C210" s="477">
        <v>7181233.9055934381</v>
      </c>
      <c r="D210" s="458">
        <v>6.7943667758211701E-2</v>
      </c>
      <c r="E210" s="477">
        <v>17505555.257544421</v>
      </c>
      <c r="F210" s="458">
        <v>0.10402967006570529</v>
      </c>
      <c r="G210" s="477">
        <v>95585920.886312872</v>
      </c>
      <c r="H210" s="458">
        <v>0.26964034866757602</v>
      </c>
      <c r="I210" s="468">
        <v>14.709359248019094</v>
      </c>
    </row>
    <row r="211" spans="1:9" ht="16.5" x14ac:dyDescent="0.3">
      <c r="A211" s="477">
        <v>3456617.4388415203</v>
      </c>
      <c r="B211" s="458">
        <v>3.0011912481447967E-2</v>
      </c>
      <c r="C211" s="477">
        <v>10605699.187168371</v>
      </c>
      <c r="D211" s="458">
        <v>8.3088785819764421E-2</v>
      </c>
      <c r="E211" s="477">
        <v>13714513.829153979</v>
      </c>
      <c r="F211" s="458">
        <v>9.9052890955773965E-2</v>
      </c>
      <c r="G211" s="477">
        <v>89216245.189917967</v>
      </c>
      <c r="H211" s="458">
        <v>0.25965259585250755</v>
      </c>
      <c r="I211" s="468">
        <v>10.294268962042542</v>
      </c>
    </row>
    <row r="212" spans="1:9" ht="16.5" x14ac:dyDescent="0.3">
      <c r="A212" s="477">
        <v>6424435.2382628284</v>
      </c>
      <c r="B212" s="458">
        <v>5.1284830922282643E-2</v>
      </c>
      <c r="C212" s="477">
        <v>6072479.5869400259</v>
      </c>
      <c r="D212" s="458">
        <v>5.0700890010275446E-2</v>
      </c>
      <c r="E212" s="477">
        <v>14820929.912300734</v>
      </c>
      <c r="F212" s="458">
        <v>0.10121383704529241</v>
      </c>
      <c r="G212" s="477">
        <v>89205967.297288939</v>
      </c>
      <c r="H212" s="458">
        <v>0.25587537639394031</v>
      </c>
      <c r="I212" s="468">
        <v>7.7810570051372778</v>
      </c>
    </row>
    <row r="213" spans="1:9" ht="16.5" x14ac:dyDescent="0.3">
      <c r="A213" s="477">
        <v>3735309.8384995768</v>
      </c>
      <c r="B213" s="458">
        <v>5.6075344155930962E-2</v>
      </c>
      <c r="C213" s="477">
        <v>15554957.932532843</v>
      </c>
      <c r="D213" s="458">
        <v>3.4505843972714612E-2</v>
      </c>
      <c r="E213" s="477">
        <v>13368186.743860792</v>
      </c>
      <c r="F213" s="458">
        <v>0.11963203516103427</v>
      </c>
      <c r="G213" s="477">
        <v>87879762.628621012</v>
      </c>
      <c r="H213" s="458">
        <v>0.24986951635141397</v>
      </c>
      <c r="I213" s="468">
        <v>8.6535346340838739</v>
      </c>
    </row>
    <row r="214" spans="1:9" ht="16.5" x14ac:dyDescent="0.3">
      <c r="A214" s="477">
        <v>8524402.3907720726</v>
      </c>
      <c r="B214" s="458">
        <v>2.8179866007183474E-2</v>
      </c>
      <c r="C214" s="477">
        <v>14026178.886732014</v>
      </c>
      <c r="D214" s="458">
        <v>6.7190076705903046E-2</v>
      </c>
      <c r="E214" s="477">
        <v>18361749.723957408</v>
      </c>
      <c r="F214" s="458">
        <v>0.14884655560537752</v>
      </c>
      <c r="G214" s="477">
        <v>88559124.373246536</v>
      </c>
      <c r="H214" s="458">
        <v>0.2665791819581218</v>
      </c>
      <c r="I214" s="468">
        <v>13.514478901645742</v>
      </c>
    </row>
    <row r="215" spans="1:9" ht="16.5" x14ac:dyDescent="0.3">
      <c r="A215" s="477">
        <v>4739723.9143625367</v>
      </c>
      <c r="B215" s="458">
        <v>5.7066721279628307E-2</v>
      </c>
      <c r="C215" s="477">
        <v>12645177.443957893</v>
      </c>
      <c r="D215" s="458">
        <v>6.223444753454821E-2</v>
      </c>
      <c r="E215" s="477">
        <v>15247908.547131471</v>
      </c>
      <c r="F215" s="458">
        <v>0.11439648853746154</v>
      </c>
      <c r="G215" s="477">
        <v>95419721.515390813</v>
      </c>
      <c r="H215" s="458">
        <v>0.2598644382187254</v>
      </c>
      <c r="I215" s="468">
        <v>8.6679633181853273</v>
      </c>
    </row>
    <row r="216" spans="1:9" ht="16.5" x14ac:dyDescent="0.3">
      <c r="A216" s="477">
        <v>9471672.0566733349</v>
      </c>
      <c r="B216" s="458">
        <v>4.8505613121634594E-2</v>
      </c>
      <c r="C216" s="477">
        <v>8838861.0632378329</v>
      </c>
      <c r="D216" s="458">
        <v>7.9894473982760061E-2</v>
      </c>
      <c r="E216" s="477">
        <v>15752554.145209448</v>
      </c>
      <c r="F216" s="458">
        <v>8.8087473540526817E-2</v>
      </c>
      <c r="G216" s="477">
        <v>85976481.313781291</v>
      </c>
      <c r="H216" s="458">
        <v>0.27018846091543991</v>
      </c>
      <c r="I216" s="468">
        <v>8.2850309529637656</v>
      </c>
    </row>
    <row r="217" spans="1:9" ht="16.5" x14ac:dyDescent="0.3">
      <c r="A217" s="477">
        <v>7190336.173485131</v>
      </c>
      <c r="B217" s="458">
        <v>5.6040631541572017E-2</v>
      </c>
      <c r="C217" s="477">
        <v>13352176.714463737</v>
      </c>
      <c r="D217" s="458">
        <v>5.7405079460258968E-2</v>
      </c>
      <c r="E217" s="477">
        <v>17519711.854132921</v>
      </c>
      <c r="F217" s="458">
        <v>0.12152650369420703</v>
      </c>
      <c r="G217" s="477">
        <v>97951449.868301719</v>
      </c>
      <c r="H217" s="458">
        <v>0.25577894952952929</v>
      </c>
      <c r="I217" s="468">
        <v>10.646280900217173</v>
      </c>
    </row>
    <row r="218" spans="1:9" ht="16.5" x14ac:dyDescent="0.3">
      <c r="A218" s="477">
        <v>4286517.7901110901</v>
      </c>
      <c r="B218" s="458">
        <v>2.1627825980526261E-2</v>
      </c>
      <c r="C218" s="477">
        <v>6503126.6880397554</v>
      </c>
      <c r="D218" s="458">
        <v>6.6464151503918156E-2</v>
      </c>
      <c r="E218" s="477">
        <v>14776524.276735136</v>
      </c>
      <c r="F218" s="458">
        <v>0.11786472913916102</v>
      </c>
      <c r="G218" s="477">
        <v>84811386.523654982</v>
      </c>
      <c r="H218" s="458">
        <v>0.29010403430073461</v>
      </c>
      <c r="I218" s="468">
        <v>12.614670148195277</v>
      </c>
    </row>
    <row r="219" spans="1:9" ht="16.5" x14ac:dyDescent="0.3">
      <c r="A219" s="477">
        <v>5343379.8045704551</v>
      </c>
      <c r="B219" s="458">
        <v>4.0361851988954367E-2</v>
      </c>
      <c r="C219" s="477">
        <v>9561301.3056449555</v>
      </c>
      <c r="D219" s="458">
        <v>6.8327359662718967E-2</v>
      </c>
      <c r="E219" s="477">
        <v>6747542.4183538724</v>
      </c>
      <c r="F219" s="458">
        <v>0.1102364103407707</v>
      </c>
      <c r="G219" s="477">
        <v>100655564.52944884</v>
      </c>
      <c r="H219" s="458">
        <v>0.27728310693186398</v>
      </c>
      <c r="I219" s="468">
        <v>8.7708435901368382</v>
      </c>
    </row>
    <row r="220" spans="1:9" ht="16.5" x14ac:dyDescent="0.3">
      <c r="A220" s="477">
        <v>6728083.1943652416</v>
      </c>
      <c r="B220" s="458">
        <v>4.801353394314023E-2</v>
      </c>
      <c r="C220" s="477">
        <v>9132913.2184081636</v>
      </c>
      <c r="D220" s="458">
        <v>6.6876884261539038E-2</v>
      </c>
      <c r="E220" s="477">
        <v>14900807.604837747</v>
      </c>
      <c r="F220" s="458">
        <v>9.075247897826122E-2</v>
      </c>
      <c r="G220" s="477">
        <v>90978637.422866762</v>
      </c>
      <c r="H220" s="458">
        <v>0.2496019654335786</v>
      </c>
      <c r="I220" s="468">
        <v>17.398784222216669</v>
      </c>
    </row>
    <row r="221" spans="1:9" ht="16.5" x14ac:dyDescent="0.3">
      <c r="A221" s="477">
        <v>3042718.2588118631</v>
      </c>
      <c r="B221" s="458">
        <v>2.6822781542263696E-2</v>
      </c>
      <c r="C221" s="477">
        <v>14052627.806800175</v>
      </c>
      <c r="D221" s="458">
        <v>8.1782601314475345E-2</v>
      </c>
      <c r="E221" s="477">
        <v>16355107.822247723</v>
      </c>
      <c r="F221" s="458">
        <v>0.11849820839944147</v>
      </c>
      <c r="G221" s="477">
        <v>87958696.979351968</v>
      </c>
      <c r="H221" s="458">
        <v>0.29353535892200378</v>
      </c>
      <c r="I221" s="468">
        <v>10.72173920864115</v>
      </c>
    </row>
    <row r="222" spans="1:9" ht="16.5" x14ac:dyDescent="0.3">
      <c r="A222" s="477">
        <v>3727540.042715102</v>
      </c>
      <c r="B222" s="458">
        <v>2.5237614920875062E-2</v>
      </c>
      <c r="C222" s="477">
        <v>11735612.879246205</v>
      </c>
      <c r="D222" s="458">
        <v>9.1316322730762289E-2</v>
      </c>
      <c r="E222" s="477">
        <v>21093635.044189014</v>
      </c>
      <c r="F222" s="458">
        <v>0.11216506138268434</v>
      </c>
      <c r="G222" s="477">
        <v>88160638.628102541</v>
      </c>
      <c r="H222" s="458">
        <v>0.2465383513213919</v>
      </c>
      <c r="I222" s="468">
        <v>11.302933180023331</v>
      </c>
    </row>
    <row r="223" spans="1:9" ht="16.5" x14ac:dyDescent="0.3">
      <c r="A223" s="477">
        <v>2475248.5745517001</v>
      </c>
      <c r="B223" s="458">
        <v>3.1686831381125824E-2</v>
      </c>
      <c r="C223" s="477">
        <v>8835347.6115831565</v>
      </c>
      <c r="D223" s="458">
        <v>6.4652950611304716E-2</v>
      </c>
      <c r="E223" s="477">
        <v>22150586.888456419</v>
      </c>
      <c r="F223" s="458">
        <v>0.11472994413363424</v>
      </c>
      <c r="G223" s="477">
        <v>92090087.105040789</v>
      </c>
      <c r="H223" s="458">
        <v>0.27957950291550593</v>
      </c>
      <c r="I223" s="468">
        <v>4.1454778167581701</v>
      </c>
    </row>
    <row r="224" spans="1:9" ht="16.5" x14ac:dyDescent="0.3">
      <c r="A224" s="477">
        <v>10490243.080881946</v>
      </c>
      <c r="B224" s="458">
        <v>3.2482626933952652E-2</v>
      </c>
      <c r="C224" s="477">
        <v>5906987.0154390428</v>
      </c>
      <c r="D224" s="458">
        <v>6.5622610719253682E-2</v>
      </c>
      <c r="E224" s="477">
        <v>19907441.734758511</v>
      </c>
      <c r="F224" s="458">
        <v>0.1240194157459622</v>
      </c>
      <c r="G224" s="477">
        <v>93870942.737299725</v>
      </c>
      <c r="H224" s="458">
        <v>0.28420817934382447</v>
      </c>
      <c r="I224" s="468">
        <v>6.1892468477285441</v>
      </c>
    </row>
    <row r="225" spans="1:9" ht="16.5" x14ac:dyDescent="0.3">
      <c r="A225" s="477">
        <v>7713658.0860920176</v>
      </c>
      <c r="B225" s="458">
        <v>3.6237095443144796E-2</v>
      </c>
      <c r="C225" s="477">
        <v>5715732.9855410671</v>
      </c>
      <c r="D225" s="458">
        <v>7.0495131566028046E-2</v>
      </c>
      <c r="E225" s="477">
        <v>22618824.879392002</v>
      </c>
      <c r="F225" s="458">
        <v>0.10635916686128422</v>
      </c>
      <c r="G225" s="477">
        <v>98360535.196910113</v>
      </c>
      <c r="H225" s="458">
        <v>0.27819839640570909</v>
      </c>
      <c r="I225" s="468">
        <v>10.746144236461786</v>
      </c>
    </row>
    <row r="226" spans="1:9" ht="16.5" x14ac:dyDescent="0.3">
      <c r="A226" s="477">
        <v>6750016.655172714</v>
      </c>
      <c r="B226" s="458">
        <v>2.7495462191523767E-2</v>
      </c>
      <c r="C226" s="477">
        <v>9222428.5427249391</v>
      </c>
      <c r="D226" s="458">
        <v>8.1888256823333672E-2</v>
      </c>
      <c r="E226" s="477">
        <v>9026260.1822784171</v>
      </c>
      <c r="F226" s="458">
        <v>0.1063458432311426</v>
      </c>
      <c r="G226" s="477">
        <v>87068026.171265334</v>
      </c>
      <c r="H226" s="458">
        <v>0.27912412826425514</v>
      </c>
      <c r="I226" s="468">
        <v>8.0866141613744258</v>
      </c>
    </row>
    <row r="227" spans="1:9" ht="16.5" x14ac:dyDescent="0.3">
      <c r="A227" s="477">
        <v>-1390508.4188315913</v>
      </c>
      <c r="B227" s="458">
        <v>4.2949318895564081E-2</v>
      </c>
      <c r="C227" s="477">
        <v>10686961.354479844</v>
      </c>
      <c r="D227" s="458">
        <v>6.1020187482192068E-2</v>
      </c>
      <c r="E227" s="477">
        <v>22630671.356343616</v>
      </c>
      <c r="F227" s="458">
        <v>0.10181811033710142</v>
      </c>
      <c r="G227" s="477">
        <v>79499575.2298792</v>
      </c>
      <c r="H227" s="458">
        <v>0.25747944168138748</v>
      </c>
      <c r="I227" s="468">
        <v>7.7043767841822106</v>
      </c>
    </row>
    <row r="228" spans="1:9" ht="16.5" x14ac:dyDescent="0.3">
      <c r="A228" s="477">
        <v>4906893.8110432215</v>
      </c>
      <c r="B228" s="458">
        <v>3.6249709322607959E-2</v>
      </c>
      <c r="C228" s="477">
        <v>5254488.9502591835</v>
      </c>
      <c r="D228" s="458">
        <v>6.4495475299878313E-2</v>
      </c>
      <c r="E228" s="477">
        <v>24270367.66655232</v>
      </c>
      <c r="F228" s="458">
        <v>0.1016451076140108</v>
      </c>
      <c r="G228" s="477">
        <v>82934681.244251132</v>
      </c>
      <c r="H228" s="458">
        <v>0.26691409710055347</v>
      </c>
      <c r="I228" s="468">
        <v>3.4574993578464097</v>
      </c>
    </row>
    <row r="229" spans="1:9" ht="16.5" x14ac:dyDescent="0.3">
      <c r="A229" s="477">
        <v>4888626.7958951788</v>
      </c>
      <c r="B229" s="458">
        <v>3.4220666820689249E-2</v>
      </c>
      <c r="C229" s="477">
        <v>6228418.1638739565</v>
      </c>
      <c r="D229" s="458">
        <v>9.8615000312364476E-2</v>
      </c>
      <c r="E229" s="477">
        <v>21435959.430296969</v>
      </c>
      <c r="F229" s="458">
        <v>0.10528235092861116</v>
      </c>
      <c r="G229" s="477">
        <v>89375713.945097342</v>
      </c>
      <c r="H229" s="458">
        <v>0.26374256764538506</v>
      </c>
      <c r="I229" s="468">
        <v>13.183944226901723</v>
      </c>
    </row>
    <row r="230" spans="1:9" ht="16.5" x14ac:dyDescent="0.3">
      <c r="A230" s="477">
        <v>5112077.6833298728</v>
      </c>
      <c r="B230" s="458">
        <v>4.3992132058352285E-2</v>
      </c>
      <c r="C230" s="477">
        <v>2248415.2534390166</v>
      </c>
      <c r="D230" s="458">
        <v>7.7852605587828583E-2</v>
      </c>
      <c r="E230" s="477">
        <v>17246053.665076707</v>
      </c>
      <c r="F230" s="458">
        <v>0.1259087850645817</v>
      </c>
      <c r="G230" s="477">
        <v>85653201.134201556</v>
      </c>
      <c r="H230" s="458">
        <v>0.27569649797840823</v>
      </c>
      <c r="I230" s="468">
        <v>9.2006496365382198</v>
      </c>
    </row>
    <row r="231" spans="1:9" ht="16.5" x14ac:dyDescent="0.3">
      <c r="A231" s="477">
        <v>3361701.5078106788</v>
      </c>
      <c r="B231" s="458">
        <v>4.3348671157170449E-2</v>
      </c>
      <c r="C231" s="477">
        <v>8262162.9894100232</v>
      </c>
      <c r="D231" s="458">
        <v>6.3765034944425425E-2</v>
      </c>
      <c r="E231" s="477">
        <v>14034065.889091836</v>
      </c>
      <c r="F231" s="458">
        <v>0.12475899068043428</v>
      </c>
      <c r="G231" s="477">
        <v>84612359.03789629</v>
      </c>
      <c r="H231" s="458">
        <v>0.2749832020863221</v>
      </c>
      <c r="I231" s="468">
        <v>7.9592593753301584</v>
      </c>
    </row>
    <row r="232" spans="1:9" ht="16.5" x14ac:dyDescent="0.3">
      <c r="A232" s="477">
        <v>5093242.4157650005</v>
      </c>
      <c r="B232" s="458">
        <v>5.1239770726779987E-2</v>
      </c>
      <c r="C232" s="477">
        <v>9954377.126242863</v>
      </c>
      <c r="D232" s="458">
        <v>7.072190333604933E-2</v>
      </c>
      <c r="E232" s="477">
        <v>17634778.941526048</v>
      </c>
      <c r="F232" s="458">
        <v>0.12433102045511424</v>
      </c>
      <c r="G232" s="477">
        <v>80381856.842053428</v>
      </c>
      <c r="H232" s="458">
        <v>0.28837048260481812</v>
      </c>
      <c r="I232" s="468">
        <v>9.9657568195394894</v>
      </c>
    </row>
    <row r="233" spans="1:9" ht="16.5" x14ac:dyDescent="0.3">
      <c r="A233" s="477">
        <v>7103772.5919766398</v>
      </c>
      <c r="B233" s="458">
        <v>4.8626359269788422E-2</v>
      </c>
      <c r="C233" s="477">
        <v>12407029.51380242</v>
      </c>
      <c r="D233" s="458">
        <v>7.6822106992207262E-2</v>
      </c>
      <c r="E233" s="477">
        <v>15095153.860521136</v>
      </c>
      <c r="F233" s="458">
        <v>0.11557089066080928</v>
      </c>
      <c r="G233" s="477">
        <v>82736575.793845281</v>
      </c>
      <c r="H233" s="458">
        <v>0.27825173705432071</v>
      </c>
      <c r="I233" s="468">
        <v>7.8285988607430959</v>
      </c>
    </row>
    <row r="234" spans="1:9" ht="16.5" x14ac:dyDescent="0.3">
      <c r="A234" s="477">
        <v>-791568.8082045468</v>
      </c>
      <c r="B234" s="458">
        <v>4.6191256274117576E-2</v>
      </c>
      <c r="C234" s="477">
        <v>6203864.9456620105</v>
      </c>
      <c r="D234" s="458">
        <v>6.9883226489565464E-2</v>
      </c>
      <c r="E234" s="477">
        <v>15642042.314163772</v>
      </c>
      <c r="F234" s="458">
        <v>0.11325285406911556</v>
      </c>
      <c r="G234" s="477">
        <v>87404464.807005048</v>
      </c>
      <c r="H234" s="458">
        <v>0.2656327805770935</v>
      </c>
      <c r="I234" s="468">
        <v>8.1639946364000124</v>
      </c>
    </row>
    <row r="235" spans="1:9" ht="16.5" x14ac:dyDescent="0.3">
      <c r="A235" s="477">
        <v>9437006.4874049649</v>
      </c>
      <c r="B235" s="458">
        <v>4.0459950646967835E-2</v>
      </c>
      <c r="C235" s="477">
        <v>3487229.5680016414</v>
      </c>
      <c r="D235" s="458">
        <v>6.823291814091359E-2</v>
      </c>
      <c r="E235" s="477">
        <v>10594404.73628382</v>
      </c>
      <c r="F235" s="458">
        <v>0.12028799280449443</v>
      </c>
      <c r="G235" s="477">
        <v>94703102.06852591</v>
      </c>
      <c r="H235" s="458">
        <v>0.2799118838358341</v>
      </c>
      <c r="I235" s="468">
        <v>2.3863369231376605</v>
      </c>
    </row>
    <row r="236" spans="1:9" ht="16.5" x14ac:dyDescent="0.3">
      <c r="A236" s="477">
        <v>2993796.0788857043</v>
      </c>
      <c r="B236" s="458">
        <v>3.9365665546340134E-2</v>
      </c>
      <c r="C236" s="477">
        <v>10647581.555289067</v>
      </c>
      <c r="D236" s="458">
        <v>4.3810328271191024E-2</v>
      </c>
      <c r="E236" s="477">
        <v>14322329.949100159</v>
      </c>
      <c r="F236" s="458">
        <v>9.392660449234902E-2</v>
      </c>
      <c r="G236" s="477">
        <v>84257448.347588092</v>
      </c>
      <c r="H236" s="458">
        <v>0.27033906315485745</v>
      </c>
      <c r="I236" s="468">
        <v>8.1043441445657702</v>
      </c>
    </row>
    <row r="237" spans="1:9" ht="16.5" x14ac:dyDescent="0.3">
      <c r="A237" s="477">
        <v>5549812.3700713841</v>
      </c>
      <c r="B237" s="458">
        <v>3.8747072585239684E-2</v>
      </c>
      <c r="C237" s="477">
        <v>6529978.6073688557</v>
      </c>
      <c r="D237" s="458">
        <v>7.315257074173398E-2</v>
      </c>
      <c r="E237" s="477">
        <v>18092464.848603725</v>
      </c>
      <c r="F237" s="458">
        <v>0.12861231790457128</v>
      </c>
      <c r="G237" s="477">
        <v>83292209.261403069</v>
      </c>
      <c r="H237" s="458">
        <v>0.26248853443477782</v>
      </c>
      <c r="I237" s="468">
        <v>10.990507328168253</v>
      </c>
    </row>
    <row r="238" spans="1:9" ht="16.5" x14ac:dyDescent="0.3">
      <c r="A238" s="477">
        <v>7742912.6106626038</v>
      </c>
      <c r="B238" s="458">
        <v>7.1214526658524013E-2</v>
      </c>
      <c r="C238" s="477">
        <v>2036387.6443657188</v>
      </c>
      <c r="D238" s="458">
        <v>0.10389075172147888</v>
      </c>
      <c r="E238" s="477">
        <v>7307278.0211002929</v>
      </c>
      <c r="F238" s="458">
        <v>8.9302269534853096E-2</v>
      </c>
      <c r="G238" s="477">
        <v>81222806.703975528</v>
      </c>
      <c r="H238" s="458">
        <v>0.27735042299618784</v>
      </c>
      <c r="I238" s="468">
        <v>8.4172193156415194</v>
      </c>
    </row>
    <row r="239" spans="1:9" ht="16.5" x14ac:dyDescent="0.3">
      <c r="A239" s="477">
        <v>8037206.1695253151</v>
      </c>
      <c r="B239" s="458">
        <v>3.1467313421237986E-2</v>
      </c>
      <c r="C239" s="477">
        <v>10629099.461105397</v>
      </c>
      <c r="D239" s="458">
        <v>8.5871705123078623E-2</v>
      </c>
      <c r="E239" s="477">
        <v>16324328.545460572</v>
      </c>
      <c r="F239" s="458">
        <v>0.10362348658071818</v>
      </c>
      <c r="G239" s="477">
        <v>93623514.162105471</v>
      </c>
      <c r="H239" s="458">
        <v>0.2643914943269543</v>
      </c>
      <c r="I239" s="468">
        <v>5.3499312974221649</v>
      </c>
    </row>
    <row r="240" spans="1:9" ht="16.5" x14ac:dyDescent="0.3">
      <c r="A240" s="477">
        <v>6943523.8921053298</v>
      </c>
      <c r="B240" s="458">
        <v>3.7146847836986074E-2</v>
      </c>
      <c r="C240" s="477">
        <v>10877065.167806474</v>
      </c>
      <c r="D240" s="458">
        <v>7.9414939259443873E-2</v>
      </c>
      <c r="E240" s="477">
        <v>14122214.414348939</v>
      </c>
      <c r="F240" s="458">
        <v>0.11588357791232973</v>
      </c>
      <c r="G240" s="477">
        <v>86700880.905906916</v>
      </c>
      <c r="H240" s="458">
        <v>0.25579019249368207</v>
      </c>
      <c r="I240" s="468">
        <v>5.8278098244120855</v>
      </c>
    </row>
    <row r="241" spans="1:9" ht="16.5" x14ac:dyDescent="0.3">
      <c r="A241" s="477">
        <v>5552260.2872751392</v>
      </c>
      <c r="B241" s="458">
        <v>3.792527485701247E-2</v>
      </c>
      <c r="C241" s="477">
        <v>6195108.0848195637</v>
      </c>
      <c r="D241" s="458">
        <v>7.2846326274317974E-2</v>
      </c>
      <c r="E241" s="477">
        <v>13620857.491375759</v>
      </c>
      <c r="F241" s="458">
        <v>0.13136572070428665</v>
      </c>
      <c r="G241" s="477">
        <v>93564217.754196003</v>
      </c>
      <c r="H241" s="458">
        <v>0.26864652577822934</v>
      </c>
      <c r="I241" s="468">
        <v>9.9296079082312882</v>
      </c>
    </row>
    <row r="242" spans="1:9" ht="16.5" x14ac:dyDescent="0.3">
      <c r="A242" s="477">
        <v>4308891.6066797907</v>
      </c>
      <c r="B242" s="458">
        <v>6.8768817563503504E-2</v>
      </c>
      <c r="C242" s="477">
        <v>9530489.2632728443</v>
      </c>
      <c r="D242" s="458">
        <v>8.5609391504354759E-2</v>
      </c>
      <c r="E242" s="477">
        <v>21339145.567309141</v>
      </c>
      <c r="F242" s="458">
        <v>0.1209640150878839</v>
      </c>
      <c r="G242" s="477">
        <v>91443534.167900339</v>
      </c>
      <c r="H242" s="458">
        <v>0.25966231249282812</v>
      </c>
      <c r="I242" s="468">
        <v>6.0361415822874864</v>
      </c>
    </row>
    <row r="243" spans="1:9" ht="16.5" x14ac:dyDescent="0.3">
      <c r="A243" s="477">
        <v>5929743.9380796673</v>
      </c>
      <c r="B243" s="458">
        <v>3.627917832524008E-2</v>
      </c>
      <c r="C243" s="477">
        <v>15377849.475030327</v>
      </c>
      <c r="D243" s="458">
        <v>7.9206455494068573E-2</v>
      </c>
      <c r="E243" s="477">
        <v>14655660.95377895</v>
      </c>
      <c r="F243" s="458">
        <v>9.3895604645928943E-2</v>
      </c>
      <c r="G243" s="477">
        <v>86582684.218846619</v>
      </c>
      <c r="H243" s="458">
        <v>0.26219540234212602</v>
      </c>
      <c r="I243" s="468">
        <v>7.8898680372386032</v>
      </c>
    </row>
    <row r="244" spans="1:9" ht="16.5" x14ac:dyDescent="0.3">
      <c r="A244" s="477">
        <v>3691318.2606997262</v>
      </c>
      <c r="B244" s="458">
        <v>3.4982535782167812E-2</v>
      </c>
      <c r="C244" s="477">
        <v>9957560.4523735773</v>
      </c>
      <c r="D244" s="458">
        <v>7.0504956720866874E-2</v>
      </c>
      <c r="E244" s="477">
        <v>10935099.382098129</v>
      </c>
      <c r="F244" s="458">
        <v>0.11623137633094904</v>
      </c>
      <c r="G244" s="477">
        <v>101877414.3665859</v>
      </c>
      <c r="H244" s="458">
        <v>0.26588442508917676</v>
      </c>
      <c r="I244" s="468">
        <v>12.116708044524383</v>
      </c>
    </row>
    <row r="245" spans="1:9" ht="16.5" x14ac:dyDescent="0.3">
      <c r="A245" s="477">
        <v>7244170.101125285</v>
      </c>
      <c r="B245" s="458">
        <v>7.0360864026420167E-2</v>
      </c>
      <c r="C245" s="477">
        <v>4963710.3825030541</v>
      </c>
      <c r="D245" s="458">
        <v>5.5655077550205156E-2</v>
      </c>
      <c r="E245" s="477">
        <v>21086343.307921134</v>
      </c>
      <c r="F245" s="458">
        <v>0.10727956787984816</v>
      </c>
      <c r="G245" s="477">
        <v>97348897.922276437</v>
      </c>
      <c r="H245" s="458">
        <v>0.26344125334745083</v>
      </c>
      <c r="I245" s="468">
        <v>9.348152164915609</v>
      </c>
    </row>
    <row r="246" spans="1:9" ht="16.5" x14ac:dyDescent="0.3">
      <c r="A246" s="477">
        <v>3270317.3365142909</v>
      </c>
      <c r="B246" s="458">
        <v>3.5008729531950111E-2</v>
      </c>
      <c r="C246" s="477">
        <v>6965009.4574520448</v>
      </c>
      <c r="D246" s="458">
        <v>6.7568535855889733E-2</v>
      </c>
      <c r="E246" s="477">
        <v>19414236.196390778</v>
      </c>
      <c r="F246" s="458">
        <v>8.3847100222655957E-2</v>
      </c>
      <c r="G246" s="477">
        <v>89009030.711933404</v>
      </c>
      <c r="H246" s="458">
        <v>0.28334177891046464</v>
      </c>
      <c r="I246" s="468">
        <v>11.271773647182359</v>
      </c>
    </row>
    <row r="247" spans="1:9" ht="16.5" x14ac:dyDescent="0.3">
      <c r="A247" s="477">
        <v>2988659.8171802368</v>
      </c>
      <c r="B247" s="458">
        <v>2.6946031232402579E-2</v>
      </c>
      <c r="C247" s="477">
        <v>2362788.0257944646</v>
      </c>
      <c r="D247" s="458">
        <v>6.0839143242603866E-2</v>
      </c>
      <c r="E247" s="477">
        <v>16911794.370174933</v>
      </c>
      <c r="F247" s="458">
        <v>9.7381140055763149E-2</v>
      </c>
      <c r="G247" s="477">
        <v>81239692.202440888</v>
      </c>
      <c r="H247" s="458">
        <v>0.26773636273150636</v>
      </c>
      <c r="I247" s="468">
        <v>0.7379044082735513</v>
      </c>
    </row>
    <row r="248" spans="1:9" ht="16.5" x14ac:dyDescent="0.3">
      <c r="A248" s="477">
        <v>5164805.1359615391</v>
      </c>
      <c r="B248" s="458">
        <v>2.6198860073022523E-2</v>
      </c>
      <c r="C248" s="477">
        <v>6201051.3753123218</v>
      </c>
      <c r="D248" s="458">
        <v>6.963916638673906E-2</v>
      </c>
      <c r="E248" s="477">
        <v>15141545.012570938</v>
      </c>
      <c r="F248" s="458">
        <v>8.6951664777592086E-2</v>
      </c>
      <c r="G248" s="477">
        <v>87960967.928836197</v>
      </c>
      <c r="H248" s="458">
        <v>0.27413012861086683</v>
      </c>
      <c r="I248" s="468">
        <v>8.6425886774985514</v>
      </c>
    </row>
    <row r="249" spans="1:9" ht="16.5" x14ac:dyDescent="0.3">
      <c r="A249" s="477">
        <v>4307101.8026536973</v>
      </c>
      <c r="B249" s="458">
        <v>4.4300239812914199E-2</v>
      </c>
      <c r="C249" s="477">
        <v>9968524.8788922373</v>
      </c>
      <c r="D249" s="458">
        <v>5.2144308773148351E-2</v>
      </c>
      <c r="E249" s="477">
        <v>18907659.849389933</v>
      </c>
      <c r="F249" s="458">
        <v>8.6548009040181784E-2</v>
      </c>
      <c r="G249" s="477">
        <v>96861635.579654098</v>
      </c>
      <c r="H249" s="458">
        <v>0.27378060532849702</v>
      </c>
      <c r="I249" s="468">
        <v>6.9091830311741864</v>
      </c>
    </row>
    <row r="250" spans="1:9" ht="16.5" x14ac:dyDescent="0.3">
      <c r="A250" s="477">
        <v>1164546.3563175325</v>
      </c>
      <c r="B250" s="458">
        <v>4.4681041400205235E-2</v>
      </c>
      <c r="C250" s="477">
        <v>6168816.5397876156</v>
      </c>
      <c r="D250" s="458">
        <v>5.4244906268842374E-2</v>
      </c>
      <c r="E250" s="477">
        <v>6163589.7007135712</v>
      </c>
      <c r="F250" s="458">
        <v>0.11998117642477935</v>
      </c>
      <c r="G250" s="477">
        <v>87662633.657407045</v>
      </c>
      <c r="H250" s="458">
        <v>0.25518516253536649</v>
      </c>
      <c r="I250" s="468">
        <v>7.2794990611789023</v>
      </c>
    </row>
    <row r="251" spans="1:9" ht="16.5" x14ac:dyDescent="0.3">
      <c r="A251" s="477">
        <v>6035747.0368872443</v>
      </c>
      <c r="B251" s="458">
        <v>3.4276896102592769E-2</v>
      </c>
      <c r="C251" s="477">
        <v>13300059.577379681</v>
      </c>
      <c r="D251" s="458">
        <v>6.2398000500183626E-2</v>
      </c>
      <c r="E251" s="477">
        <v>13417443.11260709</v>
      </c>
      <c r="F251" s="458">
        <v>9.824195072818509E-2</v>
      </c>
      <c r="G251" s="477">
        <v>98252527.677165732</v>
      </c>
      <c r="H251" s="458">
        <v>0.275687387814741</v>
      </c>
      <c r="I251" s="468">
        <v>13.566612220124933</v>
      </c>
    </row>
    <row r="252" spans="1:9" ht="16.5" x14ac:dyDescent="0.3">
      <c r="A252" s="477">
        <v>4406160.9209558275</v>
      </c>
      <c r="B252" s="458">
        <v>3.4628471624336132E-2</v>
      </c>
      <c r="C252" s="477">
        <v>11492673.567124115</v>
      </c>
      <c r="D252" s="458">
        <v>0.11718660688063931</v>
      </c>
      <c r="E252" s="477">
        <v>10660043.40578714</v>
      </c>
      <c r="F252" s="458">
        <v>0.1255215029150949</v>
      </c>
      <c r="G252" s="477">
        <v>88177625.738664582</v>
      </c>
      <c r="H252" s="458">
        <v>0.27312473440631457</v>
      </c>
      <c r="I252" s="468">
        <v>7.964834817255805</v>
      </c>
    </row>
    <row r="253" spans="1:9" ht="16.5" x14ac:dyDescent="0.3">
      <c r="A253" s="477">
        <v>4079212.6085716113</v>
      </c>
      <c r="B253" s="458">
        <v>2.1742769263048967E-2</v>
      </c>
      <c r="C253" s="477">
        <v>10025020.853136223</v>
      </c>
      <c r="D253" s="458">
        <v>8.0095447082455307E-2</v>
      </c>
      <c r="E253" s="477">
        <v>9766484.620710481</v>
      </c>
      <c r="F253" s="458">
        <v>9.0050230204626214E-2</v>
      </c>
      <c r="G253" s="477">
        <v>92857597.132593602</v>
      </c>
      <c r="H253" s="458">
        <v>0.28211390899610689</v>
      </c>
      <c r="I253" s="468">
        <v>6.251996007693549</v>
      </c>
    </row>
    <row r="254" spans="1:9" ht="16.5" x14ac:dyDescent="0.3">
      <c r="A254" s="477">
        <v>862434.59579667903</v>
      </c>
      <c r="B254" s="458">
        <v>6.1606079393695889E-2</v>
      </c>
      <c r="C254" s="477">
        <v>14643790.512523996</v>
      </c>
      <c r="D254" s="458">
        <v>5.0202709500363207E-2</v>
      </c>
      <c r="E254" s="477">
        <v>24942648.417356811</v>
      </c>
      <c r="F254" s="458">
        <v>9.4862701163628271E-2</v>
      </c>
      <c r="G254" s="477">
        <v>83150054.39774698</v>
      </c>
      <c r="H254" s="458">
        <v>0.25192498480926417</v>
      </c>
      <c r="I254" s="468">
        <v>12.007995028770507</v>
      </c>
    </row>
    <row r="255" spans="1:9" ht="16.5" x14ac:dyDescent="0.3">
      <c r="A255" s="477">
        <v>5376446.1046250062</v>
      </c>
      <c r="B255" s="458">
        <v>3.5148933519838499E-2</v>
      </c>
      <c r="C255" s="477">
        <v>7560578.4774165591</v>
      </c>
      <c r="D255" s="458">
        <v>5.5364044195477025E-2</v>
      </c>
      <c r="E255" s="477">
        <v>15730955.16966714</v>
      </c>
      <c r="F255" s="458">
        <v>0.11166232957283229</v>
      </c>
      <c r="G255" s="477">
        <v>84194117.483178854</v>
      </c>
      <c r="H255" s="458">
        <v>0.26700567398041075</v>
      </c>
      <c r="I255" s="468">
        <v>0.82300615609939776</v>
      </c>
    </row>
    <row r="256" spans="1:9" ht="16.5" x14ac:dyDescent="0.3">
      <c r="A256" s="477">
        <v>1971192.0647608559</v>
      </c>
      <c r="B256" s="458">
        <v>3.648280585520558E-2</v>
      </c>
      <c r="C256" s="477">
        <v>9250804.8752298579</v>
      </c>
      <c r="D256" s="458">
        <v>3.4354207210592014E-2</v>
      </c>
      <c r="E256" s="477">
        <v>16584271.612397721</v>
      </c>
      <c r="F256" s="458">
        <v>0.11178227557336129</v>
      </c>
      <c r="G256" s="477">
        <v>96968674.081284195</v>
      </c>
      <c r="H256" s="458">
        <v>0.26547773647351169</v>
      </c>
      <c r="I256" s="468">
        <v>11.284386365213637</v>
      </c>
    </row>
    <row r="257" spans="1:9" ht="16.5" x14ac:dyDescent="0.3">
      <c r="A257" s="477">
        <v>6148494.2672861908</v>
      </c>
      <c r="B257" s="458">
        <v>7.161288084146511E-2</v>
      </c>
      <c r="C257" s="477">
        <v>7904025.8964039963</v>
      </c>
      <c r="D257" s="458">
        <v>4.8566411802665188E-2</v>
      </c>
      <c r="E257" s="477">
        <v>12096559.18309471</v>
      </c>
      <c r="F257" s="458">
        <v>9.4464561209987474E-2</v>
      </c>
      <c r="G257" s="477">
        <v>101379580.31690754</v>
      </c>
      <c r="H257" s="458">
        <v>0.24770436798860684</v>
      </c>
      <c r="I257" s="468">
        <v>7.8541983611356931</v>
      </c>
    </row>
    <row r="258" spans="1:9" ht="16.5" x14ac:dyDescent="0.3">
      <c r="A258" s="477">
        <v>9312539.8383775614</v>
      </c>
      <c r="B258" s="458">
        <v>4.7342468939208571E-2</v>
      </c>
      <c r="C258" s="477">
        <v>9017667.3717977256</v>
      </c>
      <c r="D258" s="458">
        <v>6.3540197990104907E-2</v>
      </c>
      <c r="E258" s="477">
        <v>14547868.989987101</v>
      </c>
      <c r="F258" s="458">
        <v>0.13855538225101083</v>
      </c>
      <c r="G258" s="477">
        <v>93725579.256227732</v>
      </c>
      <c r="H258" s="458">
        <v>0.25793808929685769</v>
      </c>
      <c r="I258" s="468">
        <v>10.093621034483364</v>
      </c>
    </row>
    <row r="259" spans="1:9" ht="16.5" x14ac:dyDescent="0.3">
      <c r="A259" s="477">
        <v>5644880.841620245</v>
      </c>
      <c r="B259" s="458">
        <v>3.486761361351709E-2</v>
      </c>
      <c r="C259" s="477">
        <v>7833907.4415735258</v>
      </c>
      <c r="D259" s="458">
        <v>6.7045799207459789E-2</v>
      </c>
      <c r="E259" s="477">
        <v>20973021.886629757</v>
      </c>
      <c r="F259" s="458">
        <v>0.10384526260956517</v>
      </c>
      <c r="G259" s="477">
        <v>78318152.872127786</v>
      </c>
      <c r="H259" s="458">
        <v>0.27577538338700824</v>
      </c>
      <c r="I259" s="468">
        <v>9.1384618416239594</v>
      </c>
    </row>
    <row r="260" spans="1:9" ht="16.5" x14ac:dyDescent="0.3">
      <c r="A260" s="477">
        <v>5385745.8456609584</v>
      </c>
      <c r="B260" s="458">
        <v>4.5595762261813277E-2</v>
      </c>
      <c r="C260" s="477">
        <v>11292967.769673631</v>
      </c>
      <c r="D260" s="458">
        <v>6.5193645935289535E-2</v>
      </c>
      <c r="E260" s="477">
        <v>21540319.387084279</v>
      </c>
      <c r="F260" s="458">
        <v>0.11976850674793771</v>
      </c>
      <c r="G260" s="477">
        <v>92756256.396110445</v>
      </c>
      <c r="H260" s="458">
        <v>0.26195510071300143</v>
      </c>
      <c r="I260" s="468">
        <v>5.5245410765794851</v>
      </c>
    </row>
    <row r="261" spans="1:9" ht="16.5" x14ac:dyDescent="0.3">
      <c r="A261" s="477">
        <v>4277656.9057073863</v>
      </c>
      <c r="B261" s="458">
        <v>4.7576918245757049E-2</v>
      </c>
      <c r="C261" s="477">
        <v>4523181.6260742238</v>
      </c>
      <c r="D261" s="458">
        <v>5.2885216811797475E-2</v>
      </c>
      <c r="E261" s="477">
        <v>8359918.3464926751</v>
      </c>
      <c r="F261" s="458">
        <v>9.8528116932125931E-2</v>
      </c>
      <c r="G261" s="477">
        <v>81171819.956357688</v>
      </c>
      <c r="H261" s="458">
        <v>0.28320353899235928</v>
      </c>
      <c r="I261" s="468">
        <v>11.311567661322831</v>
      </c>
    </row>
    <row r="262" spans="1:9" ht="16.5" x14ac:dyDescent="0.3">
      <c r="A262" s="477">
        <v>10810300.53100027</v>
      </c>
      <c r="B262" s="458">
        <v>2.8163184367174354E-2</v>
      </c>
      <c r="C262" s="477">
        <v>11238345.80328911</v>
      </c>
      <c r="D262" s="458">
        <v>4.3672453270328537E-2</v>
      </c>
      <c r="E262" s="477">
        <v>24982637.823497247</v>
      </c>
      <c r="F262" s="458">
        <v>9.7309673507830263E-2</v>
      </c>
      <c r="G262" s="477">
        <v>83912762.30666022</v>
      </c>
      <c r="H262" s="458">
        <v>0.27341810459260429</v>
      </c>
      <c r="I262" s="468">
        <v>6.4059513995271002</v>
      </c>
    </row>
    <row r="263" spans="1:9" ht="16.5" x14ac:dyDescent="0.3">
      <c r="A263" s="477">
        <v>7458561.3962221248</v>
      </c>
      <c r="B263" s="458">
        <v>3.6026475547675352E-2</v>
      </c>
      <c r="C263" s="477">
        <v>12404699.206065599</v>
      </c>
      <c r="D263" s="458">
        <v>6.0675824542105294E-2</v>
      </c>
      <c r="E263" s="477">
        <v>14962849.250875741</v>
      </c>
      <c r="F263" s="458">
        <v>0.10160752064306267</v>
      </c>
      <c r="G263" s="477">
        <v>76270423.197518721</v>
      </c>
      <c r="H263" s="458">
        <v>0.25175557803517079</v>
      </c>
      <c r="I263" s="468">
        <v>10.743858912386095</v>
      </c>
    </row>
    <row r="264" spans="1:9" ht="16.5" x14ac:dyDescent="0.3">
      <c r="A264" s="477">
        <v>9557480.596913442</v>
      </c>
      <c r="B264" s="458">
        <v>5.2531475959257445E-2</v>
      </c>
      <c r="C264" s="477">
        <v>3901174.854198358</v>
      </c>
      <c r="D264" s="458">
        <v>7.4574780476696967E-2</v>
      </c>
      <c r="E264" s="477">
        <v>17147660.433308963</v>
      </c>
      <c r="F264" s="458">
        <v>0.10983326383800551</v>
      </c>
      <c r="G264" s="477">
        <v>86469698.989309475</v>
      </c>
      <c r="H264" s="458">
        <v>0.25877120623724381</v>
      </c>
      <c r="I264" s="468">
        <v>5.2241933616446605</v>
      </c>
    </row>
    <row r="265" spans="1:9" ht="16.5" x14ac:dyDescent="0.3">
      <c r="A265" s="477">
        <v>7762887.1459638858</v>
      </c>
      <c r="B265" s="458">
        <v>3.5843957624107414E-2</v>
      </c>
      <c r="C265" s="477">
        <v>83948.605232569666</v>
      </c>
      <c r="D265" s="458">
        <v>4.1665712568871305E-2</v>
      </c>
      <c r="E265" s="477">
        <v>22582232.303440899</v>
      </c>
      <c r="F265" s="458">
        <v>8.9355747543147457E-2</v>
      </c>
      <c r="G265" s="477">
        <v>101530863.71181372</v>
      </c>
      <c r="H265" s="458">
        <v>0.26296471576772196</v>
      </c>
      <c r="I265" s="468">
        <v>1.6343005734751443</v>
      </c>
    </row>
    <row r="266" spans="1:9" ht="16.5" x14ac:dyDescent="0.3">
      <c r="A266" s="477">
        <v>4019184.3321675002</v>
      </c>
      <c r="B266" s="458">
        <v>3.8897357515062625E-2</v>
      </c>
      <c r="C266" s="477">
        <v>7006847.7520340551</v>
      </c>
      <c r="D266" s="458">
        <v>5.7646375518043858E-2</v>
      </c>
      <c r="E266" s="477">
        <v>19583821.079236839</v>
      </c>
      <c r="F266" s="458">
        <v>0.14679935370953023</v>
      </c>
      <c r="G266" s="477">
        <v>91188888.001877084</v>
      </c>
      <c r="H266" s="458">
        <v>0.26675833127225834</v>
      </c>
      <c r="I266" s="468">
        <v>5.1921285576609186</v>
      </c>
    </row>
    <row r="267" spans="1:9" ht="16.5" x14ac:dyDescent="0.3">
      <c r="A267" s="477">
        <v>9474366.411882896</v>
      </c>
      <c r="B267" s="458">
        <v>4.2716562093434218E-2</v>
      </c>
      <c r="C267" s="477">
        <v>8829354.6551344041</v>
      </c>
      <c r="D267" s="458">
        <v>5.0786248784093324E-2</v>
      </c>
      <c r="E267" s="477">
        <v>22141985.338603936</v>
      </c>
      <c r="F267" s="458">
        <v>0.11210226981956972</v>
      </c>
      <c r="G267" s="477">
        <v>84548381.867908284</v>
      </c>
      <c r="H267" s="458">
        <v>0.25692734622339919</v>
      </c>
      <c r="I267" s="468">
        <v>11.06090404248317</v>
      </c>
    </row>
    <row r="268" spans="1:9" ht="16.5" x14ac:dyDescent="0.3">
      <c r="A268" s="477">
        <v>6517951.5968866022</v>
      </c>
      <c r="B268" s="458">
        <v>5.3503177319881523E-2</v>
      </c>
      <c r="C268" s="477">
        <v>8801546.5214943159</v>
      </c>
      <c r="D268" s="458">
        <v>8.0916691627159976E-2</v>
      </c>
      <c r="E268" s="477">
        <v>24306951.056187224</v>
      </c>
      <c r="F268" s="458">
        <v>0.16168257363878924</v>
      </c>
      <c r="G268" s="477">
        <v>77610052.095529601</v>
      </c>
      <c r="H268" s="458">
        <v>0.26075794317019718</v>
      </c>
      <c r="I268" s="468">
        <v>7.165010511815785</v>
      </c>
    </row>
    <row r="269" spans="1:9" ht="16.5" x14ac:dyDescent="0.3">
      <c r="A269" s="477">
        <v>5404277.2304063262</v>
      </c>
      <c r="B269" s="458">
        <v>3.173980501549778E-2</v>
      </c>
      <c r="C269" s="477">
        <v>6064953.2472812524</v>
      </c>
      <c r="D269" s="458">
        <v>8.2246715756612465E-2</v>
      </c>
      <c r="E269" s="477">
        <v>11737321.731373681</v>
      </c>
      <c r="F269" s="458">
        <v>9.0172510032064723E-2</v>
      </c>
      <c r="G269" s="477">
        <v>90577319.661070555</v>
      </c>
      <c r="H269" s="458">
        <v>0.26327645403153377</v>
      </c>
      <c r="I269" s="468">
        <v>7.0900100602208234</v>
      </c>
    </row>
    <row r="270" spans="1:9" ht="16.5" x14ac:dyDescent="0.3">
      <c r="A270" s="477">
        <v>-1408913.9770089942</v>
      </c>
      <c r="B270" s="458">
        <v>2.5713050155122152E-2</v>
      </c>
      <c r="C270" s="477">
        <v>7723645.4216826307</v>
      </c>
      <c r="D270" s="458">
        <v>6.3782564403068731E-2</v>
      </c>
      <c r="E270" s="477">
        <v>12676297.843473868</v>
      </c>
      <c r="F270" s="458">
        <v>0.10976127045338369</v>
      </c>
      <c r="G270" s="477">
        <v>77741659.10278587</v>
      </c>
      <c r="H270" s="458">
        <v>0.25817956931428432</v>
      </c>
      <c r="I270" s="468">
        <v>8.9290501017832931</v>
      </c>
    </row>
    <row r="271" spans="1:9" ht="16.5" x14ac:dyDescent="0.3">
      <c r="A271" s="477">
        <v>5859258.0102933375</v>
      </c>
      <c r="B271" s="458">
        <v>4.7482507193460588E-2</v>
      </c>
      <c r="C271" s="477">
        <v>4686987.6962541211</v>
      </c>
      <c r="D271" s="458">
        <v>4.453519591878452E-2</v>
      </c>
      <c r="E271" s="477">
        <v>20106172.971888643</v>
      </c>
      <c r="F271" s="458">
        <v>9.0641121480802722E-2</v>
      </c>
      <c r="G271" s="477">
        <v>91365887.245870098</v>
      </c>
      <c r="H271" s="458">
        <v>0.25159002727352053</v>
      </c>
      <c r="I271" s="468">
        <v>8.994942849334981</v>
      </c>
    </row>
    <row r="272" spans="1:9" ht="16.5" x14ac:dyDescent="0.3">
      <c r="A272" s="477">
        <v>3178370.7985208938</v>
      </c>
      <c r="B272" s="458">
        <v>5.833257170499917E-2</v>
      </c>
      <c r="C272" s="477">
        <v>14476315.482591826</v>
      </c>
      <c r="D272" s="458">
        <v>6.8952941985695793E-2</v>
      </c>
      <c r="E272" s="477">
        <v>18149529.849926472</v>
      </c>
      <c r="F272" s="458">
        <v>0.12444449761572174</v>
      </c>
      <c r="G272" s="477">
        <v>83921046.029240355</v>
      </c>
      <c r="H272" s="458">
        <v>0.276739799757868</v>
      </c>
      <c r="I272" s="468">
        <v>6.7785921015049446</v>
      </c>
    </row>
    <row r="273" spans="1:9" ht="16.5" x14ac:dyDescent="0.3">
      <c r="A273" s="477">
        <v>541209.27802398475</v>
      </c>
      <c r="B273" s="458">
        <v>3.8655437866487619E-2</v>
      </c>
      <c r="C273" s="477">
        <v>8752690.9801417794</v>
      </c>
      <c r="D273" s="458">
        <v>4.8894459565359094E-2</v>
      </c>
      <c r="E273" s="477">
        <v>18255332.270865269</v>
      </c>
      <c r="F273" s="458">
        <v>0.1167594170648294</v>
      </c>
      <c r="G273" s="477">
        <v>98638655.319680154</v>
      </c>
      <c r="H273" s="458">
        <v>0.28884180236354728</v>
      </c>
      <c r="I273" s="468">
        <v>11.868498695863011</v>
      </c>
    </row>
    <row r="274" spans="1:9" ht="16.5" x14ac:dyDescent="0.3">
      <c r="A274" s="477">
        <v>8437569.9386423901</v>
      </c>
      <c r="B274" s="458">
        <v>3.9353060294929687E-2</v>
      </c>
      <c r="C274" s="477">
        <v>10302421.817277484</v>
      </c>
      <c r="D274" s="458">
        <v>5.9546727837975988E-2</v>
      </c>
      <c r="E274" s="477">
        <v>22812856.605690464</v>
      </c>
      <c r="F274" s="458">
        <v>0.10133095847874429</v>
      </c>
      <c r="G274" s="477">
        <v>79780545.372073203</v>
      </c>
      <c r="H274" s="458">
        <v>0.2677572160063677</v>
      </c>
      <c r="I274" s="468">
        <v>7.6606540209394058</v>
      </c>
    </row>
    <row r="275" spans="1:9" ht="16.5" x14ac:dyDescent="0.3">
      <c r="A275" s="477">
        <v>5306976.9822452636</v>
      </c>
      <c r="B275" s="458">
        <v>3.5140719731017844E-2</v>
      </c>
      <c r="C275" s="477">
        <v>10958932.042925976</v>
      </c>
      <c r="D275" s="458">
        <v>8.8992308301390377E-2</v>
      </c>
      <c r="E275" s="477">
        <v>17669696.923870299</v>
      </c>
      <c r="F275" s="458">
        <v>0.12133838859587986</v>
      </c>
      <c r="G275" s="477">
        <v>84345001.294005081</v>
      </c>
      <c r="H275" s="458">
        <v>0.28786412752301516</v>
      </c>
      <c r="I275" s="468">
        <v>5.6431523260682299</v>
      </c>
    </row>
    <row r="276" spans="1:9" ht="16.5" x14ac:dyDescent="0.3">
      <c r="A276" s="477">
        <v>6475653.0020161588</v>
      </c>
      <c r="B276" s="458">
        <v>2.6703323981417615E-2</v>
      </c>
      <c r="C276" s="477">
        <v>4948893.0288247783</v>
      </c>
      <c r="D276" s="458">
        <v>7.382995704154216E-2</v>
      </c>
      <c r="E276" s="477">
        <v>17327139.750267792</v>
      </c>
      <c r="F276" s="458">
        <v>9.6297871738849627E-2</v>
      </c>
      <c r="G276" s="477">
        <v>73859853.132759169</v>
      </c>
      <c r="H276" s="458">
        <v>0.26353990604885325</v>
      </c>
      <c r="I276" s="468">
        <v>2.7014082834416797</v>
      </c>
    </row>
    <row r="277" spans="1:9" ht="16.5" x14ac:dyDescent="0.3">
      <c r="A277" s="477">
        <v>2283984.0073850802</v>
      </c>
      <c r="B277" s="458">
        <v>3.9749777298237143E-2</v>
      </c>
      <c r="C277" s="477">
        <v>15866455.273779992</v>
      </c>
      <c r="D277" s="458">
        <v>5.6178229451836259E-2</v>
      </c>
      <c r="E277" s="477">
        <v>23705660.214306775</v>
      </c>
      <c r="F277" s="458">
        <v>0.12017263118637578</v>
      </c>
      <c r="G277" s="477">
        <v>86029891.190039873</v>
      </c>
      <c r="H277" s="458">
        <v>0.2693250426979974</v>
      </c>
      <c r="I277" s="468">
        <v>6.8434843457628993</v>
      </c>
    </row>
    <row r="278" spans="1:9" ht="16.5" x14ac:dyDescent="0.3">
      <c r="A278" s="477">
        <v>8750256.6623089854</v>
      </c>
      <c r="B278" s="458">
        <v>5.7777759692061004E-2</v>
      </c>
      <c r="C278" s="477">
        <v>11744345.960294278</v>
      </c>
      <c r="D278" s="458">
        <v>8.3114011823031575E-2</v>
      </c>
      <c r="E278" s="477">
        <v>19910849.187512163</v>
      </c>
      <c r="F278" s="458">
        <v>0.11893948031581503</v>
      </c>
      <c r="G278" s="477">
        <v>84920680.236154258</v>
      </c>
      <c r="H278" s="458">
        <v>0.2865798671602422</v>
      </c>
      <c r="I278" s="468">
        <v>3.8681101907231898</v>
      </c>
    </row>
    <row r="279" spans="1:9" ht="16.5" x14ac:dyDescent="0.3">
      <c r="A279" s="477">
        <v>2040610.7246710712</v>
      </c>
      <c r="B279" s="458">
        <v>3.5399934639862574E-2</v>
      </c>
      <c r="C279" s="477">
        <v>14674769.427234551</v>
      </c>
      <c r="D279" s="458">
        <v>6.5789552264955198E-2</v>
      </c>
      <c r="E279" s="477">
        <v>19970860.969860185</v>
      </c>
      <c r="F279" s="458">
        <v>0.10927607614784574</v>
      </c>
      <c r="G279" s="477">
        <v>84938494.229560047</v>
      </c>
      <c r="H279" s="458">
        <v>0.29006132005713692</v>
      </c>
      <c r="I279" s="468">
        <v>6.5885425473189105</v>
      </c>
    </row>
    <row r="280" spans="1:9" ht="16.5" x14ac:dyDescent="0.3">
      <c r="A280" s="477">
        <v>8272826.8238896737</v>
      </c>
      <c r="B280" s="458">
        <v>4.4825796190636202E-2</v>
      </c>
      <c r="C280" s="477">
        <v>11391796.840910878</v>
      </c>
      <c r="D280" s="458">
        <v>6.9844883312386141E-2</v>
      </c>
      <c r="E280" s="477">
        <v>18611405.173183061</v>
      </c>
      <c r="F280" s="458">
        <v>0.12500016459365493</v>
      </c>
      <c r="G280" s="477">
        <v>83843695.151530117</v>
      </c>
      <c r="H280" s="458">
        <v>0.26006312426937095</v>
      </c>
      <c r="I280" s="468">
        <v>8.9659254754425444</v>
      </c>
    </row>
    <row r="281" spans="1:9" ht="16.5" x14ac:dyDescent="0.3">
      <c r="A281" s="477">
        <v>5742087.141250209</v>
      </c>
      <c r="B281" s="458">
        <v>7.0649434321518267E-2</v>
      </c>
      <c r="C281" s="477">
        <v>7069390.0880910046</v>
      </c>
      <c r="D281" s="458">
        <v>6.9113381932930595E-2</v>
      </c>
      <c r="E281" s="477">
        <v>17687119.258564342</v>
      </c>
      <c r="F281" s="458">
        <v>9.2473578374551613E-2</v>
      </c>
      <c r="G281" s="477">
        <v>87008452.640212178</v>
      </c>
      <c r="H281" s="458">
        <v>0.25771185676358987</v>
      </c>
      <c r="I281" s="468">
        <v>4.1583074530945794</v>
      </c>
    </row>
    <row r="282" spans="1:9" ht="16.5" x14ac:dyDescent="0.3">
      <c r="A282" s="477">
        <v>5285473.7815119782</v>
      </c>
      <c r="B282" s="458">
        <v>4.8967997598910129E-2</v>
      </c>
      <c r="C282" s="477">
        <v>8893908.3034973685</v>
      </c>
      <c r="D282" s="458">
        <v>4.204321919279308E-2</v>
      </c>
      <c r="E282" s="477">
        <v>22579099.024945039</v>
      </c>
      <c r="F282" s="458">
        <v>0.12759562593906937</v>
      </c>
      <c r="G282" s="477">
        <v>92486649.743037909</v>
      </c>
      <c r="H282" s="458">
        <v>0.26872681195157222</v>
      </c>
      <c r="I282" s="468">
        <v>7.9044073236340111</v>
      </c>
    </row>
    <row r="283" spans="1:9" ht="16.5" x14ac:dyDescent="0.3">
      <c r="A283" s="477">
        <v>10828825.413166247</v>
      </c>
      <c r="B283" s="458">
        <v>4.0803881703043388E-2</v>
      </c>
      <c r="C283" s="477">
        <v>9715924.4013863094</v>
      </c>
      <c r="D283" s="458">
        <v>6.6132712752726919E-2</v>
      </c>
      <c r="E283" s="477">
        <v>13793676.451487407</v>
      </c>
      <c r="F283" s="458">
        <v>0.10798900139034329</v>
      </c>
      <c r="G283" s="477">
        <v>94762000.605652183</v>
      </c>
      <c r="H283" s="458">
        <v>0.28207044187444441</v>
      </c>
      <c r="I283" s="468">
        <v>13.419532180937246</v>
      </c>
    </row>
    <row r="284" spans="1:9" ht="16.5" x14ac:dyDescent="0.3">
      <c r="A284" s="477">
        <v>7761477.7092688503</v>
      </c>
      <c r="B284" s="458">
        <v>5.712663017200148E-2</v>
      </c>
      <c r="C284" s="477">
        <v>10328574.119595863</v>
      </c>
      <c r="D284" s="458">
        <v>6.8118750726596344E-2</v>
      </c>
      <c r="E284" s="477">
        <v>23234973.450284783</v>
      </c>
      <c r="F284" s="458">
        <v>0.14324662390546372</v>
      </c>
      <c r="G284" s="477">
        <v>77571641.653044805</v>
      </c>
      <c r="H284" s="458">
        <v>0.25393864854241488</v>
      </c>
      <c r="I284" s="468">
        <v>7.8600426667491199</v>
      </c>
    </row>
    <row r="285" spans="1:9" ht="16.5" x14ac:dyDescent="0.3">
      <c r="A285" s="477">
        <v>6602732.6059752693</v>
      </c>
      <c r="B285" s="458">
        <v>5.0516983121878134E-2</v>
      </c>
      <c r="C285" s="477">
        <v>12596885.348041724</v>
      </c>
      <c r="D285" s="458">
        <v>5.6838002465942283E-2</v>
      </c>
      <c r="E285" s="477">
        <v>15121127.202443216</v>
      </c>
      <c r="F285" s="458">
        <v>0.11444496120168468</v>
      </c>
      <c r="G285" s="477">
        <v>96708721.163601547</v>
      </c>
      <c r="H285" s="458">
        <v>0.25096453822996212</v>
      </c>
      <c r="I285" s="468">
        <v>2.7353194024180647</v>
      </c>
    </row>
    <row r="286" spans="1:9" ht="16.5" x14ac:dyDescent="0.3">
      <c r="A286" s="477">
        <v>11163704.700036813</v>
      </c>
      <c r="B286" s="458">
        <v>7.6203877268432141E-2</v>
      </c>
      <c r="C286" s="477">
        <v>8198742.7520054346</v>
      </c>
      <c r="D286" s="458">
        <v>6.5955786564245944E-2</v>
      </c>
      <c r="E286" s="477">
        <v>13675873.426068436</v>
      </c>
      <c r="F286" s="458">
        <v>0.13309994111653745</v>
      </c>
      <c r="G286" s="477">
        <v>87620564.008110762</v>
      </c>
      <c r="H286" s="458">
        <v>0.26195915315484286</v>
      </c>
      <c r="I286" s="468">
        <v>7.9401984536756123</v>
      </c>
    </row>
    <row r="287" spans="1:9" ht="16.5" x14ac:dyDescent="0.3">
      <c r="A287" s="477">
        <v>3690578.3474977599</v>
      </c>
      <c r="B287" s="458">
        <v>3.234406833826764E-2</v>
      </c>
      <c r="C287" s="477">
        <v>12777882.426948348</v>
      </c>
      <c r="D287" s="458">
        <v>6.874932260224087E-2</v>
      </c>
      <c r="E287" s="477">
        <v>14285390.735464536</v>
      </c>
      <c r="F287" s="458">
        <v>0.11440457006981641</v>
      </c>
      <c r="G287" s="477">
        <v>96674295.908022061</v>
      </c>
      <c r="H287" s="458">
        <v>0.27946416659723528</v>
      </c>
      <c r="I287" s="468">
        <v>9.6728448991468632</v>
      </c>
    </row>
    <row r="288" spans="1:9" ht="16.5" x14ac:dyDescent="0.3">
      <c r="A288" s="477">
        <v>5669388.4119295403</v>
      </c>
      <c r="B288" s="458">
        <v>5.1409698915114932E-2</v>
      </c>
      <c r="C288" s="477">
        <v>8417284.7935086843</v>
      </c>
      <c r="D288" s="458">
        <v>8.6797334726569364E-2</v>
      </c>
      <c r="E288" s="477">
        <v>9550830.7580313385</v>
      </c>
      <c r="F288" s="458">
        <v>0.13457900572076609</v>
      </c>
      <c r="G288" s="477">
        <v>100995791.34313415</v>
      </c>
      <c r="H288" s="458">
        <v>0.26407995697510622</v>
      </c>
      <c r="I288" s="468">
        <v>4.7744934868866897</v>
      </c>
    </row>
    <row r="289" spans="1:9" ht="16.5" x14ac:dyDescent="0.3">
      <c r="A289" s="477">
        <v>4361824.2158219656</v>
      </c>
      <c r="B289" s="458">
        <v>3.0561972769833412E-2</v>
      </c>
      <c r="C289" s="477">
        <v>11478696.19700673</v>
      </c>
      <c r="D289" s="458">
        <v>8.5199257326780797E-2</v>
      </c>
      <c r="E289" s="477">
        <v>20336400.946408518</v>
      </c>
      <c r="F289" s="458">
        <v>0.14126764971800188</v>
      </c>
      <c r="G289" s="477">
        <v>100116650.05362162</v>
      </c>
      <c r="H289" s="458">
        <v>0.27440750508646783</v>
      </c>
      <c r="I289" s="468">
        <v>8.0425719224595387</v>
      </c>
    </row>
    <row r="290" spans="1:9" ht="16.5" x14ac:dyDescent="0.3">
      <c r="A290" s="477">
        <v>2317009.2535487884</v>
      </c>
      <c r="B290" s="458">
        <v>6.8614817255070237E-2</v>
      </c>
      <c r="C290" s="477">
        <v>2451478.0705891047</v>
      </c>
      <c r="D290" s="458">
        <v>6.0459562240440912E-2</v>
      </c>
      <c r="E290" s="477">
        <v>22916562.755568773</v>
      </c>
      <c r="F290" s="458">
        <v>9.7728390145910726E-2</v>
      </c>
      <c r="G290" s="477">
        <v>80944888.020274729</v>
      </c>
      <c r="H290" s="458">
        <v>0.26284256689563867</v>
      </c>
      <c r="I290" s="468">
        <v>6.5895610623759904</v>
      </c>
    </row>
    <row r="291" spans="1:9" ht="16.5" x14ac:dyDescent="0.3">
      <c r="A291" s="477">
        <v>11353719.974403746</v>
      </c>
      <c r="B291" s="458">
        <v>5.2398604367522417E-2</v>
      </c>
      <c r="C291" s="477">
        <v>6632744.5489658816</v>
      </c>
      <c r="D291" s="458">
        <v>7.0198687400270909E-2</v>
      </c>
      <c r="E291" s="477">
        <v>16819035.018700995</v>
      </c>
      <c r="F291" s="458">
        <v>0.10991809717772028</v>
      </c>
      <c r="G291" s="477">
        <v>91124342.466077551</v>
      </c>
      <c r="H291" s="458">
        <v>0.2660426247309462</v>
      </c>
      <c r="I291" s="468">
        <v>4.0713618577275819</v>
      </c>
    </row>
    <row r="292" spans="1:9" ht="16.5" x14ac:dyDescent="0.3">
      <c r="A292" s="477">
        <v>2465898.3331072954</v>
      </c>
      <c r="B292" s="458">
        <v>3.6662139106240943E-2</v>
      </c>
      <c r="C292" s="477">
        <v>16256525.832166975</v>
      </c>
      <c r="D292" s="458">
        <v>7.2131063830165765E-2</v>
      </c>
      <c r="E292" s="477">
        <v>16938234.227438778</v>
      </c>
      <c r="F292" s="458">
        <v>0.11205607654605676</v>
      </c>
      <c r="G292" s="477">
        <v>94340633.187521175</v>
      </c>
      <c r="H292" s="458">
        <v>0.26083050677830499</v>
      </c>
      <c r="I292" s="468">
        <v>2.9680821900368439</v>
      </c>
    </row>
    <row r="293" spans="1:9" ht="16.5" x14ac:dyDescent="0.3">
      <c r="A293" s="477">
        <v>4161505.642635792</v>
      </c>
      <c r="B293" s="458">
        <v>5.0456908882009932E-2</v>
      </c>
      <c r="C293" s="477">
        <v>6344916.8668779572</v>
      </c>
      <c r="D293" s="458">
        <v>6.6439202131630681E-2</v>
      </c>
      <c r="E293" s="477">
        <v>10537334.830430109</v>
      </c>
      <c r="F293" s="458">
        <v>0.12257529328352512</v>
      </c>
      <c r="G293" s="477">
        <v>92145173.996088862</v>
      </c>
      <c r="H293" s="458">
        <v>0.27732263379985356</v>
      </c>
      <c r="I293" s="468">
        <v>4.3265669506492497</v>
      </c>
    </row>
    <row r="294" spans="1:9" ht="16.5" x14ac:dyDescent="0.3">
      <c r="A294" s="477">
        <v>8840143.3343364391</v>
      </c>
      <c r="B294" s="458">
        <v>4.3800880692352218E-2</v>
      </c>
      <c r="C294" s="477">
        <v>9685187.9823170807</v>
      </c>
      <c r="D294" s="458">
        <v>6.61656416549532E-2</v>
      </c>
      <c r="E294" s="477">
        <v>17823338.201923136</v>
      </c>
      <c r="F294" s="458">
        <v>0.12085583293083868</v>
      </c>
      <c r="G294" s="477">
        <v>93462777.447833195</v>
      </c>
      <c r="H294" s="458">
        <v>0.28993208369904666</v>
      </c>
      <c r="I294" s="468">
        <v>6.5999517143716115</v>
      </c>
    </row>
    <row r="295" spans="1:9" ht="16.5" x14ac:dyDescent="0.3">
      <c r="A295" s="477">
        <v>7833086.2430046713</v>
      </c>
      <c r="B295" s="458">
        <v>3.1455768771434967E-2</v>
      </c>
      <c r="C295" s="477">
        <v>12952032.236305533</v>
      </c>
      <c r="D295" s="458">
        <v>7.0722924834901724E-2</v>
      </c>
      <c r="E295" s="477">
        <v>11169216.264419723</v>
      </c>
      <c r="F295" s="458">
        <v>0.1202161476234187</v>
      </c>
      <c r="G295" s="477">
        <v>90033646.588360935</v>
      </c>
      <c r="H295" s="458">
        <v>0.29810681158697516</v>
      </c>
      <c r="I295" s="468">
        <v>7.6238515387837325</v>
      </c>
    </row>
    <row r="296" spans="1:9" ht="16.5" x14ac:dyDescent="0.3">
      <c r="A296" s="477">
        <v>8742154.5559392609</v>
      </c>
      <c r="B296" s="458">
        <v>1.9169056413635754E-2</v>
      </c>
      <c r="C296" s="477">
        <v>6198664.9273713706</v>
      </c>
      <c r="D296" s="458">
        <v>5.4237850242413232E-2</v>
      </c>
      <c r="E296" s="477">
        <v>12623142.79764108</v>
      </c>
      <c r="F296" s="458">
        <v>9.9242241882340876E-2</v>
      </c>
      <c r="G296" s="477">
        <v>87804880.121951133</v>
      </c>
      <c r="H296" s="458">
        <v>0.26207405014187324</v>
      </c>
      <c r="I296" s="468">
        <v>8.1995580130168886</v>
      </c>
    </row>
    <row r="297" spans="1:9" ht="16.5" x14ac:dyDescent="0.3">
      <c r="A297" s="477">
        <v>8258549.2734052511</v>
      </c>
      <c r="B297" s="458">
        <v>6.4513048176212173E-2</v>
      </c>
      <c r="C297" s="477">
        <v>11127137.474041492</v>
      </c>
      <c r="D297" s="458">
        <v>7.223681710349128E-2</v>
      </c>
      <c r="E297" s="477">
        <v>15190146.73749204</v>
      </c>
      <c r="F297" s="458">
        <v>9.7664093184886891E-2</v>
      </c>
      <c r="G297" s="477">
        <v>100394973.02962264</v>
      </c>
      <c r="H297" s="458">
        <v>0.27238238344410548</v>
      </c>
      <c r="I297" s="468">
        <v>5.523963470828761</v>
      </c>
    </row>
    <row r="298" spans="1:9" ht="16.5" x14ac:dyDescent="0.3">
      <c r="A298" s="477">
        <v>8817049.7597360536</v>
      </c>
      <c r="B298" s="458">
        <v>4.9286559399322361E-2</v>
      </c>
      <c r="C298" s="477">
        <v>7620763.3116262825</v>
      </c>
      <c r="D298" s="458">
        <v>7.2467781147874666E-2</v>
      </c>
      <c r="E298" s="477">
        <v>12937454.735786874</v>
      </c>
      <c r="F298" s="458">
        <v>8.0937529211423831E-2</v>
      </c>
      <c r="G298" s="477">
        <v>99696317.387001485</v>
      </c>
      <c r="H298" s="458">
        <v>0.27538185473783083</v>
      </c>
      <c r="I298" s="468">
        <v>9.223417945822602</v>
      </c>
    </row>
    <row r="299" spans="1:9" ht="16.5" x14ac:dyDescent="0.3">
      <c r="A299" s="477">
        <v>3698664.5792133333</v>
      </c>
      <c r="B299" s="458">
        <v>5.3126122145966237E-2</v>
      </c>
      <c r="C299" s="477">
        <v>17106681.628289595</v>
      </c>
      <c r="D299" s="458">
        <v>5.1930466626833649E-2</v>
      </c>
      <c r="E299" s="477">
        <v>15184812.360980373</v>
      </c>
      <c r="F299" s="458">
        <v>9.9932252755371875E-2</v>
      </c>
      <c r="G299" s="477">
        <v>89117747.405459464</v>
      </c>
      <c r="H299" s="458">
        <v>0.27048646506813867</v>
      </c>
      <c r="I299" s="468">
        <v>10.700354119101782</v>
      </c>
    </row>
    <row r="300" spans="1:9" ht="16.5" x14ac:dyDescent="0.3">
      <c r="A300" s="477">
        <v>1992548.3596866629</v>
      </c>
      <c r="B300" s="458">
        <v>5.2282747555585374E-2</v>
      </c>
      <c r="C300" s="477">
        <v>10808367.299949182</v>
      </c>
      <c r="D300" s="458">
        <v>6.9410332772302352E-2</v>
      </c>
      <c r="E300" s="477">
        <v>21736880.976453461</v>
      </c>
      <c r="F300" s="458">
        <v>9.5249452746673402E-2</v>
      </c>
      <c r="G300" s="477">
        <v>83842798.922646075</v>
      </c>
      <c r="H300" s="458">
        <v>0.26953019134203515</v>
      </c>
      <c r="I300" s="468">
        <v>2.0747712274072727</v>
      </c>
    </row>
    <row r="301" spans="1:9" ht="16.5" x14ac:dyDescent="0.3">
      <c r="A301" s="477">
        <v>3220144.1083967872</v>
      </c>
      <c r="B301" s="458">
        <v>4.2281891219759338E-2</v>
      </c>
      <c r="C301" s="477">
        <v>8372441.6003013374</v>
      </c>
      <c r="D301" s="458">
        <v>3.7100594431322742E-2</v>
      </c>
      <c r="E301" s="477">
        <v>20393125.294916511</v>
      </c>
      <c r="F301" s="458">
        <v>0.13381325562568325</v>
      </c>
      <c r="G301" s="477">
        <v>98200439.681747809</v>
      </c>
      <c r="H301" s="458">
        <v>0.26446284210520421</v>
      </c>
      <c r="I301" s="468">
        <v>1.8491791206016508</v>
      </c>
    </row>
    <row r="302" spans="1:9" ht="16.5" x14ac:dyDescent="0.3">
      <c r="A302" s="477">
        <v>6141976.264353158</v>
      </c>
      <c r="B302" s="458">
        <v>4.7587993528011241E-2</v>
      </c>
      <c r="C302" s="477">
        <v>5747806.3615616923</v>
      </c>
      <c r="D302" s="458">
        <v>5.1070676333593523E-2</v>
      </c>
      <c r="E302" s="477">
        <v>15258347.649659498</v>
      </c>
      <c r="F302" s="458">
        <v>0.10973752614927967</v>
      </c>
      <c r="G302" s="477">
        <v>96134997.057336301</v>
      </c>
      <c r="H302" s="458">
        <v>0.28357491809862312</v>
      </c>
      <c r="I302" s="468">
        <v>5.2749719988092414</v>
      </c>
    </row>
    <row r="303" spans="1:9" ht="16.5" x14ac:dyDescent="0.3">
      <c r="A303" s="477">
        <v>6014318.9822215457</v>
      </c>
      <c r="B303" s="458">
        <v>1.7619316552447417E-2</v>
      </c>
      <c r="C303" s="477">
        <v>967621.05538294988</v>
      </c>
      <c r="D303" s="458">
        <v>7.3299944903501002E-2</v>
      </c>
      <c r="E303" s="477">
        <v>13778502.680158291</v>
      </c>
      <c r="F303" s="458">
        <v>0.1490438101388416</v>
      </c>
      <c r="G303" s="477">
        <v>85549179.076912925</v>
      </c>
      <c r="H303" s="458">
        <v>0.27751266281542697</v>
      </c>
      <c r="I303" s="468">
        <v>4.5750462757401253</v>
      </c>
    </row>
    <row r="304" spans="1:9" ht="16.5" x14ac:dyDescent="0.3">
      <c r="A304" s="477">
        <v>3176196.3224809295</v>
      </c>
      <c r="B304" s="458">
        <v>3.0560784235458938E-2</v>
      </c>
      <c r="C304" s="477">
        <v>7605857.6214058762</v>
      </c>
      <c r="D304" s="458">
        <v>0.10114485350768909</v>
      </c>
      <c r="E304" s="477">
        <v>18078863.231217835</v>
      </c>
      <c r="F304" s="458">
        <v>0.1053924361130103</v>
      </c>
      <c r="G304" s="477">
        <v>91745055.04434751</v>
      </c>
      <c r="H304" s="458">
        <v>0.27033410188653706</v>
      </c>
      <c r="I304" s="468">
        <v>11.607200611615273</v>
      </c>
    </row>
    <row r="305" spans="1:9" ht="16.5" x14ac:dyDescent="0.3">
      <c r="A305" s="477">
        <v>5798706.2533931583</v>
      </c>
      <c r="B305" s="458">
        <v>3.2529065279087055E-2</v>
      </c>
      <c r="C305" s="477">
        <v>10194610.922200849</v>
      </c>
      <c r="D305" s="458">
        <v>7.07753237148665E-2</v>
      </c>
      <c r="E305" s="477">
        <v>20184289.553259693</v>
      </c>
      <c r="F305" s="458">
        <v>9.2772605073705217E-2</v>
      </c>
      <c r="G305" s="477">
        <v>82578526.760755852</v>
      </c>
      <c r="H305" s="458">
        <v>0.24894497390326031</v>
      </c>
      <c r="I305" s="468">
        <v>1.7782803982232664</v>
      </c>
    </row>
    <row r="306" spans="1:9" ht="16.5" x14ac:dyDescent="0.3">
      <c r="A306" s="477">
        <v>5643090.9771557143</v>
      </c>
      <c r="B306" s="458">
        <v>4.2400032658053588E-2</v>
      </c>
      <c r="C306" s="477">
        <v>10935402.161460761</v>
      </c>
      <c r="D306" s="458">
        <v>4.6848467560363316E-2</v>
      </c>
      <c r="E306" s="477">
        <v>21017116.5010252</v>
      </c>
      <c r="F306" s="458">
        <v>0.10800638615811109</v>
      </c>
      <c r="G306" s="477">
        <v>80319314.181179002</v>
      </c>
      <c r="H306" s="458">
        <v>0.26627568474941232</v>
      </c>
      <c r="I306" s="468">
        <v>9.5879062224211413</v>
      </c>
    </row>
    <row r="307" spans="1:9" ht="16.5" x14ac:dyDescent="0.3">
      <c r="A307" s="477">
        <v>5590350.9115408072</v>
      </c>
      <c r="B307" s="458">
        <v>6.4646929037871725E-2</v>
      </c>
      <c r="C307" s="477">
        <v>10188603.722898608</v>
      </c>
      <c r="D307" s="458">
        <v>8.0371879711705896E-2</v>
      </c>
      <c r="E307" s="477">
        <v>18696167.5509075</v>
      </c>
      <c r="F307" s="458">
        <v>9.9320415431310094E-2</v>
      </c>
      <c r="G307" s="477">
        <v>83164742.022265717</v>
      </c>
      <c r="H307" s="458">
        <v>0.28824419915675259</v>
      </c>
      <c r="I307" s="468">
        <v>10.764054904626772</v>
      </c>
    </row>
    <row r="308" spans="1:9" ht="16.5" x14ac:dyDescent="0.3">
      <c r="A308" s="477">
        <v>8047103.2264127834</v>
      </c>
      <c r="B308" s="458">
        <v>3.7699804425907146E-2</v>
      </c>
      <c r="C308" s="477">
        <v>7292752.1693499377</v>
      </c>
      <c r="D308" s="458">
        <v>5.0436106150074433E-2</v>
      </c>
      <c r="E308" s="477">
        <v>25239027.798685074</v>
      </c>
      <c r="F308" s="458">
        <v>0.12273656997800853</v>
      </c>
      <c r="G308" s="477">
        <v>67438633.06056866</v>
      </c>
      <c r="H308" s="458">
        <v>0.25725142799583622</v>
      </c>
      <c r="I308" s="468">
        <v>10.435568176879041</v>
      </c>
    </row>
    <row r="309" spans="1:9" ht="16.5" x14ac:dyDescent="0.3">
      <c r="A309" s="477">
        <v>4110155.1653811154</v>
      </c>
      <c r="B309" s="458">
        <v>4.1450911563329473E-2</v>
      </c>
      <c r="C309" s="477">
        <v>12924316.877034843</v>
      </c>
      <c r="D309" s="458">
        <v>7.0109600966056895E-2</v>
      </c>
      <c r="E309" s="477">
        <v>16205564.109793289</v>
      </c>
      <c r="F309" s="458">
        <v>0.1241360194981862</v>
      </c>
      <c r="G309" s="477">
        <v>85234803.481826395</v>
      </c>
      <c r="H309" s="458">
        <v>0.29240814330597042</v>
      </c>
      <c r="I309" s="468">
        <v>12.938722780157159</v>
      </c>
    </row>
    <row r="310" spans="1:9" ht="16.5" x14ac:dyDescent="0.3">
      <c r="A310" s="477">
        <v>7953180.3564279182</v>
      </c>
      <c r="B310" s="458">
        <v>5.163742410767469E-2</v>
      </c>
      <c r="C310" s="477">
        <v>7727248.8938639769</v>
      </c>
      <c r="D310" s="458">
        <v>6.0842658116281312E-2</v>
      </c>
      <c r="E310" s="477">
        <v>11371134.77160172</v>
      </c>
      <c r="F310" s="458">
        <v>0.13145831022387</v>
      </c>
      <c r="G310" s="477">
        <v>86603999.821718454</v>
      </c>
      <c r="H310" s="458">
        <v>0.25473453746820507</v>
      </c>
      <c r="I310" s="468">
        <v>5.3419448573943003</v>
      </c>
    </row>
    <row r="311" spans="1:9" ht="16.5" x14ac:dyDescent="0.3">
      <c r="A311" s="477">
        <v>6368325.8859476494</v>
      </c>
      <c r="B311" s="458">
        <v>3.3087106294580115E-2</v>
      </c>
      <c r="C311" s="477">
        <v>14005309.184036609</v>
      </c>
      <c r="D311" s="458">
        <v>7.2275498563941554E-2</v>
      </c>
      <c r="E311" s="477">
        <v>15928419.152937921</v>
      </c>
      <c r="F311" s="458">
        <v>8.9511185513261093E-2</v>
      </c>
      <c r="G311" s="477">
        <v>93085373.064839303</v>
      </c>
      <c r="H311" s="458">
        <v>0.27431202902663143</v>
      </c>
      <c r="I311" s="468">
        <v>3.7280872231649953</v>
      </c>
    </row>
    <row r="312" spans="1:9" ht="16.5" x14ac:dyDescent="0.3">
      <c r="A312" s="477">
        <v>2073234.6741536378</v>
      </c>
      <c r="B312" s="458">
        <v>4.6989584867298539E-2</v>
      </c>
      <c r="C312" s="477">
        <v>2525424.6291015535</v>
      </c>
      <c r="D312" s="458">
        <v>5.9879164684464081E-2</v>
      </c>
      <c r="E312" s="477">
        <v>18460117.619653258</v>
      </c>
      <c r="F312" s="458">
        <v>0.14460646005817446</v>
      </c>
      <c r="G312" s="477">
        <v>107479017.97463137</v>
      </c>
      <c r="H312" s="458">
        <v>0.25312168558429859</v>
      </c>
      <c r="I312" s="468">
        <v>8.8861174079829723</v>
      </c>
    </row>
    <row r="313" spans="1:9" ht="16.5" x14ac:dyDescent="0.3">
      <c r="A313" s="477">
        <v>5259505.0352362143</v>
      </c>
      <c r="B313" s="458">
        <v>4.0199045917680643E-2</v>
      </c>
      <c r="C313" s="477">
        <v>6827801.439804825</v>
      </c>
      <c r="D313" s="458">
        <v>8.1570104480933159E-2</v>
      </c>
      <c r="E313" s="477">
        <v>10072372.009979844</v>
      </c>
      <c r="F313" s="458">
        <v>8.6344584604172825E-2</v>
      </c>
      <c r="G313" s="477">
        <v>76117168.013669565</v>
      </c>
      <c r="H313" s="458">
        <v>0.26990611910495077</v>
      </c>
      <c r="I313" s="468">
        <v>3.7184734020958494</v>
      </c>
    </row>
    <row r="314" spans="1:9" ht="16.5" x14ac:dyDescent="0.3">
      <c r="A314" s="477">
        <v>4154388.6644411446</v>
      </c>
      <c r="B314" s="458">
        <v>4.509706095520416E-2</v>
      </c>
      <c r="C314" s="477">
        <v>14307529.587114185</v>
      </c>
      <c r="D314" s="458">
        <v>7.1934274663987052E-2</v>
      </c>
      <c r="E314" s="477">
        <v>13753010.44732693</v>
      </c>
      <c r="F314" s="458">
        <v>0.10833559969291406</v>
      </c>
      <c r="G314" s="477">
        <v>85343778.948525459</v>
      </c>
      <c r="H314" s="458">
        <v>0.26752339169897099</v>
      </c>
      <c r="I314" s="468">
        <v>7.9946954197158373</v>
      </c>
    </row>
    <row r="315" spans="1:9" ht="16.5" x14ac:dyDescent="0.3">
      <c r="A315" s="477">
        <v>7930882.8593725162</v>
      </c>
      <c r="B315" s="458">
        <v>2.9921690535389844E-2</v>
      </c>
      <c r="C315" s="477">
        <v>7102976.4767824439</v>
      </c>
      <c r="D315" s="458">
        <v>7.2100467620821451E-2</v>
      </c>
      <c r="E315" s="477">
        <v>15281196.413341649</v>
      </c>
      <c r="F315" s="458">
        <v>0.10135168102237357</v>
      </c>
      <c r="G315" s="477">
        <v>86569157.154961944</v>
      </c>
      <c r="H315" s="458">
        <v>0.27224656718249651</v>
      </c>
      <c r="I315" s="468">
        <v>8.7036011366962356</v>
      </c>
    </row>
    <row r="316" spans="1:9" ht="16.5" x14ac:dyDescent="0.3">
      <c r="A316" s="477">
        <v>6280241.5263937814</v>
      </c>
      <c r="B316" s="458">
        <v>5.340165667173058E-2</v>
      </c>
      <c r="C316" s="477">
        <v>5309980.0565610118</v>
      </c>
      <c r="D316" s="458">
        <v>4.1340188123554888E-2</v>
      </c>
      <c r="E316" s="477">
        <v>11071226.187146947</v>
      </c>
      <c r="F316" s="458">
        <v>0.11547868397594452</v>
      </c>
      <c r="G316" s="477">
        <v>86611767.910276636</v>
      </c>
      <c r="H316" s="458">
        <v>0.29334890063477603</v>
      </c>
      <c r="I316" s="468">
        <v>3.3487133075637168</v>
      </c>
    </row>
    <row r="317" spans="1:9" ht="16.5" x14ac:dyDescent="0.3">
      <c r="A317" s="477">
        <v>2873740.4444080824</v>
      </c>
      <c r="B317" s="458">
        <v>4.613929770986247E-2</v>
      </c>
      <c r="C317" s="477">
        <v>4140366.7775810272</v>
      </c>
      <c r="D317" s="458">
        <v>6.416403423343886E-2</v>
      </c>
      <c r="E317" s="477">
        <v>15736578.875690633</v>
      </c>
      <c r="F317" s="458">
        <v>9.708371285804529E-2</v>
      </c>
      <c r="G317" s="477">
        <v>89762252.161743417</v>
      </c>
      <c r="H317" s="458">
        <v>0.27343129774973729</v>
      </c>
      <c r="I317" s="468">
        <v>6.416021181897464</v>
      </c>
    </row>
    <row r="318" spans="1:9" ht="16.5" x14ac:dyDescent="0.3">
      <c r="A318" s="477">
        <v>10418940.985718377</v>
      </c>
      <c r="B318" s="458">
        <v>2.9857965200775771E-2</v>
      </c>
      <c r="C318" s="477">
        <v>11444938.058036512</v>
      </c>
      <c r="D318" s="458">
        <v>6.482574166507904E-2</v>
      </c>
      <c r="E318" s="477">
        <v>24840124.491323419</v>
      </c>
      <c r="F318" s="458">
        <v>9.5477984790149018E-2</v>
      </c>
      <c r="G318" s="477">
        <v>89382411.799525425</v>
      </c>
      <c r="H318" s="458">
        <v>0.25380416571010622</v>
      </c>
      <c r="I318" s="468">
        <v>4.2301008500856776</v>
      </c>
    </row>
    <row r="319" spans="1:9" ht="16.5" x14ac:dyDescent="0.3">
      <c r="A319" s="477">
        <v>4560091.8139145523</v>
      </c>
      <c r="B319" s="458">
        <v>2.9069555188762974E-2</v>
      </c>
      <c r="C319" s="477">
        <v>8962532.551263772</v>
      </c>
      <c r="D319" s="458">
        <v>7.1724839211180891E-2</v>
      </c>
      <c r="E319" s="477">
        <v>22017068.651423924</v>
      </c>
      <c r="F319" s="458">
        <v>0.11051467646604696</v>
      </c>
      <c r="G319" s="477">
        <v>97018201.900841609</v>
      </c>
      <c r="H319" s="458">
        <v>0.26734463770633488</v>
      </c>
      <c r="I319" s="468">
        <v>12.819450074998851</v>
      </c>
    </row>
    <row r="320" spans="1:9" ht="16.5" x14ac:dyDescent="0.3">
      <c r="A320" s="477">
        <v>1208086.000458082</v>
      </c>
      <c r="B320" s="458">
        <v>5.8016816748331257E-2</v>
      </c>
      <c r="C320" s="477">
        <v>6047236.7719043605</v>
      </c>
      <c r="D320" s="458">
        <v>2.7586228970982063E-2</v>
      </c>
      <c r="E320" s="477">
        <v>18331098.548805568</v>
      </c>
      <c r="F320" s="458">
        <v>0.11113839380444324</v>
      </c>
      <c r="G320" s="477">
        <v>91515459.70639573</v>
      </c>
      <c r="H320" s="458">
        <v>0.25756250492691901</v>
      </c>
      <c r="I320" s="468">
        <v>5.3186837560653073</v>
      </c>
    </row>
    <row r="321" spans="1:9" ht="16.5" x14ac:dyDescent="0.3">
      <c r="A321" s="477">
        <v>8306134.9423288731</v>
      </c>
      <c r="B321" s="458">
        <v>4.0379081995449928E-2</v>
      </c>
      <c r="C321" s="477">
        <v>6236531.2163097486</v>
      </c>
      <c r="D321" s="458">
        <v>4.9740162552471823E-2</v>
      </c>
      <c r="E321" s="477">
        <v>10642892.267575659</v>
      </c>
      <c r="F321" s="458">
        <v>0.11078856418657423</v>
      </c>
      <c r="G321" s="477">
        <v>87419699.652128786</v>
      </c>
      <c r="H321" s="458">
        <v>0.27277887313218829</v>
      </c>
      <c r="I321" s="468">
        <v>3.8211263657658803</v>
      </c>
    </row>
    <row r="322" spans="1:9" ht="16.5" x14ac:dyDescent="0.3">
      <c r="A322" s="477">
        <v>2627121.6684521814</v>
      </c>
      <c r="B322" s="458">
        <v>2.0269340948985137E-2</v>
      </c>
      <c r="C322" s="477">
        <v>5318673.6112766387</v>
      </c>
      <c r="D322" s="458">
        <v>6.7076099871521855E-2</v>
      </c>
      <c r="E322" s="477">
        <v>16292538.060237179</v>
      </c>
      <c r="F322" s="458">
        <v>0.11991006629960799</v>
      </c>
      <c r="G322" s="477">
        <v>89229970.247652844</v>
      </c>
      <c r="H322" s="458">
        <v>0.2676141411138182</v>
      </c>
      <c r="I322" s="468">
        <v>4.1369188036528985</v>
      </c>
    </row>
    <row r="323" spans="1:9" ht="16.5" x14ac:dyDescent="0.3">
      <c r="A323" s="477">
        <v>4317846.3082475709</v>
      </c>
      <c r="B323" s="458">
        <v>4.9389126374927317E-2</v>
      </c>
      <c r="C323" s="477">
        <v>10181973.625506524</v>
      </c>
      <c r="D323" s="458">
        <v>9.2949054126260533E-2</v>
      </c>
      <c r="E323" s="477">
        <v>20337699.713226572</v>
      </c>
      <c r="F323" s="458">
        <v>9.2534357569117764E-2</v>
      </c>
      <c r="G323" s="477">
        <v>87943053.52628237</v>
      </c>
      <c r="H323" s="458">
        <v>0.26342106772927587</v>
      </c>
      <c r="I323" s="468">
        <v>9.4742438379465863</v>
      </c>
    </row>
    <row r="324" spans="1:9" ht="16.5" x14ac:dyDescent="0.3">
      <c r="A324" s="477">
        <v>7116543.975114299</v>
      </c>
      <c r="B324" s="458">
        <v>4.5856964729045435E-2</v>
      </c>
      <c r="C324" s="477">
        <v>-2238499.0542153707</v>
      </c>
      <c r="D324" s="458">
        <v>9.1354432458337076E-2</v>
      </c>
      <c r="E324" s="477">
        <v>14826983.237753464</v>
      </c>
      <c r="F324" s="458">
        <v>9.4816530229017149E-2</v>
      </c>
      <c r="G324" s="477">
        <v>80725479.9545836</v>
      </c>
      <c r="H324" s="458">
        <v>0.26461360346674456</v>
      </c>
      <c r="I324" s="468">
        <v>8.8470803378827529</v>
      </c>
    </row>
    <row r="325" spans="1:9" ht="16.5" x14ac:dyDescent="0.3">
      <c r="A325" s="477">
        <v>4478241.5800858876</v>
      </c>
      <c r="B325" s="458">
        <v>2.9419110516625491E-2</v>
      </c>
      <c r="C325" s="477">
        <v>1215717.4497985567</v>
      </c>
      <c r="D325" s="458">
        <v>5.4055759775667678E-2</v>
      </c>
      <c r="E325" s="477">
        <v>9726002.9102486223</v>
      </c>
      <c r="F325" s="458">
        <v>0.10672194367551224</v>
      </c>
      <c r="G325" s="477">
        <v>78510302.114692479</v>
      </c>
      <c r="H325" s="458">
        <v>0.2715814137837862</v>
      </c>
      <c r="I325" s="468">
        <v>5.4820739798023634</v>
      </c>
    </row>
    <row r="326" spans="1:9" ht="16.5" x14ac:dyDescent="0.3">
      <c r="A326" s="477">
        <v>4671871.5030717282</v>
      </c>
      <c r="B326" s="458">
        <v>3.5773905982459775E-2</v>
      </c>
      <c r="C326" s="477">
        <v>10613136.038692851</v>
      </c>
      <c r="D326" s="458">
        <v>5.6212177577667166E-2</v>
      </c>
      <c r="E326" s="477">
        <v>16389457.235732248</v>
      </c>
      <c r="F326" s="458">
        <v>0.13569171701609606</v>
      </c>
      <c r="G326" s="477">
        <v>84330601.671997055</v>
      </c>
      <c r="H326" s="458">
        <v>0.27098256752536165</v>
      </c>
      <c r="I326" s="468">
        <v>7.7072900807058904</v>
      </c>
    </row>
    <row r="327" spans="1:9" ht="16.5" x14ac:dyDescent="0.3">
      <c r="A327" s="477">
        <v>5520674.9255756987</v>
      </c>
      <c r="B327" s="458">
        <v>4.727512525319022E-2</v>
      </c>
      <c r="C327" s="477">
        <v>9226492.7169661168</v>
      </c>
      <c r="D327" s="458">
        <v>5.6438428035795241E-2</v>
      </c>
      <c r="E327" s="477">
        <v>17965691.398323473</v>
      </c>
      <c r="F327" s="458">
        <v>0.11039430991142307</v>
      </c>
      <c r="G327" s="477">
        <v>105751871.92192608</v>
      </c>
      <c r="H327" s="458">
        <v>0.29567144863243988</v>
      </c>
      <c r="I327" s="468">
        <v>12.458931249827771</v>
      </c>
    </row>
    <row r="328" spans="1:9" ht="16.5" x14ac:dyDescent="0.3">
      <c r="A328" s="477">
        <v>1090768.0636606517</v>
      </c>
      <c r="B328" s="458">
        <v>2.9137437884319439E-2</v>
      </c>
      <c r="C328" s="477">
        <v>4766976.9923816528</v>
      </c>
      <c r="D328" s="458">
        <v>7.7619728511851838E-2</v>
      </c>
      <c r="E328" s="477">
        <v>10261240.860471966</v>
      </c>
      <c r="F328" s="458">
        <v>8.4618268832320709E-2</v>
      </c>
      <c r="G328" s="477">
        <v>75709345.298897907</v>
      </c>
      <c r="H328" s="458">
        <v>0.26945308713911231</v>
      </c>
      <c r="I328" s="468">
        <v>5.3268284917779543</v>
      </c>
    </row>
    <row r="329" spans="1:9" ht="16.5" x14ac:dyDescent="0.3">
      <c r="A329" s="477">
        <v>4536345.1617822051</v>
      </c>
      <c r="B329" s="458">
        <v>5.0892185252502387E-2</v>
      </c>
      <c r="C329" s="477">
        <v>6170935.4198664883</v>
      </c>
      <c r="D329" s="458">
        <v>6.3644567153272158E-2</v>
      </c>
      <c r="E329" s="477">
        <v>2236081.9138158322</v>
      </c>
      <c r="F329" s="458">
        <v>0.13758912336552798</v>
      </c>
      <c r="G329" s="477">
        <v>91075710.418921858</v>
      </c>
      <c r="H329" s="458">
        <v>0.25412103106455297</v>
      </c>
      <c r="I329" s="468">
        <v>11.822254560190906</v>
      </c>
    </row>
    <row r="330" spans="1:9" ht="16.5" x14ac:dyDescent="0.3">
      <c r="A330" s="477">
        <v>3987368.8464370575</v>
      </c>
      <c r="B330" s="458">
        <v>2.7605512269332388E-2</v>
      </c>
      <c r="C330" s="477">
        <v>11828461.249314392</v>
      </c>
      <c r="D330" s="458">
        <v>9.417546897143847E-2</v>
      </c>
      <c r="E330" s="477">
        <v>26901615.470625546</v>
      </c>
      <c r="F330" s="458">
        <v>0.15875639889085558</v>
      </c>
      <c r="G330" s="477">
        <v>89354315.819477469</v>
      </c>
      <c r="H330" s="458">
        <v>0.25893926642219545</v>
      </c>
      <c r="I330" s="468">
        <v>7.4241852737717267</v>
      </c>
    </row>
    <row r="331" spans="1:9" ht="16.5" x14ac:dyDescent="0.3">
      <c r="A331" s="477">
        <v>10411448.664769566</v>
      </c>
      <c r="B331" s="458">
        <v>5.6755087162844609E-2</v>
      </c>
      <c r="C331" s="477">
        <v>4524084.052205082</v>
      </c>
      <c r="D331" s="458">
        <v>5.3478340080704401E-2</v>
      </c>
      <c r="E331" s="477">
        <v>20091299.51832613</v>
      </c>
      <c r="F331" s="458">
        <v>0.11893455219909788</v>
      </c>
      <c r="G331" s="477">
        <v>84131461.977166206</v>
      </c>
      <c r="H331" s="458">
        <v>0.25812145491766625</v>
      </c>
      <c r="I331" s="468">
        <v>6.3840535603951842</v>
      </c>
    </row>
    <row r="332" spans="1:9" ht="16.5" x14ac:dyDescent="0.3">
      <c r="A332" s="477">
        <v>3584032.7394108055</v>
      </c>
      <c r="B332" s="458">
        <v>5.7233523310594281E-2</v>
      </c>
      <c r="C332" s="477">
        <v>4776719.6036431845</v>
      </c>
      <c r="D332" s="458">
        <v>4.9924633701078802E-2</v>
      </c>
      <c r="E332" s="477">
        <v>12340342.424310029</v>
      </c>
      <c r="F332" s="458">
        <v>0.13710950477443684</v>
      </c>
      <c r="G332" s="477">
        <v>92704319.660759106</v>
      </c>
      <c r="H332" s="458">
        <v>0.25322238036066125</v>
      </c>
      <c r="I332" s="468">
        <v>4.3212945139450971</v>
      </c>
    </row>
    <row r="333" spans="1:9" ht="16.5" x14ac:dyDescent="0.3">
      <c r="A333" s="477">
        <v>7150512.607109311</v>
      </c>
      <c r="B333" s="458">
        <v>3.2922094563580639E-2</v>
      </c>
      <c r="C333" s="477">
        <v>4193779.3464211463</v>
      </c>
      <c r="D333" s="458">
        <v>0.10494330574015009</v>
      </c>
      <c r="E333" s="477">
        <v>17110670.448510323</v>
      </c>
      <c r="F333" s="458">
        <v>0.10657387630809345</v>
      </c>
      <c r="G333" s="477">
        <v>103383813.1736684</v>
      </c>
      <c r="H333" s="458">
        <v>0.25864636294991872</v>
      </c>
      <c r="I333" s="468">
        <v>10.411131319846115</v>
      </c>
    </row>
    <row r="334" spans="1:9" ht="16.5" x14ac:dyDescent="0.3">
      <c r="A334" s="477">
        <v>-537541.99437827163</v>
      </c>
      <c r="B334" s="458">
        <v>5.0651320849582016E-2</v>
      </c>
      <c r="C334" s="477">
        <v>16245829.715183059</v>
      </c>
      <c r="D334" s="458">
        <v>9.8626115073237264E-2</v>
      </c>
      <c r="E334" s="477">
        <v>21886549.449603193</v>
      </c>
      <c r="F334" s="458">
        <v>0.11152131555054079</v>
      </c>
      <c r="G334" s="477">
        <v>86657069.501192287</v>
      </c>
      <c r="H334" s="458">
        <v>0.27510238312314317</v>
      </c>
      <c r="I334" s="468">
        <v>7.3617052133277197</v>
      </c>
    </row>
    <row r="335" spans="1:9" ht="16.5" x14ac:dyDescent="0.3">
      <c r="A335" s="477">
        <v>2924288.3131878744</v>
      </c>
      <c r="B335" s="458">
        <v>3.0923224236791391E-2</v>
      </c>
      <c r="C335" s="477">
        <v>-1840170.1375174741</v>
      </c>
      <c r="D335" s="458">
        <v>5.5497929287958936E-2</v>
      </c>
      <c r="E335" s="477">
        <v>18583023.109736782</v>
      </c>
      <c r="F335" s="458">
        <v>0.11534562549000227</v>
      </c>
      <c r="G335" s="477">
        <v>91506013.666866109</v>
      </c>
      <c r="H335" s="458">
        <v>0.25684389939159447</v>
      </c>
      <c r="I335" s="468">
        <v>5.1418341105148002</v>
      </c>
    </row>
    <row r="336" spans="1:9" ht="16.5" x14ac:dyDescent="0.3">
      <c r="A336" s="477">
        <v>5958280.203747821</v>
      </c>
      <c r="B336" s="458">
        <v>3.174328875244492E-2</v>
      </c>
      <c r="C336" s="477">
        <v>3790705.5038319379</v>
      </c>
      <c r="D336" s="458">
        <v>3.192282412289571E-2</v>
      </c>
      <c r="E336" s="477">
        <v>18644828.950812332</v>
      </c>
      <c r="F336" s="458">
        <v>0.12050714298499665</v>
      </c>
      <c r="G336" s="477">
        <v>102115462.8680252</v>
      </c>
      <c r="H336" s="458">
        <v>0.2554938428049276</v>
      </c>
      <c r="I336" s="468">
        <v>7.0365883475317093</v>
      </c>
    </row>
    <row r="337" spans="1:9" ht="16.5" x14ac:dyDescent="0.3">
      <c r="A337" s="477">
        <v>3829032.956688276</v>
      </c>
      <c r="B337" s="458">
        <v>3.2397210045381541E-2</v>
      </c>
      <c r="C337" s="477">
        <v>7441223.0686340509</v>
      </c>
      <c r="D337" s="458">
        <v>0.1051463424790835</v>
      </c>
      <c r="E337" s="477">
        <v>14168823.642698016</v>
      </c>
      <c r="F337" s="458">
        <v>0.11880399712361567</v>
      </c>
      <c r="G337" s="477">
        <v>95226331.089074075</v>
      </c>
      <c r="H337" s="458">
        <v>0.26892962956255384</v>
      </c>
      <c r="I337" s="468">
        <v>10.875618493922413</v>
      </c>
    </row>
    <row r="338" spans="1:9" ht="16.5" x14ac:dyDescent="0.3">
      <c r="A338" s="477">
        <v>3720702.9707216658</v>
      </c>
      <c r="B338" s="458">
        <v>4.8707133253150126E-2</v>
      </c>
      <c r="C338" s="477">
        <v>6093333.0106028738</v>
      </c>
      <c r="D338" s="458">
        <v>7.1063935707509795E-2</v>
      </c>
      <c r="E338" s="477">
        <v>16670510.455478158</v>
      </c>
      <c r="F338" s="458">
        <v>9.7964246959592938E-2</v>
      </c>
      <c r="G338" s="477">
        <v>81627781.944385573</v>
      </c>
      <c r="H338" s="458">
        <v>0.26257241244232432</v>
      </c>
      <c r="I338" s="468">
        <v>3.1624262603634286</v>
      </c>
    </row>
    <row r="339" spans="1:9" ht="16.5" x14ac:dyDescent="0.3">
      <c r="A339" s="477">
        <v>9666259.4893844202</v>
      </c>
      <c r="B339" s="458">
        <v>2.6083529817669593E-2</v>
      </c>
      <c r="C339" s="477">
        <v>11747623.715882413</v>
      </c>
      <c r="D339" s="458">
        <v>6.8292791827821553E-2</v>
      </c>
      <c r="E339" s="477">
        <v>13269680.999362256</v>
      </c>
      <c r="F339" s="458">
        <v>0.11033253619964611</v>
      </c>
      <c r="G339" s="477">
        <v>93215008.171031386</v>
      </c>
      <c r="H339" s="458">
        <v>0.25349349656091236</v>
      </c>
      <c r="I339" s="468">
        <v>8.5267378998964549</v>
      </c>
    </row>
    <row r="340" spans="1:9" ht="16.5" x14ac:dyDescent="0.3">
      <c r="A340" s="477">
        <v>6955362.0513260961</v>
      </c>
      <c r="B340" s="458">
        <v>3.9555547443721917E-2</v>
      </c>
      <c r="C340" s="477">
        <v>6784325.2454859894</v>
      </c>
      <c r="D340" s="458">
        <v>6.794574788784935E-2</v>
      </c>
      <c r="E340" s="477">
        <v>22427801.404670272</v>
      </c>
      <c r="F340" s="458">
        <v>0.11104008108726493</v>
      </c>
      <c r="G340" s="477">
        <v>94433559.233182654</v>
      </c>
      <c r="H340" s="458">
        <v>0.29386849384024538</v>
      </c>
      <c r="I340" s="468">
        <v>3.3424556372215015</v>
      </c>
    </row>
    <row r="341" spans="1:9" ht="16.5" x14ac:dyDescent="0.3">
      <c r="A341" s="477">
        <v>3508172.2103709998</v>
      </c>
      <c r="B341" s="458">
        <v>3.1078735166937488E-2</v>
      </c>
      <c r="C341" s="477">
        <v>2683290.6325832107</v>
      </c>
      <c r="D341" s="458">
        <v>8.9284843347477993E-2</v>
      </c>
      <c r="E341" s="477">
        <v>9380741.5302671343</v>
      </c>
      <c r="F341" s="458">
        <v>9.7355593221937875E-2</v>
      </c>
      <c r="G341" s="477">
        <v>89282329.938187063</v>
      </c>
      <c r="H341" s="458">
        <v>0.267515896311044</v>
      </c>
      <c r="I341" s="468">
        <v>11.684567004973303</v>
      </c>
    </row>
    <row r="342" spans="1:9" ht="16.5" x14ac:dyDescent="0.3">
      <c r="A342" s="477">
        <v>7927394.9080915637</v>
      </c>
      <c r="B342" s="458">
        <v>4.6168578370332281E-2</v>
      </c>
      <c r="C342" s="477">
        <v>3643172.6236509699</v>
      </c>
      <c r="D342" s="458">
        <v>4.9260540032516342E-2</v>
      </c>
      <c r="E342" s="477">
        <v>15242751.499313448</v>
      </c>
      <c r="F342" s="458">
        <v>9.4995612667492901E-2</v>
      </c>
      <c r="G342" s="477">
        <v>96513508.644646615</v>
      </c>
      <c r="H342" s="458">
        <v>0.27288738144246927</v>
      </c>
      <c r="I342" s="468">
        <v>6.3867561706124132</v>
      </c>
    </row>
    <row r="343" spans="1:9" ht="16.5" x14ac:dyDescent="0.3">
      <c r="A343" s="477">
        <v>4384588.4071255606</v>
      </c>
      <c r="B343" s="458">
        <v>3.4824786062915836E-2</v>
      </c>
      <c r="C343" s="477">
        <v>10885756.125231927</v>
      </c>
      <c r="D343" s="458">
        <v>7.3573130662555331E-2</v>
      </c>
      <c r="E343" s="477">
        <v>14766647.689658927</v>
      </c>
      <c r="F343" s="458">
        <v>0.10788395237210513</v>
      </c>
      <c r="G343" s="477">
        <v>89397811.132757053</v>
      </c>
      <c r="H343" s="458">
        <v>0.26047974788965966</v>
      </c>
      <c r="I343" s="468">
        <v>6.1647052282211616</v>
      </c>
    </row>
    <row r="344" spans="1:9" ht="16.5" x14ac:dyDescent="0.3">
      <c r="A344" s="477">
        <v>1405172.1536041263</v>
      </c>
      <c r="B344" s="458">
        <v>4.8934478772586942E-2</v>
      </c>
      <c r="C344" s="477">
        <v>7727685.5068610245</v>
      </c>
      <c r="D344" s="458">
        <v>6.9599832944869711E-2</v>
      </c>
      <c r="E344" s="477">
        <v>13742335.825689731</v>
      </c>
      <c r="F344" s="458">
        <v>0.10779355604246899</v>
      </c>
      <c r="G344" s="477">
        <v>98649084.866455808</v>
      </c>
      <c r="H344" s="458">
        <v>0.26623894424810834</v>
      </c>
      <c r="I344" s="468">
        <v>5.7156757135162248</v>
      </c>
    </row>
    <row r="345" spans="1:9" ht="16.5" x14ac:dyDescent="0.3">
      <c r="A345" s="477">
        <v>2221854.5933155185</v>
      </c>
      <c r="B345" s="458">
        <v>5.873236439293783E-2</v>
      </c>
      <c r="C345" s="477">
        <v>9336797.2242959235</v>
      </c>
      <c r="D345" s="458">
        <v>5.2385555324593991E-2</v>
      </c>
      <c r="E345" s="477">
        <v>16019723.91806525</v>
      </c>
      <c r="F345" s="458">
        <v>8.5111344273393064E-2</v>
      </c>
      <c r="G345" s="477">
        <v>80733842.082960784</v>
      </c>
      <c r="H345" s="458">
        <v>0.283840500844317</v>
      </c>
      <c r="I345" s="468">
        <v>7.7636916840505963</v>
      </c>
    </row>
    <row r="346" spans="1:9" ht="16.5" x14ac:dyDescent="0.3">
      <c r="A346" s="477">
        <v>9854585.134947069</v>
      </c>
      <c r="B346" s="458">
        <v>3.4004792441848064E-2</v>
      </c>
      <c r="C346" s="477">
        <v>11755479.136371419</v>
      </c>
      <c r="D346" s="458">
        <v>6.5352164084943487E-2</v>
      </c>
      <c r="E346" s="477">
        <v>449457.37090560282</v>
      </c>
      <c r="F346" s="458">
        <v>0.10842351901898217</v>
      </c>
      <c r="G346" s="477">
        <v>91497692.821764424</v>
      </c>
      <c r="H346" s="458">
        <v>0.27365112694396032</v>
      </c>
      <c r="I346" s="468">
        <v>9.5585902870421897</v>
      </c>
    </row>
    <row r="347" spans="1:9" ht="16.5" x14ac:dyDescent="0.3">
      <c r="A347" s="477">
        <v>2809270.5605427092</v>
      </c>
      <c r="B347" s="458">
        <v>2.6009377562440594E-2</v>
      </c>
      <c r="C347" s="477">
        <v>7760952.5016254429</v>
      </c>
      <c r="D347" s="458">
        <v>7.3440984418148281E-2</v>
      </c>
      <c r="E347" s="477">
        <v>12797966.917598333</v>
      </c>
      <c r="F347" s="458">
        <v>0.10719290709628382</v>
      </c>
      <c r="G347" s="477">
        <v>82931131.297903538</v>
      </c>
      <c r="H347" s="458">
        <v>0.25893162308736439</v>
      </c>
      <c r="I347" s="468">
        <v>12.777920805834238</v>
      </c>
    </row>
    <row r="348" spans="1:9" ht="16.5" x14ac:dyDescent="0.3">
      <c r="A348" s="477">
        <v>4429790.1449542502</v>
      </c>
      <c r="B348" s="458">
        <v>3.6443656056559526E-2</v>
      </c>
      <c r="C348" s="477">
        <v>13115758.732280359</v>
      </c>
      <c r="D348" s="458">
        <v>7.7931762741119348E-2</v>
      </c>
      <c r="E348" s="477">
        <v>17114187.992139328</v>
      </c>
      <c r="F348" s="458">
        <v>9.070655846720288E-2</v>
      </c>
      <c r="G348" s="477">
        <v>92273467.83664082</v>
      </c>
      <c r="H348" s="458">
        <v>0.24900803926017723</v>
      </c>
      <c r="I348" s="468">
        <v>4.5079294804269594</v>
      </c>
    </row>
    <row r="349" spans="1:9" ht="16.5" x14ac:dyDescent="0.3">
      <c r="A349" s="477">
        <v>8636652.8732593562</v>
      </c>
      <c r="B349" s="458">
        <v>5.1777842524134643E-2</v>
      </c>
      <c r="C349" s="477">
        <v>6868407.8865471333</v>
      </c>
      <c r="D349" s="458">
        <v>8.7053025615482005E-2</v>
      </c>
      <c r="E349" s="477">
        <v>19383875.042056613</v>
      </c>
      <c r="F349" s="458">
        <v>0.12086167593558561</v>
      </c>
      <c r="G349" s="477">
        <v>85327114.008815452</v>
      </c>
      <c r="H349" s="458">
        <v>0.27973882504552949</v>
      </c>
      <c r="I349" s="468">
        <v>12.373644930099347</v>
      </c>
    </row>
    <row r="350" spans="1:9" ht="16.5" x14ac:dyDescent="0.3">
      <c r="A350" s="477">
        <v>5549118.3253047336</v>
      </c>
      <c r="B350" s="458">
        <v>5.2512914298165958E-2</v>
      </c>
      <c r="C350" s="477">
        <v>15274586.420718972</v>
      </c>
      <c r="D350" s="458">
        <v>4.534504627591196E-2</v>
      </c>
      <c r="E350" s="477">
        <v>14448040.176852595</v>
      </c>
      <c r="F350" s="458">
        <v>0.11329023845704245</v>
      </c>
      <c r="G350" s="477">
        <v>92355099.48943767</v>
      </c>
      <c r="H350" s="458">
        <v>0.26790188716796104</v>
      </c>
      <c r="I350" s="468">
        <v>13.516063123946711</v>
      </c>
    </row>
    <row r="351" spans="1:9" ht="16.5" x14ac:dyDescent="0.3">
      <c r="A351" s="477">
        <v>5908682.1485978495</v>
      </c>
      <c r="B351" s="458">
        <v>4.2167262551117801E-2</v>
      </c>
      <c r="C351" s="477">
        <v>8895411.0334490165</v>
      </c>
      <c r="D351" s="458">
        <v>9.8942680641196601E-2</v>
      </c>
      <c r="E351" s="477">
        <v>20682742.602617182</v>
      </c>
      <c r="F351" s="458">
        <v>0.10428637542686925</v>
      </c>
      <c r="G351" s="477">
        <v>82370650.971988395</v>
      </c>
      <c r="H351" s="458">
        <v>0.28329866892968036</v>
      </c>
      <c r="I351" s="468">
        <v>5.3901641606437014</v>
      </c>
    </row>
    <row r="352" spans="1:9" ht="16.5" x14ac:dyDescent="0.3">
      <c r="A352" s="477">
        <v>4203915.2460470572</v>
      </c>
      <c r="B352" s="458">
        <v>2.7763725324038813E-2</v>
      </c>
      <c r="C352" s="477">
        <v>10575321.14455816</v>
      </c>
      <c r="D352" s="458">
        <v>4.6343247929645948E-2</v>
      </c>
      <c r="E352" s="477">
        <v>21688405.506579898</v>
      </c>
      <c r="F352" s="458">
        <v>0.1247710230803778</v>
      </c>
      <c r="G352" s="477">
        <v>85976259.559564859</v>
      </c>
      <c r="H352" s="458">
        <v>0.27517471208582744</v>
      </c>
      <c r="I352" s="468">
        <v>6.2876155907437941</v>
      </c>
    </row>
    <row r="353" spans="1:9" ht="16.5" x14ac:dyDescent="0.3">
      <c r="A353" s="477">
        <v>2580544.1793826027</v>
      </c>
      <c r="B353" s="458">
        <v>4.9417512226710203E-2</v>
      </c>
      <c r="C353" s="477">
        <v>11197165.711983398</v>
      </c>
      <c r="D353" s="458">
        <v>6.7206122717867967E-2</v>
      </c>
      <c r="E353" s="477">
        <v>16962944.319559164</v>
      </c>
      <c r="F353" s="458">
        <v>0.10719596521448493</v>
      </c>
      <c r="G353" s="477">
        <v>85195581.97294797</v>
      </c>
      <c r="H353" s="458">
        <v>0.31848361549060633</v>
      </c>
      <c r="I353" s="468">
        <v>12.319494026230526</v>
      </c>
    </row>
    <row r="354" spans="1:9" ht="16.5" x14ac:dyDescent="0.3">
      <c r="A354" s="477">
        <v>5048331.7363958117</v>
      </c>
      <c r="B354" s="458">
        <v>4.9232306500224254E-2</v>
      </c>
      <c r="C354" s="477">
        <v>9862842.6231333781</v>
      </c>
      <c r="D354" s="458">
        <v>6.375951901602428E-2</v>
      </c>
      <c r="E354" s="477">
        <v>24210720.730143413</v>
      </c>
      <c r="F354" s="458">
        <v>0.10731439604820681</v>
      </c>
      <c r="G354" s="477">
        <v>85557657.33425954</v>
      </c>
      <c r="H354" s="458">
        <v>0.27784238169000264</v>
      </c>
      <c r="I354" s="468">
        <v>8.628977837186067</v>
      </c>
    </row>
    <row r="355" spans="1:9" ht="16.5" x14ac:dyDescent="0.3">
      <c r="A355" s="477">
        <v>5836082.9004384438</v>
      </c>
      <c r="B355" s="458">
        <v>4.3884877670264055E-2</v>
      </c>
      <c r="C355" s="477">
        <v>9094803.5503113084</v>
      </c>
      <c r="D355" s="458">
        <v>7.3425740950941565E-2</v>
      </c>
      <c r="E355" s="477">
        <v>16761851.466095423</v>
      </c>
      <c r="F355" s="458">
        <v>0.10091159182944787</v>
      </c>
      <c r="G355" s="477">
        <v>89518513.779375583</v>
      </c>
      <c r="H355" s="458">
        <v>0.26758411486961386</v>
      </c>
      <c r="I355" s="468">
        <v>10.085395036880469</v>
      </c>
    </row>
    <row r="356" spans="1:9" ht="16.5" x14ac:dyDescent="0.3">
      <c r="A356" s="477">
        <v>923393.76034430158</v>
      </c>
      <c r="B356" s="458">
        <v>1.4132881237794104E-2</v>
      </c>
      <c r="C356" s="477">
        <v>11865316.064309625</v>
      </c>
      <c r="D356" s="458">
        <v>6.5607429669595652E-2</v>
      </c>
      <c r="E356" s="477">
        <v>13306840.816309586</v>
      </c>
      <c r="F356" s="458">
        <v>0.11131759244986106</v>
      </c>
      <c r="G356" s="477">
        <v>90934935.855034232</v>
      </c>
      <c r="H356" s="458">
        <v>0.27758021380441344</v>
      </c>
      <c r="I356" s="468">
        <v>6.9778446184834166</v>
      </c>
    </row>
    <row r="357" spans="1:9" ht="16.5" x14ac:dyDescent="0.3">
      <c r="A357" s="477">
        <v>4200847.108885535</v>
      </c>
      <c r="B357" s="458">
        <v>3.3260330123313864E-2</v>
      </c>
      <c r="C357" s="477">
        <v>10222817.10824243</v>
      </c>
      <c r="D357" s="458">
        <v>6.6483689054196216E-2</v>
      </c>
      <c r="E357" s="477">
        <v>17057009.964656431</v>
      </c>
      <c r="F357" s="458">
        <v>0.10380402357691509</v>
      </c>
      <c r="G357" s="477">
        <v>100360103.65446325</v>
      </c>
      <c r="H357" s="458">
        <v>0.25432614896859906</v>
      </c>
      <c r="I357" s="468">
        <v>14.666655350996976</v>
      </c>
    </row>
    <row r="358" spans="1:9" ht="16.5" x14ac:dyDescent="0.3">
      <c r="A358" s="477">
        <v>687140.20334556943</v>
      </c>
      <c r="B358" s="458">
        <v>2.5867246347469619E-2</v>
      </c>
      <c r="C358" s="477">
        <v>12610649.306642931</v>
      </c>
      <c r="D358" s="458">
        <v>9.0401361558016591E-2</v>
      </c>
      <c r="E358" s="477">
        <v>10692326.614379266</v>
      </c>
      <c r="F358" s="458">
        <v>0.11408636948894291</v>
      </c>
      <c r="G358" s="477">
        <v>91070157.675804555</v>
      </c>
      <c r="H358" s="458">
        <v>0.27834325542403104</v>
      </c>
      <c r="I358" s="468">
        <v>1.7276101349665609</v>
      </c>
    </row>
    <row r="359" spans="1:9" ht="16.5" x14ac:dyDescent="0.3">
      <c r="A359" s="477">
        <v>1491158.6299279656</v>
      </c>
      <c r="B359" s="458">
        <v>2.1765053081479024E-2</v>
      </c>
      <c r="C359" s="477">
        <v>3277653.5281657414</v>
      </c>
      <c r="D359" s="458">
        <v>5.8343967524322471E-2</v>
      </c>
      <c r="E359" s="477">
        <v>12120446.224178217</v>
      </c>
      <c r="F359" s="458">
        <v>0.13049465205148625</v>
      </c>
      <c r="G359" s="477">
        <v>63994060.528308779</v>
      </c>
      <c r="H359" s="458">
        <v>0.28058121471837816</v>
      </c>
      <c r="I359" s="468">
        <v>7.1215042495128182</v>
      </c>
    </row>
    <row r="360" spans="1:9" ht="16.5" x14ac:dyDescent="0.3">
      <c r="A360" s="477">
        <v>4657528.8001724752</v>
      </c>
      <c r="B360" s="458">
        <v>4.9084617490158688E-2</v>
      </c>
      <c r="C360" s="477">
        <v>12374778.29434965</v>
      </c>
      <c r="D360" s="458">
        <v>2.9653516136996405E-2</v>
      </c>
      <c r="E360" s="477">
        <v>21087358.055646863</v>
      </c>
      <c r="F360" s="458">
        <v>9.937042528024298E-2</v>
      </c>
      <c r="G360" s="477">
        <v>84040768.090707898</v>
      </c>
      <c r="H360" s="458">
        <v>0.26505972156570734</v>
      </c>
      <c r="I360" s="468">
        <v>4.3665427275746662</v>
      </c>
    </row>
    <row r="361" spans="1:9" ht="16.5" x14ac:dyDescent="0.3">
      <c r="A361" s="477">
        <v>-738857.96446697833</v>
      </c>
      <c r="B361" s="458">
        <v>5.4780420294989307E-2</v>
      </c>
      <c r="C361" s="477">
        <v>12750654.783113224</v>
      </c>
      <c r="D361" s="458">
        <v>6.9645392069757728E-2</v>
      </c>
      <c r="E361" s="477">
        <v>22389859.574288387</v>
      </c>
      <c r="F361" s="458">
        <v>0.11403860343022654</v>
      </c>
      <c r="G361" s="477">
        <v>87963550.325556755</v>
      </c>
      <c r="H361" s="458">
        <v>0.26821293748265651</v>
      </c>
      <c r="I361" s="468">
        <v>9.8478282972529012</v>
      </c>
    </row>
    <row r="362" spans="1:9" ht="16.5" x14ac:dyDescent="0.3">
      <c r="A362" s="477">
        <v>7555632.9052202338</v>
      </c>
      <c r="B362" s="458">
        <v>2.7504572479392753E-2</v>
      </c>
      <c r="C362" s="477">
        <v>8328360.1418151231</v>
      </c>
      <c r="D362" s="458">
        <v>8.2358358715647118E-2</v>
      </c>
      <c r="E362" s="477">
        <v>18299228.081977177</v>
      </c>
      <c r="F362" s="458">
        <v>0.12277334703324772</v>
      </c>
      <c r="G362" s="477">
        <v>97542511.184041753</v>
      </c>
      <c r="H362" s="458">
        <v>0.25589916821631586</v>
      </c>
      <c r="I362" s="468">
        <v>5.7417363123498522</v>
      </c>
    </row>
    <row r="363" spans="1:9" ht="16.5" x14ac:dyDescent="0.3">
      <c r="A363" s="477">
        <v>5958191.1148986584</v>
      </c>
      <c r="B363" s="458">
        <v>4.3772075413121891E-2</v>
      </c>
      <c r="C363" s="477">
        <v>9439673.5782733262</v>
      </c>
      <c r="D363" s="458">
        <v>6.4663341160397625E-2</v>
      </c>
      <c r="E363" s="477">
        <v>26411025.279842652</v>
      </c>
      <c r="F363" s="458">
        <v>0.13139689860818593</v>
      </c>
      <c r="G363" s="477">
        <v>93207682.661158711</v>
      </c>
      <c r="H363" s="458">
        <v>0.26127280544922749</v>
      </c>
      <c r="I363" s="468">
        <v>10.179991984440523</v>
      </c>
    </row>
    <row r="364" spans="1:9" ht="16.5" x14ac:dyDescent="0.3">
      <c r="A364" s="477">
        <v>6833005.0641417066</v>
      </c>
      <c r="B364" s="458">
        <v>4.8318408858158524E-2</v>
      </c>
      <c r="C364" s="477">
        <v>12452498.187839566</v>
      </c>
      <c r="D364" s="458">
        <v>7.5143813978028273E-2</v>
      </c>
      <c r="E364" s="477">
        <v>15154040.038582707</v>
      </c>
      <c r="F364" s="458">
        <v>9.6731903881165149E-2</v>
      </c>
      <c r="G364" s="477">
        <v>91801680.015745118</v>
      </c>
      <c r="H364" s="458">
        <v>0.24632319335942676</v>
      </c>
      <c r="I364" s="468">
        <v>5.3919283762284307</v>
      </c>
    </row>
    <row r="365" spans="1:9" ht="16.5" x14ac:dyDescent="0.3">
      <c r="A365" s="477">
        <v>5249294.8111849409</v>
      </c>
      <c r="B365" s="458">
        <v>4.8170047661306503E-2</v>
      </c>
      <c r="C365" s="477">
        <v>10230083.563342119</v>
      </c>
      <c r="D365" s="458">
        <v>6.4129310735614897E-2</v>
      </c>
      <c r="E365" s="477">
        <v>13304230.927345283</v>
      </c>
      <c r="F365" s="458">
        <v>9.9349022715801372E-2</v>
      </c>
      <c r="G365" s="477">
        <v>77991213.514254659</v>
      </c>
      <c r="H365" s="458">
        <v>0.2603377961781792</v>
      </c>
      <c r="I365" s="468">
        <v>8.0036609141715775</v>
      </c>
    </row>
    <row r="366" spans="1:9" ht="16.5" x14ac:dyDescent="0.3">
      <c r="A366" s="477">
        <v>1613577.3753955499</v>
      </c>
      <c r="B366" s="458">
        <v>3.6773502896541244E-2</v>
      </c>
      <c r="C366" s="477">
        <v>7552310.1504768543</v>
      </c>
      <c r="D366" s="458">
        <v>6.56636630368157E-2</v>
      </c>
      <c r="E366" s="477">
        <v>19628687.549372487</v>
      </c>
      <c r="F366" s="458">
        <v>9.9296557527902785E-2</v>
      </c>
      <c r="G366" s="477">
        <v>100822652.72829065</v>
      </c>
      <c r="H366" s="458">
        <v>0.25254613090114897</v>
      </c>
      <c r="I366" s="468">
        <v>8.8264652290324328</v>
      </c>
    </row>
    <row r="367" spans="1:9" ht="16.5" x14ac:dyDescent="0.3">
      <c r="A367" s="477">
        <v>3891576.3755751676</v>
      </c>
      <c r="B367" s="458">
        <v>4.086745795106328E-2</v>
      </c>
      <c r="C367" s="477">
        <v>12958229.939678954</v>
      </c>
      <c r="D367" s="458">
        <v>5.7669655563737265E-2</v>
      </c>
      <c r="E367" s="477">
        <v>6874432.2122616852</v>
      </c>
      <c r="F367" s="458">
        <v>0.12453725749162858</v>
      </c>
      <c r="G367" s="477">
        <v>77270464.004555747</v>
      </c>
      <c r="H367" s="458">
        <v>0.25931239314249765</v>
      </c>
      <c r="I367" s="468">
        <v>13.47299856246155</v>
      </c>
    </row>
    <row r="368" spans="1:9" ht="16.5" x14ac:dyDescent="0.3">
      <c r="A368" s="477">
        <v>1595103.5464683911</v>
      </c>
      <c r="B368" s="458">
        <v>4.0224055130372971E-2</v>
      </c>
      <c r="C368" s="477">
        <v>11848345.867764244</v>
      </c>
      <c r="D368" s="458">
        <v>5.3339113601341914E-2</v>
      </c>
      <c r="E368" s="477">
        <v>12925770.961250225</v>
      </c>
      <c r="F368" s="458">
        <v>0.11262008389378608</v>
      </c>
      <c r="G368" s="477">
        <v>85816657.347107977</v>
      </c>
      <c r="H368" s="458">
        <v>0.2924520113591027</v>
      </c>
      <c r="I368" s="468">
        <v>8.7802893930651233</v>
      </c>
    </row>
    <row r="369" spans="1:9" ht="16.5" x14ac:dyDescent="0.3">
      <c r="A369" s="477">
        <v>10736435.867629196</v>
      </c>
      <c r="B369" s="458">
        <v>3.6135552857065933E-2</v>
      </c>
      <c r="C369" s="477">
        <v>13076327.787118256</v>
      </c>
      <c r="D369" s="458">
        <v>6.7318828930412522E-2</v>
      </c>
      <c r="E369" s="477">
        <v>13366013.185256364</v>
      </c>
      <c r="F369" s="458">
        <v>0.10843345208847843</v>
      </c>
      <c r="G369" s="477">
        <v>97520526.694847301</v>
      </c>
      <c r="H369" s="458">
        <v>0.25438168420828333</v>
      </c>
      <c r="I369" s="468">
        <v>9.2766585980915259</v>
      </c>
    </row>
    <row r="370" spans="1:9" ht="16.5" x14ac:dyDescent="0.3">
      <c r="A370" s="477">
        <v>4339397.0694149565</v>
      </c>
      <c r="B370" s="458">
        <v>6.7294241837328572E-2</v>
      </c>
      <c r="C370" s="477">
        <v>5077214.9452432189</v>
      </c>
      <c r="D370" s="458">
        <v>5.3754685820784021E-2</v>
      </c>
      <c r="E370" s="477">
        <v>16559991.613845773</v>
      </c>
      <c r="F370" s="458">
        <v>0.11947711132838079</v>
      </c>
      <c r="G370" s="477">
        <v>95586736.977769166</v>
      </c>
      <c r="H370" s="458">
        <v>0.28197568801717621</v>
      </c>
      <c r="I370" s="468">
        <v>5.8146992860133802</v>
      </c>
    </row>
    <row r="371" spans="1:9" ht="16.5" x14ac:dyDescent="0.3">
      <c r="A371" s="477">
        <v>3608256.0325670321</v>
      </c>
      <c r="B371" s="458">
        <v>5.7749629664396229E-2</v>
      </c>
      <c r="C371" s="477">
        <v>7074584.2457603319</v>
      </c>
      <c r="D371" s="458">
        <v>4.2115247985665016E-2</v>
      </c>
      <c r="E371" s="477">
        <v>19495119.970765963</v>
      </c>
      <c r="F371" s="458">
        <v>0.10886612484416003</v>
      </c>
      <c r="G371" s="477">
        <v>91087208.042424113</v>
      </c>
      <c r="H371" s="458">
        <v>0.26011971647198728</v>
      </c>
      <c r="I371" s="468">
        <v>2.909284240738649</v>
      </c>
    </row>
    <row r="372" spans="1:9" ht="16.5" x14ac:dyDescent="0.3">
      <c r="A372" s="477">
        <v>3556914.7779670195</v>
      </c>
      <c r="B372" s="458">
        <v>2.6953038101116267E-2</v>
      </c>
      <c r="C372" s="477">
        <v>10198671.577125067</v>
      </c>
      <c r="D372" s="458">
        <v>5.3838203274832575E-2</v>
      </c>
      <c r="E372" s="477">
        <v>15525473.938684175</v>
      </c>
      <c r="F372" s="458">
        <v>0.15285565410167612</v>
      </c>
      <c r="G372" s="477">
        <v>96242907.93175137</v>
      </c>
      <c r="H372" s="458">
        <v>0.2586635572267606</v>
      </c>
      <c r="I372" s="468">
        <v>7.3070960782216892</v>
      </c>
    </row>
    <row r="373" spans="1:9" ht="16.5" x14ac:dyDescent="0.3">
      <c r="A373" s="477">
        <v>3323003.7603121265</v>
      </c>
      <c r="B373" s="458">
        <v>3.039592898308352E-2</v>
      </c>
      <c r="C373" s="477">
        <v>5029254.0600121906</v>
      </c>
      <c r="D373" s="458">
        <v>6.4788200569594778E-2</v>
      </c>
      <c r="E373" s="477">
        <v>13159364.178058507</v>
      </c>
      <c r="F373" s="458">
        <v>0.11875185067937011</v>
      </c>
      <c r="G373" s="477">
        <v>91995923.656371504</v>
      </c>
      <c r="H373" s="458">
        <v>0.26896801580130503</v>
      </c>
      <c r="I373" s="468">
        <v>7.6260110374345107</v>
      </c>
    </row>
    <row r="374" spans="1:9" ht="16.5" x14ac:dyDescent="0.3">
      <c r="A374" s="477">
        <v>8119554.7605316509</v>
      </c>
      <c r="B374" s="458">
        <v>2.3579880243162155E-2</v>
      </c>
      <c r="C374" s="477">
        <v>4464996.8157703541</v>
      </c>
      <c r="D374" s="458">
        <v>6.3235393062563983E-2</v>
      </c>
      <c r="E374" s="477">
        <v>11762185.261805186</v>
      </c>
      <c r="F374" s="458">
        <v>0.11251272833253689</v>
      </c>
      <c r="G374" s="477">
        <v>105450110.43701701</v>
      </c>
      <c r="H374" s="458">
        <v>0.2579239200879222</v>
      </c>
      <c r="I374" s="468">
        <v>3.3596574077457229</v>
      </c>
    </row>
    <row r="375" spans="1:9" ht="16.5" x14ac:dyDescent="0.3">
      <c r="A375" s="477">
        <v>7148786.0181294158</v>
      </c>
      <c r="B375" s="458">
        <v>4.6618248101752746E-2</v>
      </c>
      <c r="C375" s="477">
        <v>12069069.605490319</v>
      </c>
      <c r="D375" s="458">
        <v>7.7362369428424671E-2</v>
      </c>
      <c r="E375" s="477">
        <v>18412204.265056606</v>
      </c>
      <c r="F375" s="458">
        <v>0.10083513514236864</v>
      </c>
      <c r="G375" s="477">
        <v>76293209.213206872</v>
      </c>
      <c r="H375" s="458">
        <v>0.25365861961864344</v>
      </c>
      <c r="I375" s="468">
        <v>2.2707630780277563</v>
      </c>
    </row>
    <row r="376" spans="1:9" ht="16.5" x14ac:dyDescent="0.3">
      <c r="A376" s="477">
        <v>7421153.1943338476</v>
      </c>
      <c r="B376" s="458">
        <v>4.7069204222065286E-2</v>
      </c>
      <c r="C376" s="477">
        <v>12070787.454047304</v>
      </c>
      <c r="D376" s="458">
        <v>5.1590112377272179E-2</v>
      </c>
      <c r="E376" s="477">
        <v>12967030.159145935</v>
      </c>
      <c r="F376" s="458">
        <v>8.5786211072150342E-2</v>
      </c>
      <c r="G376" s="477">
        <v>95982257.526980251</v>
      </c>
      <c r="H376" s="458">
        <v>0.25144959831861868</v>
      </c>
      <c r="I376" s="468">
        <v>3.7678901197388113</v>
      </c>
    </row>
    <row r="377" spans="1:9" ht="16.5" x14ac:dyDescent="0.3">
      <c r="A377" s="477">
        <v>5412099.1444002818</v>
      </c>
      <c r="B377" s="458">
        <v>6.0799720692379378E-2</v>
      </c>
      <c r="C377" s="477">
        <v>8568538.2579356581</v>
      </c>
      <c r="D377" s="458">
        <v>6.6438103957430217E-2</v>
      </c>
      <c r="E377" s="477">
        <v>14191929.134076301</v>
      </c>
      <c r="F377" s="458">
        <v>0.13974148609237491</v>
      </c>
      <c r="G377" s="477">
        <v>93788917.636460289</v>
      </c>
      <c r="H377" s="458">
        <v>0.25654523614794522</v>
      </c>
      <c r="I377" s="468">
        <v>3.8916977907536188</v>
      </c>
    </row>
    <row r="378" spans="1:9" ht="16.5" x14ac:dyDescent="0.3">
      <c r="A378" s="477">
        <v>5317476.5997915203</v>
      </c>
      <c r="B378" s="458">
        <v>5.9935621029357566E-2</v>
      </c>
      <c r="C378" s="477">
        <v>10054294.091655014</v>
      </c>
      <c r="D378" s="458">
        <v>6.3965791695270502E-2</v>
      </c>
      <c r="E378" s="477">
        <v>25176625.333881784</v>
      </c>
      <c r="F378" s="458">
        <v>0.106801326337568</v>
      </c>
      <c r="G378" s="477">
        <v>95906880.894346997</v>
      </c>
      <c r="H378" s="458">
        <v>0.26975523892981368</v>
      </c>
      <c r="I378" s="468">
        <v>5.6484163826844771</v>
      </c>
    </row>
    <row r="379" spans="1:9" ht="16.5" x14ac:dyDescent="0.3">
      <c r="A379" s="477">
        <v>2455022.1405054517</v>
      </c>
      <c r="B379" s="458">
        <v>3.1465648607324592E-2</v>
      </c>
      <c r="C379" s="477">
        <v>6651004.881595172</v>
      </c>
      <c r="D379" s="458">
        <v>4.7088070948596128E-2</v>
      </c>
      <c r="E379" s="477">
        <v>16907780.802391235</v>
      </c>
      <c r="F379" s="458">
        <v>0.12314676448734652</v>
      </c>
      <c r="G379" s="477">
        <v>95160180.624509543</v>
      </c>
      <c r="H379" s="458">
        <v>0.27487610123131767</v>
      </c>
      <c r="I379" s="468">
        <v>4.7417417274438716</v>
      </c>
    </row>
    <row r="380" spans="1:9" ht="16.5" x14ac:dyDescent="0.3">
      <c r="A380" s="477">
        <v>-4057853.5072811237</v>
      </c>
      <c r="B380" s="458">
        <v>2.4639429011440672E-2</v>
      </c>
      <c r="C380" s="477">
        <v>11490231.152121434</v>
      </c>
      <c r="D380" s="458">
        <v>5.2854259321374109E-2</v>
      </c>
      <c r="E380" s="477">
        <v>17612013.569331802</v>
      </c>
      <c r="F380" s="458">
        <v>0.10355133446292641</v>
      </c>
      <c r="G380" s="477">
        <v>93987049.164717376</v>
      </c>
      <c r="H380" s="458">
        <v>0.28655961369135396</v>
      </c>
      <c r="I380" s="468">
        <v>9.279292560134218</v>
      </c>
    </row>
    <row r="381" spans="1:9" ht="16.5" x14ac:dyDescent="0.3">
      <c r="A381" s="477">
        <v>7342713.8967861813</v>
      </c>
      <c r="B381" s="458">
        <v>3.9128969244057954E-2</v>
      </c>
      <c r="C381" s="477">
        <v>8891810.0032877773</v>
      </c>
      <c r="D381" s="458">
        <v>6.399570542266475E-2</v>
      </c>
      <c r="E381" s="477">
        <v>20298392.985452753</v>
      </c>
      <c r="F381" s="458">
        <v>0.11680883386080509</v>
      </c>
      <c r="G381" s="477">
        <v>86070651.86874561</v>
      </c>
      <c r="H381" s="458">
        <v>0.27989780987518542</v>
      </c>
      <c r="I381" s="468">
        <v>6.8018017474969827</v>
      </c>
    </row>
    <row r="382" spans="1:9" ht="16.5" x14ac:dyDescent="0.3">
      <c r="A382" s="477">
        <v>1351451.6324567243</v>
      </c>
      <c r="B382" s="458">
        <v>2.0383908440003262E-2</v>
      </c>
      <c r="C382" s="477">
        <v>7887858.3548328513</v>
      </c>
      <c r="D382" s="458">
        <v>6.253930132043739E-2</v>
      </c>
      <c r="E382" s="477">
        <v>15256598.699481592</v>
      </c>
      <c r="F382" s="458">
        <v>8.9596018694928947E-2</v>
      </c>
      <c r="G382" s="477">
        <v>83400113.042777866</v>
      </c>
      <c r="H382" s="458">
        <v>0.25588884724702998</v>
      </c>
      <c r="I382" s="468">
        <v>8.9801146042154372</v>
      </c>
    </row>
    <row r="383" spans="1:9" ht="16.5" x14ac:dyDescent="0.3">
      <c r="A383" s="477">
        <v>6179081.7854195107</v>
      </c>
      <c r="B383" s="458">
        <v>3.8697921364368115E-2</v>
      </c>
      <c r="C383" s="477">
        <v>8710669.2375962343</v>
      </c>
      <c r="D383" s="458">
        <v>6.6238215960308988E-2</v>
      </c>
      <c r="E383" s="477">
        <v>22440671.490616512</v>
      </c>
      <c r="F383" s="458">
        <v>0.12246031274792979</v>
      </c>
      <c r="G383" s="477">
        <v>81739679.403919563</v>
      </c>
      <c r="H383" s="458">
        <v>0.26167845948738977</v>
      </c>
      <c r="I383" s="468">
        <v>12.938339483746322</v>
      </c>
    </row>
    <row r="384" spans="1:9" ht="16.5" x14ac:dyDescent="0.3">
      <c r="A384" s="477">
        <v>4722116.4192798398</v>
      </c>
      <c r="B384" s="458">
        <v>3.7768946763863553E-2</v>
      </c>
      <c r="C384" s="477">
        <v>7111672.3133965218</v>
      </c>
      <c r="D384" s="458">
        <v>6.6351597072030755E-2</v>
      </c>
      <c r="E384" s="477">
        <v>15694874.655996289</v>
      </c>
      <c r="F384" s="458">
        <v>0.11456882109004085</v>
      </c>
      <c r="G384" s="477">
        <v>101079000.8072266</v>
      </c>
      <c r="H384" s="458">
        <v>0.2534509083066514</v>
      </c>
      <c r="I384" s="468">
        <v>10.236040872079419</v>
      </c>
    </row>
    <row r="385" spans="1:9" ht="16.5" x14ac:dyDescent="0.3">
      <c r="A385" s="477">
        <v>5100254.5149871632</v>
      </c>
      <c r="B385" s="458">
        <v>5.2854922736605747E-2</v>
      </c>
      <c r="C385" s="477">
        <v>15029379.721553855</v>
      </c>
      <c r="D385" s="458">
        <v>7.7729720407347047E-2</v>
      </c>
      <c r="E385" s="477">
        <v>10637632.602024769</v>
      </c>
      <c r="F385" s="458">
        <v>0.14556407497570678</v>
      </c>
      <c r="G385" s="477">
        <v>109820630.24459143</v>
      </c>
      <c r="H385" s="458">
        <v>0.26120508450817415</v>
      </c>
      <c r="I385" s="468">
        <v>8.0576092384647904</v>
      </c>
    </row>
    <row r="386" spans="1:9" ht="16.5" x14ac:dyDescent="0.3">
      <c r="A386" s="477">
        <v>6065312.3853570875</v>
      </c>
      <c r="B386" s="458">
        <v>4.4309699453772833E-2</v>
      </c>
      <c r="C386" s="477">
        <v>12808519.781099143</v>
      </c>
      <c r="D386" s="458">
        <v>6.2347194047278398E-2</v>
      </c>
      <c r="E386" s="477">
        <v>14435344.633843889</v>
      </c>
      <c r="F386" s="458">
        <v>0.12413629839932261</v>
      </c>
      <c r="G386" s="477">
        <v>81211184.63941136</v>
      </c>
      <c r="H386" s="458">
        <v>0.27738926732217517</v>
      </c>
      <c r="I386" s="468">
        <v>11.799259557043726</v>
      </c>
    </row>
    <row r="387" spans="1:9" ht="16.5" x14ac:dyDescent="0.3">
      <c r="A387" s="477">
        <v>3344985.9878170528</v>
      </c>
      <c r="B387" s="458">
        <v>3.5130080151156484E-2</v>
      </c>
      <c r="C387" s="477">
        <v>9739690.4242264722</v>
      </c>
      <c r="D387" s="458">
        <v>8.7998276997281355E-2</v>
      </c>
      <c r="E387" s="477">
        <v>12822640.453132367</v>
      </c>
      <c r="F387" s="458">
        <v>0.10750788782251286</v>
      </c>
      <c r="G387" s="477">
        <v>96729221.203999221</v>
      </c>
      <c r="H387" s="458">
        <v>0.25413082886275595</v>
      </c>
      <c r="I387" s="468">
        <v>14.976548323219731</v>
      </c>
    </row>
    <row r="388" spans="1:9" ht="16.5" x14ac:dyDescent="0.3">
      <c r="A388" s="477">
        <v>5670839.6189244566</v>
      </c>
      <c r="B388" s="458">
        <v>5.4137586647987179E-2</v>
      </c>
      <c r="C388" s="477">
        <v>5394086.0781940492</v>
      </c>
      <c r="D388" s="458">
        <v>5.4728772763733557E-2</v>
      </c>
      <c r="E388" s="477">
        <v>18066535.01182162</v>
      </c>
      <c r="F388" s="458">
        <v>0.13820200799982008</v>
      </c>
      <c r="G388" s="477">
        <v>84695218.153218657</v>
      </c>
      <c r="H388" s="458">
        <v>0.27300402935188028</v>
      </c>
      <c r="I388" s="468">
        <v>19.390744307701461</v>
      </c>
    </row>
    <row r="389" spans="1:9" ht="16.5" x14ac:dyDescent="0.3">
      <c r="A389" s="477">
        <v>7318807.2354941238</v>
      </c>
      <c r="B389" s="458">
        <v>2.6832516097997861E-2</v>
      </c>
      <c r="C389" s="477">
        <v>5059789.4614508376</v>
      </c>
      <c r="D389" s="458">
        <v>6.4283712003828652E-2</v>
      </c>
      <c r="E389" s="477">
        <v>17595624.394231733</v>
      </c>
      <c r="F389" s="458">
        <v>0.11303948634357419</v>
      </c>
      <c r="G389" s="477">
        <v>86658626.949641868</v>
      </c>
      <c r="H389" s="458">
        <v>0.28810334667174398</v>
      </c>
      <c r="I389" s="468">
        <v>3.7053636802852479</v>
      </c>
    </row>
    <row r="390" spans="1:9" ht="16.5" x14ac:dyDescent="0.3">
      <c r="A390" s="477">
        <v>6241305.1735624252</v>
      </c>
      <c r="B390" s="458">
        <v>1.5788986151215267E-2</v>
      </c>
      <c r="C390" s="477">
        <v>11725855.903745135</v>
      </c>
      <c r="D390" s="458">
        <v>4.6643706107342142E-2</v>
      </c>
      <c r="E390" s="477">
        <v>13123174.566282708</v>
      </c>
      <c r="F390" s="458">
        <v>0.10995728512598113</v>
      </c>
      <c r="G390" s="477">
        <v>97690572.711075842</v>
      </c>
      <c r="H390" s="458">
        <v>0.25139853020493375</v>
      </c>
      <c r="I390" s="468">
        <v>11.793892431301524</v>
      </c>
    </row>
    <row r="391" spans="1:9" ht="16.5" x14ac:dyDescent="0.3">
      <c r="A391" s="477">
        <v>4521161.1582670398</v>
      </c>
      <c r="B391" s="458">
        <v>5.0268031527765933E-2</v>
      </c>
      <c r="C391" s="477">
        <v>8752184.5086483546</v>
      </c>
      <c r="D391" s="458">
        <v>8.1011339490653533E-2</v>
      </c>
      <c r="E391" s="477">
        <v>20326378.824290726</v>
      </c>
      <c r="F391" s="458">
        <v>0.11543624912167738</v>
      </c>
      <c r="G391" s="477">
        <v>93648522.002834633</v>
      </c>
      <c r="H391" s="458">
        <v>0.26275334073433787</v>
      </c>
      <c r="I391" s="468">
        <v>5.3088699653533302</v>
      </c>
    </row>
    <row r="392" spans="1:9" ht="16.5" x14ac:dyDescent="0.3">
      <c r="A392" s="477">
        <v>3531230.527158964</v>
      </c>
      <c r="B392" s="458">
        <v>6.0302052473308887E-2</v>
      </c>
      <c r="C392" s="477">
        <v>7896188.5266257077</v>
      </c>
      <c r="D392" s="458">
        <v>5.8551456285795833E-2</v>
      </c>
      <c r="E392" s="477">
        <v>13826436.285239682</v>
      </c>
      <c r="F392" s="458">
        <v>0.11204536737154314</v>
      </c>
      <c r="G392" s="477">
        <v>87127443.169309124</v>
      </c>
      <c r="H392" s="458">
        <v>0.25370740438949468</v>
      </c>
      <c r="I392" s="468">
        <v>11.654935501120882</v>
      </c>
    </row>
    <row r="393" spans="1:9" ht="16.5" x14ac:dyDescent="0.3">
      <c r="A393" s="477">
        <v>5001733.2293522824</v>
      </c>
      <c r="B393" s="458">
        <v>4.7668921552043608E-2</v>
      </c>
      <c r="C393" s="477">
        <v>8051138.9026514236</v>
      </c>
      <c r="D393" s="458">
        <v>6.0328873192210475E-2</v>
      </c>
      <c r="E393" s="477">
        <v>23394124.625649955</v>
      </c>
      <c r="F393" s="458">
        <v>0.10725880628291162</v>
      </c>
      <c r="G393" s="477">
        <v>88948150.10884729</v>
      </c>
      <c r="H393" s="458">
        <v>0.26946937879048916</v>
      </c>
      <c r="I393" s="468">
        <v>5.0134199682400951</v>
      </c>
    </row>
    <row r="394" spans="1:9" ht="16.5" x14ac:dyDescent="0.3">
      <c r="A394" s="477">
        <v>6171684.2569325604</v>
      </c>
      <c r="B394" s="458">
        <v>4.0381053658110844E-2</v>
      </c>
      <c r="C394" s="477">
        <v>4367461.5342687294</v>
      </c>
      <c r="D394" s="458">
        <v>7.5121041559453872E-2</v>
      </c>
      <c r="E394" s="477">
        <v>18263634.938208934</v>
      </c>
      <c r="F394" s="458">
        <v>0.10952105677690738</v>
      </c>
      <c r="G394" s="477">
        <v>96070600.73956354</v>
      </c>
      <c r="H394" s="458">
        <v>0.27330154913762761</v>
      </c>
      <c r="I394" s="468">
        <v>10.118537451703226</v>
      </c>
    </row>
    <row r="395" spans="1:9" ht="16.5" x14ac:dyDescent="0.3">
      <c r="A395" s="477">
        <v>3384152.1156946439</v>
      </c>
      <c r="B395" s="458">
        <v>3.1237576293158043E-2</v>
      </c>
      <c r="C395" s="477">
        <v>1035874.3347170916</v>
      </c>
      <c r="D395" s="458">
        <v>5.5310052000880461E-2</v>
      </c>
      <c r="E395" s="477">
        <v>16335221.81077343</v>
      </c>
      <c r="F395" s="458">
        <v>0.11598286431062799</v>
      </c>
      <c r="G395" s="477">
        <v>89778978.456190184</v>
      </c>
      <c r="H395" s="458">
        <v>0.26491049856802773</v>
      </c>
      <c r="I395" s="468">
        <v>7.5459032171522233</v>
      </c>
    </row>
    <row r="396" spans="1:9" ht="16.5" x14ac:dyDescent="0.3">
      <c r="A396" s="477">
        <v>3345579.5394364828</v>
      </c>
      <c r="B396" s="458">
        <v>3.2524320548501962E-2</v>
      </c>
      <c r="C396" s="477">
        <v>5088459.5899899751</v>
      </c>
      <c r="D396" s="458">
        <v>6.0105241523321862E-2</v>
      </c>
      <c r="E396" s="477">
        <v>11911184.68151282</v>
      </c>
      <c r="F396" s="458">
        <v>0.10031433975129156</v>
      </c>
      <c r="G396" s="477">
        <v>96374667.387029469</v>
      </c>
      <c r="H396" s="458">
        <v>0.26601710155264402</v>
      </c>
      <c r="I396" s="468">
        <v>11.920677566837934</v>
      </c>
    </row>
    <row r="397" spans="1:9" ht="16.5" x14ac:dyDescent="0.3">
      <c r="A397" s="477">
        <v>9096473.434728533</v>
      </c>
      <c r="B397" s="458">
        <v>5.26865249215418E-2</v>
      </c>
      <c r="C397" s="477">
        <v>5921954.2801424433</v>
      </c>
      <c r="D397" s="458">
        <v>7.1845304881556604E-2</v>
      </c>
      <c r="E397" s="477">
        <v>4443349.1996881869</v>
      </c>
      <c r="F397" s="458">
        <v>0.11458902655208303</v>
      </c>
      <c r="G397" s="477">
        <v>89616696.311758205</v>
      </c>
      <c r="H397" s="458">
        <v>0.26996998468479538</v>
      </c>
      <c r="I397" s="468">
        <v>6.5198243075705804</v>
      </c>
    </row>
    <row r="398" spans="1:9" ht="16.5" x14ac:dyDescent="0.3">
      <c r="A398" s="477">
        <v>9280567.3187944684</v>
      </c>
      <c r="B398" s="458">
        <v>4.5587569894230739E-2</v>
      </c>
      <c r="C398" s="477">
        <v>8175126.3376190979</v>
      </c>
      <c r="D398" s="458">
        <v>7.8606274724747571E-2</v>
      </c>
      <c r="E398" s="477">
        <v>9259267.5982782822</v>
      </c>
      <c r="F398" s="458">
        <v>0.11139402619544092</v>
      </c>
      <c r="G398" s="477">
        <v>82865544.920446277</v>
      </c>
      <c r="H398" s="458">
        <v>0.25209600283859923</v>
      </c>
      <c r="I398" s="468">
        <v>0.24687649778294407</v>
      </c>
    </row>
    <row r="399" spans="1:9" ht="16.5" x14ac:dyDescent="0.3">
      <c r="A399" s="477">
        <v>7505887.3938787784</v>
      </c>
      <c r="B399" s="458">
        <v>9.436265778448516E-2</v>
      </c>
      <c r="C399" s="477">
        <v>10028469.96126873</v>
      </c>
      <c r="D399" s="458">
        <v>0.10395133077384022</v>
      </c>
      <c r="E399" s="477">
        <v>23134562.134528525</v>
      </c>
      <c r="F399" s="458">
        <v>9.9603933491798413E-2</v>
      </c>
      <c r="G399" s="477">
        <v>95665326.406808138</v>
      </c>
      <c r="H399" s="458">
        <v>0.2621410449297199</v>
      </c>
      <c r="I399" s="468">
        <v>1.1750803591386019</v>
      </c>
    </row>
    <row r="400" spans="1:9" ht="16.5" x14ac:dyDescent="0.3">
      <c r="A400" s="477">
        <v>1786979.6157100212</v>
      </c>
      <c r="B400" s="458">
        <v>2.4949759365890722E-2</v>
      </c>
      <c r="C400" s="477">
        <v>7056453.5951636499</v>
      </c>
      <c r="D400" s="458">
        <v>8.2860666115036397E-2</v>
      </c>
      <c r="E400" s="477">
        <v>22809310.133131571</v>
      </c>
      <c r="F400" s="458">
        <v>0.11847754950595357</v>
      </c>
      <c r="G400" s="477">
        <v>84615311.675911665</v>
      </c>
      <c r="H400" s="458">
        <v>0.25911127342062223</v>
      </c>
      <c r="I400" s="468">
        <v>7.5752445107394015</v>
      </c>
    </row>
    <row r="401" spans="1:9" ht="16.5" x14ac:dyDescent="0.3">
      <c r="A401" s="477">
        <v>5439041.9439620376</v>
      </c>
      <c r="B401" s="458">
        <v>4.8827486915937968E-2</v>
      </c>
      <c r="C401" s="477">
        <v>12825221.169617496</v>
      </c>
      <c r="D401" s="458">
        <v>5.9256575892328467E-2</v>
      </c>
      <c r="E401" s="477">
        <v>11381289.079688124</v>
      </c>
      <c r="F401" s="458">
        <v>0.13797989804615396</v>
      </c>
      <c r="G401" s="477">
        <v>82543711.333013028</v>
      </c>
      <c r="H401" s="458">
        <v>0.27133830409462023</v>
      </c>
      <c r="I401" s="468">
        <v>6.6816820950808662</v>
      </c>
    </row>
    <row r="402" spans="1:9" ht="16.5" x14ac:dyDescent="0.3">
      <c r="A402" s="477">
        <v>5766001.7250471748</v>
      </c>
      <c r="B402" s="458">
        <v>5.4544262101449359E-2</v>
      </c>
      <c r="C402" s="477">
        <v>11647469.215760844</v>
      </c>
      <c r="D402" s="458">
        <v>4.405379884114935E-2</v>
      </c>
      <c r="E402" s="477">
        <v>18682713.457343638</v>
      </c>
      <c r="F402" s="458">
        <v>0.10150138822542454</v>
      </c>
      <c r="G402" s="477">
        <v>88531428.58480899</v>
      </c>
      <c r="H402" s="458">
        <v>0.26727710166128094</v>
      </c>
      <c r="I402" s="468">
        <v>6.2945312609952753</v>
      </c>
    </row>
    <row r="403" spans="1:9" ht="16.5" x14ac:dyDescent="0.3">
      <c r="A403" s="477">
        <v>636238.05441190954</v>
      </c>
      <c r="B403" s="458">
        <v>5.7720536684093826E-2</v>
      </c>
      <c r="C403" s="477">
        <v>17764790.22393395</v>
      </c>
      <c r="D403" s="458">
        <v>4.407381257440357E-2</v>
      </c>
      <c r="E403" s="477">
        <v>22563633.210758105</v>
      </c>
      <c r="F403" s="458">
        <v>0.10103318620056201</v>
      </c>
      <c r="G403" s="477">
        <v>79343142.9814872</v>
      </c>
      <c r="H403" s="458">
        <v>0.25455204220913985</v>
      </c>
      <c r="I403" s="468">
        <v>15.760633221488494</v>
      </c>
    </row>
    <row r="404" spans="1:9" ht="16.5" x14ac:dyDescent="0.3">
      <c r="A404" s="477">
        <v>6162894.1242021499</v>
      </c>
      <c r="B404" s="458">
        <v>4.2330337709949761E-2</v>
      </c>
      <c r="C404" s="477">
        <v>4382769.9879463036</v>
      </c>
      <c r="D404" s="458">
        <v>7.5936280817973989E-2</v>
      </c>
      <c r="E404" s="477">
        <v>13355202.439367976</v>
      </c>
      <c r="F404" s="458">
        <v>9.6144547629781529E-2</v>
      </c>
      <c r="G404" s="477">
        <v>83809878.447174877</v>
      </c>
      <c r="H404" s="458">
        <v>0.27838305683796549</v>
      </c>
      <c r="I404" s="468">
        <v>7.5863867996637078</v>
      </c>
    </row>
    <row r="405" spans="1:9" ht="16.5" x14ac:dyDescent="0.3">
      <c r="A405" s="477">
        <v>-649588.69397478295</v>
      </c>
      <c r="B405" s="458">
        <v>3.5946384618738003E-2</v>
      </c>
      <c r="C405" s="477">
        <v>9201423.1329275426</v>
      </c>
      <c r="D405" s="458">
        <v>5.6018023201446887E-2</v>
      </c>
      <c r="E405" s="477">
        <v>14975747.215324396</v>
      </c>
      <c r="F405" s="458">
        <v>0.11038360068785513</v>
      </c>
      <c r="G405" s="477">
        <v>109044285.32239421</v>
      </c>
      <c r="H405" s="458">
        <v>0.25090024697557101</v>
      </c>
      <c r="I405" s="468">
        <v>8.7278049922363294</v>
      </c>
    </row>
    <row r="406" spans="1:9" ht="16.5" x14ac:dyDescent="0.3">
      <c r="A406" s="477">
        <v>8491063.3354395106</v>
      </c>
      <c r="B406" s="458">
        <v>3.8470173222623139E-2</v>
      </c>
      <c r="C406" s="477">
        <v>13716766.871367833</v>
      </c>
      <c r="D406" s="458">
        <v>4.6094763208125222E-2</v>
      </c>
      <c r="E406" s="477">
        <v>13507473.656885369</v>
      </c>
      <c r="F406" s="458">
        <v>0.10447557699967791</v>
      </c>
      <c r="G406" s="477">
        <v>92318990.703368947</v>
      </c>
      <c r="H406" s="458">
        <v>0.2696014273870031</v>
      </c>
      <c r="I406" s="468">
        <v>6.7703500220313337</v>
      </c>
    </row>
    <row r="407" spans="1:9" ht="16.5" x14ac:dyDescent="0.3">
      <c r="A407" s="477">
        <v>3901230.4537991099</v>
      </c>
      <c r="B407" s="458">
        <v>2.9784447679287673E-2</v>
      </c>
      <c r="C407" s="477">
        <v>12564092.536251131</v>
      </c>
      <c r="D407" s="458">
        <v>5.5425090683372868E-2</v>
      </c>
      <c r="E407" s="477">
        <v>19824903.847084455</v>
      </c>
      <c r="F407" s="458">
        <v>0.10289601782606916</v>
      </c>
      <c r="G407" s="477">
        <v>81689368.8787826</v>
      </c>
      <c r="H407" s="458">
        <v>0.26069205528420314</v>
      </c>
      <c r="I407" s="468">
        <v>10.509333965720513</v>
      </c>
    </row>
    <row r="408" spans="1:9" ht="16.5" x14ac:dyDescent="0.3">
      <c r="A408" s="477">
        <v>8124170.7753079645</v>
      </c>
      <c r="B408" s="458">
        <v>2.1259029379459449E-2</v>
      </c>
      <c r="C408" s="477">
        <v>12630541.75305126</v>
      </c>
      <c r="D408" s="458">
        <v>5.3544879963958625E-2</v>
      </c>
      <c r="E408" s="477">
        <v>20694082.638505094</v>
      </c>
      <c r="F408" s="458">
        <v>0.11860128730415309</v>
      </c>
      <c r="G408" s="477">
        <v>96142782.740718186</v>
      </c>
      <c r="H408" s="458">
        <v>0.25580952596058437</v>
      </c>
      <c r="I408" s="468">
        <v>19.472253271338914</v>
      </c>
    </row>
    <row r="409" spans="1:9" ht="16.5" x14ac:dyDescent="0.3">
      <c r="A409" s="477">
        <v>5169728.7680937583</v>
      </c>
      <c r="B409" s="458">
        <v>2.7996193969844541E-2</v>
      </c>
      <c r="C409" s="477">
        <v>6400200.1332853707</v>
      </c>
      <c r="D409" s="458">
        <v>5.7241657520534783E-2</v>
      </c>
      <c r="E409" s="477">
        <v>18508396.330887191</v>
      </c>
      <c r="F409" s="458">
        <v>0.10357715792980815</v>
      </c>
      <c r="G409" s="477">
        <v>80745464.296976194</v>
      </c>
      <c r="H409" s="458">
        <v>0.26413277498318566</v>
      </c>
      <c r="I409" s="468">
        <v>5.2244225241303646</v>
      </c>
    </row>
    <row r="410" spans="1:9" ht="16.5" x14ac:dyDescent="0.3">
      <c r="A410" s="477">
        <v>6629823.2635153886</v>
      </c>
      <c r="B410" s="458">
        <v>4.4225261556879669E-2</v>
      </c>
      <c r="C410" s="477">
        <v>7240787.9034968317</v>
      </c>
      <c r="D410" s="458">
        <v>5.1540280430605989E-2</v>
      </c>
      <c r="E410" s="477">
        <v>19799582.586691618</v>
      </c>
      <c r="F410" s="458">
        <v>0.10803598010588922</v>
      </c>
      <c r="G410" s="477">
        <v>97448092.167030782</v>
      </c>
      <c r="H410" s="458">
        <v>0.30458908980095178</v>
      </c>
      <c r="I410" s="468">
        <v>5.1449152082744254</v>
      </c>
    </row>
    <row r="411" spans="1:9" ht="16.5" x14ac:dyDescent="0.3">
      <c r="A411" s="477">
        <v>9234294.4067446589</v>
      </c>
      <c r="B411" s="458">
        <v>4.5065035255581254E-2</v>
      </c>
      <c r="C411" s="477">
        <v>8357475.635074826</v>
      </c>
      <c r="D411" s="458">
        <v>4.3357130774873909E-2</v>
      </c>
      <c r="E411" s="477">
        <v>27034079.730287008</v>
      </c>
      <c r="F411" s="458">
        <v>0.12313123215521227</v>
      </c>
      <c r="G411" s="477">
        <v>90697663.026763022</v>
      </c>
      <c r="H411" s="458">
        <v>0.29721205753136348</v>
      </c>
      <c r="I411" s="468">
        <v>11.619999220498139</v>
      </c>
    </row>
    <row r="412" spans="1:9" ht="16.5" x14ac:dyDescent="0.3">
      <c r="A412" s="477">
        <v>7571191.4846348166</v>
      </c>
      <c r="B412" s="458">
        <v>5.2102780476599442E-2</v>
      </c>
      <c r="C412" s="477">
        <v>11329497.39541392</v>
      </c>
      <c r="D412" s="458">
        <v>4.5369244565682365E-2</v>
      </c>
      <c r="E412" s="477">
        <v>14271077.929566503</v>
      </c>
      <c r="F412" s="458">
        <v>9.7435463119986743E-2</v>
      </c>
      <c r="G412" s="477">
        <v>98383508.229012311</v>
      </c>
      <c r="H412" s="458">
        <v>0.26345573686522195</v>
      </c>
      <c r="I412" s="468">
        <v>8.0197978939837107</v>
      </c>
    </row>
    <row r="413" spans="1:9" ht="16.5" x14ac:dyDescent="0.3">
      <c r="A413" s="477">
        <v>3924186.8248541825</v>
      </c>
      <c r="B413" s="458">
        <v>3.8603861034109732E-2</v>
      </c>
      <c r="C413" s="477">
        <v>7720865.0188393965</v>
      </c>
      <c r="D413" s="458">
        <v>4.2046933625536242E-2</v>
      </c>
      <c r="E413" s="477">
        <v>19840079.381720081</v>
      </c>
      <c r="F413" s="458">
        <v>0.10939927490975299</v>
      </c>
      <c r="G413" s="477">
        <v>96363811.253427565</v>
      </c>
      <c r="H413" s="458">
        <v>0.26939520167230224</v>
      </c>
      <c r="I413" s="468">
        <v>5.8480219104864357</v>
      </c>
    </row>
    <row r="414" spans="1:9" ht="16.5" x14ac:dyDescent="0.3">
      <c r="A414" s="477">
        <v>5824626.653121151</v>
      </c>
      <c r="B414" s="458">
        <v>4.3423386088777161E-2</v>
      </c>
      <c r="C414" s="477">
        <v>10717881.242310457</v>
      </c>
      <c r="D414" s="458">
        <v>8.4572945628441643E-2</v>
      </c>
      <c r="E414" s="477">
        <v>10311841.735548632</v>
      </c>
      <c r="F414" s="458">
        <v>0.125751743503415</v>
      </c>
      <c r="G414" s="477">
        <v>85594402.573732272</v>
      </c>
      <c r="H414" s="458">
        <v>0.28277842425232746</v>
      </c>
      <c r="I414" s="468">
        <v>9.8226468952945609</v>
      </c>
    </row>
    <row r="415" spans="1:9" ht="16.5" x14ac:dyDescent="0.3">
      <c r="A415" s="477">
        <v>3866011.3750333088</v>
      </c>
      <c r="B415" s="458">
        <v>3.8084925558309557E-2</v>
      </c>
      <c r="C415" s="477">
        <v>5127859.3257691134</v>
      </c>
      <c r="D415" s="458">
        <v>8.0042711393549126E-2</v>
      </c>
      <c r="E415" s="477">
        <v>13413132.88703368</v>
      </c>
      <c r="F415" s="458">
        <v>0.16892309158271912</v>
      </c>
      <c r="G415" s="477">
        <v>90832766.726065472</v>
      </c>
      <c r="H415" s="458">
        <v>0.27338256279657713</v>
      </c>
      <c r="I415" s="468">
        <v>9.0355257540115357</v>
      </c>
    </row>
    <row r="416" spans="1:9" ht="16.5" x14ac:dyDescent="0.3">
      <c r="A416" s="477">
        <v>5923682.8868570542</v>
      </c>
      <c r="B416" s="458">
        <v>3.6827461195563238E-2</v>
      </c>
      <c r="C416" s="477">
        <v>9460529.7910421453</v>
      </c>
      <c r="D416" s="458">
        <v>5.2396065605235131E-2</v>
      </c>
      <c r="E416" s="477">
        <v>15084790.154723326</v>
      </c>
      <c r="F416" s="458">
        <v>0.11345162994502456</v>
      </c>
      <c r="G416" s="477">
        <v>93427399.359803915</v>
      </c>
      <c r="H416" s="458">
        <v>0.28529874387296372</v>
      </c>
      <c r="I416" s="468">
        <v>11.051631880154407</v>
      </c>
    </row>
    <row r="417" spans="1:9" ht="16.5" x14ac:dyDescent="0.3">
      <c r="A417" s="477">
        <v>10539831.983429126</v>
      </c>
      <c r="B417" s="458">
        <v>4.3326689371176563E-2</v>
      </c>
      <c r="C417" s="477">
        <v>8445166.4088056963</v>
      </c>
      <c r="D417" s="458">
        <v>6.8459934573654291E-2</v>
      </c>
      <c r="E417" s="477">
        <v>22133890.018192973</v>
      </c>
      <c r="F417" s="458">
        <v>0.11826277249481465</v>
      </c>
      <c r="G417" s="477">
        <v>79289113.485340029</v>
      </c>
      <c r="H417" s="458">
        <v>0.26300959398849511</v>
      </c>
      <c r="I417" s="468">
        <v>9.4556998547366184</v>
      </c>
    </row>
    <row r="418" spans="1:9" ht="16.5" x14ac:dyDescent="0.3">
      <c r="A418" s="477">
        <v>3077619.9655312588</v>
      </c>
      <c r="B418" s="458">
        <v>4.3414673163731266E-2</v>
      </c>
      <c r="C418" s="477">
        <v>10057062.200927144</v>
      </c>
      <c r="D418" s="458">
        <v>8.0072879469296865E-2</v>
      </c>
      <c r="E418" s="477">
        <v>12842469.073699567</v>
      </c>
      <c r="F418" s="458">
        <v>8.2948937646854626E-2</v>
      </c>
      <c r="G418" s="477">
        <v>87089920.602950782</v>
      </c>
      <c r="H418" s="458">
        <v>0.26549164258075675</v>
      </c>
      <c r="I418" s="468">
        <v>4.2656730793216813</v>
      </c>
    </row>
    <row r="419" spans="1:9" ht="16.5" x14ac:dyDescent="0.3">
      <c r="A419" s="477">
        <v>6246507.5894907797</v>
      </c>
      <c r="B419" s="458">
        <v>3.32613577147296E-2</v>
      </c>
      <c r="C419" s="477">
        <v>7869383.5028304383</v>
      </c>
      <c r="D419" s="458">
        <v>4.9607119322600646E-2</v>
      </c>
      <c r="E419" s="477">
        <v>20735016.550184477</v>
      </c>
      <c r="F419" s="458">
        <v>0.13171093045850935</v>
      </c>
      <c r="G419" s="477">
        <v>102312455.14266811</v>
      </c>
      <c r="H419" s="458">
        <v>0.26348045174092283</v>
      </c>
      <c r="I419" s="468">
        <v>7.0222680202358374</v>
      </c>
    </row>
    <row r="420" spans="1:9" ht="16.5" x14ac:dyDescent="0.3">
      <c r="A420" s="477">
        <v>7336745.9988715788</v>
      </c>
      <c r="B420" s="458">
        <v>5.4571071061009002E-2</v>
      </c>
      <c r="C420" s="477">
        <v>2900767.6169914952</v>
      </c>
      <c r="D420" s="458">
        <v>6.9064171579558575E-2</v>
      </c>
      <c r="E420" s="477">
        <v>16114621.190489091</v>
      </c>
      <c r="F420" s="458">
        <v>0.1176581930813323</v>
      </c>
      <c r="G420" s="477">
        <v>95685873.692799866</v>
      </c>
      <c r="H420" s="458">
        <v>0.2606768583190513</v>
      </c>
      <c r="I420" s="468">
        <v>2.4418820307673004</v>
      </c>
    </row>
    <row r="421" spans="1:9" ht="16.5" x14ac:dyDescent="0.3">
      <c r="A421" s="477">
        <v>6739330.226775554</v>
      </c>
      <c r="B421" s="458">
        <v>4.0501959990163927E-2</v>
      </c>
      <c r="C421" s="477">
        <v>10885880.855934538</v>
      </c>
      <c r="D421" s="458">
        <v>6.3930765535780143E-2</v>
      </c>
      <c r="E421" s="477">
        <v>22631790.954247121</v>
      </c>
      <c r="F421" s="458">
        <v>9.6323206008570583E-2</v>
      </c>
      <c r="G421" s="477">
        <v>88286855.598999739</v>
      </c>
      <c r="H421" s="458">
        <v>0.27916660714433683</v>
      </c>
      <c r="I421" s="468">
        <v>8.48856987885652</v>
      </c>
    </row>
    <row r="422" spans="1:9" ht="16.5" x14ac:dyDescent="0.3">
      <c r="A422" s="477">
        <v>3991225.8326879838</v>
      </c>
      <c r="B422" s="458">
        <v>2.3386988441447931E-2</v>
      </c>
      <c r="C422" s="477">
        <v>14045192.117072055</v>
      </c>
      <c r="D422" s="458">
        <v>6.6912732787288709E-2</v>
      </c>
      <c r="E422" s="477">
        <v>31286759.003738638</v>
      </c>
      <c r="F422" s="458">
        <v>0.12262255499452435</v>
      </c>
      <c r="G422" s="477">
        <v>90673765.486435577</v>
      </c>
      <c r="H422" s="458">
        <v>0.26961951626591718</v>
      </c>
      <c r="I422" s="468">
        <v>10.705643446384116</v>
      </c>
    </row>
    <row r="423" spans="1:9" ht="16.5" x14ac:dyDescent="0.3">
      <c r="A423" s="477">
        <v>10438704.17189171</v>
      </c>
      <c r="B423" s="458">
        <v>3.5351532457892576E-2</v>
      </c>
      <c r="C423" s="477">
        <v>2977856.8486621906</v>
      </c>
      <c r="D423" s="458">
        <v>4.9805743297803629E-2</v>
      </c>
      <c r="E423" s="477">
        <v>12124170.097158331</v>
      </c>
      <c r="F423" s="458">
        <v>0.12603766471757272</v>
      </c>
      <c r="G423" s="477">
        <v>92002089.058612242</v>
      </c>
      <c r="H423" s="458">
        <v>0.2661787311980941</v>
      </c>
      <c r="I423" s="468">
        <v>11.6169457695422</v>
      </c>
    </row>
    <row r="424" spans="1:9" ht="16.5" x14ac:dyDescent="0.3">
      <c r="A424" s="477">
        <v>7001836.6320863226</v>
      </c>
      <c r="B424" s="458">
        <v>3.4691944820043785E-2</v>
      </c>
      <c r="C424" s="477">
        <v>5935569.114678639</v>
      </c>
      <c r="D424" s="458">
        <v>7.6841037523746269E-2</v>
      </c>
      <c r="E424" s="477">
        <v>10624281.253517471</v>
      </c>
      <c r="F424" s="458">
        <v>0.13985767477372946</v>
      </c>
      <c r="G424" s="477">
        <v>87673515.684819132</v>
      </c>
      <c r="H424" s="458">
        <v>0.28187916052855644</v>
      </c>
      <c r="I424" s="468">
        <v>14.16903261325578</v>
      </c>
    </row>
    <row r="425" spans="1:9" ht="16.5" x14ac:dyDescent="0.3">
      <c r="A425" s="477">
        <v>7565317.6487096511</v>
      </c>
      <c r="B425" s="458">
        <v>1.8182496492611611E-2</v>
      </c>
      <c r="C425" s="477">
        <v>8073991.1850888403</v>
      </c>
      <c r="D425" s="458">
        <v>4.8505600190561049E-2</v>
      </c>
      <c r="E425" s="477">
        <v>17252569.680971466</v>
      </c>
      <c r="F425" s="458">
        <v>8.3676921500313695E-2</v>
      </c>
      <c r="G425" s="477">
        <v>75530827.294706658</v>
      </c>
      <c r="H425" s="458">
        <v>0.26768212980301165</v>
      </c>
      <c r="I425" s="468">
        <v>7.4365787364859655</v>
      </c>
    </row>
    <row r="426" spans="1:9" ht="16.5" x14ac:dyDescent="0.3">
      <c r="A426" s="477">
        <v>8093069.6686072098</v>
      </c>
      <c r="B426" s="458">
        <v>2.8761083925593178E-2</v>
      </c>
      <c r="C426" s="477">
        <v>3727468.4643054716</v>
      </c>
      <c r="D426" s="458">
        <v>6.2600128247721321E-2</v>
      </c>
      <c r="E426" s="477">
        <v>20304923.795021482</v>
      </c>
      <c r="F426" s="458">
        <v>0.10208089979411072</v>
      </c>
      <c r="G426" s="477">
        <v>97228539.088538572</v>
      </c>
      <c r="H426" s="458">
        <v>0.26593684437640741</v>
      </c>
      <c r="I426" s="468">
        <v>14.378296555475711</v>
      </c>
    </row>
    <row r="427" spans="1:9" ht="16.5" x14ac:dyDescent="0.3">
      <c r="A427" s="477">
        <v>4080299.5744838174</v>
      </c>
      <c r="B427" s="458">
        <v>2.9001999348996721E-2</v>
      </c>
      <c r="C427" s="477">
        <v>10479230.317525053</v>
      </c>
      <c r="D427" s="458">
        <v>7.7435573809961022E-2</v>
      </c>
      <c r="E427" s="477">
        <v>19814163.154472411</v>
      </c>
      <c r="F427" s="458">
        <v>0.10070970965251758</v>
      </c>
      <c r="G427" s="477">
        <v>87619257.282866538</v>
      </c>
      <c r="H427" s="458">
        <v>0.27123070247688519</v>
      </c>
      <c r="I427" s="468">
        <v>10.680863789547313</v>
      </c>
    </row>
    <row r="428" spans="1:9" ht="16.5" x14ac:dyDescent="0.3">
      <c r="A428" s="477">
        <v>4116081.4502636227</v>
      </c>
      <c r="B428" s="458">
        <v>4.1398494129835095E-2</v>
      </c>
      <c r="C428" s="477">
        <v>11680565.250634605</v>
      </c>
      <c r="D428" s="458">
        <v>8.8800949339961965E-2</v>
      </c>
      <c r="E428" s="477">
        <v>15229403.081767218</v>
      </c>
      <c r="F428" s="458">
        <v>0.11151588899477738</v>
      </c>
      <c r="G428" s="477">
        <v>74666506.210529462</v>
      </c>
      <c r="H428" s="458">
        <v>0.25191705268685327</v>
      </c>
      <c r="I428" s="468">
        <v>11.551323134530634</v>
      </c>
    </row>
    <row r="429" spans="1:9" ht="16.5" x14ac:dyDescent="0.3">
      <c r="A429" s="477">
        <v>7335229.1355781024</v>
      </c>
      <c r="B429" s="458">
        <v>3.4460816813900896E-2</v>
      </c>
      <c r="C429" s="477">
        <v>4084182.2322580214</v>
      </c>
      <c r="D429" s="458">
        <v>4.3041737066130681E-2</v>
      </c>
      <c r="E429" s="477">
        <v>17343171.36063445</v>
      </c>
      <c r="F429" s="458">
        <v>0.12416893686931219</v>
      </c>
      <c r="G429" s="477">
        <v>87469039.851995796</v>
      </c>
      <c r="H429" s="458">
        <v>0.25128030976069282</v>
      </c>
      <c r="I429" s="468">
        <v>9.465970624522086</v>
      </c>
    </row>
    <row r="430" spans="1:9" ht="16.5" x14ac:dyDescent="0.3">
      <c r="A430" s="477">
        <v>1327139.9510086272</v>
      </c>
      <c r="B430" s="458">
        <v>5.096198876236846E-2</v>
      </c>
      <c r="C430" s="477">
        <v>7004378.1080788681</v>
      </c>
      <c r="D430" s="458">
        <v>7.4847001768604926E-2</v>
      </c>
      <c r="E430" s="477">
        <v>16940078.009865992</v>
      </c>
      <c r="F430" s="458">
        <v>0.11476414810997038</v>
      </c>
      <c r="G430" s="477">
        <v>82758734.024603754</v>
      </c>
      <c r="H430" s="458">
        <v>0.2703583623514747</v>
      </c>
      <c r="I430" s="468">
        <v>7.0424982919727928</v>
      </c>
    </row>
    <row r="431" spans="1:9" ht="16.5" x14ac:dyDescent="0.3">
      <c r="A431" s="477">
        <v>9487670.5417780634</v>
      </c>
      <c r="B431" s="458">
        <v>4.641411505039672E-2</v>
      </c>
      <c r="C431" s="477">
        <v>4157590.6002085665</v>
      </c>
      <c r="D431" s="458">
        <v>0.10528629444664617</v>
      </c>
      <c r="E431" s="477">
        <v>22100774.618324589</v>
      </c>
      <c r="F431" s="458">
        <v>0.10875547137333119</v>
      </c>
      <c r="G431" s="477">
        <v>90755303.980450228</v>
      </c>
      <c r="H431" s="458">
        <v>0.25312256569853075</v>
      </c>
      <c r="I431" s="468">
        <v>11.042113055258104</v>
      </c>
    </row>
    <row r="432" spans="1:9" ht="16.5" x14ac:dyDescent="0.3">
      <c r="A432" s="477">
        <v>2858927.1180555741</v>
      </c>
      <c r="B432" s="458">
        <v>1.6845177272674539E-2</v>
      </c>
      <c r="C432" s="477">
        <v>8808224.9716143049</v>
      </c>
      <c r="D432" s="458">
        <v>5.5859968827514761E-2</v>
      </c>
      <c r="E432" s="477">
        <v>25969890.107158206</v>
      </c>
      <c r="F432" s="458">
        <v>0.1170528828771964</v>
      </c>
      <c r="G432" s="477">
        <v>90385480.884186074</v>
      </c>
      <c r="H432" s="458">
        <v>0.28378254265175218</v>
      </c>
      <c r="I432" s="468">
        <v>10.935307532504114</v>
      </c>
    </row>
    <row r="433" spans="1:9" ht="16.5" x14ac:dyDescent="0.3">
      <c r="A433" s="477">
        <v>8653255.9006039854</v>
      </c>
      <c r="B433" s="458">
        <v>7.6551745519458647E-2</v>
      </c>
      <c r="C433" s="477">
        <v>5149086.0614865804</v>
      </c>
      <c r="D433" s="458">
        <v>7.36058887749933E-2</v>
      </c>
      <c r="E433" s="477">
        <v>15127304.433312535</v>
      </c>
      <c r="F433" s="458">
        <v>7.6643728192187455E-2</v>
      </c>
      <c r="G433" s="477">
        <v>91398798.613617957</v>
      </c>
      <c r="H433" s="458">
        <v>0.24284548993996902</v>
      </c>
      <c r="I433" s="468">
        <v>13.002611117114636</v>
      </c>
    </row>
    <row r="434" spans="1:9" ht="16.5" x14ac:dyDescent="0.3">
      <c r="A434" s="477">
        <v>7274870.1084767552</v>
      </c>
      <c r="B434" s="458">
        <v>3.846733469119834E-2</v>
      </c>
      <c r="C434" s="477">
        <v>8689144.6164117586</v>
      </c>
      <c r="D434" s="458">
        <v>9.1572152774953119E-2</v>
      </c>
      <c r="E434" s="477">
        <v>16032167.844999751</v>
      </c>
      <c r="F434" s="458">
        <v>0.13077118986676251</v>
      </c>
      <c r="G434" s="477">
        <v>93124891.923063621</v>
      </c>
      <c r="H434" s="458">
        <v>0.28387511995230597</v>
      </c>
      <c r="I434" s="468">
        <v>5.3089514499160781</v>
      </c>
    </row>
    <row r="435" spans="1:9" ht="16.5" x14ac:dyDescent="0.3">
      <c r="A435" s="477">
        <v>1907548.3039180846</v>
      </c>
      <c r="B435" s="458">
        <v>3.8618357068449072E-2</v>
      </c>
      <c r="C435" s="477">
        <v>9881923.1935392339</v>
      </c>
      <c r="D435" s="458">
        <v>5.753341271092749E-2</v>
      </c>
      <c r="E435" s="477">
        <v>19571580.967490166</v>
      </c>
      <c r="F435" s="458">
        <v>0.12689620931194368</v>
      </c>
      <c r="G435" s="477">
        <v>103169010.42947207</v>
      </c>
      <c r="H435" s="458">
        <v>0.26412565114625064</v>
      </c>
      <c r="I435" s="468">
        <v>11.437679028449521</v>
      </c>
    </row>
    <row r="436" spans="1:9" ht="16.5" x14ac:dyDescent="0.3">
      <c r="A436" s="477">
        <v>811722.95298305841</v>
      </c>
      <c r="B436" s="458">
        <v>4.0170822884446844E-2</v>
      </c>
      <c r="C436" s="477">
        <v>14328611.648955995</v>
      </c>
      <c r="D436" s="458">
        <v>5.7064153558897823E-2</v>
      </c>
      <c r="E436" s="477">
        <v>20452353.615624845</v>
      </c>
      <c r="F436" s="458">
        <v>0.10678329587357283</v>
      </c>
      <c r="G436" s="477">
        <v>86422753.432858318</v>
      </c>
      <c r="H436" s="458">
        <v>0.26294921881538813</v>
      </c>
      <c r="I436" s="468">
        <v>3.0609471620339379</v>
      </c>
    </row>
    <row r="437" spans="1:9" ht="16.5" x14ac:dyDescent="0.3">
      <c r="A437" s="477">
        <v>7462187.9470184147</v>
      </c>
      <c r="B437" s="458">
        <v>3.8439168062378126E-2</v>
      </c>
      <c r="C437" s="477">
        <v>14212660.723091943</v>
      </c>
      <c r="D437" s="458">
        <v>6.4595467455789812E-2</v>
      </c>
      <c r="E437" s="477">
        <v>19049384.114252772</v>
      </c>
      <c r="F437" s="458">
        <v>0.11900415327929892</v>
      </c>
      <c r="G437" s="477">
        <v>84604391.463755414</v>
      </c>
      <c r="H437" s="458">
        <v>0.27435716764035223</v>
      </c>
      <c r="I437" s="468">
        <v>8.188234645267773</v>
      </c>
    </row>
    <row r="438" spans="1:9" ht="16.5" x14ac:dyDescent="0.3">
      <c r="A438" s="477">
        <v>4928104.3559997706</v>
      </c>
      <c r="B438" s="458">
        <v>3.0882530435791811E-2</v>
      </c>
      <c r="C438" s="477">
        <v>9759436.6895981282</v>
      </c>
      <c r="D438" s="458">
        <v>6.2921269140095548E-2</v>
      </c>
      <c r="E438" s="477">
        <v>13015519.113706887</v>
      </c>
      <c r="F438" s="458">
        <v>0.12500712993643126</v>
      </c>
      <c r="G438" s="477">
        <v>82295361.407731384</v>
      </c>
      <c r="H438" s="458">
        <v>0.27436312767332827</v>
      </c>
      <c r="I438" s="468">
        <v>9.2239532939309843</v>
      </c>
    </row>
    <row r="439" spans="1:9" ht="16.5" x14ac:dyDescent="0.3">
      <c r="A439" s="477">
        <v>4854603.1519803237</v>
      </c>
      <c r="B439" s="458">
        <v>4.869029838492378E-2</v>
      </c>
      <c r="C439" s="477">
        <v>9348109.9862346631</v>
      </c>
      <c r="D439" s="458">
        <v>7.2335599818087459E-2</v>
      </c>
      <c r="E439" s="477">
        <v>12186274.137690205</v>
      </c>
      <c r="F439" s="458">
        <v>0.13344473451131988</v>
      </c>
      <c r="G439" s="477">
        <v>87450911.783433765</v>
      </c>
      <c r="H439" s="458">
        <v>0.25829393298948689</v>
      </c>
      <c r="I439" s="468">
        <v>12.572240122719048</v>
      </c>
    </row>
    <row r="440" spans="1:9" ht="16.5" x14ac:dyDescent="0.3">
      <c r="A440" s="477">
        <v>5073266.1617897553</v>
      </c>
      <c r="B440" s="458">
        <v>3.4394954941190825E-2</v>
      </c>
      <c r="C440" s="477">
        <v>16023033.221964354</v>
      </c>
      <c r="D440" s="458">
        <v>5.699314514950049E-2</v>
      </c>
      <c r="E440" s="477">
        <v>20572968.606038991</v>
      </c>
      <c r="F440" s="458">
        <v>0.1113505851548362</v>
      </c>
      <c r="G440" s="477">
        <v>91213603.56076178</v>
      </c>
      <c r="H440" s="458">
        <v>0.27649188300057026</v>
      </c>
      <c r="I440" s="468">
        <v>4.9905950343181722</v>
      </c>
    </row>
    <row r="441" spans="1:9" ht="16.5" x14ac:dyDescent="0.3">
      <c r="A441" s="477">
        <v>8238568.0648345957</v>
      </c>
      <c r="B441" s="458">
        <v>4.4436827844715587E-2</v>
      </c>
      <c r="C441" s="477">
        <v>11188352.802311447</v>
      </c>
      <c r="D441" s="458">
        <v>7.2833431264846649E-2</v>
      </c>
      <c r="E441" s="477">
        <v>16878844.854760624</v>
      </c>
      <c r="F441" s="458">
        <v>8.6471189019559969E-2</v>
      </c>
      <c r="G441" s="477">
        <v>76022038.242981717</v>
      </c>
      <c r="H441" s="458">
        <v>0.26479635360016607</v>
      </c>
      <c r="I441" s="468">
        <v>2.12751479665405</v>
      </c>
    </row>
    <row r="442" spans="1:9" ht="16.5" x14ac:dyDescent="0.3">
      <c r="A442" s="477">
        <v>5782588.7782974364</v>
      </c>
      <c r="B442" s="458">
        <v>2.3935499030795171E-2</v>
      </c>
      <c r="C442" s="477">
        <v>8614332.302019449</v>
      </c>
      <c r="D442" s="458">
        <v>5.3755041610594301E-2</v>
      </c>
      <c r="E442" s="477">
        <v>16322616.880242635</v>
      </c>
      <c r="F442" s="458">
        <v>9.4632397748098951E-2</v>
      </c>
      <c r="G442" s="477">
        <v>81004847.697896704</v>
      </c>
      <c r="H442" s="458">
        <v>0.25890281804608506</v>
      </c>
      <c r="I442" s="468">
        <v>9.5307625075544848</v>
      </c>
    </row>
    <row r="443" spans="1:9" ht="16.5" x14ac:dyDescent="0.3">
      <c r="A443" s="477">
        <v>9403528.0457084961</v>
      </c>
      <c r="B443" s="458">
        <v>3.5613624940272093E-2</v>
      </c>
      <c r="C443" s="477">
        <v>7254424.806223698</v>
      </c>
      <c r="D443" s="458">
        <v>8.6946300057704207E-2</v>
      </c>
      <c r="E443" s="477">
        <v>13681848.855608776</v>
      </c>
      <c r="F443" s="458">
        <v>0.10523776638494953</v>
      </c>
      <c r="G443" s="477">
        <v>97014463.964275748</v>
      </c>
      <c r="H443" s="458">
        <v>0.2900490251431056</v>
      </c>
      <c r="I443" s="468">
        <v>8.5330113528001004</v>
      </c>
    </row>
    <row r="444" spans="1:9" ht="16.5" x14ac:dyDescent="0.3">
      <c r="A444" s="477">
        <v>525716.6517469422</v>
      </c>
      <c r="B444" s="458">
        <v>5.4651352938913211E-2</v>
      </c>
      <c r="C444" s="477">
        <v>8712201.115994459</v>
      </c>
      <c r="D444" s="458">
        <v>6.4046682514563802E-2</v>
      </c>
      <c r="E444" s="477">
        <v>12923176.541737232</v>
      </c>
      <c r="F444" s="458">
        <v>0.10808511818756195</v>
      </c>
      <c r="G444" s="477">
        <v>93611264.955526188</v>
      </c>
      <c r="H444" s="458">
        <v>0.29960781067414954</v>
      </c>
      <c r="I444" s="468">
        <v>1.3626558353300151</v>
      </c>
    </row>
    <row r="445" spans="1:9" ht="16.5" x14ac:dyDescent="0.3">
      <c r="A445" s="477">
        <v>7581716.8450725628</v>
      </c>
      <c r="B445" s="458">
        <v>4.827225031008453E-2</v>
      </c>
      <c r="C445" s="477">
        <v>20068690.959031306</v>
      </c>
      <c r="D445" s="458">
        <v>8.5217042137039734E-2</v>
      </c>
      <c r="E445" s="477">
        <v>15629821.910891116</v>
      </c>
      <c r="F445" s="458">
        <v>9.4755499600657433E-2</v>
      </c>
      <c r="G445" s="477">
        <v>102391686.4883794</v>
      </c>
      <c r="H445" s="458">
        <v>0.26581859560512555</v>
      </c>
      <c r="I445" s="468">
        <v>7.8660413178514785</v>
      </c>
    </row>
    <row r="446" spans="1:9" ht="16.5" x14ac:dyDescent="0.3">
      <c r="A446" s="477">
        <v>873401.4686039309</v>
      </c>
      <c r="B446" s="458">
        <v>4.6126852157582832E-2</v>
      </c>
      <c r="C446" s="477">
        <v>8199683.3391578458</v>
      </c>
      <c r="D446" s="458">
        <v>5.8799111204978161E-2</v>
      </c>
      <c r="E446" s="477">
        <v>14366433.854000647</v>
      </c>
      <c r="F446" s="458">
        <v>0.10571578860852759</v>
      </c>
      <c r="G446" s="477">
        <v>95331199.661615565</v>
      </c>
      <c r="H446" s="458">
        <v>0.27335343301858317</v>
      </c>
      <c r="I446" s="468">
        <v>8.4047819972311082</v>
      </c>
    </row>
    <row r="447" spans="1:9" ht="16.5" x14ac:dyDescent="0.3">
      <c r="A447" s="477">
        <v>4809805.8452316523</v>
      </c>
      <c r="B447" s="458">
        <v>5.1591143001951778E-2</v>
      </c>
      <c r="C447" s="477">
        <v>14899045.932727696</v>
      </c>
      <c r="D447" s="458">
        <v>6.5418221772533869E-2</v>
      </c>
      <c r="E447" s="477">
        <v>1586205.2306372183</v>
      </c>
      <c r="F447" s="458">
        <v>9.4947278144869252E-2</v>
      </c>
      <c r="G447" s="477">
        <v>89717316.350697666</v>
      </c>
      <c r="H447" s="458">
        <v>0.27219363932453988</v>
      </c>
      <c r="I447" s="468">
        <v>13.453448537137719</v>
      </c>
    </row>
    <row r="448" spans="1:9" ht="16.5" x14ac:dyDescent="0.3">
      <c r="A448" s="477">
        <v>3241009.3333676751</v>
      </c>
      <c r="B448" s="458">
        <v>5.5220680507543696E-2</v>
      </c>
      <c r="C448" s="477">
        <v>6285672.193638335</v>
      </c>
      <c r="D448" s="458">
        <v>9.0660469955564649E-2</v>
      </c>
      <c r="E448" s="477">
        <v>23076778.629890684</v>
      </c>
      <c r="F448" s="458">
        <v>0.11848074009853349</v>
      </c>
      <c r="G448" s="477">
        <v>83919224.451356471</v>
      </c>
      <c r="H448" s="458">
        <v>0.2717283187609989</v>
      </c>
      <c r="I448" s="468">
        <v>1.5091676783213899</v>
      </c>
    </row>
    <row r="449" spans="1:9" ht="16.5" x14ac:dyDescent="0.3">
      <c r="A449" s="477">
        <v>4411539.4735964769</v>
      </c>
      <c r="B449" s="458">
        <v>3.672165526602722E-2</v>
      </c>
      <c r="C449" s="477">
        <v>6426057.8058882514</v>
      </c>
      <c r="D449" s="458">
        <v>6.3527937050965377E-2</v>
      </c>
      <c r="E449" s="477">
        <v>18721176.349392679</v>
      </c>
      <c r="F449" s="458">
        <v>0.11399340637685063</v>
      </c>
      <c r="G449" s="477">
        <v>102532661.28399017</v>
      </c>
      <c r="H449" s="458">
        <v>0.2667028620529357</v>
      </c>
      <c r="I449" s="468">
        <v>6.628492199040589</v>
      </c>
    </row>
    <row r="450" spans="1:9" ht="16.5" x14ac:dyDescent="0.3">
      <c r="A450" s="477">
        <v>2955529.574696525</v>
      </c>
      <c r="B450" s="458">
        <v>5.8067827662109162E-2</v>
      </c>
      <c r="C450" s="477">
        <v>2183818.9454754177</v>
      </c>
      <c r="D450" s="458">
        <v>6.0475910338475103E-2</v>
      </c>
      <c r="E450" s="477">
        <v>18530858.858257595</v>
      </c>
      <c r="F450" s="458">
        <v>0.10991010159455916</v>
      </c>
      <c r="G450" s="477">
        <v>100222487.0960267</v>
      </c>
      <c r="H450" s="458">
        <v>0.25670510284289949</v>
      </c>
      <c r="I450" s="468">
        <v>5.1521782404892935</v>
      </c>
    </row>
    <row r="451" spans="1:9" ht="16.5" x14ac:dyDescent="0.3">
      <c r="A451" s="477">
        <v>6135428.5649688495</v>
      </c>
      <c r="B451" s="458">
        <v>4.3001768687166431E-2</v>
      </c>
      <c r="C451" s="477">
        <v>13865932.043296082</v>
      </c>
      <c r="D451" s="458">
        <v>6.9613118758310888E-2</v>
      </c>
      <c r="E451" s="477">
        <v>24733377.679766152</v>
      </c>
      <c r="F451" s="458">
        <v>0.14683343960417372</v>
      </c>
      <c r="G451" s="477">
        <v>97356304.632028773</v>
      </c>
      <c r="H451" s="458">
        <v>0.31365402501148876</v>
      </c>
      <c r="I451" s="468">
        <v>10.861571643396466</v>
      </c>
    </row>
    <row r="452" spans="1:9" ht="16.5" x14ac:dyDescent="0.3">
      <c r="A452" s="477">
        <v>-4267002.5236737439</v>
      </c>
      <c r="B452" s="458">
        <v>5.3134175025039587E-2</v>
      </c>
      <c r="C452" s="477">
        <v>6590951.7335154442</v>
      </c>
      <c r="D452" s="458">
        <v>5.9244775688434004E-2</v>
      </c>
      <c r="E452" s="477">
        <v>17088098.069604974</v>
      </c>
      <c r="F452" s="458">
        <v>0.12341270292860429</v>
      </c>
      <c r="G452" s="477">
        <v>81132214.312927887</v>
      </c>
      <c r="H452" s="458">
        <v>0.26573694030605388</v>
      </c>
      <c r="I452" s="468">
        <v>-1.5024478450284935</v>
      </c>
    </row>
    <row r="453" spans="1:9" ht="16.5" x14ac:dyDescent="0.3">
      <c r="A453" s="477">
        <v>6149716.9675100259</v>
      </c>
      <c r="B453" s="458">
        <v>4.1127093585148433E-2</v>
      </c>
      <c r="C453" s="477">
        <v>9327896.827778995</v>
      </c>
      <c r="D453" s="458">
        <v>5.8332369031286024E-2</v>
      </c>
      <c r="E453" s="477">
        <v>11253944.813471263</v>
      </c>
      <c r="F453" s="458">
        <v>0.1156540094463141</v>
      </c>
      <c r="G453" s="477">
        <v>94396463.011685014</v>
      </c>
      <c r="H453" s="458">
        <v>0.25923487757072694</v>
      </c>
      <c r="I453" s="468">
        <v>7.9841851665160943</v>
      </c>
    </row>
    <row r="454" spans="1:9" ht="16.5" x14ac:dyDescent="0.3">
      <c r="A454" s="477">
        <v>6479536.1471351143</v>
      </c>
      <c r="B454" s="458">
        <v>3.5257822989324117E-2</v>
      </c>
      <c r="C454" s="477">
        <v>7400019.6349942163</v>
      </c>
      <c r="D454" s="458">
        <v>8.4088972297369002E-2</v>
      </c>
      <c r="E454" s="477">
        <v>26216584.265030369</v>
      </c>
      <c r="F454" s="458">
        <v>0.10660463461773784</v>
      </c>
      <c r="G454" s="477">
        <v>99121051.649993405</v>
      </c>
      <c r="H454" s="458">
        <v>0.25591829897829022</v>
      </c>
      <c r="I454" s="468">
        <v>1.9371346728988019</v>
      </c>
    </row>
    <row r="455" spans="1:9" ht="16.5" x14ac:dyDescent="0.3">
      <c r="A455" s="477">
        <v>3961135.3458996043</v>
      </c>
      <c r="B455" s="458">
        <v>2.4296596669438397E-2</v>
      </c>
      <c r="C455" s="477">
        <v>9202130.7966866288</v>
      </c>
      <c r="D455" s="458">
        <v>8.0519178067325337E-2</v>
      </c>
      <c r="E455" s="477">
        <v>19309666.343505897</v>
      </c>
      <c r="F455" s="458">
        <v>8.9587027440037437E-2</v>
      </c>
      <c r="G455" s="477">
        <v>89578960.371514812</v>
      </c>
      <c r="H455" s="458">
        <v>0.27568412233372097</v>
      </c>
      <c r="I455" s="468">
        <v>5.8005417933375565</v>
      </c>
    </row>
    <row r="456" spans="1:9" ht="16.5" x14ac:dyDescent="0.3">
      <c r="A456" s="477">
        <v>5045827.9120405698</v>
      </c>
      <c r="B456" s="458">
        <v>2.6237818850908701E-2</v>
      </c>
      <c r="C456" s="477">
        <v>7214602.1607174072</v>
      </c>
      <c r="D456" s="458">
        <v>6.4131745578764665E-2</v>
      </c>
      <c r="E456" s="477">
        <v>25647450.881413341</v>
      </c>
      <c r="F456" s="458">
        <v>0.12321351021899241</v>
      </c>
      <c r="G456" s="477">
        <v>77009051.023522094</v>
      </c>
      <c r="H456" s="458">
        <v>0.25728324483210741</v>
      </c>
      <c r="I456" s="468">
        <v>13.325496126563316</v>
      </c>
    </row>
    <row r="457" spans="1:9" ht="16.5" x14ac:dyDescent="0.3">
      <c r="A457" s="477">
        <v>4137096.4404361183</v>
      </c>
      <c r="B457" s="458">
        <v>5.1072686437893866E-2</v>
      </c>
      <c r="C457" s="477">
        <v>6084798.7153611286</v>
      </c>
      <c r="D457" s="458">
        <v>7.5571002614086114E-2</v>
      </c>
      <c r="E457" s="477">
        <v>19341660.594671179</v>
      </c>
      <c r="F457" s="458">
        <v>0.12103271123357962</v>
      </c>
      <c r="G457" s="477">
        <v>84006184.564627334</v>
      </c>
      <c r="H457" s="458">
        <v>0.27361370560715925</v>
      </c>
      <c r="I457" s="468">
        <v>5.4649318605867361</v>
      </c>
    </row>
    <row r="458" spans="1:9" ht="16.5" x14ac:dyDescent="0.3">
      <c r="A458" s="477">
        <v>5964767.5365512418</v>
      </c>
      <c r="B458" s="458">
        <v>4.5138265121271948E-2</v>
      </c>
      <c r="C458" s="477">
        <v>2841285.7020902657</v>
      </c>
      <c r="D458" s="458">
        <v>5.4309847872331618E-2</v>
      </c>
      <c r="E458" s="477">
        <v>16686349.51709778</v>
      </c>
      <c r="F458" s="458">
        <v>0.10007120658007862</v>
      </c>
      <c r="G458" s="477">
        <v>96378635.642580152</v>
      </c>
      <c r="H458" s="458">
        <v>0.28467714499228158</v>
      </c>
      <c r="I458" s="468">
        <v>-0.58792918287170259</v>
      </c>
    </row>
    <row r="459" spans="1:9" ht="16.5" x14ac:dyDescent="0.3">
      <c r="A459" s="477">
        <v>5803129.4633312505</v>
      </c>
      <c r="B459" s="458">
        <v>4.3788787431764176E-2</v>
      </c>
      <c r="C459" s="477">
        <v>8381140.6798886843</v>
      </c>
      <c r="D459" s="458">
        <v>5.6849682581709748E-2</v>
      </c>
      <c r="E459" s="477">
        <v>15949357.537583027</v>
      </c>
      <c r="F459" s="458">
        <v>0.13239295282760266</v>
      </c>
      <c r="G459" s="477">
        <v>88711205.162743747</v>
      </c>
      <c r="H459" s="458">
        <v>0.27224284764079809</v>
      </c>
      <c r="I459" s="468">
        <v>10.067002886995065</v>
      </c>
    </row>
    <row r="460" spans="1:9" ht="16.5" x14ac:dyDescent="0.3">
      <c r="A460" s="477">
        <v>3743635.6126872473</v>
      </c>
      <c r="B460" s="458">
        <v>3.8752234554013221E-2</v>
      </c>
      <c r="C460" s="477">
        <v>9420366.7834888212</v>
      </c>
      <c r="D460" s="458">
        <v>6.8873855320886967E-2</v>
      </c>
      <c r="E460" s="477">
        <v>19581799.163250893</v>
      </c>
      <c r="F460" s="458">
        <v>0.10449137811639342</v>
      </c>
      <c r="G460" s="477">
        <v>85265124.461297989</v>
      </c>
      <c r="H460" s="458">
        <v>0.27047795812347308</v>
      </c>
      <c r="I460" s="468">
        <v>5.4597886485173674</v>
      </c>
    </row>
    <row r="461" spans="1:9" ht="16.5" x14ac:dyDescent="0.3">
      <c r="A461" s="477">
        <v>3640342.2229060167</v>
      </c>
      <c r="B461" s="458">
        <v>2.6715419805019458E-2</v>
      </c>
      <c r="C461" s="477">
        <v>9828087.3247941826</v>
      </c>
      <c r="D461" s="458">
        <v>5.9463161217770288E-2</v>
      </c>
      <c r="E461" s="477">
        <v>8733235.3279008083</v>
      </c>
      <c r="F461" s="458">
        <v>0.10911284416377187</v>
      </c>
      <c r="G461" s="477">
        <v>108292037.90904927</v>
      </c>
      <c r="H461" s="458">
        <v>0.27734385320797195</v>
      </c>
      <c r="I461" s="468">
        <v>8.5217009113170263</v>
      </c>
    </row>
    <row r="462" spans="1:9" ht="16.5" x14ac:dyDescent="0.3">
      <c r="A462" s="477">
        <v>7866817.0202714168</v>
      </c>
      <c r="B462" s="458">
        <v>3.4187777549116838E-2</v>
      </c>
      <c r="C462" s="477">
        <v>9516287.03475192</v>
      </c>
      <c r="D462" s="458">
        <v>7.9364712449123243E-2</v>
      </c>
      <c r="E462" s="477">
        <v>15068761.024678024</v>
      </c>
      <c r="F462" s="458">
        <v>0.11286354836792278</v>
      </c>
      <c r="G462" s="477">
        <v>94694638.825937927</v>
      </c>
      <c r="H462" s="458">
        <v>0.26350179875282209</v>
      </c>
      <c r="I462" s="468">
        <v>6.5229879943422517</v>
      </c>
    </row>
    <row r="463" spans="1:9" ht="16.5" x14ac:dyDescent="0.3">
      <c r="A463" s="477">
        <v>5321334.6440194072</v>
      </c>
      <c r="B463" s="458">
        <v>5.4773626593650704E-2</v>
      </c>
      <c r="C463" s="477">
        <v>15134914.462077383</v>
      </c>
      <c r="D463" s="458">
        <v>6.7115081766677021E-2</v>
      </c>
      <c r="E463" s="477">
        <v>12046478.932009988</v>
      </c>
      <c r="F463" s="458">
        <v>0.10052984450788305</v>
      </c>
      <c r="G463" s="477">
        <v>89609188.327847511</v>
      </c>
      <c r="H463" s="458">
        <v>0.27882235160048729</v>
      </c>
      <c r="I463" s="468">
        <v>14.878200519649315</v>
      </c>
    </row>
    <row r="464" spans="1:9" ht="16.5" x14ac:dyDescent="0.3">
      <c r="A464" s="477">
        <v>5315249.8066001786</v>
      </c>
      <c r="B464" s="458">
        <v>2.6233992800323458E-2</v>
      </c>
      <c r="C464" s="477">
        <v>6487224.4465075703</v>
      </c>
      <c r="D464" s="458">
        <v>5.8633050765180661E-2</v>
      </c>
      <c r="E464" s="477">
        <v>22219676.64800974</v>
      </c>
      <c r="F464" s="458">
        <v>0.11304655447268508</v>
      </c>
      <c r="G464" s="477">
        <v>88540750.581605256</v>
      </c>
      <c r="H464" s="458">
        <v>0.23735032898450137</v>
      </c>
      <c r="I464" s="468">
        <v>12.20295832748603</v>
      </c>
    </row>
    <row r="465" spans="1:9" ht="16.5" x14ac:dyDescent="0.3">
      <c r="A465" s="477">
        <v>4296611.3207688211</v>
      </c>
      <c r="B465" s="458">
        <v>6.5297362677109616E-2</v>
      </c>
      <c r="C465" s="477">
        <v>7520005.6585641298</v>
      </c>
      <c r="D465" s="458">
        <v>7.6587585825792504E-2</v>
      </c>
      <c r="E465" s="477">
        <v>9485776.5429449193</v>
      </c>
      <c r="F465" s="458">
        <v>0.10852275895949037</v>
      </c>
      <c r="G465" s="477">
        <v>91594318.012246907</v>
      </c>
      <c r="H465" s="458">
        <v>0.26911912881359079</v>
      </c>
      <c r="I465" s="468">
        <v>8.2089051475438684</v>
      </c>
    </row>
    <row r="466" spans="1:9" ht="16.5" x14ac:dyDescent="0.3">
      <c r="A466" s="477">
        <v>8924011.2184781618</v>
      </c>
      <c r="B466" s="458">
        <v>3.1116379781803039E-2</v>
      </c>
      <c r="C466" s="477">
        <v>12538499.405207241</v>
      </c>
      <c r="D466" s="458">
        <v>5.705469088611359E-2</v>
      </c>
      <c r="E466" s="477">
        <v>11629272.204673123</v>
      </c>
      <c r="F466" s="458">
        <v>0.13501989817719151</v>
      </c>
      <c r="G466" s="477">
        <v>99209440.026605248</v>
      </c>
      <c r="H466" s="458">
        <v>0.26695461937227538</v>
      </c>
      <c r="I466" s="468">
        <v>9.0211188406933545</v>
      </c>
    </row>
    <row r="467" spans="1:9" ht="16.5" x14ac:dyDescent="0.3">
      <c r="A467" s="477">
        <v>4441774.3657845184</v>
      </c>
      <c r="B467" s="458">
        <v>7.9718239371814548E-2</v>
      </c>
      <c r="C467" s="477">
        <v>13162050.254764182</v>
      </c>
      <c r="D467" s="458">
        <v>8.5657116969320324E-2</v>
      </c>
      <c r="E467" s="477">
        <v>21588729.530967645</v>
      </c>
      <c r="F467" s="458">
        <v>0.11096771602251998</v>
      </c>
      <c r="G467" s="477">
        <v>87745627.078214988</v>
      </c>
      <c r="H467" s="458">
        <v>0.2581157038137305</v>
      </c>
      <c r="I467" s="468">
        <v>8.8904307856463465</v>
      </c>
    </row>
    <row r="468" spans="1:9" ht="16.5" x14ac:dyDescent="0.3">
      <c r="A468" s="477">
        <v>9233251.6226198506</v>
      </c>
      <c r="B468" s="458">
        <v>4.6308351214998655E-2</v>
      </c>
      <c r="C468" s="477">
        <v>14656322.282579169</v>
      </c>
      <c r="D468" s="458">
        <v>5.5426271146553185E-2</v>
      </c>
      <c r="E468" s="477">
        <v>12155526.054999601</v>
      </c>
      <c r="F468" s="458">
        <v>0.11197425813672335</v>
      </c>
      <c r="G468" s="477">
        <v>89575535.221833557</v>
      </c>
      <c r="H468" s="458">
        <v>0.27371453399518719</v>
      </c>
      <c r="I468" s="468">
        <v>5.0250349841237671</v>
      </c>
    </row>
    <row r="469" spans="1:9" ht="16.5" x14ac:dyDescent="0.3">
      <c r="A469" s="477">
        <v>2007212.2327651449</v>
      </c>
      <c r="B469" s="458">
        <v>5.018067338063581E-2</v>
      </c>
      <c r="C469" s="477">
        <v>10798176.530562598</v>
      </c>
      <c r="D469" s="458">
        <v>7.683089791290687E-2</v>
      </c>
      <c r="E469" s="477">
        <v>24693573.039554633</v>
      </c>
      <c r="F469" s="458">
        <v>0.12170251711421698</v>
      </c>
      <c r="G469" s="477">
        <v>74996472.150506064</v>
      </c>
      <c r="H469" s="458">
        <v>0.28772640214845047</v>
      </c>
      <c r="I469" s="468">
        <v>7.4878778402328576</v>
      </c>
    </row>
    <row r="470" spans="1:9" ht="16.5" x14ac:dyDescent="0.3">
      <c r="A470" s="477">
        <v>6297892.5001849588</v>
      </c>
      <c r="B470" s="458">
        <v>4.0517131224723002E-2</v>
      </c>
      <c r="C470" s="477">
        <v>13291065.520187108</v>
      </c>
      <c r="D470" s="458">
        <v>5.1071255035398666E-2</v>
      </c>
      <c r="E470" s="477">
        <v>20127103.983912256</v>
      </c>
      <c r="F470" s="458">
        <v>0.12681791239298845</v>
      </c>
      <c r="G470" s="477">
        <v>79233834.765798077</v>
      </c>
      <c r="H470" s="458">
        <v>0.28106270055114235</v>
      </c>
      <c r="I470" s="468">
        <v>2.7434433315369278</v>
      </c>
    </row>
    <row r="471" spans="1:9" ht="16.5" x14ac:dyDescent="0.3">
      <c r="A471" s="477">
        <v>1773734.8193301763</v>
      </c>
      <c r="B471" s="458">
        <v>7.1151810705939456E-2</v>
      </c>
      <c r="C471" s="477">
        <v>17528053.797722295</v>
      </c>
      <c r="D471" s="458">
        <v>7.3534253342027345E-2</v>
      </c>
      <c r="E471" s="477">
        <v>15829639.052183848</v>
      </c>
      <c r="F471" s="458">
        <v>0.11426898221622617</v>
      </c>
      <c r="G471" s="477">
        <v>98144161.868341982</v>
      </c>
      <c r="H471" s="458">
        <v>0.24077406209740126</v>
      </c>
      <c r="I471" s="468">
        <v>7.3302196849536312</v>
      </c>
    </row>
    <row r="472" spans="1:9" ht="16.5" x14ac:dyDescent="0.3">
      <c r="A472" s="477">
        <v>2072141.9986982783</v>
      </c>
      <c r="B472" s="458">
        <v>3.6508569412340819E-2</v>
      </c>
      <c r="C472" s="477">
        <v>13730554.456426505</v>
      </c>
      <c r="D472" s="458">
        <v>6.7011321057491635E-2</v>
      </c>
      <c r="E472" s="477">
        <v>9655828.1493483819</v>
      </c>
      <c r="F472" s="458">
        <v>0.11174608906896411</v>
      </c>
      <c r="G472" s="477">
        <v>78669414.314536631</v>
      </c>
      <c r="H472" s="458">
        <v>0.25664978564533558</v>
      </c>
      <c r="I472" s="468">
        <v>12.457373287939259</v>
      </c>
    </row>
    <row r="473" spans="1:9" ht="16.5" x14ac:dyDescent="0.3">
      <c r="A473" s="477">
        <v>7077237.0476828301</v>
      </c>
      <c r="B473" s="458">
        <v>3.9362290104898001E-2</v>
      </c>
      <c r="C473" s="477">
        <v>11123883.660197461</v>
      </c>
      <c r="D473" s="458">
        <v>8.2369335572512137E-2</v>
      </c>
      <c r="E473" s="477">
        <v>16577486.572684919</v>
      </c>
      <c r="F473" s="458">
        <v>0.10766662461242049</v>
      </c>
      <c r="G473" s="477">
        <v>94097141.328424156</v>
      </c>
      <c r="H473" s="458">
        <v>0.25420043928678138</v>
      </c>
      <c r="I473" s="468">
        <v>7.6515842034216837</v>
      </c>
    </row>
    <row r="474" spans="1:9" ht="16.5" x14ac:dyDescent="0.3">
      <c r="A474" s="477">
        <v>7110473.060583421</v>
      </c>
      <c r="B474" s="458">
        <v>2.8257211233991608E-2</v>
      </c>
      <c r="C474" s="477">
        <v>7975500.2098896978</v>
      </c>
      <c r="D474" s="458">
        <v>8.119748313493047E-2</v>
      </c>
      <c r="E474" s="477">
        <v>16333209.537547316</v>
      </c>
      <c r="F474" s="458">
        <v>0.11015974260952377</v>
      </c>
      <c r="G474" s="477">
        <v>96102859.867970362</v>
      </c>
      <c r="H474" s="458">
        <v>0.26540158196006769</v>
      </c>
      <c r="I474" s="468">
        <v>12.013024937070659</v>
      </c>
    </row>
    <row r="475" spans="1:9" ht="16.5" x14ac:dyDescent="0.3">
      <c r="A475" s="477">
        <v>8372593.830906067</v>
      </c>
      <c r="B475" s="458">
        <v>2.7875824047772113E-2</v>
      </c>
      <c r="C475" s="477">
        <v>5280700.1201125402</v>
      </c>
      <c r="D475" s="458">
        <v>8.2224038080324968E-2</v>
      </c>
      <c r="E475" s="477">
        <v>13202187.437342271</v>
      </c>
      <c r="F475" s="458">
        <v>0.12172514410503843</v>
      </c>
      <c r="G475" s="477">
        <v>92351391.363358632</v>
      </c>
      <c r="H475" s="458">
        <v>0.25440741881369999</v>
      </c>
      <c r="I475" s="468">
        <v>8.0755835993622469</v>
      </c>
    </row>
    <row r="476" spans="1:9" ht="16.5" x14ac:dyDescent="0.3">
      <c r="A476" s="477">
        <v>971819.04924194131</v>
      </c>
      <c r="B476" s="458">
        <v>4.2675906860859758E-2</v>
      </c>
      <c r="C476" s="477">
        <v>7644271.4276834112</v>
      </c>
      <c r="D476" s="458">
        <v>6.8820899279042225E-2</v>
      </c>
      <c r="E476" s="477">
        <v>15463472.183998859</v>
      </c>
      <c r="F476" s="458">
        <v>0.11720131200223327</v>
      </c>
      <c r="G476" s="477">
        <v>90939608.174971014</v>
      </c>
      <c r="H476" s="458">
        <v>0.27850359896204746</v>
      </c>
      <c r="I476" s="468">
        <v>9.0364332700962997</v>
      </c>
    </row>
    <row r="477" spans="1:9" ht="16.5" x14ac:dyDescent="0.3">
      <c r="A477" s="477">
        <v>7124481.7191574136</v>
      </c>
      <c r="B477" s="458">
        <v>4.4557510653581156E-2</v>
      </c>
      <c r="C477" s="477">
        <v>9183650.5957400892</v>
      </c>
      <c r="D477" s="458">
        <v>6.6039789076076438E-2</v>
      </c>
      <c r="E477" s="477">
        <v>16197586.614573916</v>
      </c>
      <c r="F477" s="458">
        <v>0.11630465167830173</v>
      </c>
      <c r="G477" s="477">
        <v>93002550.224621862</v>
      </c>
      <c r="H477" s="458">
        <v>0.25175302265300314</v>
      </c>
      <c r="I477" s="468">
        <v>8.3253667033479051</v>
      </c>
    </row>
    <row r="478" spans="1:9" ht="16.5" x14ac:dyDescent="0.3">
      <c r="A478" s="477">
        <v>6815588.9530621516</v>
      </c>
      <c r="B478" s="458">
        <v>5.0763905415877053E-2</v>
      </c>
      <c r="C478" s="477">
        <v>12361119.536863122</v>
      </c>
      <c r="D478" s="458">
        <v>8.3923291964308699E-2</v>
      </c>
      <c r="E478" s="477">
        <v>16104028.962692689</v>
      </c>
      <c r="F478" s="458">
        <v>7.116305244224308E-2</v>
      </c>
      <c r="G478" s="477">
        <v>112469121.87633529</v>
      </c>
      <c r="H478" s="458">
        <v>0.27497387101688653</v>
      </c>
      <c r="I478" s="468">
        <v>11.591913073778423</v>
      </c>
    </row>
    <row r="479" spans="1:9" ht="16.5" x14ac:dyDescent="0.3">
      <c r="A479" s="477">
        <v>6896245.7137456909</v>
      </c>
      <c r="B479" s="458">
        <v>5.8670491371041411E-2</v>
      </c>
      <c r="C479" s="477">
        <v>7255877.5356600964</v>
      </c>
      <c r="D479" s="458">
        <v>5.6656870057152142E-2</v>
      </c>
      <c r="E479" s="477">
        <v>11546019.280400403</v>
      </c>
      <c r="F479" s="458">
        <v>9.8516544551599639E-2</v>
      </c>
      <c r="G479" s="477">
        <v>79507536.541810811</v>
      </c>
      <c r="H479" s="458">
        <v>0.27124988178276088</v>
      </c>
      <c r="I479" s="468">
        <v>11.985665909025069</v>
      </c>
    </row>
    <row r="480" spans="1:9" ht="16.5" x14ac:dyDescent="0.3">
      <c r="A480" s="477">
        <v>7073935.6433186587</v>
      </c>
      <c r="B480" s="458">
        <v>1.0269548602306111E-2</v>
      </c>
      <c r="C480" s="477">
        <v>10864363.11327954</v>
      </c>
      <c r="D480" s="458">
        <v>5.694241933040467E-2</v>
      </c>
      <c r="E480" s="477">
        <v>19402904.738848165</v>
      </c>
      <c r="F480" s="458">
        <v>0.10616620756865136</v>
      </c>
      <c r="G480" s="477">
        <v>88906118.505783096</v>
      </c>
      <c r="H480" s="458">
        <v>0.2535592564516651</v>
      </c>
      <c r="I480" s="468">
        <v>12.846600343086777</v>
      </c>
    </row>
    <row r="481" spans="1:9" ht="16.5" x14ac:dyDescent="0.3">
      <c r="A481" s="477">
        <v>3957662.5760458582</v>
      </c>
      <c r="B481" s="458">
        <v>3.5264821910557798E-2</v>
      </c>
      <c r="C481" s="477">
        <v>8804282.3250917196</v>
      </c>
      <c r="D481" s="458">
        <v>4.8176182835288017E-2</v>
      </c>
      <c r="E481" s="477">
        <v>15235787.677350221</v>
      </c>
      <c r="F481" s="458">
        <v>0.10396965236835998</v>
      </c>
      <c r="G481" s="477">
        <v>96506471.376864702</v>
      </c>
      <c r="H481" s="458">
        <v>0.26463267412463254</v>
      </c>
      <c r="I481" s="468">
        <v>10.540611933293304</v>
      </c>
    </row>
    <row r="482" spans="1:9" ht="16.5" x14ac:dyDescent="0.3">
      <c r="A482" s="477">
        <v>9628294.4786178544</v>
      </c>
      <c r="B482" s="458">
        <v>3.9599717817871083E-2</v>
      </c>
      <c r="C482" s="477">
        <v>8781422.9639421273</v>
      </c>
      <c r="D482" s="458">
        <v>6.5328212064841962E-2</v>
      </c>
      <c r="E482" s="477">
        <v>6229868.27383311</v>
      </c>
      <c r="F482" s="458">
        <v>0.13089803242204656</v>
      </c>
      <c r="G482" s="477">
        <v>96969876.759690449</v>
      </c>
      <c r="H482" s="458">
        <v>0.25532124871845241</v>
      </c>
      <c r="I482" s="468">
        <v>7.2806279038615171</v>
      </c>
    </row>
    <row r="483" spans="1:9" ht="16.5" x14ac:dyDescent="0.3">
      <c r="A483" s="477">
        <v>1108330.8287241682</v>
      </c>
      <c r="B483" s="458">
        <v>5.862802806466183E-2</v>
      </c>
      <c r="C483" s="477">
        <v>10371628.006200347</v>
      </c>
      <c r="D483" s="458">
        <v>7.7560425868295368E-2</v>
      </c>
      <c r="E483" s="477">
        <v>18016233.306957271</v>
      </c>
      <c r="F483" s="458">
        <v>0.10567602345047145</v>
      </c>
      <c r="G483" s="477">
        <v>99756995.281710625</v>
      </c>
      <c r="H483" s="458">
        <v>0.26565859304857264</v>
      </c>
      <c r="I483" s="468">
        <v>9.0832196159566365</v>
      </c>
    </row>
    <row r="484" spans="1:9" ht="16.5" x14ac:dyDescent="0.3">
      <c r="A484" s="477">
        <v>7052949.0377455279</v>
      </c>
      <c r="B484" s="458">
        <v>4.4374795896469976E-2</v>
      </c>
      <c r="C484" s="477">
        <v>9431766.442359224</v>
      </c>
      <c r="D484" s="458">
        <v>7.0177077226800444E-2</v>
      </c>
      <c r="E484" s="477">
        <v>16921404.07082795</v>
      </c>
      <c r="F484" s="458">
        <v>0.13105828146168141</v>
      </c>
      <c r="G484" s="477">
        <v>102656969.12009242</v>
      </c>
      <c r="H484" s="458">
        <v>0.26465183239060641</v>
      </c>
      <c r="I484" s="468">
        <v>7.9682661867550069</v>
      </c>
    </row>
    <row r="485" spans="1:9" ht="16.5" x14ac:dyDescent="0.3">
      <c r="A485" s="477">
        <v>6168512.0350157358</v>
      </c>
      <c r="B485" s="458">
        <v>3.0133592037067558E-2</v>
      </c>
      <c r="C485" s="477">
        <v>6002608.1376744593</v>
      </c>
      <c r="D485" s="458">
        <v>8.8027859431089706E-2</v>
      </c>
      <c r="E485" s="477">
        <v>12767292.56956014</v>
      </c>
      <c r="F485" s="458">
        <v>0.15122704940402021</v>
      </c>
      <c r="G485" s="477">
        <v>94689974.477393568</v>
      </c>
      <c r="H485" s="458">
        <v>0.26279837855931842</v>
      </c>
      <c r="I485" s="468">
        <v>15.428149719887532</v>
      </c>
    </row>
    <row r="486" spans="1:9" ht="16.5" x14ac:dyDescent="0.3">
      <c r="A486" s="477">
        <v>6115120.3680308266</v>
      </c>
      <c r="B486" s="458">
        <v>4.8724662876695302E-2</v>
      </c>
      <c r="C486" s="477">
        <v>1961413.0623758703</v>
      </c>
      <c r="D486" s="458">
        <v>6.5104069488594707E-2</v>
      </c>
      <c r="E486" s="477">
        <v>12629516.067063026</v>
      </c>
      <c r="F486" s="458">
        <v>0.11676618094186098</v>
      </c>
      <c r="G486" s="477">
        <v>83042485.638767675</v>
      </c>
      <c r="H486" s="458">
        <v>0.27462157391907049</v>
      </c>
      <c r="I486" s="468">
        <v>7.8955147045889849</v>
      </c>
    </row>
    <row r="487" spans="1:9" ht="16.5" x14ac:dyDescent="0.3">
      <c r="A487" s="477">
        <v>5884679.3418564415</v>
      </c>
      <c r="B487" s="458">
        <v>6.1544545747676649E-2</v>
      </c>
      <c r="C487" s="477">
        <v>7792157.0606941124</v>
      </c>
      <c r="D487" s="458">
        <v>5.2712996694425529E-2</v>
      </c>
      <c r="E487" s="477">
        <v>7700568.8397249002</v>
      </c>
      <c r="F487" s="458">
        <v>8.4232434842493875E-2</v>
      </c>
      <c r="G487" s="477">
        <v>96286408.375286266</v>
      </c>
      <c r="H487" s="458">
        <v>0.262358782933938</v>
      </c>
      <c r="I487" s="468">
        <v>9.7076365842438381</v>
      </c>
    </row>
    <row r="488" spans="1:9" ht="16.5" x14ac:dyDescent="0.3">
      <c r="A488" s="477">
        <v>4090188.1475183815</v>
      </c>
      <c r="B488" s="458">
        <v>4.9927600257891003E-2</v>
      </c>
      <c r="C488" s="477">
        <v>9187182.3105439134</v>
      </c>
      <c r="D488" s="458">
        <v>4.1702165826945636E-2</v>
      </c>
      <c r="E488" s="477">
        <v>17503917.336771503</v>
      </c>
      <c r="F488" s="458">
        <v>9.625440046322975E-2</v>
      </c>
      <c r="G488" s="477">
        <v>74832040.15559417</v>
      </c>
      <c r="H488" s="458">
        <v>0.27881615290001527</v>
      </c>
      <c r="I488" s="468">
        <v>8.2878656958610541</v>
      </c>
    </row>
    <row r="489" spans="1:9" ht="16.5" x14ac:dyDescent="0.3">
      <c r="A489" s="477">
        <v>9850976.6616759654</v>
      </c>
      <c r="B489" s="458">
        <v>3.373127193590042E-2</v>
      </c>
      <c r="C489" s="477">
        <v>11384857.860524243</v>
      </c>
      <c r="D489" s="458">
        <v>6.3325685536969489E-2</v>
      </c>
      <c r="E489" s="477">
        <v>18340522.832805239</v>
      </c>
      <c r="F489" s="458">
        <v>0.12500137755143359</v>
      </c>
      <c r="G489" s="477">
        <v>89794819.323086038</v>
      </c>
      <c r="H489" s="458">
        <v>0.25684458013417055</v>
      </c>
      <c r="I489" s="468">
        <v>3.1417906022444546</v>
      </c>
    </row>
    <row r="490" spans="1:9" ht="16.5" x14ac:dyDescent="0.3">
      <c r="A490" s="477">
        <v>5687441.1720103798</v>
      </c>
      <c r="B490" s="458">
        <v>3.6134841961740882E-2</v>
      </c>
      <c r="C490" s="477">
        <v>9982206.7831159756</v>
      </c>
      <c r="D490" s="458">
        <v>7.2274183942240944E-2</v>
      </c>
      <c r="E490" s="477">
        <v>13286470.592324935</v>
      </c>
      <c r="F490" s="458">
        <v>0.11959870014218543</v>
      </c>
      <c r="G490" s="477">
        <v>87190441.462818652</v>
      </c>
      <c r="H490" s="458">
        <v>0.27994118935626</v>
      </c>
      <c r="I490" s="468">
        <v>9.7931588867483423</v>
      </c>
    </row>
    <row r="491" spans="1:9" ht="16.5" x14ac:dyDescent="0.3">
      <c r="A491" s="477">
        <v>5751149.7748653479</v>
      </c>
      <c r="B491" s="458">
        <v>3.7094767827536623E-2</v>
      </c>
      <c r="C491" s="477">
        <v>1191088.4864836074</v>
      </c>
      <c r="D491" s="458">
        <v>7.4753933673667561E-2</v>
      </c>
      <c r="E491" s="477">
        <v>12755975.05604638</v>
      </c>
      <c r="F491" s="458">
        <v>0.10383570729786107</v>
      </c>
      <c r="G491" s="477">
        <v>98880261.00829272</v>
      </c>
      <c r="H491" s="458">
        <v>0.27722277013561003</v>
      </c>
      <c r="I491" s="468">
        <v>4.1981648345157954</v>
      </c>
    </row>
    <row r="492" spans="1:9" ht="16.5" x14ac:dyDescent="0.3">
      <c r="A492" s="477">
        <v>3849564.7160701496</v>
      </c>
      <c r="B492" s="458">
        <v>3.6127638418936181E-2</v>
      </c>
      <c r="C492" s="477">
        <v>6501527.2413360234</v>
      </c>
      <c r="D492" s="458">
        <v>5.3048355790462631E-2</v>
      </c>
      <c r="E492" s="477">
        <v>10730222.568096042</v>
      </c>
      <c r="F492" s="458">
        <v>9.0757381326536768E-2</v>
      </c>
      <c r="G492" s="477">
        <v>90491587.992117584</v>
      </c>
      <c r="H492" s="458">
        <v>0.26258550574959716</v>
      </c>
      <c r="I492" s="468">
        <v>6.8629408332498913</v>
      </c>
    </row>
    <row r="493" spans="1:9" ht="16.5" x14ac:dyDescent="0.3">
      <c r="A493" s="477">
        <v>4494348.4116787855</v>
      </c>
      <c r="B493" s="458">
        <v>2.9025795806060462E-2</v>
      </c>
      <c r="C493" s="477">
        <v>11799165.031467563</v>
      </c>
      <c r="D493" s="458">
        <v>5.9013079280664904E-2</v>
      </c>
      <c r="E493" s="477">
        <v>12146654.978576828</v>
      </c>
      <c r="F493" s="458">
        <v>0.1097781965519713</v>
      </c>
      <c r="G493" s="477">
        <v>92891694.328392193</v>
      </c>
      <c r="H493" s="458">
        <v>0.27093058570026196</v>
      </c>
      <c r="I493" s="468">
        <v>9.1759115914056366</v>
      </c>
    </row>
    <row r="494" spans="1:9" ht="16.5" x14ac:dyDescent="0.3">
      <c r="A494" s="477">
        <v>11890823.230801981</v>
      </c>
      <c r="B494" s="458">
        <v>4.8404743783936999E-2</v>
      </c>
      <c r="C494" s="477">
        <v>6046863.1115464689</v>
      </c>
      <c r="D494" s="458">
        <v>5.2254991367780113E-2</v>
      </c>
      <c r="E494" s="477">
        <v>13652366.869996294</v>
      </c>
      <c r="F494" s="458">
        <v>9.0107963447862094E-2</v>
      </c>
      <c r="G494" s="477">
        <v>94080837.398822159</v>
      </c>
      <c r="H494" s="458">
        <v>0.25461411943704304</v>
      </c>
      <c r="I494" s="468">
        <v>7.3409618276770079</v>
      </c>
    </row>
    <row r="495" spans="1:9" ht="16.5" x14ac:dyDescent="0.3">
      <c r="A495" s="477">
        <v>6061619.9750736272</v>
      </c>
      <c r="B495" s="458">
        <v>3.0792790116460633E-2</v>
      </c>
      <c r="C495" s="477">
        <v>4431742.1137257079</v>
      </c>
      <c r="D495" s="458">
        <v>5.184345681702518E-2</v>
      </c>
      <c r="E495" s="477">
        <v>14264759.757228425</v>
      </c>
      <c r="F495" s="458">
        <v>0.12331997007459994</v>
      </c>
      <c r="G495" s="477">
        <v>76236682.96425508</v>
      </c>
      <c r="H495" s="458">
        <v>0.27998534221727223</v>
      </c>
      <c r="I495" s="468">
        <v>8.7964395203644568</v>
      </c>
    </row>
    <row r="496" spans="1:9" ht="16.5" x14ac:dyDescent="0.3">
      <c r="A496" s="477">
        <v>5490450.442932453</v>
      </c>
      <c r="B496" s="458">
        <v>5.6210416274736996E-2</v>
      </c>
      <c r="C496" s="477">
        <v>13764798.591730366</v>
      </c>
      <c r="D496" s="458">
        <v>6.5016896646190592E-2</v>
      </c>
      <c r="E496" s="477">
        <v>13716467.596738003</v>
      </c>
      <c r="F496" s="458">
        <v>9.3899218319071442E-2</v>
      </c>
      <c r="G496" s="477">
        <v>74228950.434402734</v>
      </c>
      <c r="H496" s="458">
        <v>0.26385436820811159</v>
      </c>
      <c r="I496" s="468">
        <v>9.4947967489246707</v>
      </c>
    </row>
    <row r="497" spans="1:9" ht="16.5" x14ac:dyDescent="0.3">
      <c r="A497" s="477">
        <v>5470372.7263357677</v>
      </c>
      <c r="B497" s="458">
        <v>5.2043743242538021E-2</v>
      </c>
      <c r="C497" s="477">
        <v>10958002.915956941</v>
      </c>
      <c r="D497" s="458">
        <v>3.7841274759505383E-2</v>
      </c>
      <c r="E497" s="477">
        <v>13230268.115486592</v>
      </c>
      <c r="F497" s="458">
        <v>9.067417386428378E-2</v>
      </c>
      <c r="G497" s="477">
        <v>87038232.515162185</v>
      </c>
      <c r="H497" s="458">
        <v>0.25599519265802861</v>
      </c>
      <c r="I497" s="468">
        <v>9.8204574272139471</v>
      </c>
    </row>
    <row r="498" spans="1:9" ht="16.5" x14ac:dyDescent="0.3">
      <c r="A498" s="477">
        <v>3476615.189423366</v>
      </c>
      <c r="B498" s="458">
        <v>5.0814665071901466E-2</v>
      </c>
      <c r="C498" s="477">
        <v>6407640.3603465827</v>
      </c>
      <c r="D498" s="458">
        <v>7.3951376141947911E-2</v>
      </c>
      <c r="E498" s="477">
        <v>18601931.528134927</v>
      </c>
      <c r="F498" s="458">
        <v>0.10454113703396128</v>
      </c>
      <c r="G498" s="477">
        <v>89799169.611372039</v>
      </c>
      <c r="H498" s="458">
        <v>0.28371436423354957</v>
      </c>
      <c r="I498" s="468">
        <v>10.045259597675054</v>
      </c>
    </row>
    <row r="499" spans="1:9" ht="16.5" x14ac:dyDescent="0.3">
      <c r="A499" s="477">
        <v>10369408.777286377</v>
      </c>
      <c r="B499" s="458">
        <v>6.7250181032059375E-2</v>
      </c>
      <c r="C499" s="477">
        <v>4584195.0819647014</v>
      </c>
      <c r="D499" s="458">
        <v>8.2176431552634099E-2</v>
      </c>
      <c r="E499" s="477">
        <v>9844286.4928616527</v>
      </c>
      <c r="F499" s="458">
        <v>0.11955184685189857</v>
      </c>
      <c r="G499" s="477">
        <v>80062780.665353149</v>
      </c>
      <c r="H499" s="458">
        <v>0.24397720174673387</v>
      </c>
      <c r="I499" s="468">
        <v>4.8512908947076872</v>
      </c>
    </row>
    <row r="500" spans="1:9" ht="16.5" x14ac:dyDescent="0.3">
      <c r="A500" s="477">
        <v>7907570.7295561982</v>
      </c>
      <c r="B500" s="458">
        <v>6.527738837648478E-2</v>
      </c>
      <c r="C500" s="477">
        <v>10502621.331646685</v>
      </c>
      <c r="D500" s="458">
        <v>7.4288186709034143E-2</v>
      </c>
      <c r="E500" s="477">
        <v>12704576.035759147</v>
      </c>
      <c r="F500" s="458">
        <v>0.11896399599251861</v>
      </c>
      <c r="G500" s="477">
        <v>86511448.013967842</v>
      </c>
      <c r="H500" s="458">
        <v>0.26941993810100873</v>
      </c>
      <c r="I500" s="468">
        <v>16.385536636678545</v>
      </c>
    </row>
    <row r="501" spans="1:9" ht="16.5" x14ac:dyDescent="0.3">
      <c r="A501" s="477">
        <v>5403715.0528657967</v>
      </c>
      <c r="B501" s="458">
        <v>4.5710786996995711E-2</v>
      </c>
      <c r="C501" s="477">
        <v>5980811.5934503619</v>
      </c>
      <c r="D501" s="458">
        <v>7.2339768267040139E-2</v>
      </c>
      <c r="E501" s="477">
        <v>12143384.012111023</v>
      </c>
      <c r="F501" s="458">
        <v>9.2814279027830793E-2</v>
      </c>
      <c r="G501" s="477">
        <v>82653858.09074454</v>
      </c>
      <c r="H501" s="458">
        <v>0.26713268809959234</v>
      </c>
      <c r="I501" s="468">
        <v>10.860759552074681</v>
      </c>
    </row>
    <row r="502" spans="1:9" ht="16.5" x14ac:dyDescent="0.3">
      <c r="A502" s="477">
        <v>8614225.6265914124</v>
      </c>
      <c r="B502" s="458">
        <v>4.4879507801814489E-2</v>
      </c>
      <c r="C502" s="477">
        <v>8577874.5920356698</v>
      </c>
      <c r="D502" s="458">
        <v>8.3152683340875777E-2</v>
      </c>
      <c r="E502" s="477">
        <v>18204182.76206363</v>
      </c>
      <c r="F502" s="458">
        <v>0.10239483169189678</v>
      </c>
      <c r="G502" s="477">
        <v>93182961.983533204</v>
      </c>
      <c r="H502" s="458">
        <v>0.25260481793586576</v>
      </c>
      <c r="I502" s="468">
        <v>10.954222786013776</v>
      </c>
    </row>
    <row r="503" spans="1:9" ht="16.5" x14ac:dyDescent="0.3">
      <c r="A503" s="477">
        <v>5428169.9479407631</v>
      </c>
      <c r="B503" s="458">
        <v>5.1031646361496596E-2</v>
      </c>
      <c r="C503" s="477">
        <v>8800462.2634955496</v>
      </c>
      <c r="D503" s="458">
        <v>7.4835589666830682E-2</v>
      </c>
      <c r="E503" s="477">
        <v>20856152.783562556</v>
      </c>
      <c r="F503" s="458">
        <v>0.11967461515091737</v>
      </c>
      <c r="G503" s="477">
        <v>87826455.123176202</v>
      </c>
      <c r="H503" s="458">
        <v>0.27400148836900717</v>
      </c>
      <c r="I503" s="468">
        <v>3.2249272432592537</v>
      </c>
    </row>
    <row r="504" spans="1:9" ht="16.5" x14ac:dyDescent="0.3">
      <c r="A504" s="477">
        <v>7375303.2325392915</v>
      </c>
      <c r="B504" s="458">
        <v>6.1377462967287633E-2</v>
      </c>
      <c r="C504" s="477">
        <v>476435.50333065289</v>
      </c>
      <c r="D504" s="458">
        <v>4.6568801005392846E-2</v>
      </c>
      <c r="E504" s="477">
        <v>14800258.081835821</v>
      </c>
      <c r="F504" s="458">
        <v>7.0197729629767336E-2</v>
      </c>
      <c r="G504" s="477">
        <v>92598064.609215856</v>
      </c>
      <c r="H504" s="458">
        <v>0.24191080586537606</v>
      </c>
      <c r="I504" s="468">
        <v>-0.10758847057674537</v>
      </c>
    </row>
    <row r="505" spans="1:9" ht="16.5" x14ac:dyDescent="0.3">
      <c r="A505" s="477">
        <v>8905734.5449872203</v>
      </c>
      <c r="B505" s="458">
        <v>3.0794462720937554E-2</v>
      </c>
      <c r="C505" s="477">
        <v>11290511.731939204</v>
      </c>
      <c r="D505" s="458">
        <v>8.282153831875716E-2</v>
      </c>
      <c r="E505" s="477">
        <v>20664701.148229074</v>
      </c>
      <c r="F505" s="458">
        <v>0.13795829557087935</v>
      </c>
      <c r="G505" s="477">
        <v>79539064.185720041</v>
      </c>
      <c r="H505" s="458">
        <v>0.25906167498975585</v>
      </c>
      <c r="I505" s="468">
        <v>9.928952806300849</v>
      </c>
    </row>
    <row r="506" spans="1:9" ht="16.5" x14ac:dyDescent="0.3">
      <c r="A506" s="477">
        <v>6011073.7976182606</v>
      </c>
      <c r="B506" s="458">
        <v>5.7594060833972893E-2</v>
      </c>
      <c r="C506" s="477">
        <v>10962803.463231849</v>
      </c>
      <c r="D506" s="458">
        <v>5.6956794997147009E-2</v>
      </c>
      <c r="E506" s="477">
        <v>6607480.8939038934</v>
      </c>
      <c r="F506" s="458">
        <v>0.11345885732473948</v>
      </c>
      <c r="G506" s="477">
        <v>86324461.611797988</v>
      </c>
      <c r="H506" s="458">
        <v>0.27578269083630058</v>
      </c>
      <c r="I506" s="468">
        <v>13.965303535442533</v>
      </c>
    </row>
    <row r="507" spans="1:9" ht="16.5" x14ac:dyDescent="0.3">
      <c r="A507" s="477">
        <v>5975603.0281054797</v>
      </c>
      <c r="B507" s="458">
        <v>3.8660468722315988E-2</v>
      </c>
      <c r="C507" s="477">
        <v>2129704.3370373729</v>
      </c>
      <c r="D507" s="458">
        <v>6.126524601341643E-2</v>
      </c>
      <c r="E507" s="477">
        <v>14148913.570783429</v>
      </c>
      <c r="F507" s="458">
        <v>9.2981692279545447E-2</v>
      </c>
      <c r="G507" s="477">
        <v>94566770.445076779</v>
      </c>
      <c r="H507" s="458">
        <v>0.26111688905938579</v>
      </c>
      <c r="I507" s="468">
        <v>7.3453748653223139</v>
      </c>
    </row>
    <row r="508" spans="1:9" ht="16.5" x14ac:dyDescent="0.3">
      <c r="A508" s="477">
        <v>7356242.3478093725</v>
      </c>
      <c r="B508" s="458">
        <v>4.1934657132863817E-2</v>
      </c>
      <c r="C508" s="477">
        <v>10849457.522653528</v>
      </c>
      <c r="D508" s="458">
        <v>7.4440420817274866E-2</v>
      </c>
      <c r="E508" s="477">
        <v>17077402.561669994</v>
      </c>
      <c r="F508" s="458">
        <v>9.3760196382633332E-2</v>
      </c>
      <c r="G508" s="477">
        <v>93014191.357911289</v>
      </c>
      <c r="H508" s="458">
        <v>0.26424862558142914</v>
      </c>
      <c r="I508" s="468">
        <v>1.9102541222569247</v>
      </c>
    </row>
    <row r="509" spans="1:9" ht="16.5" x14ac:dyDescent="0.3">
      <c r="A509" s="477">
        <v>4707212.2266513761</v>
      </c>
      <c r="B509" s="458">
        <v>3.7627549962075957E-2</v>
      </c>
      <c r="C509" s="477">
        <v>9696413.0216864254</v>
      </c>
      <c r="D509" s="458">
        <v>7.3336815734154737E-2</v>
      </c>
      <c r="E509" s="477">
        <v>16908070.328122701</v>
      </c>
      <c r="F509" s="458">
        <v>9.6782954782393738E-2</v>
      </c>
      <c r="G509" s="477">
        <v>79485714.986352757</v>
      </c>
      <c r="H509" s="458">
        <v>0.26274488070100199</v>
      </c>
      <c r="I509" s="468">
        <v>8.5178129380475411</v>
      </c>
    </row>
    <row r="510" spans="1:9" ht="16.5" x14ac:dyDescent="0.3">
      <c r="A510" s="477">
        <v>3757291.4507513172</v>
      </c>
      <c r="B510" s="458">
        <v>4.9585024457296401E-2</v>
      </c>
      <c r="C510" s="477">
        <v>8323190.6081962502</v>
      </c>
      <c r="D510" s="458">
        <v>5.0291100938298028E-2</v>
      </c>
      <c r="E510" s="477">
        <v>12186386.241021072</v>
      </c>
      <c r="F510" s="458">
        <v>9.6192780072689388E-2</v>
      </c>
      <c r="G510" s="477">
        <v>95833153.017014295</v>
      </c>
      <c r="H510" s="458">
        <v>0.28654645039013182</v>
      </c>
      <c r="I510" s="468">
        <v>8.1950394691002817</v>
      </c>
    </row>
    <row r="511" spans="1:9" ht="16.5" x14ac:dyDescent="0.3">
      <c r="A511" s="477">
        <v>8997648.2588167656</v>
      </c>
      <c r="B511" s="458">
        <v>5.3412321530996953E-2</v>
      </c>
      <c r="C511" s="477">
        <v>6755383.8829414248</v>
      </c>
      <c r="D511" s="458">
        <v>8.5006511590393519E-2</v>
      </c>
      <c r="E511" s="477">
        <v>23719962.889777418</v>
      </c>
      <c r="F511" s="458">
        <v>9.308163134605163E-2</v>
      </c>
      <c r="G511" s="477">
        <v>96043254.480488643</v>
      </c>
      <c r="H511" s="458">
        <v>0.27111028505974621</v>
      </c>
      <c r="I511" s="468">
        <v>8.5198628149738376</v>
      </c>
    </row>
    <row r="512" spans="1:9" ht="16.5" x14ac:dyDescent="0.3">
      <c r="A512" s="477">
        <v>4506412.037095312</v>
      </c>
      <c r="B512" s="458">
        <v>2.1062405221581537E-2</v>
      </c>
      <c r="C512" s="477">
        <v>9549873.6209674962</v>
      </c>
      <c r="D512" s="458">
        <v>6.1288318577088496E-2</v>
      </c>
      <c r="E512" s="477">
        <v>15140459.026780689</v>
      </c>
      <c r="F512" s="458">
        <v>0.10585545935281737</v>
      </c>
      <c r="G512" s="477">
        <v>96857551.241147175</v>
      </c>
      <c r="H512" s="458">
        <v>0.2780341012243186</v>
      </c>
      <c r="I512" s="468">
        <v>8.4686016875883201</v>
      </c>
    </row>
    <row r="513" spans="1:9" ht="16.5" x14ac:dyDescent="0.3">
      <c r="A513" s="477">
        <v>3406084.231207367</v>
      </c>
      <c r="B513" s="458">
        <v>5.2376757485282033E-2</v>
      </c>
      <c r="C513" s="477">
        <v>10115433.784159632</v>
      </c>
      <c r="D513" s="458">
        <v>5.8137459420908311E-2</v>
      </c>
      <c r="E513" s="477">
        <v>9612382.1455877516</v>
      </c>
      <c r="F513" s="458">
        <v>0.11506343568159938</v>
      </c>
      <c r="G513" s="477">
        <v>76766150.136020318</v>
      </c>
      <c r="H513" s="458">
        <v>0.24890532811566879</v>
      </c>
      <c r="I513" s="468">
        <v>9.0167660383190782</v>
      </c>
    </row>
    <row r="514" spans="1:9" ht="16.5" x14ac:dyDescent="0.3">
      <c r="A514" s="477">
        <v>7250740.199486319</v>
      </c>
      <c r="B514" s="458">
        <v>2.4605702458611489E-2</v>
      </c>
      <c r="C514" s="477">
        <v>4592301.5639133714</v>
      </c>
      <c r="D514" s="458">
        <v>5.5890287800872684E-2</v>
      </c>
      <c r="E514" s="477">
        <v>14853161.804565473</v>
      </c>
      <c r="F514" s="458">
        <v>7.946153049652005E-2</v>
      </c>
      <c r="G514" s="477">
        <v>80074776.47118932</v>
      </c>
      <c r="H514" s="458">
        <v>0.29009793328170619</v>
      </c>
      <c r="I514" s="468">
        <v>7.9138295300944641</v>
      </c>
    </row>
    <row r="515" spans="1:9" ht="16.5" x14ac:dyDescent="0.3">
      <c r="A515" s="477">
        <v>5283485.0885477709</v>
      </c>
      <c r="B515" s="458">
        <v>6.8282064493182526E-2</v>
      </c>
      <c r="C515" s="477">
        <v>9735504.961709341</v>
      </c>
      <c r="D515" s="458">
        <v>8.742214295286721E-2</v>
      </c>
      <c r="E515" s="477">
        <v>25703113.824620944</v>
      </c>
      <c r="F515" s="458">
        <v>0.11837966372531628</v>
      </c>
      <c r="G515" s="477">
        <v>92729593.554693088</v>
      </c>
      <c r="H515" s="458">
        <v>0.27086374775222488</v>
      </c>
      <c r="I515" s="468">
        <v>7.6561911514957011</v>
      </c>
    </row>
    <row r="516" spans="1:9" ht="16.5" x14ac:dyDescent="0.3">
      <c r="A516" s="477">
        <v>6081240.8377974061</v>
      </c>
      <c r="B516" s="458">
        <v>3.9360040283173525E-2</v>
      </c>
      <c r="C516" s="477">
        <v>10674915.442998733</v>
      </c>
      <c r="D516" s="458">
        <v>5.7324380049056822E-2</v>
      </c>
      <c r="E516" s="477">
        <v>20764676.100555912</v>
      </c>
      <c r="F516" s="458">
        <v>8.4073822982278168E-2</v>
      </c>
      <c r="G516" s="477">
        <v>88946407.327099174</v>
      </c>
      <c r="H516" s="458">
        <v>0.2818512610191477</v>
      </c>
      <c r="I516" s="468">
        <v>10.25581844816621</v>
      </c>
    </row>
    <row r="517" spans="1:9" ht="16.5" x14ac:dyDescent="0.3">
      <c r="A517" s="477">
        <v>7252818.7692190772</v>
      </c>
      <c r="B517" s="458">
        <v>3.0061914696910108E-2</v>
      </c>
      <c r="C517" s="477">
        <v>6178882.9970841464</v>
      </c>
      <c r="D517" s="458">
        <v>7.631314769887676E-2</v>
      </c>
      <c r="E517" s="477">
        <v>19560887.50916478</v>
      </c>
      <c r="F517" s="458">
        <v>0.10451906005550371</v>
      </c>
      <c r="G517" s="477">
        <v>110380481.8352717</v>
      </c>
      <c r="H517" s="458">
        <v>0.30198230162172957</v>
      </c>
      <c r="I517" s="468">
        <v>7.8230116594807759</v>
      </c>
    </row>
    <row r="518" spans="1:9" ht="16.5" x14ac:dyDescent="0.3">
      <c r="A518" s="477">
        <v>4698220.7971135695</v>
      </c>
      <c r="B518" s="458">
        <v>1.3836768306580094E-2</v>
      </c>
      <c r="C518" s="477">
        <v>5617075.764063118</v>
      </c>
      <c r="D518" s="458">
        <v>6.9487379189439702E-2</v>
      </c>
      <c r="E518" s="477">
        <v>13644512.01632781</v>
      </c>
      <c r="F518" s="458">
        <v>9.224580100196289E-2</v>
      </c>
      <c r="G518" s="477">
        <v>97628990.733778819</v>
      </c>
      <c r="H518" s="458">
        <v>0.27191513722386773</v>
      </c>
      <c r="I518" s="468">
        <v>4.9213360945045039</v>
      </c>
    </row>
    <row r="519" spans="1:9" ht="16.5" x14ac:dyDescent="0.3">
      <c r="A519" s="477">
        <v>-1207925.0015242277</v>
      </c>
      <c r="B519" s="458">
        <v>4.7215968009455045E-2</v>
      </c>
      <c r="C519" s="477">
        <v>11079354.719424836</v>
      </c>
      <c r="D519" s="458">
        <v>6.1288532675282559E-2</v>
      </c>
      <c r="E519" s="477">
        <v>16965446.208568651</v>
      </c>
      <c r="F519" s="458">
        <v>0.1254685259995354</v>
      </c>
      <c r="G519" s="477">
        <v>102648970.50887336</v>
      </c>
      <c r="H519" s="458">
        <v>0.24756562935818027</v>
      </c>
      <c r="I519" s="468">
        <v>13.251384554336965</v>
      </c>
    </row>
    <row r="520" spans="1:9" ht="16.5" x14ac:dyDescent="0.3">
      <c r="A520" s="477">
        <v>11768719.431264365</v>
      </c>
      <c r="B520" s="458">
        <v>3.4870789802225133E-2</v>
      </c>
      <c r="C520" s="477">
        <v>9460578.3110397607</v>
      </c>
      <c r="D520" s="458">
        <v>7.8047433079702522E-2</v>
      </c>
      <c r="E520" s="477">
        <v>18902598.486599058</v>
      </c>
      <c r="F520" s="458">
        <v>0.12512250595310892</v>
      </c>
      <c r="G520" s="477">
        <v>91553011.730138496</v>
      </c>
      <c r="H520" s="458">
        <v>0.26929855813148906</v>
      </c>
      <c r="I520" s="468">
        <v>11.893935263165544</v>
      </c>
    </row>
    <row r="521" spans="1:9" ht="16.5" x14ac:dyDescent="0.3">
      <c r="A521" s="477">
        <v>5580649.8653289722</v>
      </c>
      <c r="B521" s="458">
        <v>4.8589032035048829E-2</v>
      </c>
      <c r="C521" s="477">
        <v>6955894.5547555303</v>
      </c>
      <c r="D521" s="458">
        <v>7.0720322884100462E-2</v>
      </c>
      <c r="E521" s="477">
        <v>17227229.041431677</v>
      </c>
      <c r="F521" s="458">
        <v>0.11624586427267136</v>
      </c>
      <c r="G521" s="477">
        <v>101431675.14093262</v>
      </c>
      <c r="H521" s="458">
        <v>0.2671390165923353</v>
      </c>
      <c r="I521" s="468">
        <v>10.926309418112048</v>
      </c>
    </row>
    <row r="522" spans="1:9" ht="16.5" x14ac:dyDescent="0.3">
      <c r="A522" s="477">
        <v>1895223.4462334258</v>
      </c>
      <c r="B522" s="458">
        <v>3.4468878320332408E-2</v>
      </c>
      <c r="C522" s="477">
        <v>10744576.034298077</v>
      </c>
      <c r="D522" s="458">
        <v>7.758612247570662E-2</v>
      </c>
      <c r="E522" s="477">
        <v>16102613.17134434</v>
      </c>
      <c r="F522" s="458">
        <v>0.13635588421277145</v>
      </c>
      <c r="G522" s="477">
        <v>90512371.984936759</v>
      </c>
      <c r="H522" s="458">
        <v>0.28308667091038164</v>
      </c>
      <c r="I522" s="468">
        <v>6.1337208063557096</v>
      </c>
    </row>
    <row r="523" spans="1:9" ht="16.5" x14ac:dyDescent="0.3">
      <c r="A523" s="477">
        <v>2782705.4976911712</v>
      </c>
      <c r="B523" s="458">
        <v>5.8677050142984744E-2</v>
      </c>
      <c r="C523" s="477">
        <v>7539706.3197580688</v>
      </c>
      <c r="D523" s="458">
        <v>6.4124420879461352E-2</v>
      </c>
      <c r="E523" s="477">
        <v>26239403.675284922</v>
      </c>
      <c r="F523" s="458">
        <v>0.10713027399826824</v>
      </c>
      <c r="G523" s="477">
        <v>89183182.674818382</v>
      </c>
      <c r="H523" s="458">
        <v>0.26677778615216297</v>
      </c>
      <c r="I523" s="468">
        <v>6.3426645134439621</v>
      </c>
    </row>
    <row r="524" spans="1:9" ht="16.5" x14ac:dyDescent="0.3">
      <c r="A524" s="477">
        <v>6802624.3475854155</v>
      </c>
      <c r="B524" s="458">
        <v>4.7015737544964908E-2</v>
      </c>
      <c r="C524" s="477">
        <v>16171054.056043815</v>
      </c>
      <c r="D524" s="458">
        <v>9.0051561769840527E-2</v>
      </c>
      <c r="E524" s="477">
        <v>13244869.50588505</v>
      </c>
      <c r="F524" s="458">
        <v>0.1193473922204773</v>
      </c>
      <c r="G524" s="477">
        <v>97355952.814641148</v>
      </c>
      <c r="H524" s="458">
        <v>0.28012298948280323</v>
      </c>
      <c r="I524" s="468">
        <v>2.5900796891823994</v>
      </c>
    </row>
    <row r="525" spans="1:9" ht="16.5" x14ac:dyDescent="0.3">
      <c r="A525" s="477">
        <v>3857761.1907813135</v>
      </c>
      <c r="B525" s="458">
        <v>4.7751180545768879E-2</v>
      </c>
      <c r="C525" s="477">
        <v>3265290.9591143355</v>
      </c>
      <c r="D525" s="458">
        <v>7.9380903967710692E-2</v>
      </c>
      <c r="E525" s="477">
        <v>15323257.632815182</v>
      </c>
      <c r="F525" s="458">
        <v>0.10291496528745459</v>
      </c>
      <c r="G525" s="477">
        <v>91709915.268129587</v>
      </c>
      <c r="H525" s="458">
        <v>0.26844458424324613</v>
      </c>
      <c r="I525" s="468">
        <v>5.6547674913356794</v>
      </c>
    </row>
    <row r="526" spans="1:9" ht="16.5" x14ac:dyDescent="0.3">
      <c r="A526" s="477">
        <v>5921247.4280972267</v>
      </c>
      <c r="B526" s="458">
        <v>6.7269518958179564E-2</v>
      </c>
      <c r="C526" s="477">
        <v>14583109.07164635</v>
      </c>
      <c r="D526" s="458">
        <v>6.6658368715733163E-2</v>
      </c>
      <c r="E526" s="477">
        <v>9614793.2354681864</v>
      </c>
      <c r="F526" s="458">
        <v>0.11690456238646307</v>
      </c>
      <c r="G526" s="477">
        <v>93524158.954746872</v>
      </c>
      <c r="H526" s="458">
        <v>0.29024868554608885</v>
      </c>
      <c r="I526" s="468">
        <v>5.2879811247328918</v>
      </c>
    </row>
    <row r="527" spans="1:9" ht="16.5" x14ac:dyDescent="0.3">
      <c r="A527" s="477">
        <v>9255903.3089502659</v>
      </c>
      <c r="B527" s="458">
        <v>3.2447163031721793E-2</v>
      </c>
      <c r="C527" s="477">
        <v>6622163.6813531807</v>
      </c>
      <c r="D527" s="458">
        <v>4.8225470412567306E-2</v>
      </c>
      <c r="E527" s="477">
        <v>12737832.500160625</v>
      </c>
      <c r="F527" s="458">
        <v>0.1120161544982623</v>
      </c>
      <c r="G527" s="477">
        <v>96710036.435253024</v>
      </c>
      <c r="H527" s="458">
        <v>0.27178783773261417</v>
      </c>
      <c r="I527" s="468">
        <v>2.2748167296495971</v>
      </c>
    </row>
    <row r="528" spans="1:9" ht="16.5" x14ac:dyDescent="0.3">
      <c r="A528" s="477">
        <v>1937734.767398</v>
      </c>
      <c r="B528" s="458">
        <v>2.6951183932120149E-2</v>
      </c>
      <c r="C528" s="477">
        <v>6153194.1926492006</v>
      </c>
      <c r="D528" s="458">
        <v>8.634499914121041E-2</v>
      </c>
      <c r="E528" s="477">
        <v>19722551.558564711</v>
      </c>
      <c r="F528" s="458">
        <v>0.11133756052544608</v>
      </c>
      <c r="G528" s="477">
        <v>80178376.647167921</v>
      </c>
      <c r="H528" s="458">
        <v>0.27568351474582431</v>
      </c>
      <c r="I528" s="468">
        <v>13.317563934607499</v>
      </c>
    </row>
    <row r="529" spans="1:9" ht="16.5" x14ac:dyDescent="0.3">
      <c r="A529" s="477">
        <v>3031205.790509908</v>
      </c>
      <c r="B529" s="458">
        <v>4.6026879587138136E-2</v>
      </c>
      <c r="C529" s="477">
        <v>9674052.852997601</v>
      </c>
      <c r="D529" s="458">
        <v>5.273252912146531E-2</v>
      </c>
      <c r="E529" s="477">
        <v>8596199.1425957773</v>
      </c>
      <c r="F529" s="458">
        <v>0.12508550392159656</v>
      </c>
      <c r="G529" s="477">
        <v>92293210.962765425</v>
      </c>
      <c r="H529" s="458">
        <v>0.26283512250356145</v>
      </c>
      <c r="I529" s="468">
        <v>10.948112571581451</v>
      </c>
    </row>
    <row r="530" spans="1:9" ht="16.5" x14ac:dyDescent="0.3">
      <c r="A530" s="477">
        <v>5947954.3831551615</v>
      </c>
      <c r="B530" s="458">
        <v>4.6202103398836236E-2</v>
      </c>
      <c r="C530" s="477">
        <v>6235249.6338118371</v>
      </c>
      <c r="D530" s="458">
        <v>7.0760598151802911E-2</v>
      </c>
      <c r="E530" s="477">
        <v>4966315.6575463312</v>
      </c>
      <c r="F530" s="458">
        <v>9.0197407992912426E-2</v>
      </c>
      <c r="G530" s="477">
        <v>89825596.84568204</v>
      </c>
      <c r="H530" s="458">
        <v>0.24717383320814656</v>
      </c>
      <c r="I530" s="468">
        <v>6.5889336022458558</v>
      </c>
    </row>
    <row r="531" spans="1:9" ht="16.5" x14ac:dyDescent="0.3">
      <c r="A531" s="477">
        <v>1678730.6535386886</v>
      </c>
      <c r="B531" s="458">
        <v>4.6102238556373409E-2</v>
      </c>
      <c r="C531" s="477">
        <v>6412093.3623926509</v>
      </c>
      <c r="D531" s="458">
        <v>5.0973162158324925E-2</v>
      </c>
      <c r="E531" s="477">
        <v>16293771.065004347</v>
      </c>
      <c r="F531" s="458">
        <v>0.11938722544092006</v>
      </c>
      <c r="G531" s="477">
        <v>87947683.146139607</v>
      </c>
      <c r="H531" s="458">
        <v>0.28274066879437054</v>
      </c>
      <c r="I531" s="468">
        <v>5.6989068369746567</v>
      </c>
    </row>
    <row r="532" spans="1:9" ht="16.5" x14ac:dyDescent="0.3">
      <c r="A532" s="477">
        <v>5568498.9665017789</v>
      </c>
      <c r="B532" s="458">
        <v>4.4388466295224971E-2</v>
      </c>
      <c r="C532" s="477">
        <v>8997817.8538391404</v>
      </c>
      <c r="D532" s="458">
        <v>6.0866956879244372E-2</v>
      </c>
      <c r="E532" s="477">
        <v>19218874.61295883</v>
      </c>
      <c r="F532" s="458">
        <v>0.10140099255400026</v>
      </c>
      <c r="G532" s="477">
        <v>91146331.025469616</v>
      </c>
      <c r="H532" s="458">
        <v>0.26363788714552761</v>
      </c>
      <c r="I532" s="468">
        <v>9.6914643398885882</v>
      </c>
    </row>
    <row r="533" spans="1:9" ht="16.5" x14ac:dyDescent="0.3">
      <c r="A533" s="477">
        <v>4895912.8109044246</v>
      </c>
      <c r="B533" s="458">
        <v>7.5970124039157261E-2</v>
      </c>
      <c r="C533" s="477">
        <v>11398037.160909604</v>
      </c>
      <c r="D533" s="458">
        <v>5.7038234201759019E-2</v>
      </c>
      <c r="E533" s="477">
        <v>10619835.862764403</v>
      </c>
      <c r="F533" s="458">
        <v>0.13691843456048236</v>
      </c>
      <c r="G533" s="477">
        <v>89846912.449464798</v>
      </c>
      <c r="H533" s="458">
        <v>0.28119958049662408</v>
      </c>
      <c r="I533" s="468">
        <v>10.546745767691869</v>
      </c>
    </row>
    <row r="534" spans="1:9" ht="16.5" x14ac:dyDescent="0.3">
      <c r="A534" s="477">
        <v>6752256.0362833794</v>
      </c>
      <c r="B534" s="458">
        <v>1.9669973354236925E-2</v>
      </c>
      <c r="C534" s="477">
        <v>8586684.6493311487</v>
      </c>
      <c r="D534" s="458">
        <v>7.4378280462541246E-2</v>
      </c>
      <c r="E534" s="477">
        <v>12134515.809876392</v>
      </c>
      <c r="F534" s="458">
        <v>0.11980387320806818</v>
      </c>
      <c r="G534" s="477">
        <v>99161614.913023695</v>
      </c>
      <c r="H534" s="458">
        <v>0.27096099491278403</v>
      </c>
      <c r="I534" s="468">
        <v>5.8706386880311587</v>
      </c>
    </row>
    <row r="535" spans="1:9" ht="16.5" x14ac:dyDescent="0.3">
      <c r="A535" s="477">
        <v>3831114.8373049446</v>
      </c>
      <c r="B535" s="458">
        <v>3.5370100717897479E-2</v>
      </c>
      <c r="C535" s="477">
        <v>8842249.5905443169</v>
      </c>
      <c r="D535" s="458">
        <v>5.4297875938023266E-2</v>
      </c>
      <c r="E535" s="477">
        <v>26341130.448552933</v>
      </c>
      <c r="F535" s="458">
        <v>8.2227921291592843E-2</v>
      </c>
      <c r="G535" s="477">
        <v>86610957.5298374</v>
      </c>
      <c r="H535" s="458">
        <v>0.27053926273699846</v>
      </c>
      <c r="I535" s="468">
        <v>1.4053371985472252</v>
      </c>
    </row>
    <row r="536" spans="1:9" ht="16.5" x14ac:dyDescent="0.3">
      <c r="A536" s="477">
        <v>4052681.2275668615</v>
      </c>
      <c r="B536" s="458">
        <v>4.3212592554370266E-2</v>
      </c>
      <c r="C536" s="477">
        <v>14881004.295262547</v>
      </c>
      <c r="D536" s="458">
        <v>7.3238628605386991E-2</v>
      </c>
      <c r="E536" s="477">
        <v>20413724.680057816</v>
      </c>
      <c r="F536" s="458">
        <v>0.11722557096508068</v>
      </c>
      <c r="G536" s="477">
        <v>87397261.233431488</v>
      </c>
      <c r="H536" s="458">
        <v>0.28083689801739165</v>
      </c>
      <c r="I536" s="468">
        <v>7.1414752384190319</v>
      </c>
    </row>
    <row r="537" spans="1:9" ht="16.5" x14ac:dyDescent="0.3">
      <c r="A537" s="477">
        <v>4302771.3169021923</v>
      </c>
      <c r="B537" s="458">
        <v>2.2467110622988118E-2</v>
      </c>
      <c r="C537" s="477">
        <v>4734655.3197001452</v>
      </c>
      <c r="D537" s="458">
        <v>3.981141681134126E-2</v>
      </c>
      <c r="E537" s="477">
        <v>19611654.630627379</v>
      </c>
      <c r="F537" s="458">
        <v>0.12256334943671821</v>
      </c>
      <c r="G537" s="477">
        <v>72707561.443337753</v>
      </c>
      <c r="H537" s="458">
        <v>0.26840578007869076</v>
      </c>
      <c r="I537" s="468">
        <v>-1.8942881782809717</v>
      </c>
    </row>
    <row r="538" spans="1:9" ht="16.5" x14ac:dyDescent="0.3">
      <c r="A538" s="477">
        <v>5239982.459646754</v>
      </c>
      <c r="B538" s="458">
        <v>3.1149544299642562E-2</v>
      </c>
      <c r="C538" s="477">
        <v>12772304.303638818</v>
      </c>
      <c r="D538" s="458">
        <v>9.7836100093717127E-2</v>
      </c>
      <c r="E538" s="477">
        <v>14989918.017331967</v>
      </c>
      <c r="F538" s="458">
        <v>9.7619901172265822E-2</v>
      </c>
      <c r="G538" s="477">
        <v>87389953.535948217</v>
      </c>
      <c r="H538" s="458">
        <v>0.27302303929583771</v>
      </c>
      <c r="I538" s="468">
        <v>10.472833496953312</v>
      </c>
    </row>
    <row r="539" spans="1:9" ht="16.5" x14ac:dyDescent="0.3">
      <c r="A539" s="477">
        <v>4292598.5125503922</v>
      </c>
      <c r="B539" s="458">
        <v>4.1661099697644755E-2</v>
      </c>
      <c r="C539" s="477">
        <v>6629702.7248078948</v>
      </c>
      <c r="D539" s="458">
        <v>2.8523988421081725E-2</v>
      </c>
      <c r="E539" s="477">
        <v>19913480.839575268</v>
      </c>
      <c r="F539" s="458">
        <v>0.11926494718432079</v>
      </c>
      <c r="G539" s="477">
        <v>86165200.239188939</v>
      </c>
      <c r="H539" s="458">
        <v>0.237118140811855</v>
      </c>
      <c r="I539" s="468">
        <v>10.419239946189748</v>
      </c>
    </row>
    <row r="540" spans="1:9" ht="16.5" x14ac:dyDescent="0.3">
      <c r="A540" s="477">
        <v>6212187.7490212191</v>
      </c>
      <c r="B540" s="458">
        <v>3.907484490071611E-2</v>
      </c>
      <c r="C540" s="477">
        <v>11292767.298045058</v>
      </c>
      <c r="D540" s="458">
        <v>7.27519328686832E-2</v>
      </c>
      <c r="E540" s="477">
        <v>18490015.856405526</v>
      </c>
      <c r="F540" s="458">
        <v>0.11873692579358486</v>
      </c>
      <c r="G540" s="477">
        <v>90947280.443586528</v>
      </c>
      <c r="H540" s="458">
        <v>0.26205764297350598</v>
      </c>
      <c r="I540" s="468">
        <v>5.4539162221827535</v>
      </c>
    </row>
    <row r="541" spans="1:9" ht="16.5" x14ac:dyDescent="0.3">
      <c r="A541" s="477">
        <v>5247946.1931539644</v>
      </c>
      <c r="B541" s="458">
        <v>5.2370726589706873E-2</v>
      </c>
      <c r="C541" s="477">
        <v>12317000.711905915</v>
      </c>
      <c r="D541" s="458">
        <v>6.3702181047951001E-2</v>
      </c>
      <c r="E541" s="477">
        <v>23739007.632203884</v>
      </c>
      <c r="F541" s="458">
        <v>9.9029734894043209E-2</v>
      </c>
      <c r="G541" s="477">
        <v>98832956.273401275</v>
      </c>
      <c r="H541" s="458">
        <v>0.25259234915265183</v>
      </c>
      <c r="I541" s="468">
        <v>9.8497781904642832</v>
      </c>
    </row>
    <row r="542" spans="1:9" ht="16.5" x14ac:dyDescent="0.3">
      <c r="A542" s="477">
        <v>4017068.1656703921</v>
      </c>
      <c r="B542" s="458">
        <v>2.9900122726556733E-2</v>
      </c>
      <c r="C542" s="477">
        <v>4861706.4601177359</v>
      </c>
      <c r="D542" s="458">
        <v>7.4648089733281076E-2</v>
      </c>
      <c r="E542" s="477">
        <v>22423626.194254547</v>
      </c>
      <c r="F542" s="458">
        <v>7.451232798128693E-2</v>
      </c>
      <c r="G542" s="477">
        <v>84557159.290282473</v>
      </c>
      <c r="H542" s="458">
        <v>0.25906311656120651</v>
      </c>
      <c r="I542" s="468">
        <v>5.1135376132253612</v>
      </c>
    </row>
    <row r="543" spans="1:9" ht="16.5" x14ac:dyDescent="0.3">
      <c r="A543" s="477">
        <v>10927111.674180653</v>
      </c>
      <c r="B543" s="458">
        <v>3.9460998186425567E-2</v>
      </c>
      <c r="C543" s="477">
        <v>12048461.062069042</v>
      </c>
      <c r="D543" s="458">
        <v>5.0019387199100818E-2</v>
      </c>
      <c r="E543" s="477">
        <v>19767755.699100297</v>
      </c>
      <c r="F543" s="458">
        <v>0.1117321276756218</v>
      </c>
      <c r="G543" s="477">
        <v>95012985.353596985</v>
      </c>
      <c r="H543" s="458">
        <v>0.27262886483406334</v>
      </c>
      <c r="I543" s="468">
        <v>7.573195369797225</v>
      </c>
    </row>
    <row r="544" spans="1:9" ht="16.5" x14ac:dyDescent="0.3">
      <c r="A544" s="477">
        <v>3330367.1838123119</v>
      </c>
      <c r="B544" s="458">
        <v>2.3640700531843528E-2</v>
      </c>
      <c r="C544" s="477">
        <v>13048650.341692435</v>
      </c>
      <c r="D544" s="458">
        <v>8.5358067918937408E-2</v>
      </c>
      <c r="E544" s="477">
        <v>12243904.734692845</v>
      </c>
      <c r="F544" s="458">
        <v>0.11213602902925501</v>
      </c>
      <c r="G544" s="477">
        <v>82907940.324571639</v>
      </c>
      <c r="H544" s="458">
        <v>0.27793549077003421</v>
      </c>
      <c r="I544" s="468">
        <v>7.1169458575826106</v>
      </c>
    </row>
    <row r="545" spans="1:9" ht="16.5" x14ac:dyDescent="0.3">
      <c r="A545" s="477">
        <v>5250244.6377526689</v>
      </c>
      <c r="B545" s="458">
        <v>5.4762878083312927E-2</v>
      </c>
      <c r="C545" s="477">
        <v>12924892.049286146</v>
      </c>
      <c r="D545" s="458">
        <v>3.310640393922637E-2</v>
      </c>
      <c r="E545" s="477">
        <v>15324731.865578352</v>
      </c>
      <c r="F545" s="458">
        <v>0.12419821558807498</v>
      </c>
      <c r="G545" s="477">
        <v>90170893.349917457</v>
      </c>
      <c r="H545" s="458">
        <v>0.27251647977254612</v>
      </c>
      <c r="I545" s="468">
        <v>4.2373570540634908</v>
      </c>
    </row>
    <row r="546" spans="1:9" ht="16.5" x14ac:dyDescent="0.3">
      <c r="A546" s="477">
        <v>7179268.7485479265</v>
      </c>
      <c r="B546" s="458">
        <v>7.8791910990245295E-2</v>
      </c>
      <c r="C546" s="477">
        <v>7859168.5845586238</v>
      </c>
      <c r="D546" s="458">
        <v>6.3663233948684894E-2</v>
      </c>
      <c r="E546" s="477">
        <v>16694946.517987952</v>
      </c>
      <c r="F546" s="458">
        <v>0.11173899952997135</v>
      </c>
      <c r="G546" s="477">
        <v>90674914.927891955</v>
      </c>
      <c r="H546" s="458">
        <v>0.27034470957300583</v>
      </c>
      <c r="I546" s="468">
        <v>7.3279736778925013</v>
      </c>
    </row>
    <row r="547" spans="1:9" ht="16.5" x14ac:dyDescent="0.3">
      <c r="A547" s="477">
        <v>1051381.2357521593</v>
      </c>
      <c r="B547" s="458">
        <v>4.0098956231654714E-2</v>
      </c>
      <c r="C547" s="477">
        <v>6225017.7195962276</v>
      </c>
      <c r="D547" s="458">
        <v>6.7861112607730423E-2</v>
      </c>
      <c r="E547" s="477">
        <v>16757907.528090227</v>
      </c>
      <c r="F547" s="458">
        <v>8.9379255204695029E-2</v>
      </c>
      <c r="G547" s="477">
        <v>86791055.569663167</v>
      </c>
      <c r="H547" s="458">
        <v>0.27309176655909662</v>
      </c>
      <c r="I547" s="468">
        <v>8.313287425346946</v>
      </c>
    </row>
    <row r="548" spans="1:9" ht="16.5" x14ac:dyDescent="0.3">
      <c r="A548" s="477">
        <v>3880854.8739499287</v>
      </c>
      <c r="B548" s="458">
        <v>2.4723755443965212E-2</v>
      </c>
      <c r="C548" s="477">
        <v>12510540.908604009</v>
      </c>
      <c r="D548" s="458">
        <v>5.2133566775248275E-2</v>
      </c>
      <c r="E548" s="477">
        <v>18232425.566986158</v>
      </c>
      <c r="F548" s="458">
        <v>0.11588839786408855</v>
      </c>
      <c r="G548" s="477">
        <v>64256780.963780485</v>
      </c>
      <c r="H548" s="458">
        <v>0.26679665444608736</v>
      </c>
      <c r="I548" s="468">
        <v>6.8463489953147736</v>
      </c>
    </row>
    <row r="549" spans="1:9" ht="16.5" x14ac:dyDescent="0.3">
      <c r="A549" s="477">
        <v>9127723.6365510896</v>
      </c>
      <c r="B549" s="458">
        <v>5.6827089244849915E-2</v>
      </c>
      <c r="C549" s="477">
        <v>6425719.6779503888</v>
      </c>
      <c r="D549" s="458">
        <v>4.9270268289441921E-2</v>
      </c>
      <c r="E549" s="477">
        <v>14031123.216347381</v>
      </c>
      <c r="F549" s="458">
        <v>0.10109442851537809</v>
      </c>
      <c r="G549" s="477">
        <v>85749061.922897264</v>
      </c>
      <c r="H549" s="458">
        <v>0.28272694441253599</v>
      </c>
      <c r="I549" s="468">
        <v>6.3157455420516193</v>
      </c>
    </row>
    <row r="550" spans="1:9" ht="16.5" x14ac:dyDescent="0.3">
      <c r="A550" s="477">
        <v>5417352.8097395487</v>
      </c>
      <c r="B550" s="458">
        <v>2.5902041008155186E-2</v>
      </c>
      <c r="C550" s="477">
        <v>12683903.539832762</v>
      </c>
      <c r="D550" s="458">
        <v>6.411779390240735E-2</v>
      </c>
      <c r="E550" s="477">
        <v>22108989.777091336</v>
      </c>
      <c r="F550" s="458">
        <v>8.933761678096408E-2</v>
      </c>
      <c r="G550" s="477">
        <v>101248929.20621583</v>
      </c>
      <c r="H550" s="458">
        <v>0.26017106190772132</v>
      </c>
      <c r="I550" s="468">
        <v>12.51358432468534</v>
      </c>
    </row>
    <row r="551" spans="1:9" ht="16.5" x14ac:dyDescent="0.3">
      <c r="A551" s="477">
        <v>1843437.5628698994</v>
      </c>
      <c r="B551" s="458">
        <v>3.8371776989441608E-2</v>
      </c>
      <c r="C551" s="477">
        <v>6753393.9430760564</v>
      </c>
      <c r="D551" s="458">
        <v>7.1300673759560285E-2</v>
      </c>
      <c r="E551" s="477">
        <v>13875325.550218215</v>
      </c>
      <c r="F551" s="458">
        <v>9.3344097877616994E-2</v>
      </c>
      <c r="G551" s="477">
        <v>87204629.30761534</v>
      </c>
      <c r="H551" s="458">
        <v>0.26152123831650598</v>
      </c>
      <c r="I551" s="468">
        <v>-2.1871689918421353</v>
      </c>
    </row>
    <row r="552" spans="1:9" ht="16.5" x14ac:dyDescent="0.3">
      <c r="A552" s="477">
        <v>816746.85249374795</v>
      </c>
      <c r="B552" s="458">
        <v>4.9817047552495053E-2</v>
      </c>
      <c r="C552" s="477">
        <v>12949384.659824003</v>
      </c>
      <c r="D552" s="458">
        <v>8.3496303638866287E-2</v>
      </c>
      <c r="E552" s="477">
        <v>19750304.261012904</v>
      </c>
      <c r="F552" s="458">
        <v>0.11089053172901453</v>
      </c>
      <c r="G552" s="477">
        <v>88501224.600840375</v>
      </c>
      <c r="H552" s="458">
        <v>0.26031971783928265</v>
      </c>
      <c r="I552" s="468">
        <v>10.394704107910474</v>
      </c>
    </row>
    <row r="553" spans="1:9" ht="16.5" x14ac:dyDescent="0.3">
      <c r="A553" s="477">
        <v>8640975.6260209493</v>
      </c>
      <c r="B553" s="458">
        <v>3.0883515439159348E-2</v>
      </c>
      <c r="C553" s="477">
        <v>11419598.280547617</v>
      </c>
      <c r="D553" s="458">
        <v>4.9354280055489808E-2</v>
      </c>
      <c r="E553" s="477">
        <v>17006419.892280187</v>
      </c>
      <c r="F553" s="458">
        <v>0.11482131331013501</v>
      </c>
      <c r="G553" s="477">
        <v>85641370.444383308</v>
      </c>
      <c r="H553" s="458">
        <v>0.30393052258798403</v>
      </c>
      <c r="I553" s="468">
        <v>2.8124618735307747</v>
      </c>
    </row>
    <row r="554" spans="1:9" ht="16.5" x14ac:dyDescent="0.3">
      <c r="A554" s="477">
        <v>7243727.1508055665</v>
      </c>
      <c r="B554" s="458">
        <v>4.8657780142043139E-2</v>
      </c>
      <c r="C554" s="477">
        <v>9244239.2311675083</v>
      </c>
      <c r="D554" s="458">
        <v>6.422649707061634E-2</v>
      </c>
      <c r="E554" s="477">
        <v>17639831.398562599</v>
      </c>
      <c r="F554" s="458">
        <v>0.10487690636606839</v>
      </c>
      <c r="G554" s="477">
        <v>97206174.250787035</v>
      </c>
      <c r="H554" s="458">
        <v>0.26864175858651551</v>
      </c>
      <c r="I554" s="468">
        <v>4.7594303665259723</v>
      </c>
    </row>
    <row r="555" spans="1:9" ht="16.5" x14ac:dyDescent="0.3">
      <c r="A555" s="477">
        <v>8896255.7527321707</v>
      </c>
      <c r="B555" s="458">
        <v>7.0236078910930644E-2</v>
      </c>
      <c r="C555" s="477">
        <v>6571030.1544287801</v>
      </c>
      <c r="D555" s="458">
        <v>9.0856441925722953E-2</v>
      </c>
      <c r="E555" s="477">
        <v>21958868.115419593</v>
      </c>
      <c r="F555" s="458">
        <v>0.11079343955499987</v>
      </c>
      <c r="G555" s="477">
        <v>98357012.612232894</v>
      </c>
      <c r="H555" s="458">
        <v>0.26909519126080905</v>
      </c>
      <c r="I555" s="468">
        <v>11.444574025031802</v>
      </c>
    </row>
    <row r="556" spans="1:9" ht="16.5" x14ac:dyDescent="0.3">
      <c r="A556" s="477">
        <v>6732339.2909070449</v>
      </c>
      <c r="B556" s="458">
        <v>3.907717610177075E-2</v>
      </c>
      <c r="C556" s="477">
        <v>7999140.6154799983</v>
      </c>
      <c r="D556" s="458">
        <v>7.2194865134371566E-2</v>
      </c>
      <c r="E556" s="477">
        <v>25819984.211141557</v>
      </c>
      <c r="F556" s="458">
        <v>8.395567309228813E-2</v>
      </c>
      <c r="G556" s="477">
        <v>101754513.44379175</v>
      </c>
      <c r="H556" s="458">
        <v>0.25287762661623714</v>
      </c>
      <c r="I556" s="468">
        <v>7.0050546849838486</v>
      </c>
    </row>
    <row r="557" spans="1:9" ht="16.5" x14ac:dyDescent="0.3">
      <c r="A557" s="477">
        <v>4294226.6659959182</v>
      </c>
      <c r="B557" s="458">
        <v>4.5901917375458678E-2</v>
      </c>
      <c r="C557" s="477">
        <v>9314350.4664841797</v>
      </c>
      <c r="D557" s="458">
        <v>9.9748548328327136E-2</v>
      </c>
      <c r="E557" s="477">
        <v>11416286.462212486</v>
      </c>
      <c r="F557" s="458">
        <v>0.11856058352013621</v>
      </c>
      <c r="G557" s="477">
        <v>102035467.46327859</v>
      </c>
      <c r="H557" s="458">
        <v>0.28140238892547575</v>
      </c>
      <c r="I557" s="468">
        <v>1.3130742947212068</v>
      </c>
    </row>
    <row r="558" spans="1:9" ht="16.5" x14ac:dyDescent="0.3">
      <c r="A558" s="477">
        <v>9708048.2389880661</v>
      </c>
      <c r="B558" s="458">
        <v>2.15995075982367E-2</v>
      </c>
      <c r="C558" s="477">
        <v>14839420.089877401</v>
      </c>
      <c r="D558" s="458">
        <v>9.7112668896618182E-2</v>
      </c>
      <c r="E558" s="477">
        <v>16440115.343090339</v>
      </c>
      <c r="F558" s="458">
        <v>0.13639796298254137</v>
      </c>
      <c r="G558" s="477">
        <v>100648377.1897296</v>
      </c>
      <c r="H558" s="458">
        <v>0.269106098408042</v>
      </c>
      <c r="I558" s="468">
        <v>2.3487148801346054</v>
      </c>
    </row>
    <row r="559" spans="1:9" ht="16.5" x14ac:dyDescent="0.3">
      <c r="A559" s="477">
        <v>2672634.5727755441</v>
      </c>
      <c r="B559" s="458">
        <v>2.8365276986532351E-2</v>
      </c>
      <c r="C559" s="477">
        <v>9980970.7958546802</v>
      </c>
      <c r="D559" s="458">
        <v>6.9554543458405726E-2</v>
      </c>
      <c r="E559" s="477">
        <v>11765152.608414533</v>
      </c>
      <c r="F559" s="458">
        <v>0.11025085612569896</v>
      </c>
      <c r="G559" s="477">
        <v>85603070.832984388</v>
      </c>
      <c r="H559" s="458">
        <v>0.26834814009766972</v>
      </c>
      <c r="I559" s="468">
        <v>1.6098035811734084</v>
      </c>
    </row>
    <row r="560" spans="1:9" ht="16.5" x14ac:dyDescent="0.3">
      <c r="A560" s="477">
        <v>6216142.5241320832</v>
      </c>
      <c r="B560" s="458">
        <v>5.0946555589940212E-2</v>
      </c>
      <c r="C560" s="477">
        <v>16432431.297981957</v>
      </c>
      <c r="D560" s="458">
        <v>6.9398211782079722E-2</v>
      </c>
      <c r="E560" s="477">
        <v>12680581.04105274</v>
      </c>
      <c r="F560" s="458">
        <v>9.627933585049564E-2</v>
      </c>
      <c r="G560" s="477">
        <v>94589991.840661287</v>
      </c>
      <c r="H560" s="458">
        <v>0.28741619092154358</v>
      </c>
      <c r="I560" s="468">
        <v>6.3558367715460422</v>
      </c>
    </row>
    <row r="561" spans="1:9" ht="16.5" x14ac:dyDescent="0.3">
      <c r="A561" s="477">
        <v>6155217.1019678721</v>
      </c>
      <c r="B561" s="458">
        <v>2.2376538821954783E-2</v>
      </c>
      <c r="C561" s="477">
        <v>12946825.936187517</v>
      </c>
      <c r="D561" s="458">
        <v>0.10169179947325313</v>
      </c>
      <c r="E561" s="477">
        <v>23557661.812843356</v>
      </c>
      <c r="F561" s="458">
        <v>9.3557243387527578E-2</v>
      </c>
      <c r="G561" s="477">
        <v>86287161.334493414</v>
      </c>
      <c r="H561" s="458">
        <v>0.25789228845420209</v>
      </c>
      <c r="I561" s="468">
        <v>5.6142527556880033</v>
      </c>
    </row>
    <row r="562" spans="1:9" ht="16.5" x14ac:dyDescent="0.3">
      <c r="A562" s="477">
        <v>3365030.8320082654</v>
      </c>
      <c r="B562" s="458">
        <v>3.3446756952676848E-2</v>
      </c>
      <c r="C562" s="477">
        <v>9817570.9438160323</v>
      </c>
      <c r="D562" s="458">
        <v>6.4596804550775433E-2</v>
      </c>
      <c r="E562" s="477">
        <v>22739666.989739295</v>
      </c>
      <c r="F562" s="458">
        <v>8.3649031921206429E-2</v>
      </c>
      <c r="G562" s="477">
        <v>87724530.247441053</v>
      </c>
      <c r="H562" s="458">
        <v>0.27381816374113144</v>
      </c>
      <c r="I562" s="468">
        <v>-0.16096762037714107</v>
      </c>
    </row>
    <row r="563" spans="1:9" ht="16.5" x14ac:dyDescent="0.3">
      <c r="A563" s="477">
        <v>4291961.9968155911</v>
      </c>
      <c r="B563" s="458">
        <v>1.7868292627527538E-2</v>
      </c>
      <c r="C563" s="477">
        <v>16025959.880024031</v>
      </c>
      <c r="D563" s="458">
        <v>0.10945682804154022</v>
      </c>
      <c r="E563" s="477">
        <v>12864137.419745486</v>
      </c>
      <c r="F563" s="458">
        <v>0.12165967015357437</v>
      </c>
      <c r="G563" s="477">
        <v>81371595.460215017</v>
      </c>
      <c r="H563" s="458">
        <v>0.25871660579830436</v>
      </c>
      <c r="I563" s="468">
        <v>5.2668084478605328</v>
      </c>
    </row>
    <row r="564" spans="1:9" ht="16.5" x14ac:dyDescent="0.3">
      <c r="A564" s="477">
        <v>7706799.6289261878</v>
      </c>
      <c r="B564" s="458">
        <v>4.9994907161201807E-2</v>
      </c>
      <c r="C564" s="477">
        <v>8377087.3669780167</v>
      </c>
      <c r="D564" s="458">
        <v>8.1641667451801903E-2</v>
      </c>
      <c r="E564" s="477">
        <v>16216913.437909437</v>
      </c>
      <c r="F564" s="458">
        <v>0.10487718501473386</v>
      </c>
      <c r="G564" s="477">
        <v>88183510.831940696</v>
      </c>
      <c r="H564" s="458">
        <v>0.26142332097429666</v>
      </c>
      <c r="I564" s="468">
        <v>11.964917620622034</v>
      </c>
    </row>
    <row r="565" spans="1:9" ht="16.5" x14ac:dyDescent="0.3">
      <c r="A565" s="477">
        <v>2702775.815464987</v>
      </c>
      <c r="B565" s="458">
        <v>4.878095419409223E-2</v>
      </c>
      <c r="C565" s="477">
        <v>7271144.0816614963</v>
      </c>
      <c r="D565" s="458">
        <v>8.2956401375248623E-2</v>
      </c>
      <c r="E565" s="477">
        <v>22231635.173475362</v>
      </c>
      <c r="F565" s="458">
        <v>0.10448417834968593</v>
      </c>
      <c r="G565" s="477">
        <v>98120120.729076877</v>
      </c>
      <c r="H565" s="458">
        <v>0.31201477450916304</v>
      </c>
      <c r="I565" s="468">
        <v>2.5069830251437022</v>
      </c>
    </row>
    <row r="566" spans="1:9" ht="16.5" x14ac:dyDescent="0.3">
      <c r="A566" s="477">
        <v>10421887.79284738</v>
      </c>
      <c r="B566" s="458">
        <v>3.5281044221585622E-2</v>
      </c>
      <c r="C566" s="477">
        <v>11533582.125861347</v>
      </c>
      <c r="D566" s="458">
        <v>6.3611146896218385E-2</v>
      </c>
      <c r="E566" s="477">
        <v>6694709.971677403</v>
      </c>
      <c r="F566" s="458">
        <v>0.11868164266966863</v>
      </c>
      <c r="G566" s="477">
        <v>105708731.43603277</v>
      </c>
      <c r="H566" s="458">
        <v>0.25780152582775084</v>
      </c>
      <c r="I566" s="468">
        <v>16.344789151256478</v>
      </c>
    </row>
    <row r="567" spans="1:9" ht="16.5" x14ac:dyDescent="0.3">
      <c r="A567" s="477">
        <v>7821077.0176306032</v>
      </c>
      <c r="B567" s="458">
        <v>4.2089542469037733E-2</v>
      </c>
      <c r="C567" s="477">
        <v>7945317.8616210725</v>
      </c>
      <c r="D567" s="458">
        <v>8.3402083622033718E-2</v>
      </c>
      <c r="E567" s="477">
        <v>19268301.498000953</v>
      </c>
      <c r="F567" s="458">
        <v>9.9672403521120057E-2</v>
      </c>
      <c r="G567" s="477">
        <v>88501322.907308504</v>
      </c>
      <c r="H567" s="458">
        <v>0.26534809154173833</v>
      </c>
      <c r="I567" s="468">
        <v>3.4459676211932688</v>
      </c>
    </row>
    <row r="568" spans="1:9" ht="16.5" x14ac:dyDescent="0.3">
      <c r="A568" s="477">
        <v>5055908.9241453651</v>
      </c>
      <c r="B568" s="458">
        <v>3.8331265384689894E-2</v>
      </c>
      <c r="C568" s="477">
        <v>7062127.8236804903</v>
      </c>
      <c r="D568" s="458">
        <v>7.4130481022527617E-2</v>
      </c>
      <c r="E568" s="477">
        <v>6848686.1683316519</v>
      </c>
      <c r="F568" s="458">
        <v>0.13026519090163857</v>
      </c>
      <c r="G568" s="477">
        <v>94458310.966170162</v>
      </c>
      <c r="H568" s="458">
        <v>0.28284071982401837</v>
      </c>
      <c r="I568" s="468">
        <v>10.054987939762151</v>
      </c>
    </row>
    <row r="569" spans="1:9" ht="16.5" x14ac:dyDescent="0.3">
      <c r="A569" s="477">
        <v>3027172.091746869</v>
      </c>
      <c r="B569" s="458">
        <v>4.0499414839359149E-2</v>
      </c>
      <c r="C569" s="477">
        <v>8999012.4345434345</v>
      </c>
      <c r="D569" s="458">
        <v>7.6619533885037283E-2</v>
      </c>
      <c r="E569" s="477">
        <v>4599205.1782810027</v>
      </c>
      <c r="F569" s="458">
        <v>0.12757182418894519</v>
      </c>
      <c r="G569" s="477">
        <v>98921355.219535008</v>
      </c>
      <c r="H569" s="458">
        <v>0.27672511260510668</v>
      </c>
      <c r="I569" s="468">
        <v>10.624362473385805</v>
      </c>
    </row>
    <row r="570" spans="1:9" ht="16.5" x14ac:dyDescent="0.3">
      <c r="A570" s="477">
        <v>1925159.6716985165</v>
      </c>
      <c r="B570" s="458">
        <v>3.183820928801584E-2</v>
      </c>
      <c r="C570" s="477">
        <v>8791909.5341465604</v>
      </c>
      <c r="D570" s="458">
        <v>5.4783212677804949E-2</v>
      </c>
      <c r="E570" s="477">
        <v>20996473.83753733</v>
      </c>
      <c r="F570" s="458">
        <v>0.10206862367020042</v>
      </c>
      <c r="G570" s="477">
        <v>94040456.592698276</v>
      </c>
      <c r="H570" s="458">
        <v>0.2755299650246783</v>
      </c>
      <c r="I570" s="468">
        <v>8.1347596527794011</v>
      </c>
    </row>
    <row r="571" spans="1:9" ht="16.5" x14ac:dyDescent="0.3">
      <c r="A571" s="477">
        <v>1727959.4577225074</v>
      </c>
      <c r="B571" s="458">
        <v>5.8060992338361928E-2</v>
      </c>
      <c r="C571" s="477">
        <v>9085346.5344904345</v>
      </c>
      <c r="D571" s="458">
        <v>5.6973571352148422E-2</v>
      </c>
      <c r="E571" s="477">
        <v>18375557.004978914</v>
      </c>
      <c r="F571" s="458">
        <v>0.12612490619251915</v>
      </c>
      <c r="G571" s="477">
        <v>84702693.189175829</v>
      </c>
      <c r="H571" s="458">
        <v>0.27446495171469043</v>
      </c>
      <c r="I571" s="468">
        <v>-2.7209517594059722</v>
      </c>
    </row>
    <row r="572" spans="1:9" ht="16.5" x14ac:dyDescent="0.3">
      <c r="A572" s="477">
        <v>5228887.2393069752</v>
      </c>
      <c r="B572" s="458">
        <v>1.2868281326168685E-2</v>
      </c>
      <c r="C572" s="477">
        <v>12541780.26620388</v>
      </c>
      <c r="D572" s="458">
        <v>5.8480097070084058E-2</v>
      </c>
      <c r="E572" s="477">
        <v>15836290.440172123</v>
      </c>
      <c r="F572" s="458">
        <v>0.1068536067685748</v>
      </c>
      <c r="G572" s="477">
        <v>75955329.526439875</v>
      </c>
      <c r="H572" s="458">
        <v>0.28044046787928023</v>
      </c>
      <c r="I572" s="468">
        <v>4.6258430840252824</v>
      </c>
    </row>
    <row r="573" spans="1:9" ht="16.5" x14ac:dyDescent="0.3">
      <c r="A573" s="477">
        <v>5072615.6997009069</v>
      </c>
      <c r="B573" s="458">
        <v>4.946283981066979E-2</v>
      </c>
      <c r="C573" s="477">
        <v>9885744.0770067517</v>
      </c>
      <c r="D573" s="458">
        <v>5.5977641601249184E-2</v>
      </c>
      <c r="E573" s="477">
        <v>19209842.242362823</v>
      </c>
      <c r="F573" s="458">
        <v>0.10330255797250221</v>
      </c>
      <c r="G573" s="477">
        <v>74238888.183483452</v>
      </c>
      <c r="H573" s="458">
        <v>0.26395615812531847</v>
      </c>
      <c r="I573" s="468">
        <v>-3.3308140560157948</v>
      </c>
    </row>
    <row r="574" spans="1:9" ht="16.5" x14ac:dyDescent="0.3">
      <c r="A574" s="477">
        <v>4673989.9184139874</v>
      </c>
      <c r="B574" s="458">
        <v>5.5628620182217148E-2</v>
      </c>
      <c r="C574" s="477">
        <v>14108897.457049772</v>
      </c>
      <c r="D574" s="458">
        <v>6.975460704241021E-2</v>
      </c>
      <c r="E574" s="477">
        <v>13489165.827283273</v>
      </c>
      <c r="F574" s="458">
        <v>9.9202231072798686E-2</v>
      </c>
      <c r="G574" s="477">
        <v>97182795.820868582</v>
      </c>
      <c r="H574" s="458">
        <v>0.27104514696530835</v>
      </c>
      <c r="I574" s="468">
        <v>7.2572197265343377</v>
      </c>
    </row>
    <row r="575" spans="1:9" ht="16.5" x14ac:dyDescent="0.3">
      <c r="A575" s="477">
        <v>574901.04517190636</v>
      </c>
      <c r="B575" s="458">
        <v>2.6474273340840959E-2</v>
      </c>
      <c r="C575" s="477">
        <v>9999429.3846223354</v>
      </c>
      <c r="D575" s="458">
        <v>4.0747870932956953E-2</v>
      </c>
      <c r="E575" s="477">
        <v>18201929.934884194</v>
      </c>
      <c r="F575" s="458">
        <v>0.11565486561261462</v>
      </c>
      <c r="G575" s="477">
        <v>87528545.346106485</v>
      </c>
      <c r="H575" s="458">
        <v>0.27007949706074652</v>
      </c>
      <c r="I575" s="468">
        <v>14.622461336689184</v>
      </c>
    </row>
    <row r="576" spans="1:9" ht="16.5" x14ac:dyDescent="0.3">
      <c r="A576" s="477">
        <v>6114334.7488028165</v>
      </c>
      <c r="B576" s="458">
        <v>3.7392515911394364E-2</v>
      </c>
      <c r="C576" s="477">
        <v>3800748.1606363184</v>
      </c>
      <c r="D576" s="458">
        <v>6.3570441066191474E-2</v>
      </c>
      <c r="E576" s="477">
        <v>14751414.335606659</v>
      </c>
      <c r="F576" s="458">
        <v>0.11295342893773275</v>
      </c>
      <c r="G576" s="477">
        <v>90338149.733349189</v>
      </c>
      <c r="H576" s="458">
        <v>0.26496444979673894</v>
      </c>
      <c r="I576" s="468">
        <v>5.8733623539863551</v>
      </c>
    </row>
    <row r="577" spans="1:9" ht="16.5" x14ac:dyDescent="0.3">
      <c r="A577" s="477">
        <v>5967050.2882508961</v>
      </c>
      <c r="B577" s="458">
        <v>2.2570538966794951E-2</v>
      </c>
      <c r="C577" s="477">
        <v>7865806.3140038569</v>
      </c>
      <c r="D577" s="458">
        <v>5.8760005092327372E-2</v>
      </c>
      <c r="E577" s="477">
        <v>20183526.018440403</v>
      </c>
      <c r="F577" s="458">
        <v>0.10477649266895694</v>
      </c>
      <c r="G577" s="477">
        <v>90153979.940578401</v>
      </c>
      <c r="H577" s="458">
        <v>0.27274873320669557</v>
      </c>
      <c r="I577" s="468">
        <v>5.6725064998762909</v>
      </c>
    </row>
    <row r="578" spans="1:9" ht="16.5" x14ac:dyDescent="0.3">
      <c r="A578" s="477">
        <v>6095714.4860165957</v>
      </c>
      <c r="B578" s="458">
        <v>6.70496962591558E-2</v>
      </c>
      <c r="C578" s="477">
        <v>14520180.104717419</v>
      </c>
      <c r="D578" s="458">
        <v>4.9170446996114725E-2</v>
      </c>
      <c r="E578" s="477">
        <v>20735826.862754539</v>
      </c>
      <c r="F578" s="458">
        <v>0.11631860401001237</v>
      </c>
      <c r="G578" s="477">
        <v>95216846.443477973</v>
      </c>
      <c r="H578" s="458">
        <v>0.27607431757996803</v>
      </c>
      <c r="I578" s="468">
        <v>7.0369780883193123</v>
      </c>
    </row>
    <row r="579" spans="1:9" ht="16.5" x14ac:dyDescent="0.3">
      <c r="A579" s="477">
        <v>5753175.6193142533</v>
      </c>
      <c r="B579" s="458">
        <v>5.3356676289951332E-2</v>
      </c>
      <c r="C579" s="477">
        <v>7512717.9885224001</v>
      </c>
      <c r="D579" s="458">
        <v>6.6225301084590571E-2</v>
      </c>
      <c r="E579" s="477">
        <v>21887208.615653891</v>
      </c>
      <c r="F579" s="458">
        <v>0.14095094882869597</v>
      </c>
      <c r="G579" s="477">
        <v>96534828.717230156</v>
      </c>
      <c r="H579" s="458">
        <v>0.25193158143741523</v>
      </c>
      <c r="I579" s="468">
        <v>14.900709589318112</v>
      </c>
    </row>
    <row r="580" spans="1:9" ht="16.5" x14ac:dyDescent="0.3">
      <c r="A580" s="477">
        <v>5822297.497028362</v>
      </c>
      <c r="B580" s="458">
        <v>2.522104677893533E-2</v>
      </c>
      <c r="C580" s="477">
        <v>10925317.219873836</v>
      </c>
      <c r="D580" s="458">
        <v>7.1804756645358347E-2</v>
      </c>
      <c r="E580" s="477">
        <v>14175568.681253288</v>
      </c>
      <c r="F580" s="458">
        <v>8.8814769613178912E-2</v>
      </c>
      <c r="G580" s="477">
        <v>92897020.027052119</v>
      </c>
      <c r="H580" s="458">
        <v>0.28154738341499752</v>
      </c>
      <c r="I580" s="468">
        <v>4.8989962492935177</v>
      </c>
    </row>
    <row r="581" spans="1:9" ht="16.5" x14ac:dyDescent="0.3">
      <c r="A581" s="477">
        <v>8488654.394372521</v>
      </c>
      <c r="B581" s="458">
        <v>2.8639680985599547E-2</v>
      </c>
      <c r="C581" s="477">
        <v>9242533.7979715187</v>
      </c>
      <c r="D581" s="458">
        <v>7.6399405511226481E-2</v>
      </c>
      <c r="E581" s="477">
        <v>14057162.038264172</v>
      </c>
      <c r="F581" s="458">
        <v>0.10072393708366056</v>
      </c>
      <c r="G581" s="477">
        <v>80612910.048041016</v>
      </c>
      <c r="H581" s="458">
        <v>0.28037060077177633</v>
      </c>
      <c r="I581" s="468">
        <v>3.3588075311496395</v>
      </c>
    </row>
    <row r="582" spans="1:9" ht="16.5" x14ac:dyDescent="0.3">
      <c r="A582" s="477">
        <v>7016592.6453574058</v>
      </c>
      <c r="B582" s="458">
        <v>3.0296481059278291E-2</v>
      </c>
      <c r="C582" s="477">
        <v>11567635.280381657</v>
      </c>
      <c r="D582" s="458">
        <v>3.8337450078086865E-2</v>
      </c>
      <c r="E582" s="477">
        <v>15521611.58403909</v>
      </c>
      <c r="F582" s="458">
        <v>9.2278943763902888E-2</v>
      </c>
      <c r="G582" s="477">
        <v>92349486.958423451</v>
      </c>
      <c r="H582" s="458">
        <v>0.26604900364275363</v>
      </c>
      <c r="I582" s="468">
        <v>8.146479660495249</v>
      </c>
    </row>
    <row r="583" spans="1:9" ht="16.5" x14ac:dyDescent="0.3">
      <c r="A583" s="477">
        <v>8388968.7306142282</v>
      </c>
      <c r="B583" s="458">
        <v>3.2739914078535381E-2</v>
      </c>
      <c r="C583" s="477">
        <v>14187661.802065589</v>
      </c>
      <c r="D583" s="458">
        <v>5.4648647799120598E-2</v>
      </c>
      <c r="E583" s="477">
        <v>20451691.384784281</v>
      </c>
      <c r="F583" s="458">
        <v>0.1199141803131003</v>
      </c>
      <c r="G583" s="477">
        <v>75102719.501020879</v>
      </c>
      <c r="H583" s="458">
        <v>0.25840112894771505</v>
      </c>
      <c r="I583" s="468">
        <v>8.5911318208543648</v>
      </c>
    </row>
    <row r="584" spans="1:9" ht="16.5" x14ac:dyDescent="0.3">
      <c r="A584" s="477">
        <v>3237558.5204025824</v>
      </c>
      <c r="B584" s="458">
        <v>5.642214306072435E-2</v>
      </c>
      <c r="C584" s="477">
        <v>8416986.3042863943</v>
      </c>
      <c r="D584" s="458">
        <v>6.4681317395174576E-2</v>
      </c>
      <c r="E584" s="477">
        <v>16439921.420312403</v>
      </c>
      <c r="F584" s="458">
        <v>0.10079482074948265</v>
      </c>
      <c r="G584" s="477">
        <v>90287234.528974041</v>
      </c>
      <c r="H584" s="458">
        <v>0.26009539618598598</v>
      </c>
      <c r="I584" s="468">
        <v>8.3836388346834312</v>
      </c>
    </row>
    <row r="585" spans="1:9" ht="16.5" x14ac:dyDescent="0.3">
      <c r="A585" s="477">
        <v>5536528.1313885273</v>
      </c>
      <c r="B585" s="458">
        <v>4.9203726769020184E-2</v>
      </c>
      <c r="C585" s="477">
        <v>14926114.655545253</v>
      </c>
      <c r="D585" s="458">
        <v>7.7269186681660829E-2</v>
      </c>
      <c r="E585" s="477">
        <v>15052847.472499894</v>
      </c>
      <c r="F585" s="458">
        <v>9.9727517768743335E-2</v>
      </c>
      <c r="G585" s="477">
        <v>99847007.25874567</v>
      </c>
      <c r="H585" s="458">
        <v>0.25269966918744124</v>
      </c>
      <c r="I585" s="468">
        <v>2.6522911636515234</v>
      </c>
    </row>
    <row r="586" spans="1:9" ht="16.5" x14ac:dyDescent="0.3">
      <c r="A586" s="477">
        <v>5900794.7720680181</v>
      </c>
      <c r="B586" s="458">
        <v>4.9927566935987544E-2</v>
      </c>
      <c r="C586" s="477">
        <v>5301696.590764896</v>
      </c>
      <c r="D586" s="458">
        <v>7.8120348682086505E-2</v>
      </c>
      <c r="E586" s="477">
        <v>23710580.800601125</v>
      </c>
      <c r="F586" s="458">
        <v>0.130052678374875</v>
      </c>
      <c r="G586" s="477">
        <v>85491302.838585272</v>
      </c>
      <c r="H586" s="458">
        <v>0.29114113333392888</v>
      </c>
      <c r="I586" s="468">
        <v>4.7087660972491179</v>
      </c>
    </row>
    <row r="587" spans="1:9" ht="16.5" x14ac:dyDescent="0.3">
      <c r="A587" s="477">
        <v>2891886.0123605169</v>
      </c>
      <c r="B587" s="458">
        <v>5.8585093599557325E-2</v>
      </c>
      <c r="C587" s="477">
        <v>11889626.404491423</v>
      </c>
      <c r="D587" s="458">
        <v>6.7801478068809651E-2</v>
      </c>
      <c r="E587" s="477">
        <v>27912594.042475797</v>
      </c>
      <c r="F587" s="458">
        <v>0.10491112877297493</v>
      </c>
      <c r="G587" s="477">
        <v>83800681.166303769</v>
      </c>
      <c r="H587" s="458">
        <v>0.26792667221235322</v>
      </c>
      <c r="I587" s="468">
        <v>5.5460582214707195</v>
      </c>
    </row>
    <row r="588" spans="1:9" ht="16.5" x14ac:dyDescent="0.3">
      <c r="A588" s="477">
        <v>10751332.406258686</v>
      </c>
      <c r="B588" s="458">
        <v>4.6259874947888857E-2</v>
      </c>
      <c r="C588" s="477">
        <v>9295547.1826821286</v>
      </c>
      <c r="D588" s="458">
        <v>8.216923680275201E-2</v>
      </c>
      <c r="E588" s="477">
        <v>20424930.935761813</v>
      </c>
      <c r="F588" s="458">
        <v>0.1043411094183595</v>
      </c>
      <c r="G588" s="477">
        <v>83414970.503503069</v>
      </c>
      <c r="H588" s="458">
        <v>0.28780447269588261</v>
      </c>
      <c r="I588" s="468">
        <v>12.646615400393136</v>
      </c>
    </row>
    <row r="589" spans="1:9" ht="16.5" x14ac:dyDescent="0.3">
      <c r="A589" s="477">
        <v>4572745.4114859896</v>
      </c>
      <c r="B589" s="458">
        <v>4.9005876989443253E-2</v>
      </c>
      <c r="C589" s="477">
        <v>9057088.924234191</v>
      </c>
      <c r="D589" s="458">
        <v>5.2878924434233365E-2</v>
      </c>
      <c r="E589" s="477">
        <v>14951269.317700773</v>
      </c>
      <c r="F589" s="458">
        <v>0.12431039560202528</v>
      </c>
      <c r="G589" s="477">
        <v>99696133.081334591</v>
      </c>
      <c r="H589" s="458">
        <v>0.27180700064176189</v>
      </c>
      <c r="I589" s="468">
        <v>6.9115725099823067</v>
      </c>
    </row>
    <row r="590" spans="1:9" ht="16.5" x14ac:dyDescent="0.3">
      <c r="A590" s="477">
        <v>6883348.6829749979</v>
      </c>
      <c r="B590" s="458">
        <v>3.9936318498461132E-2</v>
      </c>
      <c r="C590" s="477">
        <v>7781525.7074762443</v>
      </c>
      <c r="D590" s="458">
        <v>7.262543933321064E-2</v>
      </c>
      <c r="E590" s="477">
        <v>13489402.888960741</v>
      </c>
      <c r="F590" s="458">
        <v>0.11549498253163182</v>
      </c>
      <c r="G590" s="477">
        <v>90681612.014312163</v>
      </c>
      <c r="H590" s="458">
        <v>0.28412412840524781</v>
      </c>
      <c r="I590" s="468">
        <v>5.3496579406333531</v>
      </c>
    </row>
    <row r="591" spans="1:9" ht="16.5" x14ac:dyDescent="0.3">
      <c r="A591" s="477">
        <v>2930147.2024704618</v>
      </c>
      <c r="B591" s="458">
        <v>3.6665567928337639E-2</v>
      </c>
      <c r="C591" s="477">
        <v>2486122.9097175142</v>
      </c>
      <c r="D591" s="458">
        <v>6.8611801568194464E-2</v>
      </c>
      <c r="E591" s="477">
        <v>18857507.609777376</v>
      </c>
      <c r="F591" s="458">
        <v>9.3965358297115165E-2</v>
      </c>
      <c r="G591" s="477">
        <v>85999776.143472359</v>
      </c>
      <c r="H591" s="458">
        <v>0.27785246398075913</v>
      </c>
      <c r="I591" s="468">
        <v>9.3218747575732674</v>
      </c>
    </row>
    <row r="592" spans="1:9" ht="16.5" x14ac:dyDescent="0.3">
      <c r="A592" s="477">
        <v>8224924.4008658826</v>
      </c>
      <c r="B592" s="458">
        <v>1.8320552950540137E-2</v>
      </c>
      <c r="C592" s="477">
        <v>8873926.5585376304</v>
      </c>
      <c r="D592" s="458">
        <v>8.3857549037473555E-2</v>
      </c>
      <c r="E592" s="477">
        <v>17038465.029590774</v>
      </c>
      <c r="F592" s="458">
        <v>0.10631678430982139</v>
      </c>
      <c r="G592" s="477">
        <v>88356029.185962677</v>
      </c>
      <c r="H592" s="458">
        <v>0.26812371584047567</v>
      </c>
      <c r="I592" s="468">
        <v>10.133733042022563</v>
      </c>
    </row>
    <row r="593" spans="1:9" ht="16.5" x14ac:dyDescent="0.3">
      <c r="A593" s="477">
        <v>3045659.2529579401</v>
      </c>
      <c r="B593" s="458">
        <v>4.224864078313173E-2</v>
      </c>
      <c r="C593" s="477">
        <v>5640874.7322458159</v>
      </c>
      <c r="D593" s="458">
        <v>7.383900920438502E-2</v>
      </c>
      <c r="E593" s="477">
        <v>17689527.55612449</v>
      </c>
      <c r="F593" s="458">
        <v>0.1233059498960638</v>
      </c>
      <c r="G593" s="477">
        <v>93373634.206256032</v>
      </c>
      <c r="H593" s="458">
        <v>0.26830051748104577</v>
      </c>
      <c r="I593" s="468">
        <v>7.4473421035479017</v>
      </c>
    </row>
    <row r="594" spans="1:9" ht="16.5" x14ac:dyDescent="0.3">
      <c r="A594" s="477">
        <v>4447861.4708919823</v>
      </c>
      <c r="B594" s="458">
        <v>3.7077180267278687E-2</v>
      </c>
      <c r="C594" s="477">
        <v>11110351.276602339</v>
      </c>
      <c r="D594" s="458">
        <v>6.0410923698884345E-2</v>
      </c>
      <c r="E594" s="477">
        <v>18562554.329574026</v>
      </c>
      <c r="F594" s="458">
        <v>0.10351785534526892</v>
      </c>
      <c r="G594" s="477">
        <v>91492836.581782922</v>
      </c>
      <c r="H594" s="458">
        <v>0.26672851082829774</v>
      </c>
      <c r="I594" s="468">
        <v>4.3236557565854596</v>
      </c>
    </row>
    <row r="595" spans="1:9" ht="16.5" x14ac:dyDescent="0.3">
      <c r="A595" s="477">
        <v>5706448.081483243</v>
      </c>
      <c r="B595" s="458">
        <v>4.2257473965594095E-2</v>
      </c>
      <c r="C595" s="477">
        <v>5492490.2684517456</v>
      </c>
      <c r="D595" s="458">
        <v>4.8137460243394825E-2</v>
      </c>
      <c r="E595" s="477">
        <v>5643774.7121211141</v>
      </c>
      <c r="F595" s="458">
        <v>0.13321419059264805</v>
      </c>
      <c r="G595" s="477">
        <v>88427228.897553742</v>
      </c>
      <c r="H595" s="458">
        <v>0.25616470961942284</v>
      </c>
      <c r="I595" s="468">
        <v>11.845392353406842</v>
      </c>
    </row>
    <row r="596" spans="1:9" ht="16.5" x14ac:dyDescent="0.3">
      <c r="A596" s="477">
        <v>8414326.8677870985</v>
      </c>
      <c r="B596" s="458">
        <v>2.171020149871894E-2</v>
      </c>
      <c r="C596" s="477">
        <v>9147198.0931429062</v>
      </c>
      <c r="D596" s="458">
        <v>4.8830739050460092E-2</v>
      </c>
      <c r="E596" s="477">
        <v>18413234.673676129</v>
      </c>
      <c r="F596" s="458">
        <v>0.11143923117328725</v>
      </c>
      <c r="G596" s="477">
        <v>97709643.683209985</v>
      </c>
      <c r="H596" s="458">
        <v>0.26102860781653203</v>
      </c>
      <c r="I596" s="468">
        <v>4.3602458971118043</v>
      </c>
    </row>
    <row r="597" spans="1:9" ht="16.5" x14ac:dyDescent="0.3">
      <c r="A597" s="477">
        <v>5003922.2624338754</v>
      </c>
      <c r="B597" s="458">
        <v>3.9025570266708165E-2</v>
      </c>
      <c r="C597" s="477">
        <v>9054510.6975729801</v>
      </c>
      <c r="D597" s="458">
        <v>7.2269852403916701E-2</v>
      </c>
      <c r="E597" s="477">
        <v>7294386.3419338474</v>
      </c>
      <c r="F597" s="458">
        <v>0.1074229683249277</v>
      </c>
      <c r="G597" s="477">
        <v>86563948.402507663</v>
      </c>
      <c r="H597" s="458">
        <v>0.27444371149097035</v>
      </c>
      <c r="I597" s="468">
        <v>8.5618676949610748</v>
      </c>
    </row>
    <row r="598" spans="1:9" ht="16.5" x14ac:dyDescent="0.3">
      <c r="A598" s="477">
        <v>5467582.5069296807</v>
      </c>
      <c r="B598" s="458">
        <v>2.6500723608341437E-2</v>
      </c>
      <c r="C598" s="477">
        <v>7749923.2551980559</v>
      </c>
      <c r="D598" s="458">
        <v>8.1979511870904354E-2</v>
      </c>
      <c r="E598" s="477">
        <v>13372955.012731902</v>
      </c>
      <c r="F598" s="458">
        <v>0.12314393543839541</v>
      </c>
      <c r="G598" s="477">
        <v>99168271.137790546</v>
      </c>
      <c r="H598" s="458">
        <v>0.28614954005159743</v>
      </c>
      <c r="I598" s="468">
        <v>9.49628060547529</v>
      </c>
    </row>
    <row r="599" spans="1:9" ht="16.5" x14ac:dyDescent="0.3">
      <c r="A599" s="477">
        <v>3927615.2363119982</v>
      </c>
      <c r="B599" s="458">
        <v>5.8811266493467018E-2</v>
      </c>
      <c r="C599" s="477">
        <v>3944696.5281288079</v>
      </c>
      <c r="D599" s="458">
        <v>7.8020498450470432E-2</v>
      </c>
      <c r="E599" s="477">
        <v>17232088.124462489</v>
      </c>
      <c r="F599" s="458">
        <v>0.12447336500286377</v>
      </c>
      <c r="G599" s="477">
        <v>98830261.424856842</v>
      </c>
      <c r="H599" s="458">
        <v>0.27344931798259009</v>
      </c>
      <c r="I599" s="468">
        <v>3.9018304141709388</v>
      </c>
    </row>
    <row r="600" spans="1:9" ht="16.5" x14ac:dyDescent="0.3">
      <c r="A600" s="477">
        <v>3814906.3127306448</v>
      </c>
      <c r="B600" s="458">
        <v>2.1570585245599627E-2</v>
      </c>
      <c r="C600" s="477">
        <v>12979773.500969149</v>
      </c>
      <c r="D600" s="458">
        <v>6.9793375718544715E-2</v>
      </c>
      <c r="E600" s="477">
        <v>12425014.97613587</v>
      </c>
      <c r="F600" s="458">
        <v>0.1101297112114612</v>
      </c>
      <c r="G600" s="477">
        <v>101777946.85855386</v>
      </c>
      <c r="H600" s="458">
        <v>0.24716867119921049</v>
      </c>
      <c r="I600" s="468">
        <v>9.4809425172112718</v>
      </c>
    </row>
    <row r="601" spans="1:9" ht="16.5" x14ac:dyDescent="0.3">
      <c r="A601" s="477">
        <v>5816413.600290616</v>
      </c>
      <c r="B601" s="458">
        <v>3.9355735432469396E-2</v>
      </c>
      <c r="C601" s="477">
        <v>7836119.5302174557</v>
      </c>
      <c r="D601" s="458">
        <v>4.9141577245309431E-2</v>
      </c>
      <c r="E601" s="477">
        <v>30289907.980492502</v>
      </c>
      <c r="F601" s="458">
        <v>0.10551811631726404</v>
      </c>
      <c r="G601" s="477">
        <v>83747738.773013651</v>
      </c>
      <c r="H601" s="458">
        <v>0.29749454466161374</v>
      </c>
      <c r="I601" s="468">
        <v>9.3738289109244484</v>
      </c>
    </row>
    <row r="602" spans="1:9" ht="16.5" x14ac:dyDescent="0.3">
      <c r="A602" s="477">
        <v>3021750.5654999469</v>
      </c>
      <c r="B602" s="458">
        <v>4.2604691342619905E-2</v>
      </c>
      <c r="C602" s="477">
        <v>9189951.9562912025</v>
      </c>
      <c r="D602" s="458">
        <v>8.2534943031218333E-2</v>
      </c>
      <c r="E602" s="477">
        <v>17903182.584831413</v>
      </c>
      <c r="F602" s="458">
        <v>0.11488263868553705</v>
      </c>
      <c r="G602" s="477">
        <v>91520580.919148386</v>
      </c>
      <c r="H602" s="458">
        <v>0.26195628349666511</v>
      </c>
      <c r="I602" s="468">
        <v>2.9300699969385899</v>
      </c>
    </row>
    <row r="603" spans="1:9" ht="16.5" x14ac:dyDescent="0.3">
      <c r="A603" s="477">
        <v>4080072.4341611066</v>
      </c>
      <c r="B603" s="458">
        <v>8.000878606146955E-2</v>
      </c>
      <c r="C603" s="477">
        <v>15588508.205005782</v>
      </c>
      <c r="D603" s="458">
        <v>9.7474584947005338E-2</v>
      </c>
      <c r="E603" s="477">
        <v>10503191.585842391</v>
      </c>
      <c r="F603" s="458">
        <v>0.10063275577148123</v>
      </c>
      <c r="G603" s="477">
        <v>75571503.143396556</v>
      </c>
      <c r="H603" s="458">
        <v>0.28031462972604904</v>
      </c>
      <c r="I603" s="468">
        <v>4.7639536158108857</v>
      </c>
    </row>
    <row r="604" spans="1:9" ht="16.5" x14ac:dyDescent="0.3">
      <c r="A604" s="477">
        <v>6548293.167073098</v>
      </c>
      <c r="B604" s="458">
        <v>8.8764816287393078E-2</v>
      </c>
      <c r="C604" s="477">
        <v>9311692.5954700168</v>
      </c>
      <c r="D604" s="458">
        <v>6.8171340085438015E-2</v>
      </c>
      <c r="E604" s="477">
        <v>12214071.827702953</v>
      </c>
      <c r="F604" s="458">
        <v>0.12071483244632031</v>
      </c>
      <c r="G604" s="477">
        <v>94843221.115511864</v>
      </c>
      <c r="H604" s="458">
        <v>0.26711967821951599</v>
      </c>
      <c r="I604" s="468">
        <v>12.320457281191048</v>
      </c>
    </row>
    <row r="605" spans="1:9" ht="16.5" x14ac:dyDescent="0.3">
      <c r="A605" s="477">
        <v>4472227.7349513378</v>
      </c>
      <c r="B605" s="458">
        <v>5.0794102675463693E-2</v>
      </c>
      <c r="C605" s="477">
        <v>5453476.9358302215</v>
      </c>
      <c r="D605" s="458">
        <v>7.8002451182507704E-2</v>
      </c>
      <c r="E605" s="477">
        <v>21727726.779209457</v>
      </c>
      <c r="F605" s="458">
        <v>9.7294618874369521E-2</v>
      </c>
      <c r="G605" s="477">
        <v>91972343.554683208</v>
      </c>
      <c r="H605" s="458">
        <v>0.27819954180065842</v>
      </c>
      <c r="I605" s="468">
        <v>8.2664249085767931</v>
      </c>
    </row>
    <row r="606" spans="1:9" ht="16.5" x14ac:dyDescent="0.3">
      <c r="A606" s="477">
        <v>5310133.8252268713</v>
      </c>
      <c r="B606" s="458">
        <v>4.7757680498133892E-2</v>
      </c>
      <c r="C606" s="477">
        <v>10504418.050551966</v>
      </c>
      <c r="D606" s="458">
        <v>6.6562322077396097E-2</v>
      </c>
      <c r="E606" s="477">
        <v>19840228.870185245</v>
      </c>
      <c r="F606" s="458">
        <v>8.8601503129756232E-2</v>
      </c>
      <c r="G606" s="477">
        <v>95295704.735137075</v>
      </c>
      <c r="H606" s="458">
        <v>0.27992284937187706</v>
      </c>
      <c r="I606" s="468">
        <v>4.9141776720884174</v>
      </c>
    </row>
    <row r="607" spans="1:9" ht="16.5" x14ac:dyDescent="0.3">
      <c r="A607" s="477">
        <v>10179286.165656215</v>
      </c>
      <c r="B607" s="458">
        <v>6.2015185164741471E-2</v>
      </c>
      <c r="C607" s="477">
        <v>6040279.3740673</v>
      </c>
      <c r="D607" s="458">
        <v>6.1988853586815162E-2</v>
      </c>
      <c r="E607" s="477">
        <v>16922988.367360372</v>
      </c>
      <c r="F607" s="458">
        <v>0.11704761921520102</v>
      </c>
      <c r="G607" s="477">
        <v>96495614.607678711</v>
      </c>
      <c r="H607" s="458">
        <v>0.26193687406035693</v>
      </c>
      <c r="I607" s="468">
        <v>1.9162129504148302</v>
      </c>
    </row>
    <row r="608" spans="1:9" ht="16.5" x14ac:dyDescent="0.3">
      <c r="A608" s="477">
        <v>3845327.1462363773</v>
      </c>
      <c r="B608" s="458">
        <v>2.583343864819132E-2</v>
      </c>
      <c r="C608" s="477">
        <v>10808457.953955052</v>
      </c>
      <c r="D608" s="458">
        <v>6.3441663467488585E-2</v>
      </c>
      <c r="E608" s="477">
        <v>10512548.344355088</v>
      </c>
      <c r="F608" s="458">
        <v>0.10004134068596393</v>
      </c>
      <c r="G608" s="477">
        <v>84694016.16321063</v>
      </c>
      <c r="H608" s="458">
        <v>0.25621761307619284</v>
      </c>
      <c r="I608" s="468">
        <v>8.8329685814613761</v>
      </c>
    </row>
    <row r="609" spans="1:9" ht="16.5" x14ac:dyDescent="0.3">
      <c r="A609" s="477">
        <v>5037428.2656642105</v>
      </c>
      <c r="B609" s="458">
        <v>3.7277069497742454E-2</v>
      </c>
      <c r="C609" s="477">
        <v>3740785.6302373274</v>
      </c>
      <c r="D609" s="458">
        <v>9.0996258636619753E-2</v>
      </c>
      <c r="E609" s="477">
        <v>15328846.356355142</v>
      </c>
      <c r="F609" s="458">
        <v>9.9183118851830399E-2</v>
      </c>
      <c r="G609" s="477">
        <v>82606598.135388076</v>
      </c>
      <c r="H609" s="458">
        <v>0.27265549393568356</v>
      </c>
      <c r="I609" s="468">
        <v>10.049699271689201</v>
      </c>
    </row>
    <row r="610" spans="1:9" ht="16.5" x14ac:dyDescent="0.3">
      <c r="A610" s="477">
        <v>6968398.1973139122</v>
      </c>
      <c r="B610" s="458">
        <v>4.8927434873321074E-2</v>
      </c>
      <c r="C610" s="477">
        <v>9922267.8661953509</v>
      </c>
      <c r="D610" s="458">
        <v>5.4885225173237462E-2</v>
      </c>
      <c r="E610" s="477">
        <v>13741121.24318631</v>
      </c>
      <c r="F610" s="458">
        <v>9.6768296647565588E-2</v>
      </c>
      <c r="G610" s="477">
        <v>102459336.68550867</v>
      </c>
      <c r="H610" s="458">
        <v>0.26494473670806351</v>
      </c>
      <c r="I610" s="468">
        <v>9.6315749472531103</v>
      </c>
    </row>
    <row r="611" spans="1:9" ht="16.5" x14ac:dyDescent="0.3">
      <c r="A611" s="477">
        <v>5084864.8958812607</v>
      </c>
      <c r="B611" s="458">
        <v>4.3267369920812815E-2</v>
      </c>
      <c r="C611" s="477">
        <v>13877642.717597624</v>
      </c>
      <c r="D611" s="458">
        <v>6.8410964088198023E-2</v>
      </c>
      <c r="E611" s="477">
        <v>12586894.99300739</v>
      </c>
      <c r="F611" s="458">
        <v>0.11798822124030517</v>
      </c>
      <c r="G611" s="477">
        <v>94242514.354891196</v>
      </c>
      <c r="H611" s="458">
        <v>0.28094118725130413</v>
      </c>
      <c r="I611" s="468">
        <v>9.818690592039971</v>
      </c>
    </row>
    <row r="612" spans="1:9" ht="16.5" x14ac:dyDescent="0.3">
      <c r="A612" s="477">
        <v>3934511.3978575058</v>
      </c>
      <c r="B612" s="458">
        <v>6.4304954336164233E-2</v>
      </c>
      <c r="C612" s="477">
        <v>3174559.5795910824</v>
      </c>
      <c r="D612" s="458">
        <v>8.6394691477627017E-2</v>
      </c>
      <c r="E612" s="477">
        <v>18261740.511287291</v>
      </c>
      <c r="F612" s="458">
        <v>9.8772524413492269E-2</v>
      </c>
      <c r="G612" s="477">
        <v>84380275.617126256</v>
      </c>
      <c r="H612" s="458">
        <v>0.2960428161682207</v>
      </c>
      <c r="I612" s="468">
        <v>13.921905179784124</v>
      </c>
    </row>
    <row r="613" spans="1:9" ht="16.5" x14ac:dyDescent="0.3">
      <c r="A613" s="477">
        <v>5395700.7191859651</v>
      </c>
      <c r="B613" s="458">
        <v>4.3419433335316615E-2</v>
      </c>
      <c r="C613" s="477">
        <v>4112223.5986256599</v>
      </c>
      <c r="D613" s="458">
        <v>7.3055854087730188E-2</v>
      </c>
      <c r="E613" s="477">
        <v>13786497.571273539</v>
      </c>
      <c r="F613" s="458">
        <v>0.13054020845623371</v>
      </c>
      <c r="G613" s="477">
        <v>90302139.406290576</v>
      </c>
      <c r="H613" s="458">
        <v>0.25598330123178092</v>
      </c>
      <c r="I613" s="468">
        <v>10.265086894560721</v>
      </c>
    </row>
    <row r="614" spans="1:9" ht="16.5" x14ac:dyDescent="0.3">
      <c r="A614" s="477">
        <v>2859035.5120873693</v>
      </c>
      <c r="B614" s="458">
        <v>3.7328475617544488E-2</v>
      </c>
      <c r="C614" s="477">
        <v>12926700.019560276</v>
      </c>
      <c r="D614" s="458">
        <v>5.9680307605334049E-2</v>
      </c>
      <c r="E614" s="477">
        <v>7534844.9470810043</v>
      </c>
      <c r="F614" s="458">
        <v>0.10518420192589151</v>
      </c>
      <c r="G614" s="477">
        <v>90037369.142224759</v>
      </c>
      <c r="H614" s="458">
        <v>0.27354098009256611</v>
      </c>
      <c r="I614" s="468">
        <v>11.487850528436633</v>
      </c>
    </row>
    <row r="615" spans="1:9" ht="16.5" x14ac:dyDescent="0.3">
      <c r="A615" s="477">
        <v>4458764.942591764</v>
      </c>
      <c r="B615" s="458">
        <v>3.3512671104374947E-2</v>
      </c>
      <c r="C615" s="477">
        <v>3926022.0576861636</v>
      </c>
      <c r="D615" s="458">
        <v>6.881658218816411E-2</v>
      </c>
      <c r="E615" s="477">
        <v>20052200.112855293</v>
      </c>
      <c r="F615" s="458">
        <v>8.4519635533143456E-2</v>
      </c>
      <c r="G615" s="477">
        <v>92645144.655153364</v>
      </c>
      <c r="H615" s="458">
        <v>0.25445692721082591</v>
      </c>
      <c r="I615" s="468">
        <v>8.4102671959383031</v>
      </c>
    </row>
    <row r="616" spans="1:9" ht="16.5" x14ac:dyDescent="0.3">
      <c r="A616" s="477">
        <v>8697143.8050453365</v>
      </c>
      <c r="B616" s="458">
        <v>4.123353388829476E-2</v>
      </c>
      <c r="C616" s="477">
        <v>6904753.6147863166</v>
      </c>
      <c r="D616" s="458">
        <v>6.6134113546832518E-2</v>
      </c>
      <c r="E616" s="477">
        <v>13702634.887899438</v>
      </c>
      <c r="F616" s="458">
        <v>7.590402195465451E-2</v>
      </c>
      <c r="G616" s="477">
        <v>109333177.40132473</v>
      </c>
      <c r="H616" s="458">
        <v>0.29814633501924503</v>
      </c>
      <c r="I616" s="468">
        <v>16.313816523472184</v>
      </c>
    </row>
    <row r="617" spans="1:9" ht="16.5" x14ac:dyDescent="0.3">
      <c r="A617" s="477">
        <v>4377514.6681811064</v>
      </c>
      <c r="B617" s="458">
        <v>6.4514476077945693E-2</v>
      </c>
      <c r="C617" s="477">
        <v>5037288.614301865</v>
      </c>
      <c r="D617" s="458">
        <v>7.9196559043425596E-2</v>
      </c>
      <c r="E617" s="477">
        <v>19992954.133309584</v>
      </c>
      <c r="F617" s="458">
        <v>0.10774455951357598</v>
      </c>
      <c r="G617" s="477">
        <v>89868405.384735286</v>
      </c>
      <c r="H617" s="458">
        <v>0.26156979014825588</v>
      </c>
      <c r="I617" s="468">
        <v>8.9697019747703735</v>
      </c>
    </row>
    <row r="618" spans="1:9" ht="16.5" x14ac:dyDescent="0.3">
      <c r="A618" s="477">
        <v>3441997.9566844716</v>
      </c>
      <c r="B618" s="458">
        <v>4.8061559023488742E-2</v>
      </c>
      <c r="C618" s="477">
        <v>5791123.0105970986</v>
      </c>
      <c r="D618" s="458">
        <v>9.0261261822388361E-2</v>
      </c>
      <c r="E618" s="477">
        <v>11276119.179832431</v>
      </c>
      <c r="F618" s="458">
        <v>9.6163471240237497E-2</v>
      </c>
      <c r="G618" s="477">
        <v>86840541.413648054</v>
      </c>
      <c r="H618" s="458">
        <v>0.29496010953580409</v>
      </c>
      <c r="I618" s="468">
        <v>2.6460950766690869</v>
      </c>
    </row>
    <row r="619" spans="1:9" ht="16.5" x14ac:dyDescent="0.3">
      <c r="A619" s="477">
        <v>2400949.7118736962</v>
      </c>
      <c r="B619" s="458">
        <v>3.3586740093583867E-2</v>
      </c>
      <c r="C619" s="477">
        <v>3743078.7304967237</v>
      </c>
      <c r="D619" s="458">
        <v>7.2509201718825356E-2</v>
      </c>
      <c r="E619" s="477">
        <v>15459058.835572455</v>
      </c>
      <c r="F619" s="458">
        <v>0.10060941404781398</v>
      </c>
      <c r="G619" s="477">
        <v>78992230.273828998</v>
      </c>
      <c r="H619" s="458">
        <v>0.24661166852024197</v>
      </c>
      <c r="I619" s="468">
        <v>11.427572674166871</v>
      </c>
    </row>
    <row r="620" spans="1:9" ht="16.5" x14ac:dyDescent="0.3">
      <c r="A620" s="477">
        <v>6437490.0483563216</v>
      </c>
      <c r="B620" s="458">
        <v>4.7683084873868076E-2</v>
      </c>
      <c r="C620" s="477">
        <v>9012114.6807283387</v>
      </c>
      <c r="D620" s="458">
        <v>5.0094842777760773E-2</v>
      </c>
      <c r="E620" s="477">
        <v>16772272.860372012</v>
      </c>
      <c r="F620" s="458">
        <v>0.13435974349086943</v>
      </c>
      <c r="G620" s="477">
        <v>101538710.83021553</v>
      </c>
      <c r="H620" s="458">
        <v>0.27996615891328958</v>
      </c>
      <c r="I620" s="468">
        <v>6.7755099257503684</v>
      </c>
    </row>
    <row r="621" spans="1:9" ht="16.5" x14ac:dyDescent="0.3">
      <c r="A621" s="477">
        <v>6662675.3192880042</v>
      </c>
      <c r="B621" s="458">
        <v>3.3036029695730162E-2</v>
      </c>
      <c r="C621" s="477">
        <v>6350621.7775353333</v>
      </c>
      <c r="D621" s="458">
        <v>5.1540172724982458E-2</v>
      </c>
      <c r="E621" s="477">
        <v>17268151.720339518</v>
      </c>
      <c r="F621" s="458">
        <v>0.10606920146580001</v>
      </c>
      <c r="G621" s="477">
        <v>82869962.247617632</v>
      </c>
      <c r="H621" s="458">
        <v>0.27886267604096204</v>
      </c>
      <c r="I621" s="468">
        <v>8.2566164763861227</v>
      </c>
    </row>
    <row r="622" spans="1:9" ht="16.5" x14ac:dyDescent="0.3">
      <c r="A622" s="477">
        <v>5394405.8571809102</v>
      </c>
      <c r="B622" s="458">
        <v>7.6821078012611288E-2</v>
      </c>
      <c r="C622" s="477">
        <v>14842943.847453715</v>
      </c>
      <c r="D622" s="458">
        <v>8.2251205218787593E-2</v>
      </c>
      <c r="E622" s="477">
        <v>19156569.842067268</v>
      </c>
      <c r="F622" s="458">
        <v>9.9629064366715703E-2</v>
      </c>
      <c r="G622" s="477">
        <v>92747932.997231886</v>
      </c>
      <c r="H622" s="458">
        <v>0.30109254605379188</v>
      </c>
      <c r="I622" s="468">
        <v>9.6761591242587883</v>
      </c>
    </row>
    <row r="623" spans="1:9" ht="16.5" x14ac:dyDescent="0.3">
      <c r="A623" s="477">
        <v>6375283.3096813373</v>
      </c>
      <c r="B623" s="458">
        <v>5.5721038346132401E-2</v>
      </c>
      <c r="C623" s="477">
        <v>6932747.8804348344</v>
      </c>
      <c r="D623" s="458">
        <v>7.1115203504387381E-2</v>
      </c>
      <c r="E623" s="477">
        <v>9082339.3087689616</v>
      </c>
      <c r="F623" s="458">
        <v>9.0929846348916987E-2</v>
      </c>
      <c r="G623" s="477">
        <v>84294678.824823782</v>
      </c>
      <c r="H623" s="458">
        <v>0.27790739386151153</v>
      </c>
      <c r="I623" s="468">
        <v>5.4203196008653531</v>
      </c>
    </row>
    <row r="624" spans="1:9" ht="16.5" x14ac:dyDescent="0.3">
      <c r="A624" s="477">
        <v>2366348.6021408015</v>
      </c>
      <c r="B624" s="458">
        <v>3.4363363330541574E-2</v>
      </c>
      <c r="C624" s="477">
        <v>9423189.6316205189</v>
      </c>
      <c r="D624" s="458">
        <v>5.9486432286254498E-2</v>
      </c>
      <c r="E624" s="477">
        <v>17026662.008690044</v>
      </c>
      <c r="F624" s="458">
        <v>9.4210128551987848E-2</v>
      </c>
      <c r="G624" s="477">
        <v>99714030.814685434</v>
      </c>
      <c r="H624" s="458">
        <v>0.26493737265403694</v>
      </c>
      <c r="I624" s="468">
        <v>15.597738461323956</v>
      </c>
    </row>
    <row r="625" spans="1:9" ht="16.5" x14ac:dyDescent="0.3">
      <c r="A625" s="477">
        <v>5820787.7535163863</v>
      </c>
      <c r="B625" s="458">
        <v>4.5526474881966816E-2</v>
      </c>
      <c r="C625" s="477">
        <v>11404751.882504936</v>
      </c>
      <c r="D625" s="458">
        <v>6.1670763954912111E-2</v>
      </c>
      <c r="E625" s="477">
        <v>15406902.429819021</v>
      </c>
      <c r="F625" s="458">
        <v>0.10557535905875337</v>
      </c>
      <c r="G625" s="477">
        <v>93417837.401845545</v>
      </c>
      <c r="H625" s="458">
        <v>0.2728002530017255</v>
      </c>
      <c r="I625" s="468">
        <v>11.335383566070648</v>
      </c>
    </row>
    <row r="626" spans="1:9" ht="16.5" x14ac:dyDescent="0.3">
      <c r="A626" s="477">
        <v>3260344.7733826954</v>
      </c>
      <c r="B626" s="458">
        <v>3.7124796697911355E-2</v>
      </c>
      <c r="C626" s="477">
        <v>11470908.497133773</v>
      </c>
      <c r="D626" s="458">
        <v>6.8946924803325649E-2</v>
      </c>
      <c r="E626" s="477">
        <v>10756539.673985647</v>
      </c>
      <c r="F626" s="458">
        <v>9.0260701104714292E-2</v>
      </c>
      <c r="G626" s="477">
        <v>94821867.933193266</v>
      </c>
      <c r="H626" s="458">
        <v>0.27285427300720477</v>
      </c>
      <c r="I626" s="468">
        <v>10.613757551623383</v>
      </c>
    </row>
    <row r="627" spans="1:9" ht="16.5" x14ac:dyDescent="0.3">
      <c r="A627" s="477">
        <v>3315594.6738610482</v>
      </c>
      <c r="B627" s="458">
        <v>7.3152809164525268E-2</v>
      </c>
      <c r="C627" s="477">
        <v>11397348.000889309</v>
      </c>
      <c r="D627" s="458">
        <v>4.1785538134616607E-2</v>
      </c>
      <c r="E627" s="477">
        <v>23992182.808419097</v>
      </c>
      <c r="F627" s="458">
        <v>0.15259127438094455</v>
      </c>
      <c r="G627" s="477">
        <v>66037074.419986054</v>
      </c>
      <c r="H627" s="458">
        <v>0.26250205148620709</v>
      </c>
      <c r="I627" s="468">
        <v>4.0629465153845912</v>
      </c>
    </row>
    <row r="628" spans="1:9" ht="16.5" x14ac:dyDescent="0.3">
      <c r="A628" s="477">
        <v>11024709.876104081</v>
      </c>
      <c r="B628" s="458">
        <v>4.0329556530225963E-2</v>
      </c>
      <c r="C628" s="477">
        <v>9181070.1589433793</v>
      </c>
      <c r="D628" s="458">
        <v>8.6061527225305356E-2</v>
      </c>
      <c r="E628" s="477">
        <v>24552556.751313545</v>
      </c>
      <c r="F628" s="458">
        <v>0.10931183020225155</v>
      </c>
      <c r="G628" s="477">
        <v>90489819.356502369</v>
      </c>
      <c r="H628" s="458">
        <v>0.2683517168734102</v>
      </c>
      <c r="I628" s="468">
        <v>11.07166138520722</v>
      </c>
    </row>
    <row r="629" spans="1:9" ht="16.5" x14ac:dyDescent="0.3">
      <c r="A629" s="477">
        <v>8954200.325577965</v>
      </c>
      <c r="B629" s="458">
        <v>6.0439645679112086E-2</v>
      </c>
      <c r="C629" s="477">
        <v>1923344.471612582</v>
      </c>
      <c r="D629" s="458">
        <v>7.2079380416873784E-2</v>
      </c>
      <c r="E629" s="477">
        <v>18857803.662620131</v>
      </c>
      <c r="F629" s="458">
        <v>0.12428047992281166</v>
      </c>
      <c r="G629" s="477">
        <v>80001375.342322156</v>
      </c>
      <c r="H629" s="458">
        <v>0.26281301441154348</v>
      </c>
      <c r="I629" s="468">
        <v>7.0967129469644679</v>
      </c>
    </row>
    <row r="630" spans="1:9" ht="16.5" x14ac:dyDescent="0.3">
      <c r="A630" s="477">
        <v>4168828.9101518006</v>
      </c>
      <c r="B630" s="458">
        <v>3.6806489347879889E-2</v>
      </c>
      <c r="C630" s="477">
        <v>7299861.7861389453</v>
      </c>
      <c r="D630" s="458">
        <v>7.1554439736970954E-2</v>
      </c>
      <c r="E630" s="477">
        <v>22316778.424838476</v>
      </c>
      <c r="F630" s="458">
        <v>0.11242498495939324</v>
      </c>
      <c r="G630" s="477">
        <v>76637025.672176152</v>
      </c>
      <c r="H630" s="458">
        <v>0.2698890976128363</v>
      </c>
      <c r="I630" s="468">
        <v>10.235142279404688</v>
      </c>
    </row>
    <row r="631" spans="1:9" ht="16.5" x14ac:dyDescent="0.3">
      <c r="A631" s="477">
        <v>6719259.5912253568</v>
      </c>
      <c r="B631" s="458">
        <v>5.263911847017444E-2</v>
      </c>
      <c r="C631" s="477">
        <v>3012525.390740355</v>
      </c>
      <c r="D631" s="458">
        <v>5.5491756443761364E-2</v>
      </c>
      <c r="E631" s="477">
        <v>15531949.646354087</v>
      </c>
      <c r="F631" s="458">
        <v>8.4645522639227755E-2</v>
      </c>
      <c r="G631" s="477">
        <v>104499513.57739022</v>
      </c>
      <c r="H631" s="458">
        <v>0.27928361932702073</v>
      </c>
      <c r="I631" s="468">
        <v>14.969688961644589</v>
      </c>
    </row>
    <row r="632" spans="1:9" ht="16.5" x14ac:dyDescent="0.3">
      <c r="A632" s="477">
        <v>7227771.8232057067</v>
      </c>
      <c r="B632" s="458">
        <v>4.4799488894481376E-2</v>
      </c>
      <c r="C632" s="477">
        <v>12643702.568402156</v>
      </c>
      <c r="D632" s="458">
        <v>5.1257007099678731E-2</v>
      </c>
      <c r="E632" s="477">
        <v>17549426.038434591</v>
      </c>
      <c r="F632" s="458">
        <v>0.11457781977366421</v>
      </c>
      <c r="G632" s="477">
        <v>91836131.410199299</v>
      </c>
      <c r="H632" s="458">
        <v>0.25595817928679931</v>
      </c>
      <c r="I632" s="468">
        <v>6.4219639960947887</v>
      </c>
    </row>
    <row r="633" spans="1:9" ht="16.5" x14ac:dyDescent="0.3">
      <c r="A633" s="477">
        <v>3377264.2867542622</v>
      </c>
      <c r="B633" s="458">
        <v>3.3162645102501775E-2</v>
      </c>
      <c r="C633" s="477">
        <v>18262131.037052475</v>
      </c>
      <c r="D633" s="458">
        <v>5.8152928686517447E-2</v>
      </c>
      <c r="E633" s="477">
        <v>18960653.750345659</v>
      </c>
      <c r="F633" s="458">
        <v>0.1158685380014508</v>
      </c>
      <c r="G633" s="477">
        <v>97098341.441159233</v>
      </c>
      <c r="H633" s="458">
        <v>0.25510569525797355</v>
      </c>
      <c r="I633" s="468">
        <v>8.4863539766508413</v>
      </c>
    </row>
    <row r="634" spans="1:9" ht="16.5" x14ac:dyDescent="0.3">
      <c r="A634" s="477">
        <v>4596233.9638607679</v>
      </c>
      <c r="B634" s="458">
        <v>5.9521495387417911E-2</v>
      </c>
      <c r="C634" s="477">
        <v>11721935.134528384</v>
      </c>
      <c r="D634" s="458">
        <v>6.0552351177136865E-2</v>
      </c>
      <c r="E634" s="477">
        <v>9898922.0188133065</v>
      </c>
      <c r="F634" s="458">
        <v>6.2386871503303798E-2</v>
      </c>
      <c r="G634" s="477">
        <v>78459107.864705741</v>
      </c>
      <c r="H634" s="458">
        <v>0.26033604871969596</v>
      </c>
      <c r="I634" s="468">
        <v>4.7027017088983811</v>
      </c>
    </row>
    <row r="635" spans="1:9" ht="16.5" x14ac:dyDescent="0.3">
      <c r="A635" s="477">
        <v>3416186.130977775</v>
      </c>
      <c r="B635" s="458">
        <v>4.9045423921580289E-2</v>
      </c>
      <c r="C635" s="477">
        <v>11123484.758712929</v>
      </c>
      <c r="D635" s="458">
        <v>5.8513994484606258E-2</v>
      </c>
      <c r="E635" s="477">
        <v>13200716.268875729</v>
      </c>
      <c r="F635" s="458">
        <v>0.13375186321564514</v>
      </c>
      <c r="G635" s="477">
        <v>94695455.869395345</v>
      </c>
      <c r="H635" s="458">
        <v>0.29544777752867701</v>
      </c>
      <c r="I635" s="468">
        <v>6.5496951791483671</v>
      </c>
    </row>
    <row r="636" spans="1:9" ht="16.5" x14ac:dyDescent="0.3">
      <c r="A636" s="477">
        <v>36932.112923400142</v>
      </c>
      <c r="B636" s="458">
        <v>6.0585707699197577E-2</v>
      </c>
      <c r="C636" s="477">
        <v>9641186.6756209359</v>
      </c>
      <c r="D636" s="458">
        <v>7.2601819518880895E-2</v>
      </c>
      <c r="E636" s="477">
        <v>12548713.951674446</v>
      </c>
      <c r="F636" s="458">
        <v>0.12502029773518819</v>
      </c>
      <c r="G636" s="477">
        <v>70155065.218625784</v>
      </c>
      <c r="H636" s="458">
        <v>0.26345373483699963</v>
      </c>
      <c r="I636" s="468">
        <v>6.4103025059136076</v>
      </c>
    </row>
    <row r="637" spans="1:9" ht="16.5" x14ac:dyDescent="0.3">
      <c r="A637" s="477">
        <v>5512068.0206061024</v>
      </c>
      <c r="B637" s="458">
        <v>3.7061411963645652E-2</v>
      </c>
      <c r="C637" s="477">
        <v>8950906.9684232157</v>
      </c>
      <c r="D637" s="458">
        <v>3.6235193630502982E-2</v>
      </c>
      <c r="E637" s="477">
        <v>11943991.712889774</v>
      </c>
      <c r="F637" s="458">
        <v>8.87825781233893E-2</v>
      </c>
      <c r="G637" s="477">
        <v>94522196.218937173</v>
      </c>
      <c r="H637" s="458">
        <v>0.26262960025669657</v>
      </c>
      <c r="I637" s="468">
        <v>6.8692510583899207</v>
      </c>
    </row>
    <row r="638" spans="1:9" ht="16.5" x14ac:dyDescent="0.3">
      <c r="A638" s="477">
        <v>2378273.3851704006</v>
      </c>
      <c r="B638" s="458">
        <v>3.48201098698524E-2</v>
      </c>
      <c r="C638" s="477">
        <v>14021207.474183101</v>
      </c>
      <c r="D638" s="458">
        <v>8.0899806737236402E-2</v>
      </c>
      <c r="E638" s="477">
        <v>19886218.508621413</v>
      </c>
      <c r="F638" s="458">
        <v>9.7101534156768254E-2</v>
      </c>
      <c r="G638" s="477">
        <v>87923277.701494515</v>
      </c>
      <c r="H638" s="458">
        <v>0.28023442715140257</v>
      </c>
      <c r="I638" s="468">
        <v>7.1561177585287581</v>
      </c>
    </row>
    <row r="639" spans="1:9" ht="16.5" x14ac:dyDescent="0.3">
      <c r="A639" s="477">
        <v>9419908.9224667996</v>
      </c>
      <c r="B639" s="458">
        <v>6.2286936509380331E-2</v>
      </c>
      <c r="C639" s="477">
        <v>4841003.5132799326</v>
      </c>
      <c r="D639" s="458">
        <v>5.989599954037983E-2</v>
      </c>
      <c r="E639" s="477">
        <v>13909508.695744185</v>
      </c>
      <c r="F639" s="458">
        <v>8.9549150810632083E-2</v>
      </c>
      <c r="G639" s="477">
        <v>89325289.3764036</v>
      </c>
      <c r="H639" s="458">
        <v>0.25772286025039959</v>
      </c>
      <c r="I639" s="468">
        <v>7.3349137613958479</v>
      </c>
    </row>
    <row r="640" spans="1:9" ht="16.5" x14ac:dyDescent="0.3">
      <c r="A640" s="477">
        <v>4132629.3584966748</v>
      </c>
      <c r="B640" s="458">
        <v>5.7190946781175978E-2</v>
      </c>
      <c r="C640" s="477">
        <v>8474191.1715590414</v>
      </c>
      <c r="D640" s="458">
        <v>5.5917732286929978E-2</v>
      </c>
      <c r="E640" s="477">
        <v>17624772.258950125</v>
      </c>
      <c r="F640" s="458">
        <v>7.0589192275090529E-2</v>
      </c>
      <c r="G640" s="477">
        <v>83470607.860770822</v>
      </c>
      <c r="H640" s="458">
        <v>0.28115371003415124</v>
      </c>
      <c r="I640" s="468">
        <v>9.9127493978807486</v>
      </c>
    </row>
    <row r="641" spans="1:9" ht="16.5" x14ac:dyDescent="0.3">
      <c r="A641" s="477">
        <v>9044110.0163895581</v>
      </c>
      <c r="B641" s="458">
        <v>1.6808600967053389E-2</v>
      </c>
      <c r="C641" s="477">
        <v>17399855.953979377</v>
      </c>
      <c r="D641" s="458">
        <v>5.6954842696201435E-2</v>
      </c>
      <c r="E641" s="477">
        <v>20475603.364577897</v>
      </c>
      <c r="F641" s="458">
        <v>0.11033461663580213</v>
      </c>
      <c r="G641" s="477">
        <v>88599050.191609949</v>
      </c>
      <c r="H641" s="458">
        <v>0.27194434133707124</v>
      </c>
      <c r="I641" s="468">
        <v>12.651709384444185</v>
      </c>
    </row>
    <row r="642" spans="1:9" ht="16.5" x14ac:dyDescent="0.3">
      <c r="A642" s="477">
        <v>2263533.9142144974</v>
      </c>
      <c r="B642" s="458">
        <v>4.3682001568965623E-2</v>
      </c>
      <c r="C642" s="477">
        <v>9254103.7602700219</v>
      </c>
      <c r="D642" s="458">
        <v>5.9635964995421453E-2</v>
      </c>
      <c r="E642" s="477">
        <v>23481875.229044862</v>
      </c>
      <c r="F642" s="458">
        <v>8.8710600169344955E-2</v>
      </c>
      <c r="G642" s="477">
        <v>92433994.373704925</v>
      </c>
      <c r="H642" s="458">
        <v>0.25508175773456898</v>
      </c>
      <c r="I642" s="468">
        <v>17.842394152290812</v>
      </c>
    </row>
    <row r="643" spans="1:9" ht="16.5" x14ac:dyDescent="0.3">
      <c r="A643" s="477">
        <v>2573999.5011226861</v>
      </c>
      <c r="B643" s="458">
        <v>2.6153818482696378E-2</v>
      </c>
      <c r="C643" s="477">
        <v>9638211.887055479</v>
      </c>
      <c r="D643" s="458">
        <v>3.9567142099108832E-2</v>
      </c>
      <c r="E643" s="477">
        <v>20651798.209214214</v>
      </c>
      <c r="F643" s="458">
        <v>0.1184723599840467</v>
      </c>
      <c r="G643" s="477">
        <v>78054933.052195206</v>
      </c>
      <c r="H643" s="458">
        <v>0.28275373351777788</v>
      </c>
      <c r="I643" s="468">
        <v>14.570033865721497</v>
      </c>
    </row>
    <row r="644" spans="1:9" ht="16.5" x14ac:dyDescent="0.3">
      <c r="A644" s="477">
        <v>1522803.111910664</v>
      </c>
      <c r="B644" s="458">
        <v>3.9319273901424978E-2</v>
      </c>
      <c r="C644" s="477">
        <v>7980087.786848519</v>
      </c>
      <c r="D644" s="458">
        <v>5.7153899860426849E-2</v>
      </c>
      <c r="E644" s="477">
        <v>15419297.318228291</v>
      </c>
      <c r="F644" s="458">
        <v>0.10301163038171279</v>
      </c>
      <c r="G644" s="477">
        <v>84547453.838070273</v>
      </c>
      <c r="H644" s="458">
        <v>0.26101044303556376</v>
      </c>
      <c r="I644" s="468">
        <v>3.9974919089171763</v>
      </c>
    </row>
    <row r="645" spans="1:9" ht="16.5" x14ac:dyDescent="0.3">
      <c r="A645" s="477">
        <v>3156776.6961195259</v>
      </c>
      <c r="B645" s="458">
        <v>3.0015075136397895E-2</v>
      </c>
      <c r="C645" s="477">
        <v>10988752.458950991</v>
      </c>
      <c r="D645" s="458">
        <v>5.1771977000023783E-2</v>
      </c>
      <c r="E645" s="477">
        <v>11941522.16106116</v>
      </c>
      <c r="F645" s="458">
        <v>9.5828631268839226E-2</v>
      </c>
      <c r="G645" s="477">
        <v>84552200.160387382</v>
      </c>
      <c r="H645" s="458">
        <v>0.28766859607766171</v>
      </c>
      <c r="I645" s="468">
        <v>11.230081665125605</v>
      </c>
    </row>
    <row r="646" spans="1:9" ht="16.5" x14ac:dyDescent="0.3">
      <c r="A646" s="477">
        <v>2023468.4311274395</v>
      </c>
      <c r="B646" s="458">
        <v>6.4832297216588008E-2</v>
      </c>
      <c r="C646" s="477">
        <v>12749291.981991077</v>
      </c>
      <c r="D646" s="458">
        <v>4.0178134977219671E-2</v>
      </c>
      <c r="E646" s="477">
        <v>12655683.064067233</v>
      </c>
      <c r="F646" s="458">
        <v>9.0586029021750392E-2</v>
      </c>
      <c r="G646" s="477">
        <v>82887661.062627658</v>
      </c>
      <c r="H646" s="458">
        <v>0.26160851866377666</v>
      </c>
      <c r="I646" s="468">
        <v>14.174815099603514</v>
      </c>
    </row>
    <row r="647" spans="1:9" ht="16.5" x14ac:dyDescent="0.3">
      <c r="A647" s="477">
        <v>11263440.604267566</v>
      </c>
      <c r="B647" s="458">
        <v>4.9469715457037378E-2</v>
      </c>
      <c r="C647" s="477">
        <v>9040253.8686684128</v>
      </c>
      <c r="D647" s="458">
        <v>5.3282278630289781E-2</v>
      </c>
      <c r="E647" s="477">
        <v>18367253.248605333</v>
      </c>
      <c r="F647" s="458">
        <v>0.13630167456124065</v>
      </c>
      <c r="G647" s="477">
        <v>84688882.597395495</v>
      </c>
      <c r="H647" s="458">
        <v>0.26919573314166234</v>
      </c>
      <c r="I647" s="468">
        <v>11.370826473291135</v>
      </c>
    </row>
    <row r="648" spans="1:9" ht="16.5" x14ac:dyDescent="0.3">
      <c r="A648" s="477">
        <v>9201151.5036307611</v>
      </c>
      <c r="B648" s="458">
        <v>2.8724948191267918E-2</v>
      </c>
      <c r="C648" s="477">
        <v>10337608.120183418</v>
      </c>
      <c r="D648" s="458">
        <v>9.3242766865157423E-2</v>
      </c>
      <c r="E648" s="477">
        <v>12518385.151290849</v>
      </c>
      <c r="F648" s="458">
        <v>0.10559228642004093</v>
      </c>
      <c r="G648" s="477">
        <v>80952841.404883593</v>
      </c>
      <c r="H648" s="458">
        <v>0.26750941071876588</v>
      </c>
      <c r="I648" s="468">
        <v>3.9466530667065589</v>
      </c>
    </row>
    <row r="649" spans="1:9" ht="16.5" x14ac:dyDescent="0.3">
      <c r="A649" s="477">
        <v>7814304.0325392177</v>
      </c>
      <c r="B649" s="458">
        <v>3.8442631851772768E-2</v>
      </c>
      <c r="C649" s="477">
        <v>6548181.4536654204</v>
      </c>
      <c r="D649" s="458">
        <v>4.4993045696757994E-2</v>
      </c>
      <c r="E649" s="477">
        <v>13189191.662712298</v>
      </c>
      <c r="F649" s="458">
        <v>9.713534971072102E-2</v>
      </c>
      <c r="G649" s="477">
        <v>73963873.821025804</v>
      </c>
      <c r="H649" s="458">
        <v>0.25279470075697108</v>
      </c>
      <c r="I649" s="468">
        <v>8.0599182972929935</v>
      </c>
    </row>
    <row r="650" spans="1:9" ht="16.5" x14ac:dyDescent="0.3">
      <c r="A650" s="477">
        <v>3510448.5153379967</v>
      </c>
      <c r="B650" s="458">
        <v>6.892831419063028E-2</v>
      </c>
      <c r="C650" s="477">
        <v>10930855.763892967</v>
      </c>
      <c r="D650" s="458">
        <v>3.7503314990352532E-2</v>
      </c>
      <c r="E650" s="477">
        <v>5522122.9116796348</v>
      </c>
      <c r="F650" s="458">
        <v>0.20066331565597473</v>
      </c>
      <c r="G650" s="477">
        <v>96987848.775719598</v>
      </c>
      <c r="H650" s="458">
        <v>0.27850161072453106</v>
      </c>
      <c r="I650" s="468">
        <v>3.7939284244480138</v>
      </c>
    </row>
    <row r="651" spans="1:9" ht="16.5" x14ac:dyDescent="0.3">
      <c r="A651" s="477">
        <v>8988869.1016639397</v>
      </c>
      <c r="B651" s="458">
        <v>4.9401574487180522E-2</v>
      </c>
      <c r="C651" s="477">
        <v>10811209.324653376</v>
      </c>
      <c r="D651" s="458">
        <v>7.4970421414481736E-2</v>
      </c>
      <c r="E651" s="477">
        <v>20847717.217340421</v>
      </c>
      <c r="F651" s="458">
        <v>0.13060822803311156</v>
      </c>
      <c r="G651" s="477">
        <v>96254518.212410673</v>
      </c>
      <c r="H651" s="458">
        <v>0.26776240917163152</v>
      </c>
      <c r="I651" s="468">
        <v>9.9045063133060633</v>
      </c>
    </row>
    <row r="652" spans="1:9" ht="16.5" x14ac:dyDescent="0.3">
      <c r="A652" s="477">
        <v>3828944.6948073427</v>
      </c>
      <c r="B652" s="458">
        <v>2.3823680419742699E-2</v>
      </c>
      <c r="C652" s="477">
        <v>9455829.0113639534</v>
      </c>
      <c r="D652" s="458">
        <v>0.10599413654741219</v>
      </c>
      <c r="E652" s="477">
        <v>20368118.153322306</v>
      </c>
      <c r="F652" s="458">
        <v>0.10114880802075921</v>
      </c>
      <c r="G652" s="477">
        <v>87235122.795648694</v>
      </c>
      <c r="H652" s="458">
        <v>0.3036707636650402</v>
      </c>
      <c r="I652" s="468">
        <v>15.348391028819718</v>
      </c>
    </row>
    <row r="653" spans="1:9" ht="16.5" x14ac:dyDescent="0.3">
      <c r="A653" s="477">
        <v>3093355.6545986664</v>
      </c>
      <c r="B653" s="458">
        <v>3.5046072582946675E-2</v>
      </c>
      <c r="C653" s="477">
        <v>7988978.2987791374</v>
      </c>
      <c r="D653" s="458">
        <v>8.583209769240252E-2</v>
      </c>
      <c r="E653" s="477">
        <v>12936837.98206115</v>
      </c>
      <c r="F653" s="458">
        <v>9.9876082465945037E-2</v>
      </c>
      <c r="G653" s="477">
        <v>74184311.472495854</v>
      </c>
      <c r="H653" s="458">
        <v>0.26618737352273603</v>
      </c>
      <c r="I653" s="468">
        <v>3.1738214735172852</v>
      </c>
    </row>
    <row r="654" spans="1:9" ht="16.5" x14ac:dyDescent="0.3">
      <c r="A654" s="477">
        <v>3790475.7134094378</v>
      </c>
      <c r="B654" s="458">
        <v>0.12854031875579564</v>
      </c>
      <c r="C654" s="477">
        <v>15508677.538334372</v>
      </c>
      <c r="D654" s="458">
        <v>6.7602175119516827E-2</v>
      </c>
      <c r="E654" s="477">
        <v>14403085.85814127</v>
      </c>
      <c r="F654" s="458">
        <v>0.11437946084266448</v>
      </c>
      <c r="G654" s="477">
        <v>94525965.003316909</v>
      </c>
      <c r="H654" s="458">
        <v>0.25851292393357483</v>
      </c>
      <c r="I654" s="468">
        <v>8.5998346348060775</v>
      </c>
    </row>
    <row r="655" spans="1:9" ht="16.5" x14ac:dyDescent="0.3">
      <c r="A655" s="477">
        <v>2670110.7845192347</v>
      </c>
      <c r="B655" s="458">
        <v>3.762092858595123E-2</v>
      </c>
      <c r="C655" s="477">
        <v>12425439.763945647</v>
      </c>
      <c r="D655" s="458">
        <v>8.2313368158718037E-2</v>
      </c>
      <c r="E655" s="477">
        <v>21868797.78801078</v>
      </c>
      <c r="F655" s="458">
        <v>0.10524580391074112</v>
      </c>
      <c r="G655" s="477">
        <v>85875753.0639081</v>
      </c>
      <c r="H655" s="458">
        <v>0.31794222492093205</v>
      </c>
      <c r="I655" s="468">
        <v>1.2115977506629658</v>
      </c>
    </row>
    <row r="656" spans="1:9" ht="16.5" x14ac:dyDescent="0.3">
      <c r="A656" s="477">
        <v>3641150.9521113094</v>
      </c>
      <c r="B656" s="458">
        <v>4.5342670246543371E-2</v>
      </c>
      <c r="C656" s="477">
        <v>13087321.523968242</v>
      </c>
      <c r="D656" s="458">
        <v>5.4097519274153294E-2</v>
      </c>
      <c r="E656" s="477">
        <v>16705846.39879469</v>
      </c>
      <c r="F656" s="458">
        <v>0.10090902608398733</v>
      </c>
      <c r="G656" s="477">
        <v>82672476.566134572</v>
      </c>
      <c r="H656" s="458">
        <v>0.28910075199561724</v>
      </c>
      <c r="I656" s="468">
        <v>10.56977176762992</v>
      </c>
    </row>
    <row r="657" spans="1:9" ht="16.5" x14ac:dyDescent="0.3">
      <c r="A657" s="477">
        <v>1762400.4539609675</v>
      </c>
      <c r="B657" s="458">
        <v>4.960761757807397E-2</v>
      </c>
      <c r="C657" s="477">
        <v>7562848.1105969315</v>
      </c>
      <c r="D657" s="458">
        <v>7.0399691886291471E-2</v>
      </c>
      <c r="E657" s="477">
        <v>18185685.15035861</v>
      </c>
      <c r="F657" s="458">
        <v>0.1217801224626065</v>
      </c>
      <c r="G657" s="477">
        <v>107200348.31526433</v>
      </c>
      <c r="H657" s="458">
        <v>0.26306504425762034</v>
      </c>
      <c r="I657" s="468">
        <v>4.0417938754716394</v>
      </c>
    </row>
    <row r="658" spans="1:9" ht="16.5" x14ac:dyDescent="0.3">
      <c r="A658" s="477">
        <v>1411654.4507399357</v>
      </c>
      <c r="B658" s="458">
        <v>2.9185168880738521E-2</v>
      </c>
      <c r="C658" s="477">
        <v>-606501.54608132865</v>
      </c>
      <c r="D658" s="458">
        <v>6.0543417162171265E-2</v>
      </c>
      <c r="E658" s="477">
        <v>23703943.521961939</v>
      </c>
      <c r="F658" s="458">
        <v>0.13193421464949728</v>
      </c>
      <c r="G658" s="477">
        <v>81366294.716406628</v>
      </c>
      <c r="H658" s="458">
        <v>0.25978489495723256</v>
      </c>
      <c r="I658" s="468">
        <v>11.20162941970198</v>
      </c>
    </row>
    <row r="659" spans="1:9" ht="16.5" x14ac:dyDescent="0.3">
      <c r="A659" s="477">
        <v>4539188.1774592102</v>
      </c>
      <c r="B659" s="458">
        <v>5.2763162211449721E-2</v>
      </c>
      <c r="C659" s="477">
        <v>5376060.3751183795</v>
      </c>
      <c r="D659" s="458">
        <v>4.145529565041306E-2</v>
      </c>
      <c r="E659" s="477">
        <v>26245117.915515404</v>
      </c>
      <c r="F659" s="458">
        <v>0.1309768426243243</v>
      </c>
      <c r="G659" s="477">
        <v>93155871.782979995</v>
      </c>
      <c r="H659" s="458">
        <v>0.26366847734101939</v>
      </c>
      <c r="I659" s="468">
        <v>9.5954659609557833</v>
      </c>
    </row>
    <row r="660" spans="1:9" ht="16.5" x14ac:dyDescent="0.3">
      <c r="A660" s="477">
        <v>7126784.4904471561</v>
      </c>
      <c r="B660" s="458">
        <v>5.7375424344119796E-2</v>
      </c>
      <c r="C660" s="477">
        <v>5782254.8233441021</v>
      </c>
      <c r="D660" s="458">
        <v>7.6179881894774981E-2</v>
      </c>
      <c r="E660" s="477">
        <v>15413686.375785613</v>
      </c>
      <c r="F660" s="458">
        <v>0.11659165859239273</v>
      </c>
      <c r="G660" s="477">
        <v>82401077.343444601</v>
      </c>
      <c r="H660" s="458">
        <v>0.2869653303419768</v>
      </c>
      <c r="I660" s="468">
        <v>15.429092471684136</v>
      </c>
    </row>
    <row r="661" spans="1:9" ht="16.5" x14ac:dyDescent="0.3">
      <c r="A661" s="477">
        <v>4626977.4610618809</v>
      </c>
      <c r="B661" s="458">
        <v>4.3269895680605686E-2</v>
      </c>
      <c r="C661" s="477">
        <v>7601523.1733472785</v>
      </c>
      <c r="D661" s="458">
        <v>6.0105223388258411E-2</v>
      </c>
      <c r="E661" s="477">
        <v>21208243.169061553</v>
      </c>
      <c r="F661" s="458">
        <v>0.12820833023667122</v>
      </c>
      <c r="G661" s="477">
        <v>88456215.333841547</v>
      </c>
      <c r="H661" s="458">
        <v>0.2637594390660245</v>
      </c>
      <c r="I661" s="468">
        <v>8.7290125534832548</v>
      </c>
    </row>
    <row r="662" spans="1:9" ht="16.5" x14ac:dyDescent="0.3">
      <c r="A662" s="477">
        <v>5743193.9702168675</v>
      </c>
      <c r="B662" s="458">
        <v>3.390573147029996E-2</v>
      </c>
      <c r="C662" s="477">
        <v>9723936.2370562553</v>
      </c>
      <c r="D662" s="458">
        <v>7.9055138995424601E-2</v>
      </c>
      <c r="E662" s="477">
        <v>23185629.445678931</v>
      </c>
      <c r="F662" s="458">
        <v>0.10550633625733163</v>
      </c>
      <c r="G662" s="477">
        <v>83499427.749610454</v>
      </c>
      <c r="H662" s="458">
        <v>0.27555715129184266</v>
      </c>
      <c r="I662" s="468">
        <v>7.4740976798778673</v>
      </c>
    </row>
    <row r="663" spans="1:9" ht="16.5" x14ac:dyDescent="0.3">
      <c r="A663" s="477">
        <v>871163.12811800663</v>
      </c>
      <c r="B663" s="458">
        <v>5.1939810904766182E-2</v>
      </c>
      <c r="C663" s="477">
        <v>4220275.5983614465</v>
      </c>
      <c r="D663" s="458">
        <v>6.2127643158140788E-2</v>
      </c>
      <c r="E663" s="477">
        <v>24359315.690567367</v>
      </c>
      <c r="F663" s="458">
        <v>0.12155381657916053</v>
      </c>
      <c r="G663" s="477">
        <v>90721854.012719929</v>
      </c>
      <c r="H663" s="458">
        <v>0.28557694682555601</v>
      </c>
      <c r="I663" s="468">
        <v>18.011079427779634</v>
      </c>
    </row>
    <row r="664" spans="1:9" ht="16.5" x14ac:dyDescent="0.3">
      <c r="A664" s="477">
        <v>6238703.3261405667</v>
      </c>
      <c r="B664" s="458">
        <v>6.8967206549070958E-3</v>
      </c>
      <c r="C664" s="477">
        <v>4671152.5300072506</v>
      </c>
      <c r="D664" s="458">
        <v>6.7769509777801495E-2</v>
      </c>
      <c r="E664" s="477">
        <v>15806703.543316616</v>
      </c>
      <c r="F664" s="458">
        <v>0.1200408225318208</v>
      </c>
      <c r="G664" s="477">
        <v>83244976.66868332</v>
      </c>
      <c r="H664" s="458">
        <v>0.27306245765223913</v>
      </c>
      <c r="I664" s="468">
        <v>9.8946524530604645</v>
      </c>
    </row>
    <row r="665" spans="1:9" ht="16.5" x14ac:dyDescent="0.3">
      <c r="A665" s="477">
        <v>5587294.8049763879</v>
      </c>
      <c r="B665" s="458">
        <v>8.6833178316430448E-2</v>
      </c>
      <c r="C665" s="477">
        <v>6262661.7648198819</v>
      </c>
      <c r="D665" s="458">
        <v>6.4280131031559495E-2</v>
      </c>
      <c r="E665" s="477">
        <v>12041890.732637715</v>
      </c>
      <c r="F665" s="458">
        <v>9.9660791334451604E-2</v>
      </c>
      <c r="G665" s="477">
        <v>83507230.842427462</v>
      </c>
      <c r="H665" s="458">
        <v>0.27562936334877697</v>
      </c>
      <c r="I665" s="468">
        <v>9.8099924600831798</v>
      </c>
    </row>
    <row r="666" spans="1:9" ht="16.5" x14ac:dyDescent="0.3">
      <c r="A666" s="477">
        <v>5539742.8906901591</v>
      </c>
      <c r="B666" s="458">
        <v>2.6201874399239822E-2</v>
      </c>
      <c r="C666" s="477">
        <v>8075936.375496381</v>
      </c>
      <c r="D666" s="458">
        <v>8.3428339205758206E-2</v>
      </c>
      <c r="E666" s="477">
        <v>17179883.637558229</v>
      </c>
      <c r="F666" s="458">
        <v>0.11901564125795239</v>
      </c>
      <c r="G666" s="477">
        <v>80132191.40458931</v>
      </c>
      <c r="H666" s="458">
        <v>0.26799211308436544</v>
      </c>
      <c r="I666" s="468">
        <v>9.3432408430672105</v>
      </c>
    </row>
    <row r="667" spans="1:9" ht="16.5" x14ac:dyDescent="0.3">
      <c r="A667" s="477">
        <v>2070336.8788671144</v>
      </c>
      <c r="B667" s="458">
        <v>4.9848438816691321E-2</v>
      </c>
      <c r="C667" s="477">
        <v>7973753.7670609578</v>
      </c>
      <c r="D667" s="458">
        <v>0.12157793136464234</v>
      </c>
      <c r="E667" s="477">
        <v>17701794.333517723</v>
      </c>
      <c r="F667" s="458">
        <v>0.11520049517064312</v>
      </c>
      <c r="G667" s="477">
        <v>81846837.876642823</v>
      </c>
      <c r="H667" s="458">
        <v>0.26215460872644636</v>
      </c>
      <c r="I667" s="468">
        <v>3.4222908043666624</v>
      </c>
    </row>
    <row r="668" spans="1:9" ht="16.5" x14ac:dyDescent="0.3">
      <c r="A668" s="477">
        <v>9137460.5461564083</v>
      </c>
      <c r="B668" s="458">
        <v>2.7911440759582407E-2</v>
      </c>
      <c r="C668" s="477">
        <v>16762408.280412223</v>
      </c>
      <c r="D668" s="458">
        <v>6.808363044976895E-2</v>
      </c>
      <c r="E668" s="477">
        <v>14007421.779748479</v>
      </c>
      <c r="F668" s="458">
        <v>0.10921821380005636</v>
      </c>
      <c r="G668" s="477">
        <v>106851212.10894011</v>
      </c>
      <c r="H668" s="458">
        <v>0.28212576532344547</v>
      </c>
      <c r="I668" s="468">
        <v>5.7179536632977843</v>
      </c>
    </row>
    <row r="669" spans="1:9" ht="16.5" x14ac:dyDescent="0.3">
      <c r="A669" s="477">
        <v>5397241.822885925</v>
      </c>
      <c r="B669" s="458">
        <v>2.4539427235975131E-2</v>
      </c>
      <c r="C669" s="477">
        <v>7308348.7875630902</v>
      </c>
      <c r="D669" s="458">
        <v>6.8797284206065124E-2</v>
      </c>
      <c r="E669" s="477">
        <v>14031847.706923904</v>
      </c>
      <c r="F669" s="458">
        <v>0.11556824830835821</v>
      </c>
      <c r="G669" s="477">
        <v>90085945.111607939</v>
      </c>
      <c r="H669" s="458">
        <v>0.25812739947175434</v>
      </c>
      <c r="I669" s="468">
        <v>9.8072831322848018</v>
      </c>
    </row>
    <row r="670" spans="1:9" ht="16.5" x14ac:dyDescent="0.3">
      <c r="A670" s="477">
        <v>1134410.9722212702</v>
      </c>
      <c r="B670" s="458">
        <v>3.3029665634537242E-2</v>
      </c>
      <c r="C670" s="477">
        <v>6422223.32922146</v>
      </c>
      <c r="D670" s="458">
        <v>6.7320513916195868E-2</v>
      </c>
      <c r="E670" s="477">
        <v>11866280.405799508</v>
      </c>
      <c r="F670" s="458">
        <v>9.2800069407937391E-2</v>
      </c>
      <c r="G670" s="477">
        <v>96639951.250216395</v>
      </c>
      <c r="H670" s="458">
        <v>0.28043488562693453</v>
      </c>
      <c r="I670" s="468">
        <v>5.530716032974988</v>
      </c>
    </row>
    <row r="671" spans="1:9" ht="16.5" x14ac:dyDescent="0.3">
      <c r="A671" s="477">
        <v>5873619.810724807</v>
      </c>
      <c r="B671" s="458">
        <v>3.4299717178346789E-2</v>
      </c>
      <c r="C671" s="477">
        <v>5421373.3135816203</v>
      </c>
      <c r="D671" s="458">
        <v>5.8499167552735543E-2</v>
      </c>
      <c r="E671" s="477">
        <v>13021811.429131394</v>
      </c>
      <c r="F671" s="458">
        <v>9.1881636687103807E-2</v>
      </c>
      <c r="G671" s="477">
        <v>87387317.111741617</v>
      </c>
      <c r="H671" s="458">
        <v>0.28716136907072287</v>
      </c>
      <c r="I671" s="468">
        <v>7.915279251174189</v>
      </c>
    </row>
    <row r="672" spans="1:9" ht="16.5" x14ac:dyDescent="0.3">
      <c r="A672" s="477">
        <v>8707532.9872912951</v>
      </c>
      <c r="B672" s="458">
        <v>4.3167384487454274E-2</v>
      </c>
      <c r="C672" s="477">
        <v>9940689.0661676005</v>
      </c>
      <c r="D672" s="458">
        <v>9.5994581543686008E-2</v>
      </c>
      <c r="E672" s="477">
        <v>16143646.9403536</v>
      </c>
      <c r="F672" s="458">
        <v>0.10835176445297856</v>
      </c>
      <c r="G672" s="477">
        <v>74538369.17674078</v>
      </c>
      <c r="H672" s="458">
        <v>0.24852112831270845</v>
      </c>
      <c r="I672" s="468">
        <v>-0.93426423093387356</v>
      </c>
    </row>
    <row r="673" spans="1:9" ht="16.5" x14ac:dyDescent="0.3">
      <c r="A673" s="477">
        <v>1033056.1743118598</v>
      </c>
      <c r="B673" s="458">
        <v>5.0669012836786598E-2</v>
      </c>
      <c r="C673" s="477">
        <v>3399450.5706369849</v>
      </c>
      <c r="D673" s="458">
        <v>6.9522978598263618E-2</v>
      </c>
      <c r="E673" s="477">
        <v>16892052.334226266</v>
      </c>
      <c r="F673" s="458">
        <v>0.10682908407464087</v>
      </c>
      <c r="G673" s="477">
        <v>87164180.968270853</v>
      </c>
      <c r="H673" s="458">
        <v>0.27198217941374381</v>
      </c>
      <c r="I673" s="468">
        <v>3.2506066121227102</v>
      </c>
    </row>
    <row r="674" spans="1:9" ht="16.5" x14ac:dyDescent="0.3">
      <c r="A674" s="477">
        <v>6016525.1430893438</v>
      </c>
      <c r="B674" s="458">
        <v>3.800183640720034E-2</v>
      </c>
      <c r="C674" s="477">
        <v>6765752.2184019331</v>
      </c>
      <c r="D674" s="458">
        <v>7.2055265383454969E-2</v>
      </c>
      <c r="E674" s="477">
        <v>14599839.363466604</v>
      </c>
      <c r="F674" s="458">
        <v>0.1050727380709775</v>
      </c>
      <c r="G674" s="477">
        <v>64285742.082615651</v>
      </c>
      <c r="H674" s="458">
        <v>0.27044249286896571</v>
      </c>
      <c r="I674" s="468">
        <v>14.688645592182976</v>
      </c>
    </row>
    <row r="675" spans="1:9" ht="16.5" x14ac:dyDescent="0.3">
      <c r="A675" s="477">
        <v>10692589.685947381</v>
      </c>
      <c r="B675" s="458">
        <v>4.1949545244340358E-2</v>
      </c>
      <c r="C675" s="477">
        <v>7595481.6462898757</v>
      </c>
      <c r="D675" s="458">
        <v>4.2141549052275851E-2</v>
      </c>
      <c r="E675" s="477">
        <v>16197919.951278616</v>
      </c>
      <c r="F675" s="458">
        <v>9.9525950412077124E-2</v>
      </c>
      <c r="G675" s="477">
        <v>94028604.770754248</v>
      </c>
      <c r="H675" s="458">
        <v>0.26812972067825736</v>
      </c>
      <c r="I675" s="468">
        <v>6.4071062499533635</v>
      </c>
    </row>
    <row r="676" spans="1:9" ht="16.5" x14ac:dyDescent="0.3">
      <c r="A676" s="477">
        <v>6306593.1464218721</v>
      </c>
      <c r="B676" s="458">
        <v>2.8767960704413786E-2</v>
      </c>
      <c r="C676" s="477">
        <v>8222416.1333510289</v>
      </c>
      <c r="D676" s="458">
        <v>3.7848509085760318E-2</v>
      </c>
      <c r="E676" s="477">
        <v>23607989.239693765</v>
      </c>
      <c r="F676" s="458">
        <v>0.1253967831535967</v>
      </c>
      <c r="G676" s="477">
        <v>93210275.943155631</v>
      </c>
      <c r="H676" s="458">
        <v>0.28331922020574951</v>
      </c>
      <c r="I676" s="468">
        <v>9.8593530629970338</v>
      </c>
    </row>
    <row r="677" spans="1:9" ht="16.5" x14ac:dyDescent="0.3">
      <c r="A677" s="477">
        <v>1781563.8776945062</v>
      </c>
      <c r="B677" s="458">
        <v>4.1085855604408472E-2</v>
      </c>
      <c r="C677" s="477">
        <v>7168234.1380925262</v>
      </c>
      <c r="D677" s="458">
        <v>6.1779278466271181E-2</v>
      </c>
      <c r="E677" s="477">
        <v>11071708.134755192</v>
      </c>
      <c r="F677" s="458">
        <v>9.4035163281356082E-2</v>
      </c>
      <c r="G677" s="477">
        <v>85360532.16150403</v>
      </c>
      <c r="H677" s="458">
        <v>0.28993668455793054</v>
      </c>
      <c r="I677" s="468">
        <v>7.7200885403227248</v>
      </c>
    </row>
    <row r="678" spans="1:9" ht="16.5" x14ac:dyDescent="0.3">
      <c r="A678" s="477">
        <v>2246482.9268358951</v>
      </c>
      <c r="B678" s="458">
        <v>4.761880140523167E-2</v>
      </c>
      <c r="C678" s="477">
        <v>3097072.3442123341</v>
      </c>
      <c r="D678" s="458">
        <v>7.8935545882854452E-2</v>
      </c>
      <c r="E678" s="477">
        <v>7993982.5813426226</v>
      </c>
      <c r="F678" s="458">
        <v>0.15218195235963528</v>
      </c>
      <c r="G678" s="477">
        <v>97752163.98789297</v>
      </c>
      <c r="H678" s="458">
        <v>0.27104084106628723</v>
      </c>
      <c r="I678" s="468">
        <v>6.670158872949381</v>
      </c>
    </row>
    <row r="679" spans="1:9" ht="16.5" x14ac:dyDescent="0.3">
      <c r="A679" s="477">
        <v>7242199.7071708348</v>
      </c>
      <c r="B679" s="458">
        <v>4.4511968661752332E-2</v>
      </c>
      <c r="C679" s="477">
        <v>13282655.58228866</v>
      </c>
      <c r="D679" s="458">
        <v>5.3092966549785015E-2</v>
      </c>
      <c r="E679" s="477">
        <v>14338334.717247214</v>
      </c>
      <c r="F679" s="458">
        <v>8.2655027104062029E-2</v>
      </c>
      <c r="G679" s="477">
        <v>77795283.232784688</v>
      </c>
      <c r="H679" s="458">
        <v>0.26570376866172385</v>
      </c>
      <c r="I679" s="468">
        <v>9.8987496681676426</v>
      </c>
    </row>
    <row r="680" spans="1:9" ht="16.5" x14ac:dyDescent="0.3">
      <c r="A680" s="477">
        <v>2831511.8099728813</v>
      </c>
      <c r="B680" s="458">
        <v>4.431691494538037E-2</v>
      </c>
      <c r="C680" s="477">
        <v>8973163.9891298451</v>
      </c>
      <c r="D680" s="458">
        <v>6.6866153868503364E-2</v>
      </c>
      <c r="E680" s="477">
        <v>22089275.559557747</v>
      </c>
      <c r="F680" s="458">
        <v>0.11208106651523186</v>
      </c>
      <c r="G680" s="477">
        <v>94595696.164892122</v>
      </c>
      <c r="H680" s="458">
        <v>0.27444220236608752</v>
      </c>
      <c r="I680" s="468">
        <v>15.328250869019172</v>
      </c>
    </row>
    <row r="681" spans="1:9" ht="16.5" x14ac:dyDescent="0.3">
      <c r="A681" s="477">
        <v>4585189.3226940706</v>
      </c>
      <c r="B681" s="458">
        <v>3.9249701025297679E-2</v>
      </c>
      <c r="C681" s="477">
        <v>4186936.1358222449</v>
      </c>
      <c r="D681" s="458">
        <v>0.10731609259677866</v>
      </c>
      <c r="E681" s="477">
        <v>13770641.340728262</v>
      </c>
      <c r="F681" s="458">
        <v>0.1137672127339513</v>
      </c>
      <c r="G681" s="477">
        <v>96474389.56619069</v>
      </c>
      <c r="H681" s="458">
        <v>0.27696181044930968</v>
      </c>
      <c r="I681" s="468">
        <v>6.6460859364447691</v>
      </c>
    </row>
    <row r="682" spans="1:9" ht="16.5" x14ac:dyDescent="0.3">
      <c r="A682" s="477">
        <v>6250440.8313163379</v>
      </c>
      <c r="B682" s="458">
        <v>3.6194128393503222E-2</v>
      </c>
      <c r="C682" s="477">
        <v>8199016.124198365</v>
      </c>
      <c r="D682" s="458">
        <v>7.338800527650724E-2</v>
      </c>
      <c r="E682" s="477">
        <v>16948612.809806149</v>
      </c>
      <c r="F682" s="458">
        <v>0.11447414102605324</v>
      </c>
      <c r="G682" s="477">
        <v>96966980.865790084</v>
      </c>
      <c r="H682" s="458">
        <v>0.26652298760762871</v>
      </c>
      <c r="I682" s="468">
        <v>9.6575717500235765</v>
      </c>
    </row>
    <row r="683" spans="1:9" ht="16.5" x14ac:dyDescent="0.3">
      <c r="A683" s="477">
        <v>3558165.1836538003</v>
      </c>
      <c r="B683" s="458">
        <v>3.4911620292445766E-2</v>
      </c>
      <c r="C683" s="477">
        <v>11381675.584143789</v>
      </c>
      <c r="D683" s="458">
        <v>3.4709078260078075E-2</v>
      </c>
      <c r="E683" s="477">
        <v>11569687.714936627</v>
      </c>
      <c r="F683" s="458">
        <v>0.10349544411728706</v>
      </c>
      <c r="G683" s="477">
        <v>102265166.23623526</v>
      </c>
      <c r="H683" s="458">
        <v>0.27432737782174943</v>
      </c>
      <c r="I683" s="468">
        <v>17.013161082151129</v>
      </c>
    </row>
    <row r="684" spans="1:9" ht="16.5" x14ac:dyDescent="0.3">
      <c r="A684" s="477">
        <v>5716062.5972089246</v>
      </c>
      <c r="B684" s="458">
        <v>5.24144171557821E-2</v>
      </c>
      <c r="C684" s="477">
        <v>6689215.1439268775</v>
      </c>
      <c r="D684" s="458">
        <v>4.9152275629489983E-2</v>
      </c>
      <c r="E684" s="477">
        <v>14185328.371429257</v>
      </c>
      <c r="F684" s="458">
        <v>9.9174503418489657E-2</v>
      </c>
      <c r="G684" s="477">
        <v>93464635.077974111</v>
      </c>
      <c r="H684" s="458">
        <v>0.26065237678512165</v>
      </c>
      <c r="I684" s="468">
        <v>10.591996741657219</v>
      </c>
    </row>
    <row r="685" spans="1:9" ht="16.5" x14ac:dyDescent="0.3">
      <c r="A685" s="477">
        <v>-714261.29200533032</v>
      </c>
      <c r="B685" s="458">
        <v>4.6110460902755168E-2</v>
      </c>
      <c r="C685" s="477">
        <v>10868940.939503973</v>
      </c>
      <c r="D685" s="458">
        <v>6.4539097454812122E-2</v>
      </c>
      <c r="E685" s="477">
        <v>20998120.273190625</v>
      </c>
      <c r="F685" s="458">
        <v>0.10339936819870488</v>
      </c>
      <c r="G685" s="477">
        <v>90004216.858289734</v>
      </c>
      <c r="H685" s="458">
        <v>0.28075790752475505</v>
      </c>
      <c r="I685" s="468">
        <v>9.1124235026664824</v>
      </c>
    </row>
    <row r="686" spans="1:9" ht="16.5" x14ac:dyDescent="0.3">
      <c r="A686" s="477">
        <v>7546023.775807227</v>
      </c>
      <c r="B686" s="458">
        <v>3.6723990669241591E-2</v>
      </c>
      <c r="C686" s="477">
        <v>7361269.7515703337</v>
      </c>
      <c r="D686" s="458">
        <v>5.6909050372400571E-2</v>
      </c>
      <c r="E686" s="477">
        <v>12156301.708039396</v>
      </c>
      <c r="F686" s="458">
        <v>8.9960887622348329E-2</v>
      </c>
      <c r="G686" s="477">
        <v>97423971.945266396</v>
      </c>
      <c r="H686" s="458">
        <v>0.26793861765212945</v>
      </c>
      <c r="I686" s="468">
        <v>3.6803825543742619</v>
      </c>
    </row>
    <row r="687" spans="1:9" ht="16.5" x14ac:dyDescent="0.3">
      <c r="A687" s="477">
        <v>1446186.8225608398</v>
      </c>
      <c r="B687" s="458">
        <v>2.9142927559552945E-2</v>
      </c>
      <c r="C687" s="477">
        <v>8244877.0214427812</v>
      </c>
      <c r="D687" s="458">
        <v>5.6391387415784866E-2</v>
      </c>
      <c r="E687" s="477">
        <v>14021190.961485716</v>
      </c>
      <c r="F687" s="458">
        <v>0.11923608914866435</v>
      </c>
      <c r="G687" s="477">
        <v>100066322.59882529</v>
      </c>
      <c r="H687" s="458">
        <v>0.2837434004947057</v>
      </c>
      <c r="I687" s="468">
        <v>11.951899899962729</v>
      </c>
    </row>
    <row r="688" spans="1:9" ht="16.5" x14ac:dyDescent="0.3">
      <c r="A688" s="477">
        <v>4676184.5103544993</v>
      </c>
      <c r="B688" s="458">
        <v>3.2388563115106184E-2</v>
      </c>
      <c r="C688" s="477">
        <v>15464433.228240632</v>
      </c>
      <c r="D688" s="458">
        <v>8.4714341710726782E-2</v>
      </c>
      <c r="E688" s="477">
        <v>17651868.932134587</v>
      </c>
      <c r="F688" s="458">
        <v>0.10024162658314162</v>
      </c>
      <c r="G688" s="477">
        <v>80216604.261474162</v>
      </c>
      <c r="H688" s="458">
        <v>0.2854952191866289</v>
      </c>
      <c r="I688" s="468">
        <v>5.1698771624404705</v>
      </c>
    </row>
    <row r="689" spans="1:9" ht="16.5" x14ac:dyDescent="0.3">
      <c r="A689" s="477">
        <v>7110065.1426998656</v>
      </c>
      <c r="B689" s="458">
        <v>4.7290877599492687E-2</v>
      </c>
      <c r="C689" s="477">
        <v>8751307.3482256401</v>
      </c>
      <c r="D689" s="458">
        <v>0.10159515239496053</v>
      </c>
      <c r="E689" s="477">
        <v>16530180.758309729</v>
      </c>
      <c r="F689" s="458">
        <v>0.12390345447228945</v>
      </c>
      <c r="G689" s="477">
        <v>82680409.760554448</v>
      </c>
      <c r="H689" s="458">
        <v>0.25154628214999852</v>
      </c>
      <c r="I689" s="468">
        <v>5.2178397973019237</v>
      </c>
    </row>
    <row r="690" spans="1:9" ht="16.5" x14ac:dyDescent="0.3">
      <c r="A690" s="477">
        <v>7606352.4926018687</v>
      </c>
      <c r="B690" s="458">
        <v>5.2948004063090526E-2</v>
      </c>
      <c r="C690" s="477">
        <v>6921459.800201009</v>
      </c>
      <c r="D690" s="458">
        <v>8.1840793114301258E-2</v>
      </c>
      <c r="E690" s="477">
        <v>21277243.414017249</v>
      </c>
      <c r="F690" s="458">
        <v>0.12655015506384393</v>
      </c>
      <c r="G690" s="477">
        <v>89253893.494725257</v>
      </c>
      <c r="H690" s="458">
        <v>0.26422163602055071</v>
      </c>
      <c r="I690" s="468">
        <v>9.6774936014182451</v>
      </c>
    </row>
    <row r="691" spans="1:9" ht="16.5" x14ac:dyDescent="0.3">
      <c r="A691" s="477">
        <v>7508794.5904584415</v>
      </c>
      <c r="B691" s="458">
        <v>2.0878384351990187E-2</v>
      </c>
      <c r="C691" s="477">
        <v>8333774.3989597624</v>
      </c>
      <c r="D691" s="458">
        <v>5.1049116999562827E-2</v>
      </c>
      <c r="E691" s="477">
        <v>16660377.50946329</v>
      </c>
      <c r="F691" s="458">
        <v>0.10861260090416081</v>
      </c>
      <c r="G691" s="477">
        <v>88242618.459896579</v>
      </c>
      <c r="H691" s="458">
        <v>0.28980182359339146</v>
      </c>
      <c r="I691" s="468">
        <v>6.7373895814606612</v>
      </c>
    </row>
    <row r="692" spans="1:9" ht="16.5" x14ac:dyDescent="0.3">
      <c r="A692" s="477">
        <v>6177943.8991992213</v>
      </c>
      <c r="B692" s="458">
        <v>3.4952310994428748E-2</v>
      </c>
      <c r="C692" s="477">
        <v>10299928.581287524</v>
      </c>
      <c r="D692" s="458">
        <v>8.6025298071495948E-2</v>
      </c>
      <c r="E692" s="477">
        <v>19106150.55503526</v>
      </c>
      <c r="F692" s="458">
        <v>0.1082472756807995</v>
      </c>
      <c r="G692" s="477">
        <v>87129553.80846855</v>
      </c>
      <c r="H692" s="458">
        <v>0.25768270373879631</v>
      </c>
      <c r="I692" s="468">
        <v>7.0904602766314291</v>
      </c>
    </row>
    <row r="693" spans="1:9" ht="16.5" x14ac:dyDescent="0.3">
      <c r="A693" s="477">
        <v>5560165.8078477029</v>
      </c>
      <c r="B693" s="458">
        <v>3.1029109893358831E-2</v>
      </c>
      <c r="C693" s="477">
        <v>5914454.2030653814</v>
      </c>
      <c r="D693" s="458">
        <v>6.723123659373198E-2</v>
      </c>
      <c r="E693" s="477">
        <v>12552078.73076959</v>
      </c>
      <c r="F693" s="458">
        <v>0.10923268373760808</v>
      </c>
      <c r="G693" s="477">
        <v>85569779.769530863</v>
      </c>
      <c r="H693" s="458">
        <v>0.26630735703369646</v>
      </c>
      <c r="I693" s="468">
        <v>5.8663787233642708</v>
      </c>
    </row>
    <row r="694" spans="1:9" ht="16.5" x14ac:dyDescent="0.3">
      <c r="A694" s="477">
        <v>4699707.742833823</v>
      </c>
      <c r="B694" s="458">
        <v>6.3138458742779457E-2</v>
      </c>
      <c r="C694" s="477">
        <v>5152125.1176646156</v>
      </c>
      <c r="D694" s="458">
        <v>7.840284530673336E-2</v>
      </c>
      <c r="E694" s="477">
        <v>13290775.208257206</v>
      </c>
      <c r="F694" s="458">
        <v>0.1054869534235785</v>
      </c>
      <c r="G694" s="477">
        <v>92989073.217421412</v>
      </c>
      <c r="H694" s="458">
        <v>0.29088813761176491</v>
      </c>
      <c r="I694" s="468">
        <v>8.5004754452151783</v>
      </c>
    </row>
    <row r="695" spans="1:9" ht="16.5" x14ac:dyDescent="0.3">
      <c r="A695" s="477">
        <v>3851587.246962606</v>
      </c>
      <c r="B695" s="458">
        <v>3.5172969754471151E-2</v>
      </c>
      <c r="C695" s="477">
        <v>3119698.5235570888</v>
      </c>
      <c r="D695" s="458">
        <v>5.031468012243101E-2</v>
      </c>
      <c r="E695" s="477">
        <v>19465872.395061739</v>
      </c>
      <c r="F695" s="458">
        <v>0.10226679515595283</v>
      </c>
      <c r="G695" s="477">
        <v>75993207.529058874</v>
      </c>
      <c r="H695" s="458">
        <v>0.26302994100170318</v>
      </c>
      <c r="I695" s="468">
        <v>9.8260079451412352</v>
      </c>
    </row>
    <row r="696" spans="1:9" ht="16.5" x14ac:dyDescent="0.3">
      <c r="A696" s="477">
        <v>979242.94943533093</v>
      </c>
      <c r="B696" s="458">
        <v>6.0580479651634045E-2</v>
      </c>
      <c r="C696" s="477">
        <v>6626684.6376409065</v>
      </c>
      <c r="D696" s="458">
        <v>9.9864398996730941E-2</v>
      </c>
      <c r="E696" s="477">
        <v>12102693.548562469</v>
      </c>
      <c r="F696" s="458">
        <v>0.10423349550912397</v>
      </c>
      <c r="G696" s="477">
        <v>90484432.758568108</v>
      </c>
      <c r="H696" s="458">
        <v>0.27511476118036904</v>
      </c>
      <c r="I696" s="468">
        <v>13.174825528595981</v>
      </c>
    </row>
    <row r="697" spans="1:9" ht="16.5" x14ac:dyDescent="0.3">
      <c r="A697" s="477">
        <v>5321321.4063076153</v>
      </c>
      <c r="B697" s="458">
        <v>4.6570126179340754E-2</v>
      </c>
      <c r="C697" s="477">
        <v>16160213.621490221</v>
      </c>
      <c r="D697" s="458">
        <v>6.1698612840158873E-2</v>
      </c>
      <c r="E697" s="477">
        <v>17715593.296007365</v>
      </c>
      <c r="F697" s="458">
        <v>0.10232393984065813</v>
      </c>
      <c r="G697" s="477">
        <v>103236445.18469299</v>
      </c>
      <c r="H697" s="458">
        <v>0.30104983307092925</v>
      </c>
      <c r="I697" s="468">
        <v>9.9776515112083306</v>
      </c>
    </row>
    <row r="698" spans="1:9" ht="16.5" x14ac:dyDescent="0.3">
      <c r="A698" s="477">
        <v>6404564.4081802461</v>
      </c>
      <c r="B698" s="458">
        <v>4.7561884257223408E-2</v>
      </c>
      <c r="C698" s="477">
        <v>17017441.053994261</v>
      </c>
      <c r="D698" s="458">
        <v>7.9414502676264931E-2</v>
      </c>
      <c r="E698" s="477">
        <v>16743439.27470364</v>
      </c>
      <c r="F698" s="458">
        <v>0.11684440776564209</v>
      </c>
      <c r="G698" s="477">
        <v>84487580.911421329</v>
      </c>
      <c r="H698" s="458">
        <v>0.25431481424128077</v>
      </c>
      <c r="I698" s="468">
        <v>14.778038728148776</v>
      </c>
    </row>
    <row r="699" spans="1:9" ht="16.5" x14ac:dyDescent="0.3">
      <c r="A699" s="477">
        <v>3224281.7608428784</v>
      </c>
      <c r="B699" s="458">
        <v>5.6528562057908571E-2</v>
      </c>
      <c r="C699" s="477">
        <v>3743329.493557699</v>
      </c>
      <c r="D699" s="458">
        <v>4.8568485003840367E-2</v>
      </c>
      <c r="E699" s="477">
        <v>14199806.435447238</v>
      </c>
      <c r="F699" s="458">
        <v>0.11098953302788073</v>
      </c>
      <c r="G699" s="477">
        <v>88908504.00708589</v>
      </c>
      <c r="H699" s="458">
        <v>0.2622581622025324</v>
      </c>
      <c r="I699" s="468">
        <v>4.1704800764179204</v>
      </c>
    </row>
    <row r="700" spans="1:9" ht="16.5" x14ac:dyDescent="0.3">
      <c r="A700" s="477">
        <v>5685018.1979121594</v>
      </c>
      <c r="B700" s="458">
        <v>3.1505581904242463E-2</v>
      </c>
      <c r="C700" s="477">
        <v>6297273.8145446861</v>
      </c>
      <c r="D700" s="458">
        <v>2.712596574538928E-2</v>
      </c>
      <c r="E700" s="477">
        <v>14709342.583244989</v>
      </c>
      <c r="F700" s="458">
        <v>9.8405849011365953E-2</v>
      </c>
      <c r="G700" s="477">
        <v>92755054.765598416</v>
      </c>
      <c r="H700" s="458">
        <v>0.24092269515051501</v>
      </c>
      <c r="I700" s="468">
        <v>16.030604206161755</v>
      </c>
    </row>
    <row r="701" spans="1:9" ht="16.5" x14ac:dyDescent="0.3">
      <c r="A701" s="477">
        <v>1732362.609338063</v>
      </c>
      <c r="B701" s="458">
        <v>3.1232135870274957E-2</v>
      </c>
      <c r="C701" s="477">
        <v>2654452.5746884802</v>
      </c>
      <c r="D701" s="458">
        <v>3.7389943330970787E-2</v>
      </c>
      <c r="E701" s="477">
        <v>15925295.90742898</v>
      </c>
      <c r="F701" s="458">
        <v>8.2683147168161497E-2</v>
      </c>
      <c r="G701" s="477">
        <v>86485244.716078311</v>
      </c>
      <c r="H701" s="458">
        <v>0.25452897913519523</v>
      </c>
      <c r="I701" s="468">
        <v>12.679768490039354</v>
      </c>
    </row>
    <row r="702" spans="1:9" ht="16.5" x14ac:dyDescent="0.3">
      <c r="A702" s="477">
        <v>7257617.6493618079</v>
      </c>
      <c r="B702" s="458">
        <v>3.767491023639602E-2</v>
      </c>
      <c r="C702" s="477">
        <v>9586824.2235207856</v>
      </c>
      <c r="D702" s="458">
        <v>4.1794858774715227E-2</v>
      </c>
      <c r="E702" s="477">
        <v>9191837.7773224842</v>
      </c>
      <c r="F702" s="458">
        <v>0.1144130128974068</v>
      </c>
      <c r="G702" s="477">
        <v>100176044.0771497</v>
      </c>
      <c r="H702" s="458">
        <v>0.27443347513993555</v>
      </c>
      <c r="I702" s="468">
        <v>3.5528969839648497</v>
      </c>
    </row>
    <row r="703" spans="1:9" ht="16.5" x14ac:dyDescent="0.3">
      <c r="A703" s="477">
        <v>6186691.7257541036</v>
      </c>
      <c r="B703" s="458">
        <v>5.2256758759296806E-2</v>
      </c>
      <c r="C703" s="477">
        <v>9261016.1293971632</v>
      </c>
      <c r="D703" s="458">
        <v>9.0213544073280527E-2</v>
      </c>
      <c r="E703" s="477">
        <v>17427819.194331873</v>
      </c>
      <c r="F703" s="458">
        <v>0.10585357471982237</v>
      </c>
      <c r="G703" s="477">
        <v>95182750.112582818</v>
      </c>
      <c r="H703" s="458">
        <v>0.26172243698410691</v>
      </c>
      <c r="I703" s="468">
        <v>7.6593486763239618</v>
      </c>
    </row>
    <row r="704" spans="1:9" ht="16.5" x14ac:dyDescent="0.3">
      <c r="A704" s="477">
        <v>10005945.274408707</v>
      </c>
      <c r="B704" s="458">
        <v>4.8628356140546947E-2</v>
      </c>
      <c r="C704" s="477">
        <v>4766712.8910272056</v>
      </c>
      <c r="D704" s="458">
        <v>5.0232616772653227E-2</v>
      </c>
      <c r="E704" s="477">
        <v>9765822.5990354959</v>
      </c>
      <c r="F704" s="458">
        <v>0.1235485941237946</v>
      </c>
      <c r="G704" s="477">
        <v>91513787.283933878</v>
      </c>
      <c r="H704" s="458">
        <v>0.29715214587634442</v>
      </c>
      <c r="I704" s="468">
        <v>12.73780612296814</v>
      </c>
    </row>
    <row r="705" spans="1:9" ht="16.5" x14ac:dyDescent="0.3">
      <c r="A705" s="477">
        <v>8468592.3366418052</v>
      </c>
      <c r="B705" s="458">
        <v>3.2700144502655792E-2</v>
      </c>
      <c r="C705" s="477">
        <v>8148716.7497385945</v>
      </c>
      <c r="D705" s="458">
        <v>5.8210239653011309E-2</v>
      </c>
      <c r="E705" s="477">
        <v>20510287.4762569</v>
      </c>
      <c r="F705" s="458">
        <v>0.10079681251032557</v>
      </c>
      <c r="G705" s="477">
        <v>84009857.513519496</v>
      </c>
      <c r="H705" s="458">
        <v>0.25094570411245298</v>
      </c>
      <c r="I705" s="468">
        <v>8.2218343691421794</v>
      </c>
    </row>
    <row r="706" spans="1:9" ht="16.5" x14ac:dyDescent="0.3">
      <c r="A706" s="477">
        <v>1207010.9575082918</v>
      </c>
      <c r="B706" s="458">
        <v>5.5911577865883411E-2</v>
      </c>
      <c r="C706" s="477">
        <v>10324202.406998366</v>
      </c>
      <c r="D706" s="458">
        <v>7.8450165423456397E-2</v>
      </c>
      <c r="E706" s="477">
        <v>14910578.396112263</v>
      </c>
      <c r="F706" s="458">
        <v>0.1097150029671583</v>
      </c>
      <c r="G706" s="477">
        <v>81908449.623979345</v>
      </c>
      <c r="H706" s="458">
        <v>0.271630793563852</v>
      </c>
      <c r="I706" s="468">
        <v>5.4054915737909415</v>
      </c>
    </row>
    <row r="707" spans="1:9" ht="16.5" x14ac:dyDescent="0.3">
      <c r="A707" s="477">
        <v>2384934.3747558794</v>
      </c>
      <c r="B707" s="458">
        <v>6.6464262059060752E-2</v>
      </c>
      <c r="C707" s="477">
        <v>8139320.2166400859</v>
      </c>
      <c r="D707" s="458">
        <v>9.8050012845823042E-2</v>
      </c>
      <c r="E707" s="477">
        <v>16013346.962440541</v>
      </c>
      <c r="F707" s="458">
        <v>0.11153722166852864</v>
      </c>
      <c r="G707" s="477">
        <v>110872354.21835318</v>
      </c>
      <c r="H707" s="458">
        <v>0.26008212855858437</v>
      </c>
      <c r="I707" s="468">
        <v>4.2187831548534103</v>
      </c>
    </row>
    <row r="708" spans="1:9" ht="16.5" x14ac:dyDescent="0.3">
      <c r="A708" s="477">
        <v>4188583.384453713</v>
      </c>
      <c r="B708" s="458">
        <v>3.9578408173731594E-2</v>
      </c>
      <c r="C708" s="477">
        <v>7228250.8559993068</v>
      </c>
      <c r="D708" s="458">
        <v>8.2613997418227392E-2</v>
      </c>
      <c r="E708" s="477">
        <v>20968057.946489025</v>
      </c>
      <c r="F708" s="458">
        <v>5.1603415610629977E-2</v>
      </c>
      <c r="G708" s="477">
        <v>84329053.665654853</v>
      </c>
      <c r="H708" s="458">
        <v>0.2936803745364962</v>
      </c>
      <c r="I708" s="468">
        <v>6.291235874012874</v>
      </c>
    </row>
    <row r="709" spans="1:9" ht="16.5" x14ac:dyDescent="0.3">
      <c r="A709" s="477">
        <v>3940304.5287663327</v>
      </c>
      <c r="B709" s="458">
        <v>6.0421166243634472E-2</v>
      </c>
      <c r="C709" s="477">
        <v>11996456.004201218</v>
      </c>
      <c r="D709" s="458">
        <v>3.9957645270901399E-2</v>
      </c>
      <c r="E709" s="477">
        <v>19063541.401803203</v>
      </c>
      <c r="F709" s="458">
        <v>0.15834550415655424</v>
      </c>
      <c r="G709" s="477">
        <v>96461385.075367838</v>
      </c>
      <c r="H709" s="458">
        <v>0.27059229670256668</v>
      </c>
      <c r="I709" s="468">
        <v>7.47590038728812</v>
      </c>
    </row>
    <row r="710" spans="1:9" ht="16.5" x14ac:dyDescent="0.3">
      <c r="A710" s="477">
        <v>6945195.0437789364</v>
      </c>
      <c r="B710" s="458">
        <v>3.0319238940234694E-2</v>
      </c>
      <c r="C710" s="477">
        <v>8167940.9164300505</v>
      </c>
      <c r="D710" s="458">
        <v>6.1193334917363451E-2</v>
      </c>
      <c r="E710" s="477">
        <v>24254254.889351834</v>
      </c>
      <c r="F710" s="458">
        <v>0.10328831421652729</v>
      </c>
      <c r="G710" s="477">
        <v>80811437.413843006</v>
      </c>
      <c r="H710" s="458">
        <v>0.23343216967189684</v>
      </c>
      <c r="I710" s="468">
        <v>10.818342552446529</v>
      </c>
    </row>
    <row r="711" spans="1:9" ht="16.5" x14ac:dyDescent="0.3">
      <c r="A711" s="477">
        <v>8237746.751079753</v>
      </c>
      <c r="B711" s="458">
        <v>3.6820267840268484E-2</v>
      </c>
      <c r="C711" s="477">
        <v>11622142.908199469</v>
      </c>
      <c r="D711" s="458">
        <v>9.9294229168260806E-2</v>
      </c>
      <c r="E711" s="477">
        <v>24478494.834250819</v>
      </c>
      <c r="F711" s="458">
        <v>9.342055207006883E-2</v>
      </c>
      <c r="G711" s="477">
        <v>80290500.442507967</v>
      </c>
      <c r="H711" s="458">
        <v>0.26237220143258733</v>
      </c>
      <c r="I711" s="468">
        <v>4.2926987770008171</v>
      </c>
    </row>
    <row r="712" spans="1:9" ht="16.5" x14ac:dyDescent="0.3">
      <c r="A712" s="477">
        <v>4450033.5927109653</v>
      </c>
      <c r="B712" s="458">
        <v>6.2463925991279146E-2</v>
      </c>
      <c r="C712" s="477">
        <v>11693201.217395553</v>
      </c>
      <c r="D712" s="458">
        <v>5.6879881095264651E-2</v>
      </c>
      <c r="E712" s="477">
        <v>12090036.62882369</v>
      </c>
      <c r="F712" s="458">
        <v>8.3781022771133085E-2</v>
      </c>
      <c r="G712" s="477">
        <v>86186942.704143152</v>
      </c>
      <c r="H712" s="458">
        <v>0.28099804003105655</v>
      </c>
      <c r="I712" s="468">
        <v>3.1745195016853298</v>
      </c>
    </row>
    <row r="713" spans="1:9" ht="16.5" x14ac:dyDescent="0.3">
      <c r="A713" s="477">
        <v>535703.60815113806</v>
      </c>
      <c r="B713" s="458">
        <v>6.3541251606505256E-2</v>
      </c>
      <c r="C713" s="477">
        <v>10674877.471434364</v>
      </c>
      <c r="D713" s="458">
        <v>5.7669892827885372E-2</v>
      </c>
      <c r="E713" s="477">
        <v>23299250.841033947</v>
      </c>
      <c r="F713" s="458">
        <v>0.10677712478649748</v>
      </c>
      <c r="G713" s="477">
        <v>96693735.15372178</v>
      </c>
      <c r="H713" s="458">
        <v>0.24765974778645172</v>
      </c>
      <c r="I713" s="468">
        <v>8.2293645755113083</v>
      </c>
    </row>
    <row r="714" spans="1:9" ht="16.5" x14ac:dyDescent="0.3">
      <c r="A714" s="477">
        <v>9148425.3646736369</v>
      </c>
      <c r="B714" s="458">
        <v>4.2601751743834182E-2</v>
      </c>
      <c r="C714" s="477">
        <v>12727582.472044377</v>
      </c>
      <c r="D714" s="458">
        <v>5.2181082993380423E-2</v>
      </c>
      <c r="E714" s="477">
        <v>18913418.817926589</v>
      </c>
      <c r="F714" s="458">
        <v>8.0505498522283059E-2</v>
      </c>
      <c r="G714" s="477">
        <v>72822711.692147523</v>
      </c>
      <c r="H714" s="458">
        <v>0.25015499460441815</v>
      </c>
      <c r="I714" s="468">
        <v>9.6600153164106182</v>
      </c>
    </row>
    <row r="715" spans="1:9" ht="16.5" x14ac:dyDescent="0.3">
      <c r="A715" s="477">
        <v>7909983.5259512085</v>
      </c>
      <c r="B715" s="458">
        <v>4.0521886020960185E-2</v>
      </c>
      <c r="C715" s="477">
        <v>10998964.531572649</v>
      </c>
      <c r="D715" s="458">
        <v>6.4465386738565167E-2</v>
      </c>
      <c r="E715" s="477">
        <v>13913695.371425087</v>
      </c>
      <c r="F715" s="458">
        <v>0.12396194045214814</v>
      </c>
      <c r="G715" s="477">
        <v>78295682.48516646</v>
      </c>
      <c r="H715" s="458">
        <v>0.27761836033308374</v>
      </c>
      <c r="I715" s="468">
        <v>9.8051641700218735</v>
      </c>
    </row>
    <row r="716" spans="1:9" ht="16.5" x14ac:dyDescent="0.3">
      <c r="A716" s="477">
        <v>6139061.0863434691</v>
      </c>
      <c r="B716" s="458">
        <v>6.7719856436986969E-2</v>
      </c>
      <c r="C716" s="477">
        <v>8960677.3030525614</v>
      </c>
      <c r="D716" s="458">
        <v>7.9498182963884778E-2</v>
      </c>
      <c r="E716" s="477">
        <v>17468704.878974512</v>
      </c>
      <c r="F716" s="458">
        <v>9.6086608319727151E-2</v>
      </c>
      <c r="G716" s="477">
        <v>98802200.68113324</v>
      </c>
      <c r="H716" s="458">
        <v>0.26308601940856224</v>
      </c>
      <c r="I716" s="468">
        <v>11.428818390851742</v>
      </c>
    </row>
    <row r="717" spans="1:9" ht="16.5" x14ac:dyDescent="0.3">
      <c r="A717" s="477">
        <v>1313239.9666763805</v>
      </c>
      <c r="B717" s="458">
        <v>5.5067535515760602E-2</v>
      </c>
      <c r="C717" s="477">
        <v>11666915.788002938</v>
      </c>
      <c r="D717" s="458">
        <v>5.9751084629598106E-2</v>
      </c>
      <c r="E717" s="477">
        <v>18050316.500419691</v>
      </c>
      <c r="F717" s="458">
        <v>0.11414611123611462</v>
      </c>
      <c r="G717" s="477">
        <v>79001283.324539185</v>
      </c>
      <c r="H717" s="458">
        <v>0.25581341450463468</v>
      </c>
      <c r="I717" s="468">
        <v>13.984347218280785</v>
      </c>
    </row>
    <row r="718" spans="1:9" ht="16.5" x14ac:dyDescent="0.3">
      <c r="A718" s="477">
        <v>5292339.3072164794</v>
      </c>
      <c r="B718" s="458">
        <v>4.4534181697809316E-2</v>
      </c>
      <c r="C718" s="477">
        <v>4321526.2271586033</v>
      </c>
      <c r="D718" s="458">
        <v>7.1486581508414249E-2</v>
      </c>
      <c r="E718" s="477">
        <v>14777454.294249469</v>
      </c>
      <c r="F718" s="458">
        <v>8.6003685803258678E-2</v>
      </c>
      <c r="G718" s="477">
        <v>88396217.906334877</v>
      </c>
      <c r="H718" s="458">
        <v>0.26909457902068246</v>
      </c>
      <c r="I718" s="468">
        <v>13.52525618956963</v>
      </c>
    </row>
    <row r="719" spans="1:9" ht="16.5" x14ac:dyDescent="0.3">
      <c r="A719" s="477">
        <v>5543267.6427118685</v>
      </c>
      <c r="B719" s="458">
        <v>3.4062043472187886E-2</v>
      </c>
      <c r="C719" s="477">
        <v>8562013.1123692412</v>
      </c>
      <c r="D719" s="458">
        <v>8.6052525209494135E-2</v>
      </c>
      <c r="E719" s="477">
        <v>7651907.095326717</v>
      </c>
      <c r="F719" s="458">
        <v>0.11004408959874379</v>
      </c>
      <c r="G719" s="477">
        <v>71774906.81782639</v>
      </c>
      <c r="H719" s="458">
        <v>0.27471562983616127</v>
      </c>
      <c r="I719" s="468">
        <v>10.467119378835779</v>
      </c>
    </row>
    <row r="720" spans="1:9" ht="16.5" x14ac:dyDescent="0.3">
      <c r="A720" s="477">
        <v>2453862.2488125456</v>
      </c>
      <c r="B720" s="458">
        <v>3.1717049018033627E-2</v>
      </c>
      <c r="C720" s="477">
        <v>11434712.404666455</v>
      </c>
      <c r="D720" s="458">
        <v>0.10085260451223732</v>
      </c>
      <c r="E720" s="477">
        <v>4796574.6634397777</v>
      </c>
      <c r="F720" s="458">
        <v>0.11072520859535739</v>
      </c>
      <c r="G720" s="477">
        <v>82221225.091201231</v>
      </c>
      <c r="H720" s="458">
        <v>0.26975057339184438</v>
      </c>
      <c r="I720" s="468">
        <v>6.0137320834409946</v>
      </c>
    </row>
    <row r="721" spans="1:9" ht="16.5" x14ac:dyDescent="0.3">
      <c r="A721" s="477">
        <v>1362638.0792166025</v>
      </c>
      <c r="B721" s="458">
        <v>2.2868537156501834E-2</v>
      </c>
      <c r="C721" s="477">
        <v>10931160.744298466</v>
      </c>
      <c r="D721" s="458">
        <v>5.5564774999026012E-2</v>
      </c>
      <c r="E721" s="477">
        <v>12332943.783734653</v>
      </c>
      <c r="F721" s="458">
        <v>0.1069886740541961</v>
      </c>
      <c r="G721" s="477">
        <v>104532306.43387343</v>
      </c>
      <c r="H721" s="458">
        <v>0.29474830944683506</v>
      </c>
      <c r="I721" s="468">
        <v>5.1395997737462782</v>
      </c>
    </row>
    <row r="722" spans="1:9" ht="16.5" x14ac:dyDescent="0.3">
      <c r="A722" s="477">
        <v>1103907.7413679159</v>
      </c>
      <c r="B722" s="458">
        <v>5.6136410208530441E-2</v>
      </c>
      <c r="C722" s="477">
        <v>3695986.4065918732</v>
      </c>
      <c r="D722" s="458">
        <v>4.9101657194107418E-2</v>
      </c>
      <c r="E722" s="477">
        <v>17506930.173529331</v>
      </c>
      <c r="F722" s="458">
        <v>8.9584213452834405E-2</v>
      </c>
      <c r="G722" s="477">
        <v>104777337.90548836</v>
      </c>
      <c r="H722" s="458">
        <v>0.24862764083891276</v>
      </c>
      <c r="I722" s="468">
        <v>6.1331250358021077</v>
      </c>
    </row>
    <row r="723" spans="1:9" ht="16.5" x14ac:dyDescent="0.3">
      <c r="A723" s="477">
        <v>8297605.608678652</v>
      </c>
      <c r="B723" s="458">
        <v>4.2007424908548918E-2</v>
      </c>
      <c r="C723" s="477">
        <v>14375931.981747421</v>
      </c>
      <c r="D723" s="458">
        <v>3.7398593942275404E-2</v>
      </c>
      <c r="E723" s="477">
        <v>14398020.824868737</v>
      </c>
      <c r="F723" s="458">
        <v>0.10112337980773645</v>
      </c>
      <c r="G723" s="477">
        <v>97534915.503242135</v>
      </c>
      <c r="H723" s="458">
        <v>0.24804776953902175</v>
      </c>
      <c r="I723" s="468">
        <v>6.4210029708717542</v>
      </c>
    </row>
    <row r="724" spans="1:9" ht="16.5" x14ac:dyDescent="0.3">
      <c r="A724" s="477">
        <v>4597356.9538301742</v>
      </c>
      <c r="B724" s="458">
        <v>2.0916284788931261E-2</v>
      </c>
      <c r="C724" s="477">
        <v>12187244.892932503</v>
      </c>
      <c r="D724" s="458">
        <v>6.0931276089746911E-2</v>
      </c>
      <c r="E724" s="477">
        <v>12733966.041766066</v>
      </c>
      <c r="F724" s="458">
        <v>0.10862800943553697</v>
      </c>
      <c r="G724" s="477">
        <v>76641999.037806347</v>
      </c>
      <c r="H724" s="458">
        <v>0.27123865475190012</v>
      </c>
      <c r="I724" s="468">
        <v>9.0665127744640195</v>
      </c>
    </row>
    <row r="725" spans="1:9" ht="16.5" x14ac:dyDescent="0.3">
      <c r="A725" s="477">
        <v>6803023.5430351645</v>
      </c>
      <c r="B725" s="458">
        <v>5.3329746445766713E-2</v>
      </c>
      <c r="C725" s="477">
        <v>11693025.701269696</v>
      </c>
      <c r="D725" s="458">
        <v>4.8676861304315144E-2</v>
      </c>
      <c r="E725" s="477">
        <v>20833817.33306624</v>
      </c>
      <c r="F725" s="458">
        <v>0.10638304190547521</v>
      </c>
      <c r="G725" s="477">
        <v>94036067.012751147</v>
      </c>
      <c r="H725" s="458">
        <v>0.24954050237760206</v>
      </c>
      <c r="I725" s="468">
        <v>7.2330705429896565</v>
      </c>
    </row>
    <row r="726" spans="1:9" ht="16.5" x14ac:dyDescent="0.3">
      <c r="A726" s="477">
        <v>4834745.3535666801</v>
      </c>
      <c r="B726" s="458">
        <v>3.3967007146816774E-2</v>
      </c>
      <c r="C726" s="477">
        <v>12004666.564192392</v>
      </c>
      <c r="D726" s="458">
        <v>7.1447643338534927E-2</v>
      </c>
      <c r="E726" s="477">
        <v>18259904.110048417</v>
      </c>
      <c r="F726" s="458">
        <v>0.1128753309771493</v>
      </c>
      <c r="G726" s="477">
        <v>90002863.046103209</v>
      </c>
      <c r="H726" s="458">
        <v>0.25748683864715272</v>
      </c>
      <c r="I726" s="468">
        <v>7.4286393962189949</v>
      </c>
    </row>
    <row r="727" spans="1:9" ht="16.5" x14ac:dyDescent="0.3">
      <c r="A727" s="477">
        <v>10659291.443447132</v>
      </c>
      <c r="B727" s="458">
        <v>3.3784549166765654E-2</v>
      </c>
      <c r="C727" s="477">
        <v>13590302.515231349</v>
      </c>
      <c r="D727" s="458">
        <v>5.5412170898707203E-2</v>
      </c>
      <c r="E727" s="477">
        <v>21410749.41666358</v>
      </c>
      <c r="F727" s="458">
        <v>9.354503836651662E-2</v>
      </c>
      <c r="G727" s="477">
        <v>88047842.830796227</v>
      </c>
      <c r="H727" s="458">
        <v>0.24723489789253494</v>
      </c>
      <c r="I727" s="468">
        <v>4.1312073188216925</v>
      </c>
    </row>
    <row r="728" spans="1:9" ht="16.5" x14ac:dyDescent="0.3">
      <c r="A728" s="477">
        <v>3345187.4899460622</v>
      </c>
      <c r="B728" s="458">
        <v>3.4644187532204329E-2</v>
      </c>
      <c r="C728" s="477">
        <v>7142790.6733239871</v>
      </c>
      <c r="D728" s="458">
        <v>5.3076875499876053E-2</v>
      </c>
      <c r="E728" s="477">
        <v>17091376.986503743</v>
      </c>
      <c r="F728" s="458">
        <v>9.0880383376112706E-2</v>
      </c>
      <c r="G728" s="477">
        <v>98487238.015569404</v>
      </c>
      <c r="H728" s="458">
        <v>0.26261181032290404</v>
      </c>
      <c r="I728" s="468">
        <v>7.6765729694374611</v>
      </c>
    </row>
    <row r="729" spans="1:9" ht="16.5" x14ac:dyDescent="0.3">
      <c r="A729" s="477">
        <v>10074394.666743224</v>
      </c>
      <c r="B729" s="458">
        <v>3.8271186490423936E-2</v>
      </c>
      <c r="C729" s="477">
        <v>9196097.1402125135</v>
      </c>
      <c r="D729" s="458">
        <v>8.0615902845094123E-2</v>
      </c>
      <c r="E729" s="477">
        <v>13852165.776730414</v>
      </c>
      <c r="F729" s="458">
        <v>0.11202213181375842</v>
      </c>
      <c r="G729" s="477">
        <v>83698057.852873027</v>
      </c>
      <c r="H729" s="458">
        <v>0.26416510810643956</v>
      </c>
      <c r="I729" s="468">
        <v>7.3115018449391762</v>
      </c>
    </row>
    <row r="730" spans="1:9" ht="16.5" x14ac:dyDescent="0.3">
      <c r="A730" s="477">
        <v>7908840.844034533</v>
      </c>
      <c r="B730" s="458">
        <v>3.6712106720779403E-2</v>
      </c>
      <c r="C730" s="477">
        <v>6805269.2949889451</v>
      </c>
      <c r="D730" s="458">
        <v>7.5064444432395128E-2</v>
      </c>
      <c r="E730" s="477">
        <v>18308358.571912546</v>
      </c>
      <c r="F730" s="458">
        <v>9.3898925921111376E-2</v>
      </c>
      <c r="G730" s="477">
        <v>83654158.631978869</v>
      </c>
      <c r="H730" s="458">
        <v>0.26017300242215069</v>
      </c>
      <c r="I730" s="468">
        <v>5.7168495154536929</v>
      </c>
    </row>
    <row r="731" spans="1:9" ht="16.5" x14ac:dyDescent="0.3">
      <c r="A731" s="477">
        <v>4155217.1533444338</v>
      </c>
      <c r="B731" s="458">
        <v>3.7907847991275334E-2</v>
      </c>
      <c r="C731" s="477">
        <v>5580115.642458735</v>
      </c>
      <c r="D731" s="458">
        <v>6.8204008116154569E-2</v>
      </c>
      <c r="E731" s="477">
        <v>19846529.11579784</v>
      </c>
      <c r="F731" s="458">
        <v>0.11028520037430201</v>
      </c>
      <c r="G731" s="477">
        <v>102016494.99921182</v>
      </c>
      <c r="H731" s="458">
        <v>0.26497306481981009</v>
      </c>
      <c r="I731" s="468">
        <v>2.1387760244302987</v>
      </c>
    </row>
    <row r="732" spans="1:9" ht="16.5" x14ac:dyDescent="0.3">
      <c r="A732" s="477">
        <v>1396080.2074222008</v>
      </c>
      <c r="B732" s="458">
        <v>7.4638252485320855E-2</v>
      </c>
      <c r="C732" s="477">
        <v>12301668.350222282</v>
      </c>
      <c r="D732" s="458">
        <v>9.8379943797590963E-2</v>
      </c>
      <c r="E732" s="477">
        <v>16568366.189174356</v>
      </c>
      <c r="F732" s="458">
        <v>9.7513459798933555E-2</v>
      </c>
      <c r="G732" s="477">
        <v>88785005.439777702</v>
      </c>
      <c r="H732" s="458">
        <v>0.26936751328253572</v>
      </c>
      <c r="I732" s="468">
        <v>4.5221567547913342</v>
      </c>
    </row>
    <row r="733" spans="1:9" ht="16.5" x14ac:dyDescent="0.3">
      <c r="A733" s="477">
        <v>6756210.5045592953</v>
      </c>
      <c r="B733" s="458">
        <v>4.527464086717492E-2</v>
      </c>
      <c r="C733" s="477">
        <v>11938940.195550933</v>
      </c>
      <c r="D733" s="458">
        <v>5.8917348429935901E-2</v>
      </c>
      <c r="E733" s="477">
        <v>17829034.717535701</v>
      </c>
      <c r="F733" s="458">
        <v>9.5275445198146791E-2</v>
      </c>
      <c r="G733" s="477">
        <v>86230077.26805459</v>
      </c>
      <c r="H733" s="458">
        <v>0.28268266733113556</v>
      </c>
      <c r="I733" s="468">
        <v>8.7289149967555826</v>
      </c>
    </row>
    <row r="734" spans="1:9" ht="16.5" x14ac:dyDescent="0.3">
      <c r="A734" s="477">
        <v>7333243.4496639473</v>
      </c>
      <c r="B734" s="458">
        <v>3.5831219635584333E-2</v>
      </c>
      <c r="C734" s="477">
        <v>9069298.8381919786</v>
      </c>
      <c r="D734" s="458">
        <v>5.93146455988387E-2</v>
      </c>
      <c r="E734" s="477">
        <v>15963760.280642049</v>
      </c>
      <c r="F734" s="458">
        <v>0.11903844640721339</v>
      </c>
      <c r="G734" s="477">
        <v>89796777.59775196</v>
      </c>
      <c r="H734" s="458">
        <v>0.26168174763535323</v>
      </c>
      <c r="I734" s="468">
        <v>9.7553582619281798</v>
      </c>
    </row>
    <row r="735" spans="1:9" ht="16.5" x14ac:dyDescent="0.3">
      <c r="A735" s="477">
        <v>3396619.1973145735</v>
      </c>
      <c r="B735" s="458">
        <v>5.2941418776574656E-2</v>
      </c>
      <c r="C735" s="477">
        <v>8093607.7330101887</v>
      </c>
      <c r="D735" s="458">
        <v>8.0851563087132483E-2</v>
      </c>
      <c r="E735" s="477">
        <v>17874677.18317946</v>
      </c>
      <c r="F735" s="458">
        <v>0.1128561708487561</v>
      </c>
      <c r="G735" s="477">
        <v>87878604.471671164</v>
      </c>
      <c r="H735" s="458">
        <v>0.27728448255441962</v>
      </c>
      <c r="I735" s="468">
        <v>9.5145506918376093</v>
      </c>
    </row>
    <row r="736" spans="1:9" ht="16.5" x14ac:dyDescent="0.3">
      <c r="A736" s="477">
        <v>4684693.6308382452</v>
      </c>
      <c r="B736" s="458">
        <v>3.8362129353380237E-2</v>
      </c>
      <c r="C736" s="477">
        <v>12056447.085722359</v>
      </c>
      <c r="D736" s="458">
        <v>5.4149195644208614E-2</v>
      </c>
      <c r="E736" s="477">
        <v>11520040.845233982</v>
      </c>
      <c r="F736" s="458">
        <v>0.11466401511980773</v>
      </c>
      <c r="G736" s="477">
        <v>97760851.300634786</v>
      </c>
      <c r="H736" s="458">
        <v>0.28127916211184978</v>
      </c>
      <c r="I736" s="468">
        <v>17.101511274687077</v>
      </c>
    </row>
    <row r="737" spans="1:9" ht="16.5" x14ac:dyDescent="0.3">
      <c r="A737" s="477">
        <v>4378421.3670897996</v>
      </c>
      <c r="B737" s="458">
        <v>3.5296374236993167E-2</v>
      </c>
      <c r="C737" s="477">
        <v>10389530.662204646</v>
      </c>
      <c r="D737" s="458">
        <v>4.4114168201569992E-2</v>
      </c>
      <c r="E737" s="477">
        <v>19910522.005423225</v>
      </c>
      <c r="F737" s="458">
        <v>0.11007237816494575</v>
      </c>
      <c r="G737" s="477">
        <v>89407020.663751394</v>
      </c>
      <c r="H737" s="458">
        <v>0.27652803837985274</v>
      </c>
      <c r="I737" s="468">
        <v>11.34300400811502</v>
      </c>
    </row>
    <row r="738" spans="1:9" ht="16.5" x14ac:dyDescent="0.3">
      <c r="A738" s="477">
        <v>4707356.9853681652</v>
      </c>
      <c r="B738" s="458">
        <v>5.6939784726140585E-2</v>
      </c>
      <c r="C738" s="477">
        <v>9931853.8854294978</v>
      </c>
      <c r="D738" s="458">
        <v>6.2711144960758691E-2</v>
      </c>
      <c r="E738" s="477">
        <v>21589224.781973749</v>
      </c>
      <c r="F738" s="458">
        <v>9.8501187989056715E-2</v>
      </c>
      <c r="G738" s="477">
        <v>95678746.135734081</v>
      </c>
      <c r="H738" s="458">
        <v>0.25259695138455496</v>
      </c>
      <c r="I738" s="468">
        <v>12.300587003549065</v>
      </c>
    </row>
    <row r="739" spans="1:9" ht="16.5" x14ac:dyDescent="0.3">
      <c r="A739" s="477">
        <v>3931266.1130451611</v>
      </c>
      <c r="B739" s="458">
        <v>4.4307300141780193E-2</v>
      </c>
      <c r="C739" s="477">
        <v>5922733.0886142021</v>
      </c>
      <c r="D739" s="458">
        <v>6.0525887624532038E-2</v>
      </c>
      <c r="E739" s="477">
        <v>13814987.26227681</v>
      </c>
      <c r="F739" s="458">
        <v>0.11057071665702622</v>
      </c>
      <c r="G739" s="477">
        <v>97957041.177046135</v>
      </c>
      <c r="H739" s="458">
        <v>0.28179990158436574</v>
      </c>
      <c r="I739" s="468">
        <v>8.8563461755200343</v>
      </c>
    </row>
    <row r="740" spans="1:9" ht="16.5" x14ac:dyDescent="0.3">
      <c r="A740" s="477">
        <v>12234507.792771431</v>
      </c>
      <c r="B740" s="458">
        <v>4.814756656680852E-2</v>
      </c>
      <c r="C740" s="477">
        <v>16106212.52021165</v>
      </c>
      <c r="D740" s="458">
        <v>9.6537165500757194E-2</v>
      </c>
      <c r="E740" s="477">
        <v>18917797.626962118</v>
      </c>
      <c r="F740" s="458">
        <v>8.6791836868995942E-2</v>
      </c>
      <c r="G740" s="477">
        <v>85473615.9338599</v>
      </c>
      <c r="H740" s="458">
        <v>0.24231456855894562</v>
      </c>
      <c r="I740" s="468">
        <v>5.1552567300119998</v>
      </c>
    </row>
    <row r="741" spans="1:9" ht="16.5" x14ac:dyDescent="0.3">
      <c r="A741" s="477">
        <v>-698254.3548694225</v>
      </c>
      <c r="B741" s="458">
        <v>4.1884461575341536E-2</v>
      </c>
      <c r="C741" s="477">
        <v>6388543.6438754583</v>
      </c>
      <c r="D741" s="458">
        <v>6.7166906678959082E-2</v>
      </c>
      <c r="E741" s="477">
        <v>19213222.2420104</v>
      </c>
      <c r="F741" s="458">
        <v>0.10141138832146535</v>
      </c>
      <c r="G741" s="477">
        <v>89573734.029778212</v>
      </c>
      <c r="H741" s="458">
        <v>0.28875067618547634</v>
      </c>
      <c r="I741" s="468">
        <v>9.0610637264687988</v>
      </c>
    </row>
    <row r="742" spans="1:9" ht="16.5" x14ac:dyDescent="0.3">
      <c r="A742" s="477">
        <v>787901.03725712223</v>
      </c>
      <c r="B742" s="458">
        <v>0.11376224319973116</v>
      </c>
      <c r="C742" s="477">
        <v>5258154.8243995206</v>
      </c>
      <c r="D742" s="458">
        <v>4.424208490567394E-2</v>
      </c>
      <c r="E742" s="477">
        <v>12830175.19366554</v>
      </c>
      <c r="F742" s="458">
        <v>9.2256668365749084E-2</v>
      </c>
      <c r="G742" s="477">
        <v>83648525.799783245</v>
      </c>
      <c r="H742" s="458">
        <v>0.26497020430094698</v>
      </c>
      <c r="I742" s="468">
        <v>-0.26847388484425316</v>
      </c>
    </row>
    <row r="743" spans="1:9" ht="16.5" x14ac:dyDescent="0.3">
      <c r="A743" s="477">
        <v>3330971.6128376788</v>
      </c>
      <c r="B743" s="458">
        <v>2.0599466185418525E-2</v>
      </c>
      <c r="C743" s="477">
        <v>11725572.857810916</v>
      </c>
      <c r="D743" s="458">
        <v>5.6504983571197265E-2</v>
      </c>
      <c r="E743" s="477">
        <v>14100832.008046774</v>
      </c>
      <c r="F743" s="458">
        <v>0.10153614143575118</v>
      </c>
      <c r="G743" s="477">
        <v>79526461.039261475</v>
      </c>
      <c r="H743" s="458">
        <v>0.26678916775413297</v>
      </c>
      <c r="I743" s="468">
        <v>4.1316374974171426</v>
      </c>
    </row>
    <row r="744" spans="1:9" ht="16.5" x14ac:dyDescent="0.3">
      <c r="A744" s="477">
        <v>6261660.3414492914</v>
      </c>
      <c r="B744" s="458">
        <v>3.6031431009164283E-2</v>
      </c>
      <c r="C744" s="477">
        <v>11291016.015585504</v>
      </c>
      <c r="D744" s="458">
        <v>3.6673500535936654E-2</v>
      </c>
      <c r="E744" s="477">
        <v>17165855.162176169</v>
      </c>
      <c r="F744" s="458">
        <v>0.12514527563137157</v>
      </c>
      <c r="G744" s="477">
        <v>79766940.24725613</v>
      </c>
      <c r="H744" s="458">
        <v>0.27035215740995566</v>
      </c>
      <c r="I744" s="468">
        <v>2.4697074338365708</v>
      </c>
    </row>
    <row r="745" spans="1:9" ht="16.5" x14ac:dyDescent="0.3">
      <c r="A745" s="477">
        <v>-744759.25520961534</v>
      </c>
      <c r="B745" s="458">
        <v>5.0433514487538078E-2</v>
      </c>
      <c r="C745" s="477">
        <v>12003080.517021962</v>
      </c>
      <c r="D745" s="458">
        <v>6.1225696124959983E-2</v>
      </c>
      <c r="E745" s="477">
        <v>15776340.912696797</v>
      </c>
      <c r="F745" s="458">
        <v>0.10589089296979193</v>
      </c>
      <c r="G745" s="477">
        <v>85511825.059055761</v>
      </c>
      <c r="H745" s="458">
        <v>0.27441613818503119</v>
      </c>
      <c r="I745" s="468">
        <v>13.446980273684797</v>
      </c>
    </row>
    <row r="746" spans="1:9" ht="16.5" x14ac:dyDescent="0.3">
      <c r="A746" s="477">
        <v>2643648.3749769349</v>
      </c>
      <c r="B746" s="458">
        <v>3.608408076603431E-2</v>
      </c>
      <c r="C746" s="477">
        <v>8787716.6539311651</v>
      </c>
      <c r="D746" s="458">
        <v>7.6772805480965989E-2</v>
      </c>
      <c r="E746" s="477">
        <v>18641096.068096008</v>
      </c>
      <c r="F746" s="458">
        <v>0.12064225915603988</v>
      </c>
      <c r="G746" s="477">
        <v>86464436.612063512</v>
      </c>
      <c r="H746" s="458">
        <v>0.28241983668688442</v>
      </c>
      <c r="I746" s="468">
        <v>5.6207656649090136</v>
      </c>
    </row>
    <row r="747" spans="1:9" ht="16.5" x14ac:dyDescent="0.3">
      <c r="A747" s="477">
        <v>8086067.3901153142</v>
      </c>
      <c r="B747" s="458">
        <v>5.6771950478303079E-2</v>
      </c>
      <c r="C747" s="477">
        <v>8163142.0415834831</v>
      </c>
      <c r="D747" s="458">
        <v>6.5110486528973555E-2</v>
      </c>
      <c r="E747" s="477">
        <v>15491684.076711884</v>
      </c>
      <c r="F747" s="458">
        <v>0.11718057763935219</v>
      </c>
      <c r="G747" s="477">
        <v>84181936.704327106</v>
      </c>
      <c r="H747" s="458">
        <v>0.27030962389543522</v>
      </c>
      <c r="I747" s="468">
        <v>10.247502295264454</v>
      </c>
    </row>
    <row r="748" spans="1:9" ht="16.5" x14ac:dyDescent="0.3">
      <c r="A748" s="477">
        <v>4328811.2747213999</v>
      </c>
      <c r="B748" s="458">
        <v>5.3877880028605052E-2</v>
      </c>
      <c r="C748" s="477">
        <v>9348189.1576770637</v>
      </c>
      <c r="D748" s="458">
        <v>7.7886252084815144E-2</v>
      </c>
      <c r="E748" s="477">
        <v>15312319.136787679</v>
      </c>
      <c r="F748" s="458">
        <v>0.10444415983045729</v>
      </c>
      <c r="G748" s="477">
        <v>81596358.255506828</v>
      </c>
      <c r="H748" s="458">
        <v>0.32729066084970171</v>
      </c>
      <c r="I748" s="468">
        <v>8.7196611789732081</v>
      </c>
    </row>
    <row r="749" spans="1:9" ht="16.5" x14ac:dyDescent="0.3">
      <c r="A749" s="477">
        <v>8330442.3373197345</v>
      </c>
      <c r="B749" s="458">
        <v>4.7583648722554717E-2</v>
      </c>
      <c r="C749" s="477">
        <v>13314032.943802632</v>
      </c>
      <c r="D749" s="458">
        <v>4.868099641197654E-2</v>
      </c>
      <c r="E749" s="477">
        <v>26526840.036633797</v>
      </c>
      <c r="F749" s="458">
        <v>8.7108375988259601E-2</v>
      </c>
      <c r="G749" s="477">
        <v>76366070.598758414</v>
      </c>
      <c r="H749" s="458">
        <v>0.2784980823621892</v>
      </c>
      <c r="I749" s="468">
        <v>10.2862061224744</v>
      </c>
    </row>
    <row r="750" spans="1:9" ht="16.5" x14ac:dyDescent="0.3">
      <c r="A750" s="477">
        <v>4202593.0464719525</v>
      </c>
      <c r="B750" s="458">
        <v>2.771819692102917E-2</v>
      </c>
      <c r="C750" s="477">
        <v>11885690.77735796</v>
      </c>
      <c r="D750" s="458">
        <v>6.6444694013458427E-2</v>
      </c>
      <c r="E750" s="477">
        <v>22997825.264415059</v>
      </c>
      <c r="F750" s="458">
        <v>0.11595601396148925</v>
      </c>
      <c r="G750" s="477">
        <v>87327511.51366584</v>
      </c>
      <c r="H750" s="458">
        <v>0.26728043929621603</v>
      </c>
      <c r="I750" s="468">
        <v>6.8518301077482455</v>
      </c>
    </row>
    <row r="751" spans="1:9" ht="16.5" x14ac:dyDescent="0.3">
      <c r="A751" s="477">
        <v>232380.5962298988</v>
      </c>
      <c r="B751" s="458">
        <v>4.3468064877438817E-2</v>
      </c>
      <c r="C751" s="477">
        <v>7018753.7642628374</v>
      </c>
      <c r="D751" s="458">
        <v>5.8530916944542488E-2</v>
      </c>
      <c r="E751" s="477">
        <v>13925953.750821104</v>
      </c>
      <c r="F751" s="458">
        <v>0.10106645834913897</v>
      </c>
      <c r="G751" s="477">
        <v>99575255.726386279</v>
      </c>
      <c r="H751" s="458">
        <v>0.27272856214985119</v>
      </c>
      <c r="I751" s="468">
        <v>2.6038763774034273</v>
      </c>
    </row>
    <row r="752" spans="1:9" ht="16.5" x14ac:dyDescent="0.3">
      <c r="A752" s="477">
        <v>5445235.8615859523</v>
      </c>
      <c r="B752" s="458">
        <v>2.8768148704086727E-2</v>
      </c>
      <c r="C752" s="477">
        <v>6294672.5376756983</v>
      </c>
      <c r="D752" s="458">
        <v>5.8614251047226285E-2</v>
      </c>
      <c r="E752" s="477">
        <v>22344607.022840511</v>
      </c>
      <c r="F752" s="458">
        <v>0.11671414205059771</v>
      </c>
      <c r="G752" s="477">
        <v>98101656.296510309</v>
      </c>
      <c r="H752" s="458">
        <v>0.28883250260725535</v>
      </c>
      <c r="I752" s="468">
        <v>8.2409153804787589</v>
      </c>
    </row>
    <row r="753" spans="1:9" ht="16.5" x14ac:dyDescent="0.3">
      <c r="A753" s="477">
        <v>7115056.1277811294</v>
      </c>
      <c r="B753" s="458">
        <v>5.9005273207107134E-2</v>
      </c>
      <c r="C753" s="477">
        <v>7072344.0639926968</v>
      </c>
      <c r="D753" s="458">
        <v>3.5696488141300886E-2</v>
      </c>
      <c r="E753" s="477">
        <v>13841244.828643512</v>
      </c>
      <c r="F753" s="458">
        <v>0.11140714707678812</v>
      </c>
      <c r="G753" s="477">
        <v>106350122.87044856</v>
      </c>
      <c r="H753" s="458">
        <v>0.27115837175871893</v>
      </c>
      <c r="I753" s="468">
        <v>11.518285105255606</v>
      </c>
    </row>
    <row r="754" spans="1:9" ht="16.5" x14ac:dyDescent="0.3">
      <c r="A754" s="477">
        <v>11328319.87389767</v>
      </c>
      <c r="B754" s="458">
        <v>3.4933682074250738E-2</v>
      </c>
      <c r="C754" s="477">
        <v>11047447.165346265</v>
      </c>
      <c r="D754" s="458">
        <v>8.058857582036083E-2</v>
      </c>
      <c r="E754" s="477">
        <v>17432954.058655825</v>
      </c>
      <c r="F754" s="458">
        <v>0.13801851666132037</v>
      </c>
      <c r="G754" s="477">
        <v>81547098.567740753</v>
      </c>
      <c r="H754" s="458">
        <v>0.27485872560849844</v>
      </c>
      <c r="I754" s="468">
        <v>7.9784060716817811</v>
      </c>
    </row>
    <row r="755" spans="1:9" ht="16.5" x14ac:dyDescent="0.3">
      <c r="A755" s="477">
        <v>5626864.8129831571</v>
      </c>
      <c r="B755" s="458">
        <v>5.3566589935808873E-2</v>
      </c>
      <c r="C755" s="477">
        <v>10195081.090270281</v>
      </c>
      <c r="D755" s="458">
        <v>7.4964893821440226E-2</v>
      </c>
      <c r="E755" s="477">
        <v>18616650.750302121</v>
      </c>
      <c r="F755" s="458">
        <v>0.12514756733178523</v>
      </c>
      <c r="G755" s="477">
        <v>89139386.003032044</v>
      </c>
      <c r="H755" s="458">
        <v>0.26055099480389776</v>
      </c>
      <c r="I755" s="468">
        <v>8.0808551052141322</v>
      </c>
    </row>
    <row r="756" spans="1:9" ht="16.5" x14ac:dyDescent="0.3">
      <c r="A756" s="477">
        <v>1517377.6713966695</v>
      </c>
      <c r="B756" s="458">
        <v>4.5441707330949654E-2</v>
      </c>
      <c r="C756" s="477">
        <v>10906226.585071728</v>
      </c>
      <c r="D756" s="458">
        <v>6.1119817583642488E-2</v>
      </c>
      <c r="E756" s="477">
        <v>22525814.505273506</v>
      </c>
      <c r="F756" s="458">
        <v>9.0863680860477691E-2</v>
      </c>
      <c r="G756" s="477">
        <v>86765262.817342341</v>
      </c>
      <c r="H756" s="458">
        <v>0.26287045871632531</v>
      </c>
      <c r="I756" s="468">
        <v>7.7396455265249964</v>
      </c>
    </row>
    <row r="757" spans="1:9" ht="16.5" x14ac:dyDescent="0.3">
      <c r="A757" s="477">
        <v>7872207.4973262083</v>
      </c>
      <c r="B757" s="458">
        <v>4.2849708361771599E-2</v>
      </c>
      <c r="C757" s="477">
        <v>10687827.490914801</v>
      </c>
      <c r="D757" s="458">
        <v>6.0546031070643602E-2</v>
      </c>
      <c r="E757" s="477">
        <v>15166776.16834474</v>
      </c>
      <c r="F757" s="458">
        <v>9.2012781255045306E-2</v>
      </c>
      <c r="G757" s="477">
        <v>78109622.814450651</v>
      </c>
      <c r="H757" s="458">
        <v>0.27208044841297774</v>
      </c>
      <c r="I757" s="468">
        <v>7.1453088204404374</v>
      </c>
    </row>
    <row r="758" spans="1:9" ht="16.5" x14ac:dyDescent="0.3">
      <c r="A758" s="477">
        <v>1937874.3596343743</v>
      </c>
      <c r="B758" s="458">
        <v>8.3916607354658668E-2</v>
      </c>
      <c r="C758" s="477">
        <v>12078791.387748953</v>
      </c>
      <c r="D758" s="458">
        <v>5.7750147813660391E-2</v>
      </c>
      <c r="E758" s="477">
        <v>17711699.072553184</v>
      </c>
      <c r="F758" s="458">
        <v>0.12037744329651057</v>
      </c>
      <c r="G758" s="477">
        <v>86913851.917659327</v>
      </c>
      <c r="H758" s="458">
        <v>0.26966562703452723</v>
      </c>
      <c r="I758" s="468">
        <v>5.1199255129845653</v>
      </c>
    </row>
    <row r="759" spans="1:9" ht="16.5" x14ac:dyDescent="0.3">
      <c r="A759" s="477">
        <v>5716555.6547235493</v>
      </c>
      <c r="B759" s="458">
        <v>2.8399538131797186E-2</v>
      </c>
      <c r="C759" s="477">
        <v>8125833.4620158812</v>
      </c>
      <c r="D759" s="458">
        <v>7.9332352958169317E-2</v>
      </c>
      <c r="E759" s="477">
        <v>21630066.699491695</v>
      </c>
      <c r="F759" s="458">
        <v>0.11012093916721888</v>
      </c>
      <c r="G759" s="477">
        <v>86807642.434573546</v>
      </c>
      <c r="H759" s="458">
        <v>0.2730349882676828</v>
      </c>
      <c r="I759" s="468">
        <v>10.005476166608368</v>
      </c>
    </row>
    <row r="760" spans="1:9" ht="16.5" x14ac:dyDescent="0.3">
      <c r="A760" s="477">
        <v>5955911.9115912626</v>
      </c>
      <c r="B760" s="458">
        <v>3.2647159022579197E-2</v>
      </c>
      <c r="C760" s="477">
        <v>3215572.3181974385</v>
      </c>
      <c r="D760" s="458">
        <v>7.5871302274458374E-2</v>
      </c>
      <c r="E760" s="477">
        <v>17216975.24992663</v>
      </c>
      <c r="F760" s="458">
        <v>0.10825469981550584</v>
      </c>
      <c r="G760" s="477">
        <v>94143502.144668937</v>
      </c>
      <c r="H760" s="458">
        <v>0.26890003828089193</v>
      </c>
      <c r="I760" s="468">
        <v>4.5381222321906129</v>
      </c>
    </row>
    <row r="761" spans="1:9" ht="16.5" x14ac:dyDescent="0.3">
      <c r="A761" s="477">
        <v>6678119.6521720765</v>
      </c>
      <c r="B761" s="458">
        <v>5.0856986979695318E-2</v>
      </c>
      <c r="C761" s="477">
        <v>12205728.213484392</v>
      </c>
      <c r="D761" s="458">
        <v>7.2226025235869074E-2</v>
      </c>
      <c r="E761" s="477">
        <v>17043482.684157316</v>
      </c>
      <c r="F761" s="458">
        <v>9.4218370906689719E-2</v>
      </c>
      <c r="G761" s="477">
        <v>85240281.912458345</v>
      </c>
      <c r="H761" s="458">
        <v>0.27310844201679463</v>
      </c>
      <c r="I761" s="468">
        <v>7.763626319609048</v>
      </c>
    </row>
    <row r="762" spans="1:9" ht="16.5" x14ac:dyDescent="0.3">
      <c r="A762" s="477">
        <v>8112892.3132687816</v>
      </c>
      <c r="B762" s="458">
        <v>6.2527824838982671E-2</v>
      </c>
      <c r="C762" s="477">
        <v>11556125.112972654</v>
      </c>
      <c r="D762" s="458">
        <v>4.1261574023682357E-2</v>
      </c>
      <c r="E762" s="477">
        <v>14623595.077482237</v>
      </c>
      <c r="F762" s="458">
        <v>0.10952576503714462</v>
      </c>
      <c r="G762" s="477">
        <v>82996209.501336023</v>
      </c>
      <c r="H762" s="458">
        <v>0.26581363309960127</v>
      </c>
      <c r="I762" s="468">
        <v>9.5767210372171903</v>
      </c>
    </row>
    <row r="763" spans="1:9" ht="16.5" x14ac:dyDescent="0.3">
      <c r="A763" s="477">
        <v>1293757.9673111725</v>
      </c>
      <c r="B763" s="458">
        <v>5.0580889311570676E-2</v>
      </c>
      <c r="C763" s="477">
        <v>5919958.0528974514</v>
      </c>
      <c r="D763" s="458">
        <v>5.1384203288289187E-2</v>
      </c>
      <c r="E763" s="477">
        <v>22793828.467211161</v>
      </c>
      <c r="F763" s="458">
        <v>8.925390280168588E-2</v>
      </c>
      <c r="G763" s="477">
        <v>70814318.435371354</v>
      </c>
      <c r="H763" s="458">
        <v>0.27607662076145667</v>
      </c>
      <c r="I763" s="468">
        <v>12.567781791535101</v>
      </c>
    </row>
    <row r="764" spans="1:9" ht="16.5" x14ac:dyDescent="0.3">
      <c r="A764" s="477">
        <v>10289468.848007774</v>
      </c>
      <c r="B764" s="458">
        <v>2.953311196708297E-2</v>
      </c>
      <c r="C764" s="477">
        <v>8595314.3011740837</v>
      </c>
      <c r="D764" s="458">
        <v>0.10018240032630543</v>
      </c>
      <c r="E764" s="477">
        <v>19846264.078166567</v>
      </c>
      <c r="F764" s="458">
        <v>0.11288453057637926</v>
      </c>
      <c r="G764" s="477">
        <v>90128045.048860759</v>
      </c>
      <c r="H764" s="458">
        <v>0.25387846973557959</v>
      </c>
      <c r="I764" s="468">
        <v>11.97921253621646</v>
      </c>
    </row>
    <row r="765" spans="1:9" ht="16.5" x14ac:dyDescent="0.3">
      <c r="A765" s="477">
        <v>6090664.7803052086</v>
      </c>
      <c r="B765" s="458">
        <v>4.740050397615847E-2</v>
      </c>
      <c r="C765" s="477">
        <v>7135015.278128461</v>
      </c>
      <c r="D765" s="458">
        <v>6.5302055814036031E-2</v>
      </c>
      <c r="E765" s="477">
        <v>17746983.802761544</v>
      </c>
      <c r="F765" s="458">
        <v>9.3039491829258081E-2</v>
      </c>
      <c r="G765" s="477">
        <v>88165412.221936584</v>
      </c>
      <c r="H765" s="458">
        <v>0.29585968413515062</v>
      </c>
      <c r="I765" s="468">
        <v>3.4441028803510934</v>
      </c>
    </row>
    <row r="766" spans="1:9" ht="16.5" x14ac:dyDescent="0.3">
      <c r="A766" s="477">
        <v>4756651.9418941671</v>
      </c>
      <c r="B766" s="458">
        <v>4.0376530577345804E-2</v>
      </c>
      <c r="C766" s="477">
        <v>5524267.9321756605</v>
      </c>
      <c r="D766" s="458">
        <v>4.3607631372311717E-2</v>
      </c>
      <c r="E766" s="477">
        <v>9106675.013770191</v>
      </c>
      <c r="F766" s="458">
        <v>0.11704269000300216</v>
      </c>
      <c r="G766" s="477">
        <v>100071603.78704073</v>
      </c>
      <c r="H766" s="458">
        <v>0.2839958845014483</v>
      </c>
      <c r="I766" s="468">
        <v>7.9366410024443557</v>
      </c>
    </row>
    <row r="767" spans="1:9" ht="16.5" x14ac:dyDescent="0.3">
      <c r="A767" s="477">
        <v>441370.50019725214</v>
      </c>
      <c r="B767" s="458">
        <v>3.4715821484173848E-2</v>
      </c>
      <c r="C767" s="477">
        <v>11585267.470169932</v>
      </c>
      <c r="D767" s="458">
        <v>4.4152532026682012E-2</v>
      </c>
      <c r="E767" s="477">
        <v>11664241.032110296</v>
      </c>
      <c r="F767" s="458">
        <v>0.1053135130384566</v>
      </c>
      <c r="G767" s="477">
        <v>89315578.398319542</v>
      </c>
      <c r="H767" s="458">
        <v>0.2937410043139761</v>
      </c>
      <c r="I767" s="468">
        <v>4.475618952564286</v>
      </c>
    </row>
    <row r="768" spans="1:9" ht="16.5" x14ac:dyDescent="0.3">
      <c r="A768" s="477">
        <v>6495267.668080599</v>
      </c>
      <c r="B768" s="458">
        <v>3.9464143647439665E-2</v>
      </c>
      <c r="C768" s="477">
        <v>11829623.61012671</v>
      </c>
      <c r="D768" s="458">
        <v>5.8264631563797575E-2</v>
      </c>
      <c r="E768" s="477">
        <v>21046161.408086579</v>
      </c>
      <c r="F768" s="458">
        <v>0.14032453116799859</v>
      </c>
      <c r="G768" s="477">
        <v>98083774.497821063</v>
      </c>
      <c r="H768" s="458">
        <v>0.28322814618293135</v>
      </c>
      <c r="I768" s="468">
        <v>8.2493852997531789</v>
      </c>
    </row>
    <row r="769" spans="1:9" ht="16.5" x14ac:dyDescent="0.3">
      <c r="A769" s="477">
        <v>5411297.7884580093</v>
      </c>
      <c r="B769" s="458">
        <v>5.0634972214221863E-2</v>
      </c>
      <c r="C769" s="477">
        <v>12494824.313068662</v>
      </c>
      <c r="D769" s="458">
        <v>8.65884025809045E-2</v>
      </c>
      <c r="E769" s="477">
        <v>15553211.902824238</v>
      </c>
      <c r="F769" s="458">
        <v>0.11922381418079531</v>
      </c>
      <c r="G769" s="477">
        <v>93550226.145563602</v>
      </c>
      <c r="H769" s="458">
        <v>0.26885185083267271</v>
      </c>
      <c r="I769" s="468">
        <v>9.7423453765708565</v>
      </c>
    </row>
    <row r="770" spans="1:9" ht="16.5" x14ac:dyDescent="0.3">
      <c r="A770" s="477">
        <v>3942016.7432350968</v>
      </c>
      <c r="B770" s="458">
        <v>6.7339633556874334E-2</v>
      </c>
      <c r="C770" s="477">
        <v>12664774.614867575</v>
      </c>
      <c r="D770" s="458">
        <v>4.8657109753545758E-2</v>
      </c>
      <c r="E770" s="477">
        <v>19418626.198958997</v>
      </c>
      <c r="F770" s="458">
        <v>0.12073262067561119</v>
      </c>
      <c r="G770" s="477">
        <v>87985177.014976308</v>
      </c>
      <c r="H770" s="458">
        <v>0.27570369932994443</v>
      </c>
      <c r="I770" s="468">
        <v>10.991362278872396</v>
      </c>
    </row>
    <row r="771" spans="1:9" ht="16.5" x14ac:dyDescent="0.3">
      <c r="A771" s="477">
        <v>4593631.5162832029</v>
      </c>
      <c r="B771" s="458">
        <v>1.765607343758191E-2</v>
      </c>
      <c r="C771" s="477">
        <v>7634995.2758693267</v>
      </c>
      <c r="D771" s="458">
        <v>5.7813068907088594E-2</v>
      </c>
      <c r="E771" s="477">
        <v>13613482.924769638</v>
      </c>
      <c r="F771" s="458">
        <v>0.11851189612903545</v>
      </c>
      <c r="G771" s="477">
        <v>89286197.706510812</v>
      </c>
      <c r="H771" s="458">
        <v>0.26830579223051543</v>
      </c>
      <c r="I771" s="468">
        <v>12.392197385012256</v>
      </c>
    </row>
    <row r="772" spans="1:9" ht="16.5" x14ac:dyDescent="0.3">
      <c r="A772" s="477">
        <v>5410205.8891723854</v>
      </c>
      <c r="B772" s="458">
        <v>8.5825434731573891E-2</v>
      </c>
      <c r="C772" s="477">
        <v>12834067.725534467</v>
      </c>
      <c r="D772" s="458">
        <v>7.2041195347007481E-2</v>
      </c>
      <c r="E772" s="477">
        <v>15893166.501500674</v>
      </c>
      <c r="F772" s="458">
        <v>0.12062138140001011</v>
      </c>
      <c r="G772" s="477">
        <v>92665724.430693954</v>
      </c>
      <c r="H772" s="458">
        <v>0.26434498488948588</v>
      </c>
      <c r="I772" s="468">
        <v>7.9863882998791809</v>
      </c>
    </row>
    <row r="773" spans="1:9" ht="16.5" x14ac:dyDescent="0.3">
      <c r="A773" s="477">
        <v>3285030.0820150045</v>
      </c>
      <c r="B773" s="458">
        <v>3.9788840765272004E-2</v>
      </c>
      <c r="C773" s="477">
        <v>8673540.9570424668</v>
      </c>
      <c r="D773" s="458">
        <v>6.9193305926834592E-2</v>
      </c>
      <c r="E773" s="477">
        <v>22764202.840823848</v>
      </c>
      <c r="F773" s="458">
        <v>0.13430687116455742</v>
      </c>
      <c r="G773" s="477">
        <v>82540397.147688195</v>
      </c>
      <c r="H773" s="458">
        <v>0.26723915081628835</v>
      </c>
      <c r="I773" s="468">
        <v>3.5435385104988102</v>
      </c>
    </row>
    <row r="774" spans="1:9" ht="16.5" x14ac:dyDescent="0.3">
      <c r="A774" s="477">
        <v>469271.02638881531</v>
      </c>
      <c r="B774" s="458">
        <v>4.0058644134158827E-2</v>
      </c>
      <c r="C774" s="477">
        <v>9486903.1826782823</v>
      </c>
      <c r="D774" s="458">
        <v>7.2512022973547197E-2</v>
      </c>
      <c r="E774" s="477">
        <v>12314011.849094817</v>
      </c>
      <c r="F774" s="458">
        <v>0.13778436647303538</v>
      </c>
      <c r="G774" s="477">
        <v>89819630.502831906</v>
      </c>
      <c r="H774" s="458">
        <v>0.28426540701369474</v>
      </c>
      <c r="I774" s="468">
        <v>10.909886578095987</v>
      </c>
    </row>
    <row r="775" spans="1:9" ht="16.5" x14ac:dyDescent="0.3">
      <c r="A775" s="477">
        <v>3109730.4825997464</v>
      </c>
      <c r="B775" s="458">
        <v>5.8594612030947513E-2</v>
      </c>
      <c r="C775" s="477">
        <v>8993637.472105287</v>
      </c>
      <c r="D775" s="458">
        <v>6.9252907304125255E-2</v>
      </c>
      <c r="E775" s="477">
        <v>15268705.065047922</v>
      </c>
      <c r="F775" s="458">
        <v>9.5707370768598032E-2</v>
      </c>
      <c r="G775" s="477">
        <v>86992788.132580444</v>
      </c>
      <c r="H775" s="458">
        <v>0.2660107380571195</v>
      </c>
      <c r="I775" s="468">
        <v>14.657395763675442</v>
      </c>
    </row>
    <row r="776" spans="1:9" ht="16.5" x14ac:dyDescent="0.3">
      <c r="A776" s="477">
        <v>8939191.423034329</v>
      </c>
      <c r="B776" s="458">
        <v>3.755969968582451E-2</v>
      </c>
      <c r="C776" s="477">
        <v>14008409.626140058</v>
      </c>
      <c r="D776" s="458">
        <v>8.003373657267332E-2</v>
      </c>
      <c r="E776" s="477">
        <v>15143500.666301336</v>
      </c>
      <c r="F776" s="458">
        <v>9.4346304082903343E-2</v>
      </c>
      <c r="G776" s="477">
        <v>100314848.83195248</v>
      </c>
      <c r="H776" s="458">
        <v>0.27896479690146014</v>
      </c>
      <c r="I776" s="468">
        <v>11.840014772534726</v>
      </c>
    </row>
    <row r="777" spans="1:9" ht="16.5" x14ac:dyDescent="0.3">
      <c r="A777" s="477">
        <v>8169493.768573002</v>
      </c>
      <c r="B777" s="458">
        <v>3.2559577664820205E-2</v>
      </c>
      <c r="C777" s="477">
        <v>2625002.2292721975</v>
      </c>
      <c r="D777" s="458">
        <v>8.2296512585531278E-2</v>
      </c>
      <c r="E777" s="477">
        <v>22537266.74865609</v>
      </c>
      <c r="F777" s="458">
        <v>0.12400264563388141</v>
      </c>
      <c r="G777" s="477">
        <v>102688000.97605942</v>
      </c>
      <c r="H777" s="458">
        <v>0.26852368772188684</v>
      </c>
      <c r="I777" s="468">
        <v>6.7347029386995585</v>
      </c>
    </row>
    <row r="778" spans="1:9" ht="16.5" x14ac:dyDescent="0.3">
      <c r="A778" s="477">
        <v>10272181.1946963</v>
      </c>
      <c r="B778" s="458">
        <v>3.5591744509429368E-2</v>
      </c>
      <c r="C778" s="477">
        <v>-3313541.4962392631</v>
      </c>
      <c r="D778" s="458">
        <v>7.6569541267980101E-2</v>
      </c>
      <c r="E778" s="477">
        <v>16307722.724448813</v>
      </c>
      <c r="F778" s="458">
        <v>0.1139895100046262</v>
      </c>
      <c r="G778" s="477">
        <v>89641348.933628485</v>
      </c>
      <c r="H778" s="458">
        <v>0.28675543619024468</v>
      </c>
      <c r="I778" s="468">
        <v>7.8265095128838045</v>
      </c>
    </row>
    <row r="779" spans="1:9" ht="16.5" x14ac:dyDescent="0.3">
      <c r="A779" s="477">
        <v>9393202.9567901213</v>
      </c>
      <c r="B779" s="458">
        <v>3.0252940663321182E-2</v>
      </c>
      <c r="C779" s="477">
        <v>8634194.8535637576</v>
      </c>
      <c r="D779" s="458">
        <v>5.0134175201141051E-2</v>
      </c>
      <c r="E779" s="477">
        <v>11522666.190203801</v>
      </c>
      <c r="F779" s="458">
        <v>9.5647426578383987E-2</v>
      </c>
      <c r="G779" s="477">
        <v>91168279.389314607</v>
      </c>
      <c r="H779" s="458">
        <v>0.29115248611008648</v>
      </c>
      <c r="I779" s="468">
        <v>6.0985391072528916</v>
      </c>
    </row>
    <row r="780" spans="1:9" ht="16.5" x14ac:dyDescent="0.3">
      <c r="A780" s="477">
        <v>1945657.2133743428</v>
      </c>
      <c r="B780" s="458">
        <v>3.586287307752456E-2</v>
      </c>
      <c r="C780" s="477">
        <v>13799667.693166958</v>
      </c>
      <c r="D780" s="458">
        <v>7.0421505375077631E-2</v>
      </c>
      <c r="E780" s="477">
        <v>17897660.220580745</v>
      </c>
      <c r="F780" s="458">
        <v>0.12326217637560299</v>
      </c>
      <c r="G780" s="477">
        <v>72646283.776179314</v>
      </c>
      <c r="H780" s="458">
        <v>0.26892068902377919</v>
      </c>
      <c r="I780" s="468">
        <v>8.8492723834525702</v>
      </c>
    </row>
    <row r="781" spans="1:9" ht="16.5" x14ac:dyDescent="0.3">
      <c r="A781" s="477">
        <v>7184672.3849947536</v>
      </c>
      <c r="B781" s="458">
        <v>3.8319001166498667E-2</v>
      </c>
      <c r="C781" s="477">
        <v>9980783.3464285042</v>
      </c>
      <c r="D781" s="458">
        <v>4.742242587408918E-2</v>
      </c>
      <c r="E781" s="477">
        <v>16726842.17623597</v>
      </c>
      <c r="F781" s="458">
        <v>9.8254139353900705E-2</v>
      </c>
      <c r="G781" s="477">
        <v>84336006.004091948</v>
      </c>
      <c r="H781" s="458">
        <v>0.2567552277318299</v>
      </c>
      <c r="I781" s="468">
        <v>4.7091060378450313</v>
      </c>
    </row>
    <row r="782" spans="1:9" ht="16.5" x14ac:dyDescent="0.3">
      <c r="A782" s="477">
        <v>8901292.0448549427</v>
      </c>
      <c r="B782" s="458">
        <v>4.6347874169818226E-2</v>
      </c>
      <c r="C782" s="477">
        <v>4626618.6408572141</v>
      </c>
      <c r="D782" s="458">
        <v>6.3467878114479737E-2</v>
      </c>
      <c r="E782" s="477">
        <v>18175431.576194521</v>
      </c>
      <c r="F782" s="458">
        <v>0.13916104937167129</v>
      </c>
      <c r="G782" s="477">
        <v>95210576.882918</v>
      </c>
      <c r="H782" s="458">
        <v>0.27382543291343175</v>
      </c>
      <c r="I782" s="468">
        <v>13.775227089972699</v>
      </c>
    </row>
    <row r="783" spans="1:9" ht="16.5" x14ac:dyDescent="0.3">
      <c r="A783" s="477">
        <v>6708936.0024661534</v>
      </c>
      <c r="B783" s="458">
        <v>5.7625422621486289E-2</v>
      </c>
      <c r="C783" s="477">
        <v>10367338.463845987</v>
      </c>
      <c r="D783" s="458">
        <v>6.6363690936501962E-2</v>
      </c>
      <c r="E783" s="477">
        <v>15522733.251738744</v>
      </c>
      <c r="F783" s="458">
        <v>0.10873707252326104</v>
      </c>
      <c r="G783" s="477">
        <v>79314299.650641233</v>
      </c>
      <c r="H783" s="458">
        <v>0.26349028474008218</v>
      </c>
      <c r="I783" s="468">
        <v>7.8342837331515582</v>
      </c>
    </row>
    <row r="784" spans="1:9" ht="16.5" x14ac:dyDescent="0.3">
      <c r="A784" s="477">
        <v>7626383.725816438</v>
      </c>
      <c r="B784" s="458">
        <v>5.5973585298254136E-2</v>
      </c>
      <c r="C784" s="477">
        <v>14253623.04247863</v>
      </c>
      <c r="D784" s="458">
        <v>6.9074152625677288E-2</v>
      </c>
      <c r="E784" s="477">
        <v>21344541.42054709</v>
      </c>
      <c r="F784" s="458">
        <v>0.10521113389195702</v>
      </c>
      <c r="G784" s="477">
        <v>87998990.629512817</v>
      </c>
      <c r="H784" s="458">
        <v>0.26923884579962554</v>
      </c>
      <c r="I784" s="468">
        <v>8.5527608064806593</v>
      </c>
    </row>
    <row r="785" spans="1:9" ht="16.5" x14ac:dyDescent="0.3">
      <c r="A785" s="477">
        <v>5198663.3849717323</v>
      </c>
      <c r="B785" s="458">
        <v>4.5091602904703487E-2</v>
      </c>
      <c r="C785" s="477">
        <v>5227919.3644550471</v>
      </c>
      <c r="D785" s="458">
        <v>4.5581879585341545E-2</v>
      </c>
      <c r="E785" s="477">
        <v>8834363.6995029263</v>
      </c>
      <c r="F785" s="458">
        <v>0.11186647595592891</v>
      </c>
      <c r="G785" s="477">
        <v>82366426.431039035</v>
      </c>
      <c r="H785" s="458">
        <v>0.26245505551924997</v>
      </c>
      <c r="I785" s="468">
        <v>3.4756457746300224</v>
      </c>
    </row>
    <row r="786" spans="1:9" ht="16.5" x14ac:dyDescent="0.3">
      <c r="A786" s="477">
        <v>7216944.180163715</v>
      </c>
      <c r="B786" s="458">
        <v>1.8856751120340354E-2</v>
      </c>
      <c r="C786" s="477">
        <v>16378929.048456572</v>
      </c>
      <c r="D786" s="458">
        <v>6.1370277133143691E-2</v>
      </c>
      <c r="E786" s="477">
        <v>17878045.327135216</v>
      </c>
      <c r="F786" s="458">
        <v>0.11503901368582858</v>
      </c>
      <c r="G786" s="477">
        <v>86774249.909502611</v>
      </c>
      <c r="H786" s="458">
        <v>0.25788641247634203</v>
      </c>
      <c r="I786" s="468">
        <v>0.24191941906419689</v>
      </c>
    </row>
    <row r="787" spans="1:9" ht="16.5" x14ac:dyDescent="0.3">
      <c r="A787" s="477">
        <v>7303914.2305180579</v>
      </c>
      <c r="B787" s="458">
        <v>2.7609900131364773E-2</v>
      </c>
      <c r="C787" s="477">
        <v>15262244.788680544</v>
      </c>
      <c r="D787" s="458">
        <v>6.7876643972377693E-2</v>
      </c>
      <c r="E787" s="477">
        <v>26826713.938990809</v>
      </c>
      <c r="F787" s="458">
        <v>0.17543271632983792</v>
      </c>
      <c r="G787" s="477">
        <v>89822594.942538545</v>
      </c>
      <c r="H787" s="458">
        <v>0.26664187035322851</v>
      </c>
      <c r="I787" s="468">
        <v>2.6021760547592772</v>
      </c>
    </row>
    <row r="788" spans="1:9" ht="16.5" x14ac:dyDescent="0.3">
      <c r="A788" s="477">
        <v>4205176.9808831243</v>
      </c>
      <c r="B788" s="458">
        <v>5.2642965614553283E-2</v>
      </c>
      <c r="C788" s="477">
        <v>6006873.4443666544</v>
      </c>
      <c r="D788" s="458">
        <v>5.3212526915447755E-2</v>
      </c>
      <c r="E788" s="477">
        <v>15295757.076441659</v>
      </c>
      <c r="F788" s="458">
        <v>9.9560464079132105E-2</v>
      </c>
      <c r="G788" s="477">
        <v>79368762.24871473</v>
      </c>
      <c r="H788" s="458">
        <v>0.25629495459948415</v>
      </c>
      <c r="I788" s="468">
        <v>9.5560855582928461</v>
      </c>
    </row>
    <row r="789" spans="1:9" ht="16.5" x14ac:dyDescent="0.3">
      <c r="A789" s="477">
        <v>6729267.5332096517</v>
      </c>
      <c r="B789" s="458">
        <v>5.1922042597177587E-2</v>
      </c>
      <c r="C789" s="477">
        <v>7199993.8945320342</v>
      </c>
      <c r="D789" s="458">
        <v>7.500543696821671E-2</v>
      </c>
      <c r="E789" s="477">
        <v>11453096.242881043</v>
      </c>
      <c r="F789" s="458">
        <v>0.11896627225680612</v>
      </c>
      <c r="G789" s="477">
        <v>100417952.11418365</v>
      </c>
      <c r="H789" s="458">
        <v>0.29335370931316262</v>
      </c>
      <c r="I789" s="468">
        <v>7.9844126509854245</v>
      </c>
    </row>
    <row r="790" spans="1:9" ht="16.5" x14ac:dyDescent="0.3">
      <c r="A790" s="477">
        <v>2701102.1918540141</v>
      </c>
      <c r="B790" s="458">
        <v>3.6683375106778549E-2</v>
      </c>
      <c r="C790" s="477">
        <v>11514208.638571192</v>
      </c>
      <c r="D790" s="458">
        <v>8.516158343858482E-2</v>
      </c>
      <c r="E790" s="477">
        <v>13564913.116794731</v>
      </c>
      <c r="F790" s="458">
        <v>7.9568877295948637E-2</v>
      </c>
      <c r="G790" s="477">
        <v>90316621.069812864</v>
      </c>
      <c r="H790" s="458">
        <v>0.24661892836600785</v>
      </c>
      <c r="I790" s="468">
        <v>10.220209547125098</v>
      </c>
    </row>
    <row r="791" spans="1:9" ht="16.5" x14ac:dyDescent="0.3">
      <c r="A791" s="477">
        <v>3559815.3335660729</v>
      </c>
      <c r="B791" s="458">
        <v>4.3506233733124011E-2</v>
      </c>
      <c r="C791" s="477">
        <v>2653162.8274025004</v>
      </c>
      <c r="D791" s="458">
        <v>4.9593715663480031E-2</v>
      </c>
      <c r="E791" s="477">
        <v>12926867.384521427</v>
      </c>
      <c r="F791" s="458">
        <v>0.13030796004488621</v>
      </c>
      <c r="G791" s="477">
        <v>94611097.2556988</v>
      </c>
      <c r="H791" s="458">
        <v>0.26258028870205252</v>
      </c>
      <c r="I791" s="468">
        <v>12.892684469642436</v>
      </c>
    </row>
    <row r="792" spans="1:9" ht="16.5" x14ac:dyDescent="0.3">
      <c r="A792" s="477">
        <v>6282757.5696230428</v>
      </c>
      <c r="B792" s="458">
        <v>3.598834710076626E-2</v>
      </c>
      <c r="C792" s="477">
        <v>14203204.869351398</v>
      </c>
      <c r="D792" s="458">
        <v>6.5542417794962837E-2</v>
      </c>
      <c r="E792" s="477">
        <v>15948262.130828388</v>
      </c>
      <c r="F792" s="458">
        <v>0.10819558154105002</v>
      </c>
      <c r="G792" s="477">
        <v>75081568.538759202</v>
      </c>
      <c r="H792" s="458">
        <v>0.27785550106224122</v>
      </c>
      <c r="I792" s="468">
        <v>-0.12185962019517582</v>
      </c>
    </row>
    <row r="793" spans="1:9" ht="16.5" x14ac:dyDescent="0.3">
      <c r="A793" s="477">
        <v>7985573.0891912933</v>
      </c>
      <c r="B793" s="458">
        <v>4.8305466724035018E-2</v>
      </c>
      <c r="C793" s="477">
        <v>6727910.2439588727</v>
      </c>
      <c r="D793" s="458">
        <v>8.8785893862524778E-2</v>
      </c>
      <c r="E793" s="477">
        <v>10462041.046258133</v>
      </c>
      <c r="F793" s="458">
        <v>0.11941683874772258</v>
      </c>
      <c r="G793" s="477">
        <v>96530127.740661442</v>
      </c>
      <c r="H793" s="458">
        <v>0.27457029943021971</v>
      </c>
      <c r="I793" s="468">
        <v>7.9336346001202322</v>
      </c>
    </row>
    <row r="794" spans="1:9" ht="16.5" x14ac:dyDescent="0.3">
      <c r="A794" s="477">
        <v>7165607.0755065447</v>
      </c>
      <c r="B794" s="458">
        <v>5.5686190934705282E-2</v>
      </c>
      <c r="C794" s="477">
        <v>3013316.6404088624</v>
      </c>
      <c r="D794" s="458">
        <v>4.1241991959923174E-2</v>
      </c>
      <c r="E794" s="477">
        <v>16686060.858251806</v>
      </c>
      <c r="F794" s="458">
        <v>0.11058516973444643</v>
      </c>
      <c r="G794" s="477">
        <v>81242705.830424145</v>
      </c>
      <c r="H794" s="458">
        <v>0.25727188643179333</v>
      </c>
      <c r="I794" s="468">
        <v>7.1697079952226526</v>
      </c>
    </row>
    <row r="795" spans="1:9" ht="16.5" x14ac:dyDescent="0.3">
      <c r="A795" s="477">
        <v>10136654.110634902</v>
      </c>
      <c r="B795" s="458">
        <v>4.1147824830612079E-2</v>
      </c>
      <c r="C795" s="477">
        <v>10857807.306442065</v>
      </c>
      <c r="D795" s="458">
        <v>5.7360372950017169E-2</v>
      </c>
      <c r="E795" s="477">
        <v>13092143.473218728</v>
      </c>
      <c r="F795" s="458">
        <v>0.1198283062763541</v>
      </c>
      <c r="G795" s="477">
        <v>92549189.969004348</v>
      </c>
      <c r="H795" s="458">
        <v>0.28549746730767667</v>
      </c>
      <c r="I795" s="468">
        <v>8.7477952549152569</v>
      </c>
    </row>
    <row r="796" spans="1:9" ht="16.5" x14ac:dyDescent="0.3">
      <c r="A796" s="477">
        <v>5031382.7498555472</v>
      </c>
      <c r="B796" s="458">
        <v>5.8067767917678204E-2</v>
      </c>
      <c r="C796" s="477">
        <v>14432227.420186032</v>
      </c>
      <c r="D796" s="458">
        <v>6.174253835624377E-2</v>
      </c>
      <c r="E796" s="477">
        <v>21909417.531597991</v>
      </c>
      <c r="F796" s="458">
        <v>0.10338960242170403</v>
      </c>
      <c r="G796" s="477">
        <v>82368913.228812143</v>
      </c>
      <c r="H796" s="458">
        <v>0.24943951718600599</v>
      </c>
      <c r="I796" s="468">
        <v>11.205048442990282</v>
      </c>
    </row>
    <row r="797" spans="1:9" ht="16.5" x14ac:dyDescent="0.3">
      <c r="A797" s="477">
        <v>7776810.0690849805</v>
      </c>
      <c r="B797" s="458">
        <v>3.5046195009394099E-2</v>
      </c>
      <c r="C797" s="477">
        <v>11853063.829830928</v>
      </c>
      <c r="D797" s="458">
        <v>9.0586607124941709E-2</v>
      </c>
      <c r="E797" s="477">
        <v>15347917.926640689</v>
      </c>
      <c r="F797" s="458">
        <v>9.9803640582158737E-2</v>
      </c>
      <c r="G797" s="477">
        <v>83932210.243120328</v>
      </c>
      <c r="H797" s="458">
        <v>0.26513026501906034</v>
      </c>
      <c r="I797" s="468">
        <v>5.86485650191264</v>
      </c>
    </row>
    <row r="798" spans="1:9" ht="16.5" x14ac:dyDescent="0.3">
      <c r="A798" s="477">
        <v>5526247.144289148</v>
      </c>
      <c r="B798" s="458">
        <v>5.6098877277141801E-2</v>
      </c>
      <c r="C798" s="477">
        <v>12075604.031163348</v>
      </c>
      <c r="D798" s="458">
        <v>7.3019280585805868E-2</v>
      </c>
      <c r="E798" s="477">
        <v>19615498.703647222</v>
      </c>
      <c r="F798" s="458">
        <v>9.4484233782956339E-2</v>
      </c>
      <c r="G798" s="477">
        <v>84032106.764016256</v>
      </c>
      <c r="H798" s="458">
        <v>0.29681509199285605</v>
      </c>
      <c r="I798" s="468">
        <v>6.6954691809030198</v>
      </c>
    </row>
    <row r="799" spans="1:9" ht="16.5" x14ac:dyDescent="0.3">
      <c r="A799" s="477">
        <v>1689168.3341274951</v>
      </c>
      <c r="B799" s="458">
        <v>5.739915480833524E-2</v>
      </c>
      <c r="C799" s="477">
        <v>5971639.3171508638</v>
      </c>
      <c r="D799" s="458">
        <v>5.5602394038036795E-2</v>
      </c>
      <c r="E799" s="477">
        <v>10741562.288072079</v>
      </c>
      <c r="F799" s="458">
        <v>0.11006307432068407</v>
      </c>
      <c r="G799" s="477">
        <v>83193454.0029075</v>
      </c>
      <c r="H799" s="458">
        <v>0.2689334754265098</v>
      </c>
      <c r="I799" s="468">
        <v>3.6794630215526345</v>
      </c>
    </row>
    <row r="800" spans="1:9" ht="16.5" x14ac:dyDescent="0.3">
      <c r="A800" s="477">
        <v>2261556.1490624775</v>
      </c>
      <c r="B800" s="458">
        <v>1.9614532009565977E-2</v>
      </c>
      <c r="C800" s="477">
        <v>12597297.485987073</v>
      </c>
      <c r="D800" s="458">
        <v>7.5287088153941584E-2</v>
      </c>
      <c r="E800" s="477">
        <v>13415485.206326738</v>
      </c>
      <c r="F800" s="458">
        <v>9.0001002437401612E-2</v>
      </c>
      <c r="G800" s="477">
        <v>86731669.411509052</v>
      </c>
      <c r="H800" s="458">
        <v>0.26528611059107154</v>
      </c>
      <c r="I800" s="468">
        <v>5.7734604672975589</v>
      </c>
    </row>
    <row r="801" spans="1:9" ht="16.5" x14ac:dyDescent="0.3">
      <c r="A801" s="477">
        <v>2061917.8946712594</v>
      </c>
      <c r="B801" s="458">
        <v>5.5495799267870405E-2</v>
      </c>
      <c r="C801" s="477">
        <v>8994577.4100513961</v>
      </c>
      <c r="D801" s="458">
        <v>7.7913755682445407E-2</v>
      </c>
      <c r="E801" s="477">
        <v>15566562.931907346</v>
      </c>
      <c r="F801" s="458">
        <v>0.10312480619916231</v>
      </c>
      <c r="G801" s="477">
        <v>84338866.362730548</v>
      </c>
      <c r="H801" s="458">
        <v>0.2754028671744424</v>
      </c>
      <c r="I801" s="468">
        <v>12.172545189674672</v>
      </c>
    </row>
    <row r="802" spans="1:9" ht="16.5" x14ac:dyDescent="0.3">
      <c r="A802" s="477">
        <v>6520190.7398416791</v>
      </c>
      <c r="B802" s="458">
        <v>2.4348328112877571E-2</v>
      </c>
      <c r="C802" s="477">
        <v>4660257.8251660159</v>
      </c>
      <c r="D802" s="458">
        <v>5.5257044855936854E-2</v>
      </c>
      <c r="E802" s="477">
        <v>20117852.893818006</v>
      </c>
      <c r="F802" s="458">
        <v>9.0424587321332961E-2</v>
      </c>
      <c r="G802" s="477">
        <v>108459614.90873478</v>
      </c>
      <c r="H802" s="458">
        <v>0.26274609092182799</v>
      </c>
      <c r="I802" s="468">
        <v>13.7740589990049</v>
      </c>
    </row>
    <row r="803" spans="1:9" ht="16.5" x14ac:dyDescent="0.3">
      <c r="A803" s="477">
        <v>6481703.5032773158</v>
      </c>
      <c r="B803" s="458">
        <v>4.4540528163082405E-2</v>
      </c>
      <c r="C803" s="477">
        <v>6671992.634249974</v>
      </c>
      <c r="D803" s="458">
        <v>7.5347976839148956E-2</v>
      </c>
      <c r="E803" s="477">
        <v>7722210.2441830458</v>
      </c>
      <c r="F803" s="458">
        <v>0.10418674877338208</v>
      </c>
      <c r="G803" s="477">
        <v>83470847.329441085</v>
      </c>
      <c r="H803" s="458">
        <v>0.27448452790670719</v>
      </c>
      <c r="I803" s="468">
        <v>12.579110495646091</v>
      </c>
    </row>
    <row r="804" spans="1:9" ht="16.5" x14ac:dyDescent="0.3">
      <c r="A804" s="477">
        <v>2682563.4089512248</v>
      </c>
      <c r="B804" s="458">
        <v>4.740135036666504E-2</v>
      </c>
      <c r="C804" s="477">
        <v>12122228.749998875</v>
      </c>
      <c r="D804" s="458">
        <v>6.2986913347931273E-2</v>
      </c>
      <c r="E804" s="477">
        <v>17955348.604125544</v>
      </c>
      <c r="F804" s="458">
        <v>8.8524249888379591E-2</v>
      </c>
      <c r="G804" s="477">
        <v>86934312.906805798</v>
      </c>
      <c r="H804" s="458">
        <v>0.26350199360445914</v>
      </c>
      <c r="I804" s="468">
        <v>5.3600914045752219</v>
      </c>
    </row>
    <row r="805" spans="1:9" ht="16.5" x14ac:dyDescent="0.3">
      <c r="A805" s="477">
        <v>5261713.4050848819</v>
      </c>
      <c r="B805" s="458">
        <v>5.1401828870263344E-2</v>
      </c>
      <c r="C805" s="477">
        <v>9644042.2279999126</v>
      </c>
      <c r="D805" s="458">
        <v>8.1522123877684205E-2</v>
      </c>
      <c r="E805" s="477">
        <v>17919708.225523565</v>
      </c>
      <c r="F805" s="458">
        <v>0.14150224179345927</v>
      </c>
      <c r="G805" s="477">
        <v>87623124.517552689</v>
      </c>
      <c r="H805" s="458">
        <v>0.25214989137451593</v>
      </c>
      <c r="I805" s="468">
        <v>9.8892933369368521</v>
      </c>
    </row>
    <row r="806" spans="1:9" ht="16.5" x14ac:dyDescent="0.3">
      <c r="A806" s="477">
        <v>9920725.2081965618</v>
      </c>
      <c r="B806" s="458">
        <v>6.0040317588236913E-2</v>
      </c>
      <c r="C806" s="477">
        <v>3868648.4754509572</v>
      </c>
      <c r="D806" s="458">
        <v>7.4689010849144033E-2</v>
      </c>
      <c r="E806" s="477">
        <v>25901213.014167186</v>
      </c>
      <c r="F806" s="458">
        <v>8.644463265459934E-2</v>
      </c>
      <c r="G806" s="477">
        <v>93299585.674472719</v>
      </c>
      <c r="H806" s="458">
        <v>0.28569492016290066</v>
      </c>
      <c r="I806" s="468">
        <v>11.758710302758054</v>
      </c>
    </row>
    <row r="807" spans="1:9" ht="16.5" x14ac:dyDescent="0.3">
      <c r="A807" s="477">
        <v>3681489.3083308237</v>
      </c>
      <c r="B807" s="458">
        <v>4.2269788292969679E-2</v>
      </c>
      <c r="C807" s="477">
        <v>6392393.5551066548</v>
      </c>
      <c r="D807" s="458">
        <v>4.6639246231608755E-2</v>
      </c>
      <c r="E807" s="477">
        <v>15332674.870116318</v>
      </c>
      <c r="F807" s="458">
        <v>0.10455111143767959</v>
      </c>
      <c r="G807" s="477">
        <v>84510584.739713237</v>
      </c>
      <c r="H807" s="458">
        <v>0.26767561784643235</v>
      </c>
      <c r="I807" s="468">
        <v>12.79808461028767</v>
      </c>
    </row>
    <row r="808" spans="1:9" ht="16.5" x14ac:dyDescent="0.3">
      <c r="A808" s="477">
        <v>4463496.9324468235</v>
      </c>
      <c r="B808" s="458">
        <v>4.1906139319497493E-2</v>
      </c>
      <c r="C808" s="477">
        <v>8581415.5736415964</v>
      </c>
      <c r="D808" s="458">
        <v>4.6785558358719115E-2</v>
      </c>
      <c r="E808" s="477">
        <v>9830266.8091489803</v>
      </c>
      <c r="F808" s="458">
        <v>0.10139475364017447</v>
      </c>
      <c r="G808" s="477">
        <v>93405037.508452505</v>
      </c>
      <c r="H808" s="458">
        <v>0.28270257973588442</v>
      </c>
      <c r="I808" s="468">
        <v>9.5736926035190315</v>
      </c>
    </row>
    <row r="809" spans="1:9" ht="16.5" x14ac:dyDescent="0.3">
      <c r="A809" s="477">
        <v>3775968.3572633099</v>
      </c>
      <c r="B809" s="458">
        <v>4.8480086290968893E-2</v>
      </c>
      <c r="C809" s="477">
        <v>7213380.2634964744</v>
      </c>
      <c r="D809" s="458">
        <v>6.37782500038655E-2</v>
      </c>
      <c r="E809" s="477">
        <v>10082096.656426322</v>
      </c>
      <c r="F809" s="458">
        <v>0.10242855349262614</v>
      </c>
      <c r="G809" s="477">
        <v>88853349.276694834</v>
      </c>
      <c r="H809" s="458">
        <v>0.26275688518831619</v>
      </c>
      <c r="I809" s="468">
        <v>11.5510221237884</v>
      </c>
    </row>
    <row r="810" spans="1:9" ht="16.5" x14ac:dyDescent="0.3">
      <c r="A810" s="477">
        <v>4747918.947989855</v>
      </c>
      <c r="B810" s="458">
        <v>4.4660719372928259E-2</v>
      </c>
      <c r="C810" s="477">
        <v>14099971.080550214</v>
      </c>
      <c r="D810" s="458">
        <v>3.8843126703806297E-2</v>
      </c>
      <c r="E810" s="477">
        <v>15399235.784935834</v>
      </c>
      <c r="F810" s="458">
        <v>0.12735842902993832</v>
      </c>
      <c r="G810" s="477">
        <v>89247651.19352448</v>
      </c>
      <c r="H810" s="458">
        <v>0.25700697740147671</v>
      </c>
      <c r="I810" s="468">
        <v>7.0467077774353664</v>
      </c>
    </row>
    <row r="811" spans="1:9" ht="16.5" x14ac:dyDescent="0.3">
      <c r="A811" s="477">
        <v>299858.12054560357</v>
      </c>
      <c r="B811" s="458">
        <v>3.1694857544478205E-2</v>
      </c>
      <c r="C811" s="477">
        <v>7043756.7414658768</v>
      </c>
      <c r="D811" s="458">
        <v>8.5882191818392517E-2</v>
      </c>
      <c r="E811" s="477">
        <v>20310693.621386532</v>
      </c>
      <c r="F811" s="458">
        <v>9.8027204767326737E-2</v>
      </c>
      <c r="G811" s="477">
        <v>80797440.570613816</v>
      </c>
      <c r="H811" s="458">
        <v>0.27572935561475709</v>
      </c>
      <c r="I811" s="468">
        <v>6.7314633203211471</v>
      </c>
    </row>
    <row r="812" spans="1:9" ht="16.5" x14ac:dyDescent="0.3">
      <c r="A812" s="477">
        <v>5525523.7367632044</v>
      </c>
      <c r="B812" s="458">
        <v>3.8702692206406208E-2</v>
      </c>
      <c r="C812" s="477">
        <v>7202762.4402787723</v>
      </c>
      <c r="D812" s="458">
        <v>7.6527833246096577E-2</v>
      </c>
      <c r="E812" s="477">
        <v>20745448.53418532</v>
      </c>
      <c r="F812" s="458">
        <v>0.10405243913227458</v>
      </c>
      <c r="G812" s="477">
        <v>91086453.904137254</v>
      </c>
      <c r="H812" s="458">
        <v>0.27917565019588886</v>
      </c>
      <c r="I812" s="468">
        <v>8.4605406244397159</v>
      </c>
    </row>
    <row r="813" spans="1:9" ht="16.5" x14ac:dyDescent="0.3">
      <c r="A813" s="477">
        <v>7559359.3708709721</v>
      </c>
      <c r="B813" s="458">
        <v>4.5376255555207301E-2</v>
      </c>
      <c r="C813" s="477">
        <v>6233156.0090131192</v>
      </c>
      <c r="D813" s="458">
        <v>6.8090151704401691E-2</v>
      </c>
      <c r="E813" s="477">
        <v>10113011.610055774</v>
      </c>
      <c r="F813" s="458">
        <v>0.14622319995155419</v>
      </c>
      <c r="G813" s="477">
        <v>95723339.866105661</v>
      </c>
      <c r="H813" s="458">
        <v>0.26827545927598195</v>
      </c>
      <c r="I813" s="468">
        <v>8.3535735710778152</v>
      </c>
    </row>
    <row r="814" spans="1:9" ht="16.5" x14ac:dyDescent="0.3">
      <c r="A814" s="477">
        <v>6659891.4344914285</v>
      </c>
      <c r="B814" s="458">
        <v>6.3152015471094725E-2</v>
      </c>
      <c r="C814" s="477">
        <v>7777174.7756952848</v>
      </c>
      <c r="D814" s="458">
        <v>7.7416734030181011E-2</v>
      </c>
      <c r="E814" s="477">
        <v>20792312.427528575</v>
      </c>
      <c r="F814" s="458">
        <v>0.10783849774993537</v>
      </c>
      <c r="G814" s="477">
        <v>82378959.107538402</v>
      </c>
      <c r="H814" s="458">
        <v>0.2730970456662456</v>
      </c>
      <c r="I814" s="468">
        <v>6.869913088638361</v>
      </c>
    </row>
    <row r="815" spans="1:9" ht="16.5" x14ac:dyDescent="0.3">
      <c r="A815" s="477">
        <v>10441596.615752701</v>
      </c>
      <c r="B815" s="458">
        <v>5.5323801399246975E-2</v>
      </c>
      <c r="C815" s="477">
        <v>10964632.456984507</v>
      </c>
      <c r="D815" s="458">
        <v>6.6935980736037459E-2</v>
      </c>
      <c r="E815" s="477">
        <v>10502845.951054433</v>
      </c>
      <c r="F815" s="458">
        <v>0.12017958620301905</v>
      </c>
      <c r="G815" s="477">
        <v>87158482.392546773</v>
      </c>
      <c r="H815" s="458">
        <v>0.2756312805337533</v>
      </c>
      <c r="I815" s="468">
        <v>8.4302555138314954</v>
      </c>
    </row>
    <row r="816" spans="1:9" ht="16.5" x14ac:dyDescent="0.3">
      <c r="A816" s="477">
        <v>7428138.0512117054</v>
      </c>
      <c r="B816" s="458">
        <v>3.1502035821148411E-2</v>
      </c>
      <c r="C816" s="477">
        <v>9526485.0102576949</v>
      </c>
      <c r="D816" s="458">
        <v>7.2824648458317709E-2</v>
      </c>
      <c r="E816" s="477">
        <v>11361372.264497858</v>
      </c>
      <c r="F816" s="458">
        <v>0.11703969418883498</v>
      </c>
      <c r="G816" s="477">
        <v>91503310.854925126</v>
      </c>
      <c r="H816" s="458">
        <v>0.27228658069255673</v>
      </c>
      <c r="I816" s="468">
        <v>2.0459858359117602</v>
      </c>
    </row>
    <row r="817" spans="1:9" ht="16.5" x14ac:dyDescent="0.3">
      <c r="A817" s="477">
        <v>3055288.4521159306</v>
      </c>
      <c r="B817" s="458">
        <v>3.235232292604806E-2</v>
      </c>
      <c r="C817" s="477">
        <v>9435090.8565732837</v>
      </c>
      <c r="D817" s="458">
        <v>3.2406474205435298E-2</v>
      </c>
      <c r="E817" s="477">
        <v>18349665.224557281</v>
      </c>
      <c r="F817" s="458">
        <v>0.11033809729613964</v>
      </c>
      <c r="G817" s="477">
        <v>93502174.566391736</v>
      </c>
      <c r="H817" s="458">
        <v>0.26715195214622467</v>
      </c>
      <c r="I817" s="468">
        <v>8.557256827442993</v>
      </c>
    </row>
    <row r="818" spans="1:9" ht="16.5" x14ac:dyDescent="0.3">
      <c r="A818" s="477">
        <v>8197570.5851337351</v>
      </c>
      <c r="B818" s="458">
        <v>4.6522302970694707E-2</v>
      </c>
      <c r="C818" s="477">
        <v>8407984.5905982703</v>
      </c>
      <c r="D818" s="458">
        <v>8.8737291736287416E-2</v>
      </c>
      <c r="E818" s="477">
        <v>26676810.78518904</v>
      </c>
      <c r="F818" s="458">
        <v>0.13384251293714078</v>
      </c>
      <c r="G818" s="477">
        <v>92807737.935684949</v>
      </c>
      <c r="H818" s="458">
        <v>0.25939722617263139</v>
      </c>
      <c r="I818" s="468">
        <v>1.7117787490573226</v>
      </c>
    </row>
    <row r="819" spans="1:9" ht="16.5" x14ac:dyDescent="0.3">
      <c r="A819" s="477">
        <v>3493254.0906488085</v>
      </c>
      <c r="B819" s="458">
        <v>3.6625088024427654E-2</v>
      </c>
      <c r="C819" s="477">
        <v>6873381.268330167</v>
      </c>
      <c r="D819" s="458">
        <v>5.0560420145738805E-2</v>
      </c>
      <c r="E819" s="477">
        <v>19289437.662535086</v>
      </c>
      <c r="F819" s="458">
        <v>9.5536848893929438E-2</v>
      </c>
      <c r="G819" s="477">
        <v>87813075.70650734</v>
      </c>
      <c r="H819" s="458">
        <v>0.28253139749293199</v>
      </c>
      <c r="I819" s="468">
        <v>-1.5594810845029361</v>
      </c>
    </row>
    <row r="820" spans="1:9" ht="16.5" x14ac:dyDescent="0.3">
      <c r="A820" s="477">
        <v>3391362.6868929151</v>
      </c>
      <c r="B820" s="458">
        <v>3.8288997604532859E-2</v>
      </c>
      <c r="C820" s="477">
        <v>11478557.648850381</v>
      </c>
      <c r="D820" s="458">
        <v>5.0486399165064144E-2</v>
      </c>
      <c r="E820" s="477">
        <v>25578537.926018126</v>
      </c>
      <c r="F820" s="458">
        <v>0.11475149551685315</v>
      </c>
      <c r="G820" s="477">
        <v>91706877.221964657</v>
      </c>
      <c r="H820" s="458">
        <v>0.26939268270248906</v>
      </c>
      <c r="I820" s="468">
        <v>7.3762648209215476</v>
      </c>
    </row>
    <row r="821" spans="1:9" ht="16.5" x14ac:dyDescent="0.3">
      <c r="A821" s="477">
        <v>2159279.2585598221</v>
      </c>
      <c r="B821" s="458">
        <v>2.7153964452481416E-2</v>
      </c>
      <c r="C821" s="477">
        <v>2660802.493985747</v>
      </c>
      <c r="D821" s="458">
        <v>4.7309869025786488E-2</v>
      </c>
      <c r="E821" s="477">
        <v>14652547.130233558</v>
      </c>
      <c r="F821" s="458">
        <v>0.13143126629470969</v>
      </c>
      <c r="G821" s="477">
        <v>103673241.57637423</v>
      </c>
      <c r="H821" s="458">
        <v>0.26609697880276495</v>
      </c>
      <c r="I821" s="468">
        <v>7.3953872459837848</v>
      </c>
    </row>
    <row r="822" spans="1:9" ht="16.5" x14ac:dyDescent="0.3">
      <c r="A822" s="477">
        <v>5367250.3899164302</v>
      </c>
      <c r="B822" s="458">
        <v>4.4857141822792324E-2</v>
      </c>
      <c r="C822" s="477">
        <v>12348920.684566585</v>
      </c>
      <c r="D822" s="458">
        <v>7.3386539937435824E-2</v>
      </c>
      <c r="E822" s="477">
        <v>22046354.222232647</v>
      </c>
      <c r="F822" s="458">
        <v>0.11082857769030308</v>
      </c>
      <c r="G822" s="477">
        <v>84859095.01752536</v>
      </c>
      <c r="H822" s="458">
        <v>0.27998385706267381</v>
      </c>
      <c r="I822" s="468">
        <v>10.877452855151686</v>
      </c>
    </row>
    <row r="823" spans="1:9" ht="16.5" x14ac:dyDescent="0.3">
      <c r="A823" s="477">
        <v>7619269.0059590908</v>
      </c>
      <c r="B823" s="458">
        <v>3.0012830948627611E-2</v>
      </c>
      <c r="C823" s="477">
        <v>7680249.4391530221</v>
      </c>
      <c r="D823" s="458">
        <v>6.2869313935441262E-2</v>
      </c>
      <c r="E823" s="477">
        <v>13477220.524267323</v>
      </c>
      <c r="F823" s="458">
        <v>0.11401480096478633</v>
      </c>
      <c r="G823" s="477">
        <v>92593056.94953464</v>
      </c>
      <c r="H823" s="458">
        <v>0.25944869382118174</v>
      </c>
      <c r="I823" s="468">
        <v>13.353478278016279</v>
      </c>
    </row>
    <row r="824" spans="1:9" ht="16.5" x14ac:dyDescent="0.3">
      <c r="A824" s="477">
        <v>7298150.7869314402</v>
      </c>
      <c r="B824" s="458">
        <v>6.0927600754624223E-2</v>
      </c>
      <c r="C824" s="477">
        <v>6267941.6745619029</v>
      </c>
      <c r="D824" s="458">
        <v>7.2535174392330815E-2</v>
      </c>
      <c r="E824" s="477">
        <v>20725519.818870176</v>
      </c>
      <c r="F824" s="458">
        <v>0.11720207361433355</v>
      </c>
      <c r="G824" s="477">
        <v>72272310.8447662</v>
      </c>
      <c r="H824" s="458">
        <v>0.2692846066736343</v>
      </c>
      <c r="I824" s="468">
        <v>7.4447285332372859</v>
      </c>
    </row>
    <row r="825" spans="1:9" ht="16.5" x14ac:dyDescent="0.3">
      <c r="A825" s="477">
        <v>11084575.344182122</v>
      </c>
      <c r="B825" s="458">
        <v>2.8320820619942788E-2</v>
      </c>
      <c r="C825" s="477">
        <v>7961265.6596348537</v>
      </c>
      <c r="D825" s="458">
        <v>5.1848416623664573E-2</v>
      </c>
      <c r="E825" s="477">
        <v>21368362.180519622</v>
      </c>
      <c r="F825" s="458">
        <v>0.12771502298844828</v>
      </c>
      <c r="G825" s="477">
        <v>97411790.025099874</v>
      </c>
      <c r="H825" s="458">
        <v>0.2535763382031655</v>
      </c>
      <c r="I825" s="468">
        <v>4.0176486608797584</v>
      </c>
    </row>
    <row r="826" spans="1:9" ht="16.5" x14ac:dyDescent="0.3">
      <c r="A826" s="477">
        <v>4933450.5148725733</v>
      </c>
      <c r="B826" s="458">
        <v>1.1178612902452034E-2</v>
      </c>
      <c r="C826" s="477">
        <v>9276492.7432065811</v>
      </c>
      <c r="D826" s="458">
        <v>6.0515999568504286E-2</v>
      </c>
      <c r="E826" s="477">
        <v>10420472.227919929</v>
      </c>
      <c r="F826" s="458">
        <v>0.10600089069112739</v>
      </c>
      <c r="G826" s="477">
        <v>102830941.20981286</v>
      </c>
      <c r="H826" s="458">
        <v>0.2597164478230376</v>
      </c>
      <c r="I826" s="468">
        <v>10.737373471917412</v>
      </c>
    </row>
    <row r="827" spans="1:9" ht="16.5" x14ac:dyDescent="0.3">
      <c r="A827" s="477">
        <v>9099238.6870932709</v>
      </c>
      <c r="B827" s="458">
        <v>4.162225362525529E-2</v>
      </c>
      <c r="C827" s="477">
        <v>11706960.4988777</v>
      </c>
      <c r="D827" s="458">
        <v>4.2830132872941906E-2</v>
      </c>
      <c r="E827" s="477">
        <v>6420754.3065332454</v>
      </c>
      <c r="F827" s="458">
        <v>8.7315273187035469E-2</v>
      </c>
      <c r="G827" s="477">
        <v>89328414.817587614</v>
      </c>
      <c r="H827" s="458">
        <v>0.330856540671018</v>
      </c>
      <c r="I827" s="468">
        <v>7.486067968945509</v>
      </c>
    </row>
    <row r="828" spans="1:9" ht="16.5" x14ac:dyDescent="0.3">
      <c r="A828" s="477">
        <v>3356446.7715132535</v>
      </c>
      <c r="B828" s="458">
        <v>4.2636809404368536E-2</v>
      </c>
      <c r="C828" s="477">
        <v>4611820.2693160484</v>
      </c>
      <c r="D828" s="458">
        <v>7.0134855403541474E-2</v>
      </c>
      <c r="E828" s="477">
        <v>9593565.9628332425</v>
      </c>
      <c r="F828" s="458">
        <v>0.11752768166403138</v>
      </c>
      <c r="G828" s="477">
        <v>88180296.731924623</v>
      </c>
      <c r="H828" s="458">
        <v>0.25400180428311669</v>
      </c>
      <c r="I828" s="468">
        <v>10.199720262694083</v>
      </c>
    </row>
    <row r="829" spans="1:9" ht="16.5" x14ac:dyDescent="0.3">
      <c r="A829" s="477">
        <v>5836665.9075128809</v>
      </c>
      <c r="B829" s="458">
        <v>4.4079938260915164E-2</v>
      </c>
      <c r="C829" s="477">
        <v>6247619.973640996</v>
      </c>
      <c r="D829" s="458">
        <v>5.5935264065272605E-2</v>
      </c>
      <c r="E829" s="477">
        <v>9667989.6768608764</v>
      </c>
      <c r="F829" s="458">
        <v>9.7006893634783431E-2</v>
      </c>
      <c r="G829" s="477">
        <v>88311221.991543725</v>
      </c>
      <c r="H829" s="458">
        <v>0.2847126477822437</v>
      </c>
      <c r="I829" s="468">
        <v>7.2856550000242155</v>
      </c>
    </row>
    <row r="830" spans="1:9" ht="16.5" x14ac:dyDescent="0.3">
      <c r="A830" s="477">
        <v>7284883.211279057</v>
      </c>
      <c r="B830" s="458">
        <v>6.7750938791611093E-2</v>
      </c>
      <c r="C830" s="477">
        <v>9023211.1278878301</v>
      </c>
      <c r="D830" s="458">
        <v>8.0862106419415936E-2</v>
      </c>
      <c r="E830" s="477">
        <v>20629960.511214681</v>
      </c>
      <c r="F830" s="458">
        <v>0.1320338539953283</v>
      </c>
      <c r="G830" s="477">
        <v>90279774.969298035</v>
      </c>
      <c r="H830" s="458">
        <v>0.27215018204002495</v>
      </c>
      <c r="I830" s="468">
        <v>8.3881941124560022</v>
      </c>
    </row>
    <row r="831" spans="1:9" ht="16.5" x14ac:dyDescent="0.3">
      <c r="A831" s="477">
        <v>5694736.3911960786</v>
      </c>
      <c r="B831" s="458">
        <v>3.6315683342662108E-2</v>
      </c>
      <c r="C831" s="477">
        <v>14306774.633276787</v>
      </c>
      <c r="D831" s="458">
        <v>7.9221222262036761E-2</v>
      </c>
      <c r="E831" s="477">
        <v>13032473.209462918</v>
      </c>
      <c r="F831" s="458">
        <v>0.11152735345815157</v>
      </c>
      <c r="G831" s="477">
        <v>100897677.0485785</v>
      </c>
      <c r="H831" s="458">
        <v>0.29630436880352251</v>
      </c>
      <c r="I831" s="468">
        <v>9.0918393610906492</v>
      </c>
    </row>
    <row r="832" spans="1:9" ht="16.5" x14ac:dyDescent="0.3">
      <c r="A832" s="477">
        <v>4278307.3420200618</v>
      </c>
      <c r="B832" s="458">
        <v>4.1319010575649351E-2</v>
      </c>
      <c r="C832" s="477">
        <v>5712817.2455438226</v>
      </c>
      <c r="D832" s="458">
        <v>7.2325305651642857E-2</v>
      </c>
      <c r="E832" s="477">
        <v>19735631.786670957</v>
      </c>
      <c r="F832" s="458">
        <v>0.1237975489920573</v>
      </c>
      <c r="G832" s="477">
        <v>87668976.474290252</v>
      </c>
      <c r="H832" s="458">
        <v>0.27194464970644261</v>
      </c>
      <c r="I832" s="468">
        <v>-2.5272249691948971</v>
      </c>
    </row>
    <row r="833" spans="1:9" ht="16.5" x14ac:dyDescent="0.3">
      <c r="A833" s="477">
        <v>6991307.6086996822</v>
      </c>
      <c r="B833" s="458">
        <v>5.3990304169651671E-2</v>
      </c>
      <c r="C833" s="477">
        <v>-3870837.5162719414</v>
      </c>
      <c r="D833" s="458">
        <v>5.2669003735116071E-2</v>
      </c>
      <c r="E833" s="477">
        <v>21659595.241848178</v>
      </c>
      <c r="F833" s="458">
        <v>0.12080991483556103</v>
      </c>
      <c r="G833" s="477">
        <v>79627487.474918813</v>
      </c>
      <c r="H833" s="458">
        <v>0.26273821508675366</v>
      </c>
      <c r="I833" s="468">
        <v>9.4129082829620199</v>
      </c>
    </row>
    <row r="834" spans="1:9" ht="16.5" x14ac:dyDescent="0.3">
      <c r="A834" s="477">
        <v>5606231.7753876457</v>
      </c>
      <c r="B834" s="458">
        <v>4.0416828090222623E-2</v>
      </c>
      <c r="C834" s="477">
        <v>-2650713.6382879689</v>
      </c>
      <c r="D834" s="458">
        <v>7.1220483451150729E-2</v>
      </c>
      <c r="E834" s="477">
        <v>13924778.239585096</v>
      </c>
      <c r="F834" s="458">
        <v>0.1059448272261132</v>
      </c>
      <c r="G834" s="477">
        <v>78175587.964989647</v>
      </c>
      <c r="H834" s="458">
        <v>0.27782910288658424</v>
      </c>
      <c r="I834" s="468">
        <v>11.580925093402438</v>
      </c>
    </row>
    <row r="835" spans="1:9" ht="16.5" x14ac:dyDescent="0.3">
      <c r="A835" s="477">
        <v>3385301.102854393</v>
      </c>
      <c r="B835" s="458">
        <v>3.1046452931846602E-2</v>
      </c>
      <c r="C835" s="477">
        <v>8286662.9052670253</v>
      </c>
      <c r="D835" s="458">
        <v>5.6070925724676091E-2</v>
      </c>
      <c r="E835" s="477">
        <v>17056464.894274645</v>
      </c>
      <c r="F835" s="458">
        <v>0.11230299480069417</v>
      </c>
      <c r="G835" s="477">
        <v>84989932.486904919</v>
      </c>
      <c r="H835" s="458">
        <v>0.25328803043577097</v>
      </c>
      <c r="I835" s="468">
        <v>12.211570415521619</v>
      </c>
    </row>
    <row r="836" spans="1:9" ht="16.5" x14ac:dyDescent="0.3">
      <c r="A836" s="477">
        <v>9747448.1927790605</v>
      </c>
      <c r="B836" s="458">
        <v>5.9000710263801492E-2</v>
      </c>
      <c r="C836" s="477">
        <v>10721971.462862607</v>
      </c>
      <c r="D836" s="458">
        <v>6.02621182778591E-2</v>
      </c>
      <c r="E836" s="477">
        <v>19769229.435798839</v>
      </c>
      <c r="F836" s="458">
        <v>0.11935863200889196</v>
      </c>
      <c r="G836" s="477">
        <v>90162103.582230955</v>
      </c>
      <c r="H836" s="458">
        <v>0.27665309995269016</v>
      </c>
      <c r="I836" s="468">
        <v>11.096320509233236</v>
      </c>
    </row>
    <row r="837" spans="1:9" ht="16.5" x14ac:dyDescent="0.3">
      <c r="A837" s="477">
        <v>2562455.2807919341</v>
      </c>
      <c r="B837" s="458">
        <v>2.8680237728975433E-2</v>
      </c>
      <c r="C837" s="477">
        <v>9931159.6450314373</v>
      </c>
      <c r="D837" s="458">
        <v>7.4492632240640511E-2</v>
      </c>
      <c r="E837" s="477">
        <v>20282477.876157612</v>
      </c>
      <c r="F837" s="458">
        <v>0.10226248745871458</v>
      </c>
      <c r="G837" s="477">
        <v>88963875.708052874</v>
      </c>
      <c r="H837" s="458">
        <v>0.25872285114633242</v>
      </c>
      <c r="I837" s="468">
        <v>13.7600900540141</v>
      </c>
    </row>
    <row r="838" spans="1:9" ht="16.5" x14ac:dyDescent="0.3">
      <c r="A838" s="477">
        <v>1288053.8838839808</v>
      </c>
      <c r="B838" s="458">
        <v>2.2451818930949718E-2</v>
      </c>
      <c r="C838" s="477">
        <v>13754630.178445658</v>
      </c>
      <c r="D838" s="458">
        <v>5.8865479726633252E-2</v>
      </c>
      <c r="E838" s="477">
        <v>23187102.802455392</v>
      </c>
      <c r="F838" s="458">
        <v>0.12339121731155966</v>
      </c>
      <c r="G838" s="477">
        <v>76889447.172232509</v>
      </c>
      <c r="H838" s="458">
        <v>0.26949903847431167</v>
      </c>
      <c r="I838" s="468">
        <v>4.3037653036889552</v>
      </c>
    </row>
    <row r="839" spans="1:9" ht="16.5" x14ac:dyDescent="0.3">
      <c r="A839" s="477">
        <v>5760613.3919868125</v>
      </c>
      <c r="B839" s="458">
        <v>3.7720024281086006E-2</v>
      </c>
      <c r="C839" s="477">
        <v>12760539.416577995</v>
      </c>
      <c r="D839" s="458">
        <v>0.1122816600694283</v>
      </c>
      <c r="E839" s="477">
        <v>15645903.240946431</v>
      </c>
      <c r="F839" s="458">
        <v>9.9347773653073235E-2</v>
      </c>
      <c r="G839" s="477">
        <v>86943670.924314559</v>
      </c>
      <c r="H839" s="458">
        <v>0.27164693284188046</v>
      </c>
      <c r="I839" s="468">
        <v>10.140669448358938</v>
      </c>
    </row>
    <row r="840" spans="1:9" ht="16.5" x14ac:dyDescent="0.3">
      <c r="A840" s="477">
        <v>4897213.9180938993</v>
      </c>
      <c r="B840" s="458">
        <v>6.3396578656478519E-2</v>
      </c>
      <c r="C840" s="477">
        <v>1476612.9677416584</v>
      </c>
      <c r="D840" s="458">
        <v>6.1231116241551531E-2</v>
      </c>
      <c r="E840" s="477">
        <v>15261031.688880214</v>
      </c>
      <c r="F840" s="458">
        <v>0.12228156985764382</v>
      </c>
      <c r="G840" s="477">
        <v>95522992.874309316</v>
      </c>
      <c r="H840" s="458">
        <v>0.25072722481734533</v>
      </c>
      <c r="I840" s="468">
        <v>7.3787667132446879</v>
      </c>
    </row>
    <row r="841" spans="1:9" ht="16.5" x14ac:dyDescent="0.3">
      <c r="A841" s="477">
        <v>8557080.5092649162</v>
      </c>
      <c r="B841" s="458">
        <v>6.3396578656478519E-2</v>
      </c>
      <c r="C841" s="477">
        <v>4715186.8251452614</v>
      </c>
      <c r="D841" s="458">
        <v>5.6734688832425384E-2</v>
      </c>
      <c r="E841" s="477">
        <v>14922172.570125112</v>
      </c>
      <c r="F841" s="458">
        <v>0.11100542986631567</v>
      </c>
      <c r="G841" s="477">
        <v>94599964.72040309</v>
      </c>
      <c r="H841" s="458">
        <v>0.27280258195073004</v>
      </c>
      <c r="I841" s="468">
        <v>7.2289197906792166</v>
      </c>
    </row>
    <row r="842" spans="1:9" ht="16.5" x14ac:dyDescent="0.3">
      <c r="A842" s="477">
        <v>6014179.6408706019</v>
      </c>
      <c r="B842" s="458">
        <v>7.0218671579302061E-2</v>
      </c>
      <c r="C842" s="477">
        <v>10292883.621077122</v>
      </c>
      <c r="D842" s="458">
        <v>7.3406764673604963E-2</v>
      </c>
      <c r="E842" s="477">
        <v>23836335.932668921</v>
      </c>
      <c r="F842" s="458">
        <v>8.8286339668114833E-2</v>
      </c>
      <c r="G842" s="477">
        <v>87006757.40226239</v>
      </c>
      <c r="H842" s="458">
        <v>0.27544009691972771</v>
      </c>
      <c r="I842" s="468">
        <v>9.1205637420774206</v>
      </c>
    </row>
    <row r="843" spans="1:9" ht="16.5" x14ac:dyDescent="0.3">
      <c r="A843" s="477">
        <v>2942271.8636338143</v>
      </c>
      <c r="B843" s="458">
        <v>3.086953415553273E-2</v>
      </c>
      <c r="C843" s="477">
        <v>5172788.8545836657</v>
      </c>
      <c r="D843" s="458">
        <v>5.0988426455430558E-2</v>
      </c>
      <c r="E843" s="477">
        <v>11478429.346419232</v>
      </c>
      <c r="F843" s="458">
        <v>8.4091852375221654E-2</v>
      </c>
      <c r="G843" s="477">
        <v>100011922.51671304</v>
      </c>
      <c r="H843" s="458">
        <v>0.25254705202229544</v>
      </c>
      <c r="I843" s="468">
        <v>8.5866407769155408</v>
      </c>
    </row>
    <row r="844" spans="1:9" ht="16.5" x14ac:dyDescent="0.3">
      <c r="A844" s="477">
        <v>6624769.9133340288</v>
      </c>
      <c r="B844" s="458">
        <v>0.13504026517431478</v>
      </c>
      <c r="C844" s="477">
        <v>4374657.4411208499</v>
      </c>
      <c r="D844" s="458">
        <v>5.3932500713859133E-2</v>
      </c>
      <c r="E844" s="477">
        <v>16567063.508524301</v>
      </c>
      <c r="F844" s="458">
        <v>0.10377468696188208</v>
      </c>
      <c r="G844" s="477">
        <v>102544348.23315057</v>
      </c>
      <c r="H844" s="458">
        <v>0.27199420155268417</v>
      </c>
      <c r="I844" s="468">
        <v>3.7588955308356002</v>
      </c>
    </row>
    <row r="845" spans="1:9" ht="16.5" x14ac:dyDescent="0.3">
      <c r="A845" s="477">
        <v>4014419.3400150323</v>
      </c>
      <c r="B845" s="458">
        <v>4.3058886127885998E-2</v>
      </c>
      <c r="C845" s="477">
        <v>7542281.9106344674</v>
      </c>
      <c r="D845" s="458">
        <v>4.8809399896723171E-2</v>
      </c>
      <c r="E845" s="477">
        <v>17670336.890967641</v>
      </c>
      <c r="F845" s="458">
        <v>0.12226127483560645</v>
      </c>
      <c r="G845" s="477">
        <v>91677200.008856684</v>
      </c>
      <c r="H845" s="458">
        <v>0.25163513583270158</v>
      </c>
      <c r="I845" s="468">
        <v>11.365473758186083</v>
      </c>
    </row>
    <row r="846" spans="1:9" ht="16.5" x14ac:dyDescent="0.3">
      <c r="A846" s="477">
        <v>7464877.343137309</v>
      </c>
      <c r="B846" s="458">
        <v>2.3989260204484886E-2</v>
      </c>
      <c r="C846" s="477">
        <v>11713648.112290632</v>
      </c>
      <c r="D846" s="458">
        <v>5.8710522738860682E-2</v>
      </c>
      <c r="E846" s="477">
        <v>18627258.312496636</v>
      </c>
      <c r="F846" s="458">
        <v>9.8441315435771948E-2</v>
      </c>
      <c r="G846" s="477">
        <v>96628613.158413172</v>
      </c>
      <c r="H846" s="458">
        <v>0.26817224857408317</v>
      </c>
      <c r="I846" s="468">
        <v>12.68120725082685</v>
      </c>
    </row>
    <row r="847" spans="1:9" ht="16.5" x14ac:dyDescent="0.3">
      <c r="A847" s="477">
        <v>3466253.6213428439</v>
      </c>
      <c r="B847" s="458">
        <v>3.6878940257266679E-2</v>
      </c>
      <c r="C847" s="477">
        <v>14530410.582799621</v>
      </c>
      <c r="D847" s="458">
        <v>5.6272370173988451E-2</v>
      </c>
      <c r="E847" s="477">
        <v>11467512.015624704</v>
      </c>
      <c r="F847" s="458">
        <v>9.2429467975071233E-2</v>
      </c>
      <c r="G847" s="477">
        <v>79892178.145304203</v>
      </c>
      <c r="H847" s="458">
        <v>0.27059130320238722</v>
      </c>
      <c r="I847" s="468">
        <v>5.3142531364410228</v>
      </c>
    </row>
    <row r="848" spans="1:9" ht="16.5" x14ac:dyDescent="0.3">
      <c r="A848" s="477">
        <v>3521522.0432430184</v>
      </c>
      <c r="B848" s="458">
        <v>3.9602079167942561E-2</v>
      </c>
      <c r="C848" s="477">
        <v>8377932.6015217332</v>
      </c>
      <c r="D848" s="458">
        <v>5.32061348745545E-2</v>
      </c>
      <c r="E848" s="477">
        <v>12663673.524134502</v>
      </c>
      <c r="F848" s="458">
        <v>0.12351137492328368</v>
      </c>
      <c r="G848" s="477">
        <v>83346581.158249766</v>
      </c>
      <c r="H848" s="458">
        <v>0.24306291918083511</v>
      </c>
      <c r="I848" s="468">
        <v>10.089365928120841</v>
      </c>
    </row>
    <row r="849" spans="1:9" ht="16.5" x14ac:dyDescent="0.3">
      <c r="A849" s="477">
        <v>9047582.1815453507</v>
      </c>
      <c r="B849" s="458">
        <v>2.7698438056364516E-2</v>
      </c>
      <c r="C849" s="477">
        <v>8192674.7019057544</v>
      </c>
      <c r="D849" s="458">
        <v>6.6643733279080575E-2</v>
      </c>
      <c r="E849" s="477">
        <v>23872360.828809317</v>
      </c>
      <c r="F849" s="458">
        <v>0.11592103879350457</v>
      </c>
      <c r="G849" s="477">
        <v>83624210.527272582</v>
      </c>
      <c r="H849" s="458">
        <v>0.29042243797625322</v>
      </c>
      <c r="I849" s="468">
        <v>11.989483808980378</v>
      </c>
    </row>
    <row r="850" spans="1:9" ht="16.5" x14ac:dyDescent="0.3">
      <c r="A850" s="477">
        <v>6757282.2197767114</v>
      </c>
      <c r="B850" s="458">
        <v>4.1550374848786875E-2</v>
      </c>
      <c r="C850" s="477">
        <v>10009409.61775966</v>
      </c>
      <c r="D850" s="458">
        <v>6.3979041454570007E-2</v>
      </c>
      <c r="E850" s="477">
        <v>17840823.721271504</v>
      </c>
      <c r="F850" s="458">
        <v>9.2856496900682428E-2</v>
      </c>
      <c r="G850" s="477">
        <v>79886983.57641381</v>
      </c>
      <c r="H850" s="458">
        <v>0.26224847041521593</v>
      </c>
      <c r="I850" s="468">
        <v>4.2707525267364819</v>
      </c>
    </row>
    <row r="851" spans="1:9" ht="16.5" x14ac:dyDescent="0.3">
      <c r="A851" s="477">
        <v>10232528.342520727</v>
      </c>
      <c r="B851" s="458">
        <v>1.8424868847926934E-2</v>
      </c>
      <c r="C851" s="477">
        <v>3628594.1664159745</v>
      </c>
      <c r="D851" s="458">
        <v>6.975141787913075E-2</v>
      </c>
      <c r="E851" s="477">
        <v>9842717.9971458726</v>
      </c>
      <c r="F851" s="458">
        <v>0.12836838276480877</v>
      </c>
      <c r="G851" s="477">
        <v>98895257.28522101</v>
      </c>
      <c r="H851" s="458">
        <v>0.28251656174994988</v>
      </c>
      <c r="I851" s="468">
        <v>5.9652458503348758</v>
      </c>
    </row>
    <row r="852" spans="1:9" ht="16.5" x14ac:dyDescent="0.3">
      <c r="A852" s="477">
        <v>8986611.7894955669</v>
      </c>
      <c r="B852" s="458">
        <v>4.5593266662432574E-2</v>
      </c>
      <c r="C852" s="477">
        <v>5587563.6716048094</v>
      </c>
      <c r="D852" s="458">
        <v>5.2630673765897917E-2</v>
      </c>
      <c r="E852" s="477">
        <v>19535140.001679085</v>
      </c>
      <c r="F852" s="458">
        <v>0.12537104296188328</v>
      </c>
      <c r="G852" s="477">
        <v>94632569.184610873</v>
      </c>
      <c r="H852" s="458">
        <v>0.26682103189372319</v>
      </c>
      <c r="I852" s="468">
        <v>3.1071430138113385</v>
      </c>
    </row>
    <row r="853" spans="1:9" ht="16.5" x14ac:dyDescent="0.3">
      <c r="A853" s="477">
        <v>4797978.0391893089</v>
      </c>
      <c r="B853" s="458">
        <v>2.3733238327304784E-2</v>
      </c>
      <c r="C853" s="477">
        <v>11424377.190359322</v>
      </c>
      <c r="D853" s="458">
        <v>0.11453086392801737</v>
      </c>
      <c r="E853" s="477">
        <v>17184100.085872162</v>
      </c>
      <c r="F853" s="458">
        <v>9.9266269708530031E-2</v>
      </c>
      <c r="G853" s="477">
        <v>100720192.13557281</v>
      </c>
      <c r="H853" s="458">
        <v>0.28544357367147266</v>
      </c>
      <c r="I853" s="468">
        <v>7.1542686805146225</v>
      </c>
    </row>
    <row r="854" spans="1:9" ht="16.5" x14ac:dyDescent="0.3">
      <c r="A854" s="477">
        <v>9160740.2030940354</v>
      </c>
      <c r="B854" s="458">
        <v>4.2459891755643797E-2</v>
      </c>
      <c r="C854" s="477">
        <v>5865012.6440013992</v>
      </c>
      <c r="D854" s="458">
        <v>6.6438059376895175E-2</v>
      </c>
      <c r="E854" s="477">
        <v>16528944.129177693</v>
      </c>
      <c r="F854" s="458">
        <v>0.1078144984506868</v>
      </c>
      <c r="G854" s="477">
        <v>95145251.89055033</v>
      </c>
      <c r="H854" s="458">
        <v>0.24657214599774768</v>
      </c>
      <c r="I854" s="468">
        <v>5.6209289942902627</v>
      </c>
    </row>
    <row r="855" spans="1:9" ht="16.5" x14ac:dyDescent="0.3">
      <c r="A855" s="477">
        <v>8478634.1475219615</v>
      </c>
      <c r="B855" s="458">
        <v>3.2739676586243549E-2</v>
      </c>
      <c r="C855" s="477">
        <v>9225476.9306168854</v>
      </c>
      <c r="D855" s="458">
        <v>8.497587352997038E-2</v>
      </c>
      <c r="E855" s="477">
        <v>22483275.268228583</v>
      </c>
      <c r="F855" s="458">
        <v>0.13586261333596639</v>
      </c>
      <c r="G855" s="477">
        <v>73932846.147181049</v>
      </c>
      <c r="H855" s="458">
        <v>0.26807420326145603</v>
      </c>
      <c r="I855" s="468">
        <v>5.4956094449377764</v>
      </c>
    </row>
    <row r="856" spans="1:9" ht="16.5" x14ac:dyDescent="0.3">
      <c r="A856" s="477">
        <v>3264554.938487621</v>
      </c>
      <c r="B856" s="458">
        <v>3.1644038412611319E-2</v>
      </c>
      <c r="C856" s="477">
        <v>7905259.6917256275</v>
      </c>
      <c r="D856" s="458">
        <v>3.8292642212595984E-2</v>
      </c>
      <c r="E856" s="477">
        <v>12996669.835799133</v>
      </c>
      <c r="F856" s="458">
        <v>0.14790279348540425</v>
      </c>
      <c r="G856" s="477">
        <v>94831721.020393372</v>
      </c>
      <c r="H856" s="458">
        <v>0.26661944179704378</v>
      </c>
      <c r="I856" s="468">
        <v>7.5057926683508773</v>
      </c>
    </row>
    <row r="857" spans="1:9" ht="16.5" x14ac:dyDescent="0.3">
      <c r="A857" s="477">
        <v>4040290.2231787504</v>
      </c>
      <c r="B857" s="458">
        <v>2.4069520239378805E-2</v>
      </c>
      <c r="C857" s="477">
        <v>11801818.246747501</v>
      </c>
      <c r="D857" s="458">
        <v>5.8038691956429078E-2</v>
      </c>
      <c r="E857" s="477">
        <v>15693775.072340636</v>
      </c>
      <c r="F857" s="458">
        <v>9.1559228017008332E-2</v>
      </c>
      <c r="G857" s="477">
        <v>84413976.102632612</v>
      </c>
      <c r="H857" s="458">
        <v>0.27539734407218686</v>
      </c>
      <c r="I857" s="468">
        <v>10.2054188648526</v>
      </c>
    </row>
    <row r="858" spans="1:9" ht="16.5" x14ac:dyDescent="0.3">
      <c r="A858" s="477">
        <v>7802876.6330268066</v>
      </c>
      <c r="B858" s="458">
        <v>6.1273247514962881E-2</v>
      </c>
      <c r="C858" s="477">
        <v>6747091.2810513023</v>
      </c>
      <c r="D858" s="458">
        <v>7.5699834634890273E-2</v>
      </c>
      <c r="E858" s="477">
        <v>17609114.636667006</v>
      </c>
      <c r="F858" s="458">
        <v>9.1314278365492774E-2</v>
      </c>
      <c r="G858" s="477">
        <v>80266355.036733896</v>
      </c>
      <c r="H858" s="458">
        <v>0.27015819007246722</v>
      </c>
      <c r="I858" s="468">
        <v>12.698125332542823</v>
      </c>
    </row>
    <row r="859" spans="1:9" ht="16.5" x14ac:dyDescent="0.3">
      <c r="A859" s="477">
        <v>5707542.3504214752</v>
      </c>
      <c r="B859" s="458">
        <v>3.4692677604017952E-2</v>
      </c>
      <c r="C859" s="477">
        <v>12130623.748764474</v>
      </c>
      <c r="D859" s="458">
        <v>7.5451068638140217E-2</v>
      </c>
      <c r="E859" s="477">
        <v>7098058.6063682837</v>
      </c>
      <c r="F859" s="458">
        <v>0.13206813954050478</v>
      </c>
      <c r="G859" s="477">
        <v>90876455.448548689</v>
      </c>
      <c r="H859" s="458">
        <v>0.26409476136458165</v>
      </c>
      <c r="I859" s="468">
        <v>2.9206961439448467</v>
      </c>
    </row>
    <row r="860" spans="1:9" ht="16.5" x14ac:dyDescent="0.3">
      <c r="A860" s="477">
        <v>8801108.8820065316</v>
      </c>
      <c r="B860" s="458">
        <v>3.5274691322314755E-2</v>
      </c>
      <c r="C860" s="477">
        <v>5982416.0084920153</v>
      </c>
      <c r="D860" s="458">
        <v>6.379102010958615E-2</v>
      </c>
      <c r="E860" s="477">
        <v>21112404.87269197</v>
      </c>
      <c r="F860" s="458">
        <v>0.10524752044596819</v>
      </c>
      <c r="G860" s="477">
        <v>80335583.459450498</v>
      </c>
      <c r="H860" s="458">
        <v>0.25452313845874874</v>
      </c>
      <c r="I860" s="468">
        <v>13.962496892481603</v>
      </c>
    </row>
    <row r="861" spans="1:9" ht="16.5" x14ac:dyDescent="0.3">
      <c r="A861" s="477">
        <v>5615138.1698703775</v>
      </c>
      <c r="B861" s="458">
        <v>3.7621265492547629E-2</v>
      </c>
      <c r="C861" s="477">
        <v>14536116.105051048</v>
      </c>
      <c r="D861" s="458">
        <v>5.7107212558999088E-2</v>
      </c>
      <c r="E861" s="477">
        <v>15313786.529416854</v>
      </c>
      <c r="F861" s="458">
        <v>0.11250531588404677</v>
      </c>
      <c r="G861" s="477">
        <v>89240566.79108654</v>
      </c>
      <c r="H861" s="458">
        <v>0.2874648754004494</v>
      </c>
      <c r="I861" s="468">
        <v>7.7157123605473075</v>
      </c>
    </row>
    <row r="862" spans="1:9" ht="16.5" x14ac:dyDescent="0.3">
      <c r="A862" s="477">
        <v>5411864.9502501739</v>
      </c>
      <c r="B862" s="458">
        <v>4.1346180087660001E-2</v>
      </c>
      <c r="C862" s="477">
        <v>4258924.0946234148</v>
      </c>
      <c r="D862" s="458">
        <v>5.987313568236674E-2</v>
      </c>
      <c r="E862" s="477">
        <v>16564711.321557254</v>
      </c>
      <c r="F862" s="458">
        <v>0.10400371495301153</v>
      </c>
      <c r="G862" s="477">
        <v>95139225.128244221</v>
      </c>
      <c r="H862" s="458">
        <v>0.2706827558076963</v>
      </c>
      <c r="I862" s="468">
        <v>11.675390673259532</v>
      </c>
    </row>
    <row r="863" spans="1:9" ht="16.5" x14ac:dyDescent="0.3">
      <c r="A863" s="477">
        <v>7961938.7216624869</v>
      </c>
      <c r="B863" s="458">
        <v>3.7996784920200311E-2</v>
      </c>
      <c r="C863" s="477">
        <v>10184554.595125802</v>
      </c>
      <c r="D863" s="458">
        <v>5.4184130564830735E-2</v>
      </c>
      <c r="E863" s="477">
        <v>21685912.522150937</v>
      </c>
      <c r="F863" s="458">
        <v>9.672082037044416E-2</v>
      </c>
      <c r="G863" s="477">
        <v>88699831.801365376</v>
      </c>
      <c r="H863" s="458">
        <v>0.25554092250437943</v>
      </c>
      <c r="I863" s="468">
        <v>1.8035633645130904</v>
      </c>
    </row>
    <row r="864" spans="1:9" ht="16.5" x14ac:dyDescent="0.3">
      <c r="A864" s="477">
        <v>5207870.1028987607</v>
      </c>
      <c r="B864" s="458">
        <v>5.9674815073593734E-3</v>
      </c>
      <c r="C864" s="477">
        <v>13319872.809422094</v>
      </c>
      <c r="D864" s="458">
        <v>6.4062053589561296E-2</v>
      </c>
      <c r="E864" s="477">
        <v>24219422.054393176</v>
      </c>
      <c r="F864" s="458">
        <v>0.12256849570472772</v>
      </c>
      <c r="G864" s="477">
        <v>105137150.56774618</v>
      </c>
      <c r="H864" s="458">
        <v>0.2647871489063045</v>
      </c>
      <c r="I864" s="468">
        <v>5.558776363382095</v>
      </c>
    </row>
    <row r="865" spans="1:9" ht="16.5" x14ac:dyDescent="0.3">
      <c r="A865" s="477">
        <v>5692515.3521405086</v>
      </c>
      <c r="B865" s="458">
        <v>3.9068090232378117E-2</v>
      </c>
      <c r="C865" s="477">
        <v>8699907.0305592641</v>
      </c>
      <c r="D865" s="458">
        <v>8.0341594399053307E-2</v>
      </c>
      <c r="E865" s="477">
        <v>15397152.167385556</v>
      </c>
      <c r="F865" s="458">
        <v>0.12110090632698878</v>
      </c>
      <c r="G865" s="477">
        <v>88708092.701580167</v>
      </c>
      <c r="H865" s="458">
        <v>0.27105553494312096</v>
      </c>
      <c r="I865" s="468">
        <v>4.6050152430212279</v>
      </c>
    </row>
    <row r="866" spans="1:9" ht="16.5" x14ac:dyDescent="0.3">
      <c r="A866" s="477">
        <v>4093817.6004308192</v>
      </c>
      <c r="B866" s="458">
        <v>6.5261444949491931E-2</v>
      </c>
      <c r="C866" s="477">
        <v>9699957.0628149919</v>
      </c>
      <c r="D866" s="458">
        <v>0.10278625227356919</v>
      </c>
      <c r="E866" s="477">
        <v>23927970.19204903</v>
      </c>
      <c r="F866" s="458">
        <v>0.12113211032756022</v>
      </c>
      <c r="G866" s="477">
        <v>94470426.903843448</v>
      </c>
      <c r="H866" s="458">
        <v>0.26999704619530185</v>
      </c>
      <c r="I866" s="468">
        <v>9.1259692710203044</v>
      </c>
    </row>
    <row r="867" spans="1:9" ht="16.5" x14ac:dyDescent="0.3">
      <c r="A867" s="477">
        <v>4636999.7876929492</v>
      </c>
      <c r="B867" s="458">
        <v>4.1869434980958742E-2</v>
      </c>
      <c r="C867" s="477">
        <v>9768900.5240899753</v>
      </c>
      <c r="D867" s="458">
        <v>8.8361295483577518E-2</v>
      </c>
      <c r="E867" s="477">
        <v>21729173.342156641</v>
      </c>
      <c r="F867" s="458">
        <v>0.10625425144522072</v>
      </c>
      <c r="G867" s="477">
        <v>107327025.23216222</v>
      </c>
      <c r="H867" s="458">
        <v>0.25388690989843976</v>
      </c>
      <c r="I867" s="468">
        <v>5.6521584032974808</v>
      </c>
    </row>
    <row r="868" spans="1:9" ht="16.5" x14ac:dyDescent="0.3">
      <c r="A868" s="477">
        <v>3886976.4247150957</v>
      </c>
      <c r="B868" s="458">
        <v>7.6405149558386842E-2</v>
      </c>
      <c r="C868" s="477">
        <v>9135799.2889497429</v>
      </c>
      <c r="D868" s="458">
        <v>5.5756109397011144E-2</v>
      </c>
      <c r="E868" s="477">
        <v>19858470.254567903</v>
      </c>
      <c r="F868" s="458">
        <v>0.11021578553748457</v>
      </c>
      <c r="G868" s="477">
        <v>92464936.751593381</v>
      </c>
      <c r="H868" s="458">
        <v>0.25449061788556482</v>
      </c>
      <c r="I868" s="468">
        <v>9.7822687109814925</v>
      </c>
    </row>
    <row r="869" spans="1:9" ht="16.5" x14ac:dyDescent="0.3">
      <c r="A869" s="477">
        <v>8883242.4192141537</v>
      </c>
      <c r="B869" s="458">
        <v>6.0685048246681639E-2</v>
      </c>
      <c r="C869" s="477">
        <v>2820995.728064083</v>
      </c>
      <c r="D869" s="458">
        <v>5.5829938496660958E-2</v>
      </c>
      <c r="E869" s="477">
        <v>21996275.102952927</v>
      </c>
      <c r="F869" s="458">
        <v>7.6702695194110992E-2</v>
      </c>
      <c r="G869" s="477">
        <v>98566816.142545074</v>
      </c>
      <c r="H869" s="458">
        <v>0.28296245937749953</v>
      </c>
      <c r="I869" s="468">
        <v>6.7963714133337287</v>
      </c>
    </row>
    <row r="870" spans="1:9" ht="16.5" x14ac:dyDescent="0.3">
      <c r="A870" s="477">
        <v>7224653.1562134493</v>
      </c>
      <c r="B870" s="458">
        <v>2.9326622517421796E-2</v>
      </c>
      <c r="C870" s="477">
        <v>4695950.9066094607</v>
      </c>
      <c r="D870" s="458">
        <v>8.1254472644932685E-2</v>
      </c>
      <c r="E870" s="477">
        <v>21144019.077502348</v>
      </c>
      <c r="F870" s="458">
        <v>0.14742189455629395</v>
      </c>
      <c r="G870" s="477">
        <v>79763285.816704214</v>
      </c>
      <c r="H870" s="458">
        <v>0.28043351048100296</v>
      </c>
      <c r="I870" s="468">
        <v>7.6926749210901697</v>
      </c>
    </row>
    <row r="871" spans="1:9" ht="16.5" x14ac:dyDescent="0.3">
      <c r="A871" s="477">
        <v>2114471.1577885509</v>
      </c>
      <c r="B871" s="458">
        <v>3.7982038822178765E-2</v>
      </c>
      <c r="C871" s="477">
        <v>8483661.4470999315</v>
      </c>
      <c r="D871" s="458">
        <v>5.3909162560724422E-2</v>
      </c>
      <c r="E871" s="477">
        <v>10135822.645194858</v>
      </c>
      <c r="F871" s="458">
        <v>0.1234521938763169</v>
      </c>
      <c r="G871" s="477">
        <v>75191582.474734843</v>
      </c>
      <c r="H871" s="458">
        <v>0.27239928373032796</v>
      </c>
      <c r="I871" s="468">
        <v>7.2507607015223989</v>
      </c>
    </row>
    <row r="872" spans="1:9" ht="16.5" x14ac:dyDescent="0.3">
      <c r="A872" s="477">
        <v>6987189.3777763294</v>
      </c>
      <c r="B872" s="458">
        <v>4.566691403874823E-2</v>
      </c>
      <c r="C872" s="477">
        <v>-587992.52056876104</v>
      </c>
      <c r="D872" s="458">
        <v>5.366366381613874E-2</v>
      </c>
      <c r="E872" s="477">
        <v>15208193.417654363</v>
      </c>
      <c r="F872" s="458">
        <v>9.8626525619325278E-2</v>
      </c>
      <c r="G872" s="477">
        <v>74938360.657846391</v>
      </c>
      <c r="H872" s="458">
        <v>0.27166177305799821</v>
      </c>
      <c r="I872" s="468">
        <v>9.2358613036091484</v>
      </c>
    </row>
    <row r="873" spans="1:9" ht="16.5" x14ac:dyDescent="0.3">
      <c r="A873" s="477">
        <v>4010927.5394430775</v>
      </c>
      <c r="B873" s="458">
        <v>5.2811693582758723E-2</v>
      </c>
      <c r="C873" s="477">
        <v>9374312.1712327134</v>
      </c>
      <c r="D873" s="458">
        <v>5.9325473757338321E-2</v>
      </c>
      <c r="E873" s="477">
        <v>11448987.446043061</v>
      </c>
      <c r="F873" s="458">
        <v>0.1293078244959216</v>
      </c>
      <c r="G873" s="477">
        <v>91095042.326663464</v>
      </c>
      <c r="H873" s="458">
        <v>0.26837119577154755</v>
      </c>
      <c r="I873" s="468">
        <v>8.1652263580555147</v>
      </c>
    </row>
    <row r="874" spans="1:9" ht="16.5" x14ac:dyDescent="0.3">
      <c r="A874" s="477">
        <v>6547069.0022250582</v>
      </c>
      <c r="B874" s="458">
        <v>5.2056817100907926E-2</v>
      </c>
      <c r="C874" s="477">
        <v>9285906.8125356715</v>
      </c>
      <c r="D874" s="458">
        <v>6.3262435631506131E-2</v>
      </c>
      <c r="E874" s="477">
        <v>18420563.564529967</v>
      </c>
      <c r="F874" s="458">
        <v>0.10159901848516828</v>
      </c>
      <c r="G874" s="477">
        <v>83645094.598004386</v>
      </c>
      <c r="H874" s="458">
        <v>0.25166053642189778</v>
      </c>
      <c r="I874" s="468">
        <v>10.613445850010235</v>
      </c>
    </row>
    <row r="875" spans="1:9" ht="16.5" x14ac:dyDescent="0.3">
      <c r="A875" s="477">
        <v>7497939.3208813341</v>
      </c>
      <c r="B875" s="458">
        <v>3.8826833835986063E-2</v>
      </c>
      <c r="C875" s="477">
        <v>7817206.1663595475</v>
      </c>
      <c r="D875" s="458">
        <v>7.9643866508900762E-2</v>
      </c>
      <c r="E875" s="477">
        <v>26917601.965865817</v>
      </c>
      <c r="F875" s="458">
        <v>0.11464313445049457</v>
      </c>
      <c r="G875" s="477">
        <v>100739817.73378351</v>
      </c>
      <c r="H875" s="458">
        <v>0.29926719972343196</v>
      </c>
      <c r="I875" s="468">
        <v>6.8638622048225466</v>
      </c>
    </row>
    <row r="876" spans="1:9" ht="16.5" x14ac:dyDescent="0.3">
      <c r="A876" s="477">
        <v>4770249.1652823342</v>
      </c>
      <c r="B876" s="458">
        <v>3.166704984908586E-2</v>
      </c>
      <c r="C876" s="477">
        <v>7279397.6893231962</v>
      </c>
      <c r="D876" s="458">
        <v>5.5469445181028476E-2</v>
      </c>
      <c r="E876" s="477">
        <v>6835687.3932023123</v>
      </c>
      <c r="F876" s="458">
        <v>8.9597543411439773E-2</v>
      </c>
      <c r="G876" s="477">
        <v>78431252.00130637</v>
      </c>
      <c r="H876" s="458">
        <v>0.24781834431955185</v>
      </c>
      <c r="I876" s="468">
        <v>9.316196850751691</v>
      </c>
    </row>
    <row r="877" spans="1:9" ht="16.5" x14ac:dyDescent="0.3">
      <c r="A877" s="477">
        <v>5028837.867860401</v>
      </c>
      <c r="B877" s="458">
        <v>4.0201702547528306E-2</v>
      </c>
      <c r="C877" s="477">
        <v>13131481.200674718</v>
      </c>
      <c r="D877" s="458">
        <v>6.6154536609592807E-2</v>
      </c>
      <c r="E877" s="477">
        <v>18104868.435076587</v>
      </c>
      <c r="F877" s="458">
        <v>0.10403951181075555</v>
      </c>
      <c r="G877" s="477">
        <v>90642599.146175846</v>
      </c>
      <c r="H877" s="458">
        <v>0.26337675637186875</v>
      </c>
      <c r="I877" s="468">
        <v>13.379989925256369</v>
      </c>
    </row>
    <row r="878" spans="1:9" ht="16.5" x14ac:dyDescent="0.3">
      <c r="A878" s="477">
        <v>5355641.2375863325</v>
      </c>
      <c r="B878" s="458">
        <v>3.3616010371710248E-2</v>
      </c>
      <c r="C878" s="477">
        <v>9448148.463048026</v>
      </c>
      <c r="D878" s="458">
        <v>6.3643973457671255E-2</v>
      </c>
      <c r="E878" s="477">
        <v>19508572.666706622</v>
      </c>
      <c r="F878" s="458">
        <v>8.1881022861445718E-2</v>
      </c>
      <c r="G878" s="477">
        <v>90520695.333533406</v>
      </c>
      <c r="H878" s="458">
        <v>0.25491934334851152</v>
      </c>
      <c r="I878" s="468">
        <v>8.1451694466983486</v>
      </c>
    </row>
    <row r="879" spans="1:9" ht="16.5" x14ac:dyDescent="0.3">
      <c r="A879" s="477">
        <v>4302204.9950026544</v>
      </c>
      <c r="B879" s="458">
        <v>3.1019085426210902E-2</v>
      </c>
      <c r="C879" s="477">
        <v>11653372.39247858</v>
      </c>
      <c r="D879" s="458">
        <v>6.0475863946638952E-2</v>
      </c>
      <c r="E879" s="477">
        <v>19339018.807991758</v>
      </c>
      <c r="F879" s="458">
        <v>0.10588277320924</v>
      </c>
      <c r="G879" s="477">
        <v>85382411.252000272</v>
      </c>
      <c r="H879" s="458">
        <v>0.25834296355984199</v>
      </c>
      <c r="I879" s="468">
        <v>9.1272607564798722</v>
      </c>
    </row>
    <row r="880" spans="1:9" ht="16.5" x14ac:dyDescent="0.3">
      <c r="A880" s="477">
        <v>517969.66313073627</v>
      </c>
      <c r="B880" s="458">
        <v>4.7202509592236153E-2</v>
      </c>
      <c r="C880" s="477">
        <v>10425920.905609243</v>
      </c>
      <c r="D880" s="458">
        <v>7.7307431070365196E-2</v>
      </c>
      <c r="E880" s="477">
        <v>16958753.402889162</v>
      </c>
      <c r="F880" s="458">
        <v>9.7912492812736174E-2</v>
      </c>
      <c r="G880" s="477">
        <v>103779812.11635533</v>
      </c>
      <c r="H880" s="458">
        <v>0.27752050626736913</v>
      </c>
      <c r="I880" s="468">
        <v>3.1766203740477561</v>
      </c>
    </row>
    <row r="881" spans="1:9" ht="16.5" x14ac:dyDescent="0.3">
      <c r="A881" s="477">
        <v>4346733.7915298557</v>
      </c>
      <c r="B881" s="458">
        <v>3.1992050046464549E-2</v>
      </c>
      <c r="C881" s="477">
        <v>4286284.1089665182</v>
      </c>
      <c r="D881" s="458">
        <v>8.0397240623553357E-2</v>
      </c>
      <c r="E881" s="477">
        <v>21243531.380472779</v>
      </c>
      <c r="F881" s="458">
        <v>0.13006467536896094</v>
      </c>
      <c r="G881" s="477">
        <v>83023108.710604593</v>
      </c>
      <c r="H881" s="458">
        <v>0.27348897146481321</v>
      </c>
      <c r="I881" s="468">
        <v>15.307052347745035</v>
      </c>
    </row>
    <row r="882" spans="1:9" ht="16.5" x14ac:dyDescent="0.3">
      <c r="A882" s="477">
        <v>5568528.0862180758</v>
      </c>
      <c r="B882" s="458">
        <v>7.518468089157837E-2</v>
      </c>
      <c r="C882" s="477">
        <v>9389299.037868103</v>
      </c>
      <c r="D882" s="458">
        <v>3.547878101088453E-2</v>
      </c>
      <c r="E882" s="477">
        <v>13967817.509974375</v>
      </c>
      <c r="F882" s="458">
        <v>9.3411269330757829E-2</v>
      </c>
      <c r="G882" s="477">
        <v>82594152.314409003</v>
      </c>
      <c r="H882" s="458">
        <v>0.28745216139210439</v>
      </c>
      <c r="I882" s="468">
        <v>3.9978114366589734</v>
      </c>
    </row>
    <row r="883" spans="1:9" ht="16.5" x14ac:dyDescent="0.3">
      <c r="A883" s="477">
        <v>4608644.2880828427</v>
      </c>
      <c r="B883" s="458">
        <v>4.8216174289093638E-2</v>
      </c>
      <c r="C883" s="477">
        <v>5572219.0107705621</v>
      </c>
      <c r="D883" s="458">
        <v>4.1570630453391377E-2</v>
      </c>
      <c r="E883" s="477">
        <v>16279710.496778402</v>
      </c>
      <c r="F883" s="458">
        <v>0.10934878950675175</v>
      </c>
      <c r="G883" s="477">
        <v>94866446.749518901</v>
      </c>
      <c r="H883" s="458">
        <v>0.26099366440698257</v>
      </c>
      <c r="I883" s="468">
        <v>6.5897575178893746</v>
      </c>
    </row>
    <row r="884" spans="1:9" ht="16.5" x14ac:dyDescent="0.3">
      <c r="A884" s="477">
        <v>6111605.9943917105</v>
      </c>
      <c r="B884" s="458">
        <v>2.3467450258240374E-2</v>
      </c>
      <c r="C884" s="477">
        <v>5867345.5669202944</v>
      </c>
      <c r="D884" s="458">
        <v>7.9756872192798145E-2</v>
      </c>
      <c r="E884" s="477">
        <v>14134774.989637939</v>
      </c>
      <c r="F884" s="458">
        <v>0.13190666869837497</v>
      </c>
      <c r="G884" s="477">
        <v>86629129.241870537</v>
      </c>
      <c r="H884" s="458">
        <v>0.26436539529206016</v>
      </c>
      <c r="I884" s="468">
        <v>11.930955214319106</v>
      </c>
    </row>
    <row r="885" spans="1:9" ht="16.5" x14ac:dyDescent="0.3">
      <c r="A885" s="477">
        <v>8419447.39680258</v>
      </c>
      <c r="B885" s="458">
        <v>2.7218213404654357E-2</v>
      </c>
      <c r="C885" s="477">
        <v>11116175.147416284</v>
      </c>
      <c r="D885" s="458">
        <v>8.7893693888016378E-2</v>
      </c>
      <c r="E885" s="477">
        <v>20470525.412189495</v>
      </c>
      <c r="F885" s="458">
        <v>9.1655152713483234E-2</v>
      </c>
      <c r="G885" s="477">
        <v>87507196.783655375</v>
      </c>
      <c r="H885" s="458">
        <v>0.27181003997858011</v>
      </c>
      <c r="I885" s="468">
        <v>9.6764456799022831</v>
      </c>
    </row>
    <row r="886" spans="1:9" ht="16.5" x14ac:dyDescent="0.3">
      <c r="A886" s="477">
        <v>7533223.4590757638</v>
      </c>
      <c r="B886" s="458">
        <v>5.3477793607385138E-2</v>
      </c>
      <c r="C886" s="477">
        <v>8438907.586783262</v>
      </c>
      <c r="D886" s="458">
        <v>7.203357665521426E-2</v>
      </c>
      <c r="E886" s="477">
        <v>23018783.746837225</v>
      </c>
      <c r="F886" s="458">
        <v>0.11623597679595399</v>
      </c>
      <c r="G886" s="477">
        <v>90244552.167246595</v>
      </c>
      <c r="H886" s="458">
        <v>0.2693374001600366</v>
      </c>
      <c r="I886" s="468">
        <v>8.9745207578249051</v>
      </c>
    </row>
    <row r="887" spans="1:9" ht="16.5" x14ac:dyDescent="0.3">
      <c r="A887" s="477">
        <v>3979896.0386014427</v>
      </c>
      <c r="B887" s="458">
        <v>3.8373736575839201E-2</v>
      </c>
      <c r="C887" s="477">
        <v>11250423.387926312</v>
      </c>
      <c r="D887" s="458">
        <v>4.1944620204890981E-2</v>
      </c>
      <c r="E887" s="477">
        <v>24338927.845771752</v>
      </c>
      <c r="F887" s="458">
        <v>9.9708443592574358E-2</v>
      </c>
      <c r="G887" s="477">
        <v>86972001.110032901</v>
      </c>
      <c r="H887" s="458">
        <v>0.27274057830803322</v>
      </c>
      <c r="I887" s="468">
        <v>4.4586119377072837</v>
      </c>
    </row>
    <row r="888" spans="1:9" ht="16.5" x14ac:dyDescent="0.3">
      <c r="A888" s="477">
        <v>7304956.5528782047</v>
      </c>
      <c r="B888" s="458">
        <v>6.1712480425725413E-2</v>
      </c>
      <c r="C888" s="477">
        <v>2653550.88272706</v>
      </c>
      <c r="D888" s="458">
        <v>6.881720205728814E-2</v>
      </c>
      <c r="E888" s="477">
        <v>15504516.817466823</v>
      </c>
      <c r="F888" s="458">
        <v>8.6190758440654047E-2</v>
      </c>
      <c r="G888" s="477">
        <v>93858303.396550149</v>
      </c>
      <c r="H888" s="458">
        <v>0.26609275129497334</v>
      </c>
      <c r="I888" s="468">
        <v>10.347830273479294</v>
      </c>
    </row>
    <row r="889" spans="1:9" ht="16.5" x14ac:dyDescent="0.3">
      <c r="A889" s="477">
        <v>3017988.2002118356</v>
      </c>
      <c r="B889" s="458">
        <v>6.9212289936515958E-2</v>
      </c>
      <c r="C889" s="477">
        <v>9336973.9083829243</v>
      </c>
      <c r="D889" s="458">
        <v>7.5348663686112927E-2</v>
      </c>
      <c r="E889" s="477">
        <v>23435010.605852615</v>
      </c>
      <c r="F889" s="458">
        <v>0.1044140089832406</v>
      </c>
      <c r="G889" s="477">
        <v>89280296.473883063</v>
      </c>
      <c r="H889" s="458">
        <v>0.28272835077233061</v>
      </c>
      <c r="I889" s="468">
        <v>2.4692607726746711</v>
      </c>
    </row>
    <row r="890" spans="1:9" ht="16.5" x14ac:dyDescent="0.3">
      <c r="A890" s="477">
        <v>2405902.9941352876</v>
      </c>
      <c r="B890" s="458">
        <v>3.5817961767761863E-2</v>
      </c>
      <c r="C890" s="477">
        <v>11150679.870210292</v>
      </c>
      <c r="D890" s="458">
        <v>7.4326708322040469E-2</v>
      </c>
      <c r="E890" s="477">
        <v>11998467.429357035</v>
      </c>
      <c r="F890" s="458">
        <v>0.12609648890333602</v>
      </c>
      <c r="G890" s="477">
        <v>92623030.887261048</v>
      </c>
      <c r="H890" s="458">
        <v>0.26671835187248316</v>
      </c>
      <c r="I890" s="468">
        <v>7.2863193892609708</v>
      </c>
    </row>
    <row r="891" spans="1:9" ht="16.5" x14ac:dyDescent="0.3">
      <c r="A891" s="477">
        <v>3131711.7556992746</v>
      </c>
      <c r="B891" s="458">
        <v>7.9475004031782204E-2</v>
      </c>
      <c r="C891" s="477">
        <v>11099824.461393073</v>
      </c>
      <c r="D891" s="458">
        <v>5.0483662543695962E-2</v>
      </c>
      <c r="E891" s="477">
        <v>18754907.564202998</v>
      </c>
      <c r="F891" s="458">
        <v>0.11552045721573156</v>
      </c>
      <c r="G891" s="477">
        <v>86003040.958557889</v>
      </c>
      <c r="H891" s="458">
        <v>0.26472904781240314</v>
      </c>
      <c r="I891" s="468">
        <v>7.0998147575182564</v>
      </c>
    </row>
    <row r="892" spans="1:9" ht="16.5" x14ac:dyDescent="0.3">
      <c r="A892" s="477">
        <v>10135843.639115697</v>
      </c>
      <c r="B892" s="458">
        <v>4.6903514819512493E-2</v>
      </c>
      <c r="C892" s="477">
        <v>11569736.41975053</v>
      </c>
      <c r="D892" s="458">
        <v>7.4087838413759544E-2</v>
      </c>
      <c r="E892" s="477">
        <v>25801781.397357728</v>
      </c>
      <c r="F892" s="458">
        <v>0.1080789745936519</v>
      </c>
      <c r="G892" s="477">
        <v>96746639.187477931</v>
      </c>
      <c r="H892" s="458">
        <v>0.26143196135947333</v>
      </c>
      <c r="I892" s="468">
        <v>6.9079972271549277</v>
      </c>
    </row>
    <row r="893" spans="1:9" ht="16.5" x14ac:dyDescent="0.3">
      <c r="A893" s="477">
        <v>3889644.1197374547</v>
      </c>
      <c r="B893" s="458">
        <v>2.445677918063538E-2</v>
      </c>
      <c r="C893" s="477">
        <v>11864996.548943471</v>
      </c>
      <c r="D893" s="458">
        <v>6.3726321689779875E-2</v>
      </c>
      <c r="E893" s="477">
        <v>22843587.274225034</v>
      </c>
      <c r="F893" s="458">
        <v>0.116903429697369</v>
      </c>
      <c r="G893" s="477">
        <v>91683864.17478019</v>
      </c>
      <c r="H893" s="458">
        <v>0.25636438107838133</v>
      </c>
      <c r="I893" s="468">
        <v>6.8728190631392305</v>
      </c>
    </row>
    <row r="894" spans="1:9" ht="16.5" x14ac:dyDescent="0.3">
      <c r="A894" s="477">
        <v>4789993.575629699</v>
      </c>
      <c r="B894" s="458">
        <v>7.4356907628227553E-2</v>
      </c>
      <c r="C894" s="477">
        <v>5581260.2977748644</v>
      </c>
      <c r="D894" s="458">
        <v>4.4610917150106122E-2</v>
      </c>
      <c r="E894" s="477">
        <v>16879837.533732545</v>
      </c>
      <c r="F894" s="458">
        <v>0.10954210895623184</v>
      </c>
      <c r="G894" s="477">
        <v>96749671.976020351</v>
      </c>
      <c r="H894" s="458">
        <v>0.25696989381959656</v>
      </c>
      <c r="I894" s="468">
        <v>13.689094527181656</v>
      </c>
    </row>
    <row r="895" spans="1:9" ht="16.5" x14ac:dyDescent="0.3">
      <c r="A895" s="477">
        <v>6342977.157168516</v>
      </c>
      <c r="B895" s="458">
        <v>5.6609458366140286E-2</v>
      </c>
      <c r="C895" s="477">
        <v>-1116990.4840613168</v>
      </c>
      <c r="D895" s="458">
        <v>3.7240613040187664E-2</v>
      </c>
      <c r="E895" s="477">
        <v>18521795.569138244</v>
      </c>
      <c r="F895" s="458">
        <v>9.7589721859959511E-2</v>
      </c>
      <c r="G895" s="477">
        <v>81889132.95555979</v>
      </c>
      <c r="H895" s="458">
        <v>0.26499083319566274</v>
      </c>
      <c r="I895" s="468">
        <v>12.02976522440307</v>
      </c>
    </row>
    <row r="896" spans="1:9" ht="16.5" x14ac:dyDescent="0.3">
      <c r="A896" s="477">
        <v>1277652.2105503755</v>
      </c>
      <c r="B896" s="458">
        <v>3.9166113749042442E-2</v>
      </c>
      <c r="C896" s="477">
        <v>10864982.026132265</v>
      </c>
      <c r="D896" s="458">
        <v>4.5706791304812144E-2</v>
      </c>
      <c r="E896" s="477">
        <v>19150120.415533226</v>
      </c>
      <c r="F896" s="458">
        <v>0.10388371449706879</v>
      </c>
      <c r="G896" s="477">
        <v>97103788.64222376</v>
      </c>
      <c r="H896" s="458">
        <v>0.26149025124488845</v>
      </c>
      <c r="I896" s="468">
        <v>10.004556929897927</v>
      </c>
    </row>
    <row r="897" spans="1:9" ht="16.5" x14ac:dyDescent="0.3">
      <c r="A897" s="477">
        <v>4770192.9882207708</v>
      </c>
      <c r="B897" s="458">
        <v>3.4799774120608973E-2</v>
      </c>
      <c r="C897" s="477">
        <v>11480103.006664157</v>
      </c>
      <c r="D897" s="458">
        <v>5.3411598363643398E-2</v>
      </c>
      <c r="E897" s="477">
        <v>15138797.414094474</v>
      </c>
      <c r="F897" s="458">
        <v>0.1118013217722984</v>
      </c>
      <c r="G897" s="477">
        <v>90447902.30088219</v>
      </c>
      <c r="H897" s="458">
        <v>0.26801121535237282</v>
      </c>
      <c r="I897" s="468">
        <v>3.0663041915769709</v>
      </c>
    </row>
    <row r="898" spans="1:9" ht="16.5" x14ac:dyDescent="0.3">
      <c r="A898" s="477">
        <v>3181955.5701267207</v>
      </c>
      <c r="B898" s="458">
        <v>7.6433940424632363E-2</v>
      </c>
      <c r="C898" s="477">
        <v>5646136.9562335955</v>
      </c>
      <c r="D898" s="458">
        <v>5.7071137662820348E-2</v>
      </c>
      <c r="E898" s="477">
        <v>7790200.446404092</v>
      </c>
      <c r="F898" s="458">
        <v>8.72289387979992E-2</v>
      </c>
      <c r="G898" s="477">
        <v>91154487.286636591</v>
      </c>
      <c r="H898" s="458">
        <v>0.2725801209407841</v>
      </c>
      <c r="I898" s="468">
        <v>12.017020581946902</v>
      </c>
    </row>
    <row r="899" spans="1:9" ht="16.5" x14ac:dyDescent="0.3">
      <c r="A899" s="477">
        <v>6161622.5563744241</v>
      </c>
      <c r="B899" s="458">
        <v>4.3867541762773854E-2</v>
      </c>
      <c r="C899" s="477">
        <v>3184755.0361772715</v>
      </c>
      <c r="D899" s="458">
        <v>5.66159138579716E-2</v>
      </c>
      <c r="E899" s="477">
        <v>18585340.749754921</v>
      </c>
      <c r="F899" s="458">
        <v>0.10338283312831198</v>
      </c>
      <c r="G899" s="477">
        <v>88042800.423587978</v>
      </c>
      <c r="H899" s="458">
        <v>0.24854548955609324</v>
      </c>
      <c r="I899" s="468">
        <v>7.4279050292307414</v>
      </c>
    </row>
    <row r="900" spans="1:9" ht="16.5" x14ac:dyDescent="0.3">
      <c r="A900" s="477">
        <v>5449615.9174491959</v>
      </c>
      <c r="B900" s="458">
        <v>3.9884355107426606E-2</v>
      </c>
      <c r="C900" s="477">
        <v>3853821.7678670785</v>
      </c>
      <c r="D900" s="458">
        <v>5.1911140284957913E-2</v>
      </c>
      <c r="E900" s="477">
        <v>15036493.131099276</v>
      </c>
      <c r="F900" s="458">
        <v>0.11383367277482548</v>
      </c>
      <c r="G900" s="477">
        <v>93311550.390689462</v>
      </c>
      <c r="H900" s="458">
        <v>0.27106937209435866</v>
      </c>
      <c r="I900" s="468">
        <v>8.0506831266120198</v>
      </c>
    </row>
    <row r="901" spans="1:9" ht="16.5" x14ac:dyDescent="0.3">
      <c r="A901" s="477">
        <v>8504564.5020850692</v>
      </c>
      <c r="B901" s="458">
        <v>5.3655540292769865E-2</v>
      </c>
      <c r="C901" s="477">
        <v>11709246.169433881</v>
      </c>
      <c r="D901" s="458">
        <v>4.6620198744719898E-2</v>
      </c>
      <c r="E901" s="477">
        <v>13744153.348278441</v>
      </c>
      <c r="F901" s="458">
        <v>0.10860831777105795</v>
      </c>
      <c r="G901" s="477">
        <v>81005950.236642599</v>
      </c>
      <c r="H901" s="458">
        <v>0.26798802660780496</v>
      </c>
      <c r="I901" s="468">
        <v>9.9560832380111215</v>
      </c>
    </row>
    <row r="902" spans="1:9" ht="16.5" x14ac:dyDescent="0.3">
      <c r="A902" s="477">
        <v>4561915.8908623802</v>
      </c>
      <c r="B902" s="458">
        <v>1.0929560507030534E-2</v>
      </c>
      <c r="C902" s="477">
        <v>798156.7700872866</v>
      </c>
      <c r="D902" s="458">
        <v>6.4712269583293125E-2</v>
      </c>
      <c r="E902" s="477">
        <v>16328566.510641912</v>
      </c>
      <c r="F902" s="458">
        <v>0.13285085218705239</v>
      </c>
      <c r="G902" s="477">
        <v>82727850.294091597</v>
      </c>
      <c r="H902" s="458">
        <v>0.26030106928147845</v>
      </c>
      <c r="I902" s="468">
        <v>13.852049760011028</v>
      </c>
    </row>
    <row r="903" spans="1:9" ht="16.5" x14ac:dyDescent="0.3">
      <c r="A903" s="477">
        <v>3726194.911315558</v>
      </c>
      <c r="B903" s="458">
        <v>2.3715418373640551E-2</v>
      </c>
      <c r="C903" s="477">
        <v>10816151.577438161</v>
      </c>
      <c r="D903" s="458">
        <v>5.2284647357859981E-2</v>
      </c>
      <c r="E903" s="477">
        <v>15042143.883532243</v>
      </c>
      <c r="F903" s="458">
        <v>0.10486923003687854</v>
      </c>
      <c r="G903" s="477">
        <v>95893280.602359101</v>
      </c>
      <c r="H903" s="458">
        <v>0.26094364355315069</v>
      </c>
      <c r="I903" s="468">
        <v>13.649752836596559</v>
      </c>
    </row>
    <row r="904" spans="1:9" ht="16.5" x14ac:dyDescent="0.3">
      <c r="A904" s="477">
        <v>7756957.9356257757</v>
      </c>
      <c r="B904" s="458">
        <v>7.8056582968698107E-2</v>
      </c>
      <c r="C904" s="477">
        <v>5400506.7208984941</v>
      </c>
      <c r="D904" s="458">
        <v>5.7239008095848698E-2</v>
      </c>
      <c r="E904" s="477">
        <v>13899309.434499366</v>
      </c>
      <c r="F904" s="458">
        <v>9.4959701727205248E-2</v>
      </c>
      <c r="G904" s="477">
        <v>84024143.646228641</v>
      </c>
      <c r="H904" s="458">
        <v>0.25632419809567386</v>
      </c>
      <c r="I904" s="468">
        <v>4.8187451328058142</v>
      </c>
    </row>
    <row r="905" spans="1:9" ht="16.5" x14ac:dyDescent="0.3">
      <c r="A905" s="477">
        <v>2719539.0867963666</v>
      </c>
      <c r="B905" s="458">
        <v>5.5000065232698514E-2</v>
      </c>
      <c r="C905" s="477">
        <v>5920682.7515628263</v>
      </c>
      <c r="D905" s="458">
        <v>6.4802613419626676E-2</v>
      </c>
      <c r="E905" s="477">
        <v>18425755.368568167</v>
      </c>
      <c r="F905" s="458">
        <v>0.10591565586322882</v>
      </c>
      <c r="G905" s="477">
        <v>92996540.652996987</v>
      </c>
      <c r="H905" s="458">
        <v>0.2628543848715732</v>
      </c>
      <c r="I905" s="468">
        <v>9.4455587708844533</v>
      </c>
    </row>
    <row r="906" spans="1:9" ht="16.5" x14ac:dyDescent="0.3">
      <c r="A906" s="477">
        <v>8506593.1154298522</v>
      </c>
      <c r="B906" s="458">
        <v>1.4116892218776433E-2</v>
      </c>
      <c r="C906" s="477">
        <v>8436426.9939112123</v>
      </c>
      <c r="D906" s="458">
        <v>4.9058262172340328E-2</v>
      </c>
      <c r="E906" s="477">
        <v>20436185.928368639</v>
      </c>
      <c r="F906" s="458">
        <v>8.8113774608597595E-2</v>
      </c>
      <c r="G906" s="477">
        <v>96412934.577367827</v>
      </c>
      <c r="H906" s="458">
        <v>0.25565771553740602</v>
      </c>
      <c r="I906" s="468">
        <v>5.0454698469120665</v>
      </c>
    </row>
    <row r="907" spans="1:9" ht="16.5" x14ac:dyDescent="0.3">
      <c r="A907" s="477">
        <v>6390466.1240185667</v>
      </c>
      <c r="B907" s="458">
        <v>3.8347000651144159E-2</v>
      </c>
      <c r="C907" s="477">
        <v>11628487.639388263</v>
      </c>
      <c r="D907" s="458">
        <v>8.1419401629723831E-2</v>
      </c>
      <c r="E907" s="477">
        <v>20385806.899676733</v>
      </c>
      <c r="F907" s="458">
        <v>8.9816794807816791E-2</v>
      </c>
      <c r="G907" s="477">
        <v>97576629.053696662</v>
      </c>
      <c r="H907" s="458">
        <v>0.27426444379610793</v>
      </c>
      <c r="I907" s="468">
        <v>8.0385312587090869</v>
      </c>
    </row>
    <row r="908" spans="1:9" ht="16.5" x14ac:dyDescent="0.3">
      <c r="A908" s="477">
        <v>10295993.25924482</v>
      </c>
      <c r="B908" s="458">
        <v>4.0057682975960685E-2</v>
      </c>
      <c r="C908" s="477">
        <v>3807570.3020123434</v>
      </c>
      <c r="D908" s="458">
        <v>8.8399010470150419E-2</v>
      </c>
      <c r="E908" s="477">
        <v>10115545.99851732</v>
      </c>
      <c r="F908" s="458">
        <v>0.13021999135495776</v>
      </c>
      <c r="G908" s="477">
        <v>83523958.196743593</v>
      </c>
      <c r="H908" s="458">
        <v>0.259145509004304</v>
      </c>
      <c r="I908" s="468">
        <v>15.851149856460136</v>
      </c>
    </row>
    <row r="909" spans="1:9" ht="16.5" x14ac:dyDescent="0.3">
      <c r="A909" s="477">
        <v>2313518.5676591219</v>
      </c>
      <c r="B909" s="458">
        <v>6.8647747665107728E-2</v>
      </c>
      <c r="C909" s="477">
        <v>12630828.028826497</v>
      </c>
      <c r="D909" s="458">
        <v>4.4538603927476217E-2</v>
      </c>
      <c r="E909" s="477">
        <v>15153688.534217682</v>
      </c>
      <c r="F909" s="458">
        <v>7.9278894936213762E-2</v>
      </c>
      <c r="G909" s="477">
        <v>94412961.933382154</v>
      </c>
      <c r="H909" s="458">
        <v>0.2873212752319747</v>
      </c>
      <c r="I909" s="468">
        <v>11.231441395277317</v>
      </c>
    </row>
    <row r="910" spans="1:9" ht="16.5" x14ac:dyDescent="0.3">
      <c r="A910" s="477">
        <v>2659183.08729026</v>
      </c>
      <c r="B910" s="458">
        <v>4.1677617463276029E-2</v>
      </c>
      <c r="C910" s="477">
        <v>8013927.3078184826</v>
      </c>
      <c r="D910" s="458">
        <v>7.3886120237651731E-2</v>
      </c>
      <c r="E910" s="477">
        <v>15843371.493660746</v>
      </c>
      <c r="F910" s="458">
        <v>0.11514480257355486</v>
      </c>
      <c r="G910" s="477">
        <v>109216949.33749902</v>
      </c>
      <c r="H910" s="458">
        <v>0.27659648615831323</v>
      </c>
      <c r="I910" s="468">
        <v>5.7287914690815231</v>
      </c>
    </row>
    <row r="911" spans="1:9" ht="16.5" x14ac:dyDescent="0.3">
      <c r="A911" s="477">
        <v>4518510.9690385312</v>
      </c>
      <c r="B911" s="458">
        <v>2.6837840781065436E-2</v>
      </c>
      <c r="C911" s="477">
        <v>10114784.394599466</v>
      </c>
      <c r="D911" s="458">
        <v>8.5718273639936449E-2</v>
      </c>
      <c r="E911" s="477">
        <v>11566967.400237989</v>
      </c>
      <c r="F911" s="458">
        <v>0.10945822696028218</v>
      </c>
      <c r="G911" s="477">
        <v>74346278.701310903</v>
      </c>
      <c r="H911" s="458">
        <v>0.25094288937792353</v>
      </c>
      <c r="I911" s="468">
        <v>11.116888037890511</v>
      </c>
    </row>
    <row r="912" spans="1:9" ht="16.5" x14ac:dyDescent="0.3">
      <c r="A912" s="477">
        <v>2529522.1318366714</v>
      </c>
      <c r="B912" s="458">
        <v>3.7079095212872115E-2</v>
      </c>
      <c r="C912" s="477">
        <v>6448403.7423208579</v>
      </c>
      <c r="D912" s="458">
        <v>5.1391581319301993E-2</v>
      </c>
      <c r="E912" s="477">
        <v>10021315.446938951</v>
      </c>
      <c r="F912" s="458">
        <v>0.10045942273607777</v>
      </c>
      <c r="G912" s="477">
        <v>99442256.865924031</v>
      </c>
      <c r="H912" s="458">
        <v>0.24942982875073905</v>
      </c>
      <c r="I912" s="468">
        <v>7.9986241858685245</v>
      </c>
    </row>
    <row r="913" spans="1:9" ht="16.5" x14ac:dyDescent="0.3">
      <c r="A913" s="477">
        <v>5958495.1922075786</v>
      </c>
      <c r="B913" s="458">
        <v>5.2717387895859336E-2</v>
      </c>
      <c r="C913" s="477">
        <v>4504229.751582996</v>
      </c>
      <c r="D913" s="458">
        <v>5.1292324271794199E-2</v>
      </c>
      <c r="E913" s="477">
        <v>19708943.932182316</v>
      </c>
      <c r="F913" s="458">
        <v>0.15195242785086682</v>
      </c>
      <c r="G913" s="477">
        <v>93899587.416382328</v>
      </c>
      <c r="H913" s="458">
        <v>0.26246991601013048</v>
      </c>
      <c r="I913" s="468">
        <v>11.990371414167841</v>
      </c>
    </row>
    <row r="914" spans="1:9" ht="16.5" x14ac:dyDescent="0.3">
      <c r="A914" s="477">
        <v>2918361.7367997421</v>
      </c>
      <c r="B914" s="458">
        <v>3.9113530410362696E-2</v>
      </c>
      <c r="C914" s="477">
        <v>9059028.5449027196</v>
      </c>
      <c r="D914" s="458">
        <v>4.7432361937020495E-2</v>
      </c>
      <c r="E914" s="477">
        <v>20885555.122281082</v>
      </c>
      <c r="F914" s="458">
        <v>0.10296793769991019</v>
      </c>
      <c r="G914" s="477">
        <v>92635370.173677996</v>
      </c>
      <c r="H914" s="458">
        <v>0.26384632923622608</v>
      </c>
      <c r="I914" s="468">
        <v>9.7705111404801048</v>
      </c>
    </row>
    <row r="915" spans="1:9" ht="16.5" x14ac:dyDescent="0.3">
      <c r="A915" s="477">
        <v>3412442.4871617611</v>
      </c>
      <c r="B915" s="458">
        <v>1.6982107673961355E-2</v>
      </c>
      <c r="C915" s="477">
        <v>8340987.9055132149</v>
      </c>
      <c r="D915" s="458">
        <v>6.7230340804339317E-2</v>
      </c>
      <c r="E915" s="477">
        <v>18966323.570035208</v>
      </c>
      <c r="F915" s="458">
        <v>0.10015030985030893</v>
      </c>
      <c r="G915" s="477">
        <v>78750544.273425788</v>
      </c>
      <c r="H915" s="458">
        <v>0.28437375790135566</v>
      </c>
      <c r="I915" s="468">
        <v>5.7126745957281759</v>
      </c>
    </row>
    <row r="916" spans="1:9" ht="16.5" x14ac:dyDescent="0.3">
      <c r="A916" s="477">
        <v>514049.58860696736</v>
      </c>
      <c r="B916" s="458">
        <v>6.6933271388426974E-2</v>
      </c>
      <c r="C916" s="477">
        <v>6242832.7608628096</v>
      </c>
      <c r="D916" s="458">
        <v>4.5605793736378519E-2</v>
      </c>
      <c r="E916" s="477">
        <v>13331040.722468067</v>
      </c>
      <c r="F916" s="458">
        <v>0.11306341848146806</v>
      </c>
      <c r="G916" s="477">
        <v>72270692.094070494</v>
      </c>
      <c r="H916" s="458">
        <v>0.27189595090080121</v>
      </c>
      <c r="I916" s="468">
        <v>7.8037193984925928</v>
      </c>
    </row>
    <row r="917" spans="1:9" ht="16.5" x14ac:dyDescent="0.3">
      <c r="A917" s="477">
        <v>7809535.7574671563</v>
      </c>
      <c r="B917" s="458">
        <v>3.5294195343791968E-2</v>
      </c>
      <c r="C917" s="477">
        <v>4563729.479827581</v>
      </c>
      <c r="D917" s="458">
        <v>9.0691564787922729E-2</v>
      </c>
      <c r="E917" s="477">
        <v>14001656.634426188</v>
      </c>
      <c r="F917" s="458">
        <v>0.10958123947324716</v>
      </c>
      <c r="G917" s="477">
        <v>89369331.536110729</v>
      </c>
      <c r="H917" s="458">
        <v>0.27482299429405721</v>
      </c>
      <c r="I917" s="468">
        <v>8.1203527229946584</v>
      </c>
    </row>
    <row r="918" spans="1:9" ht="16.5" x14ac:dyDescent="0.3">
      <c r="A918" s="477">
        <v>4528087.8302813563</v>
      </c>
      <c r="B918" s="458">
        <v>4.2949837304175453E-2</v>
      </c>
      <c r="C918" s="477">
        <v>7749970.2697675722</v>
      </c>
      <c r="D918" s="458">
        <v>6.4185111905353143E-2</v>
      </c>
      <c r="E918" s="477">
        <v>13929242.873109642</v>
      </c>
      <c r="F918" s="458">
        <v>0.10978108421945354</v>
      </c>
      <c r="G918" s="477">
        <v>98047666.937461779</v>
      </c>
      <c r="H918" s="458">
        <v>0.28647385895465227</v>
      </c>
      <c r="I918" s="468">
        <v>0.99822216414187803</v>
      </c>
    </row>
    <row r="919" spans="1:9" ht="16.5" x14ac:dyDescent="0.3">
      <c r="A919" s="477">
        <v>5084847.0071920045</v>
      </c>
      <c r="B919" s="458">
        <v>4.0041518826660294E-2</v>
      </c>
      <c r="C919" s="477">
        <v>9674536.5847645327</v>
      </c>
      <c r="D919" s="458">
        <v>5.0116918786722087E-2</v>
      </c>
      <c r="E919" s="477">
        <v>21033409.242681403</v>
      </c>
      <c r="F919" s="458">
        <v>7.7835662918473325E-2</v>
      </c>
      <c r="G919" s="477">
        <v>94156294.834954992</v>
      </c>
      <c r="H919" s="458">
        <v>0.25933996269871984</v>
      </c>
      <c r="I919" s="468">
        <v>9.6508116856074189</v>
      </c>
    </row>
    <row r="920" spans="1:9" ht="16.5" x14ac:dyDescent="0.3">
      <c r="A920" s="477">
        <v>4428284.9447687753</v>
      </c>
      <c r="B920" s="458">
        <v>4.7614029975220573E-2</v>
      </c>
      <c r="C920" s="477">
        <v>14981617.542109402</v>
      </c>
      <c r="D920" s="458">
        <v>6.6238071071722304E-2</v>
      </c>
      <c r="E920" s="477">
        <v>17461277.147337027</v>
      </c>
      <c r="F920" s="458">
        <v>0.10666507320682883</v>
      </c>
      <c r="G920" s="477">
        <v>93608040.016008839</v>
      </c>
      <c r="H920" s="458">
        <v>0.27666510635120489</v>
      </c>
      <c r="I920" s="468">
        <v>11.184630075644943</v>
      </c>
    </row>
    <row r="921" spans="1:9" ht="16.5" x14ac:dyDescent="0.3">
      <c r="A921" s="477">
        <v>5238431.9038145412</v>
      </c>
      <c r="B921" s="458">
        <v>5.2343905519307343E-2</v>
      </c>
      <c r="C921" s="477">
        <v>7478279.4366047382</v>
      </c>
      <c r="D921" s="458">
        <v>7.4058344916360097E-2</v>
      </c>
      <c r="E921" s="477">
        <v>15919085.279617971</v>
      </c>
      <c r="F921" s="458">
        <v>8.3167813888356257E-2</v>
      </c>
      <c r="G921" s="477">
        <v>93678683.646708027</v>
      </c>
      <c r="H921" s="458">
        <v>0.26381445351276955</v>
      </c>
      <c r="I921" s="468">
        <v>11.481353993690483</v>
      </c>
    </row>
    <row r="922" spans="1:9" ht="16.5" x14ac:dyDescent="0.3">
      <c r="A922" s="477">
        <v>7829999.345225079</v>
      </c>
      <c r="B922" s="458">
        <v>3.1320925708814285E-2</v>
      </c>
      <c r="C922" s="477">
        <v>8040006.2096430287</v>
      </c>
      <c r="D922" s="458">
        <v>4.7949019523457759E-2</v>
      </c>
      <c r="E922" s="477">
        <v>13940684.037219157</v>
      </c>
      <c r="F922" s="458">
        <v>0.13226428316862227</v>
      </c>
      <c r="G922" s="477">
        <v>94746695.551842451</v>
      </c>
      <c r="H922" s="458">
        <v>0.27298037844819278</v>
      </c>
      <c r="I922" s="468">
        <v>6.0281190585174906</v>
      </c>
    </row>
    <row r="923" spans="1:9" ht="16.5" x14ac:dyDescent="0.3">
      <c r="A923" s="477">
        <v>8687013.1826062761</v>
      </c>
      <c r="B923" s="458">
        <v>3.9241287083090937E-2</v>
      </c>
      <c r="C923" s="477">
        <v>14966235.895361871</v>
      </c>
      <c r="D923" s="458">
        <v>6.2150913265882402E-2</v>
      </c>
      <c r="E923" s="477">
        <v>17308153.374689456</v>
      </c>
      <c r="F923" s="458">
        <v>9.4419240146548233E-2</v>
      </c>
      <c r="G923" s="477">
        <v>84491657.620450795</v>
      </c>
      <c r="H923" s="458">
        <v>0.27912852172991576</v>
      </c>
      <c r="I923" s="468">
        <v>7.0331333253371966</v>
      </c>
    </row>
    <row r="924" spans="1:9" ht="16.5" x14ac:dyDescent="0.3">
      <c r="A924" s="477">
        <v>6348795.3977445653</v>
      </c>
      <c r="B924" s="458">
        <v>4.8844881348437896E-2</v>
      </c>
      <c r="C924" s="477">
        <v>3288745.5039423541</v>
      </c>
      <c r="D924" s="458">
        <v>6.1470742956621027E-2</v>
      </c>
      <c r="E924" s="477">
        <v>14619792.023664294</v>
      </c>
      <c r="F924" s="458">
        <v>9.557643720458131E-2</v>
      </c>
      <c r="G924" s="477">
        <v>91103855.909334689</v>
      </c>
      <c r="H924" s="458">
        <v>0.26208393165555499</v>
      </c>
      <c r="I924" s="468">
        <v>11.317862378614045</v>
      </c>
    </row>
    <row r="925" spans="1:9" ht="16.5" x14ac:dyDescent="0.3">
      <c r="A925" s="477">
        <v>7831592.4236463122</v>
      </c>
      <c r="B925" s="458">
        <v>5.4640917726209715E-2</v>
      </c>
      <c r="C925" s="477">
        <v>9311077.3792383578</v>
      </c>
      <c r="D925" s="458">
        <v>4.9772920993509606E-2</v>
      </c>
      <c r="E925" s="477">
        <v>19456900.959486999</v>
      </c>
      <c r="F925" s="458">
        <v>0.11234381164332286</v>
      </c>
      <c r="G925" s="477">
        <v>94114642.715561032</v>
      </c>
      <c r="H925" s="458">
        <v>0.27170453839664166</v>
      </c>
      <c r="I925" s="468">
        <v>12.501326054263386</v>
      </c>
    </row>
    <row r="926" spans="1:9" ht="16.5" x14ac:dyDescent="0.3">
      <c r="A926" s="477">
        <v>4897589.8573322957</v>
      </c>
      <c r="B926" s="458">
        <v>3.4514059426773214E-2</v>
      </c>
      <c r="C926" s="477">
        <v>12516133.137917016</v>
      </c>
      <c r="D926" s="458">
        <v>7.0788288514933573E-2</v>
      </c>
      <c r="E926" s="477">
        <v>13028868.99851666</v>
      </c>
      <c r="F926" s="458">
        <v>9.9725945609200117E-2</v>
      </c>
      <c r="G926" s="477">
        <v>85331742.304065153</v>
      </c>
      <c r="H926" s="458">
        <v>0.25976105784049208</v>
      </c>
      <c r="I926" s="468">
        <v>10.091225240047393</v>
      </c>
    </row>
    <row r="927" spans="1:9" ht="16.5" x14ac:dyDescent="0.3">
      <c r="A927" s="477">
        <v>4579825.810090635</v>
      </c>
      <c r="B927" s="458">
        <v>4.0698182351969869E-2</v>
      </c>
      <c r="C927" s="477">
        <v>12229485.028244242</v>
      </c>
      <c r="D927" s="458">
        <v>7.9362436802152159E-2</v>
      </c>
      <c r="E927" s="477">
        <v>25518524.616478834</v>
      </c>
      <c r="F927" s="458">
        <v>0.1308259091920394</v>
      </c>
      <c r="G927" s="477">
        <v>74599130.266499966</v>
      </c>
      <c r="H927" s="458">
        <v>0.28991342715595381</v>
      </c>
      <c r="I927" s="468">
        <v>6.6580229890209255</v>
      </c>
    </row>
    <row r="928" spans="1:9" ht="16.5" x14ac:dyDescent="0.3">
      <c r="A928" s="477">
        <v>4995084.1303209607</v>
      </c>
      <c r="B928" s="458">
        <v>8.1552402672159019E-2</v>
      </c>
      <c r="C928" s="477">
        <v>8359857.0168385748</v>
      </c>
      <c r="D928" s="458">
        <v>8.093521749763144E-2</v>
      </c>
      <c r="E928" s="477">
        <v>25758392.787065811</v>
      </c>
      <c r="F928" s="458">
        <v>0.10583599786293818</v>
      </c>
      <c r="G928" s="477">
        <v>89396264.201166332</v>
      </c>
      <c r="H928" s="458">
        <v>0.27380583136378811</v>
      </c>
      <c r="I928" s="468">
        <v>10.674317486890175</v>
      </c>
    </row>
    <row r="929" spans="1:9" ht="16.5" x14ac:dyDescent="0.3">
      <c r="A929" s="477">
        <v>6241207.196667864</v>
      </c>
      <c r="B929" s="458">
        <v>6.8846813634057202E-2</v>
      </c>
      <c r="C929" s="477">
        <v>4381231.0357989529</v>
      </c>
      <c r="D929" s="458">
        <v>5.9411259758262558E-2</v>
      </c>
      <c r="E929" s="477">
        <v>9148295.55743373</v>
      </c>
      <c r="F929" s="458">
        <v>0.11153412678272057</v>
      </c>
      <c r="G929" s="477">
        <v>87233396.880787209</v>
      </c>
      <c r="H929" s="458">
        <v>0.27093739301846242</v>
      </c>
      <c r="I929" s="468">
        <v>7.2588303088040522</v>
      </c>
    </row>
    <row r="930" spans="1:9" ht="16.5" x14ac:dyDescent="0.3">
      <c r="A930" s="477">
        <v>2753084.5876798485</v>
      </c>
      <c r="B930" s="458">
        <v>5.5000855891225386E-2</v>
      </c>
      <c r="C930" s="477">
        <v>1950977.7069027075</v>
      </c>
      <c r="D930" s="458">
        <v>7.1823229265662425E-2</v>
      </c>
      <c r="E930" s="477">
        <v>5744795.9417540338</v>
      </c>
      <c r="F930" s="458">
        <v>0.10549527904592404</v>
      </c>
      <c r="G930" s="477">
        <v>91796468.685820371</v>
      </c>
      <c r="H930" s="458">
        <v>0.28027021858241463</v>
      </c>
      <c r="I930" s="468">
        <v>12.207654017482181</v>
      </c>
    </row>
    <row r="931" spans="1:9" ht="16.5" x14ac:dyDescent="0.3">
      <c r="A931" s="477">
        <v>8063157.3303072024</v>
      </c>
      <c r="B931" s="458">
        <v>2.7385302493384334E-2</v>
      </c>
      <c r="C931" s="477">
        <v>13221302.507093951</v>
      </c>
      <c r="D931" s="458">
        <v>5.6986095237270717E-2</v>
      </c>
      <c r="E931" s="477">
        <v>16926369.29661227</v>
      </c>
      <c r="F931" s="458">
        <v>9.8956892347116909E-2</v>
      </c>
      <c r="G931" s="477">
        <v>84989561.301062629</v>
      </c>
      <c r="H931" s="458">
        <v>0.26087633867520599</v>
      </c>
      <c r="I931" s="468">
        <v>4.456444851079568</v>
      </c>
    </row>
    <row r="932" spans="1:9" ht="16.5" x14ac:dyDescent="0.3">
      <c r="A932" s="477">
        <v>6357340.0014947038</v>
      </c>
      <c r="B932" s="458">
        <v>3.8026026344202712E-2</v>
      </c>
      <c r="C932" s="477">
        <v>10393450.943043645</v>
      </c>
      <c r="D932" s="458">
        <v>9.8008575532330999E-2</v>
      </c>
      <c r="E932" s="477">
        <v>5500870.9404801764</v>
      </c>
      <c r="F932" s="458">
        <v>0.12316209575980475</v>
      </c>
      <c r="G932" s="477">
        <v>81566854.054755628</v>
      </c>
      <c r="H932" s="458">
        <v>0.26484989133954029</v>
      </c>
      <c r="I932" s="468">
        <v>10.445583264817504</v>
      </c>
    </row>
    <row r="933" spans="1:9" ht="16.5" x14ac:dyDescent="0.3">
      <c r="A933" s="477">
        <v>10812436.10909164</v>
      </c>
      <c r="B933" s="458">
        <v>4.164004212176442E-2</v>
      </c>
      <c r="C933" s="477">
        <v>8909915.7972802632</v>
      </c>
      <c r="D933" s="458">
        <v>6.9213588462080144E-2</v>
      </c>
      <c r="E933" s="477">
        <v>14982803.802217653</v>
      </c>
      <c r="F933" s="458">
        <v>9.5669325302938368E-2</v>
      </c>
      <c r="G933" s="477">
        <v>100224718.75757982</v>
      </c>
      <c r="H933" s="458">
        <v>0.30331596728454624</v>
      </c>
      <c r="I933" s="468">
        <v>8.0725828178081152</v>
      </c>
    </row>
    <row r="934" spans="1:9" ht="16.5" x14ac:dyDescent="0.3">
      <c r="A934" s="477">
        <v>6178268.8272837885</v>
      </c>
      <c r="B934" s="458">
        <v>3.6981982164542737E-2</v>
      </c>
      <c r="C934" s="477">
        <v>10346653.889766911</v>
      </c>
      <c r="D934" s="458">
        <v>5.3617125308314195E-2</v>
      </c>
      <c r="E934" s="477">
        <v>15091127.1002807</v>
      </c>
      <c r="F934" s="458">
        <v>9.3067629870499768E-2</v>
      </c>
      <c r="G934" s="477">
        <v>101079488.27691945</v>
      </c>
      <c r="H934" s="458">
        <v>0.26216918671738965</v>
      </c>
      <c r="I934" s="468">
        <v>10.54823707724147</v>
      </c>
    </row>
    <row r="935" spans="1:9" ht="16.5" x14ac:dyDescent="0.3">
      <c r="A935" s="477">
        <v>4033921.6114630876</v>
      </c>
      <c r="B935" s="458">
        <v>3.485245275513793E-2</v>
      </c>
      <c r="C935" s="477">
        <v>10871916.078533832</v>
      </c>
      <c r="D935" s="458">
        <v>6.4438928652397198E-2</v>
      </c>
      <c r="E935" s="477">
        <v>14407110.710520316</v>
      </c>
      <c r="F935" s="458">
        <v>0.10859608957311973</v>
      </c>
      <c r="G935" s="477">
        <v>75959319.375360429</v>
      </c>
      <c r="H935" s="458">
        <v>0.28314855831862085</v>
      </c>
      <c r="I935" s="468">
        <v>11.058126383648723</v>
      </c>
    </row>
    <row r="936" spans="1:9" ht="16.5" x14ac:dyDescent="0.3">
      <c r="A936" s="477">
        <v>4256413.5595008535</v>
      </c>
      <c r="B936" s="458">
        <v>6.8628934358919924E-2</v>
      </c>
      <c r="C936" s="477">
        <v>9274057.1586582996</v>
      </c>
      <c r="D936" s="458">
        <v>5.5336283905515593E-2</v>
      </c>
      <c r="E936" s="477">
        <v>22413236.041605674</v>
      </c>
      <c r="F936" s="458">
        <v>0.11291585316107788</v>
      </c>
      <c r="G936" s="477">
        <v>108341306.09317245</v>
      </c>
      <c r="H936" s="458">
        <v>0.26586484467184412</v>
      </c>
      <c r="I936" s="468">
        <v>9.0416827810595404</v>
      </c>
    </row>
    <row r="937" spans="1:9" ht="16.5" x14ac:dyDescent="0.3">
      <c r="A937" s="477">
        <v>6633607.8837554855</v>
      </c>
      <c r="B937" s="458">
        <v>-1.373202000777507E-3</v>
      </c>
      <c r="C937" s="477">
        <v>4265766.2246604608</v>
      </c>
      <c r="D937" s="458">
        <v>2.91247705215254E-2</v>
      </c>
      <c r="E937" s="477">
        <v>7844538.7560358318</v>
      </c>
      <c r="F937" s="458">
        <v>0.11768321669686843</v>
      </c>
      <c r="G937" s="477">
        <v>100196086.0334276</v>
      </c>
      <c r="H937" s="458">
        <v>0.27886313050083666</v>
      </c>
      <c r="I937" s="468">
        <v>4.0917466229796533</v>
      </c>
    </row>
    <row r="938" spans="1:9" ht="16.5" x14ac:dyDescent="0.3">
      <c r="A938" s="477">
        <v>6509664.4430666063</v>
      </c>
      <c r="B938" s="458">
        <v>3.8327304243655158E-2</v>
      </c>
      <c r="C938" s="477">
        <v>8010269.9463881887</v>
      </c>
      <c r="D938" s="458">
        <v>9.1529389996173771E-2</v>
      </c>
      <c r="E938" s="477">
        <v>20645556.472105339</v>
      </c>
      <c r="F938" s="458">
        <v>0.10775217632077827</v>
      </c>
      <c r="G938" s="477">
        <v>89006778.447422311</v>
      </c>
      <c r="H938" s="458">
        <v>0.27241623557589767</v>
      </c>
      <c r="I938" s="468">
        <v>9.1472748277362541</v>
      </c>
    </row>
    <row r="939" spans="1:9" ht="16.5" x14ac:dyDescent="0.3">
      <c r="A939" s="477">
        <v>4689825.2445879476</v>
      </c>
      <c r="B939" s="458">
        <v>3.3665388143007569E-2</v>
      </c>
      <c r="C939" s="477">
        <v>8271300.1846683156</v>
      </c>
      <c r="D939" s="458">
        <v>6.4100944394667847E-2</v>
      </c>
      <c r="E939" s="477">
        <v>4814593.9552073656</v>
      </c>
      <c r="F939" s="458">
        <v>8.3496176325041471E-2</v>
      </c>
      <c r="G939" s="477">
        <v>87692737.899453446</v>
      </c>
      <c r="H939" s="458">
        <v>0.25710385026226379</v>
      </c>
      <c r="I939" s="468">
        <v>8.6047055858621668</v>
      </c>
    </row>
    <row r="940" spans="1:9" ht="16.5" x14ac:dyDescent="0.3">
      <c r="A940" s="477">
        <v>3266349.7492374266</v>
      </c>
      <c r="B940" s="458">
        <v>2.5349888362761863E-2</v>
      </c>
      <c r="C940" s="477">
        <v>6725992.324079074</v>
      </c>
      <c r="D940" s="458">
        <v>4.2769685534693069E-2</v>
      </c>
      <c r="E940" s="477">
        <v>15851575.249055514</v>
      </c>
      <c r="F940" s="458">
        <v>0.10377405800893769</v>
      </c>
      <c r="G940" s="477">
        <v>86976099.14571771</v>
      </c>
      <c r="H940" s="458">
        <v>0.29773323907084182</v>
      </c>
      <c r="I940" s="468">
        <v>6.9535324192973889</v>
      </c>
    </row>
    <row r="941" spans="1:9" ht="16.5" x14ac:dyDescent="0.3">
      <c r="A941" s="477">
        <v>4381374.4839815656</v>
      </c>
      <c r="B941" s="458">
        <v>3.3834283319485126E-2</v>
      </c>
      <c r="C941" s="477">
        <v>6563697.8076908067</v>
      </c>
      <c r="D941" s="458">
        <v>4.3144055746831889E-2</v>
      </c>
      <c r="E941" s="477">
        <v>14148139.019936405</v>
      </c>
      <c r="F941" s="458">
        <v>0.13851674779832579</v>
      </c>
      <c r="G941" s="477">
        <v>93007283.103901908</v>
      </c>
      <c r="H941" s="458">
        <v>0.29480170079504653</v>
      </c>
      <c r="I941" s="468">
        <v>0.95771260873344755</v>
      </c>
    </row>
    <row r="942" spans="1:9" ht="16.5" x14ac:dyDescent="0.3">
      <c r="A942" s="477">
        <v>8032504.3213786455</v>
      </c>
      <c r="B942" s="458">
        <v>4.9825825551051084E-2</v>
      </c>
      <c r="C942" s="477">
        <v>8103159.1311434321</v>
      </c>
      <c r="D942" s="458">
        <v>6.5047798131807166E-2</v>
      </c>
      <c r="E942" s="477">
        <v>11238958.455368847</v>
      </c>
      <c r="F942" s="458">
        <v>0.12179844836152776</v>
      </c>
      <c r="G942" s="477">
        <v>88826044.006243974</v>
      </c>
      <c r="H942" s="458">
        <v>0.25643520506136208</v>
      </c>
      <c r="I942" s="468">
        <v>1.4068085709363878</v>
      </c>
    </row>
    <row r="943" spans="1:9" ht="16.5" x14ac:dyDescent="0.3">
      <c r="A943" s="477">
        <v>5576674.0277545927</v>
      </c>
      <c r="B943" s="458">
        <v>4.0275029414818864E-2</v>
      </c>
      <c r="C943" s="477">
        <v>12637306.767262144</v>
      </c>
      <c r="D943" s="458">
        <v>5.4665634896582604E-2</v>
      </c>
      <c r="E943" s="477">
        <v>22098956.628375992</v>
      </c>
      <c r="F943" s="458">
        <v>0.12001087632581409</v>
      </c>
      <c r="G943" s="477">
        <v>89177937.963107511</v>
      </c>
      <c r="H943" s="458">
        <v>0.26021017009153535</v>
      </c>
      <c r="I943" s="468">
        <v>3.0877832444530044</v>
      </c>
    </row>
    <row r="944" spans="1:9" ht="16.5" x14ac:dyDescent="0.3">
      <c r="A944" s="477">
        <v>4360793.3768430958</v>
      </c>
      <c r="B944" s="458">
        <v>4.245272623755425E-2</v>
      </c>
      <c r="C944" s="477">
        <v>7476647.1009116285</v>
      </c>
      <c r="D944" s="458">
        <v>8.1319040100948703E-2</v>
      </c>
      <c r="E944" s="477">
        <v>12069814.146756142</v>
      </c>
      <c r="F944" s="458">
        <v>0.12834033117371479</v>
      </c>
      <c r="G944" s="477">
        <v>100339460.32492064</v>
      </c>
      <c r="H944" s="458">
        <v>0.27019344213309227</v>
      </c>
      <c r="I944" s="468">
        <v>6.0680151397043351</v>
      </c>
    </row>
    <row r="945" spans="1:9" ht="16.5" x14ac:dyDescent="0.3">
      <c r="A945" s="477">
        <v>5309695.6436378472</v>
      </c>
      <c r="B945" s="458">
        <v>2.8333978343411115E-2</v>
      </c>
      <c r="C945" s="477">
        <v>8077981.7761080544</v>
      </c>
      <c r="D945" s="458">
        <v>6.3789503451403773E-2</v>
      </c>
      <c r="E945" s="477">
        <v>17594235.277189661</v>
      </c>
      <c r="F945" s="458">
        <v>8.2849748413420299E-2</v>
      </c>
      <c r="G945" s="477">
        <v>92938621.340469047</v>
      </c>
      <c r="H945" s="458">
        <v>0.25887091585995847</v>
      </c>
      <c r="I945" s="468">
        <v>8.2342517925221497</v>
      </c>
    </row>
    <row r="946" spans="1:9" ht="16.5" x14ac:dyDescent="0.3">
      <c r="A946" s="477">
        <v>4760092.4040494198</v>
      </c>
      <c r="B946" s="458">
        <v>2.6691204499940557E-2</v>
      </c>
      <c r="C946" s="477">
        <v>5242812.0377154434</v>
      </c>
      <c r="D946" s="458">
        <v>4.6368514956767193E-2</v>
      </c>
      <c r="E946" s="477">
        <v>24496781.919085268</v>
      </c>
      <c r="F946" s="458">
        <v>0.10046808699166343</v>
      </c>
      <c r="G946" s="477">
        <v>86720326.193228334</v>
      </c>
      <c r="H946" s="458">
        <v>0.26617414959024877</v>
      </c>
      <c r="I946" s="468">
        <v>5.265022224764552</v>
      </c>
    </row>
    <row r="947" spans="1:9" ht="16.5" x14ac:dyDescent="0.3">
      <c r="A947" s="477">
        <v>2505134.4675635332</v>
      </c>
      <c r="B947" s="458">
        <v>3.2878920629874075E-2</v>
      </c>
      <c r="C947" s="477">
        <v>2127827.2548536938</v>
      </c>
      <c r="D947" s="458">
        <v>6.6923190468664462E-2</v>
      </c>
      <c r="E947" s="477">
        <v>22619432.627108965</v>
      </c>
      <c r="F947" s="458">
        <v>0.11145553608274605</v>
      </c>
      <c r="G947" s="477">
        <v>91110269.142985061</v>
      </c>
      <c r="H947" s="458">
        <v>0.27549464726195705</v>
      </c>
      <c r="I947" s="468">
        <v>7.7731739300959282</v>
      </c>
    </row>
    <row r="948" spans="1:9" ht="16.5" x14ac:dyDescent="0.3">
      <c r="A948" s="477">
        <v>1395427.6735681086</v>
      </c>
      <c r="B948" s="458">
        <v>4.6788383705304026E-2</v>
      </c>
      <c r="C948" s="477">
        <v>7373277.9360200325</v>
      </c>
      <c r="D948" s="458">
        <v>8.0182824987665935E-2</v>
      </c>
      <c r="E948" s="477">
        <v>17360823.459343981</v>
      </c>
      <c r="F948" s="458">
        <v>0.10737767999069003</v>
      </c>
      <c r="G948" s="477">
        <v>89872132.046341553</v>
      </c>
      <c r="H948" s="458">
        <v>0.26139715741787262</v>
      </c>
      <c r="I948" s="468">
        <v>8.1861067040737066</v>
      </c>
    </row>
    <row r="949" spans="1:9" ht="16.5" x14ac:dyDescent="0.3">
      <c r="A949" s="477">
        <v>8451124.0330287982</v>
      </c>
      <c r="B949" s="458">
        <v>3.3054627503737333E-2</v>
      </c>
      <c r="C949" s="477">
        <v>4679028.8265001299</v>
      </c>
      <c r="D949" s="458">
        <v>7.6362454195922913E-2</v>
      </c>
      <c r="E949" s="477">
        <v>16773698.166294893</v>
      </c>
      <c r="F949" s="458">
        <v>0.13099665070929789</v>
      </c>
      <c r="G949" s="477">
        <v>94980390.898612544</v>
      </c>
      <c r="H949" s="458">
        <v>0.28628471037547976</v>
      </c>
      <c r="I949" s="468">
        <v>9.7184139980366275</v>
      </c>
    </row>
    <row r="950" spans="1:9" ht="16.5" x14ac:dyDescent="0.3">
      <c r="A950" s="477">
        <v>1595507.5515464481</v>
      </c>
      <c r="B950" s="458">
        <v>1.3091150373057081E-2</v>
      </c>
      <c r="C950" s="477">
        <v>9012664.6883501578</v>
      </c>
      <c r="D950" s="458">
        <v>6.9273884493814775E-2</v>
      </c>
      <c r="E950" s="477">
        <v>15369439.941161638</v>
      </c>
      <c r="F950" s="458">
        <v>9.6220310979707735E-2</v>
      </c>
      <c r="G950" s="477">
        <v>90942541.087716639</v>
      </c>
      <c r="H950" s="458">
        <v>0.26827814930060145</v>
      </c>
      <c r="I950" s="468">
        <v>8.902246177025825</v>
      </c>
    </row>
    <row r="951" spans="1:9" ht="16.5" x14ac:dyDescent="0.3">
      <c r="A951" s="477">
        <v>5013815.123470542</v>
      </c>
      <c r="B951" s="458">
        <v>3.047110029025335E-2</v>
      </c>
      <c r="C951" s="477">
        <v>4040742.239298455</v>
      </c>
      <c r="D951" s="458">
        <v>3.6377027846091092E-2</v>
      </c>
      <c r="E951" s="477">
        <v>23977096.60878988</v>
      </c>
      <c r="F951" s="458">
        <v>0.11158070827073385</v>
      </c>
      <c r="G951" s="477">
        <v>95175999.88945049</v>
      </c>
      <c r="H951" s="458">
        <v>0.29864768872480152</v>
      </c>
      <c r="I951" s="468">
        <v>8.9075824471285614</v>
      </c>
    </row>
    <row r="952" spans="1:9" ht="16.5" x14ac:dyDescent="0.3">
      <c r="A952" s="477">
        <v>1006313.2006523431</v>
      </c>
      <c r="B952" s="458">
        <v>6.1566645692302968E-2</v>
      </c>
      <c r="C952" s="477">
        <v>9020299.6523805372</v>
      </c>
      <c r="D952" s="458">
        <v>5.6774245945504731E-2</v>
      </c>
      <c r="E952" s="477">
        <v>14059727.302442584</v>
      </c>
      <c r="F952" s="458">
        <v>0.12977224565761158</v>
      </c>
      <c r="G952" s="477">
        <v>96147660.288847879</v>
      </c>
      <c r="H952" s="458">
        <v>0.27147448264191643</v>
      </c>
      <c r="I952" s="468">
        <v>9.5624672791951717</v>
      </c>
    </row>
    <row r="953" spans="1:9" ht="16.5" x14ac:dyDescent="0.3">
      <c r="A953" s="477">
        <v>2558034.2794561684</v>
      </c>
      <c r="B953" s="458">
        <v>5.2336563800793545E-2</v>
      </c>
      <c r="C953" s="477">
        <v>10643306.422936078</v>
      </c>
      <c r="D953" s="458">
        <v>5.8525429972921428E-2</v>
      </c>
      <c r="E953" s="477">
        <v>9100274.0622726865</v>
      </c>
      <c r="F953" s="458">
        <v>0.16512697235250906</v>
      </c>
      <c r="G953" s="477">
        <v>90781239.936494052</v>
      </c>
      <c r="H953" s="458">
        <v>0.28861324805232225</v>
      </c>
      <c r="I953" s="468">
        <v>18.734220333476667</v>
      </c>
    </row>
    <row r="954" spans="1:9" ht="16.5" x14ac:dyDescent="0.3">
      <c r="A954" s="477">
        <v>2491204.1275593173</v>
      </c>
      <c r="B954" s="458">
        <v>3.009132663799674E-2</v>
      </c>
      <c r="C954" s="477">
        <v>7944430.5511357049</v>
      </c>
      <c r="D954" s="458">
        <v>7.8015013380072995E-2</v>
      </c>
      <c r="E954" s="477">
        <v>17862479.138296071</v>
      </c>
      <c r="F954" s="458">
        <v>0.10479239771193516</v>
      </c>
      <c r="G954" s="477">
        <v>96447112.158240721</v>
      </c>
      <c r="H954" s="458">
        <v>0.26306829881317007</v>
      </c>
      <c r="I954" s="468">
        <v>3.3916766897437673</v>
      </c>
    </row>
    <row r="955" spans="1:9" ht="16.5" x14ac:dyDescent="0.3">
      <c r="A955" s="477">
        <v>1525901.7741725084</v>
      </c>
      <c r="B955" s="458">
        <v>2.1980872090477277E-2</v>
      </c>
      <c r="C955" s="477">
        <v>8054856.7534282394</v>
      </c>
      <c r="D955" s="458">
        <v>5.8457050666978372E-2</v>
      </c>
      <c r="E955" s="477">
        <v>28065077.221041996</v>
      </c>
      <c r="F955" s="458">
        <v>8.9204458940181919E-2</v>
      </c>
      <c r="G955" s="477">
        <v>88466855.633904561</v>
      </c>
      <c r="H955" s="458">
        <v>0.28061803921582196</v>
      </c>
      <c r="I955" s="468">
        <v>10.624400051015055</v>
      </c>
    </row>
    <row r="956" spans="1:9" ht="16.5" x14ac:dyDescent="0.3">
      <c r="A956" s="477">
        <v>3625726.3717659544</v>
      </c>
      <c r="B956" s="458">
        <v>3.7998065303081363E-2</v>
      </c>
      <c r="C956" s="477">
        <v>11451633.636605419</v>
      </c>
      <c r="D956" s="458">
        <v>6.4615361841068308E-2</v>
      </c>
      <c r="E956" s="477">
        <v>21050210.264760979</v>
      </c>
      <c r="F956" s="458">
        <v>0.11887132317457394</v>
      </c>
      <c r="G956" s="477">
        <v>93471449.099761263</v>
      </c>
      <c r="H956" s="458">
        <v>0.29014450346282539</v>
      </c>
      <c r="I956" s="468">
        <v>11.046142353187289</v>
      </c>
    </row>
    <row r="957" spans="1:9" ht="16.5" x14ac:dyDescent="0.3">
      <c r="A957" s="477">
        <v>4220057.3416056214</v>
      </c>
      <c r="B957" s="458">
        <v>3.800030856972203E-2</v>
      </c>
      <c r="C957" s="477">
        <v>7804430.1562222783</v>
      </c>
      <c r="D957" s="458">
        <v>7.7504080661737307E-2</v>
      </c>
      <c r="E957" s="477">
        <v>15054154.742892675</v>
      </c>
      <c r="F957" s="458">
        <v>0.12449278035916866</v>
      </c>
      <c r="G957" s="477">
        <v>85743946.483903646</v>
      </c>
      <c r="H957" s="458">
        <v>0.2679577791845229</v>
      </c>
      <c r="I957" s="468">
        <v>3.5690250193139654</v>
      </c>
    </row>
    <row r="958" spans="1:9" ht="16.5" x14ac:dyDescent="0.3">
      <c r="A958" s="477">
        <v>543856.80859777937</v>
      </c>
      <c r="B958" s="458">
        <v>4.5620177632165859E-2</v>
      </c>
      <c r="C958" s="477">
        <v>3299353.5054031275</v>
      </c>
      <c r="D958" s="458">
        <v>7.8605177781342128E-2</v>
      </c>
      <c r="E958" s="477">
        <v>13960791.001276417</v>
      </c>
      <c r="F958" s="458">
        <v>0.10348070948523036</v>
      </c>
      <c r="G958" s="477">
        <v>84852900.158709526</v>
      </c>
      <c r="H958" s="458">
        <v>0.27539174230804342</v>
      </c>
      <c r="I958" s="468">
        <v>4.0147283277607979</v>
      </c>
    </row>
    <row r="959" spans="1:9" ht="16.5" x14ac:dyDescent="0.3">
      <c r="A959" s="477">
        <v>5104522.3312498033</v>
      </c>
      <c r="B959" s="458">
        <v>2.5929604655187344E-2</v>
      </c>
      <c r="C959" s="477">
        <v>2296461.2603875068</v>
      </c>
      <c r="D959" s="458">
        <v>4.6094552736153371E-2</v>
      </c>
      <c r="E959" s="477">
        <v>8773313.0197667405</v>
      </c>
      <c r="F959" s="458">
        <v>0.11398923908564851</v>
      </c>
      <c r="G959" s="477">
        <v>84380401.430415362</v>
      </c>
      <c r="H959" s="458">
        <v>0.24883664027851582</v>
      </c>
      <c r="I959" s="468">
        <v>12.002341253543433</v>
      </c>
    </row>
    <row r="960" spans="1:9" ht="16.5" x14ac:dyDescent="0.3">
      <c r="A960" s="477">
        <v>8572009.8159137908</v>
      </c>
      <c r="B960" s="458">
        <v>3.7057321582363745E-2</v>
      </c>
      <c r="C960" s="477">
        <v>3151386.2473783852</v>
      </c>
      <c r="D960" s="458">
        <v>7.8162376611316864E-2</v>
      </c>
      <c r="E960" s="477">
        <v>22317063.935557161</v>
      </c>
      <c r="F960" s="458">
        <v>9.493602425115788E-2</v>
      </c>
      <c r="G960" s="477">
        <v>78178842.70796527</v>
      </c>
      <c r="H960" s="458">
        <v>0.2895918337313641</v>
      </c>
      <c r="I960" s="468">
        <v>13.627534765470575</v>
      </c>
    </row>
    <row r="961" spans="1:9" ht="16.5" x14ac:dyDescent="0.3">
      <c r="A961" s="477">
        <v>7531053.2356770849</v>
      </c>
      <c r="B961" s="458">
        <v>2.463438701749876E-2</v>
      </c>
      <c r="C961" s="477">
        <v>10509057.089794444</v>
      </c>
      <c r="D961" s="458">
        <v>7.7559416225639444E-2</v>
      </c>
      <c r="E961" s="477">
        <v>8447294.8840634674</v>
      </c>
      <c r="F961" s="458">
        <v>0.12769360943053498</v>
      </c>
      <c r="G961" s="477">
        <v>98797647.453241765</v>
      </c>
      <c r="H961" s="458">
        <v>0.27148691328655805</v>
      </c>
      <c r="I961" s="468">
        <v>9.4691476064020961</v>
      </c>
    </row>
    <row r="962" spans="1:9" ht="16.5" x14ac:dyDescent="0.3">
      <c r="A962" s="477">
        <v>2512271.0155315581</v>
      </c>
      <c r="B962" s="458">
        <v>4.4376267960411608E-2</v>
      </c>
      <c r="C962" s="477">
        <v>9347620.7160433587</v>
      </c>
      <c r="D962" s="458">
        <v>4.9816563797735025E-2</v>
      </c>
      <c r="E962" s="477">
        <v>21726430.297494758</v>
      </c>
      <c r="F962" s="458">
        <v>9.4272578082517988E-2</v>
      </c>
      <c r="G962" s="477">
        <v>86390234.176023558</v>
      </c>
      <c r="H962" s="458">
        <v>0.24573681487518062</v>
      </c>
      <c r="I962" s="468">
        <v>10.331410387651628</v>
      </c>
    </row>
    <row r="963" spans="1:9" ht="16.5" x14ac:dyDescent="0.3">
      <c r="A963" s="477">
        <v>3027375.9250354953</v>
      </c>
      <c r="B963" s="458">
        <v>4.6995159574316103E-2</v>
      </c>
      <c r="C963" s="477">
        <v>7695749.6710183239</v>
      </c>
      <c r="D963" s="458">
        <v>7.3829813356165452E-2</v>
      </c>
      <c r="E963" s="477">
        <v>21277975.402088948</v>
      </c>
      <c r="F963" s="458">
        <v>0.1029586151183417</v>
      </c>
      <c r="G963" s="477">
        <v>89418586.245087042</v>
      </c>
      <c r="H963" s="458">
        <v>0.26424796037469278</v>
      </c>
      <c r="I963" s="468">
        <v>11.85255685781906</v>
      </c>
    </row>
    <row r="964" spans="1:9" ht="16.5" x14ac:dyDescent="0.3">
      <c r="A964" s="477">
        <v>1800090.7040601186</v>
      </c>
      <c r="B964" s="458">
        <v>3.4647388398006962E-2</v>
      </c>
      <c r="C964" s="477">
        <v>10274492.920872577</v>
      </c>
      <c r="D964" s="458">
        <v>7.8386957965728365E-2</v>
      </c>
      <c r="E964" s="477">
        <v>25236931.872413833</v>
      </c>
      <c r="F964" s="458">
        <v>8.3977084498554566E-2</v>
      </c>
      <c r="G964" s="477">
        <v>78471258.729124993</v>
      </c>
      <c r="H964" s="458">
        <v>0.2584348724353065</v>
      </c>
      <c r="I964" s="468">
        <v>1.67210498957414</v>
      </c>
    </row>
    <row r="965" spans="1:9" ht="16.5" x14ac:dyDescent="0.3">
      <c r="A965" s="477">
        <v>3624966.0870362064</v>
      </c>
      <c r="B965" s="458">
        <v>2.373874705871426E-2</v>
      </c>
      <c r="C965" s="477">
        <v>7097490.3904936137</v>
      </c>
      <c r="D965" s="458">
        <v>9.1081713484529647E-2</v>
      </c>
      <c r="E965" s="477">
        <v>15031018.992902802</v>
      </c>
      <c r="F965" s="458">
        <v>0.1049785091712061</v>
      </c>
      <c r="G965" s="477">
        <v>96604858.640036196</v>
      </c>
      <c r="H965" s="458">
        <v>0.27457834232006584</v>
      </c>
      <c r="I965" s="468">
        <v>3.2899822554680016</v>
      </c>
    </row>
    <row r="966" spans="1:9" ht="16.5" x14ac:dyDescent="0.3">
      <c r="A966" s="477">
        <v>4803658.9807740925</v>
      </c>
      <c r="B966" s="458">
        <v>4.2658326844686956E-2</v>
      </c>
      <c r="C966" s="477">
        <v>233208.19300379782</v>
      </c>
      <c r="D966" s="458">
        <v>5.8674707472653909E-2</v>
      </c>
      <c r="E966" s="477">
        <v>23684142.794098333</v>
      </c>
      <c r="F966" s="458">
        <v>0.1159968040627084</v>
      </c>
      <c r="G966" s="477">
        <v>81501747.538954392</v>
      </c>
      <c r="H966" s="458">
        <v>0.26862692628889007</v>
      </c>
      <c r="I966" s="468">
        <v>10.294976905153941</v>
      </c>
    </row>
    <row r="967" spans="1:9" ht="16.5" x14ac:dyDescent="0.3">
      <c r="A967" s="477">
        <v>4954041.0191163868</v>
      </c>
      <c r="B967" s="458">
        <v>3.0375316904700966E-2</v>
      </c>
      <c r="C967" s="477">
        <v>9055703.6530919429</v>
      </c>
      <c r="D967" s="458">
        <v>7.0899624982274201E-2</v>
      </c>
      <c r="E967" s="477">
        <v>20396245.972957846</v>
      </c>
      <c r="F967" s="458">
        <v>0.11213694592503254</v>
      </c>
      <c r="G967" s="477">
        <v>86370821.214445814</v>
      </c>
      <c r="H967" s="458">
        <v>0.26205912090484018</v>
      </c>
      <c r="I967" s="468">
        <v>16.873971347936923</v>
      </c>
    </row>
    <row r="968" spans="1:9" ht="16.5" x14ac:dyDescent="0.3">
      <c r="A968" s="477">
        <v>5268181.6736791423</v>
      </c>
      <c r="B968" s="458">
        <v>4.2218870340300807E-2</v>
      </c>
      <c r="C968" s="477">
        <v>13271520.485213712</v>
      </c>
      <c r="D968" s="458">
        <v>7.3564379775187927E-2</v>
      </c>
      <c r="E968" s="477">
        <v>20690642.619535219</v>
      </c>
      <c r="F968" s="458">
        <v>9.4648979008537193E-2</v>
      </c>
      <c r="G968" s="477">
        <v>90732445.440480977</v>
      </c>
      <c r="H968" s="458">
        <v>0.26043141067542153</v>
      </c>
      <c r="I968" s="468">
        <v>11.096853901796528</v>
      </c>
    </row>
    <row r="969" spans="1:9" ht="16.5" x14ac:dyDescent="0.3">
      <c r="A969" s="477">
        <v>6778609.5535214236</v>
      </c>
      <c r="B969" s="458">
        <v>3.3521305671059043E-2</v>
      </c>
      <c r="C969" s="477">
        <v>8869243.4040457718</v>
      </c>
      <c r="D969" s="458">
        <v>7.2267849522059002E-2</v>
      </c>
      <c r="E969" s="477">
        <v>18839694.89739674</v>
      </c>
      <c r="F969" s="458">
        <v>0.11331033712888416</v>
      </c>
      <c r="G969" s="477">
        <v>86732796.05129838</v>
      </c>
      <c r="H969" s="458">
        <v>0.26055409726487655</v>
      </c>
      <c r="I969" s="468">
        <v>7.5143604056109341</v>
      </c>
    </row>
    <row r="970" spans="1:9" ht="16.5" x14ac:dyDescent="0.3">
      <c r="A970" s="477">
        <v>2146180.3247204903</v>
      </c>
      <c r="B970" s="458">
        <v>2.735407669480594E-2</v>
      </c>
      <c r="C970" s="477">
        <v>9760646.7898835</v>
      </c>
      <c r="D970" s="458">
        <v>7.9927599268856619E-2</v>
      </c>
      <c r="E970" s="477">
        <v>18704888.963884164</v>
      </c>
      <c r="F970" s="458">
        <v>9.3454926279141315E-2</v>
      </c>
      <c r="G970" s="477">
        <v>89883963.387994498</v>
      </c>
      <c r="H970" s="458">
        <v>0.26598018969171733</v>
      </c>
      <c r="I970" s="468">
        <v>7.5932072606597352</v>
      </c>
    </row>
    <row r="971" spans="1:9" ht="16.5" x14ac:dyDescent="0.3">
      <c r="A971" s="477">
        <v>2621617.7049959819</v>
      </c>
      <c r="B971" s="458">
        <v>5.7641897795677188E-2</v>
      </c>
      <c r="C971" s="477">
        <v>3301832.5051712939</v>
      </c>
      <c r="D971" s="458">
        <v>5.6570979486218365E-2</v>
      </c>
      <c r="E971" s="477">
        <v>15010933.819912177</v>
      </c>
      <c r="F971" s="458">
        <v>0.11274440913815886</v>
      </c>
      <c r="G971" s="477">
        <v>83880029.985785589</v>
      </c>
      <c r="H971" s="458">
        <v>0.26541843245370256</v>
      </c>
      <c r="I971" s="468">
        <v>10.974725720890998</v>
      </c>
    </row>
    <row r="972" spans="1:9" ht="16.5" x14ac:dyDescent="0.3">
      <c r="A972" s="477">
        <v>4840384.9961515246</v>
      </c>
      <c r="B972" s="458">
        <v>6.8763583426164399E-2</v>
      </c>
      <c r="C972" s="477">
        <v>12931465.148222337</v>
      </c>
      <c r="D972" s="458">
        <v>7.8384052125816561E-2</v>
      </c>
      <c r="E972" s="477">
        <v>20593073.107820842</v>
      </c>
      <c r="F972" s="458">
        <v>0.10144228725948357</v>
      </c>
      <c r="G972" s="477">
        <v>96516797.192505002</v>
      </c>
      <c r="H972" s="458">
        <v>0.28522847069716395</v>
      </c>
      <c r="I972" s="468">
        <v>1.4138410668518206</v>
      </c>
    </row>
    <row r="973" spans="1:9" ht="16.5" x14ac:dyDescent="0.3">
      <c r="A973" s="477">
        <v>5000414.9599205526</v>
      </c>
      <c r="B973" s="458">
        <v>4.5139684311142236E-2</v>
      </c>
      <c r="C973" s="477">
        <v>10260873.979706801</v>
      </c>
      <c r="D973" s="458">
        <v>6.2864781136262371E-2</v>
      </c>
      <c r="E973" s="477">
        <v>11170409.454678714</v>
      </c>
      <c r="F973" s="458">
        <v>9.3584976438307432E-2</v>
      </c>
      <c r="G973" s="477">
        <v>90286153.76739113</v>
      </c>
      <c r="H973" s="458">
        <v>0.27119261128413918</v>
      </c>
      <c r="I973" s="468">
        <v>7.7732482256354292</v>
      </c>
    </row>
    <row r="974" spans="1:9" ht="16.5" x14ac:dyDescent="0.3">
      <c r="A974" s="477">
        <v>5847369.9417387825</v>
      </c>
      <c r="B974" s="458">
        <v>4.7672426885216668E-2</v>
      </c>
      <c r="C974" s="477">
        <v>2615900.9100368982</v>
      </c>
      <c r="D974" s="458">
        <v>4.2533893606136575E-2</v>
      </c>
      <c r="E974" s="477">
        <v>23499564.815478574</v>
      </c>
      <c r="F974" s="458">
        <v>0.11938075933912362</v>
      </c>
      <c r="G974" s="477">
        <v>95515989.271079972</v>
      </c>
      <c r="H974" s="458">
        <v>0.27153172775512879</v>
      </c>
      <c r="I974" s="468">
        <v>7.1633240658721178</v>
      </c>
    </row>
    <row r="975" spans="1:9" ht="16.5" x14ac:dyDescent="0.3">
      <c r="A975" s="477">
        <v>-250041.19881288556</v>
      </c>
      <c r="B975" s="458">
        <v>3.2806820248233892E-2</v>
      </c>
      <c r="C975" s="477">
        <v>2390463.6543733645</v>
      </c>
      <c r="D975" s="458">
        <v>4.3875312637150277E-2</v>
      </c>
      <c r="E975" s="477">
        <v>23869037.624858674</v>
      </c>
      <c r="F975" s="458">
        <v>0.11156852662806882</v>
      </c>
      <c r="G975" s="477">
        <v>97437915.636265486</v>
      </c>
      <c r="H975" s="458">
        <v>0.27213487299103845</v>
      </c>
      <c r="I975" s="468">
        <v>10.056557238159323</v>
      </c>
    </row>
    <row r="976" spans="1:9" ht="16.5" x14ac:dyDescent="0.3">
      <c r="A976" s="477">
        <v>3785028.3702258305</v>
      </c>
      <c r="B976" s="458">
        <v>5.2099398359023441E-2</v>
      </c>
      <c r="C976" s="477">
        <v>5527207.8074501213</v>
      </c>
      <c r="D976" s="458">
        <v>7.1743870457864567E-2</v>
      </c>
      <c r="E976" s="477">
        <v>18750299.613476563</v>
      </c>
      <c r="F976" s="458">
        <v>0.1271345735761511</v>
      </c>
      <c r="G976" s="477">
        <v>69717614.928990275</v>
      </c>
      <c r="H976" s="458">
        <v>0.2880629240133854</v>
      </c>
      <c r="I976" s="468">
        <v>11.534991189057234</v>
      </c>
    </row>
    <row r="977" spans="1:9" ht="16.5" x14ac:dyDescent="0.3">
      <c r="A977" s="477">
        <v>197883.75069495096</v>
      </c>
      <c r="B977" s="458">
        <v>8.2646350508190469E-2</v>
      </c>
      <c r="C977" s="477">
        <v>7189103.1066171555</v>
      </c>
      <c r="D977" s="458">
        <v>7.9436111705248891E-2</v>
      </c>
      <c r="E977" s="477">
        <v>16107345.886578396</v>
      </c>
      <c r="F977" s="458">
        <v>0.14655249240369272</v>
      </c>
      <c r="G977" s="477">
        <v>81281034.442853391</v>
      </c>
      <c r="H977" s="458">
        <v>0.26709433971408103</v>
      </c>
      <c r="I977" s="468">
        <v>7.8396238731573833</v>
      </c>
    </row>
    <row r="978" spans="1:9" ht="16.5" x14ac:dyDescent="0.3">
      <c r="A978" s="477">
        <v>9886162.5123769213</v>
      </c>
      <c r="B978" s="458">
        <v>2.7505030324445068E-2</v>
      </c>
      <c r="C978" s="477">
        <v>7748198.6484806594</v>
      </c>
      <c r="D978" s="458">
        <v>6.485824482680469E-2</v>
      </c>
      <c r="E978" s="477">
        <v>13135246.481822535</v>
      </c>
      <c r="F978" s="458">
        <v>0.10501307140398808</v>
      </c>
      <c r="G978" s="477">
        <v>98056820.278944418</v>
      </c>
      <c r="H978" s="458">
        <v>0.27262649550552953</v>
      </c>
      <c r="I978" s="468">
        <v>5.0660818063820567</v>
      </c>
    </row>
    <row r="979" spans="1:9" ht="16.5" x14ac:dyDescent="0.3">
      <c r="A979" s="477">
        <v>7008962.6675153561</v>
      </c>
      <c r="B979" s="458">
        <v>1.179161207531676E-2</v>
      </c>
      <c r="C979" s="477">
        <v>11478113.963718746</v>
      </c>
      <c r="D979" s="458">
        <v>2.0485298731637513E-2</v>
      </c>
      <c r="E979" s="477">
        <v>20087138.417813599</v>
      </c>
      <c r="F979" s="458">
        <v>0.10002563618386606</v>
      </c>
      <c r="G979" s="477">
        <v>75834912.159104839</v>
      </c>
      <c r="H979" s="458">
        <v>0.29652370377823001</v>
      </c>
      <c r="I979" s="468">
        <v>6.0807238552360401</v>
      </c>
    </row>
    <row r="980" spans="1:9" ht="16.5" x14ac:dyDescent="0.3">
      <c r="A980" s="477">
        <v>7263649.6883352296</v>
      </c>
      <c r="B980" s="458">
        <v>6.049149913467522E-2</v>
      </c>
      <c r="C980" s="477">
        <v>7992645.1188824782</v>
      </c>
      <c r="D980" s="458">
        <v>7.4824963502375441E-2</v>
      </c>
      <c r="E980" s="477">
        <v>14550199.483075464</v>
      </c>
      <c r="F980" s="458">
        <v>0.10837264270238545</v>
      </c>
      <c r="G980" s="477">
        <v>93704147.20282793</v>
      </c>
      <c r="H980" s="458">
        <v>0.24500905175263821</v>
      </c>
      <c r="I980" s="468">
        <v>3.1455617833352552</v>
      </c>
    </row>
    <row r="981" spans="1:9" ht="16.5" x14ac:dyDescent="0.3">
      <c r="A981" s="477">
        <v>5185313.3491964201</v>
      </c>
      <c r="B981" s="458">
        <v>4.2788702991514604E-2</v>
      </c>
      <c r="C981" s="477">
        <v>10684844.65214208</v>
      </c>
      <c r="D981" s="458">
        <v>7.1777093289570715E-2</v>
      </c>
      <c r="E981" s="477">
        <v>14741554.665572619</v>
      </c>
      <c r="F981" s="458">
        <v>0.10745464401407578</v>
      </c>
      <c r="G981" s="477">
        <v>83057707.478031442</v>
      </c>
      <c r="H981" s="458">
        <v>0.27895166258757809</v>
      </c>
      <c r="I981" s="468">
        <v>5.3677768648875084</v>
      </c>
    </row>
    <row r="982" spans="1:9" ht="16.5" x14ac:dyDescent="0.3">
      <c r="A982" s="477">
        <v>1970145.1757379379</v>
      </c>
      <c r="B982" s="458">
        <v>3.0785568177898348E-2</v>
      </c>
      <c r="C982" s="477">
        <v>10669509.761267653</v>
      </c>
      <c r="D982" s="458">
        <v>4.6274083626962392E-2</v>
      </c>
      <c r="E982" s="477">
        <v>14474376.744326457</v>
      </c>
      <c r="F982" s="458">
        <v>9.9328598430183268E-2</v>
      </c>
      <c r="G982" s="477">
        <v>87699282.194368199</v>
      </c>
      <c r="H982" s="458">
        <v>0.23667295085761797</v>
      </c>
      <c r="I982" s="468">
        <v>5.8413684799412007</v>
      </c>
    </row>
    <row r="983" spans="1:9" ht="16.5" x14ac:dyDescent="0.3">
      <c r="A983" s="477">
        <v>3919427.4437537766</v>
      </c>
      <c r="B983" s="458">
        <v>3.9952933197158869E-2</v>
      </c>
      <c r="C983" s="477">
        <v>6000310.4494648678</v>
      </c>
      <c r="D983" s="458">
        <v>6.3069011997432645E-2</v>
      </c>
      <c r="E983" s="477">
        <v>21431722.276845727</v>
      </c>
      <c r="F983" s="458">
        <v>0.11299664424944855</v>
      </c>
      <c r="G983" s="477">
        <v>103109395.87609671</v>
      </c>
      <c r="H983" s="458">
        <v>0.25736912171956416</v>
      </c>
      <c r="I983" s="468">
        <v>13.336095747273216</v>
      </c>
    </row>
    <row r="984" spans="1:9" ht="16.5" x14ac:dyDescent="0.3">
      <c r="A984" s="477">
        <v>8246838.6758511616</v>
      </c>
      <c r="B984" s="458">
        <v>3.3802184295469218E-2</v>
      </c>
      <c r="C984" s="477">
        <v>12269480.478518011</v>
      </c>
      <c r="D984" s="458">
        <v>8.417272723405933E-2</v>
      </c>
      <c r="E984" s="477">
        <v>11609487.152545333</v>
      </c>
      <c r="F984" s="458">
        <v>0.10340701984464795</v>
      </c>
      <c r="G984" s="477">
        <v>97648966.706706166</v>
      </c>
      <c r="H984" s="458">
        <v>0.28660872073215793</v>
      </c>
      <c r="I984" s="468">
        <v>5.7831646882676608</v>
      </c>
    </row>
    <row r="985" spans="1:9" ht="16.5" x14ac:dyDescent="0.3">
      <c r="A985" s="477">
        <v>4627997.959598206</v>
      </c>
      <c r="B985" s="458">
        <v>3.6343818492138968E-2</v>
      </c>
      <c r="C985" s="477">
        <v>9848116.8726558499</v>
      </c>
      <c r="D985" s="458">
        <v>4.7973262235029512E-2</v>
      </c>
      <c r="E985" s="477">
        <v>21793437.388896611</v>
      </c>
      <c r="F985" s="458">
        <v>0.100263720263011</v>
      </c>
      <c r="G985" s="477">
        <v>94461872.570075542</v>
      </c>
      <c r="H985" s="458">
        <v>0.2686128853264127</v>
      </c>
      <c r="I985" s="468">
        <v>7.6210757017748767</v>
      </c>
    </row>
    <row r="986" spans="1:9" ht="16.5" x14ac:dyDescent="0.3">
      <c r="A986" s="477">
        <v>7028909.4736903608</v>
      </c>
      <c r="B986" s="458">
        <v>2.833155699332246E-2</v>
      </c>
      <c r="C986" s="477">
        <v>11687955.26413486</v>
      </c>
      <c r="D986" s="458">
        <v>6.2550774767465844E-2</v>
      </c>
      <c r="E986" s="477">
        <v>18465252.041455768</v>
      </c>
      <c r="F986" s="458">
        <v>0.10971056363781373</v>
      </c>
      <c r="G986" s="477">
        <v>91933909.7366018</v>
      </c>
      <c r="H986" s="458">
        <v>0.26158214440079219</v>
      </c>
      <c r="I986" s="468">
        <v>4.5430494295015489</v>
      </c>
    </row>
    <row r="987" spans="1:9" ht="16.5" x14ac:dyDescent="0.3">
      <c r="A987" s="477">
        <v>6346526.1800209749</v>
      </c>
      <c r="B987" s="458">
        <v>5.705214262427849E-2</v>
      </c>
      <c r="C987" s="477">
        <v>8959073.7832922805</v>
      </c>
      <c r="D987" s="458">
        <v>6.9246471656661646E-2</v>
      </c>
      <c r="E987" s="477">
        <v>19512045.139909271</v>
      </c>
      <c r="F987" s="458">
        <v>0.10883241288014522</v>
      </c>
      <c r="G987" s="477">
        <v>78695004.86399205</v>
      </c>
      <c r="H987" s="458">
        <v>0.27488164980802177</v>
      </c>
      <c r="I987" s="468">
        <v>10.841520066902646</v>
      </c>
    </row>
    <row r="988" spans="1:9" ht="16.5" x14ac:dyDescent="0.3">
      <c r="A988" s="477">
        <v>4651203.0148403747</v>
      </c>
      <c r="B988" s="458">
        <v>5.7394677937855576E-2</v>
      </c>
      <c r="C988" s="477">
        <v>2641376.2622537101</v>
      </c>
      <c r="D988" s="458">
        <v>5.5232204873146395E-2</v>
      </c>
      <c r="E988" s="477">
        <v>14925150.439010557</v>
      </c>
      <c r="F988" s="458">
        <v>0.12589963376381297</v>
      </c>
      <c r="G988" s="477">
        <v>93351158.294855043</v>
      </c>
      <c r="H988" s="458">
        <v>0.26007771526837464</v>
      </c>
      <c r="I988" s="468">
        <v>10.228691856004762</v>
      </c>
    </row>
    <row r="989" spans="1:9" ht="16.5" x14ac:dyDescent="0.3">
      <c r="A989" s="477">
        <v>7920911.3737468431</v>
      </c>
      <c r="B989" s="458">
        <v>5.6052593576584986E-2</v>
      </c>
      <c r="C989" s="477">
        <v>14433255.351070181</v>
      </c>
      <c r="D989" s="458">
        <v>6.15618737711634E-2</v>
      </c>
      <c r="E989" s="477">
        <v>16222146.24588017</v>
      </c>
      <c r="F989" s="458">
        <v>0.10436152839633972</v>
      </c>
      <c r="G989" s="477">
        <v>87810212.371562764</v>
      </c>
      <c r="H989" s="458">
        <v>0.26755377283095094</v>
      </c>
      <c r="I989" s="468">
        <v>-0.79979704410663643</v>
      </c>
    </row>
    <row r="990" spans="1:9" ht="16.5" x14ac:dyDescent="0.3">
      <c r="A990" s="477">
        <v>2493802.2345316787</v>
      </c>
      <c r="B990" s="458">
        <v>3.714826646028202E-2</v>
      </c>
      <c r="C990" s="477">
        <v>7616703.0689087464</v>
      </c>
      <c r="D990" s="458">
        <v>4.5738221881202801E-2</v>
      </c>
      <c r="E990" s="477">
        <v>11242999.610302547</v>
      </c>
      <c r="F990" s="458">
        <v>0.12239029850436833</v>
      </c>
      <c r="G990" s="477">
        <v>84541441.637737334</v>
      </c>
      <c r="H990" s="458">
        <v>0.25404229603523021</v>
      </c>
      <c r="I990" s="468">
        <v>10.425004487169787</v>
      </c>
    </row>
    <row r="991" spans="1:9" ht="16.5" x14ac:dyDescent="0.3">
      <c r="A991" s="477">
        <v>9013960.0452345889</v>
      </c>
      <c r="B991" s="458">
        <v>4.8218867091962103E-2</v>
      </c>
      <c r="C991" s="477">
        <v>8993457.9650658928</v>
      </c>
      <c r="D991" s="458">
        <v>4.2270059405761895E-2</v>
      </c>
      <c r="E991" s="477">
        <v>18212552.544379618</v>
      </c>
      <c r="F991" s="458">
        <v>0.11699295457866699</v>
      </c>
      <c r="G991" s="477">
        <v>85880344.801205769</v>
      </c>
      <c r="H991" s="458">
        <v>0.29633530709055589</v>
      </c>
      <c r="I991" s="468">
        <v>9.5376258655799848</v>
      </c>
    </row>
    <row r="992" spans="1:9" ht="16.5" x14ac:dyDescent="0.3">
      <c r="A992" s="477">
        <v>4778835.0452912562</v>
      </c>
      <c r="B992" s="458">
        <v>5.6796346769690365E-2</v>
      </c>
      <c r="C992" s="477">
        <v>11512048.634730984</v>
      </c>
      <c r="D992" s="458">
        <v>8.3744806416367723E-2</v>
      </c>
      <c r="E992" s="477">
        <v>17597298.877408996</v>
      </c>
      <c r="F992" s="458">
        <v>0.1276461146720449</v>
      </c>
      <c r="G992" s="477">
        <v>110698232.82153337</v>
      </c>
      <c r="H992" s="458">
        <v>0.28975287688220974</v>
      </c>
      <c r="I992" s="468">
        <v>7.3373140362141092</v>
      </c>
    </row>
    <row r="993" spans="1:9" ht="16.5" x14ac:dyDescent="0.3">
      <c r="A993" s="477">
        <v>7206493.3042655503</v>
      </c>
      <c r="B993" s="458">
        <v>3.8308746672171212E-2</v>
      </c>
      <c r="C993" s="477">
        <v>5819840.1720803129</v>
      </c>
      <c r="D993" s="458">
        <v>7.0346883992837839E-2</v>
      </c>
      <c r="E993" s="477">
        <v>19309684.72912788</v>
      </c>
      <c r="F993" s="458">
        <v>0.11718225217520173</v>
      </c>
      <c r="G993" s="477">
        <v>87706163.446227059</v>
      </c>
      <c r="H993" s="458">
        <v>0.27379880349004759</v>
      </c>
      <c r="I993" s="468">
        <v>10.884167441065612</v>
      </c>
    </row>
    <row r="994" spans="1:9" ht="16.5" x14ac:dyDescent="0.3">
      <c r="A994" s="477">
        <v>306019.57779565913</v>
      </c>
      <c r="B994" s="458">
        <v>2.3318496916822973E-2</v>
      </c>
      <c r="C994" s="477">
        <v>15386030.862123944</v>
      </c>
      <c r="D994" s="458">
        <v>4.8468639654013268E-2</v>
      </c>
      <c r="E994" s="477">
        <v>25172396.950432841</v>
      </c>
      <c r="F994" s="458">
        <v>0.11350579973465136</v>
      </c>
      <c r="G994" s="477">
        <v>96180169.856639773</v>
      </c>
      <c r="H994" s="458">
        <v>0.25913233816094383</v>
      </c>
      <c r="I994" s="468">
        <v>16.48781452339832</v>
      </c>
    </row>
    <row r="995" spans="1:9" ht="16.5" x14ac:dyDescent="0.3">
      <c r="A995" s="477">
        <v>7655300.3062777882</v>
      </c>
      <c r="B995" s="458">
        <v>1.8281737021288658E-2</v>
      </c>
      <c r="C995" s="477">
        <v>11557007.017384211</v>
      </c>
      <c r="D995" s="458">
        <v>7.4992774322778066E-2</v>
      </c>
      <c r="E995" s="477">
        <v>22091804.337990977</v>
      </c>
      <c r="F995" s="458">
        <v>0.11331088989362548</v>
      </c>
      <c r="G995" s="477">
        <v>75933700.663761973</v>
      </c>
      <c r="H995" s="458">
        <v>0.29842366187908476</v>
      </c>
      <c r="I995" s="468">
        <v>11.439913982871639</v>
      </c>
    </row>
    <row r="996" spans="1:9" ht="16.5" x14ac:dyDescent="0.3">
      <c r="A996" s="477">
        <v>5504312.8584237574</v>
      </c>
      <c r="B996" s="458">
        <v>4.7713346727482842E-2</v>
      </c>
      <c r="C996" s="477">
        <v>7323154.9399297629</v>
      </c>
      <c r="D996" s="458">
        <v>4.9379244911162523E-2</v>
      </c>
      <c r="E996" s="477">
        <v>7429450.021932113</v>
      </c>
      <c r="F996" s="458">
        <v>0.12873416206579646</v>
      </c>
      <c r="G996" s="477">
        <v>86169709.993947282</v>
      </c>
      <c r="H996" s="458">
        <v>0.25921556876723195</v>
      </c>
      <c r="I996" s="468">
        <v>12.520606749713222</v>
      </c>
    </row>
    <row r="997" spans="1:9" ht="16.5" x14ac:dyDescent="0.3">
      <c r="A997" s="477">
        <v>6231874.5046098577</v>
      </c>
      <c r="B997" s="458">
        <v>3.4924247173821144E-2</v>
      </c>
      <c r="C997" s="477">
        <v>7637494.5478245802</v>
      </c>
      <c r="D997" s="458">
        <v>7.3851303584745009E-2</v>
      </c>
      <c r="E997" s="477">
        <v>19489321.822809193</v>
      </c>
      <c r="F997" s="458">
        <v>0.11552165583902374</v>
      </c>
      <c r="G997" s="477">
        <v>91486027.816399351</v>
      </c>
      <c r="H997" s="458">
        <v>0.28230358132098043</v>
      </c>
      <c r="I997" s="468">
        <v>13.845601888860186</v>
      </c>
    </row>
    <row r="998" spans="1:9" ht="16.5" x14ac:dyDescent="0.3">
      <c r="A998" s="477">
        <v>5611743.3312023766</v>
      </c>
      <c r="B998" s="458">
        <v>3.0548746560680184E-2</v>
      </c>
      <c r="C998" s="477">
        <v>8295627.3665024173</v>
      </c>
      <c r="D998" s="458">
        <v>9.3522841077325669E-2</v>
      </c>
      <c r="E998" s="477">
        <v>14455788.046420956</v>
      </c>
      <c r="F998" s="458">
        <v>0.13451395087029128</v>
      </c>
      <c r="G998" s="477">
        <v>86503345.474370286</v>
      </c>
      <c r="H998" s="458">
        <v>0.28270162584159264</v>
      </c>
      <c r="I998" s="468">
        <v>5.7497786288922246</v>
      </c>
    </row>
    <row r="999" spans="1:9" ht="16.5" x14ac:dyDescent="0.3">
      <c r="A999" s="477">
        <v>2520116.7925288668</v>
      </c>
      <c r="B999" s="458">
        <v>2.9276964298829533E-2</v>
      </c>
      <c r="C999" s="477">
        <v>6851921.6009694943</v>
      </c>
      <c r="D999" s="458">
        <v>6.0484369651946812E-2</v>
      </c>
      <c r="E999" s="477">
        <v>16311961.300215874</v>
      </c>
      <c r="F999" s="458">
        <v>0.11171026620421376</v>
      </c>
      <c r="G999" s="477">
        <v>71551880.402780741</v>
      </c>
      <c r="H999" s="458">
        <v>0.26530417428566189</v>
      </c>
      <c r="I999" s="468">
        <v>12.559353032263644</v>
      </c>
    </row>
    <row r="1000" spans="1:9" ht="16.5" x14ac:dyDescent="0.3">
      <c r="A1000" s="477">
        <v>6594747.8482950609</v>
      </c>
      <c r="B1000" s="458">
        <v>4.1856772283992205E-2</v>
      </c>
      <c r="C1000" s="477">
        <v>8063284.4362996249</v>
      </c>
      <c r="D1000" s="458">
        <v>7.498979782704418E-2</v>
      </c>
      <c r="E1000" s="477">
        <v>13080379.211838003</v>
      </c>
      <c r="F1000" s="458">
        <v>0.11158157991232542</v>
      </c>
      <c r="G1000" s="477">
        <v>85232281.044942275</v>
      </c>
      <c r="H1000" s="458">
        <v>0.28678246356818304</v>
      </c>
      <c r="I1000" s="468">
        <v>11.953681475955729</v>
      </c>
    </row>
    <row r="1001" spans="1:9" ht="16.5" x14ac:dyDescent="0.3">
      <c r="A1001" s="477">
        <v>5885417.4599441923</v>
      </c>
      <c r="B1001" s="458">
        <v>3.723137249657249E-2</v>
      </c>
      <c r="C1001" s="477">
        <v>10884191.937141951</v>
      </c>
      <c r="D1001" s="458">
        <v>7.8194674509191486E-2</v>
      </c>
      <c r="E1001" s="477">
        <v>12737365.91646499</v>
      </c>
      <c r="F1001" s="458">
        <v>8.3577862590812346E-2</v>
      </c>
      <c r="G1001" s="477">
        <v>87798268.231728286</v>
      </c>
      <c r="H1001" s="458">
        <v>0.29166254756607723</v>
      </c>
      <c r="I1001" s="468">
        <v>12.011743872515932</v>
      </c>
    </row>
    <row r="1002" spans="1:9" ht="16.5" x14ac:dyDescent="0.3">
      <c r="A1002" s="477">
        <v>12279164.307636049</v>
      </c>
      <c r="B1002" s="458">
        <v>5.4673268299198607E-2</v>
      </c>
      <c r="C1002" s="477">
        <v>11139027.212738495</v>
      </c>
      <c r="D1002" s="458">
        <v>6.7122225891279363E-2</v>
      </c>
      <c r="E1002" s="477">
        <v>4269470.6654646136</v>
      </c>
      <c r="F1002" s="458">
        <v>0.10671694694824163</v>
      </c>
      <c r="G1002" s="477">
        <v>85568574.063518003</v>
      </c>
      <c r="H1002" s="458">
        <v>0.26685254307944639</v>
      </c>
      <c r="I1002" s="468">
        <v>4.9176757115386618</v>
      </c>
    </row>
    <row r="1003" spans="1:9" ht="16.5" x14ac:dyDescent="0.3">
      <c r="A1003" s="477">
        <v>5407698.5071523758</v>
      </c>
      <c r="B1003" s="458">
        <v>5.2121820430237165E-2</v>
      </c>
      <c r="C1003" s="477">
        <v>6075482.7140473509</v>
      </c>
      <c r="D1003" s="458">
        <v>6.4790310270651741E-2</v>
      </c>
      <c r="E1003" s="477">
        <v>21756008.05751672</v>
      </c>
      <c r="F1003" s="458">
        <v>0.11143289239382503</v>
      </c>
      <c r="G1003" s="477">
        <v>86889870.523043126</v>
      </c>
      <c r="H1003" s="458">
        <v>0.26087380340088662</v>
      </c>
      <c r="I1003" s="468">
        <v>10.028466009592231</v>
      </c>
    </row>
    <row r="1004" spans="1:9" ht="16.5" x14ac:dyDescent="0.3">
      <c r="A1004" s="477">
        <v>5440151.9738572352</v>
      </c>
      <c r="B1004" s="458">
        <v>2.5246037100588925E-2</v>
      </c>
      <c r="C1004" s="477">
        <v>6195567.5355881033</v>
      </c>
      <c r="D1004" s="458">
        <v>5.8775055740467153E-2</v>
      </c>
      <c r="E1004" s="477">
        <v>20216012.426295795</v>
      </c>
      <c r="F1004" s="458">
        <v>9.925889965221546E-2</v>
      </c>
      <c r="G1004" s="477">
        <v>77351908.719011635</v>
      </c>
      <c r="H1004" s="458">
        <v>0.28861523064742234</v>
      </c>
      <c r="I1004" s="468">
        <v>14.585496527542913</v>
      </c>
    </row>
    <row r="1005" spans="1:9" ht="16.5" x14ac:dyDescent="0.3">
      <c r="A1005" s="477">
        <v>4373723.2282326557</v>
      </c>
      <c r="B1005" s="458">
        <v>4.5307318991957279E-2</v>
      </c>
      <c r="C1005" s="477">
        <v>2805402.2520241332</v>
      </c>
      <c r="D1005" s="458">
        <v>8.5555920630588256E-2</v>
      </c>
      <c r="E1005" s="477">
        <v>7398572.0090803485</v>
      </c>
      <c r="F1005" s="458">
        <v>0.12737956470311529</v>
      </c>
      <c r="G1005" s="477">
        <v>89480499.115207478</v>
      </c>
      <c r="H1005" s="458">
        <v>0.27816931297121439</v>
      </c>
      <c r="I1005" s="468">
        <v>9.2990463313306169</v>
      </c>
    </row>
    <row r="1006" spans="1:9" ht="16.5" x14ac:dyDescent="0.3">
      <c r="A1006" s="477">
        <v>4912111.3202800881</v>
      </c>
      <c r="B1006" s="458">
        <v>5.0246219993601571E-2</v>
      </c>
      <c r="C1006" s="477">
        <v>14160920.464606244</v>
      </c>
      <c r="D1006" s="458">
        <v>4.9752456257835753E-2</v>
      </c>
      <c r="E1006" s="477">
        <v>18849995.127213288</v>
      </c>
      <c r="F1006" s="458">
        <v>7.7724459887713593E-2</v>
      </c>
      <c r="G1006" s="477">
        <v>95232683.772566199</v>
      </c>
      <c r="H1006" s="458">
        <v>0.27446286066968728</v>
      </c>
      <c r="I1006" s="468">
        <v>9.5549184465630894</v>
      </c>
    </row>
    <row r="1007" spans="1:9" ht="16.5" x14ac:dyDescent="0.3">
      <c r="A1007" s="477">
        <v>4672311.1957195811</v>
      </c>
      <c r="B1007" s="458">
        <v>4.3032023094713656E-2</v>
      </c>
      <c r="C1007" s="477">
        <v>15639909.970334424</v>
      </c>
      <c r="D1007" s="458">
        <v>5.7840134772483953E-2</v>
      </c>
      <c r="E1007" s="477">
        <v>12651665.307565872</v>
      </c>
      <c r="F1007" s="458">
        <v>0.10816004624347619</v>
      </c>
      <c r="G1007" s="477">
        <v>89092801.953264534</v>
      </c>
      <c r="H1007" s="458">
        <v>0.25805927097422998</v>
      </c>
      <c r="I1007" s="468">
        <v>11.525308754037933</v>
      </c>
    </row>
    <row r="1008" spans="1:9" ht="16.5" x14ac:dyDescent="0.3">
      <c r="A1008" s="477">
        <v>5507249.3872117018</v>
      </c>
      <c r="B1008" s="458">
        <v>5.3581877740391581E-2</v>
      </c>
      <c r="C1008" s="477">
        <v>8417512.717826413</v>
      </c>
      <c r="D1008" s="458">
        <v>7.039295252114286E-2</v>
      </c>
      <c r="E1008" s="477">
        <v>17750427.801460113</v>
      </c>
      <c r="F1008" s="458">
        <v>0.12996382164075682</v>
      </c>
      <c r="G1008" s="477">
        <v>87469463.677924111</v>
      </c>
      <c r="H1008" s="458">
        <v>0.28986892487316096</v>
      </c>
      <c r="I1008" s="468">
        <v>4.942138409908031</v>
      </c>
    </row>
    <row r="1009" spans="1:9" ht="16.5" x14ac:dyDescent="0.3">
      <c r="A1009" s="477">
        <v>2602271.1582427272</v>
      </c>
      <c r="B1009" s="458">
        <v>3.4749851221128614E-2</v>
      </c>
      <c r="C1009" s="477">
        <v>10974773.708219759</v>
      </c>
      <c r="D1009" s="458">
        <v>6.6263815963809813E-2</v>
      </c>
      <c r="E1009" s="477">
        <v>23268547.54336502</v>
      </c>
      <c r="F1009" s="458">
        <v>0.11286118007151158</v>
      </c>
      <c r="G1009" s="477">
        <v>89781615.966144338</v>
      </c>
      <c r="H1009" s="458">
        <v>0.25076079211739599</v>
      </c>
      <c r="I1009" s="468">
        <v>6.0324944647426246</v>
      </c>
    </row>
    <row r="1010" spans="1:9" ht="16.5" x14ac:dyDescent="0.3">
      <c r="A1010" s="477">
        <v>3836305.8307108851</v>
      </c>
      <c r="B1010" s="458">
        <v>4.0749978910837426E-2</v>
      </c>
      <c r="C1010" s="477">
        <v>11260549.092225084</v>
      </c>
      <c r="D1010" s="458">
        <v>6.0367668028885824E-2</v>
      </c>
      <c r="E1010" s="477">
        <v>19037978.340101216</v>
      </c>
      <c r="F1010" s="458">
        <v>0.10594733089999631</v>
      </c>
      <c r="G1010" s="477">
        <v>88575989.319384947</v>
      </c>
      <c r="H1010" s="458">
        <v>0.27579532696754505</v>
      </c>
      <c r="I1010" s="468">
        <v>2.8668649702431894</v>
      </c>
    </row>
    <row r="1011" spans="1:9" ht="16.5" x14ac:dyDescent="0.3">
      <c r="A1011" s="477">
        <v>2748495.7470285031</v>
      </c>
      <c r="B1011" s="458">
        <v>1.6374164126973012E-2</v>
      </c>
      <c r="C1011" s="477">
        <v>6608657.897165644</v>
      </c>
      <c r="D1011" s="458">
        <v>6.6843183398538786E-2</v>
      </c>
      <c r="E1011" s="477">
        <v>25141134.595090371</v>
      </c>
      <c r="F1011" s="458">
        <v>9.5137453675875561E-2</v>
      </c>
      <c r="G1011" s="477">
        <v>88602425.469050676</v>
      </c>
      <c r="H1011" s="458">
        <v>0.2864498344969022</v>
      </c>
      <c r="I1011" s="468">
        <v>9.6354488313120203</v>
      </c>
    </row>
    <row r="1012" spans="1:9" ht="16.5" x14ac:dyDescent="0.3">
      <c r="A1012" s="477">
        <v>1449889.3604932008</v>
      </c>
      <c r="B1012" s="458">
        <v>3.7727207276404329E-2</v>
      </c>
      <c r="C1012" s="477">
        <v>12253966.912151797</v>
      </c>
      <c r="D1012" s="458">
        <v>3.6823933016674637E-2</v>
      </c>
      <c r="E1012" s="477">
        <v>16321447.433037885</v>
      </c>
      <c r="F1012" s="458">
        <v>0.11603699051292682</v>
      </c>
      <c r="G1012" s="477">
        <v>74243055.293481573</v>
      </c>
      <c r="H1012" s="458">
        <v>0.25494574545562165</v>
      </c>
      <c r="I1012" s="468">
        <v>4.8172850760424435</v>
      </c>
    </row>
    <row r="1013" spans="1:9" ht="16.5" x14ac:dyDescent="0.3">
      <c r="A1013" s="477">
        <v>-228217.96415422825</v>
      </c>
      <c r="B1013" s="458">
        <v>3.0148603494281279E-2</v>
      </c>
      <c r="C1013" s="477">
        <v>7780766.1082301149</v>
      </c>
      <c r="D1013" s="458">
        <v>7.0038832972753706E-2</v>
      </c>
      <c r="E1013" s="477">
        <v>20723240.716881074</v>
      </c>
      <c r="F1013" s="458">
        <v>0.10283600400730397</v>
      </c>
      <c r="G1013" s="477">
        <v>93411064.258945927</v>
      </c>
      <c r="H1013" s="458">
        <v>0.28043431763591253</v>
      </c>
      <c r="I1013" s="468">
        <v>11.440663129812776</v>
      </c>
    </row>
    <row r="1014" spans="1:9" ht="16.5" x14ac:dyDescent="0.3">
      <c r="A1014" s="477">
        <v>3935002.5557479816</v>
      </c>
      <c r="B1014" s="458">
        <v>6.3810576293907628E-2</v>
      </c>
      <c r="C1014" s="477">
        <v>7743797.4349441109</v>
      </c>
      <c r="D1014" s="458">
        <v>6.9279333423836631E-2</v>
      </c>
      <c r="E1014" s="477">
        <v>18074601.85115619</v>
      </c>
      <c r="F1014" s="458">
        <v>9.2280121136616433E-2</v>
      </c>
      <c r="G1014" s="477">
        <v>69766805.113094121</v>
      </c>
      <c r="H1014" s="458">
        <v>0.27322272040431583</v>
      </c>
      <c r="I1014" s="468">
        <v>12.149590073582024</v>
      </c>
    </row>
    <row r="1015" spans="1:9" ht="16.5" x14ac:dyDescent="0.3">
      <c r="A1015" s="477">
        <v>5193238.0568450224</v>
      </c>
      <c r="B1015" s="458">
        <v>7.2190133774906684E-2</v>
      </c>
      <c r="C1015" s="477">
        <v>10152659.418017266</v>
      </c>
      <c r="D1015" s="458">
        <v>5.4797739735029882E-2</v>
      </c>
      <c r="E1015" s="477">
        <v>19134241.791726086</v>
      </c>
      <c r="F1015" s="458">
        <v>0.10694270108158221</v>
      </c>
      <c r="G1015" s="477">
        <v>79061740.721708462</v>
      </c>
      <c r="H1015" s="458">
        <v>0.28500343654782001</v>
      </c>
      <c r="I1015" s="468">
        <v>4.579419871609403</v>
      </c>
    </row>
    <row r="1016" spans="1:9" ht="16.5" x14ac:dyDescent="0.3">
      <c r="A1016" s="477">
        <v>1786677.8155852645</v>
      </c>
      <c r="B1016" s="458">
        <v>4.4824525845842844E-2</v>
      </c>
      <c r="C1016" s="477">
        <v>14471634.8073954</v>
      </c>
      <c r="D1016" s="458">
        <v>6.4639585498592389E-2</v>
      </c>
      <c r="E1016" s="477">
        <v>16107081.875955924</v>
      </c>
      <c r="F1016" s="458">
        <v>8.4597067699763606E-2</v>
      </c>
      <c r="G1016" s="477">
        <v>89029797.543442443</v>
      </c>
      <c r="H1016" s="458">
        <v>0.26035019776452395</v>
      </c>
      <c r="I1016" s="468">
        <v>4.6238465260620671</v>
      </c>
    </row>
    <row r="1017" spans="1:9" ht="16.5" x14ac:dyDescent="0.3">
      <c r="A1017" s="477">
        <v>7482537.6121954601</v>
      </c>
      <c r="B1017" s="458">
        <v>3.3858102946914492E-2</v>
      </c>
      <c r="C1017" s="477">
        <v>10743938.88613346</v>
      </c>
      <c r="D1017" s="458">
        <v>5.98064078237448E-2</v>
      </c>
      <c r="E1017" s="477">
        <v>13616343.977567775</v>
      </c>
      <c r="F1017" s="458">
        <v>9.8596315131462831E-2</v>
      </c>
      <c r="G1017" s="477">
        <v>88435912.424282148</v>
      </c>
      <c r="H1017" s="458">
        <v>0.25929716695959026</v>
      </c>
      <c r="I1017" s="468">
        <v>6.1813759927290235</v>
      </c>
    </row>
    <row r="1018" spans="1:9" ht="16.5" x14ac:dyDescent="0.3">
      <c r="A1018" s="477">
        <v>8046371.8857591674</v>
      </c>
      <c r="B1018" s="458">
        <v>3.9044472800607188E-2</v>
      </c>
      <c r="C1018" s="477">
        <v>-3251163.6108948416</v>
      </c>
      <c r="D1018" s="458">
        <v>6.5739114280473743E-2</v>
      </c>
      <c r="E1018" s="477">
        <v>15195234.284774782</v>
      </c>
      <c r="F1018" s="458">
        <v>0.10856456186321339</v>
      </c>
      <c r="G1018" s="477">
        <v>81471781.319674566</v>
      </c>
      <c r="H1018" s="458">
        <v>0.26533144400454023</v>
      </c>
      <c r="I1018" s="468">
        <v>17.456628330651135</v>
      </c>
    </row>
    <row r="1019" spans="1:9" ht="16.5" x14ac:dyDescent="0.3">
      <c r="A1019" s="477">
        <v>6028921.1842379672</v>
      </c>
      <c r="B1019" s="458">
        <v>3.9510307454862392E-2</v>
      </c>
      <c r="C1019" s="477">
        <v>2711523.3246648381</v>
      </c>
      <c r="D1019" s="458">
        <v>5.3823224858943863E-2</v>
      </c>
      <c r="E1019" s="477">
        <v>17035950.026830405</v>
      </c>
      <c r="F1019" s="458">
        <v>0.11548450253490739</v>
      </c>
      <c r="G1019" s="477">
        <v>100408639.10570106</v>
      </c>
      <c r="H1019" s="458">
        <v>0.29157730173071306</v>
      </c>
      <c r="I1019" s="468">
        <v>5.6798446065445241</v>
      </c>
    </row>
    <row r="1020" spans="1:9" ht="16.5" x14ac:dyDescent="0.3">
      <c r="A1020" s="477">
        <v>4010106.4842115273</v>
      </c>
      <c r="B1020" s="458">
        <v>3.5545783368848172E-2</v>
      </c>
      <c r="C1020" s="477">
        <v>11875937.1164122</v>
      </c>
      <c r="D1020" s="458">
        <v>3.6727336383623355E-2</v>
      </c>
      <c r="E1020" s="477">
        <v>19628313.753730386</v>
      </c>
      <c r="F1020" s="458">
        <v>0.10509324618217541</v>
      </c>
      <c r="G1020" s="477">
        <v>88117613.591329992</v>
      </c>
      <c r="H1020" s="458">
        <v>0.28251209079415474</v>
      </c>
      <c r="I1020" s="468">
        <v>10.73301898875869</v>
      </c>
    </row>
    <row r="1021" spans="1:9" ht="16.5" x14ac:dyDescent="0.3">
      <c r="A1021" s="477">
        <v>5951129.0224456443</v>
      </c>
      <c r="B1021" s="458">
        <v>3.466787811440919E-2</v>
      </c>
      <c r="C1021" s="477">
        <v>11996013.395757364</v>
      </c>
      <c r="D1021" s="458">
        <v>7.8884481923926497E-2</v>
      </c>
      <c r="E1021" s="477">
        <v>19725062.651269712</v>
      </c>
      <c r="F1021" s="458">
        <v>0.11197026747722005</v>
      </c>
      <c r="G1021" s="477">
        <v>98621622.06950143</v>
      </c>
      <c r="H1021" s="458">
        <v>0.26240807572076652</v>
      </c>
      <c r="I1021" s="468">
        <v>11.750490434562284</v>
      </c>
    </row>
    <row r="1022" spans="1:9" ht="16.5" x14ac:dyDescent="0.3">
      <c r="A1022" s="477">
        <v>6464660.3590451609</v>
      </c>
      <c r="B1022" s="458">
        <v>3.7559308679007586E-2</v>
      </c>
      <c r="C1022" s="477">
        <v>8670407.3178308737</v>
      </c>
      <c r="D1022" s="458">
        <v>6.9227182231832884E-2</v>
      </c>
      <c r="E1022" s="477">
        <v>7528006.7726456942</v>
      </c>
      <c r="F1022" s="458">
        <v>9.9903745547428979E-2</v>
      </c>
      <c r="G1022" s="477">
        <v>88146689.390428707</v>
      </c>
      <c r="H1022" s="458">
        <v>0.26159746752879376</v>
      </c>
      <c r="I1022" s="468">
        <v>13.088681732168714</v>
      </c>
    </row>
    <row r="1023" spans="1:9" ht="16.5" x14ac:dyDescent="0.3">
      <c r="A1023" s="477">
        <v>5604078.242787255</v>
      </c>
      <c r="B1023" s="458">
        <v>3.1892814825560389E-2</v>
      </c>
      <c r="C1023" s="477">
        <v>12461265.368796187</v>
      </c>
      <c r="D1023" s="458">
        <v>7.540641962804906E-2</v>
      </c>
      <c r="E1023" s="477">
        <v>17308973.562099233</v>
      </c>
      <c r="F1023" s="458">
        <v>0.11667414878206328</v>
      </c>
      <c r="G1023" s="477">
        <v>86965604.472942889</v>
      </c>
      <c r="H1023" s="458">
        <v>0.27265604788895015</v>
      </c>
      <c r="I1023" s="468">
        <v>9.1084450824325138</v>
      </c>
    </row>
    <row r="1024" spans="1:9" ht="16.5" x14ac:dyDescent="0.3">
      <c r="A1024" s="477">
        <v>5688243.938801839</v>
      </c>
      <c r="B1024" s="458">
        <v>3.1134341739043725E-2</v>
      </c>
      <c r="C1024" s="477">
        <v>6267477.4841803648</v>
      </c>
      <c r="D1024" s="458">
        <v>5.3017468368500298E-2</v>
      </c>
      <c r="E1024" s="477">
        <v>15059156.48943527</v>
      </c>
      <c r="F1024" s="458">
        <v>0.10402300380550122</v>
      </c>
      <c r="G1024" s="477">
        <v>93771181.987228185</v>
      </c>
      <c r="H1024" s="458">
        <v>0.2588381988325883</v>
      </c>
      <c r="I1024" s="468">
        <v>8.2641325645612334</v>
      </c>
    </row>
    <row r="1025" spans="1:9" ht="16.5" x14ac:dyDescent="0.3">
      <c r="A1025" s="477">
        <v>4676312.9173058597</v>
      </c>
      <c r="B1025" s="458">
        <v>4.1110058293426732E-2</v>
      </c>
      <c r="C1025" s="477">
        <v>6233100.7281682454</v>
      </c>
      <c r="D1025" s="458">
        <v>7.6127537815194213E-2</v>
      </c>
      <c r="E1025" s="477">
        <v>17433595.619592309</v>
      </c>
      <c r="F1025" s="458">
        <v>0.1226211379584965</v>
      </c>
      <c r="G1025" s="477">
        <v>88774863.243307903</v>
      </c>
      <c r="H1025" s="458">
        <v>0.26747363141261826</v>
      </c>
      <c r="I1025" s="468">
        <v>11.694533565294224</v>
      </c>
    </row>
    <row r="1026" spans="1:9" ht="16.5" x14ac:dyDescent="0.3">
      <c r="A1026" s="477">
        <v>6255471.6235324414</v>
      </c>
      <c r="B1026" s="458">
        <v>4.8258468882538708E-2</v>
      </c>
      <c r="C1026" s="477">
        <v>14907967.776486468</v>
      </c>
      <c r="D1026" s="458">
        <v>5.6891929786042184E-2</v>
      </c>
      <c r="E1026" s="477">
        <v>18349486.37072067</v>
      </c>
      <c r="F1026" s="458">
        <v>0.11285700463507187</v>
      </c>
      <c r="G1026" s="477">
        <v>89683355.433308914</v>
      </c>
      <c r="H1026" s="458">
        <v>0.26144700092312401</v>
      </c>
      <c r="I1026" s="468">
        <v>7.7162584194999511</v>
      </c>
    </row>
    <row r="1027" spans="1:9" ht="16.5" x14ac:dyDescent="0.3">
      <c r="A1027" s="477">
        <v>6242218.0034258924</v>
      </c>
      <c r="B1027" s="458">
        <v>3.7067878433689971E-2</v>
      </c>
      <c r="C1027" s="477">
        <v>10946113.404922338</v>
      </c>
      <c r="D1027" s="458">
        <v>5.2448978660250445E-2</v>
      </c>
      <c r="E1027" s="477">
        <v>20713665.267419722</v>
      </c>
      <c r="F1027" s="458">
        <v>0.10046265576307256</v>
      </c>
      <c r="G1027" s="477">
        <v>99219771.345928609</v>
      </c>
      <c r="H1027" s="458">
        <v>0.26763945682878854</v>
      </c>
      <c r="I1027" s="468">
        <v>9.5368728994259104</v>
      </c>
    </row>
    <row r="1028" spans="1:9" ht="16.5" x14ac:dyDescent="0.3">
      <c r="A1028" s="477">
        <v>4765986.1311837025</v>
      </c>
      <c r="B1028" s="458">
        <v>4.8064280150604821E-2</v>
      </c>
      <c r="C1028" s="477">
        <v>2775455.8672922538</v>
      </c>
      <c r="D1028" s="458">
        <v>6.9168841637666567E-2</v>
      </c>
      <c r="E1028" s="477">
        <v>17067032.389257222</v>
      </c>
      <c r="F1028" s="458">
        <v>0.10672774354035175</v>
      </c>
      <c r="G1028" s="477">
        <v>93682724.701068476</v>
      </c>
      <c r="H1028" s="458">
        <v>0.27486944195194396</v>
      </c>
      <c r="I1028" s="468">
        <v>7.8018979679373741</v>
      </c>
    </row>
    <row r="1029" spans="1:9" ht="16.5" x14ac:dyDescent="0.3">
      <c r="A1029" s="477">
        <v>2954825.6197965853</v>
      </c>
      <c r="B1029" s="458">
        <v>2.5493510549586373E-2</v>
      </c>
      <c r="C1029" s="477">
        <v>11639502.449746644</v>
      </c>
      <c r="D1029" s="458">
        <v>6.7703371352961561E-2</v>
      </c>
      <c r="E1029" s="477">
        <v>10853624.058051428</v>
      </c>
      <c r="F1029" s="458">
        <v>0.105372794416555</v>
      </c>
      <c r="G1029" s="477">
        <v>95232400.665991187</v>
      </c>
      <c r="H1029" s="458">
        <v>0.25108904857391012</v>
      </c>
      <c r="I1029" s="468">
        <v>5.1321426592936703</v>
      </c>
    </row>
    <row r="1030" spans="1:9" ht="16.5" x14ac:dyDescent="0.3">
      <c r="A1030" s="477">
        <v>4442500.4075152939</v>
      </c>
      <c r="B1030" s="458">
        <v>4.9187890335830042E-2</v>
      </c>
      <c r="C1030" s="477">
        <v>8307548.6565444199</v>
      </c>
      <c r="D1030" s="458">
        <v>4.4418465128095885E-2</v>
      </c>
      <c r="E1030" s="477">
        <v>22485005.910464108</v>
      </c>
      <c r="F1030" s="458">
        <v>0.12168783619924595</v>
      </c>
      <c r="G1030" s="477">
        <v>101165612.34222384</v>
      </c>
      <c r="H1030" s="458">
        <v>0.26200464170154403</v>
      </c>
      <c r="I1030" s="468">
        <v>1.9047391593422436</v>
      </c>
    </row>
    <row r="1031" spans="1:9" ht="16.5" x14ac:dyDescent="0.3">
      <c r="A1031" s="477">
        <v>6741029.5127395084</v>
      </c>
      <c r="B1031" s="458">
        <v>4.1976361732134704E-2</v>
      </c>
      <c r="C1031" s="477">
        <v>5459398.6081359284</v>
      </c>
      <c r="D1031" s="458">
        <v>4.3583219618224645E-2</v>
      </c>
      <c r="E1031" s="477">
        <v>18694497.884135786</v>
      </c>
      <c r="F1031" s="458">
        <v>9.7170938425508169E-2</v>
      </c>
      <c r="G1031" s="477">
        <v>79880971.901794389</v>
      </c>
      <c r="H1031" s="458">
        <v>0.26173288670042094</v>
      </c>
      <c r="I1031" s="468">
        <v>11.218142525065673</v>
      </c>
    </row>
    <row r="1032" spans="1:9" ht="16.5" x14ac:dyDescent="0.3">
      <c r="A1032" s="477">
        <v>7965183.0079373159</v>
      </c>
      <c r="B1032" s="458">
        <v>1.8467182543815186E-2</v>
      </c>
      <c r="C1032" s="477">
        <v>4702299.6510405503</v>
      </c>
      <c r="D1032" s="458">
        <v>7.9134848983001049E-2</v>
      </c>
      <c r="E1032" s="477">
        <v>15164563.492587272</v>
      </c>
      <c r="F1032" s="458">
        <v>0.12722101771794891</v>
      </c>
      <c r="G1032" s="477">
        <v>98728222.107906848</v>
      </c>
      <c r="H1032" s="458">
        <v>0.26392531659054552</v>
      </c>
      <c r="I1032" s="468">
        <v>12.953513953165062</v>
      </c>
    </row>
    <row r="1033" spans="1:9" ht="16.5" x14ac:dyDescent="0.3">
      <c r="A1033" s="477">
        <v>2702717.2538861334</v>
      </c>
      <c r="B1033" s="458">
        <v>2.584234246452155E-2</v>
      </c>
      <c r="C1033" s="477">
        <v>9584958.0224644039</v>
      </c>
      <c r="D1033" s="458">
        <v>7.3979521950423566E-2</v>
      </c>
      <c r="E1033" s="477">
        <v>8112636.5482555088</v>
      </c>
      <c r="F1033" s="458">
        <v>0.10487289922784382</v>
      </c>
      <c r="G1033" s="477">
        <v>105768746.72837389</v>
      </c>
      <c r="H1033" s="458">
        <v>0.27187994189342346</v>
      </c>
      <c r="I1033" s="468">
        <v>7.9634534608777736</v>
      </c>
    </row>
    <row r="1034" spans="1:9" ht="16.5" x14ac:dyDescent="0.3">
      <c r="A1034" s="477">
        <v>2952268.3077731882</v>
      </c>
      <c r="B1034" s="458">
        <v>1.7599086858202773E-2</v>
      </c>
      <c r="C1034" s="477">
        <v>2413640.1340524857</v>
      </c>
      <c r="D1034" s="458">
        <v>4.9522879656868746E-2</v>
      </c>
      <c r="E1034" s="477">
        <v>20717535.551476169</v>
      </c>
      <c r="F1034" s="458">
        <v>0.11830598718874419</v>
      </c>
      <c r="G1034" s="477">
        <v>82968253.173735425</v>
      </c>
      <c r="H1034" s="458">
        <v>0.25980914998753502</v>
      </c>
      <c r="I1034" s="468">
        <v>6.7824337860314108</v>
      </c>
    </row>
    <row r="1035" spans="1:9" ht="16.5" x14ac:dyDescent="0.3">
      <c r="A1035" s="477">
        <v>4955316.6287193429</v>
      </c>
      <c r="B1035" s="458">
        <v>3.271338850919614E-2</v>
      </c>
      <c r="C1035" s="477">
        <v>5015972.3181736078</v>
      </c>
      <c r="D1035" s="458">
        <v>7.0917647246826476E-2</v>
      </c>
      <c r="E1035" s="477">
        <v>11398902.944185685</v>
      </c>
      <c r="F1035" s="458">
        <v>0.10802628655678825</v>
      </c>
      <c r="G1035" s="477">
        <v>85172630.594439924</v>
      </c>
      <c r="H1035" s="458">
        <v>0.27083254927517042</v>
      </c>
      <c r="I1035" s="468">
        <v>5.9385803535901047</v>
      </c>
    </row>
    <row r="1036" spans="1:9" ht="16.5" x14ac:dyDescent="0.3">
      <c r="A1036" s="477">
        <v>3761759.5917674531</v>
      </c>
      <c r="B1036" s="458">
        <v>2.3941363504665913E-2</v>
      </c>
      <c r="C1036" s="477">
        <v>9586061.3723300342</v>
      </c>
      <c r="D1036" s="458">
        <v>5.4846731062924814E-2</v>
      </c>
      <c r="E1036" s="477">
        <v>7882084.7812526841</v>
      </c>
      <c r="F1036" s="458">
        <v>0.11514043696551024</v>
      </c>
      <c r="G1036" s="477">
        <v>83150279.856332883</v>
      </c>
      <c r="H1036" s="458">
        <v>0.26957227099437975</v>
      </c>
      <c r="I1036" s="468">
        <v>9.7182983210561495</v>
      </c>
    </row>
    <row r="1037" spans="1:9" ht="16.5" x14ac:dyDescent="0.3">
      <c r="A1037" s="477">
        <v>5734107.6142219342</v>
      </c>
      <c r="B1037" s="458">
        <v>8.1999182747874544E-2</v>
      </c>
      <c r="C1037" s="477">
        <v>10479032.607412746</v>
      </c>
      <c r="D1037" s="458">
        <v>6.984544377125923E-2</v>
      </c>
      <c r="E1037" s="477">
        <v>16953803.146442536</v>
      </c>
      <c r="F1037" s="458">
        <v>8.9225777720056687E-2</v>
      </c>
      <c r="G1037" s="477">
        <v>86813380.951179847</v>
      </c>
      <c r="H1037" s="458">
        <v>0.26127729450283099</v>
      </c>
      <c r="I1037" s="468">
        <v>14.744440794314265</v>
      </c>
    </row>
    <row r="1038" spans="1:9" ht="16.5" x14ac:dyDescent="0.3">
      <c r="A1038" s="477">
        <v>4544669.5540238693</v>
      </c>
      <c r="B1038" s="458">
        <v>4.5566123813479908E-2</v>
      </c>
      <c r="C1038" s="477">
        <v>8668237.5590736661</v>
      </c>
      <c r="D1038" s="458">
        <v>6.184872660983598E-2</v>
      </c>
      <c r="E1038" s="477">
        <v>15894666.202922665</v>
      </c>
      <c r="F1038" s="458">
        <v>8.2993873535060603E-2</v>
      </c>
      <c r="G1038" s="477">
        <v>91841197.742261335</v>
      </c>
      <c r="H1038" s="458">
        <v>0.25766039975315369</v>
      </c>
      <c r="I1038" s="468">
        <v>15.087281201068986</v>
      </c>
    </row>
    <row r="1039" spans="1:9" ht="16.5" x14ac:dyDescent="0.3">
      <c r="A1039" s="477">
        <v>392877.06970391091</v>
      </c>
      <c r="B1039" s="458">
        <v>2.355584135463662E-2</v>
      </c>
      <c r="C1039" s="477">
        <v>7092846.3709070534</v>
      </c>
      <c r="D1039" s="458">
        <v>8.7400918220960078E-2</v>
      </c>
      <c r="E1039" s="477">
        <v>15126565.776546272</v>
      </c>
      <c r="F1039" s="458">
        <v>0.11834425685381489</v>
      </c>
      <c r="G1039" s="477">
        <v>91497092.642886803</v>
      </c>
      <c r="H1039" s="458">
        <v>0.26925774044520034</v>
      </c>
      <c r="I1039" s="468">
        <v>8.1173336899579702</v>
      </c>
    </row>
    <row r="1040" spans="1:9" ht="16.5" x14ac:dyDescent="0.3">
      <c r="A1040" s="477">
        <v>4219163.5395928817</v>
      </c>
      <c r="B1040" s="458">
        <v>6.2135082431150401E-2</v>
      </c>
      <c r="C1040" s="477">
        <v>11513919.267516427</v>
      </c>
      <c r="D1040" s="458">
        <v>4.2319896887490049E-2</v>
      </c>
      <c r="E1040" s="477">
        <v>13456234.512477254</v>
      </c>
      <c r="F1040" s="458">
        <v>0.13482606286641108</v>
      </c>
      <c r="G1040" s="477">
        <v>83591162.637925982</v>
      </c>
      <c r="H1040" s="458">
        <v>0.25774960581479989</v>
      </c>
      <c r="I1040" s="468">
        <v>10.129353618381167</v>
      </c>
    </row>
    <row r="1041" spans="1:9" ht="16.5" x14ac:dyDescent="0.3">
      <c r="A1041" s="477">
        <v>4290800.7338225609</v>
      </c>
      <c r="B1041" s="458">
        <v>5.0008738338900516E-2</v>
      </c>
      <c r="C1041" s="477">
        <v>5707204.5028280206</v>
      </c>
      <c r="D1041" s="458">
        <v>6.7110892790485543E-2</v>
      </c>
      <c r="E1041" s="477">
        <v>29024854.465678826</v>
      </c>
      <c r="F1041" s="458">
        <v>9.5669497330019171E-2</v>
      </c>
      <c r="G1041" s="477">
        <v>94158157.263619468</v>
      </c>
      <c r="H1041" s="458">
        <v>0.27656195575288511</v>
      </c>
      <c r="I1041" s="468">
        <v>8.654944995590423</v>
      </c>
    </row>
    <row r="1042" spans="1:9" ht="16.5" x14ac:dyDescent="0.3">
      <c r="A1042" s="477">
        <v>7525465.191509515</v>
      </c>
      <c r="B1042" s="458">
        <v>3.7655291616649933E-2</v>
      </c>
      <c r="C1042" s="477">
        <v>3977734.1361183147</v>
      </c>
      <c r="D1042" s="458">
        <v>6.1561915752307739E-2</v>
      </c>
      <c r="E1042" s="477">
        <v>11787328.759537401</v>
      </c>
      <c r="F1042" s="458">
        <v>7.452947827636458E-2</v>
      </c>
      <c r="G1042" s="477">
        <v>78938963.983003706</v>
      </c>
      <c r="H1042" s="458">
        <v>0.26933488253750437</v>
      </c>
      <c r="I1042" s="468">
        <v>13.903929791822886</v>
      </c>
    </row>
    <row r="1043" spans="1:9" ht="16.5" x14ac:dyDescent="0.3">
      <c r="A1043" s="477">
        <v>3418408.4846923747</v>
      </c>
      <c r="B1043" s="458">
        <v>4.4566023262015753E-2</v>
      </c>
      <c r="C1043" s="477">
        <v>7180549.6560218185</v>
      </c>
      <c r="D1043" s="458">
        <v>6.0573602194625487E-2</v>
      </c>
      <c r="E1043" s="477">
        <v>27261015.564496648</v>
      </c>
      <c r="F1043" s="458">
        <v>0.11779759347951746</v>
      </c>
      <c r="G1043" s="477">
        <v>101352268.29978734</v>
      </c>
      <c r="H1043" s="458">
        <v>0.27067197985210356</v>
      </c>
      <c r="I1043" s="468">
        <v>7.6289359734152979</v>
      </c>
    </row>
    <row r="1044" spans="1:9" ht="16.5" x14ac:dyDescent="0.3">
      <c r="A1044" s="477">
        <v>6913130.4869576599</v>
      </c>
      <c r="B1044" s="458">
        <v>5.2900102878827848E-2</v>
      </c>
      <c r="C1044" s="477">
        <v>9041253.1979489792</v>
      </c>
      <c r="D1044" s="458">
        <v>6.3667123885545296E-2</v>
      </c>
      <c r="E1044" s="477">
        <v>10748135.41107958</v>
      </c>
      <c r="F1044" s="458">
        <v>0.12258438884428502</v>
      </c>
      <c r="G1044" s="477">
        <v>87635396.630125523</v>
      </c>
      <c r="H1044" s="458">
        <v>0.27258799438022163</v>
      </c>
      <c r="I1044" s="468">
        <v>9.1337956056797172</v>
      </c>
    </row>
    <row r="1045" spans="1:9" ht="16.5" x14ac:dyDescent="0.3">
      <c r="A1045" s="477">
        <v>7175564.0714152772</v>
      </c>
      <c r="B1045" s="458">
        <v>2.6229513627235246E-2</v>
      </c>
      <c r="C1045" s="477">
        <v>8231483.4436675319</v>
      </c>
      <c r="D1045" s="458">
        <v>6.7941778577934597E-2</v>
      </c>
      <c r="E1045" s="477">
        <v>19248978.61325052</v>
      </c>
      <c r="F1045" s="458">
        <v>9.3260986836950055E-2</v>
      </c>
      <c r="G1045" s="477">
        <v>83917647.792309284</v>
      </c>
      <c r="H1045" s="458">
        <v>0.26330589964213225</v>
      </c>
      <c r="I1045" s="468">
        <v>2.7215176123048401</v>
      </c>
    </row>
    <row r="1046" spans="1:9" ht="16.5" x14ac:dyDescent="0.3">
      <c r="A1046" s="477">
        <v>5806705.1475660922</v>
      </c>
      <c r="B1046" s="458">
        <v>3.8527602840523256E-2</v>
      </c>
      <c r="C1046" s="477">
        <v>3809688.7455376466</v>
      </c>
      <c r="D1046" s="458">
        <v>5.8668799039703012E-2</v>
      </c>
      <c r="E1046" s="477">
        <v>21766388.234164741</v>
      </c>
      <c r="F1046" s="458">
        <v>0.12053977407913341</v>
      </c>
      <c r="G1046" s="477">
        <v>84277849.109373391</v>
      </c>
      <c r="H1046" s="458">
        <v>0.25832641672919565</v>
      </c>
      <c r="I1046" s="468">
        <v>8.7677449514269021</v>
      </c>
    </row>
    <row r="1047" spans="1:9" ht="16.5" x14ac:dyDescent="0.3">
      <c r="A1047" s="477">
        <v>8005453.0106710084</v>
      </c>
      <c r="B1047" s="458">
        <v>4.0349264533171114E-2</v>
      </c>
      <c r="C1047" s="477">
        <v>16113989.627197031</v>
      </c>
      <c r="D1047" s="458">
        <v>9.8213959094853198E-2</v>
      </c>
      <c r="E1047" s="477">
        <v>14316346.380724052</v>
      </c>
      <c r="F1047" s="458">
        <v>0.13228922178472624</v>
      </c>
      <c r="G1047" s="477">
        <v>102194020.6540682</v>
      </c>
      <c r="H1047" s="458">
        <v>0.25263475493783827</v>
      </c>
      <c r="I1047" s="468">
        <v>12.313999680209474</v>
      </c>
    </row>
    <row r="1048" spans="1:9" ht="16.5" x14ac:dyDescent="0.3">
      <c r="A1048" s="477">
        <v>5495753.8650869662</v>
      </c>
      <c r="B1048" s="458">
        <v>3.413912489644777E-2</v>
      </c>
      <c r="C1048" s="477">
        <v>8628393.7873069476</v>
      </c>
      <c r="D1048" s="458">
        <v>5.9420429278769449E-2</v>
      </c>
      <c r="E1048" s="477">
        <v>9094663.5131485295</v>
      </c>
      <c r="F1048" s="458">
        <v>0.11290082899280351</v>
      </c>
      <c r="G1048" s="477">
        <v>99025397.18898128</v>
      </c>
      <c r="H1048" s="458">
        <v>0.26330254902059869</v>
      </c>
      <c r="I1048" s="468">
        <v>9.1811786212473585</v>
      </c>
    </row>
    <row r="1049" spans="1:9" ht="16.5" x14ac:dyDescent="0.3">
      <c r="A1049" s="477">
        <v>6022892.66744754</v>
      </c>
      <c r="B1049" s="458">
        <v>7.8335973200650999E-2</v>
      </c>
      <c r="C1049" s="477">
        <v>4110699.3307307772</v>
      </c>
      <c r="D1049" s="458">
        <v>8.4787053948294222E-2</v>
      </c>
      <c r="E1049" s="477">
        <v>12517355.032537844</v>
      </c>
      <c r="F1049" s="458">
        <v>0.12206324066394392</v>
      </c>
      <c r="G1049" s="477">
        <v>95552149.168128341</v>
      </c>
      <c r="H1049" s="458">
        <v>0.26687178581439652</v>
      </c>
      <c r="I1049" s="468">
        <v>4.0274194863836152</v>
      </c>
    </row>
    <row r="1050" spans="1:9" ht="16.5" x14ac:dyDescent="0.3">
      <c r="A1050" s="477">
        <v>7888587.175113461</v>
      </c>
      <c r="B1050" s="458">
        <v>3.0357062645417709E-2</v>
      </c>
      <c r="C1050" s="477">
        <v>5024242.5198188359</v>
      </c>
      <c r="D1050" s="458">
        <v>6.8227709641395906E-2</v>
      </c>
      <c r="E1050" s="477">
        <v>20863709.327527907</v>
      </c>
      <c r="F1050" s="458">
        <v>0.10870770116430317</v>
      </c>
      <c r="G1050" s="477">
        <v>83448083.752297536</v>
      </c>
      <c r="H1050" s="458">
        <v>0.28582894065414943</v>
      </c>
      <c r="I1050" s="468">
        <v>10.365696309887642</v>
      </c>
    </row>
    <row r="1051" spans="1:9" ht="16.5" x14ac:dyDescent="0.3">
      <c r="A1051" s="477">
        <v>2070058.3555799876</v>
      </c>
      <c r="B1051" s="458">
        <v>2.2618936372688747E-2</v>
      </c>
      <c r="C1051" s="477">
        <v>5186066.7626040159</v>
      </c>
      <c r="D1051" s="458">
        <v>4.4188071809765583E-2</v>
      </c>
      <c r="E1051" s="477">
        <v>16087026.222120978</v>
      </c>
      <c r="F1051" s="458">
        <v>0.101310163999216</v>
      </c>
      <c r="G1051" s="477">
        <v>89451652.732787818</v>
      </c>
      <c r="H1051" s="458">
        <v>0.28352458064498576</v>
      </c>
      <c r="I1051" s="468">
        <v>1.5019819889945163</v>
      </c>
    </row>
    <row r="1052" spans="1:9" ht="16.5" x14ac:dyDescent="0.3">
      <c r="A1052" s="477">
        <v>244972.63265634829</v>
      </c>
      <c r="B1052" s="458">
        <v>4.5581345087204017E-2</v>
      </c>
      <c r="C1052" s="477">
        <v>7949887.8788522389</v>
      </c>
      <c r="D1052" s="458">
        <v>9.6188009538995756E-2</v>
      </c>
      <c r="E1052" s="477">
        <v>16245122.12694462</v>
      </c>
      <c r="F1052" s="458">
        <v>0.12546753886144857</v>
      </c>
      <c r="G1052" s="477">
        <v>84081848.682453886</v>
      </c>
      <c r="H1052" s="458">
        <v>0.25662473539615016</v>
      </c>
      <c r="I1052" s="468">
        <v>11.18958465681836</v>
      </c>
    </row>
    <row r="1053" spans="1:9" ht="16.5" x14ac:dyDescent="0.3">
      <c r="A1053" s="477">
        <v>6767748.1558138067</v>
      </c>
      <c r="B1053" s="458">
        <v>4.6353547275548079E-2</v>
      </c>
      <c r="C1053" s="477">
        <v>5261296.5974701922</v>
      </c>
      <c r="D1053" s="458">
        <v>6.9905048938162961E-2</v>
      </c>
      <c r="E1053" s="477">
        <v>10086955.563211143</v>
      </c>
      <c r="F1053" s="458">
        <v>0.11489866243808811</v>
      </c>
      <c r="G1053" s="477">
        <v>90451415.568571195</v>
      </c>
      <c r="H1053" s="458">
        <v>0.28283768603107728</v>
      </c>
      <c r="I1053" s="468">
        <v>8.6467194396362821</v>
      </c>
    </row>
    <row r="1054" spans="1:9" ht="16.5" x14ac:dyDescent="0.3">
      <c r="A1054" s="477">
        <v>7172457.7848726735</v>
      </c>
      <c r="B1054" s="458">
        <v>3.8765867963100442E-2</v>
      </c>
      <c r="C1054" s="477">
        <v>8623639.2756976113</v>
      </c>
      <c r="D1054" s="458">
        <v>9.7654647615105672E-2</v>
      </c>
      <c r="E1054" s="477">
        <v>16969055.030690562</v>
      </c>
      <c r="F1054" s="458">
        <v>0.11125618782433633</v>
      </c>
      <c r="G1054" s="477">
        <v>93208982.499006942</v>
      </c>
      <c r="H1054" s="458">
        <v>0.25155590412490625</v>
      </c>
      <c r="I1054" s="468">
        <v>7.4664850578484501</v>
      </c>
    </row>
    <row r="1055" spans="1:9" ht="16.5" x14ac:dyDescent="0.3">
      <c r="A1055" s="477">
        <v>1284022.1154024173</v>
      </c>
      <c r="B1055" s="458">
        <v>3.1178409271431562E-2</v>
      </c>
      <c r="C1055" s="477">
        <v>10759954.187381238</v>
      </c>
      <c r="D1055" s="458">
        <v>7.5399140755401994E-2</v>
      </c>
      <c r="E1055" s="477">
        <v>23711300.853654694</v>
      </c>
      <c r="F1055" s="458">
        <v>9.0830591675256978E-2</v>
      </c>
      <c r="G1055" s="477">
        <v>96966042.783541098</v>
      </c>
      <c r="H1055" s="458">
        <v>0.26254706178795084</v>
      </c>
      <c r="I1055" s="468">
        <v>10.189441693765016</v>
      </c>
    </row>
    <row r="1056" spans="1:9" ht="16.5" x14ac:dyDescent="0.3">
      <c r="A1056" s="477">
        <v>7997135.8549147742</v>
      </c>
      <c r="B1056" s="458">
        <v>2.1029366791613269E-2</v>
      </c>
      <c r="C1056" s="477">
        <v>10226292.345370568</v>
      </c>
      <c r="D1056" s="458">
        <v>6.7173072872659612E-2</v>
      </c>
      <c r="E1056" s="477">
        <v>17619617.815647654</v>
      </c>
      <c r="F1056" s="458">
        <v>0.10929820664692902</v>
      </c>
      <c r="G1056" s="477">
        <v>105799075.73638733</v>
      </c>
      <c r="H1056" s="458">
        <v>0.28986774296605078</v>
      </c>
      <c r="I1056" s="468">
        <v>7.016834738776474</v>
      </c>
    </row>
    <row r="1057" spans="1:9" ht="16.5" x14ac:dyDescent="0.3">
      <c r="A1057" s="477">
        <v>3329753.5695676384</v>
      </c>
      <c r="B1057" s="458">
        <v>1.7251474175835835E-2</v>
      </c>
      <c r="C1057" s="477">
        <v>9102987.5967008956</v>
      </c>
      <c r="D1057" s="458">
        <v>7.7559609095407156E-2</v>
      </c>
      <c r="E1057" s="477">
        <v>18659621.65095038</v>
      </c>
      <c r="F1057" s="458">
        <v>0.1150168228595092</v>
      </c>
      <c r="G1057" s="477">
        <v>96869719.707291275</v>
      </c>
      <c r="H1057" s="458">
        <v>0.28534656437476902</v>
      </c>
      <c r="I1057" s="468">
        <v>10.144766757997015</v>
      </c>
    </row>
    <row r="1058" spans="1:9" ht="16.5" x14ac:dyDescent="0.3">
      <c r="A1058" s="477">
        <v>6972297.2948838174</v>
      </c>
      <c r="B1058" s="458">
        <v>5.7055269557526378E-2</v>
      </c>
      <c r="C1058" s="477">
        <v>10872780.822942281</v>
      </c>
      <c r="D1058" s="458">
        <v>4.5253542980804529E-2</v>
      </c>
      <c r="E1058" s="477">
        <v>16361807.73057658</v>
      </c>
      <c r="F1058" s="458">
        <v>0.14343983487322665</v>
      </c>
      <c r="G1058" s="477">
        <v>96558792.356934577</v>
      </c>
      <c r="H1058" s="458">
        <v>0.28039090017827983</v>
      </c>
      <c r="I1058" s="468">
        <v>8.9761146374654341</v>
      </c>
    </row>
    <row r="1059" spans="1:9" ht="16.5" x14ac:dyDescent="0.3">
      <c r="A1059" s="477">
        <v>5147859.6364263529</v>
      </c>
      <c r="B1059" s="458">
        <v>3.0225793173718429E-2</v>
      </c>
      <c r="C1059" s="477">
        <v>11852239.106077537</v>
      </c>
      <c r="D1059" s="458">
        <v>6.7881304761624683E-2</v>
      </c>
      <c r="E1059" s="477">
        <v>12270525.154254971</v>
      </c>
      <c r="F1059" s="458">
        <v>0.12038919811556781</v>
      </c>
      <c r="G1059" s="477">
        <v>90416461.367520154</v>
      </c>
      <c r="H1059" s="458">
        <v>0.26770617073269665</v>
      </c>
      <c r="I1059" s="468">
        <v>12.893530420502396</v>
      </c>
    </row>
    <row r="1060" spans="1:9" ht="16.5" x14ac:dyDescent="0.3">
      <c r="A1060" s="477">
        <v>4330224.744589719</v>
      </c>
      <c r="B1060" s="458">
        <v>4.4108446322683958E-2</v>
      </c>
      <c r="C1060" s="477">
        <v>11822563.735152576</v>
      </c>
      <c r="D1060" s="458">
        <v>7.6529938332011271E-2</v>
      </c>
      <c r="E1060" s="477">
        <v>20354248.50973355</v>
      </c>
      <c r="F1060" s="458">
        <v>0.12002876045137612</v>
      </c>
      <c r="G1060" s="477">
        <v>84293657.435854286</v>
      </c>
      <c r="H1060" s="458">
        <v>0.27981630096382171</v>
      </c>
      <c r="I1060" s="468">
        <v>9.3430160981916792</v>
      </c>
    </row>
    <row r="1061" spans="1:9" ht="16.5" x14ac:dyDescent="0.3">
      <c r="A1061" s="477">
        <v>7915252.520619411</v>
      </c>
      <c r="B1061" s="458">
        <v>4.7987831645923906E-2</v>
      </c>
      <c r="C1061" s="477">
        <v>8183795.9834220065</v>
      </c>
      <c r="D1061" s="458">
        <v>6.8574995383625215E-2</v>
      </c>
      <c r="E1061" s="477">
        <v>25888299.815627422</v>
      </c>
      <c r="F1061" s="458">
        <v>0.10431801425045384</v>
      </c>
      <c r="G1061" s="477">
        <v>85886818.724719092</v>
      </c>
      <c r="H1061" s="458">
        <v>0.2796411166029229</v>
      </c>
      <c r="I1061" s="468">
        <v>3.7312062991313955</v>
      </c>
    </row>
    <row r="1062" spans="1:9" ht="16.5" x14ac:dyDescent="0.3">
      <c r="A1062" s="477">
        <v>8497925.3278529383</v>
      </c>
      <c r="B1062" s="458">
        <v>5.390693356355114E-2</v>
      </c>
      <c r="C1062" s="477">
        <v>13100720.413566498</v>
      </c>
      <c r="D1062" s="458">
        <v>6.2442573428961978E-2</v>
      </c>
      <c r="E1062" s="477">
        <v>13394818.773446357</v>
      </c>
      <c r="F1062" s="458">
        <v>0.1275497584991101</v>
      </c>
      <c r="G1062" s="477">
        <v>92908147.532807395</v>
      </c>
      <c r="H1062" s="458">
        <v>0.2816106945470862</v>
      </c>
      <c r="I1062" s="468">
        <v>7.3213091261363532</v>
      </c>
    </row>
    <row r="1063" spans="1:9" ht="16.5" x14ac:dyDescent="0.3">
      <c r="A1063" s="477">
        <v>5328215.5592632936</v>
      </c>
      <c r="B1063" s="458">
        <v>5.4134915539103101E-2</v>
      </c>
      <c r="C1063" s="477">
        <v>15465521.874707004</v>
      </c>
      <c r="D1063" s="458">
        <v>5.7869978555692647E-2</v>
      </c>
      <c r="E1063" s="477">
        <v>12621004.437037492</v>
      </c>
      <c r="F1063" s="458">
        <v>0.13306838379068475</v>
      </c>
      <c r="G1063" s="477">
        <v>95282357.130611286</v>
      </c>
      <c r="H1063" s="458">
        <v>0.26350392024824254</v>
      </c>
      <c r="I1063" s="468">
        <v>10.774292417282968</v>
      </c>
    </row>
    <row r="1064" spans="1:9" ht="16.5" x14ac:dyDescent="0.3">
      <c r="A1064" s="477">
        <v>4499772.1715802727</v>
      </c>
      <c r="B1064" s="458">
        <v>5.44912221273679E-2</v>
      </c>
      <c r="C1064" s="477">
        <v>13018319.091804072</v>
      </c>
      <c r="D1064" s="458">
        <v>6.6299859032197705E-2</v>
      </c>
      <c r="E1064" s="477">
        <v>13024908.691284666</v>
      </c>
      <c r="F1064" s="458">
        <v>0.12417614096233565</v>
      </c>
      <c r="G1064" s="477">
        <v>108041963.98717061</v>
      </c>
      <c r="H1064" s="458">
        <v>0.28293241311512207</v>
      </c>
      <c r="I1064" s="468">
        <v>8.7590229046500667</v>
      </c>
    </row>
    <row r="1065" spans="1:9" ht="16.5" x14ac:dyDescent="0.3">
      <c r="A1065" s="477">
        <v>4041280.8880670988</v>
      </c>
      <c r="B1065" s="458">
        <v>2.0090527866326369E-2</v>
      </c>
      <c r="C1065" s="477">
        <v>13282314.97970644</v>
      </c>
      <c r="D1065" s="458">
        <v>8.0464559630082588E-2</v>
      </c>
      <c r="E1065" s="477">
        <v>7028140.2148186387</v>
      </c>
      <c r="F1065" s="458">
        <v>7.2503555832605482E-2</v>
      </c>
      <c r="G1065" s="477">
        <v>89626591.492520317</v>
      </c>
      <c r="H1065" s="458">
        <v>0.26980365444360999</v>
      </c>
      <c r="I1065" s="468">
        <v>5.4329975119805898</v>
      </c>
    </row>
    <row r="1066" spans="1:9" ht="16.5" x14ac:dyDescent="0.3">
      <c r="A1066" s="477">
        <v>6036229.1475653909</v>
      </c>
      <c r="B1066" s="458">
        <v>3.7544970967961611E-2</v>
      </c>
      <c r="C1066" s="477">
        <v>7886636.012852692</v>
      </c>
      <c r="D1066" s="458">
        <v>7.7715408275924824E-2</v>
      </c>
      <c r="E1066" s="477">
        <v>13017540.739513354</v>
      </c>
      <c r="F1066" s="458">
        <v>9.6473282595458176E-2</v>
      </c>
      <c r="G1066" s="477">
        <v>94315954.607421532</v>
      </c>
      <c r="H1066" s="458">
        <v>0.25741249427944757</v>
      </c>
      <c r="I1066" s="468">
        <v>9.8170108615676615</v>
      </c>
    </row>
    <row r="1067" spans="1:9" ht="16.5" x14ac:dyDescent="0.3">
      <c r="A1067" s="477">
        <v>349614.14135454345</v>
      </c>
      <c r="B1067" s="458">
        <v>4.364365376146484E-2</v>
      </c>
      <c r="C1067" s="477">
        <v>5427735.159252001</v>
      </c>
      <c r="D1067" s="458">
        <v>4.1382513280270983E-2</v>
      </c>
      <c r="E1067" s="477">
        <v>14280575.320340231</v>
      </c>
      <c r="F1067" s="458">
        <v>0.10434117642991136</v>
      </c>
      <c r="G1067" s="477">
        <v>103305456.64173734</v>
      </c>
      <c r="H1067" s="458">
        <v>0.2942419124956881</v>
      </c>
      <c r="I1067" s="468">
        <v>9.8728826475116112</v>
      </c>
    </row>
    <row r="1068" spans="1:9" ht="16.5" x14ac:dyDescent="0.3">
      <c r="A1068" s="477">
        <v>9425654.2938560043</v>
      </c>
      <c r="B1068" s="458">
        <v>4.0275941877986332E-2</v>
      </c>
      <c r="C1068" s="477">
        <v>10828110.654262796</v>
      </c>
      <c r="D1068" s="458">
        <v>5.7316371784961184E-2</v>
      </c>
      <c r="E1068" s="477">
        <v>15812884.452123018</v>
      </c>
      <c r="F1068" s="458">
        <v>0.11141090804047282</v>
      </c>
      <c r="G1068" s="477">
        <v>90762666.420866355</v>
      </c>
      <c r="H1068" s="458">
        <v>0.26579302790060799</v>
      </c>
      <c r="I1068" s="468">
        <v>12.74422666760017</v>
      </c>
    </row>
    <row r="1069" spans="1:9" ht="16.5" x14ac:dyDescent="0.3">
      <c r="A1069" s="477">
        <v>6894533.8386383578</v>
      </c>
      <c r="B1069" s="458">
        <v>4.8348170396792955E-2</v>
      </c>
      <c r="C1069" s="477">
        <v>8711327.3372111227</v>
      </c>
      <c r="D1069" s="458">
        <v>8.3961778170930534E-2</v>
      </c>
      <c r="E1069" s="477">
        <v>12730012.057809565</v>
      </c>
      <c r="F1069" s="458">
        <v>0.10997766814593812</v>
      </c>
      <c r="G1069" s="477">
        <v>97697914.425706968</v>
      </c>
      <c r="H1069" s="458">
        <v>0.27118464692305655</v>
      </c>
      <c r="I1069" s="468">
        <v>7.4591488794202725</v>
      </c>
    </row>
    <row r="1070" spans="1:9" ht="16.5" x14ac:dyDescent="0.3">
      <c r="A1070" s="477">
        <v>8110021.3727439996</v>
      </c>
      <c r="B1070" s="458">
        <v>6.6540318598614867E-2</v>
      </c>
      <c r="C1070" s="477">
        <v>9406456.216700526</v>
      </c>
      <c r="D1070" s="458">
        <v>6.1533618132255885E-2</v>
      </c>
      <c r="E1070" s="477">
        <v>17419236.485919748</v>
      </c>
      <c r="F1070" s="458">
        <v>9.3491314188716812E-2</v>
      </c>
      <c r="G1070" s="477">
        <v>88364678.923159838</v>
      </c>
      <c r="H1070" s="458">
        <v>0.27430578212875956</v>
      </c>
      <c r="I1070" s="468">
        <v>5.3320038278047992</v>
      </c>
    </row>
    <row r="1071" spans="1:9" ht="16.5" x14ac:dyDescent="0.3">
      <c r="A1071" s="477">
        <v>2432999.1185681112</v>
      </c>
      <c r="B1071" s="458">
        <v>2.8018986302700499E-2</v>
      </c>
      <c r="C1071" s="477">
        <v>7453809.9121252457</v>
      </c>
      <c r="D1071" s="458">
        <v>5.5863458775895491E-2</v>
      </c>
      <c r="E1071" s="477">
        <v>13872250.085096553</v>
      </c>
      <c r="F1071" s="458">
        <v>0.11001674257592442</v>
      </c>
      <c r="G1071" s="477">
        <v>99519325.31487155</v>
      </c>
      <c r="H1071" s="458">
        <v>0.2618387901914272</v>
      </c>
      <c r="I1071" s="468">
        <v>10.487696539373003</v>
      </c>
    </row>
    <row r="1072" spans="1:9" ht="16.5" x14ac:dyDescent="0.3">
      <c r="A1072" s="477">
        <v>6101126.6546439314</v>
      </c>
      <c r="B1072" s="458">
        <v>5.0425243512850493E-2</v>
      </c>
      <c r="C1072" s="477">
        <v>7084169.1437447332</v>
      </c>
      <c r="D1072" s="458">
        <v>8.5699937616932287E-2</v>
      </c>
      <c r="E1072" s="477">
        <v>16916076.652121238</v>
      </c>
      <c r="F1072" s="458">
        <v>7.6480494184775871E-2</v>
      </c>
      <c r="G1072" s="477">
        <v>76911902.193371877</v>
      </c>
      <c r="H1072" s="458">
        <v>0.26287496905627683</v>
      </c>
      <c r="I1072" s="468">
        <v>3.0466145646782605</v>
      </c>
    </row>
    <row r="1073" spans="1:9" ht="16.5" x14ac:dyDescent="0.3">
      <c r="A1073" s="477">
        <v>830690.6354669932</v>
      </c>
      <c r="B1073" s="458">
        <v>7.0037527588735715E-2</v>
      </c>
      <c r="C1073" s="477">
        <v>7092644.9451798704</v>
      </c>
      <c r="D1073" s="458">
        <v>6.8001046725950198E-2</v>
      </c>
      <c r="E1073" s="477">
        <v>13465362.606686739</v>
      </c>
      <c r="F1073" s="458">
        <v>0.10124524303084481</v>
      </c>
      <c r="G1073" s="477">
        <v>93617112.517153949</v>
      </c>
      <c r="H1073" s="458">
        <v>0.25472053892012148</v>
      </c>
      <c r="I1073" s="468">
        <v>5.8492013266890943</v>
      </c>
    </row>
    <row r="1074" spans="1:9" ht="16.5" x14ac:dyDescent="0.3">
      <c r="A1074" s="477">
        <v>8281500.5179920355</v>
      </c>
      <c r="B1074" s="458">
        <v>3.4682886589708195E-2</v>
      </c>
      <c r="C1074" s="477">
        <v>9594791.629383212</v>
      </c>
      <c r="D1074" s="458">
        <v>9.0452903116585714E-2</v>
      </c>
      <c r="E1074" s="477">
        <v>18576746.670829207</v>
      </c>
      <c r="F1074" s="458">
        <v>9.1337963226569618E-2</v>
      </c>
      <c r="G1074" s="477">
        <v>99409909.317360356</v>
      </c>
      <c r="H1074" s="458">
        <v>0.26521190841206299</v>
      </c>
      <c r="I1074" s="468">
        <v>3.248584769971437</v>
      </c>
    </row>
    <row r="1075" spans="1:9" ht="16.5" x14ac:dyDescent="0.3">
      <c r="A1075" s="477">
        <v>775676.20920774841</v>
      </c>
      <c r="B1075" s="458">
        <v>6.2496556007945347E-2</v>
      </c>
      <c r="C1075" s="477">
        <v>10362545.251946939</v>
      </c>
      <c r="D1075" s="458">
        <v>7.8430000882359963E-2</v>
      </c>
      <c r="E1075" s="477">
        <v>20150774.040761054</v>
      </c>
      <c r="F1075" s="458">
        <v>0.10303455584348309</v>
      </c>
      <c r="G1075" s="477">
        <v>103480367.90642303</v>
      </c>
      <c r="H1075" s="458">
        <v>0.27108054617499322</v>
      </c>
      <c r="I1075" s="468">
        <v>8.9472336019692076</v>
      </c>
    </row>
    <row r="1076" spans="1:9" ht="16.5" x14ac:dyDescent="0.3">
      <c r="A1076" s="477">
        <v>5789325.9333491595</v>
      </c>
      <c r="B1076" s="458">
        <v>5.8636169748253586E-2</v>
      </c>
      <c r="C1076" s="477">
        <v>6427086.115061448</v>
      </c>
      <c r="D1076" s="458">
        <v>7.1871535461570435E-2</v>
      </c>
      <c r="E1076" s="477">
        <v>15497770.605430605</v>
      </c>
      <c r="F1076" s="458">
        <v>0.1057946123785376</v>
      </c>
      <c r="G1076" s="477">
        <v>86373978.631061375</v>
      </c>
      <c r="H1076" s="458">
        <v>0.26194171715869952</v>
      </c>
      <c r="I1076" s="468">
        <v>2.4531818201743585</v>
      </c>
    </row>
    <row r="1077" spans="1:9" ht="16.5" x14ac:dyDescent="0.3">
      <c r="A1077" s="477">
        <v>3809872.8922750847</v>
      </c>
      <c r="B1077" s="458">
        <v>2.9766567976185376E-2</v>
      </c>
      <c r="C1077" s="477">
        <v>6797785.6429043515</v>
      </c>
      <c r="D1077" s="458">
        <v>6.5009862036336186E-2</v>
      </c>
      <c r="E1077" s="477">
        <v>21160092.356845312</v>
      </c>
      <c r="F1077" s="458">
        <v>0.10126397084812244</v>
      </c>
      <c r="G1077" s="477">
        <v>98065565.639328465</v>
      </c>
      <c r="H1077" s="458">
        <v>0.27706661584834724</v>
      </c>
      <c r="I1077" s="468">
        <v>7.7825434299866361</v>
      </c>
    </row>
    <row r="1078" spans="1:9" ht="16.5" x14ac:dyDescent="0.3">
      <c r="A1078" s="477">
        <v>5899270.0197435645</v>
      </c>
      <c r="B1078" s="458">
        <v>3.2554364748183184E-2</v>
      </c>
      <c r="C1078" s="477">
        <v>8440614.4801835939</v>
      </c>
      <c r="D1078" s="458">
        <v>7.4469828384603698E-2</v>
      </c>
      <c r="E1078" s="477">
        <v>13493966.376268223</v>
      </c>
      <c r="F1078" s="458">
        <v>0.10976512681063832</v>
      </c>
      <c r="G1078" s="477">
        <v>88460060.715743989</v>
      </c>
      <c r="H1078" s="458">
        <v>0.27998758131139012</v>
      </c>
      <c r="I1078" s="468">
        <v>-2.0903251154869782</v>
      </c>
    </row>
    <row r="1079" spans="1:9" ht="16.5" x14ac:dyDescent="0.3">
      <c r="A1079" s="477">
        <v>7429623.4840319641</v>
      </c>
      <c r="B1079" s="458">
        <v>5.223906305298498E-2</v>
      </c>
      <c r="C1079" s="477">
        <v>12621393.592722379</v>
      </c>
      <c r="D1079" s="458">
        <v>7.0252333986622784E-2</v>
      </c>
      <c r="E1079" s="477">
        <v>12509897.512166757</v>
      </c>
      <c r="F1079" s="458">
        <v>0.12168024373742825</v>
      </c>
      <c r="G1079" s="477">
        <v>86162694.03693682</v>
      </c>
      <c r="H1079" s="458">
        <v>0.28710023691777864</v>
      </c>
      <c r="I1079" s="468">
        <v>5.8301197354548986</v>
      </c>
    </row>
    <row r="1080" spans="1:9" ht="16.5" x14ac:dyDescent="0.3">
      <c r="A1080" s="477">
        <v>10073840.436019901</v>
      </c>
      <c r="B1080" s="458">
        <v>4.2917909249135189E-2</v>
      </c>
      <c r="C1080" s="477">
        <v>10261746.812577287</v>
      </c>
      <c r="D1080" s="458">
        <v>4.1055088873731105E-2</v>
      </c>
      <c r="E1080" s="477">
        <v>14267727.166356968</v>
      </c>
      <c r="F1080" s="458">
        <v>0.12403649750696943</v>
      </c>
      <c r="G1080" s="477">
        <v>79153007.438554183</v>
      </c>
      <c r="H1080" s="458">
        <v>0.24222421679207007</v>
      </c>
      <c r="I1080" s="468">
        <v>9.9746229565909452</v>
      </c>
    </row>
    <row r="1081" spans="1:9" ht="16.5" x14ac:dyDescent="0.3">
      <c r="A1081" s="477">
        <v>7817592.6269018305</v>
      </c>
      <c r="B1081" s="458">
        <v>4.7829737000079309E-2</v>
      </c>
      <c r="C1081" s="477">
        <v>10977616.999526951</v>
      </c>
      <c r="D1081" s="458">
        <v>8.0335434501811909E-2</v>
      </c>
      <c r="E1081" s="477">
        <v>19397029.88383244</v>
      </c>
      <c r="F1081" s="458">
        <v>0.11226677205292646</v>
      </c>
      <c r="G1081" s="477">
        <v>91713579.590573028</v>
      </c>
      <c r="H1081" s="458">
        <v>0.24836541041661531</v>
      </c>
      <c r="I1081" s="468">
        <v>8.1968893964002216</v>
      </c>
    </row>
    <row r="1082" spans="1:9" ht="16.5" x14ac:dyDescent="0.3">
      <c r="A1082" s="477">
        <v>5880338.7136280397</v>
      </c>
      <c r="B1082" s="458">
        <v>3.2800844013123776E-2</v>
      </c>
      <c r="C1082" s="477">
        <v>4870045.4770379486</v>
      </c>
      <c r="D1082" s="458">
        <v>5.5382720787027662E-2</v>
      </c>
      <c r="E1082" s="477">
        <v>10935469.377290295</v>
      </c>
      <c r="F1082" s="458">
        <v>0.10786451391987506</v>
      </c>
      <c r="G1082" s="477">
        <v>91919622.730241716</v>
      </c>
      <c r="H1082" s="458">
        <v>0.27217973258489203</v>
      </c>
      <c r="I1082" s="468">
        <v>10.586132901604881</v>
      </c>
    </row>
    <row r="1083" spans="1:9" ht="16.5" x14ac:dyDescent="0.3">
      <c r="A1083" s="477">
        <v>4838632.0127444603</v>
      </c>
      <c r="B1083" s="458">
        <v>3.9565607302831207E-2</v>
      </c>
      <c r="C1083" s="477">
        <v>11014583.894182196</v>
      </c>
      <c r="D1083" s="458">
        <v>7.5442684719169151E-2</v>
      </c>
      <c r="E1083" s="477">
        <v>15528293.272510627</v>
      </c>
      <c r="F1083" s="458">
        <v>9.5359559095562929E-2</v>
      </c>
      <c r="G1083" s="477">
        <v>93123718.025033996</v>
      </c>
      <c r="H1083" s="458">
        <v>0.26235541874597201</v>
      </c>
      <c r="I1083" s="468">
        <v>7.3032863831690538</v>
      </c>
    </row>
    <row r="1084" spans="1:9" ht="16.5" x14ac:dyDescent="0.3">
      <c r="A1084" s="477">
        <v>11002044.504137695</v>
      </c>
      <c r="B1084" s="458">
        <v>5.300462315029475E-2</v>
      </c>
      <c r="C1084" s="477">
        <v>16993139.688216373</v>
      </c>
      <c r="D1084" s="458">
        <v>6.7903607585710901E-2</v>
      </c>
      <c r="E1084" s="477">
        <v>13442569.20167122</v>
      </c>
      <c r="F1084" s="458">
        <v>0.10640155030185028</v>
      </c>
      <c r="G1084" s="477">
        <v>100906180.93066818</v>
      </c>
      <c r="H1084" s="458">
        <v>0.28184213514789103</v>
      </c>
      <c r="I1084" s="468">
        <v>17.025559174188949</v>
      </c>
    </row>
    <row r="1085" spans="1:9" ht="16.5" x14ac:dyDescent="0.3">
      <c r="A1085" s="477">
        <v>7594474.0126967886</v>
      </c>
      <c r="B1085" s="458">
        <v>2.7024295549800126E-2</v>
      </c>
      <c r="C1085" s="477">
        <v>5324377.5706486804</v>
      </c>
      <c r="D1085" s="458">
        <v>8.033268640235125E-2</v>
      </c>
      <c r="E1085" s="477">
        <v>21958317.449294798</v>
      </c>
      <c r="F1085" s="458">
        <v>0.10205671139379224</v>
      </c>
      <c r="G1085" s="477">
        <v>88904524.6299977</v>
      </c>
      <c r="H1085" s="458">
        <v>0.26909180935753518</v>
      </c>
      <c r="I1085" s="468">
        <v>5.0665737111727136</v>
      </c>
    </row>
    <row r="1086" spans="1:9" ht="16.5" x14ac:dyDescent="0.3">
      <c r="A1086" s="477">
        <v>2685757.2953745467</v>
      </c>
      <c r="B1086" s="458">
        <v>3.4946130610437498E-2</v>
      </c>
      <c r="C1086" s="477">
        <v>10310099.888936209</v>
      </c>
      <c r="D1086" s="458">
        <v>6.3159368434141827E-2</v>
      </c>
      <c r="E1086" s="477">
        <v>11181119.640188565</v>
      </c>
      <c r="F1086" s="458">
        <v>9.5260742359862594E-2</v>
      </c>
      <c r="G1086" s="477">
        <v>57430073.345717922</v>
      </c>
      <c r="H1086" s="458">
        <v>0.27961179499487177</v>
      </c>
      <c r="I1086" s="468">
        <v>5.4992362672782473</v>
      </c>
    </row>
    <row r="1087" spans="1:9" ht="16.5" x14ac:dyDescent="0.3">
      <c r="A1087" s="477">
        <v>6880887.9661728004</v>
      </c>
      <c r="B1087" s="458">
        <v>4.7015197356166993E-2</v>
      </c>
      <c r="C1087" s="477">
        <v>5481688.5187551426</v>
      </c>
      <c r="D1087" s="458">
        <v>3.0022365415579788E-2</v>
      </c>
      <c r="E1087" s="477">
        <v>16315865.591193877</v>
      </c>
      <c r="F1087" s="458">
        <v>7.5684762783588599E-2</v>
      </c>
      <c r="G1087" s="477">
        <v>82268656.658633634</v>
      </c>
      <c r="H1087" s="458">
        <v>0.26749459694386979</v>
      </c>
      <c r="I1087" s="468">
        <v>3.103276805747651</v>
      </c>
    </row>
    <row r="1088" spans="1:9" ht="16.5" x14ac:dyDescent="0.3">
      <c r="A1088" s="477">
        <v>6606169.4241651967</v>
      </c>
      <c r="B1088" s="458">
        <v>3.5842972376663118E-2</v>
      </c>
      <c r="C1088" s="477">
        <v>1284754.5432793957</v>
      </c>
      <c r="D1088" s="458">
        <v>6.967652762382559E-2</v>
      </c>
      <c r="E1088" s="477">
        <v>12583434.466023423</v>
      </c>
      <c r="F1088" s="458">
        <v>9.8372126507742186E-2</v>
      </c>
      <c r="G1088" s="477">
        <v>94632174.402225852</v>
      </c>
      <c r="H1088" s="458">
        <v>0.30388905960304191</v>
      </c>
      <c r="I1088" s="468">
        <v>10.986584061224988</v>
      </c>
    </row>
    <row r="1089" spans="1:9" ht="16.5" x14ac:dyDescent="0.3">
      <c r="A1089" s="477">
        <v>-221118.53685660727</v>
      </c>
      <c r="B1089" s="458">
        <v>4.193216990906401E-2</v>
      </c>
      <c r="C1089" s="477">
        <v>8228410.7473091921</v>
      </c>
      <c r="D1089" s="458">
        <v>4.5327156750907927E-2</v>
      </c>
      <c r="E1089" s="477">
        <v>14005745.563063946</v>
      </c>
      <c r="F1089" s="458">
        <v>0.11451263446542925</v>
      </c>
      <c r="G1089" s="477">
        <v>108881274.18542036</v>
      </c>
      <c r="H1089" s="458">
        <v>0.26564898168957241</v>
      </c>
      <c r="I1089" s="468">
        <v>5.9279736450163227</v>
      </c>
    </row>
    <row r="1090" spans="1:9" ht="16.5" x14ac:dyDescent="0.3">
      <c r="A1090" s="477">
        <v>2116997.3661091225</v>
      </c>
      <c r="B1090" s="458">
        <v>3.3599829794374925E-2</v>
      </c>
      <c r="C1090" s="477">
        <v>15916474.658521937</v>
      </c>
      <c r="D1090" s="458">
        <v>7.0696087410657027E-2</v>
      </c>
      <c r="E1090" s="477">
        <v>14883428.848249726</v>
      </c>
      <c r="F1090" s="458">
        <v>0.10931867049764077</v>
      </c>
      <c r="G1090" s="477">
        <v>81886871.926699519</v>
      </c>
      <c r="H1090" s="458">
        <v>0.26988637854249342</v>
      </c>
      <c r="I1090" s="468">
        <v>2.1548849101909884</v>
      </c>
    </row>
    <row r="1091" spans="1:9" ht="16.5" x14ac:dyDescent="0.3">
      <c r="A1091" s="477">
        <v>4719667.489452038</v>
      </c>
      <c r="B1091" s="458">
        <v>4.5255028941422415E-2</v>
      </c>
      <c r="C1091" s="477">
        <v>10044928.01944528</v>
      </c>
      <c r="D1091" s="458">
        <v>8.882321267496307E-2</v>
      </c>
      <c r="E1091" s="477">
        <v>19456116.764874641</v>
      </c>
      <c r="F1091" s="458">
        <v>0.11295730120242831</v>
      </c>
      <c r="G1091" s="477">
        <v>87856487.567806944</v>
      </c>
      <c r="H1091" s="458">
        <v>0.27890970168820584</v>
      </c>
      <c r="I1091" s="468">
        <v>11.800599631290654</v>
      </c>
    </row>
    <row r="1092" spans="1:9" ht="16.5" x14ac:dyDescent="0.3">
      <c r="A1092" s="477">
        <v>-589466.70001660357</v>
      </c>
      <c r="B1092" s="458">
        <v>5.4858518766909059E-2</v>
      </c>
      <c r="C1092" s="477">
        <v>10290370.486651337</v>
      </c>
      <c r="D1092" s="458">
        <v>3.8950183928506021E-2</v>
      </c>
      <c r="E1092" s="477">
        <v>21536523.594179004</v>
      </c>
      <c r="F1092" s="458">
        <v>0.11496145740842278</v>
      </c>
      <c r="G1092" s="477">
        <v>81788452.686079681</v>
      </c>
      <c r="H1092" s="458">
        <v>0.26845601430321819</v>
      </c>
      <c r="I1092" s="468">
        <v>0.69483140603709703</v>
      </c>
    </row>
    <row r="1093" spans="1:9" ht="16.5" x14ac:dyDescent="0.3">
      <c r="A1093" s="477">
        <v>6997275.0473247133</v>
      </c>
      <c r="B1093" s="458">
        <v>4.9326870988364746E-2</v>
      </c>
      <c r="C1093" s="477">
        <v>14445206.556479286</v>
      </c>
      <c r="D1093" s="458">
        <v>8.6239006929815787E-2</v>
      </c>
      <c r="E1093" s="477">
        <v>12464249.264527237</v>
      </c>
      <c r="F1093" s="458">
        <v>0.11193273201383724</v>
      </c>
      <c r="G1093" s="477">
        <v>81154577.170620546</v>
      </c>
      <c r="H1093" s="458">
        <v>0.27571987095433581</v>
      </c>
      <c r="I1093" s="468">
        <v>7.5018891162854686</v>
      </c>
    </row>
    <row r="1094" spans="1:9" ht="16.5" x14ac:dyDescent="0.3">
      <c r="A1094" s="477">
        <v>2531138.9760196372</v>
      </c>
      <c r="B1094" s="458">
        <v>3.9566571559425556E-2</v>
      </c>
      <c r="C1094" s="477">
        <v>10812963.285646793</v>
      </c>
      <c r="D1094" s="458">
        <v>8.3079559630564015E-2</v>
      </c>
      <c r="E1094" s="477">
        <v>15207330.95035886</v>
      </c>
      <c r="F1094" s="458">
        <v>0.11797927823586996</v>
      </c>
      <c r="G1094" s="477">
        <v>95396357.582201794</v>
      </c>
      <c r="H1094" s="458">
        <v>0.28140037437194487</v>
      </c>
      <c r="I1094" s="468">
        <v>8.7354766351215805</v>
      </c>
    </row>
    <row r="1095" spans="1:9" ht="16.5" x14ac:dyDescent="0.3">
      <c r="A1095" s="477">
        <v>12309229.622181779</v>
      </c>
      <c r="B1095" s="458">
        <v>4.69616622666571E-2</v>
      </c>
      <c r="C1095" s="477">
        <v>17178901.855736211</v>
      </c>
      <c r="D1095" s="458">
        <v>7.4251656777035491E-2</v>
      </c>
      <c r="E1095" s="477">
        <v>13106476.719171811</v>
      </c>
      <c r="F1095" s="458">
        <v>0.12676270444980697</v>
      </c>
      <c r="G1095" s="477">
        <v>95972137.968703285</v>
      </c>
      <c r="H1095" s="458">
        <v>0.26560294631800319</v>
      </c>
      <c r="I1095" s="468">
        <v>9.6377825944212852</v>
      </c>
    </row>
    <row r="1096" spans="1:9" ht="16.5" x14ac:dyDescent="0.3">
      <c r="A1096" s="477">
        <v>3313775.8582391823</v>
      </c>
      <c r="B1096" s="458">
        <v>5.4328838172356564E-2</v>
      </c>
      <c r="C1096" s="477">
        <v>6282702.8754898906</v>
      </c>
      <c r="D1096" s="458">
        <v>7.8910674985718909E-2</v>
      </c>
      <c r="E1096" s="477">
        <v>17869577.921147384</v>
      </c>
      <c r="F1096" s="458">
        <v>7.7019097078669274E-2</v>
      </c>
      <c r="G1096" s="477">
        <v>99468661.963983446</v>
      </c>
      <c r="H1096" s="458">
        <v>0.26141256559122406</v>
      </c>
      <c r="I1096" s="468">
        <v>2.7021620347358057</v>
      </c>
    </row>
    <row r="1097" spans="1:9" ht="16.5" x14ac:dyDescent="0.3">
      <c r="A1097" s="477">
        <v>1205586.4154116255</v>
      </c>
      <c r="B1097" s="458">
        <v>3.098980012337571E-2</v>
      </c>
      <c r="C1097" s="477">
        <v>10050832.220071299</v>
      </c>
      <c r="D1097" s="458">
        <v>8.210569302079529E-2</v>
      </c>
      <c r="E1097" s="477">
        <v>7983417.934566577</v>
      </c>
      <c r="F1097" s="458">
        <v>0.10989605961669247</v>
      </c>
      <c r="G1097" s="477">
        <v>85181695.026484102</v>
      </c>
      <c r="H1097" s="458">
        <v>0.27288363734587762</v>
      </c>
      <c r="I1097" s="468">
        <v>3.1019181322208524</v>
      </c>
    </row>
    <row r="1098" spans="1:9" ht="16.5" x14ac:dyDescent="0.3">
      <c r="A1098" s="477">
        <v>6679463.2989056036</v>
      </c>
      <c r="B1098" s="458">
        <v>2.9815555236462954E-2</v>
      </c>
      <c r="C1098" s="477">
        <v>7254262.3061075853</v>
      </c>
      <c r="D1098" s="458">
        <v>4.9793571007166637E-2</v>
      </c>
      <c r="E1098" s="477">
        <v>23958423.568040233</v>
      </c>
      <c r="F1098" s="458">
        <v>9.4014472722700138E-2</v>
      </c>
      <c r="G1098" s="477">
        <v>96293231.814777762</v>
      </c>
      <c r="H1098" s="458">
        <v>0.29838497023432642</v>
      </c>
      <c r="I1098" s="468">
        <v>12.247935164009604</v>
      </c>
    </row>
    <row r="1099" spans="1:9" ht="16.5" x14ac:dyDescent="0.3">
      <c r="A1099" s="477">
        <v>8304019.7505147541</v>
      </c>
      <c r="B1099" s="458">
        <v>4.3015191915029893E-2</v>
      </c>
      <c r="C1099" s="477">
        <v>1802975.6310892676</v>
      </c>
      <c r="D1099" s="458">
        <v>6.8855057241536954E-2</v>
      </c>
      <c r="E1099" s="477">
        <v>10799864.218536057</v>
      </c>
      <c r="F1099" s="458">
        <v>0.10905030626160128</v>
      </c>
      <c r="G1099" s="477">
        <v>97263004.463500515</v>
      </c>
      <c r="H1099" s="458">
        <v>0.24458700979584069</v>
      </c>
      <c r="I1099" s="468">
        <v>10.516741197553904</v>
      </c>
    </row>
    <row r="1100" spans="1:9" ht="16.5" x14ac:dyDescent="0.3">
      <c r="A1100" s="477">
        <v>3720846.8388493652</v>
      </c>
      <c r="B1100" s="458">
        <v>5.4789780783667696E-2</v>
      </c>
      <c r="C1100" s="477">
        <v>12458833.480886146</v>
      </c>
      <c r="D1100" s="458">
        <v>8.2618414823409925E-2</v>
      </c>
      <c r="E1100" s="477">
        <v>20080633.796348743</v>
      </c>
      <c r="F1100" s="458">
        <v>9.6380471672243395E-2</v>
      </c>
      <c r="G1100" s="477">
        <v>104420765.67272851</v>
      </c>
      <c r="H1100" s="458">
        <v>0.2805905014371215</v>
      </c>
      <c r="I1100" s="468">
        <v>9.1659359418711457</v>
      </c>
    </row>
    <row r="1101" spans="1:9" ht="16.5" x14ac:dyDescent="0.3">
      <c r="A1101" s="477">
        <v>8204855.2193630002</v>
      </c>
      <c r="B1101" s="458">
        <v>3.9339764971305202E-2</v>
      </c>
      <c r="C1101" s="477">
        <v>6984530.639228859</v>
      </c>
      <c r="D1101" s="458">
        <v>5.751104889575287E-2</v>
      </c>
      <c r="E1101" s="477">
        <v>10534168.088319173</v>
      </c>
      <c r="F1101" s="458">
        <v>0.12581325479791694</v>
      </c>
      <c r="G1101" s="477">
        <v>79888249.216055691</v>
      </c>
      <c r="H1101" s="458">
        <v>0.28064452654914018</v>
      </c>
      <c r="I1101" s="468">
        <v>13.155383941434211</v>
      </c>
    </row>
    <row r="1102" spans="1:9" ht="16.5" x14ac:dyDescent="0.3">
      <c r="A1102" s="477">
        <v>4894896.5046564033</v>
      </c>
      <c r="B1102" s="458">
        <v>4.6262550612708564E-2</v>
      </c>
      <c r="C1102" s="477">
        <v>6342172.9182057753</v>
      </c>
      <c r="D1102" s="458">
        <v>7.07130387811159E-2</v>
      </c>
      <c r="E1102" s="477">
        <v>11967483.474419853</v>
      </c>
      <c r="F1102" s="458">
        <v>8.2528564450734088E-2</v>
      </c>
      <c r="G1102" s="477">
        <v>94938591.787407756</v>
      </c>
      <c r="H1102" s="458">
        <v>0.27057443465706066</v>
      </c>
      <c r="I1102" s="468">
        <v>5.6244535385393171</v>
      </c>
    </row>
    <row r="1103" spans="1:9" ht="16.5" x14ac:dyDescent="0.3">
      <c r="A1103" s="477">
        <v>7726463.8073014366</v>
      </c>
      <c r="B1103" s="458">
        <v>4.1691650157383631E-2</v>
      </c>
      <c r="C1103" s="477">
        <v>2375328.3836982423</v>
      </c>
      <c r="D1103" s="458">
        <v>4.7356717963468187E-2</v>
      </c>
      <c r="E1103" s="477">
        <v>17863338.020967908</v>
      </c>
      <c r="F1103" s="458">
        <v>0.11850882526331508</v>
      </c>
      <c r="G1103" s="477">
        <v>97845869.133578137</v>
      </c>
      <c r="H1103" s="458">
        <v>0.29413852522490469</v>
      </c>
      <c r="I1103" s="468">
        <v>13.029534850228185</v>
      </c>
    </row>
    <row r="1104" spans="1:9" ht="16.5" x14ac:dyDescent="0.3">
      <c r="A1104" s="477">
        <v>3194135.9511808427</v>
      </c>
      <c r="B1104" s="458">
        <v>4.6210604603575955E-2</v>
      </c>
      <c r="C1104" s="477">
        <v>9448066.5648595132</v>
      </c>
      <c r="D1104" s="458">
        <v>4.3351480778102358E-2</v>
      </c>
      <c r="E1104" s="477">
        <v>16066967.741421634</v>
      </c>
      <c r="F1104" s="458">
        <v>0.11081884268370468</v>
      </c>
      <c r="G1104" s="477">
        <v>89900149.100382015</v>
      </c>
      <c r="H1104" s="458">
        <v>0.25470737644894226</v>
      </c>
      <c r="I1104" s="468">
        <v>9.540351370766647</v>
      </c>
    </row>
    <row r="1105" spans="1:9" ht="16.5" x14ac:dyDescent="0.3">
      <c r="A1105" s="477">
        <v>9082732.2376748845</v>
      </c>
      <c r="B1105" s="458">
        <v>2.6144562679530026E-2</v>
      </c>
      <c r="C1105" s="477">
        <v>11972188.368457332</v>
      </c>
      <c r="D1105" s="458">
        <v>7.0478535568658796E-2</v>
      </c>
      <c r="E1105" s="477">
        <v>11105278.430681234</v>
      </c>
      <c r="F1105" s="458">
        <v>8.9506744829104701E-2</v>
      </c>
      <c r="G1105" s="477">
        <v>95591201.232790112</v>
      </c>
      <c r="H1105" s="458">
        <v>0.27466365276064786</v>
      </c>
      <c r="I1105" s="468">
        <v>5.7949539152300087</v>
      </c>
    </row>
    <row r="1106" spans="1:9" ht="16.5" x14ac:dyDescent="0.3">
      <c r="A1106" s="477">
        <v>5404776.6445710743</v>
      </c>
      <c r="B1106" s="458">
        <v>5.537649496703323E-2</v>
      </c>
      <c r="C1106" s="477">
        <v>12241140.493349943</v>
      </c>
      <c r="D1106" s="458">
        <v>6.656279565378842E-2</v>
      </c>
      <c r="E1106" s="477">
        <v>24062153.805879459</v>
      </c>
      <c r="F1106" s="458">
        <v>0.11911091605829593</v>
      </c>
      <c r="G1106" s="477">
        <v>90920002.900160968</v>
      </c>
      <c r="H1106" s="458">
        <v>0.28746556770422771</v>
      </c>
      <c r="I1106" s="468">
        <v>20.478161094073709</v>
      </c>
    </row>
    <row r="1107" spans="1:9" ht="16.5" x14ac:dyDescent="0.3">
      <c r="A1107" s="477">
        <v>8269360.947974667</v>
      </c>
      <c r="B1107" s="458">
        <v>3.1416448777922712E-2</v>
      </c>
      <c r="C1107" s="477">
        <v>10692650.660393594</v>
      </c>
      <c r="D1107" s="458">
        <v>6.9644099449656105E-2</v>
      </c>
      <c r="E1107" s="477">
        <v>7758258.8731964724</v>
      </c>
      <c r="F1107" s="458">
        <v>0.12971456076066779</v>
      </c>
      <c r="G1107" s="477">
        <v>97077840.161984533</v>
      </c>
      <c r="H1107" s="458">
        <v>0.27612994009666991</v>
      </c>
      <c r="I1107" s="468">
        <v>10.583137057565455</v>
      </c>
    </row>
    <row r="1108" spans="1:9" ht="16.5" x14ac:dyDescent="0.3">
      <c r="A1108" s="477">
        <v>6073042.5413419921</v>
      </c>
      <c r="B1108" s="458">
        <v>3.2867016164453311E-2</v>
      </c>
      <c r="C1108" s="477">
        <v>10229221.037398752</v>
      </c>
      <c r="D1108" s="458">
        <v>5.4714460171345847E-2</v>
      </c>
      <c r="E1108" s="477">
        <v>16577098.132284209</v>
      </c>
      <c r="F1108" s="458">
        <v>0.14091204730511464</v>
      </c>
      <c r="G1108" s="477">
        <v>89876511.669112504</v>
      </c>
      <c r="H1108" s="458">
        <v>0.26894583938645389</v>
      </c>
      <c r="I1108" s="468">
        <v>8.2213196503438564</v>
      </c>
    </row>
    <row r="1109" spans="1:9" ht="16.5" x14ac:dyDescent="0.3">
      <c r="A1109" s="477">
        <v>3039714.8156259274</v>
      </c>
      <c r="B1109" s="458">
        <v>4.2973425951513544E-2</v>
      </c>
      <c r="C1109" s="477">
        <v>12460277.373321619</v>
      </c>
      <c r="D1109" s="458">
        <v>0.10395767720997973</v>
      </c>
      <c r="E1109" s="477">
        <v>7587533.1574927261</v>
      </c>
      <c r="F1109" s="458">
        <v>9.6174075939643E-2</v>
      </c>
      <c r="G1109" s="477">
        <v>79308132.180462942</v>
      </c>
      <c r="H1109" s="458">
        <v>0.28206205722603306</v>
      </c>
      <c r="I1109" s="468">
        <v>12.389534807595533</v>
      </c>
    </row>
    <row r="1110" spans="1:9" ht="16.5" x14ac:dyDescent="0.3">
      <c r="A1110" s="477">
        <v>8039539.3283335501</v>
      </c>
      <c r="B1110" s="458">
        <v>1.67182595081381E-2</v>
      </c>
      <c r="C1110" s="477">
        <v>14529249.385365821</v>
      </c>
      <c r="D1110" s="458">
        <v>8.158482903100861E-2</v>
      </c>
      <c r="E1110" s="477">
        <v>12512165.384085923</v>
      </c>
      <c r="F1110" s="458">
        <v>0.11515546556867973</v>
      </c>
      <c r="G1110" s="477">
        <v>87724352.175082117</v>
      </c>
      <c r="H1110" s="458">
        <v>0.27683120678254158</v>
      </c>
      <c r="I1110" s="468">
        <v>10.859277979877074</v>
      </c>
    </row>
    <row r="1111" spans="1:9" ht="16.5" x14ac:dyDescent="0.3">
      <c r="A1111" s="477">
        <v>4798167.1129067745</v>
      </c>
      <c r="B1111" s="458">
        <v>3.3981349594393473E-2</v>
      </c>
      <c r="C1111" s="477">
        <v>5910730.3498359993</v>
      </c>
      <c r="D1111" s="458">
        <v>8.42960531750645E-2</v>
      </c>
      <c r="E1111" s="477">
        <v>17265494.708450813</v>
      </c>
      <c r="F1111" s="458">
        <v>0.10269019966124082</v>
      </c>
      <c r="G1111" s="477">
        <v>98514469.81382449</v>
      </c>
      <c r="H1111" s="458">
        <v>0.2726099513340734</v>
      </c>
      <c r="I1111" s="468">
        <v>9.2762138852439939</v>
      </c>
    </row>
    <row r="1112" spans="1:9" ht="16.5" x14ac:dyDescent="0.3">
      <c r="A1112" s="477">
        <v>4322643.0893132407</v>
      </c>
      <c r="B1112" s="458">
        <v>6.2224335231749084E-2</v>
      </c>
      <c r="C1112" s="477">
        <v>4321662.5448696753</v>
      </c>
      <c r="D1112" s="458">
        <v>6.8321961984756818E-2</v>
      </c>
      <c r="E1112" s="477">
        <v>15472307.347395966</v>
      </c>
      <c r="F1112" s="458">
        <v>0.11167765827963838</v>
      </c>
      <c r="G1112" s="477">
        <v>80873598.551604182</v>
      </c>
      <c r="H1112" s="458">
        <v>0.25116765253777773</v>
      </c>
      <c r="I1112" s="468">
        <v>3.8553944306264718</v>
      </c>
    </row>
    <row r="1113" spans="1:9" ht="16.5" x14ac:dyDescent="0.3">
      <c r="A1113" s="477">
        <v>4279331.1603316125</v>
      </c>
      <c r="B1113" s="458">
        <v>4.052561889590045E-2</v>
      </c>
      <c r="C1113" s="477">
        <v>13305435.935534801</v>
      </c>
      <c r="D1113" s="458">
        <v>5.1191057635200599E-2</v>
      </c>
      <c r="E1113" s="477">
        <v>11960871.044647796</v>
      </c>
      <c r="F1113" s="458">
        <v>0.11746122978888662</v>
      </c>
      <c r="G1113" s="477">
        <v>82929349.972780928</v>
      </c>
      <c r="H1113" s="458">
        <v>0.29353747141998299</v>
      </c>
      <c r="I1113" s="468">
        <v>12.279550335184414</v>
      </c>
    </row>
    <row r="1114" spans="1:9" ht="16.5" x14ac:dyDescent="0.3">
      <c r="A1114" s="477">
        <v>6611358.2129127486</v>
      </c>
      <c r="B1114" s="458">
        <v>2.1866511947727929E-2</v>
      </c>
      <c r="C1114" s="477">
        <v>6136112.9471998578</v>
      </c>
      <c r="D1114" s="458">
        <v>5.80502012262607E-2</v>
      </c>
      <c r="E1114" s="477">
        <v>21364118.829676978</v>
      </c>
      <c r="F1114" s="458">
        <v>0.1130412184419689</v>
      </c>
      <c r="G1114" s="477">
        <v>93264876.392710835</v>
      </c>
      <c r="H1114" s="458">
        <v>0.28273364331179129</v>
      </c>
      <c r="I1114" s="468">
        <v>8.3280293062550825</v>
      </c>
    </row>
    <row r="1115" spans="1:9" ht="16.5" x14ac:dyDescent="0.3">
      <c r="A1115" s="477">
        <v>1203979.9806968251</v>
      </c>
      <c r="B1115" s="458">
        <v>3.2777992399475098E-2</v>
      </c>
      <c r="C1115" s="477">
        <v>8583671.713075947</v>
      </c>
      <c r="D1115" s="458">
        <v>6.1172795914297584E-2</v>
      </c>
      <c r="E1115" s="477">
        <v>22471594.469722461</v>
      </c>
      <c r="F1115" s="458">
        <v>0.14478522196975918</v>
      </c>
      <c r="G1115" s="477">
        <v>91683882.30205819</v>
      </c>
      <c r="H1115" s="458">
        <v>0.26675946961975461</v>
      </c>
      <c r="I1115" s="468">
        <v>17.395551021030418</v>
      </c>
    </row>
    <row r="1116" spans="1:9" ht="16.5" x14ac:dyDescent="0.3">
      <c r="A1116" s="477">
        <v>2913731.8507576101</v>
      </c>
      <c r="B1116" s="458">
        <v>3.3993505187617234E-2</v>
      </c>
      <c r="C1116" s="477">
        <v>5780591.7392581031</v>
      </c>
      <c r="D1116" s="458">
        <v>8.130555308024956E-2</v>
      </c>
      <c r="E1116" s="477">
        <v>10724397.988938672</v>
      </c>
      <c r="F1116" s="458">
        <v>9.583619503622165E-2</v>
      </c>
      <c r="G1116" s="477">
        <v>84107358.742448747</v>
      </c>
      <c r="H1116" s="458">
        <v>0.27176398977250171</v>
      </c>
      <c r="I1116" s="468">
        <v>10.982947690516852</v>
      </c>
    </row>
    <row r="1117" spans="1:9" ht="16.5" x14ac:dyDescent="0.3">
      <c r="A1117" s="477">
        <v>5971445.2315494465</v>
      </c>
      <c r="B1117" s="458">
        <v>1.636232109904201E-2</v>
      </c>
      <c r="C1117" s="477">
        <v>10237814.611509584</v>
      </c>
      <c r="D1117" s="458">
        <v>7.5896036416298607E-2</v>
      </c>
      <c r="E1117" s="477">
        <v>11653914.403737266</v>
      </c>
      <c r="F1117" s="458">
        <v>9.2585972725480303E-2</v>
      </c>
      <c r="G1117" s="477">
        <v>91371491.323679581</v>
      </c>
      <c r="H1117" s="458">
        <v>0.29138528635746264</v>
      </c>
      <c r="I1117" s="468">
        <v>3.7093603283206749</v>
      </c>
    </row>
    <row r="1118" spans="1:9" ht="16.5" x14ac:dyDescent="0.3">
      <c r="A1118" s="477">
        <v>463959.92164655734</v>
      </c>
      <c r="B1118" s="458">
        <v>3.7328839685480286E-2</v>
      </c>
      <c r="C1118" s="477">
        <v>11203930.045768511</v>
      </c>
      <c r="D1118" s="458">
        <v>6.7226163274222372E-2</v>
      </c>
      <c r="E1118" s="477">
        <v>20351538.66558817</v>
      </c>
      <c r="F1118" s="458">
        <v>0.11651634304772052</v>
      </c>
      <c r="G1118" s="477">
        <v>89748814.766342983</v>
      </c>
      <c r="H1118" s="458">
        <v>0.25759576080862256</v>
      </c>
      <c r="I1118" s="468">
        <v>5.9147507989043344</v>
      </c>
    </row>
    <row r="1119" spans="1:9" ht="16.5" x14ac:dyDescent="0.3">
      <c r="A1119" s="477">
        <v>6157229.0684722895</v>
      </c>
      <c r="B1119" s="458">
        <v>2.7390034884462455E-2</v>
      </c>
      <c r="C1119" s="477">
        <v>7651665.3403914785</v>
      </c>
      <c r="D1119" s="458">
        <v>6.805049469443758E-2</v>
      </c>
      <c r="E1119" s="477">
        <v>8187603.6067378698</v>
      </c>
      <c r="F1119" s="458">
        <v>0.12017268818833471</v>
      </c>
      <c r="G1119" s="477">
        <v>100984882.23449056</v>
      </c>
      <c r="H1119" s="458">
        <v>0.26990404434223225</v>
      </c>
      <c r="I1119" s="468">
        <v>6.9175233361755257</v>
      </c>
    </row>
    <row r="1120" spans="1:9" ht="16.5" x14ac:dyDescent="0.3">
      <c r="A1120" s="477">
        <v>7535557.8194763847</v>
      </c>
      <c r="B1120" s="458">
        <v>3.2800352230002439E-2</v>
      </c>
      <c r="C1120" s="477">
        <v>11231219.145714954</v>
      </c>
      <c r="D1120" s="458">
        <v>3.7968527849848499E-2</v>
      </c>
      <c r="E1120" s="477">
        <v>16365137.658668987</v>
      </c>
      <c r="F1120" s="458">
        <v>0.10493561691815478</v>
      </c>
      <c r="G1120" s="477">
        <v>96856702.967414349</v>
      </c>
      <c r="H1120" s="458">
        <v>0.30729375322231212</v>
      </c>
      <c r="I1120" s="468">
        <v>-1.8704830722489252</v>
      </c>
    </row>
    <row r="1121" spans="1:9" ht="16.5" x14ac:dyDescent="0.3">
      <c r="A1121" s="477">
        <v>3655678.0227525802</v>
      </c>
      <c r="B1121" s="458">
        <v>3.7707927975018096E-2</v>
      </c>
      <c r="C1121" s="477">
        <v>8070965.2144337278</v>
      </c>
      <c r="D1121" s="458">
        <v>6.5237509774318747E-2</v>
      </c>
      <c r="E1121" s="477">
        <v>15797108.836875474</v>
      </c>
      <c r="F1121" s="458">
        <v>0.13955035602932631</v>
      </c>
      <c r="G1121" s="477">
        <v>78701068.597370967</v>
      </c>
      <c r="H1121" s="458">
        <v>0.26130330831083404</v>
      </c>
      <c r="I1121" s="468">
        <v>7.8738090856784746</v>
      </c>
    </row>
    <row r="1122" spans="1:9" ht="16.5" x14ac:dyDescent="0.3">
      <c r="A1122" s="477">
        <v>9391139.0033702292</v>
      </c>
      <c r="B1122" s="458">
        <v>3.4114853639240383E-2</v>
      </c>
      <c r="C1122" s="477">
        <v>7833839.9074738892</v>
      </c>
      <c r="D1122" s="458">
        <v>4.581164488730205E-2</v>
      </c>
      <c r="E1122" s="477">
        <v>16483009.983688604</v>
      </c>
      <c r="F1122" s="458">
        <v>0.12034352116611813</v>
      </c>
      <c r="G1122" s="477">
        <v>91690737.329521537</v>
      </c>
      <c r="H1122" s="458">
        <v>0.26111659581610414</v>
      </c>
      <c r="I1122" s="468">
        <v>5.5987626842490812</v>
      </c>
    </row>
    <row r="1123" spans="1:9" ht="16.5" x14ac:dyDescent="0.3">
      <c r="A1123" s="477">
        <v>4417973.4314588113</v>
      </c>
      <c r="B1123" s="458">
        <v>2.5123202278231949E-2</v>
      </c>
      <c r="C1123" s="477">
        <v>7491103.2703869203</v>
      </c>
      <c r="D1123" s="458">
        <v>6.992307953453758E-2</v>
      </c>
      <c r="E1123" s="477">
        <v>18413279.628262997</v>
      </c>
      <c r="F1123" s="458">
        <v>0.12711656837195928</v>
      </c>
      <c r="G1123" s="477">
        <v>91833022.762933716</v>
      </c>
      <c r="H1123" s="458">
        <v>0.25753635759834625</v>
      </c>
      <c r="I1123" s="468">
        <v>6.9186839338218729</v>
      </c>
    </row>
    <row r="1124" spans="1:9" ht="16.5" x14ac:dyDescent="0.3">
      <c r="A1124" s="477">
        <v>2167298.7906187428</v>
      </c>
      <c r="B1124" s="458">
        <v>3.2068421428905758E-2</v>
      </c>
      <c r="C1124" s="477">
        <v>10120294.956354039</v>
      </c>
      <c r="D1124" s="458">
        <v>6.6853777540393899E-2</v>
      </c>
      <c r="E1124" s="477">
        <v>18186848.095615577</v>
      </c>
      <c r="F1124" s="458">
        <v>0.10498040283803345</v>
      </c>
      <c r="G1124" s="477">
        <v>93198905.487001836</v>
      </c>
      <c r="H1124" s="458">
        <v>0.2579402906971684</v>
      </c>
      <c r="I1124" s="468">
        <v>12.231175710509927</v>
      </c>
    </row>
    <row r="1125" spans="1:9" ht="16.5" x14ac:dyDescent="0.3">
      <c r="A1125" s="477">
        <v>5186305.8494139602</v>
      </c>
      <c r="B1125" s="458">
        <v>3.8937691461470303E-2</v>
      </c>
      <c r="C1125" s="477">
        <v>10137005.041166067</v>
      </c>
      <c r="D1125" s="458">
        <v>4.475161345093448E-2</v>
      </c>
      <c r="E1125" s="477">
        <v>17381888.835213073</v>
      </c>
      <c r="F1125" s="458">
        <v>0.11062800908170245</v>
      </c>
      <c r="G1125" s="477">
        <v>89680029.766862988</v>
      </c>
      <c r="H1125" s="458">
        <v>0.28020113764368415</v>
      </c>
      <c r="I1125" s="468">
        <v>11.811869996442322</v>
      </c>
    </row>
    <row r="1126" spans="1:9" ht="16.5" x14ac:dyDescent="0.3">
      <c r="A1126" s="477">
        <v>6068530.0504865451</v>
      </c>
      <c r="B1126" s="458">
        <v>3.3939048605972522E-2</v>
      </c>
      <c r="C1126" s="477">
        <v>10549354.530374287</v>
      </c>
      <c r="D1126" s="458">
        <v>6.3699915043617716E-2</v>
      </c>
      <c r="E1126" s="477">
        <v>12845991.638330685</v>
      </c>
      <c r="F1126" s="458">
        <v>9.6354438023472433E-2</v>
      </c>
      <c r="G1126" s="477">
        <v>79979911.056044191</v>
      </c>
      <c r="H1126" s="458">
        <v>0.25759949652141478</v>
      </c>
      <c r="I1126" s="468">
        <v>6.79367922820368</v>
      </c>
    </row>
    <row r="1127" spans="1:9" ht="16.5" x14ac:dyDescent="0.3">
      <c r="A1127" s="477">
        <v>4116504.8174850899</v>
      </c>
      <c r="B1127" s="458">
        <v>6.6055947024463268E-2</v>
      </c>
      <c r="C1127" s="477">
        <v>11948644.248569427</v>
      </c>
      <c r="D1127" s="458">
        <v>6.8317971007491263E-2</v>
      </c>
      <c r="E1127" s="477">
        <v>23789079.750470303</v>
      </c>
      <c r="F1127" s="458">
        <v>0.13905529149597218</v>
      </c>
      <c r="G1127" s="477">
        <v>85123930.284550622</v>
      </c>
      <c r="H1127" s="458">
        <v>0.25762778577676482</v>
      </c>
      <c r="I1127" s="468">
        <v>7.2674002541258558</v>
      </c>
    </row>
    <row r="1128" spans="1:9" ht="16.5" x14ac:dyDescent="0.3">
      <c r="A1128" s="477">
        <v>3769718.4098109924</v>
      </c>
      <c r="B1128" s="458">
        <v>5.8019028759460634E-2</v>
      </c>
      <c r="C1128" s="477">
        <v>4057998.7548875203</v>
      </c>
      <c r="D1128" s="458">
        <v>8.0294623614296956E-2</v>
      </c>
      <c r="E1128" s="477">
        <v>23591477.441821653</v>
      </c>
      <c r="F1128" s="458">
        <v>0.11520025071140028</v>
      </c>
      <c r="G1128" s="477">
        <v>94824413.356690228</v>
      </c>
      <c r="H1128" s="458">
        <v>0.27925931970546669</v>
      </c>
      <c r="I1128" s="468">
        <v>7.5149139591910208</v>
      </c>
    </row>
    <row r="1129" spans="1:9" ht="16.5" x14ac:dyDescent="0.3">
      <c r="A1129" s="477">
        <v>6089355.3418886168</v>
      </c>
      <c r="B1129" s="458">
        <v>9.3160172789580775E-2</v>
      </c>
      <c r="C1129" s="477">
        <v>6307455.6136586908</v>
      </c>
      <c r="D1129" s="458">
        <v>5.6382152338641633E-2</v>
      </c>
      <c r="E1129" s="477">
        <v>15308331.682387194</v>
      </c>
      <c r="F1129" s="458">
        <v>0.11656449451963824</v>
      </c>
      <c r="G1129" s="477">
        <v>107655460.09603167</v>
      </c>
      <c r="H1129" s="458">
        <v>0.2628007210739236</v>
      </c>
      <c r="I1129" s="468">
        <v>3.9070232951622001</v>
      </c>
    </row>
    <row r="1130" spans="1:9" ht="16.5" x14ac:dyDescent="0.3">
      <c r="A1130" s="477">
        <v>1819604.7582098532</v>
      </c>
      <c r="B1130" s="458">
        <v>3.2257178144235565E-2</v>
      </c>
      <c r="C1130" s="477">
        <v>15194263.563953398</v>
      </c>
      <c r="D1130" s="458">
        <v>7.0704905489033187E-2</v>
      </c>
      <c r="E1130" s="477">
        <v>14315987.807198478</v>
      </c>
      <c r="F1130" s="458">
        <v>0.15217242943587017</v>
      </c>
      <c r="G1130" s="477">
        <v>85029416.75961633</v>
      </c>
      <c r="H1130" s="458">
        <v>0.27491313214282198</v>
      </c>
      <c r="I1130" s="468">
        <v>2.4969371402135794</v>
      </c>
    </row>
    <row r="1131" spans="1:9" ht="16.5" x14ac:dyDescent="0.3">
      <c r="A1131" s="477">
        <v>2213295.7597765746</v>
      </c>
      <c r="B1131" s="458">
        <v>4.1322217919089521E-2</v>
      </c>
      <c r="C1131" s="477">
        <v>9212134.526820641</v>
      </c>
      <c r="D1131" s="458">
        <v>5.1684053200341529E-2</v>
      </c>
      <c r="E1131" s="477">
        <v>15309884.361419432</v>
      </c>
      <c r="F1131" s="458">
        <v>0.11270153267245075</v>
      </c>
      <c r="G1131" s="477">
        <v>81729922.884700298</v>
      </c>
      <c r="H1131" s="458">
        <v>0.25061728442097775</v>
      </c>
      <c r="I1131" s="468">
        <v>0.13962926223754302</v>
      </c>
    </row>
    <row r="1132" spans="1:9" ht="16.5" x14ac:dyDescent="0.3">
      <c r="A1132" s="477">
        <v>4616573.7794163423</v>
      </c>
      <c r="B1132" s="458">
        <v>5.6684334036996464E-2</v>
      </c>
      <c r="C1132" s="477">
        <v>15364471.007006902</v>
      </c>
      <c r="D1132" s="458">
        <v>7.987235805924997E-2</v>
      </c>
      <c r="E1132" s="477">
        <v>18121800.283775337</v>
      </c>
      <c r="F1132" s="458">
        <v>0.11669752886690477</v>
      </c>
      <c r="G1132" s="477">
        <v>78789789.060176924</v>
      </c>
      <c r="H1132" s="458">
        <v>0.27486574799771568</v>
      </c>
      <c r="I1132" s="468">
        <v>4.8580834598781166</v>
      </c>
    </row>
    <row r="1133" spans="1:9" ht="16.5" x14ac:dyDescent="0.3">
      <c r="A1133" s="477">
        <v>7510207.5818170486</v>
      </c>
      <c r="B1133" s="458">
        <v>3.0554683497816981E-2</v>
      </c>
      <c r="C1133" s="477">
        <v>6799893.0481283115</v>
      </c>
      <c r="D1133" s="458">
        <v>6.1074130206570487E-2</v>
      </c>
      <c r="E1133" s="477">
        <v>19015662.965617456</v>
      </c>
      <c r="F1133" s="458">
        <v>0.10286716654522654</v>
      </c>
      <c r="G1133" s="477">
        <v>98760751.438563108</v>
      </c>
      <c r="H1133" s="458">
        <v>0.27233917986686174</v>
      </c>
      <c r="I1133" s="468">
        <v>3.2205846287632696</v>
      </c>
    </row>
    <row r="1134" spans="1:9" ht="16.5" x14ac:dyDescent="0.3">
      <c r="A1134" s="477">
        <v>1536166.006815519</v>
      </c>
      <c r="B1134" s="458">
        <v>3.1915571305009438E-2</v>
      </c>
      <c r="C1134" s="477">
        <v>7194903.9374903487</v>
      </c>
      <c r="D1134" s="458">
        <v>6.3907744362022623E-2</v>
      </c>
      <c r="E1134" s="477">
        <v>14209116.54950792</v>
      </c>
      <c r="F1134" s="458">
        <v>0.10284241609365319</v>
      </c>
      <c r="G1134" s="477">
        <v>88440815.369585305</v>
      </c>
      <c r="H1134" s="458">
        <v>0.26487139580534569</v>
      </c>
      <c r="I1134" s="468">
        <v>14.367041016515635</v>
      </c>
    </row>
    <row r="1135" spans="1:9" ht="16.5" x14ac:dyDescent="0.3">
      <c r="A1135" s="477">
        <v>7186986.4715510765</v>
      </c>
      <c r="B1135" s="458">
        <v>3.5758288320825837E-2</v>
      </c>
      <c r="C1135" s="477">
        <v>10335185.062301764</v>
      </c>
      <c r="D1135" s="458">
        <v>9.6877976596150495E-2</v>
      </c>
      <c r="E1135" s="477">
        <v>14806451.452822369</v>
      </c>
      <c r="F1135" s="458">
        <v>0.11579067084249095</v>
      </c>
      <c r="G1135" s="477">
        <v>79840808.822915405</v>
      </c>
      <c r="H1135" s="458">
        <v>0.2558560280749731</v>
      </c>
      <c r="I1135" s="468">
        <v>7.2243267792120331</v>
      </c>
    </row>
    <row r="1136" spans="1:9" ht="16.5" x14ac:dyDescent="0.3">
      <c r="A1136" s="477">
        <v>7622082.490176741</v>
      </c>
      <c r="B1136" s="458">
        <v>2.943761570102188E-2</v>
      </c>
      <c r="C1136" s="477">
        <v>1575267.9540596574</v>
      </c>
      <c r="D1136" s="458">
        <v>5.1761460967648887E-2</v>
      </c>
      <c r="E1136" s="477">
        <v>16999686.281879935</v>
      </c>
      <c r="F1136" s="458">
        <v>9.3901510787063991E-2</v>
      </c>
      <c r="G1136" s="477">
        <v>93248009.449644849</v>
      </c>
      <c r="H1136" s="458">
        <v>0.28432112099446361</v>
      </c>
      <c r="I1136" s="468">
        <v>2.3993419672115177</v>
      </c>
    </row>
    <row r="1137" spans="1:9" ht="16.5" x14ac:dyDescent="0.3">
      <c r="A1137" s="477">
        <v>2278984.9792177584</v>
      </c>
      <c r="B1137" s="458">
        <v>3.8730676486505411E-2</v>
      </c>
      <c r="C1137" s="477">
        <v>5908487.4225810887</v>
      </c>
      <c r="D1137" s="458">
        <v>3.3305607870374621E-2</v>
      </c>
      <c r="E1137" s="477">
        <v>25829238.193027295</v>
      </c>
      <c r="F1137" s="458">
        <v>0.11895129818730554</v>
      </c>
      <c r="G1137" s="477">
        <v>96646722.518846571</v>
      </c>
      <c r="H1137" s="458">
        <v>0.29592470015234995</v>
      </c>
      <c r="I1137" s="468">
        <v>10.063949626092455</v>
      </c>
    </row>
    <row r="1138" spans="1:9" ht="16.5" x14ac:dyDescent="0.3">
      <c r="A1138" s="477">
        <v>7110053.723160563</v>
      </c>
      <c r="B1138" s="458">
        <v>3.6826096867250024E-2</v>
      </c>
      <c r="C1138" s="477">
        <v>4672402.2298307931</v>
      </c>
      <c r="D1138" s="458">
        <v>8.4127615310956694E-2</v>
      </c>
      <c r="E1138" s="477">
        <v>17712538.944982022</v>
      </c>
      <c r="F1138" s="458">
        <v>0.11632952471382607</v>
      </c>
      <c r="G1138" s="477">
        <v>82921540.333389029</v>
      </c>
      <c r="H1138" s="458">
        <v>0.26214437199588403</v>
      </c>
      <c r="I1138" s="468">
        <v>2.8641162561053717</v>
      </c>
    </row>
    <row r="1139" spans="1:9" ht="16.5" x14ac:dyDescent="0.3">
      <c r="A1139" s="477">
        <v>4005793.9908391312</v>
      </c>
      <c r="B1139" s="458">
        <v>1.9439194240173263E-2</v>
      </c>
      <c r="C1139" s="477">
        <v>9432321.2563515585</v>
      </c>
      <c r="D1139" s="458">
        <v>4.8132177898774442E-2</v>
      </c>
      <c r="E1139" s="477">
        <v>8699042.5319226068</v>
      </c>
      <c r="F1139" s="458">
        <v>0.10727404193132228</v>
      </c>
      <c r="G1139" s="477">
        <v>97287021.727481648</v>
      </c>
      <c r="H1139" s="458">
        <v>0.25834381396034956</v>
      </c>
      <c r="I1139" s="468">
        <v>1.0372926398454902</v>
      </c>
    </row>
    <row r="1140" spans="1:9" ht="16.5" x14ac:dyDescent="0.3">
      <c r="A1140" s="477">
        <v>6139597.2668063678</v>
      </c>
      <c r="B1140" s="458">
        <v>3.1469223901358978E-2</v>
      </c>
      <c r="C1140" s="477">
        <v>10779915.147331594</v>
      </c>
      <c r="D1140" s="458">
        <v>8.4495413115962092E-2</v>
      </c>
      <c r="E1140" s="477">
        <v>3552694.5452180877</v>
      </c>
      <c r="F1140" s="458">
        <v>8.8076185515883587E-2</v>
      </c>
      <c r="G1140" s="477">
        <v>105431531.6535024</v>
      </c>
      <c r="H1140" s="458">
        <v>0.27830762270138343</v>
      </c>
      <c r="I1140" s="468">
        <v>8.7029315256870419</v>
      </c>
    </row>
    <row r="1141" spans="1:9" ht="16.5" x14ac:dyDescent="0.3">
      <c r="A1141" s="477">
        <v>6775659.5850932011</v>
      </c>
      <c r="B1141" s="458">
        <v>4.8693032676788484E-2</v>
      </c>
      <c r="C1141" s="477">
        <v>5951895.0966039142</v>
      </c>
      <c r="D1141" s="458">
        <v>4.3368601278475305E-2</v>
      </c>
      <c r="E1141" s="477">
        <v>16907207.476632427</v>
      </c>
      <c r="F1141" s="458">
        <v>9.9404835968924576E-2</v>
      </c>
      <c r="G1141" s="477">
        <v>85908679.797428787</v>
      </c>
      <c r="H1141" s="458">
        <v>0.28467893554902379</v>
      </c>
      <c r="I1141" s="468">
        <v>9.9083742532308268</v>
      </c>
    </row>
    <row r="1142" spans="1:9" ht="16.5" x14ac:dyDescent="0.3">
      <c r="A1142" s="477">
        <v>-394352.60649652453</v>
      </c>
      <c r="B1142" s="458">
        <v>3.2181943193942963E-2</v>
      </c>
      <c r="C1142" s="477">
        <v>10838292.289555866</v>
      </c>
      <c r="D1142" s="458">
        <v>9.4289972405347866E-2</v>
      </c>
      <c r="E1142" s="477">
        <v>9865514.3566918317</v>
      </c>
      <c r="F1142" s="458">
        <v>0.16860007026976342</v>
      </c>
      <c r="G1142" s="477">
        <v>87500080.268046364</v>
      </c>
      <c r="H1142" s="458">
        <v>0.2551911674557461</v>
      </c>
      <c r="I1142" s="468">
        <v>8.8611852485451301</v>
      </c>
    </row>
    <row r="1143" spans="1:9" ht="16.5" x14ac:dyDescent="0.3">
      <c r="A1143" s="477">
        <v>4350476.6191786891</v>
      </c>
      <c r="B1143" s="458">
        <v>4.4044832251225907E-2</v>
      </c>
      <c r="C1143" s="477">
        <v>3904602.4492163584</v>
      </c>
      <c r="D1143" s="458">
        <v>6.78076477478331E-2</v>
      </c>
      <c r="E1143" s="477">
        <v>20892350.62617537</v>
      </c>
      <c r="F1143" s="458">
        <v>0.10687154504756835</v>
      </c>
      <c r="G1143" s="477">
        <v>106409292.02002072</v>
      </c>
      <c r="H1143" s="458">
        <v>0.27596639129929845</v>
      </c>
      <c r="I1143" s="468">
        <v>5.9454039103414882</v>
      </c>
    </row>
    <row r="1144" spans="1:9" ht="16.5" x14ac:dyDescent="0.3">
      <c r="A1144" s="477">
        <v>215206.98433277215</v>
      </c>
      <c r="B1144" s="458">
        <v>3.0683450041516958E-2</v>
      </c>
      <c r="C1144" s="477">
        <v>11334785.717121527</v>
      </c>
      <c r="D1144" s="458">
        <v>5.6296931770284164E-2</v>
      </c>
      <c r="E1144" s="477">
        <v>17742004.309465997</v>
      </c>
      <c r="F1144" s="458">
        <v>0.11578968435297909</v>
      </c>
      <c r="G1144" s="477">
        <v>91838277.810801193</v>
      </c>
      <c r="H1144" s="458">
        <v>0.2588877587833307</v>
      </c>
      <c r="I1144" s="468">
        <v>15.264053793016057</v>
      </c>
    </row>
    <row r="1145" spans="1:9" ht="16.5" x14ac:dyDescent="0.3">
      <c r="A1145" s="477">
        <v>4434974.3406567927</v>
      </c>
      <c r="B1145" s="458">
        <v>3.2760603045210557E-2</v>
      </c>
      <c r="C1145" s="477">
        <v>5285566.5374203641</v>
      </c>
      <c r="D1145" s="458">
        <v>7.1255937027332239E-2</v>
      </c>
      <c r="E1145" s="477">
        <v>11482324.500616103</v>
      </c>
      <c r="F1145" s="458">
        <v>0.11267921426027971</v>
      </c>
      <c r="G1145" s="477">
        <v>92035623.855665132</v>
      </c>
      <c r="H1145" s="458">
        <v>0.28280722860210306</v>
      </c>
      <c r="I1145" s="468">
        <v>11.632032327191322</v>
      </c>
    </row>
    <row r="1146" spans="1:9" ht="16.5" x14ac:dyDescent="0.3">
      <c r="A1146" s="477">
        <v>3562861.3510131612</v>
      </c>
      <c r="B1146" s="458">
        <v>2.4445800784076877E-2</v>
      </c>
      <c r="C1146" s="477">
        <v>11410199.746550821</v>
      </c>
      <c r="D1146" s="458">
        <v>4.6481190295826647E-2</v>
      </c>
      <c r="E1146" s="477">
        <v>14096400.006330919</v>
      </c>
      <c r="F1146" s="458">
        <v>0.114079785347178</v>
      </c>
      <c r="G1146" s="477">
        <v>76775167.277989268</v>
      </c>
      <c r="H1146" s="458">
        <v>0.28839436570707178</v>
      </c>
      <c r="I1146" s="468">
        <v>8.0553884300943448</v>
      </c>
    </row>
    <row r="1147" spans="1:9" ht="16.5" x14ac:dyDescent="0.3">
      <c r="A1147" s="477">
        <v>8567717.4393470343</v>
      </c>
      <c r="B1147" s="458">
        <v>3.2967563178609272E-2</v>
      </c>
      <c r="C1147" s="477">
        <v>9767852.7711361665</v>
      </c>
      <c r="D1147" s="458">
        <v>8.0896702248949071E-2</v>
      </c>
      <c r="E1147" s="477">
        <v>17799986.873606604</v>
      </c>
      <c r="F1147" s="458">
        <v>9.7992964451357301E-2</v>
      </c>
      <c r="G1147" s="477">
        <v>77221260.919882521</v>
      </c>
      <c r="H1147" s="458">
        <v>0.27035354393791411</v>
      </c>
      <c r="I1147" s="468">
        <v>10.541840491265257</v>
      </c>
    </row>
    <row r="1148" spans="1:9" ht="16.5" x14ac:dyDescent="0.3">
      <c r="A1148" s="477">
        <v>2763185.2966134683</v>
      </c>
      <c r="B1148" s="458">
        <v>3.6097609769892847E-2</v>
      </c>
      <c r="C1148" s="477">
        <v>10579529.405671962</v>
      </c>
      <c r="D1148" s="458">
        <v>6.827897761755608E-2</v>
      </c>
      <c r="E1148" s="477">
        <v>18873589.535549834</v>
      </c>
      <c r="F1148" s="458">
        <v>0.10203559402085016</v>
      </c>
      <c r="G1148" s="477">
        <v>87393249.646770552</v>
      </c>
      <c r="H1148" s="458">
        <v>0.31140099511894692</v>
      </c>
      <c r="I1148" s="468">
        <v>8.8185534807516355</v>
      </c>
    </row>
    <row r="1149" spans="1:9" ht="16.5" x14ac:dyDescent="0.3">
      <c r="A1149" s="477">
        <v>778532.8650959899</v>
      </c>
      <c r="B1149" s="458">
        <v>2.7181324065066903E-2</v>
      </c>
      <c r="C1149" s="477">
        <v>9168639.8394703176</v>
      </c>
      <c r="D1149" s="458">
        <v>5.5468564285876987E-2</v>
      </c>
      <c r="E1149" s="477">
        <v>10410198.30086319</v>
      </c>
      <c r="F1149" s="458">
        <v>0.10048037534145049</v>
      </c>
      <c r="G1149" s="477">
        <v>84264108.526108503</v>
      </c>
      <c r="H1149" s="458">
        <v>0.25075849808381756</v>
      </c>
      <c r="I1149" s="468">
        <v>10.497670200329214</v>
      </c>
    </row>
    <row r="1150" spans="1:9" ht="16.5" x14ac:dyDescent="0.3">
      <c r="A1150" s="477">
        <v>1248222.6184178742</v>
      </c>
      <c r="B1150" s="458">
        <v>3.3465118755141354E-2</v>
      </c>
      <c r="C1150" s="477">
        <v>4004462.920560936</v>
      </c>
      <c r="D1150" s="458">
        <v>5.6261567212070762E-2</v>
      </c>
      <c r="E1150" s="477">
        <v>17202906.41432317</v>
      </c>
      <c r="F1150" s="458">
        <v>0.11738785169469557</v>
      </c>
      <c r="G1150" s="477">
        <v>94507712.222538978</v>
      </c>
      <c r="H1150" s="458">
        <v>0.25389226146807098</v>
      </c>
      <c r="I1150" s="468">
        <v>13.311824881356344</v>
      </c>
    </row>
    <row r="1151" spans="1:9" ht="16.5" x14ac:dyDescent="0.3">
      <c r="A1151" s="477">
        <v>4693882.3305033492</v>
      </c>
      <c r="B1151" s="458">
        <v>2.0505645476590839E-2</v>
      </c>
      <c r="C1151" s="477">
        <v>7472499.4419566058</v>
      </c>
      <c r="D1151" s="458">
        <v>5.9123363302001186E-2</v>
      </c>
      <c r="E1151" s="477">
        <v>17339240.347618811</v>
      </c>
      <c r="F1151" s="458">
        <v>0.10824058115389223</v>
      </c>
      <c r="G1151" s="477">
        <v>90389539.577432141</v>
      </c>
      <c r="H1151" s="458">
        <v>0.27356668107388682</v>
      </c>
      <c r="I1151" s="468">
        <v>13.772631538120459</v>
      </c>
    </row>
    <row r="1152" spans="1:9" ht="16.5" x14ac:dyDescent="0.3">
      <c r="A1152" s="477">
        <v>4412821.8917602571</v>
      </c>
      <c r="B1152" s="458">
        <v>6.062076396882965E-2</v>
      </c>
      <c r="C1152" s="477">
        <v>8028676.608212647</v>
      </c>
      <c r="D1152" s="458">
        <v>6.3019539984260353E-2</v>
      </c>
      <c r="E1152" s="477">
        <v>8090979.2445936324</v>
      </c>
      <c r="F1152" s="458">
        <v>0.10475272011246028</v>
      </c>
      <c r="G1152" s="477">
        <v>81677487.552958906</v>
      </c>
      <c r="H1152" s="458">
        <v>0.27229430811108424</v>
      </c>
      <c r="I1152" s="468">
        <v>10.979339298825696</v>
      </c>
    </row>
    <row r="1153" spans="1:9" ht="16.5" x14ac:dyDescent="0.3">
      <c r="A1153" s="477">
        <v>9978441.0810168628</v>
      </c>
      <c r="B1153" s="458">
        <v>4.3540903629570638E-2</v>
      </c>
      <c r="C1153" s="477">
        <v>3263200.7343265619</v>
      </c>
      <c r="D1153" s="458">
        <v>7.4494592994499342E-2</v>
      </c>
      <c r="E1153" s="477">
        <v>20835676.107359789</v>
      </c>
      <c r="F1153" s="458">
        <v>8.6544886456505044E-2</v>
      </c>
      <c r="G1153" s="477">
        <v>90801684.859224126</v>
      </c>
      <c r="H1153" s="458">
        <v>0.27536354025655685</v>
      </c>
      <c r="I1153" s="468">
        <v>5.1709543596353438</v>
      </c>
    </row>
    <row r="1154" spans="1:9" ht="16.5" x14ac:dyDescent="0.3">
      <c r="A1154" s="477">
        <v>8169081.9679811578</v>
      </c>
      <c r="B1154" s="458">
        <v>3.6135980103150889E-2</v>
      </c>
      <c r="C1154" s="477">
        <v>7231605.4543262776</v>
      </c>
      <c r="D1154" s="458">
        <v>6.0718689378085999E-2</v>
      </c>
      <c r="E1154" s="477">
        <v>10580246.457821777</v>
      </c>
      <c r="F1154" s="458">
        <v>8.3725096874158744E-2</v>
      </c>
      <c r="G1154" s="477">
        <v>77933821.833255336</v>
      </c>
      <c r="H1154" s="458">
        <v>0.2770880479296578</v>
      </c>
      <c r="I1154" s="468">
        <v>4.6542717483871741</v>
      </c>
    </row>
    <row r="1155" spans="1:9" ht="16.5" x14ac:dyDescent="0.3">
      <c r="A1155" s="477">
        <v>-806980.24391396204</v>
      </c>
      <c r="B1155" s="458">
        <v>3.2842576869445139E-2</v>
      </c>
      <c r="C1155" s="477">
        <v>5868263.5355642941</v>
      </c>
      <c r="D1155" s="458">
        <v>7.5046103287941701E-2</v>
      </c>
      <c r="E1155" s="477">
        <v>20417312.079326704</v>
      </c>
      <c r="F1155" s="458">
        <v>0.12998775556595543</v>
      </c>
      <c r="G1155" s="477">
        <v>88350533.37455821</v>
      </c>
      <c r="H1155" s="458">
        <v>0.28056629966960633</v>
      </c>
      <c r="I1155" s="468">
        <v>5.8637256984323427</v>
      </c>
    </row>
    <row r="1156" spans="1:9" ht="16.5" x14ac:dyDescent="0.3">
      <c r="A1156" s="477">
        <v>8452574.814253835</v>
      </c>
      <c r="B1156" s="458">
        <v>2.891823308440955E-2</v>
      </c>
      <c r="C1156" s="477">
        <v>8465818.8830224816</v>
      </c>
      <c r="D1156" s="458">
        <v>7.6214284972703883E-2</v>
      </c>
      <c r="E1156" s="477">
        <v>10974570.861991934</v>
      </c>
      <c r="F1156" s="458">
        <v>0.13430696627229333</v>
      </c>
      <c r="G1156" s="477">
        <v>101718127.71341243</v>
      </c>
      <c r="H1156" s="458">
        <v>0.27934927497447593</v>
      </c>
      <c r="I1156" s="468">
        <v>7.9397265673409443</v>
      </c>
    </row>
    <row r="1157" spans="1:9" ht="16.5" x14ac:dyDescent="0.3">
      <c r="A1157" s="477">
        <v>6025177.1517270226</v>
      </c>
      <c r="B1157" s="458">
        <v>6.1603724103792334E-2</v>
      </c>
      <c r="C1157" s="477">
        <v>12109115.049680248</v>
      </c>
      <c r="D1157" s="458">
        <v>8.2179138124560236E-2</v>
      </c>
      <c r="E1157" s="477">
        <v>7300737.6043920908</v>
      </c>
      <c r="F1157" s="458">
        <v>0.10345012798236342</v>
      </c>
      <c r="G1157" s="477">
        <v>94580421.960737959</v>
      </c>
      <c r="H1157" s="458">
        <v>0.27428449278142564</v>
      </c>
      <c r="I1157" s="468">
        <v>6.7513392517710882</v>
      </c>
    </row>
    <row r="1158" spans="1:9" ht="16.5" x14ac:dyDescent="0.3">
      <c r="A1158" s="477">
        <v>2437833.1811181456</v>
      </c>
      <c r="B1158" s="458">
        <v>1.8507354397628628E-2</v>
      </c>
      <c r="C1158" s="477">
        <v>12426901.35560517</v>
      </c>
      <c r="D1158" s="458">
        <v>6.580170377250627E-2</v>
      </c>
      <c r="E1158" s="477">
        <v>15719227.12273041</v>
      </c>
      <c r="F1158" s="458">
        <v>9.5737612015879936E-2</v>
      </c>
      <c r="G1158" s="477">
        <v>96629527.239690527</v>
      </c>
      <c r="H1158" s="458">
        <v>0.25959707548387101</v>
      </c>
      <c r="I1158" s="468">
        <v>5.6855741787901284</v>
      </c>
    </row>
    <row r="1159" spans="1:9" ht="16.5" x14ac:dyDescent="0.3">
      <c r="A1159" s="477">
        <v>4724261.9365233025</v>
      </c>
      <c r="B1159" s="458">
        <v>2.8421778001051612E-2</v>
      </c>
      <c r="C1159" s="477">
        <v>10209966.87916949</v>
      </c>
      <c r="D1159" s="458">
        <v>7.147498802336294E-2</v>
      </c>
      <c r="E1159" s="477">
        <v>20152530.870909359</v>
      </c>
      <c r="F1159" s="458">
        <v>0.11911603989290542</v>
      </c>
      <c r="G1159" s="477">
        <v>81386483.841359898</v>
      </c>
      <c r="H1159" s="458">
        <v>0.27337283033294857</v>
      </c>
      <c r="I1159" s="468">
        <v>10.707726930133671</v>
      </c>
    </row>
    <row r="1160" spans="1:9" ht="16.5" x14ac:dyDescent="0.3">
      <c r="A1160" s="477">
        <v>8713801.8971284609</v>
      </c>
      <c r="B1160" s="458">
        <v>3.9697453171092079E-2</v>
      </c>
      <c r="C1160" s="477">
        <v>11031555.979382975</v>
      </c>
      <c r="D1160" s="458">
        <v>6.8924162060808536E-2</v>
      </c>
      <c r="E1160" s="477">
        <v>20236950.503223654</v>
      </c>
      <c r="F1160" s="458">
        <v>9.6887014962272255E-2</v>
      </c>
      <c r="G1160" s="477">
        <v>90596830.594666272</v>
      </c>
      <c r="H1160" s="458">
        <v>0.3028411838469538</v>
      </c>
      <c r="I1160" s="468">
        <v>4.736239053127302</v>
      </c>
    </row>
    <row r="1161" spans="1:9" ht="16.5" x14ac:dyDescent="0.3">
      <c r="A1161" s="477">
        <v>5363524.5864988379</v>
      </c>
      <c r="B1161" s="458">
        <v>3.1979657970019115E-2</v>
      </c>
      <c r="C1161" s="477">
        <v>9945332.2861748096</v>
      </c>
      <c r="D1161" s="458">
        <v>6.1920116856288177E-2</v>
      </c>
      <c r="E1161" s="477">
        <v>22434409.111213505</v>
      </c>
      <c r="F1161" s="458">
        <v>8.235514369023389E-2</v>
      </c>
      <c r="G1161" s="477">
        <v>88067086.291682601</v>
      </c>
      <c r="H1161" s="458">
        <v>0.2753505238669236</v>
      </c>
      <c r="I1161" s="468">
        <v>7.3696988399638732</v>
      </c>
    </row>
    <row r="1162" spans="1:9" ht="16.5" x14ac:dyDescent="0.3">
      <c r="A1162" s="477">
        <v>2766668.7985492288</v>
      </c>
      <c r="B1162" s="458">
        <v>6.126968252373044E-2</v>
      </c>
      <c r="C1162" s="477">
        <v>10025772.520872679</v>
      </c>
      <c r="D1162" s="458">
        <v>7.059655356027017E-2</v>
      </c>
      <c r="E1162" s="477">
        <v>19013215.979792926</v>
      </c>
      <c r="F1162" s="458">
        <v>9.9942331111410265E-2</v>
      </c>
      <c r="G1162" s="477">
        <v>100931838.7727021</v>
      </c>
      <c r="H1162" s="458">
        <v>0.26472506994487599</v>
      </c>
      <c r="I1162" s="468">
        <v>9.945396559087099</v>
      </c>
    </row>
    <row r="1163" spans="1:9" ht="16.5" x14ac:dyDescent="0.3">
      <c r="A1163" s="477">
        <v>7058302.5634968784</v>
      </c>
      <c r="B1163" s="458">
        <v>3.5373360483624605E-2</v>
      </c>
      <c r="C1163" s="477">
        <v>10212722.803328207</v>
      </c>
      <c r="D1163" s="458">
        <v>7.2571017130530935E-2</v>
      </c>
      <c r="E1163" s="477">
        <v>8615183.9346816149</v>
      </c>
      <c r="F1163" s="458">
        <v>0.11763594986017334</v>
      </c>
      <c r="G1163" s="477">
        <v>86828636.373985186</v>
      </c>
      <c r="H1163" s="458">
        <v>0.26770309244044532</v>
      </c>
      <c r="I1163" s="468">
        <v>7.2311051311280581</v>
      </c>
    </row>
    <row r="1164" spans="1:9" ht="16.5" x14ac:dyDescent="0.3">
      <c r="A1164" s="477">
        <v>4316744.1631462518</v>
      </c>
      <c r="B1164" s="458">
        <v>2.283716988354656E-2</v>
      </c>
      <c r="C1164" s="477">
        <v>11004193.74270946</v>
      </c>
      <c r="D1164" s="458">
        <v>4.2242109557436569E-2</v>
      </c>
      <c r="E1164" s="477">
        <v>13646443.054502608</v>
      </c>
      <c r="F1164" s="458">
        <v>0.12176542013468805</v>
      </c>
      <c r="G1164" s="477">
        <v>99588930.166030824</v>
      </c>
      <c r="H1164" s="458">
        <v>0.30045407421260628</v>
      </c>
      <c r="I1164" s="468">
        <v>8.1775938824762004</v>
      </c>
    </row>
    <row r="1165" spans="1:9" ht="16.5" x14ac:dyDescent="0.3">
      <c r="A1165" s="477">
        <v>9231738.4569461066</v>
      </c>
      <c r="B1165" s="458">
        <v>4.2094193532328461E-2</v>
      </c>
      <c r="C1165" s="477">
        <v>6510093.5218669819</v>
      </c>
      <c r="D1165" s="458">
        <v>7.275499645521144E-2</v>
      </c>
      <c r="E1165" s="477">
        <v>13401636.242008194</v>
      </c>
      <c r="F1165" s="458">
        <v>0.12432494322932741</v>
      </c>
      <c r="G1165" s="477">
        <v>100612061.33927768</v>
      </c>
      <c r="H1165" s="458">
        <v>0.28001795003005858</v>
      </c>
      <c r="I1165" s="468">
        <v>5.3334366506572994</v>
      </c>
    </row>
    <row r="1166" spans="1:9" ht="16.5" x14ac:dyDescent="0.3">
      <c r="A1166" s="477">
        <v>3478765.5499763358</v>
      </c>
      <c r="B1166" s="458">
        <v>4.6073159003287456E-2</v>
      </c>
      <c r="C1166" s="477">
        <v>7095360.780903806</v>
      </c>
      <c r="D1166" s="458">
        <v>8.9261371102326681E-2</v>
      </c>
      <c r="E1166" s="477">
        <v>7730947.5946344575</v>
      </c>
      <c r="F1166" s="458">
        <v>7.9979068502003203E-2</v>
      </c>
      <c r="G1166" s="477">
        <v>89750730.968437672</v>
      </c>
      <c r="H1166" s="458">
        <v>0.26805191275702489</v>
      </c>
      <c r="I1166" s="468">
        <v>3.398753811555185</v>
      </c>
    </row>
    <row r="1167" spans="1:9" ht="16.5" x14ac:dyDescent="0.3">
      <c r="A1167" s="477">
        <v>6362928.1255304916</v>
      </c>
      <c r="B1167" s="458">
        <v>4.7869599932767404E-2</v>
      </c>
      <c r="C1167" s="477">
        <v>11245620.333264159</v>
      </c>
      <c r="D1167" s="458">
        <v>7.4846416485998768E-2</v>
      </c>
      <c r="E1167" s="477">
        <v>12291623.0999837</v>
      </c>
      <c r="F1167" s="458">
        <v>0.11350602382879571</v>
      </c>
      <c r="G1167" s="477">
        <v>84088474.761529297</v>
      </c>
      <c r="H1167" s="458">
        <v>0.30767871574000716</v>
      </c>
      <c r="I1167" s="468">
        <v>11.373574751622282</v>
      </c>
    </row>
    <row r="1168" spans="1:9" ht="16.5" x14ac:dyDescent="0.3">
      <c r="A1168" s="477">
        <v>6485651.9268297106</v>
      </c>
      <c r="B1168" s="458">
        <v>5.1439349938605217E-2</v>
      </c>
      <c r="C1168" s="477">
        <v>12815848.694736939</v>
      </c>
      <c r="D1168" s="458">
        <v>5.7534209217213084E-2</v>
      </c>
      <c r="E1168" s="477">
        <v>19221146.223196041</v>
      </c>
      <c r="F1168" s="458">
        <v>9.2308774386406167E-2</v>
      </c>
      <c r="G1168" s="477">
        <v>79074487.99703081</v>
      </c>
      <c r="H1168" s="458">
        <v>0.25913111873047323</v>
      </c>
      <c r="I1168" s="468">
        <v>7.8873462455191667</v>
      </c>
    </row>
    <row r="1169" spans="1:9" ht="16.5" x14ac:dyDescent="0.3">
      <c r="A1169" s="477">
        <v>4317746.2247105734</v>
      </c>
      <c r="B1169" s="458">
        <v>4.4622482525749296E-2</v>
      </c>
      <c r="C1169" s="477">
        <v>6523157.1312803095</v>
      </c>
      <c r="D1169" s="458">
        <v>6.4279722779858162E-2</v>
      </c>
      <c r="E1169" s="477">
        <v>16589878.171858868</v>
      </c>
      <c r="F1169" s="458">
        <v>0.11597574561240309</v>
      </c>
      <c r="G1169" s="477">
        <v>70085805.616481096</v>
      </c>
      <c r="H1169" s="458">
        <v>0.27823309870397162</v>
      </c>
      <c r="I1169" s="468">
        <v>6.4741108886719791</v>
      </c>
    </row>
    <row r="1170" spans="1:9" ht="16.5" x14ac:dyDescent="0.3">
      <c r="A1170" s="477">
        <v>2501403.766517675</v>
      </c>
      <c r="B1170" s="458">
        <v>5.2711578468607412E-2</v>
      </c>
      <c r="C1170" s="477">
        <v>7706729.7008056594</v>
      </c>
      <c r="D1170" s="458">
        <v>6.6582218928676884E-2</v>
      </c>
      <c r="E1170" s="477">
        <v>20252425.964216251</v>
      </c>
      <c r="F1170" s="458">
        <v>0.1201174835942922</v>
      </c>
      <c r="G1170" s="477">
        <v>93567445.042285383</v>
      </c>
      <c r="H1170" s="458">
        <v>0.28292211192797412</v>
      </c>
      <c r="I1170" s="468">
        <v>8.3170820964531398</v>
      </c>
    </row>
    <row r="1171" spans="1:9" ht="16.5" x14ac:dyDescent="0.3">
      <c r="A1171" s="477">
        <v>-2435324.4469657363</v>
      </c>
      <c r="B1171" s="458">
        <v>4.1903899170101289E-2</v>
      </c>
      <c r="C1171" s="477">
        <v>14053539.359779384</v>
      </c>
      <c r="D1171" s="458">
        <v>7.2947331868258081E-2</v>
      </c>
      <c r="E1171" s="477">
        <v>18148486.350468647</v>
      </c>
      <c r="F1171" s="458">
        <v>0.11470674776579326</v>
      </c>
      <c r="G1171" s="477">
        <v>67902903.579489633</v>
      </c>
      <c r="H1171" s="458">
        <v>0.27621013262929406</v>
      </c>
      <c r="I1171" s="468">
        <v>7.1294666677498792</v>
      </c>
    </row>
    <row r="1172" spans="1:9" ht="16.5" x14ac:dyDescent="0.3">
      <c r="A1172" s="477">
        <v>2678062.6964985323</v>
      </c>
      <c r="B1172" s="458">
        <v>2.1488537529946061E-2</v>
      </c>
      <c r="C1172" s="477">
        <v>15078203.271890618</v>
      </c>
      <c r="D1172" s="458">
        <v>5.4352177918621791E-2</v>
      </c>
      <c r="E1172" s="477">
        <v>20339278.566184517</v>
      </c>
      <c r="F1172" s="458">
        <v>0.10429913007401281</v>
      </c>
      <c r="G1172" s="477">
        <v>82344257.931186199</v>
      </c>
      <c r="H1172" s="458">
        <v>0.25826109560434962</v>
      </c>
      <c r="I1172" s="468">
        <v>12.323634019247262</v>
      </c>
    </row>
    <row r="1173" spans="1:9" ht="16.5" x14ac:dyDescent="0.3">
      <c r="A1173" s="477">
        <v>3058351.5370192467</v>
      </c>
      <c r="B1173" s="458">
        <v>1.5303694762039521E-2</v>
      </c>
      <c r="C1173" s="477">
        <v>5935571.3365428541</v>
      </c>
      <c r="D1173" s="458">
        <v>6.3800205259931353E-2</v>
      </c>
      <c r="E1173" s="477">
        <v>13263903.745776465</v>
      </c>
      <c r="F1173" s="458">
        <v>9.7610269794009108E-2</v>
      </c>
      <c r="G1173" s="477">
        <v>87118856.096719548</v>
      </c>
      <c r="H1173" s="458">
        <v>0.25043723228572312</v>
      </c>
      <c r="I1173" s="468">
        <v>8.2207795286484711</v>
      </c>
    </row>
    <row r="1174" spans="1:9" ht="16.5" x14ac:dyDescent="0.3">
      <c r="A1174" s="477">
        <v>1463630.7315147389</v>
      </c>
      <c r="B1174" s="458">
        <v>4.6805052470929365E-2</v>
      </c>
      <c r="C1174" s="477">
        <v>8120816.7994293831</v>
      </c>
      <c r="D1174" s="458">
        <v>6.7413780293328562E-2</v>
      </c>
      <c r="E1174" s="477">
        <v>18535726.225248531</v>
      </c>
      <c r="F1174" s="458">
        <v>0.12290329869515926</v>
      </c>
      <c r="G1174" s="477">
        <v>83014228.120118976</v>
      </c>
      <c r="H1174" s="458">
        <v>0.27868957571403064</v>
      </c>
      <c r="I1174" s="468">
        <v>3.6046736949817308</v>
      </c>
    </row>
    <row r="1175" spans="1:9" ht="16.5" x14ac:dyDescent="0.3">
      <c r="A1175" s="477">
        <v>4465102.0324081136</v>
      </c>
      <c r="B1175" s="458">
        <v>4.2585380101964665E-2</v>
      </c>
      <c r="C1175" s="477">
        <v>13110364.210713403</v>
      </c>
      <c r="D1175" s="458">
        <v>1.8830912852361159E-2</v>
      </c>
      <c r="E1175" s="477">
        <v>19953740.147775479</v>
      </c>
      <c r="F1175" s="458">
        <v>0.10271264836621219</v>
      </c>
      <c r="G1175" s="477">
        <v>83819182.671051577</v>
      </c>
      <c r="H1175" s="458">
        <v>0.26689698828894226</v>
      </c>
      <c r="I1175" s="468">
        <v>3.5747582080400955</v>
      </c>
    </row>
    <row r="1176" spans="1:9" ht="16.5" x14ac:dyDescent="0.3">
      <c r="A1176" s="477">
        <v>6506898.6223510541</v>
      </c>
      <c r="B1176" s="458">
        <v>3.6414865542012675E-2</v>
      </c>
      <c r="C1176" s="477">
        <v>12740940.634471944</v>
      </c>
      <c r="D1176" s="458">
        <v>9.9351978444095934E-2</v>
      </c>
      <c r="E1176" s="477">
        <v>23066418.926383648</v>
      </c>
      <c r="F1176" s="458">
        <v>0.10087532458563064</v>
      </c>
      <c r="G1176" s="477">
        <v>86871389.828884363</v>
      </c>
      <c r="H1176" s="458">
        <v>0.27973390200031645</v>
      </c>
      <c r="I1176" s="468">
        <v>1.2911544356178259</v>
      </c>
    </row>
    <row r="1177" spans="1:9" ht="16.5" x14ac:dyDescent="0.3">
      <c r="A1177" s="477">
        <v>9447973.2320199199</v>
      </c>
      <c r="B1177" s="458">
        <v>4.5721329357584883E-2</v>
      </c>
      <c r="C1177" s="477">
        <v>7425814.8812835356</v>
      </c>
      <c r="D1177" s="458">
        <v>4.6377928995520401E-2</v>
      </c>
      <c r="E1177" s="477">
        <v>25496098.639493696</v>
      </c>
      <c r="F1177" s="458">
        <v>0.11784081152876613</v>
      </c>
      <c r="G1177" s="477">
        <v>94855227.855620861</v>
      </c>
      <c r="H1177" s="458">
        <v>0.28260220553999127</v>
      </c>
      <c r="I1177" s="468">
        <v>4.6938758706577097</v>
      </c>
    </row>
    <row r="1178" spans="1:9" ht="16.5" x14ac:dyDescent="0.3">
      <c r="A1178" s="477">
        <v>4025733.7260911316</v>
      </c>
      <c r="B1178" s="458">
        <v>3.5353984634884705E-2</v>
      </c>
      <c r="C1178" s="477">
        <v>8745205.9409703929</v>
      </c>
      <c r="D1178" s="458">
        <v>6.3773635448654886E-2</v>
      </c>
      <c r="E1178" s="477">
        <v>17604461.428724539</v>
      </c>
      <c r="F1178" s="458">
        <v>9.7317866834970124E-2</v>
      </c>
      <c r="G1178" s="477">
        <v>89283372.484326243</v>
      </c>
      <c r="H1178" s="458">
        <v>0.27570584794285424</v>
      </c>
      <c r="I1178" s="468">
        <v>8.2118643530573152</v>
      </c>
    </row>
    <row r="1179" spans="1:9" ht="16.5" x14ac:dyDescent="0.3">
      <c r="A1179" s="477">
        <v>5138224.4536301848</v>
      </c>
      <c r="B1179" s="458">
        <v>3.0557287741250549E-2</v>
      </c>
      <c r="C1179" s="477">
        <v>11433123.479747435</v>
      </c>
      <c r="D1179" s="458">
        <v>6.597231773951151E-2</v>
      </c>
      <c r="E1179" s="477">
        <v>21084035.577926736</v>
      </c>
      <c r="F1179" s="458">
        <v>9.5294017051943625E-2</v>
      </c>
      <c r="G1179" s="477">
        <v>97570404.930240363</v>
      </c>
      <c r="H1179" s="458">
        <v>0.27866083321054602</v>
      </c>
      <c r="I1179" s="468">
        <v>11.211145581338492</v>
      </c>
    </row>
    <row r="1180" spans="1:9" ht="16.5" x14ac:dyDescent="0.3">
      <c r="A1180" s="477">
        <v>4875167.556445715</v>
      </c>
      <c r="B1180" s="458">
        <v>2.577310251280629E-2</v>
      </c>
      <c r="C1180" s="477">
        <v>8985069.306729801</v>
      </c>
      <c r="D1180" s="458">
        <v>5.877837549543119E-2</v>
      </c>
      <c r="E1180" s="477">
        <v>18315211.250584625</v>
      </c>
      <c r="F1180" s="458">
        <v>8.05849573660542E-2</v>
      </c>
      <c r="G1180" s="477">
        <v>82870185.188601106</v>
      </c>
      <c r="H1180" s="458">
        <v>0.2677188314983141</v>
      </c>
      <c r="I1180" s="468">
        <v>2.3969857498741689</v>
      </c>
    </row>
    <row r="1181" spans="1:9" ht="16.5" x14ac:dyDescent="0.3">
      <c r="A1181" s="477">
        <v>5813972.1882643281</v>
      </c>
      <c r="B1181" s="458">
        <v>2.2719857770038931E-2</v>
      </c>
      <c r="C1181" s="477">
        <v>11476893.368121548</v>
      </c>
      <c r="D1181" s="458">
        <v>8.6243638805007183E-2</v>
      </c>
      <c r="E1181" s="477">
        <v>12787484.906574558</v>
      </c>
      <c r="F1181" s="458">
        <v>9.3878047440205892E-2</v>
      </c>
      <c r="G1181" s="477">
        <v>87585360.95541364</v>
      </c>
      <c r="H1181" s="458">
        <v>0.26456746516156526</v>
      </c>
      <c r="I1181" s="468">
        <v>10.005613689275455</v>
      </c>
    </row>
    <row r="1182" spans="1:9" ht="16.5" x14ac:dyDescent="0.3">
      <c r="A1182" s="477">
        <v>4592666.7469796417</v>
      </c>
      <c r="B1182" s="458">
        <v>2.4647813989642442E-2</v>
      </c>
      <c r="C1182" s="477">
        <v>15958350.379173651</v>
      </c>
      <c r="D1182" s="458">
        <v>6.6663061057723461E-2</v>
      </c>
      <c r="E1182" s="477">
        <v>10497275.26439484</v>
      </c>
      <c r="F1182" s="458">
        <v>0.1236526684025363</v>
      </c>
      <c r="G1182" s="477">
        <v>84416517.386955395</v>
      </c>
      <c r="H1182" s="458">
        <v>0.27735037654737038</v>
      </c>
      <c r="I1182" s="468">
        <v>8.9583377641835469</v>
      </c>
    </row>
    <row r="1183" spans="1:9" ht="16.5" x14ac:dyDescent="0.3">
      <c r="A1183" s="477">
        <v>9784741.6770820972</v>
      </c>
      <c r="B1183" s="458">
        <v>2.9095710689350351E-2</v>
      </c>
      <c r="C1183" s="477">
        <v>9362737.4535362944</v>
      </c>
      <c r="D1183" s="458">
        <v>6.3011043558990565E-2</v>
      </c>
      <c r="E1183" s="477">
        <v>18064618.605582856</v>
      </c>
      <c r="F1183" s="458">
        <v>0.10306088237122069</v>
      </c>
      <c r="G1183" s="477">
        <v>91391300.999351189</v>
      </c>
      <c r="H1183" s="458">
        <v>0.26748057137811854</v>
      </c>
      <c r="I1183" s="468">
        <v>7.160798435643148</v>
      </c>
    </row>
    <row r="1184" spans="1:9" ht="16.5" x14ac:dyDescent="0.3">
      <c r="A1184" s="477">
        <v>4289784.3134178584</v>
      </c>
      <c r="B1184" s="458">
        <v>5.4174426851278934E-2</v>
      </c>
      <c r="C1184" s="477">
        <v>9171385.6355158389</v>
      </c>
      <c r="D1184" s="458">
        <v>6.6260116870301644E-2</v>
      </c>
      <c r="E1184" s="477">
        <v>20519627.17267447</v>
      </c>
      <c r="F1184" s="458">
        <v>0.13493437404864639</v>
      </c>
      <c r="G1184" s="477">
        <v>103422704.99382667</v>
      </c>
      <c r="H1184" s="458">
        <v>0.28308827178676532</v>
      </c>
      <c r="I1184" s="468">
        <v>7.4389776453315894</v>
      </c>
    </row>
    <row r="1185" spans="1:9" ht="16.5" x14ac:dyDescent="0.3">
      <c r="A1185" s="477">
        <v>7776932.626553732</v>
      </c>
      <c r="B1185" s="458">
        <v>5.6370962745767361E-2</v>
      </c>
      <c r="C1185" s="477">
        <v>5742583.9598809117</v>
      </c>
      <c r="D1185" s="458">
        <v>4.5184044062471784E-2</v>
      </c>
      <c r="E1185" s="477">
        <v>10248151.305589531</v>
      </c>
      <c r="F1185" s="458">
        <v>0.12586092833805451</v>
      </c>
      <c r="G1185" s="477">
        <v>90418214.372476056</v>
      </c>
      <c r="H1185" s="458">
        <v>0.26132010183922705</v>
      </c>
      <c r="I1185" s="468">
        <v>3.3785261697378743</v>
      </c>
    </row>
    <row r="1186" spans="1:9" ht="16.5" x14ac:dyDescent="0.3">
      <c r="A1186" s="477">
        <v>4954952.4667990739</v>
      </c>
      <c r="B1186" s="458">
        <v>4.3394130412071741E-2</v>
      </c>
      <c r="C1186" s="477">
        <v>8436064.79766424</v>
      </c>
      <c r="D1186" s="458">
        <v>6.0519377408172703E-2</v>
      </c>
      <c r="E1186" s="477">
        <v>16177671.740385296</v>
      </c>
      <c r="F1186" s="458">
        <v>0.16229096214555727</v>
      </c>
      <c r="G1186" s="477">
        <v>95617112.5224538</v>
      </c>
      <c r="H1186" s="458">
        <v>0.254716047453033</v>
      </c>
      <c r="I1186" s="468">
        <v>10.665045605903742</v>
      </c>
    </row>
    <row r="1187" spans="1:9" ht="16.5" x14ac:dyDescent="0.3">
      <c r="A1187" s="477">
        <v>4288673.2996410094</v>
      </c>
      <c r="B1187" s="458">
        <v>3.184705903197349E-2</v>
      </c>
      <c r="C1187" s="477">
        <v>5584007.2948812107</v>
      </c>
      <c r="D1187" s="458">
        <v>6.1800241358162866E-2</v>
      </c>
      <c r="E1187" s="477">
        <v>2861552.8973390236</v>
      </c>
      <c r="F1187" s="458">
        <v>7.5011368603076223E-2</v>
      </c>
      <c r="G1187" s="477">
        <v>86614396.35245809</v>
      </c>
      <c r="H1187" s="458">
        <v>0.28735943116437124</v>
      </c>
      <c r="I1187" s="468">
        <v>3.9477079521880398</v>
      </c>
    </row>
    <row r="1188" spans="1:9" ht="16.5" x14ac:dyDescent="0.3">
      <c r="A1188" s="477">
        <v>7771573.6013383884</v>
      </c>
      <c r="B1188" s="458">
        <v>4.3967236267138832E-2</v>
      </c>
      <c r="C1188" s="477">
        <v>7814201.0305997906</v>
      </c>
      <c r="D1188" s="458">
        <v>5.2877830645078117E-2</v>
      </c>
      <c r="E1188" s="477">
        <v>23094319.359007046</v>
      </c>
      <c r="F1188" s="458">
        <v>0.11898988166844648</v>
      </c>
      <c r="G1188" s="477">
        <v>86605305.110716984</v>
      </c>
      <c r="H1188" s="458">
        <v>0.2727772412866929</v>
      </c>
      <c r="I1188" s="468">
        <v>6.3078337769658956</v>
      </c>
    </row>
    <row r="1189" spans="1:9" ht="16.5" x14ac:dyDescent="0.3">
      <c r="A1189" s="477">
        <v>-1289083.1213058049</v>
      </c>
      <c r="B1189" s="458">
        <v>2.5688280575516975E-2</v>
      </c>
      <c r="C1189" s="477">
        <v>8398889.9051620848</v>
      </c>
      <c r="D1189" s="458">
        <v>5.150323850505889E-2</v>
      </c>
      <c r="E1189" s="477">
        <v>25094604.593481522</v>
      </c>
      <c r="F1189" s="458">
        <v>9.4962902226438661E-2</v>
      </c>
      <c r="G1189" s="477">
        <v>85453509.180249065</v>
      </c>
      <c r="H1189" s="458">
        <v>0.27869096740217625</v>
      </c>
      <c r="I1189" s="468">
        <v>7.6622728116165142</v>
      </c>
    </row>
    <row r="1190" spans="1:9" ht="16.5" x14ac:dyDescent="0.3">
      <c r="A1190" s="477">
        <v>3554588.5342657994</v>
      </c>
      <c r="B1190" s="458">
        <v>1.7736091724416925E-2</v>
      </c>
      <c r="C1190" s="477">
        <v>12094922.713424593</v>
      </c>
      <c r="D1190" s="458">
        <v>5.730340563449321E-2</v>
      </c>
      <c r="E1190" s="477">
        <v>17125988.183838371</v>
      </c>
      <c r="F1190" s="458">
        <v>0.11476553313664706</v>
      </c>
      <c r="G1190" s="477">
        <v>91427679.083975166</v>
      </c>
      <c r="H1190" s="458">
        <v>0.30679206430403294</v>
      </c>
      <c r="I1190" s="468">
        <v>5.5072605297134309</v>
      </c>
    </row>
    <row r="1191" spans="1:9" ht="16.5" x14ac:dyDescent="0.3">
      <c r="A1191" s="477">
        <v>2248407.1120605459</v>
      </c>
      <c r="B1191" s="458">
        <v>3.5310280105126379E-2</v>
      </c>
      <c r="C1191" s="477">
        <v>10313622.367969608</v>
      </c>
      <c r="D1191" s="458">
        <v>7.2292988170491235E-2</v>
      </c>
      <c r="E1191" s="477">
        <v>20464851.155502874</v>
      </c>
      <c r="F1191" s="458">
        <v>0.10991086749148504</v>
      </c>
      <c r="G1191" s="477">
        <v>91551121.783407301</v>
      </c>
      <c r="H1191" s="458">
        <v>0.28111692206236683</v>
      </c>
      <c r="I1191" s="468">
        <v>9.1341886902481235</v>
      </c>
    </row>
    <row r="1192" spans="1:9" ht="16.5" x14ac:dyDescent="0.3">
      <c r="A1192" s="477">
        <v>6965308.3302446082</v>
      </c>
      <c r="B1192" s="458">
        <v>1.9891268494965031E-2</v>
      </c>
      <c r="C1192" s="477">
        <v>7982658.0723989755</v>
      </c>
      <c r="D1192" s="458">
        <v>5.7226701348066955E-2</v>
      </c>
      <c r="E1192" s="477">
        <v>18391806.323584728</v>
      </c>
      <c r="F1192" s="458">
        <v>0.11544877812803556</v>
      </c>
      <c r="G1192" s="477">
        <v>98668555.530101433</v>
      </c>
      <c r="H1192" s="458">
        <v>0.25866127802997485</v>
      </c>
      <c r="I1192" s="468">
        <v>6.2079988060646532</v>
      </c>
    </row>
    <row r="1193" spans="1:9" ht="16.5" x14ac:dyDescent="0.3">
      <c r="A1193" s="477">
        <v>5403527.1555125611</v>
      </c>
      <c r="B1193" s="458">
        <v>2.8013678958984212E-2</v>
      </c>
      <c r="C1193" s="477">
        <v>7728330.8020665282</v>
      </c>
      <c r="D1193" s="458">
        <v>6.9815776172711841E-2</v>
      </c>
      <c r="E1193" s="477">
        <v>19263526.727793615</v>
      </c>
      <c r="F1193" s="458">
        <v>0.11815203554997922</v>
      </c>
      <c r="G1193" s="477">
        <v>79106391.803970948</v>
      </c>
      <c r="H1193" s="458">
        <v>0.28650374558669656</v>
      </c>
      <c r="I1193" s="468">
        <v>8.266082131091709</v>
      </c>
    </row>
    <row r="1194" spans="1:9" ht="16.5" x14ac:dyDescent="0.3">
      <c r="A1194" s="477">
        <v>8219940.3569553047</v>
      </c>
      <c r="B1194" s="458">
        <v>4.549986744775536E-2</v>
      </c>
      <c r="C1194" s="477">
        <v>9546642.2464495245</v>
      </c>
      <c r="D1194" s="458">
        <v>8.5766701911840437E-2</v>
      </c>
      <c r="E1194" s="477">
        <v>12975812.630091939</v>
      </c>
      <c r="F1194" s="458">
        <v>0.10092102125275892</v>
      </c>
      <c r="G1194" s="477">
        <v>78250638.762665763</v>
      </c>
      <c r="H1194" s="458">
        <v>0.26787458996757696</v>
      </c>
      <c r="I1194" s="468">
        <v>6.0052612577782369</v>
      </c>
    </row>
    <row r="1195" spans="1:9" ht="16.5" x14ac:dyDescent="0.3">
      <c r="A1195" s="477">
        <v>3895974.2629866572</v>
      </c>
      <c r="B1195" s="458">
        <v>5.1922084988408335E-2</v>
      </c>
      <c r="C1195" s="477">
        <v>9412765.7283634022</v>
      </c>
      <c r="D1195" s="458">
        <v>6.98053180394691E-2</v>
      </c>
      <c r="E1195" s="477">
        <v>9859010.0304668937</v>
      </c>
      <c r="F1195" s="458">
        <v>0.12141593824429542</v>
      </c>
      <c r="G1195" s="477">
        <v>108623615.77320865</v>
      </c>
      <c r="H1195" s="458">
        <v>0.26106814367532949</v>
      </c>
      <c r="I1195" s="468">
        <v>1.5873871118395808</v>
      </c>
    </row>
    <row r="1196" spans="1:9" ht="16.5" x14ac:dyDescent="0.3">
      <c r="A1196" s="477">
        <v>9994585.747933168</v>
      </c>
      <c r="B1196" s="458">
        <v>4.4091649288345636E-2</v>
      </c>
      <c r="C1196" s="477">
        <v>6546705.8285500659</v>
      </c>
      <c r="D1196" s="458">
        <v>7.3380459060458092E-2</v>
      </c>
      <c r="E1196" s="477">
        <v>11460205.370159188</v>
      </c>
      <c r="F1196" s="458">
        <v>0.10065529781944615</v>
      </c>
      <c r="G1196" s="477">
        <v>75808827.889621139</v>
      </c>
      <c r="H1196" s="458">
        <v>0.26971385716676344</v>
      </c>
      <c r="I1196" s="468">
        <v>11.513480519413163</v>
      </c>
    </row>
    <row r="1197" spans="1:9" ht="16.5" x14ac:dyDescent="0.3">
      <c r="A1197" s="477">
        <v>5003265.85230962</v>
      </c>
      <c r="B1197" s="458">
        <v>4.9146550358937002E-2</v>
      </c>
      <c r="C1197" s="477">
        <v>10457920.6696184</v>
      </c>
      <c r="D1197" s="458">
        <v>4.28936818943495E-2</v>
      </c>
      <c r="E1197" s="477">
        <v>14259847.756114841</v>
      </c>
      <c r="F1197" s="458">
        <v>0.10416118350504022</v>
      </c>
      <c r="G1197" s="477">
        <v>109025630.06670676</v>
      </c>
      <c r="H1197" s="458">
        <v>0.25020262529134407</v>
      </c>
      <c r="I1197" s="468">
        <v>6.4840668329486153</v>
      </c>
    </row>
    <row r="1198" spans="1:9" ht="16.5" x14ac:dyDescent="0.3">
      <c r="A1198" s="477">
        <v>7589592.5715033198</v>
      </c>
      <c r="B1198" s="458">
        <v>4.1142111229970135E-2</v>
      </c>
      <c r="C1198" s="477">
        <v>9541596.4610047247</v>
      </c>
      <c r="D1198" s="458">
        <v>6.8152591376251959E-2</v>
      </c>
      <c r="E1198" s="477">
        <v>21245131.357401539</v>
      </c>
      <c r="F1198" s="458">
        <v>0.11150282187357985</v>
      </c>
      <c r="G1198" s="477">
        <v>101920311.15668015</v>
      </c>
      <c r="H1198" s="458">
        <v>0.26592212158700379</v>
      </c>
      <c r="I1198" s="468">
        <v>6.8472131948303687</v>
      </c>
    </row>
    <row r="1199" spans="1:9" ht="16.5" x14ac:dyDescent="0.3">
      <c r="A1199" s="477">
        <v>9869165.3784351125</v>
      </c>
      <c r="B1199" s="458">
        <v>2.9286895630974641E-2</v>
      </c>
      <c r="C1199" s="477">
        <v>8719491.6327009294</v>
      </c>
      <c r="D1199" s="458">
        <v>5.3391283508544163E-2</v>
      </c>
      <c r="E1199" s="477">
        <v>18866958.480675846</v>
      </c>
      <c r="F1199" s="458">
        <v>0.10705068245642013</v>
      </c>
      <c r="G1199" s="477">
        <v>87480719.628463209</v>
      </c>
      <c r="H1199" s="458">
        <v>0.25928646825244694</v>
      </c>
      <c r="I1199" s="468">
        <v>16.381795970457819</v>
      </c>
    </row>
    <row r="1200" spans="1:9" ht="16.5" x14ac:dyDescent="0.3">
      <c r="A1200" s="477">
        <v>5646889.0534737213</v>
      </c>
      <c r="B1200" s="458">
        <v>2.2383969984719254E-2</v>
      </c>
      <c r="C1200" s="477">
        <v>10953617.715255192</v>
      </c>
      <c r="D1200" s="458">
        <v>7.5215393641073991E-2</v>
      </c>
      <c r="E1200" s="477">
        <v>17977940.764814511</v>
      </c>
      <c r="F1200" s="458">
        <v>9.9381099713227394E-2</v>
      </c>
      <c r="G1200" s="477">
        <v>91957692.544476882</v>
      </c>
      <c r="H1200" s="458">
        <v>0.28511097948567476</v>
      </c>
      <c r="I1200" s="468">
        <v>3.6269797372565185</v>
      </c>
    </row>
    <row r="1201" spans="1:9" ht="16.5" x14ac:dyDescent="0.3">
      <c r="A1201" s="477">
        <v>3155806.0318836751</v>
      </c>
      <c r="B1201" s="458">
        <v>4.2957806024751521E-2</v>
      </c>
      <c r="C1201" s="477">
        <v>8484469.1280809417</v>
      </c>
      <c r="D1201" s="458">
        <v>5.269431858113327E-2</v>
      </c>
      <c r="E1201" s="477">
        <v>18205507.756667387</v>
      </c>
      <c r="F1201" s="458">
        <v>7.7574055354539873E-2</v>
      </c>
      <c r="G1201" s="477">
        <v>77018423.291622207</v>
      </c>
      <c r="H1201" s="458">
        <v>0.29197514543428404</v>
      </c>
      <c r="I1201" s="468">
        <v>3.3878091294100745</v>
      </c>
    </row>
    <row r="1202" spans="1:9" ht="16.5" x14ac:dyDescent="0.3">
      <c r="A1202" s="477">
        <v>10591259.177102456</v>
      </c>
      <c r="B1202" s="458">
        <v>6.48155370236978E-2</v>
      </c>
      <c r="C1202" s="477">
        <v>1732158.4300166038</v>
      </c>
      <c r="D1202" s="458">
        <v>6.1127702511817761E-2</v>
      </c>
      <c r="E1202" s="477">
        <v>20342908.707563888</v>
      </c>
      <c r="F1202" s="458">
        <v>0.1083808881622117</v>
      </c>
      <c r="G1202" s="477">
        <v>80531879.260520786</v>
      </c>
      <c r="H1202" s="458">
        <v>0.28876319818299012</v>
      </c>
      <c r="I1202" s="468">
        <v>9.6313848576436545</v>
      </c>
    </row>
    <row r="1203" spans="1:9" ht="16.5" x14ac:dyDescent="0.3">
      <c r="A1203" s="477">
        <v>7465366.195556052</v>
      </c>
      <c r="B1203" s="458">
        <v>4.4925050700185931E-2</v>
      </c>
      <c r="C1203" s="477">
        <v>9136712.7041593306</v>
      </c>
      <c r="D1203" s="458">
        <v>9.8954753851184574E-2</v>
      </c>
      <c r="E1203" s="477">
        <v>21671103.85308573</v>
      </c>
      <c r="F1203" s="458">
        <v>0.10580357269669194</v>
      </c>
      <c r="G1203" s="477">
        <v>91079149.16429764</v>
      </c>
      <c r="H1203" s="458">
        <v>0.28035711216195214</v>
      </c>
      <c r="I1203" s="468">
        <v>8.2557021624269158</v>
      </c>
    </row>
    <row r="1204" spans="1:9" ht="16.5" x14ac:dyDescent="0.3">
      <c r="A1204" s="477">
        <v>5882032.1796220075</v>
      </c>
      <c r="B1204" s="458">
        <v>4.3417027598249947E-2</v>
      </c>
      <c r="C1204" s="477">
        <v>5462558.032820778</v>
      </c>
      <c r="D1204" s="458">
        <v>8.9736749302123053E-2</v>
      </c>
      <c r="E1204" s="477">
        <v>20990877.314627308</v>
      </c>
      <c r="F1204" s="458">
        <v>7.338304688361319E-2</v>
      </c>
      <c r="G1204" s="477">
        <v>89818051.933687568</v>
      </c>
      <c r="H1204" s="458">
        <v>0.26904586330484204</v>
      </c>
      <c r="I1204" s="468">
        <v>5.5623910775402514</v>
      </c>
    </row>
    <row r="1205" spans="1:9" ht="16.5" x14ac:dyDescent="0.3">
      <c r="A1205" s="477">
        <v>923908.04461603763</v>
      </c>
      <c r="B1205" s="458">
        <v>3.7740969463089025E-2</v>
      </c>
      <c r="C1205" s="477">
        <v>5765464.7440335508</v>
      </c>
      <c r="D1205" s="458">
        <v>7.0109022119355213E-2</v>
      </c>
      <c r="E1205" s="477">
        <v>16419687.202766605</v>
      </c>
      <c r="F1205" s="458">
        <v>9.035482341972001E-2</v>
      </c>
      <c r="G1205" s="477">
        <v>108759830.6676847</v>
      </c>
      <c r="H1205" s="458">
        <v>0.27337863451979549</v>
      </c>
      <c r="I1205" s="468">
        <v>5.5469637676547752</v>
      </c>
    </row>
    <row r="1206" spans="1:9" ht="16.5" x14ac:dyDescent="0.3">
      <c r="A1206" s="477">
        <v>2372089.7110178955</v>
      </c>
      <c r="B1206" s="458">
        <v>5.7054766974821813E-2</v>
      </c>
      <c r="C1206" s="477">
        <v>9352747.2275055982</v>
      </c>
      <c r="D1206" s="458">
        <v>8.8478987698956013E-2</v>
      </c>
      <c r="E1206" s="477">
        <v>16775719.510065494</v>
      </c>
      <c r="F1206" s="458">
        <v>0.14638456153279122</v>
      </c>
      <c r="G1206" s="477">
        <v>94051759.936423272</v>
      </c>
      <c r="H1206" s="458">
        <v>0.26206168986308542</v>
      </c>
      <c r="I1206" s="468">
        <v>7.7517295431568209</v>
      </c>
    </row>
    <row r="1207" spans="1:9" ht="16.5" x14ac:dyDescent="0.3">
      <c r="A1207" s="477">
        <v>1418112.9580052565</v>
      </c>
      <c r="B1207" s="458">
        <v>3.2424570853804457E-2</v>
      </c>
      <c r="C1207" s="477">
        <v>4305970.6781360097</v>
      </c>
      <c r="D1207" s="458">
        <v>8.3605127038137717E-2</v>
      </c>
      <c r="E1207" s="477">
        <v>20800951.981550809</v>
      </c>
      <c r="F1207" s="458">
        <v>0.13166409003031609</v>
      </c>
      <c r="G1207" s="477">
        <v>92765628.134701163</v>
      </c>
      <c r="H1207" s="458">
        <v>0.2520974238635405</v>
      </c>
      <c r="I1207" s="468">
        <v>10.451422652104412</v>
      </c>
    </row>
    <row r="1208" spans="1:9" ht="16.5" x14ac:dyDescent="0.3">
      <c r="A1208" s="477">
        <v>2762033.42192664</v>
      </c>
      <c r="B1208" s="458">
        <v>2.8814214914966607E-2</v>
      </c>
      <c r="C1208" s="477">
        <v>6586581.0131731639</v>
      </c>
      <c r="D1208" s="458">
        <v>0.10712054548114169</v>
      </c>
      <c r="E1208" s="477">
        <v>19477750.517910924</v>
      </c>
      <c r="F1208" s="458">
        <v>7.7847049302417703E-2</v>
      </c>
      <c r="G1208" s="477">
        <v>87866551.724408776</v>
      </c>
      <c r="H1208" s="458">
        <v>0.28967234671765651</v>
      </c>
      <c r="I1208" s="468">
        <v>11.802786679560473</v>
      </c>
    </row>
    <row r="1209" spans="1:9" ht="16.5" x14ac:dyDescent="0.3">
      <c r="A1209" s="477">
        <v>6425815.1443365915</v>
      </c>
      <c r="B1209" s="458">
        <v>7.0943125048396061E-2</v>
      </c>
      <c r="C1209" s="477">
        <v>15467438.286808711</v>
      </c>
      <c r="D1209" s="458">
        <v>6.4356066039123805E-2</v>
      </c>
      <c r="E1209" s="477">
        <v>15609373.037612367</v>
      </c>
      <c r="F1209" s="458">
        <v>0.11748714349414713</v>
      </c>
      <c r="G1209" s="477">
        <v>94827530.127847344</v>
      </c>
      <c r="H1209" s="458">
        <v>0.28379561398371878</v>
      </c>
      <c r="I1209" s="468">
        <v>4.991614496286819</v>
      </c>
    </row>
    <row r="1210" spans="1:9" ht="16.5" x14ac:dyDescent="0.3">
      <c r="A1210" s="477">
        <v>4552018.2436003722</v>
      </c>
      <c r="B1210" s="458">
        <v>3.987956905905321E-2</v>
      </c>
      <c r="C1210" s="477">
        <v>10895240.540794576</v>
      </c>
      <c r="D1210" s="458">
        <v>5.2584120334240092E-2</v>
      </c>
      <c r="E1210" s="477">
        <v>25524440.585721537</v>
      </c>
      <c r="F1210" s="458">
        <v>0.15926156686807857</v>
      </c>
      <c r="G1210" s="477">
        <v>88629439.834715009</v>
      </c>
      <c r="H1210" s="458">
        <v>0.28566195760588964</v>
      </c>
      <c r="I1210" s="468">
        <v>4.6319240613797312</v>
      </c>
    </row>
    <row r="1211" spans="1:9" ht="16.5" x14ac:dyDescent="0.3">
      <c r="A1211" s="477">
        <v>5391350.4645185191</v>
      </c>
      <c r="B1211" s="458">
        <v>5.4382431227836925E-2</v>
      </c>
      <c r="C1211" s="477">
        <v>5477732.3595673256</v>
      </c>
      <c r="D1211" s="458">
        <v>9.3433126304743874E-2</v>
      </c>
      <c r="E1211" s="477">
        <v>13544369.217697164</v>
      </c>
      <c r="F1211" s="458">
        <v>0.12070389513911239</v>
      </c>
      <c r="G1211" s="477">
        <v>85814276.560905606</v>
      </c>
      <c r="H1211" s="458">
        <v>0.27345106793994978</v>
      </c>
      <c r="I1211" s="468">
        <v>10.236550185971346</v>
      </c>
    </row>
    <row r="1212" spans="1:9" ht="16.5" x14ac:dyDescent="0.3">
      <c r="A1212" s="477">
        <v>5282108.7027332373</v>
      </c>
      <c r="B1212" s="458">
        <v>4.9267821587954508E-2</v>
      </c>
      <c r="C1212" s="477">
        <v>13549578.720831206</v>
      </c>
      <c r="D1212" s="458">
        <v>3.7451980175551292E-2</v>
      </c>
      <c r="E1212" s="477">
        <v>17657449.382407598</v>
      </c>
      <c r="F1212" s="458">
        <v>9.1589310963980042E-2</v>
      </c>
      <c r="G1212" s="477">
        <v>86319580.175166994</v>
      </c>
      <c r="H1212" s="458">
        <v>0.27232814215607015</v>
      </c>
      <c r="I1212" s="468">
        <v>4.7209833281182307</v>
      </c>
    </row>
    <row r="1213" spans="1:9" ht="16.5" x14ac:dyDescent="0.3">
      <c r="A1213" s="477">
        <v>3983397.5721622193</v>
      </c>
      <c r="B1213" s="458">
        <v>2.9559601760564158E-2</v>
      </c>
      <c r="C1213" s="477">
        <v>12191191.088812253</v>
      </c>
      <c r="D1213" s="458">
        <v>9.0698455552099988E-2</v>
      </c>
      <c r="E1213" s="477">
        <v>13784066.744535914</v>
      </c>
      <c r="F1213" s="458">
        <v>9.745780613941446E-2</v>
      </c>
      <c r="G1213" s="477">
        <v>84409503.195649266</v>
      </c>
      <c r="H1213" s="458">
        <v>0.26458677067388003</v>
      </c>
      <c r="I1213" s="468">
        <v>11.679331271128209</v>
      </c>
    </row>
    <row r="1214" spans="1:9" ht="16.5" x14ac:dyDescent="0.3">
      <c r="A1214" s="477">
        <v>4573600.403472607</v>
      </c>
      <c r="B1214" s="458">
        <v>3.328154726824506E-2</v>
      </c>
      <c r="C1214" s="477">
        <v>5629516.190411414</v>
      </c>
      <c r="D1214" s="458">
        <v>6.9177065093469103E-2</v>
      </c>
      <c r="E1214" s="477">
        <v>25500660.658256564</v>
      </c>
      <c r="F1214" s="458">
        <v>9.801334310698584E-2</v>
      </c>
      <c r="G1214" s="477">
        <v>98044358.77879262</v>
      </c>
      <c r="H1214" s="458">
        <v>0.25897597514422044</v>
      </c>
      <c r="I1214" s="468">
        <v>7.5278404557088514</v>
      </c>
    </row>
    <row r="1215" spans="1:9" ht="16.5" x14ac:dyDescent="0.3">
      <c r="A1215" s="477">
        <v>3925037.7782932697</v>
      </c>
      <c r="B1215" s="458">
        <v>5.6501764046570591E-2</v>
      </c>
      <c r="C1215" s="477">
        <v>10738598.429766847</v>
      </c>
      <c r="D1215" s="458">
        <v>6.3413395750886004E-2</v>
      </c>
      <c r="E1215" s="477">
        <v>13163459.432494845</v>
      </c>
      <c r="F1215" s="458">
        <v>0.10421763509336479</v>
      </c>
      <c r="G1215" s="477">
        <v>90590657.39040792</v>
      </c>
      <c r="H1215" s="458">
        <v>0.26341897751417975</v>
      </c>
      <c r="I1215" s="468">
        <v>5.211409561264519</v>
      </c>
    </row>
    <row r="1216" spans="1:9" ht="16.5" x14ac:dyDescent="0.3">
      <c r="A1216" s="477">
        <v>3352996.9252301701</v>
      </c>
      <c r="B1216" s="458">
        <v>3.2221222614426948E-2</v>
      </c>
      <c r="C1216" s="477">
        <v>5078781.4984245719</v>
      </c>
      <c r="D1216" s="458">
        <v>8.8828079549289285E-2</v>
      </c>
      <c r="E1216" s="477">
        <v>7933414.0985792177</v>
      </c>
      <c r="F1216" s="458">
        <v>0.14676180336536326</v>
      </c>
      <c r="G1216" s="477">
        <v>99799894.971547708</v>
      </c>
      <c r="H1216" s="458">
        <v>0.25683832299966269</v>
      </c>
      <c r="I1216" s="468">
        <v>7.4851758671287891</v>
      </c>
    </row>
    <row r="1217" spans="1:9" ht="16.5" x14ac:dyDescent="0.3">
      <c r="A1217" s="477">
        <v>8822491.0108790416</v>
      </c>
      <c r="B1217" s="458">
        <v>4.2626096495018473E-2</v>
      </c>
      <c r="C1217" s="477">
        <v>8699126.8836198822</v>
      </c>
      <c r="D1217" s="458">
        <v>6.8557576696921307E-2</v>
      </c>
      <c r="E1217" s="477">
        <v>23055348.396543954</v>
      </c>
      <c r="F1217" s="458">
        <v>9.1854945421494083E-2</v>
      </c>
      <c r="G1217" s="477">
        <v>88023314.653249413</v>
      </c>
      <c r="H1217" s="458">
        <v>0.27754138755822222</v>
      </c>
      <c r="I1217" s="468">
        <v>5.8065093747624674</v>
      </c>
    </row>
    <row r="1218" spans="1:9" ht="16.5" x14ac:dyDescent="0.3">
      <c r="A1218" s="477">
        <v>9063266.6342681553</v>
      </c>
      <c r="B1218" s="458">
        <v>4.6815616765983226E-2</v>
      </c>
      <c r="C1218" s="477">
        <v>11035744.156088457</v>
      </c>
      <c r="D1218" s="458">
        <v>6.7463016973786871E-2</v>
      </c>
      <c r="E1218" s="477">
        <v>18558753.112945139</v>
      </c>
      <c r="F1218" s="458">
        <v>0.1187912056009004</v>
      </c>
      <c r="G1218" s="477">
        <v>109188184.1672415</v>
      </c>
      <c r="H1218" s="458">
        <v>0.26879570321396185</v>
      </c>
      <c r="I1218" s="468">
        <v>5.6478469606843191</v>
      </c>
    </row>
    <row r="1219" spans="1:9" ht="16.5" x14ac:dyDescent="0.3">
      <c r="A1219" s="477">
        <v>6615767.9855331052</v>
      </c>
      <c r="B1219" s="458">
        <v>6.3092312403937312E-2</v>
      </c>
      <c r="C1219" s="477">
        <v>5940611.5372501425</v>
      </c>
      <c r="D1219" s="458">
        <v>7.5969696383599405E-2</v>
      </c>
      <c r="E1219" s="477">
        <v>10036570.701549267</v>
      </c>
      <c r="F1219" s="458">
        <v>0.12981044781432649</v>
      </c>
      <c r="G1219" s="477">
        <v>90764677.926639348</v>
      </c>
      <c r="H1219" s="458">
        <v>0.25768622762151483</v>
      </c>
      <c r="I1219" s="468">
        <v>5.2392178901622568</v>
      </c>
    </row>
    <row r="1220" spans="1:9" ht="16.5" x14ac:dyDescent="0.3">
      <c r="A1220" s="477">
        <v>3595292.0026262538</v>
      </c>
      <c r="B1220" s="458">
        <v>8.8266880568147021E-2</v>
      </c>
      <c r="C1220" s="477">
        <v>14366766.624135789</v>
      </c>
      <c r="D1220" s="458">
        <v>4.9943161306722716E-2</v>
      </c>
      <c r="E1220" s="477">
        <v>20028113.118912704</v>
      </c>
      <c r="F1220" s="458">
        <v>0.11629526387062694</v>
      </c>
      <c r="G1220" s="477">
        <v>93963143.204053149</v>
      </c>
      <c r="H1220" s="458">
        <v>0.25103645879203573</v>
      </c>
      <c r="I1220" s="468">
        <v>8.0013386326276166</v>
      </c>
    </row>
    <row r="1221" spans="1:9" ht="16.5" x14ac:dyDescent="0.3">
      <c r="A1221" s="477">
        <v>2893552.8921815543</v>
      </c>
      <c r="B1221" s="458">
        <v>3.9812435458354001E-2</v>
      </c>
      <c r="C1221" s="477">
        <v>10947528.663961323</v>
      </c>
      <c r="D1221" s="458">
        <v>6.9334577211660031E-2</v>
      </c>
      <c r="E1221" s="477">
        <v>16301197.569875052</v>
      </c>
      <c r="F1221" s="458">
        <v>0.1024430453347831</v>
      </c>
      <c r="G1221" s="477">
        <v>95309054.644790858</v>
      </c>
      <c r="H1221" s="458">
        <v>0.27633748573152173</v>
      </c>
      <c r="I1221" s="468">
        <v>7.3994720171140109</v>
      </c>
    </row>
    <row r="1222" spans="1:9" ht="16.5" x14ac:dyDescent="0.3">
      <c r="A1222" s="477">
        <v>2120225.5416704663</v>
      </c>
      <c r="B1222" s="458">
        <v>2.9231360171442233E-2</v>
      </c>
      <c r="C1222" s="477">
        <v>3790546.7139479467</v>
      </c>
      <c r="D1222" s="458">
        <v>6.1070805138258244E-2</v>
      </c>
      <c r="E1222" s="477">
        <v>19722091.833359368</v>
      </c>
      <c r="F1222" s="458">
        <v>0.10334288022839599</v>
      </c>
      <c r="G1222" s="477">
        <v>95463432.549279541</v>
      </c>
      <c r="H1222" s="458">
        <v>0.25620684887103851</v>
      </c>
      <c r="I1222" s="468">
        <v>9.9176051135875269</v>
      </c>
    </row>
    <row r="1223" spans="1:9" ht="16.5" x14ac:dyDescent="0.3">
      <c r="A1223" s="477">
        <v>2492797.8470116779</v>
      </c>
      <c r="B1223" s="458">
        <v>3.7807498162578224E-2</v>
      </c>
      <c r="C1223" s="477">
        <v>12013626.598805701</v>
      </c>
      <c r="D1223" s="458">
        <v>6.9526786884723579E-2</v>
      </c>
      <c r="E1223" s="477">
        <v>22353617.651748903</v>
      </c>
      <c r="F1223" s="458">
        <v>9.572468379011112E-2</v>
      </c>
      <c r="G1223" s="477">
        <v>89746542.42665796</v>
      </c>
      <c r="H1223" s="458">
        <v>0.25196930357283365</v>
      </c>
      <c r="I1223" s="468">
        <v>1.3121921691475951</v>
      </c>
    </row>
    <row r="1224" spans="1:9" ht="16.5" x14ac:dyDescent="0.3">
      <c r="A1224" s="477">
        <v>1798372.3678084947</v>
      </c>
      <c r="B1224" s="458">
        <v>3.216116538923508E-2</v>
      </c>
      <c r="C1224" s="477">
        <v>7058983.8101731976</v>
      </c>
      <c r="D1224" s="458">
        <v>6.4542091081229991E-2</v>
      </c>
      <c r="E1224" s="477">
        <v>11719085.622072965</v>
      </c>
      <c r="F1224" s="458">
        <v>9.9136196733044857E-2</v>
      </c>
      <c r="G1224" s="477">
        <v>101427578.9605705</v>
      </c>
      <c r="H1224" s="458">
        <v>0.25145315148514125</v>
      </c>
      <c r="I1224" s="468">
        <v>7.1378585558490633</v>
      </c>
    </row>
    <row r="1225" spans="1:9" ht="16.5" x14ac:dyDescent="0.3">
      <c r="A1225" s="477">
        <v>5387803.2005575495</v>
      </c>
      <c r="B1225" s="458">
        <v>1.5906718465928504E-2</v>
      </c>
      <c r="C1225" s="477">
        <v>6785279.8895328315</v>
      </c>
      <c r="D1225" s="458">
        <v>6.7689320284918919E-2</v>
      </c>
      <c r="E1225" s="477">
        <v>22029859.658635937</v>
      </c>
      <c r="F1225" s="458">
        <v>0.1037354936133843</v>
      </c>
      <c r="G1225" s="477">
        <v>78055277.276179656</v>
      </c>
      <c r="H1225" s="458">
        <v>0.28137549170379872</v>
      </c>
      <c r="I1225" s="468">
        <v>16.674101537775446</v>
      </c>
    </row>
    <row r="1226" spans="1:9" ht="16.5" x14ac:dyDescent="0.3">
      <c r="A1226" s="477">
        <v>6213020.81341465</v>
      </c>
      <c r="B1226" s="458">
        <v>7.4638056826478394E-2</v>
      </c>
      <c r="C1226" s="477">
        <v>14090134.229372587</v>
      </c>
      <c r="D1226" s="458">
        <v>7.6895876526224649E-2</v>
      </c>
      <c r="E1226" s="477">
        <v>14459067.023672136</v>
      </c>
      <c r="F1226" s="458">
        <v>0.10455188550435035</v>
      </c>
      <c r="G1226" s="477">
        <v>89966555.974158779</v>
      </c>
      <c r="H1226" s="458">
        <v>0.26453009068556788</v>
      </c>
      <c r="I1226" s="468">
        <v>8.8102075524137859</v>
      </c>
    </row>
    <row r="1227" spans="1:9" ht="16.5" x14ac:dyDescent="0.3">
      <c r="A1227" s="477">
        <v>5423117.8729275847</v>
      </c>
      <c r="B1227" s="458">
        <v>2.6936957956399388E-2</v>
      </c>
      <c r="C1227" s="477">
        <v>11392249.965589585</v>
      </c>
      <c r="D1227" s="458">
        <v>4.5371018803928242E-2</v>
      </c>
      <c r="E1227" s="477">
        <v>11475289.97091864</v>
      </c>
      <c r="F1227" s="458">
        <v>9.8295188852456583E-2</v>
      </c>
      <c r="G1227" s="477">
        <v>83786474.736799031</v>
      </c>
      <c r="H1227" s="458">
        <v>0.25346395111215791</v>
      </c>
      <c r="I1227" s="468">
        <v>6.8816757795902133</v>
      </c>
    </row>
    <row r="1228" spans="1:9" ht="16.5" x14ac:dyDescent="0.3">
      <c r="A1228" s="477">
        <v>6943651.1657372564</v>
      </c>
      <c r="B1228" s="458">
        <v>5.1661517799119316E-2</v>
      </c>
      <c r="C1228" s="477">
        <v>8048495.9809101308</v>
      </c>
      <c r="D1228" s="458">
        <v>5.6432775605397723E-2</v>
      </c>
      <c r="E1228" s="477">
        <v>11893604.239454888</v>
      </c>
      <c r="F1228" s="458">
        <v>0.10287816026039498</v>
      </c>
      <c r="G1228" s="477">
        <v>98312950.183429286</v>
      </c>
      <c r="H1228" s="458">
        <v>0.26850216852993691</v>
      </c>
      <c r="I1228" s="468">
        <v>8.3115548300795439</v>
      </c>
    </row>
    <row r="1229" spans="1:9" ht="16.5" x14ac:dyDescent="0.3">
      <c r="A1229" s="477">
        <v>2923709.3465213208</v>
      </c>
      <c r="B1229" s="458">
        <v>3.5339507548675764E-2</v>
      </c>
      <c r="C1229" s="477">
        <v>12350016.403693751</v>
      </c>
      <c r="D1229" s="458">
        <v>5.1390053739317043E-2</v>
      </c>
      <c r="E1229" s="477">
        <v>10819188.140679725</v>
      </c>
      <c r="F1229" s="458">
        <v>0.10618424647902036</v>
      </c>
      <c r="G1229" s="477">
        <v>87588472.864832863</v>
      </c>
      <c r="H1229" s="458">
        <v>0.29283927316031511</v>
      </c>
      <c r="I1229" s="468">
        <v>12.691781795840946</v>
      </c>
    </row>
    <row r="1230" spans="1:9" ht="16.5" x14ac:dyDescent="0.3">
      <c r="A1230" s="477">
        <v>4097594.1452340577</v>
      </c>
      <c r="B1230" s="458">
        <v>4.5835569581052837E-2</v>
      </c>
      <c r="C1230" s="477">
        <v>-306535.42865835963</v>
      </c>
      <c r="D1230" s="458">
        <v>3.1964993872858338E-2</v>
      </c>
      <c r="E1230" s="477">
        <v>18888672.905407026</v>
      </c>
      <c r="F1230" s="458">
        <v>0.10606276861774377</v>
      </c>
      <c r="G1230" s="477">
        <v>96275722.407724336</v>
      </c>
      <c r="H1230" s="458">
        <v>0.27338057799567572</v>
      </c>
      <c r="I1230" s="468">
        <v>10.154803267895844</v>
      </c>
    </row>
    <row r="1231" spans="1:9" ht="16.5" x14ac:dyDescent="0.3">
      <c r="A1231" s="477">
        <v>3715778.8353865268</v>
      </c>
      <c r="B1231" s="458">
        <v>4.2485204728585746E-2</v>
      </c>
      <c r="C1231" s="477">
        <v>5996678.8242768422</v>
      </c>
      <c r="D1231" s="458">
        <v>7.2509724570155809E-2</v>
      </c>
      <c r="E1231" s="477">
        <v>22848747.172339141</v>
      </c>
      <c r="F1231" s="458">
        <v>0.10680512213136484</v>
      </c>
      <c r="G1231" s="477">
        <v>93347213.322056815</v>
      </c>
      <c r="H1231" s="458">
        <v>0.27375198406537327</v>
      </c>
      <c r="I1231" s="468">
        <v>6.593923569836206</v>
      </c>
    </row>
    <row r="1232" spans="1:9" ht="16.5" x14ac:dyDescent="0.3">
      <c r="A1232" s="477">
        <v>7131577.6724510761</v>
      </c>
      <c r="B1232" s="458">
        <v>3.6603879504303105E-2</v>
      </c>
      <c r="C1232" s="477">
        <v>-1034101.7182007377</v>
      </c>
      <c r="D1232" s="458">
        <v>7.2023313897091601E-2</v>
      </c>
      <c r="E1232" s="477">
        <v>17033378.12897649</v>
      </c>
      <c r="F1232" s="458">
        <v>8.9768691710890414E-2</v>
      </c>
      <c r="G1232" s="477">
        <v>78681840.195596546</v>
      </c>
      <c r="H1232" s="458">
        <v>0.29410428724048199</v>
      </c>
      <c r="I1232" s="468">
        <v>11.491520256066774</v>
      </c>
    </row>
    <row r="1233" spans="1:9" ht="16.5" x14ac:dyDescent="0.3">
      <c r="A1233" s="477">
        <v>6217478.4056118364</v>
      </c>
      <c r="B1233" s="458">
        <v>2.9525267434465707E-2</v>
      </c>
      <c r="C1233" s="477">
        <v>9399374.95980574</v>
      </c>
      <c r="D1233" s="458">
        <v>6.5873041602205751E-2</v>
      </c>
      <c r="E1233" s="477">
        <v>16954199.750150129</v>
      </c>
      <c r="F1233" s="458">
        <v>0.15691255534033921</v>
      </c>
      <c r="G1233" s="477">
        <v>88753736.003825247</v>
      </c>
      <c r="H1233" s="458">
        <v>0.28577321087966356</v>
      </c>
      <c r="I1233" s="468">
        <v>11.079025900929974</v>
      </c>
    </row>
    <row r="1234" spans="1:9" ht="16.5" x14ac:dyDescent="0.3">
      <c r="A1234" s="477">
        <v>5575679.9487063466</v>
      </c>
      <c r="B1234" s="458">
        <v>5.7063416059419669E-2</v>
      </c>
      <c r="C1234" s="477">
        <v>7872189.2538626008</v>
      </c>
      <c r="D1234" s="458">
        <v>8.2998721036343204E-2</v>
      </c>
      <c r="E1234" s="477">
        <v>20557300.64848892</v>
      </c>
      <c r="F1234" s="458">
        <v>0.11671021572163576</v>
      </c>
      <c r="G1234" s="477">
        <v>81888928.05721131</v>
      </c>
      <c r="H1234" s="458">
        <v>0.26614413013161764</v>
      </c>
      <c r="I1234" s="468">
        <v>5.0479655831264472</v>
      </c>
    </row>
    <row r="1235" spans="1:9" ht="16.5" x14ac:dyDescent="0.3">
      <c r="A1235" s="477">
        <v>4734332.2352085197</v>
      </c>
      <c r="B1235" s="458">
        <v>2.2970408692011945E-2</v>
      </c>
      <c r="C1235" s="477">
        <v>7880083.5565537801</v>
      </c>
      <c r="D1235" s="458">
        <v>8.0182966695681701E-2</v>
      </c>
      <c r="E1235" s="477">
        <v>12153315.806776892</v>
      </c>
      <c r="F1235" s="458">
        <v>0.11132360208775038</v>
      </c>
      <c r="G1235" s="477">
        <v>90039999.87387529</v>
      </c>
      <c r="H1235" s="458">
        <v>0.26852908103991235</v>
      </c>
      <c r="I1235" s="468">
        <v>14.714266326989282</v>
      </c>
    </row>
    <row r="1236" spans="1:9" ht="16.5" x14ac:dyDescent="0.3">
      <c r="A1236" s="477">
        <v>10255076.370220257</v>
      </c>
      <c r="B1236" s="458">
        <v>2.7877926327819269E-2</v>
      </c>
      <c r="C1236" s="477">
        <v>3222414.6923038107</v>
      </c>
      <c r="D1236" s="458">
        <v>5.1790501980716996E-2</v>
      </c>
      <c r="E1236" s="477">
        <v>7435262.5790419579</v>
      </c>
      <c r="F1236" s="458">
        <v>0.11874469694319068</v>
      </c>
      <c r="G1236" s="477">
        <v>88456629.03150019</v>
      </c>
      <c r="H1236" s="458">
        <v>0.27218279977241222</v>
      </c>
      <c r="I1236" s="468">
        <v>2.9777582076878106</v>
      </c>
    </row>
    <row r="1237" spans="1:9" ht="16.5" x14ac:dyDescent="0.3">
      <c r="A1237" s="477">
        <v>4300545.4546808479</v>
      </c>
      <c r="B1237" s="458">
        <v>5.5443811005244203E-2</v>
      </c>
      <c r="C1237" s="477">
        <v>9784180.5088092778</v>
      </c>
      <c r="D1237" s="458">
        <v>7.6432978812244645E-2</v>
      </c>
      <c r="E1237" s="477">
        <v>10013419.895686086</v>
      </c>
      <c r="F1237" s="458">
        <v>0.12270385408398132</v>
      </c>
      <c r="G1237" s="477">
        <v>91295300.979099452</v>
      </c>
      <c r="H1237" s="458">
        <v>0.27909664042576199</v>
      </c>
      <c r="I1237" s="468">
        <v>8.0374290654972178</v>
      </c>
    </row>
    <row r="1238" spans="1:9" ht="16.5" x14ac:dyDescent="0.3">
      <c r="A1238" s="477">
        <v>4592168.3051713658</v>
      </c>
      <c r="B1238" s="458">
        <v>3.6469073961106657E-2</v>
      </c>
      <c r="C1238" s="477">
        <v>6104926.1416136753</v>
      </c>
      <c r="D1238" s="458">
        <v>9.5539621363561089E-2</v>
      </c>
      <c r="E1238" s="477">
        <v>13820458.173436038</v>
      </c>
      <c r="F1238" s="458">
        <v>0.12295053542620438</v>
      </c>
      <c r="G1238" s="477">
        <v>82804026.222178087</v>
      </c>
      <c r="H1238" s="458">
        <v>0.26712351063279516</v>
      </c>
      <c r="I1238" s="468">
        <v>1.3397214703085254</v>
      </c>
    </row>
    <row r="1239" spans="1:9" ht="16.5" x14ac:dyDescent="0.3">
      <c r="A1239" s="477">
        <v>2448066.2205196526</v>
      </c>
      <c r="B1239" s="458">
        <v>1.9931583676838338E-2</v>
      </c>
      <c r="C1239" s="477">
        <v>10356309.393384838</v>
      </c>
      <c r="D1239" s="458">
        <v>4.9374733189655462E-2</v>
      </c>
      <c r="E1239" s="477">
        <v>12443488.762919892</v>
      </c>
      <c r="F1239" s="458">
        <v>0.12646313656693331</v>
      </c>
      <c r="G1239" s="477">
        <v>78136078.319671422</v>
      </c>
      <c r="H1239" s="458">
        <v>0.26029720263644629</v>
      </c>
      <c r="I1239" s="468">
        <v>2.9994169757605</v>
      </c>
    </row>
    <row r="1240" spans="1:9" ht="16.5" x14ac:dyDescent="0.3">
      <c r="A1240" s="477">
        <v>3005592.2212478588</v>
      </c>
      <c r="B1240" s="458">
        <v>3.9081299977778983E-2</v>
      </c>
      <c r="C1240" s="477">
        <v>9888692.6559114009</v>
      </c>
      <c r="D1240" s="458">
        <v>6.6955338758967642E-2</v>
      </c>
      <c r="E1240" s="477">
        <v>11044537.063701687</v>
      </c>
      <c r="F1240" s="458">
        <v>9.9469153521584586E-2</v>
      </c>
      <c r="G1240" s="477">
        <v>89365498.58283563</v>
      </c>
      <c r="H1240" s="458">
        <v>0.2818866334210044</v>
      </c>
      <c r="I1240" s="468">
        <v>7.1168013169915358</v>
      </c>
    </row>
    <row r="1241" spans="1:9" ht="16.5" x14ac:dyDescent="0.3">
      <c r="A1241" s="477">
        <v>2798417.9794936501</v>
      </c>
      <c r="B1241" s="458">
        <v>3.0844370210722838E-2</v>
      </c>
      <c r="C1241" s="477">
        <v>7193682.3211544119</v>
      </c>
      <c r="D1241" s="458">
        <v>4.4169620957948075E-2</v>
      </c>
      <c r="E1241" s="477">
        <v>13673680.629365372</v>
      </c>
      <c r="F1241" s="458">
        <v>0.11990868943658994</v>
      </c>
      <c r="G1241" s="477">
        <v>92552143.458217815</v>
      </c>
      <c r="H1241" s="458">
        <v>0.26657910878232127</v>
      </c>
      <c r="I1241" s="468">
        <v>11.303291198847209</v>
      </c>
    </row>
    <row r="1242" spans="1:9" ht="16.5" x14ac:dyDescent="0.3">
      <c r="A1242" s="477">
        <v>7839475.4445488183</v>
      </c>
      <c r="B1242" s="458">
        <v>5.1490701383016146E-2</v>
      </c>
      <c r="C1242" s="477">
        <v>5222854.0106395222</v>
      </c>
      <c r="D1242" s="458">
        <v>3.6330731475642697E-2</v>
      </c>
      <c r="E1242" s="477">
        <v>17039241.92351298</v>
      </c>
      <c r="F1242" s="458">
        <v>0.10720677023673986</v>
      </c>
      <c r="G1242" s="477">
        <v>91629879.315837607</v>
      </c>
      <c r="H1242" s="458">
        <v>0.24813816115626208</v>
      </c>
      <c r="I1242" s="468">
        <v>7.7550637537743832</v>
      </c>
    </row>
    <row r="1243" spans="1:9" ht="16.5" x14ac:dyDescent="0.3">
      <c r="A1243" s="477">
        <v>-2235413.0918578305</v>
      </c>
      <c r="B1243" s="458">
        <v>3.1182515709353487E-2</v>
      </c>
      <c r="C1243" s="477">
        <v>9163706.5723323766</v>
      </c>
      <c r="D1243" s="458">
        <v>4.7941874636873161E-2</v>
      </c>
      <c r="E1243" s="477">
        <v>16772286.729272399</v>
      </c>
      <c r="F1243" s="458">
        <v>0.11520776360615748</v>
      </c>
      <c r="G1243" s="477">
        <v>93679526.278694347</v>
      </c>
      <c r="H1243" s="458">
        <v>0.27730211615793099</v>
      </c>
      <c r="I1243" s="468">
        <v>14.628286239198115</v>
      </c>
    </row>
    <row r="1244" spans="1:9" ht="16.5" x14ac:dyDescent="0.3">
      <c r="A1244" s="477">
        <v>2085209.6587208151</v>
      </c>
      <c r="B1244" s="458">
        <v>4.2756220017308832E-2</v>
      </c>
      <c r="C1244" s="477">
        <v>2674391.6659647566</v>
      </c>
      <c r="D1244" s="458">
        <v>6.3958057517149003E-2</v>
      </c>
      <c r="E1244" s="477">
        <v>13942896.045475993</v>
      </c>
      <c r="F1244" s="458">
        <v>0.11122737439620156</v>
      </c>
      <c r="G1244" s="477">
        <v>83560472.800661713</v>
      </c>
      <c r="H1244" s="458">
        <v>0.26516731424347006</v>
      </c>
      <c r="I1244" s="468">
        <v>5.8124140704139933</v>
      </c>
    </row>
    <row r="1245" spans="1:9" ht="16.5" x14ac:dyDescent="0.3">
      <c r="A1245" s="477">
        <v>2091437.6748690787</v>
      </c>
      <c r="B1245" s="458">
        <v>3.7096379622368447E-2</v>
      </c>
      <c r="C1245" s="477">
        <v>6029643.4301723149</v>
      </c>
      <c r="D1245" s="458">
        <v>8.9072473623060366E-2</v>
      </c>
      <c r="E1245" s="477">
        <v>16727135.699396852</v>
      </c>
      <c r="F1245" s="458">
        <v>9.9335852240127975E-2</v>
      </c>
      <c r="G1245" s="477">
        <v>100326603.60685787</v>
      </c>
      <c r="H1245" s="458">
        <v>0.26120515048676651</v>
      </c>
      <c r="I1245" s="468">
        <v>7.0098782740765273</v>
      </c>
    </row>
    <row r="1246" spans="1:9" ht="16.5" x14ac:dyDescent="0.3">
      <c r="A1246" s="477">
        <v>6330320.7736313501</v>
      </c>
      <c r="B1246" s="458">
        <v>5.7344683752180048E-2</v>
      </c>
      <c r="C1246" s="477">
        <v>15100708.923909092</v>
      </c>
      <c r="D1246" s="458">
        <v>8.2593138374853936E-2</v>
      </c>
      <c r="E1246" s="477">
        <v>13857656.151144546</v>
      </c>
      <c r="F1246" s="458">
        <v>9.9215980511197621E-2</v>
      </c>
      <c r="G1246" s="477">
        <v>80903447.615824744</v>
      </c>
      <c r="H1246" s="458">
        <v>0.25896270833485335</v>
      </c>
      <c r="I1246" s="468">
        <v>3.6700377594985971</v>
      </c>
    </row>
    <row r="1247" spans="1:9" ht="16.5" x14ac:dyDescent="0.3">
      <c r="A1247" s="477">
        <v>2728852.249740182</v>
      </c>
      <c r="B1247" s="458">
        <v>3.2151522161611545E-2</v>
      </c>
      <c r="C1247" s="477">
        <v>12285026.997629384</v>
      </c>
      <c r="D1247" s="458">
        <v>6.7067638295729592E-2</v>
      </c>
      <c r="E1247" s="477">
        <v>22174575.022730134</v>
      </c>
      <c r="F1247" s="458">
        <v>0.13455315031073445</v>
      </c>
      <c r="G1247" s="477">
        <v>100575504.01749855</v>
      </c>
      <c r="H1247" s="458">
        <v>0.28313261252294386</v>
      </c>
      <c r="I1247" s="468">
        <v>9.6139446980965158</v>
      </c>
    </row>
    <row r="1248" spans="1:9" ht="16.5" x14ac:dyDescent="0.3">
      <c r="A1248" s="477">
        <v>1968003.2169813602</v>
      </c>
      <c r="B1248" s="458">
        <v>6.5533383907405929E-2</v>
      </c>
      <c r="C1248" s="477">
        <v>10240915.286327461</v>
      </c>
      <c r="D1248" s="458">
        <v>9.1512079828663495E-2</v>
      </c>
      <c r="E1248" s="477">
        <v>25192768.421254922</v>
      </c>
      <c r="F1248" s="458">
        <v>0.10518475092249391</v>
      </c>
      <c r="G1248" s="477">
        <v>83306396.810289606</v>
      </c>
      <c r="H1248" s="458">
        <v>0.27782821438601912</v>
      </c>
      <c r="I1248" s="468">
        <v>10.76427874499357</v>
      </c>
    </row>
    <row r="1249" spans="1:9" ht="16.5" x14ac:dyDescent="0.3">
      <c r="A1249" s="477">
        <v>7802191.5388030848</v>
      </c>
      <c r="B1249" s="458">
        <v>4.1216186511358721E-2</v>
      </c>
      <c r="C1249" s="477">
        <v>2820817.5067631244</v>
      </c>
      <c r="D1249" s="458">
        <v>4.2356088636404277E-2</v>
      </c>
      <c r="E1249" s="477">
        <v>22650823.520624232</v>
      </c>
      <c r="F1249" s="458">
        <v>0.12464001656415946</v>
      </c>
      <c r="G1249" s="477">
        <v>94064933.85580276</v>
      </c>
      <c r="H1249" s="458">
        <v>0.26478190046232064</v>
      </c>
      <c r="I1249" s="468">
        <v>5.8427481404301682</v>
      </c>
    </row>
    <row r="1250" spans="1:9" ht="16.5" x14ac:dyDescent="0.3">
      <c r="A1250" s="477">
        <v>3704106.7380527332</v>
      </c>
      <c r="B1250" s="458">
        <v>6.4715152179315227E-2</v>
      </c>
      <c r="C1250" s="477">
        <v>13470023.411357898</v>
      </c>
      <c r="D1250" s="458">
        <v>4.2869788220737171E-2</v>
      </c>
      <c r="E1250" s="477">
        <v>11209597.678462788</v>
      </c>
      <c r="F1250" s="458">
        <v>0.10704936419862809</v>
      </c>
      <c r="G1250" s="477">
        <v>97059083.320740178</v>
      </c>
      <c r="H1250" s="458">
        <v>0.26908795294891807</v>
      </c>
      <c r="I1250" s="468">
        <v>3.6576233893471111</v>
      </c>
    </row>
    <row r="1251" spans="1:9" ht="16.5" x14ac:dyDescent="0.3">
      <c r="A1251" s="477">
        <v>6538147.7205523085</v>
      </c>
      <c r="B1251" s="458">
        <v>3.4365582223360169E-2</v>
      </c>
      <c r="C1251" s="477">
        <v>12389786.978816606</v>
      </c>
      <c r="D1251" s="458">
        <v>7.9384054077889399E-2</v>
      </c>
      <c r="E1251" s="477">
        <v>16199693.326418635</v>
      </c>
      <c r="F1251" s="458">
        <v>0.13193215110669709</v>
      </c>
      <c r="G1251" s="477">
        <v>86996876.275888622</v>
      </c>
      <c r="H1251" s="458">
        <v>0.27665045098636432</v>
      </c>
      <c r="I1251" s="468">
        <v>6.898752390857628</v>
      </c>
    </row>
    <row r="1252" spans="1:9" ht="16.5" x14ac:dyDescent="0.3">
      <c r="A1252" s="477">
        <v>2320974.5760923172</v>
      </c>
      <c r="B1252" s="458">
        <v>4.0955729223117077E-2</v>
      </c>
      <c r="C1252" s="477">
        <v>13248334.729702938</v>
      </c>
      <c r="D1252" s="458">
        <v>7.1459910408342431E-2</v>
      </c>
      <c r="E1252" s="477">
        <v>19757719.445774131</v>
      </c>
      <c r="F1252" s="458">
        <v>0.10392056905224956</v>
      </c>
      <c r="G1252" s="477">
        <v>86030880.166593298</v>
      </c>
      <c r="H1252" s="458">
        <v>0.29349614565938498</v>
      </c>
      <c r="I1252" s="468">
        <v>14.150396726675554</v>
      </c>
    </row>
    <row r="1253" spans="1:9" ht="16.5" x14ac:dyDescent="0.3">
      <c r="A1253" s="477">
        <v>3500375.5960715432</v>
      </c>
      <c r="B1253" s="458">
        <v>4.692328407236146E-2</v>
      </c>
      <c r="C1253" s="477">
        <v>11187707.390876969</v>
      </c>
      <c r="D1253" s="458">
        <v>8.0012969614758012E-2</v>
      </c>
      <c r="E1253" s="477">
        <v>22276114.070348665</v>
      </c>
      <c r="F1253" s="458">
        <v>0.11172370167500101</v>
      </c>
      <c r="G1253" s="477">
        <v>84257390.010067731</v>
      </c>
      <c r="H1253" s="458">
        <v>0.28196296971358747</v>
      </c>
      <c r="I1253" s="468">
        <v>16.107695354989168</v>
      </c>
    </row>
    <row r="1254" spans="1:9" ht="16.5" x14ac:dyDescent="0.3">
      <c r="A1254" s="477">
        <v>5492046.621945804</v>
      </c>
      <c r="B1254" s="458">
        <v>2.8365220700048654E-2</v>
      </c>
      <c r="C1254" s="477">
        <v>4959972.7357318467</v>
      </c>
      <c r="D1254" s="458">
        <v>6.0674030186074202E-2</v>
      </c>
      <c r="E1254" s="477">
        <v>27125624.664576232</v>
      </c>
      <c r="F1254" s="458">
        <v>0.10020203392148708</v>
      </c>
      <c r="G1254" s="477">
        <v>90260552.828751102</v>
      </c>
      <c r="H1254" s="458">
        <v>0.26713070098774105</v>
      </c>
      <c r="I1254" s="468">
        <v>9.4722102494434175</v>
      </c>
    </row>
    <row r="1255" spans="1:9" ht="16.5" x14ac:dyDescent="0.3">
      <c r="A1255" s="477">
        <v>8850821.148309866</v>
      </c>
      <c r="B1255" s="458">
        <v>3.1916442706157122E-2</v>
      </c>
      <c r="C1255" s="477">
        <v>10535505.646876127</v>
      </c>
      <c r="D1255" s="458">
        <v>6.7658484806782493E-2</v>
      </c>
      <c r="E1255" s="477">
        <v>18072923.289283592</v>
      </c>
      <c r="F1255" s="458">
        <v>0.11805995872972419</v>
      </c>
      <c r="G1255" s="477">
        <v>97353390.925900519</v>
      </c>
      <c r="H1255" s="458">
        <v>0.26844449140779547</v>
      </c>
      <c r="I1255" s="468">
        <v>3.9464860595323268</v>
      </c>
    </row>
    <row r="1256" spans="1:9" ht="16.5" x14ac:dyDescent="0.3">
      <c r="A1256" s="477">
        <v>6339736.424019048</v>
      </c>
      <c r="B1256" s="458">
        <v>2.2912222070861521E-2</v>
      </c>
      <c r="C1256" s="477">
        <v>1778999.1233464256</v>
      </c>
      <c r="D1256" s="458">
        <v>6.5199758953699005E-2</v>
      </c>
      <c r="E1256" s="477">
        <v>14853647.452132916</v>
      </c>
      <c r="F1256" s="458">
        <v>0.11428947128841194</v>
      </c>
      <c r="G1256" s="477">
        <v>80174480.365256906</v>
      </c>
      <c r="H1256" s="458">
        <v>0.27662319213441577</v>
      </c>
      <c r="I1256" s="468">
        <v>3.3839445589665047</v>
      </c>
    </row>
    <row r="1257" spans="1:9" ht="16.5" x14ac:dyDescent="0.3">
      <c r="A1257" s="477">
        <v>2933419.1396706435</v>
      </c>
      <c r="B1257" s="458">
        <v>2.7741646592571056E-2</v>
      </c>
      <c r="C1257" s="477">
        <v>6050343.4304852355</v>
      </c>
      <c r="D1257" s="458">
        <v>4.8249302019485629E-2</v>
      </c>
      <c r="E1257" s="477">
        <v>17279995.610955458</v>
      </c>
      <c r="F1257" s="458">
        <v>0.10414784768096297</v>
      </c>
      <c r="G1257" s="477">
        <v>94955105.755021766</v>
      </c>
      <c r="H1257" s="458">
        <v>0.28460674819607745</v>
      </c>
      <c r="I1257" s="468">
        <v>3.6734844052187716</v>
      </c>
    </row>
    <row r="1258" spans="1:9" ht="16.5" x14ac:dyDescent="0.3">
      <c r="A1258" s="477">
        <v>3909131.8662963035</v>
      </c>
      <c r="B1258" s="458">
        <v>3.3957405922400596E-2</v>
      </c>
      <c r="C1258" s="477">
        <v>8388802.7106548715</v>
      </c>
      <c r="D1258" s="458">
        <v>7.3196311350095078E-2</v>
      </c>
      <c r="E1258" s="477">
        <v>20042821.923923843</v>
      </c>
      <c r="F1258" s="458">
        <v>0.10525680267746762</v>
      </c>
      <c r="G1258" s="477">
        <v>98026621.576945677</v>
      </c>
      <c r="H1258" s="458">
        <v>0.26235727630850247</v>
      </c>
      <c r="I1258" s="468">
        <v>8.7218894184947047</v>
      </c>
    </row>
    <row r="1259" spans="1:9" ht="16.5" x14ac:dyDescent="0.3">
      <c r="A1259" s="477">
        <v>5393321.6859978121</v>
      </c>
      <c r="B1259" s="458">
        <v>3.786991080535862E-2</v>
      </c>
      <c r="C1259" s="477">
        <v>-8443423.8362834733</v>
      </c>
      <c r="D1259" s="458">
        <v>5.6166354870285984E-2</v>
      </c>
      <c r="E1259" s="477">
        <v>16109948.274523597</v>
      </c>
      <c r="F1259" s="458">
        <v>0.10258446096034435</v>
      </c>
      <c r="G1259" s="477">
        <v>89609308.062567592</v>
      </c>
      <c r="H1259" s="458">
        <v>0.2754290038214795</v>
      </c>
      <c r="I1259" s="468">
        <v>11.837137222566529</v>
      </c>
    </row>
    <row r="1260" spans="1:9" ht="16.5" x14ac:dyDescent="0.3">
      <c r="A1260" s="477">
        <v>-492993.4597146603</v>
      </c>
      <c r="B1260" s="458">
        <v>2.3925774194267779E-2</v>
      </c>
      <c r="C1260" s="477">
        <v>8708415.1618761532</v>
      </c>
      <c r="D1260" s="458">
        <v>5.1314757100109576E-2</v>
      </c>
      <c r="E1260" s="477">
        <v>11405382.846134411</v>
      </c>
      <c r="F1260" s="458">
        <v>8.8329498754304181E-2</v>
      </c>
      <c r="G1260" s="477">
        <v>97910304.016906455</v>
      </c>
      <c r="H1260" s="458">
        <v>0.2701760580994863</v>
      </c>
      <c r="I1260" s="468">
        <v>11.283688038403472</v>
      </c>
    </row>
    <row r="1261" spans="1:9" ht="16.5" x14ac:dyDescent="0.3">
      <c r="A1261" s="477">
        <v>4301292.0983825</v>
      </c>
      <c r="B1261" s="458">
        <v>3.2724164550413937E-2</v>
      </c>
      <c r="C1261" s="477">
        <v>9019284.133555878</v>
      </c>
      <c r="D1261" s="458">
        <v>6.8648450813853179E-2</v>
      </c>
      <c r="E1261" s="477">
        <v>24173081.033403646</v>
      </c>
      <c r="F1261" s="458">
        <v>9.1768960778461972E-2</v>
      </c>
      <c r="G1261" s="477">
        <v>85296037.910405308</v>
      </c>
      <c r="H1261" s="458">
        <v>0.25721072193968264</v>
      </c>
      <c r="I1261" s="468">
        <v>12.920692358612769</v>
      </c>
    </row>
    <row r="1262" spans="1:9" ht="16.5" x14ac:dyDescent="0.3">
      <c r="A1262" s="477">
        <v>6289308.691479194</v>
      </c>
      <c r="B1262" s="458">
        <v>2.4818861267627002E-2</v>
      </c>
      <c r="C1262" s="477">
        <v>9117599.8736051843</v>
      </c>
      <c r="D1262" s="458">
        <v>7.3812148449356796E-2</v>
      </c>
      <c r="E1262" s="477">
        <v>21144110.526845593</v>
      </c>
      <c r="F1262" s="458">
        <v>0.13132879765244487</v>
      </c>
      <c r="G1262" s="477">
        <v>84752562.189130157</v>
      </c>
      <c r="H1262" s="458">
        <v>0.25934522219516043</v>
      </c>
      <c r="I1262" s="468">
        <v>12.803541003756667</v>
      </c>
    </row>
    <row r="1263" spans="1:9" ht="16.5" x14ac:dyDescent="0.3">
      <c r="A1263" s="477">
        <v>6404271.9623591229</v>
      </c>
      <c r="B1263" s="458">
        <v>3.1124788366689193E-2</v>
      </c>
      <c r="C1263" s="477">
        <v>8284446.6930511314</v>
      </c>
      <c r="D1263" s="458">
        <v>7.4110704750357526E-2</v>
      </c>
      <c r="E1263" s="477">
        <v>7792110.5234298101</v>
      </c>
      <c r="F1263" s="458">
        <v>9.4064480935613703E-2</v>
      </c>
      <c r="G1263" s="477">
        <v>96091950.77343826</v>
      </c>
      <c r="H1263" s="458">
        <v>0.28975272073803593</v>
      </c>
      <c r="I1263" s="468">
        <v>11.759737303706641</v>
      </c>
    </row>
    <row r="1264" spans="1:9" ht="16.5" x14ac:dyDescent="0.3">
      <c r="A1264" s="477">
        <v>4177037.9300513859</v>
      </c>
      <c r="B1264" s="458">
        <v>4.4412331720443454E-2</v>
      </c>
      <c r="C1264" s="477">
        <v>8792712.8452538736</v>
      </c>
      <c r="D1264" s="458">
        <v>6.984019206092662E-2</v>
      </c>
      <c r="E1264" s="477">
        <v>23531538.762478676</v>
      </c>
      <c r="F1264" s="458">
        <v>0.14611425856146898</v>
      </c>
      <c r="G1264" s="477">
        <v>102255841.60297427</v>
      </c>
      <c r="H1264" s="458">
        <v>0.28292311772715606</v>
      </c>
      <c r="I1264" s="468">
        <v>15.001441442694546</v>
      </c>
    </row>
    <row r="1265" spans="1:9" ht="16.5" x14ac:dyDescent="0.3">
      <c r="A1265" s="477">
        <v>4214507.7655541264</v>
      </c>
      <c r="B1265" s="458">
        <v>5.2181632619466622E-2</v>
      </c>
      <c r="C1265" s="477">
        <v>10861284.083937475</v>
      </c>
      <c r="D1265" s="458">
        <v>6.7395697221753315E-2</v>
      </c>
      <c r="E1265" s="477">
        <v>16170060.393686257</v>
      </c>
      <c r="F1265" s="458">
        <v>0.11674628359605776</v>
      </c>
      <c r="G1265" s="477">
        <v>91471872.943066478</v>
      </c>
      <c r="H1265" s="458">
        <v>0.27096953355793163</v>
      </c>
      <c r="I1265" s="468">
        <v>12.298460946003317</v>
      </c>
    </row>
    <row r="1266" spans="1:9" ht="16.5" x14ac:dyDescent="0.3">
      <c r="A1266" s="477">
        <v>6323830.5698276451</v>
      </c>
      <c r="B1266" s="458">
        <v>4.6606631455385683E-2</v>
      </c>
      <c r="C1266" s="477">
        <v>13026119.889961986</v>
      </c>
      <c r="D1266" s="458">
        <v>8.1917467141171763E-2</v>
      </c>
      <c r="E1266" s="477">
        <v>10916591.952395495</v>
      </c>
      <c r="F1266" s="458">
        <v>0.11254128583792555</v>
      </c>
      <c r="G1266" s="477">
        <v>95569838.018492639</v>
      </c>
      <c r="H1266" s="458">
        <v>0.26768336788988734</v>
      </c>
      <c r="I1266" s="468">
        <v>3.1341551332932909</v>
      </c>
    </row>
    <row r="1267" spans="1:9" ht="16.5" x14ac:dyDescent="0.3">
      <c r="A1267" s="477">
        <v>2887586.783099704</v>
      </c>
      <c r="B1267" s="458">
        <v>4.7197017418100007E-2</v>
      </c>
      <c r="C1267" s="477">
        <v>6204434.9184688721</v>
      </c>
      <c r="D1267" s="458">
        <v>5.3937785931494897E-2</v>
      </c>
      <c r="E1267" s="477">
        <v>20114252.075064074</v>
      </c>
      <c r="F1267" s="458">
        <v>0.13284039144425619</v>
      </c>
      <c r="G1267" s="477">
        <v>91292153.24812822</v>
      </c>
      <c r="H1267" s="458">
        <v>0.25805784376791596</v>
      </c>
      <c r="I1267" s="468">
        <v>9.7410939926663875</v>
      </c>
    </row>
    <row r="1268" spans="1:9" ht="16.5" x14ac:dyDescent="0.3">
      <c r="A1268" s="477">
        <v>7601047.753275089</v>
      </c>
      <c r="B1268" s="458">
        <v>1.8519290034977542E-2</v>
      </c>
      <c r="C1268" s="477">
        <v>13136066.062244326</v>
      </c>
      <c r="D1268" s="458">
        <v>7.1750218014209333E-2</v>
      </c>
      <c r="E1268" s="477">
        <v>17140689.683621924</v>
      </c>
      <c r="F1268" s="458">
        <v>9.8214033530112488E-2</v>
      </c>
      <c r="G1268" s="477">
        <v>89951523.983980328</v>
      </c>
      <c r="H1268" s="458">
        <v>0.24663560772721782</v>
      </c>
      <c r="I1268" s="468">
        <v>1.5617188412465639</v>
      </c>
    </row>
    <row r="1269" spans="1:9" ht="16.5" x14ac:dyDescent="0.3">
      <c r="A1269" s="477">
        <v>1769159.3636833327</v>
      </c>
      <c r="B1269" s="458">
        <v>7.1887584037376717E-2</v>
      </c>
      <c r="C1269" s="477">
        <v>12664464.907478146</v>
      </c>
      <c r="D1269" s="458">
        <v>9.6455924521363867E-2</v>
      </c>
      <c r="E1269" s="477">
        <v>19224650.348486282</v>
      </c>
      <c r="F1269" s="458">
        <v>0.12081970658132746</v>
      </c>
      <c r="G1269" s="477">
        <v>91023850.009255737</v>
      </c>
      <c r="H1269" s="458">
        <v>0.27357897297044298</v>
      </c>
      <c r="I1269" s="468">
        <v>9.6640633651141545</v>
      </c>
    </row>
    <row r="1270" spans="1:9" ht="16.5" x14ac:dyDescent="0.3">
      <c r="A1270" s="477">
        <v>6410440.2884386685</v>
      </c>
      <c r="B1270" s="458">
        <v>3.6574157842521382E-2</v>
      </c>
      <c r="C1270" s="477">
        <v>2851023.3145435317</v>
      </c>
      <c r="D1270" s="458">
        <v>7.4353776196107946E-2</v>
      </c>
      <c r="E1270" s="477">
        <v>14059770.459149187</v>
      </c>
      <c r="F1270" s="458">
        <v>0.10583639976130854</v>
      </c>
      <c r="G1270" s="477">
        <v>95091933.574768499</v>
      </c>
      <c r="H1270" s="458">
        <v>0.26122313700037436</v>
      </c>
      <c r="I1270" s="468">
        <v>14.195205830315107</v>
      </c>
    </row>
    <row r="1271" spans="1:9" ht="16.5" x14ac:dyDescent="0.3">
      <c r="A1271" s="477">
        <v>3868524.826257661</v>
      </c>
      <c r="B1271" s="458">
        <v>4.5714630042882787E-2</v>
      </c>
      <c r="C1271" s="477">
        <v>10023414.49666163</v>
      </c>
      <c r="D1271" s="458">
        <v>7.3977028408900081E-2</v>
      </c>
      <c r="E1271" s="477">
        <v>16125386.935515039</v>
      </c>
      <c r="F1271" s="458">
        <v>0.1215985491875522</v>
      </c>
      <c r="G1271" s="477">
        <v>96052985.476966113</v>
      </c>
      <c r="H1271" s="458">
        <v>0.26957825865128826</v>
      </c>
      <c r="I1271" s="468">
        <v>9.5094271222560049</v>
      </c>
    </row>
    <row r="1272" spans="1:9" ht="16.5" x14ac:dyDescent="0.3">
      <c r="A1272" s="477">
        <v>776676.060244711</v>
      </c>
      <c r="B1272" s="458">
        <v>3.571851293453876E-2</v>
      </c>
      <c r="C1272" s="477">
        <v>7863935.940362989</v>
      </c>
      <c r="D1272" s="458">
        <v>8.1294838578918061E-2</v>
      </c>
      <c r="E1272" s="477">
        <v>18884830.23969806</v>
      </c>
      <c r="F1272" s="458">
        <v>0.10549567054653552</v>
      </c>
      <c r="G1272" s="477">
        <v>80078109.419410273</v>
      </c>
      <c r="H1272" s="458">
        <v>0.2782462363012832</v>
      </c>
      <c r="I1272" s="468">
        <v>10.196484783543426</v>
      </c>
    </row>
    <row r="1273" spans="1:9" ht="16.5" x14ac:dyDescent="0.3">
      <c r="A1273" s="477">
        <v>2536133.3136344519</v>
      </c>
      <c r="B1273" s="458">
        <v>3.9481346265995754E-2</v>
      </c>
      <c r="C1273" s="477">
        <v>15329585.277252585</v>
      </c>
      <c r="D1273" s="458">
        <v>8.3319866472248316E-2</v>
      </c>
      <c r="E1273" s="477">
        <v>14940406.872136114</v>
      </c>
      <c r="F1273" s="458">
        <v>0.12650917658393879</v>
      </c>
      <c r="G1273" s="477">
        <v>90051667.986762732</v>
      </c>
      <c r="H1273" s="458">
        <v>0.29202192896442769</v>
      </c>
      <c r="I1273" s="468">
        <v>7.2021540690271753</v>
      </c>
    </row>
    <row r="1274" spans="1:9" ht="16.5" x14ac:dyDescent="0.3">
      <c r="A1274" s="477">
        <v>3736808.0476098042</v>
      </c>
      <c r="B1274" s="458">
        <v>9.6846509418515359E-2</v>
      </c>
      <c r="C1274" s="477">
        <v>8694631.1696268376</v>
      </c>
      <c r="D1274" s="458">
        <v>5.4846069201822223E-2</v>
      </c>
      <c r="E1274" s="477">
        <v>21493195.465352088</v>
      </c>
      <c r="F1274" s="458">
        <v>0.12852407998897308</v>
      </c>
      <c r="G1274" s="477">
        <v>98844655.796809673</v>
      </c>
      <c r="H1274" s="458">
        <v>0.27083146573829309</v>
      </c>
      <c r="I1274" s="468">
        <v>7.8314536403033497</v>
      </c>
    </row>
    <row r="1275" spans="1:9" ht="16.5" x14ac:dyDescent="0.3">
      <c r="A1275" s="477">
        <v>2731641.0142030707</v>
      </c>
      <c r="B1275" s="458">
        <v>4.2695537176585585E-2</v>
      </c>
      <c r="C1275" s="477">
        <v>6477162.0962150218</v>
      </c>
      <c r="D1275" s="458">
        <v>6.5048680827295868E-2</v>
      </c>
      <c r="E1275" s="477">
        <v>19322478.792669825</v>
      </c>
      <c r="F1275" s="458">
        <v>0.11306469527054963</v>
      </c>
      <c r="G1275" s="477">
        <v>81756208.673767433</v>
      </c>
      <c r="H1275" s="458">
        <v>0.2653279336084795</v>
      </c>
      <c r="I1275" s="468">
        <v>11.248075267304218</v>
      </c>
    </row>
    <row r="1276" spans="1:9" ht="16.5" x14ac:dyDescent="0.3">
      <c r="A1276" s="477">
        <v>5566080.9374156771</v>
      </c>
      <c r="B1276" s="458">
        <v>2.4176712118023191E-2</v>
      </c>
      <c r="C1276" s="477">
        <v>10986236.930274939</v>
      </c>
      <c r="D1276" s="458">
        <v>5.4308993107662573E-2</v>
      </c>
      <c r="E1276" s="477">
        <v>18365866.375568252</v>
      </c>
      <c r="F1276" s="458">
        <v>0.16433984787606737</v>
      </c>
      <c r="G1276" s="477">
        <v>72070018.654248819</v>
      </c>
      <c r="H1276" s="458">
        <v>0.28748523146659677</v>
      </c>
      <c r="I1276" s="468">
        <v>8.3779187865876157</v>
      </c>
    </row>
    <row r="1277" spans="1:9" ht="16.5" x14ac:dyDescent="0.3">
      <c r="A1277" s="477">
        <v>4307472.2625740618</v>
      </c>
      <c r="B1277" s="458">
        <v>4.9411746764570275E-2</v>
      </c>
      <c r="C1277" s="477">
        <v>7653582.8409697814</v>
      </c>
      <c r="D1277" s="458">
        <v>8.3494149578926757E-2</v>
      </c>
      <c r="E1277" s="477">
        <v>18984950.823125519</v>
      </c>
      <c r="F1277" s="458">
        <v>0.11915691815493945</v>
      </c>
      <c r="G1277" s="477">
        <v>76256795.263904631</v>
      </c>
      <c r="H1277" s="458">
        <v>0.26978983986719762</v>
      </c>
      <c r="I1277" s="468">
        <v>3.8827843242775772</v>
      </c>
    </row>
    <row r="1278" spans="1:9" ht="16.5" x14ac:dyDescent="0.3">
      <c r="A1278" s="477">
        <v>8049982.627577845</v>
      </c>
      <c r="B1278" s="458">
        <v>4.26624169841201E-2</v>
      </c>
      <c r="C1278" s="477">
        <v>3962075.202613615</v>
      </c>
      <c r="D1278" s="458">
        <v>3.9503118551198479E-2</v>
      </c>
      <c r="E1278" s="477">
        <v>24074246.163626749</v>
      </c>
      <c r="F1278" s="458">
        <v>0.10007121861745216</v>
      </c>
      <c r="G1278" s="477">
        <v>82581555.141126454</v>
      </c>
      <c r="H1278" s="458">
        <v>0.27655387381084684</v>
      </c>
      <c r="I1278" s="468">
        <v>7.9657194816471932</v>
      </c>
    </row>
    <row r="1279" spans="1:9" ht="16.5" x14ac:dyDescent="0.3">
      <c r="A1279" s="477">
        <v>6717935.1407778617</v>
      </c>
      <c r="B1279" s="458">
        <v>6.8000202704730839E-2</v>
      </c>
      <c r="C1279" s="477">
        <v>2809700.1202872894</v>
      </c>
      <c r="D1279" s="458">
        <v>4.8062095096096158E-2</v>
      </c>
      <c r="E1279" s="477">
        <v>17135448.895483516</v>
      </c>
      <c r="F1279" s="458">
        <v>8.7780577752599731E-2</v>
      </c>
      <c r="G1279" s="477">
        <v>100749437.38668713</v>
      </c>
      <c r="H1279" s="458">
        <v>0.26165183398637581</v>
      </c>
      <c r="I1279" s="468">
        <v>6.670739346605159</v>
      </c>
    </row>
    <row r="1280" spans="1:9" ht="16.5" x14ac:dyDescent="0.3">
      <c r="A1280" s="477">
        <v>3434285.4996568565</v>
      </c>
      <c r="B1280" s="458">
        <v>3.0373208136966756E-2</v>
      </c>
      <c r="C1280" s="477">
        <v>888366.24103922502</v>
      </c>
      <c r="D1280" s="458">
        <v>5.4989533395967571E-2</v>
      </c>
      <c r="E1280" s="477">
        <v>16594791.557467932</v>
      </c>
      <c r="F1280" s="458">
        <v>0.12878159299984882</v>
      </c>
      <c r="G1280" s="477">
        <v>81244675.798300669</v>
      </c>
      <c r="H1280" s="458">
        <v>0.27229486011014936</v>
      </c>
      <c r="I1280" s="468">
        <v>1.3753464257183898</v>
      </c>
    </row>
    <row r="1281" spans="1:9" ht="16.5" x14ac:dyDescent="0.3">
      <c r="A1281" s="477">
        <v>7128867.8909853278</v>
      </c>
      <c r="B1281" s="458">
        <v>6.8535180226476644E-2</v>
      </c>
      <c r="C1281" s="477">
        <v>6790884.4260023963</v>
      </c>
      <c r="D1281" s="458">
        <v>7.6980652172732311E-2</v>
      </c>
      <c r="E1281" s="477">
        <v>21925183.170256674</v>
      </c>
      <c r="F1281" s="458">
        <v>7.6747505947292405E-2</v>
      </c>
      <c r="G1281" s="477">
        <v>87849206.611684069</v>
      </c>
      <c r="H1281" s="458">
        <v>0.26003554713390709</v>
      </c>
      <c r="I1281" s="468">
        <v>8.0206680256732366</v>
      </c>
    </row>
    <row r="1282" spans="1:9" ht="16.5" x14ac:dyDescent="0.3">
      <c r="A1282" s="477">
        <v>3292581.4139044448</v>
      </c>
      <c r="B1282" s="458">
        <v>3.2530978577549829E-2</v>
      </c>
      <c r="C1282" s="477">
        <v>2439180.8908920181</v>
      </c>
      <c r="D1282" s="458">
        <v>9.4961217637790529E-2</v>
      </c>
      <c r="E1282" s="477">
        <v>13661165.149537845</v>
      </c>
      <c r="F1282" s="458">
        <v>9.8246559897526842E-2</v>
      </c>
      <c r="G1282" s="477">
        <v>93115741.529954791</v>
      </c>
      <c r="H1282" s="458">
        <v>0.26585200954629751</v>
      </c>
      <c r="I1282" s="468">
        <v>8.4105185566160969</v>
      </c>
    </row>
    <row r="1283" spans="1:9" ht="16.5" x14ac:dyDescent="0.3">
      <c r="A1283" s="477">
        <v>3935711.8980629467</v>
      </c>
      <c r="B1283" s="458">
        <v>3.7681494511272895E-2</v>
      </c>
      <c r="C1283" s="477">
        <v>11673485.790860821</v>
      </c>
      <c r="D1283" s="458">
        <v>7.4506502445014888E-2</v>
      </c>
      <c r="E1283" s="477">
        <v>16940091.483336911</v>
      </c>
      <c r="F1283" s="458">
        <v>0.103351392014426</v>
      </c>
      <c r="G1283" s="477">
        <v>101182935.94247591</v>
      </c>
      <c r="H1283" s="458">
        <v>0.26615227527698448</v>
      </c>
      <c r="I1283" s="468">
        <v>10.09095725077476</v>
      </c>
    </row>
    <row r="1284" spans="1:9" ht="16.5" x14ac:dyDescent="0.3">
      <c r="A1284" s="477">
        <v>3386899.9768524789</v>
      </c>
      <c r="B1284" s="458">
        <v>3.6340269211979415E-2</v>
      </c>
      <c r="C1284" s="477">
        <v>10074013.139773935</v>
      </c>
      <c r="D1284" s="458">
        <v>5.790268978093116E-2</v>
      </c>
      <c r="E1284" s="477">
        <v>18449242.451833285</v>
      </c>
      <c r="F1284" s="458">
        <v>0.11501302377136602</v>
      </c>
      <c r="G1284" s="477">
        <v>90852778.708884135</v>
      </c>
      <c r="H1284" s="458">
        <v>0.28523132316618027</v>
      </c>
      <c r="I1284" s="468">
        <v>14.384513394676327</v>
      </c>
    </row>
    <row r="1285" spans="1:9" ht="16.5" x14ac:dyDescent="0.3">
      <c r="A1285" s="477">
        <v>5795080.8719816003</v>
      </c>
      <c r="B1285" s="458">
        <v>2.8598406804292376E-2</v>
      </c>
      <c r="C1285" s="477">
        <v>5399030.8480551569</v>
      </c>
      <c r="D1285" s="458">
        <v>4.3727724752458341E-2</v>
      </c>
      <c r="E1285" s="477">
        <v>16495309.026666857</v>
      </c>
      <c r="F1285" s="458">
        <v>8.3084342238755049E-2</v>
      </c>
      <c r="G1285" s="477">
        <v>93424368.512740001</v>
      </c>
      <c r="H1285" s="458">
        <v>0.27126133986194567</v>
      </c>
      <c r="I1285" s="468">
        <v>8.1628388177456817</v>
      </c>
    </row>
    <row r="1286" spans="1:9" ht="16.5" x14ac:dyDescent="0.3">
      <c r="A1286" s="477">
        <v>2392768.258603056</v>
      </c>
      <c r="B1286" s="458">
        <v>2.8534636813808856E-2</v>
      </c>
      <c r="C1286" s="477">
        <v>12183879.876998728</v>
      </c>
      <c r="D1286" s="458">
        <v>6.2481380824993771E-2</v>
      </c>
      <c r="E1286" s="477">
        <v>13386798.075699406</v>
      </c>
      <c r="F1286" s="458">
        <v>0.13017584574630647</v>
      </c>
      <c r="G1286" s="477">
        <v>95716369.182323441</v>
      </c>
      <c r="H1286" s="458">
        <v>0.25200770940195083</v>
      </c>
      <c r="I1286" s="468">
        <v>10.87823970052626</v>
      </c>
    </row>
    <row r="1287" spans="1:9" ht="16.5" x14ac:dyDescent="0.3">
      <c r="A1287" s="477">
        <v>6074700.3552152216</v>
      </c>
      <c r="B1287" s="458">
        <v>2.3660237965444919E-2</v>
      </c>
      <c r="C1287" s="477">
        <v>8373010.3700426035</v>
      </c>
      <c r="D1287" s="458">
        <v>3.5377239108747238E-2</v>
      </c>
      <c r="E1287" s="477">
        <v>15534579.137281138</v>
      </c>
      <c r="F1287" s="458">
        <v>0.13331471243643822</v>
      </c>
      <c r="G1287" s="477">
        <v>78070410.320578739</v>
      </c>
      <c r="H1287" s="458">
        <v>0.26930753207051206</v>
      </c>
      <c r="I1287" s="468">
        <v>4.0528811728653418</v>
      </c>
    </row>
    <row r="1288" spans="1:9" ht="16.5" x14ac:dyDescent="0.3">
      <c r="A1288" s="477">
        <v>4706161.219848264</v>
      </c>
      <c r="B1288" s="458">
        <v>4.6692570625041396E-2</v>
      </c>
      <c r="C1288" s="477">
        <v>8151261.8511388851</v>
      </c>
      <c r="D1288" s="458">
        <v>5.0585028795671505E-2</v>
      </c>
      <c r="E1288" s="477">
        <v>11757729.925221464</v>
      </c>
      <c r="F1288" s="458">
        <v>0.12437634943916076</v>
      </c>
      <c r="G1288" s="477">
        <v>75217705.021931604</v>
      </c>
      <c r="H1288" s="458">
        <v>0.26862745951478484</v>
      </c>
      <c r="I1288" s="468">
        <v>6.8510809515211486</v>
      </c>
    </row>
    <row r="1289" spans="1:9" ht="16.5" x14ac:dyDescent="0.3">
      <c r="A1289" s="477">
        <v>8828730.2276531942</v>
      </c>
      <c r="B1289" s="458">
        <v>4.4440807203140364E-2</v>
      </c>
      <c r="C1289" s="477">
        <v>3646817.9375090348</v>
      </c>
      <c r="D1289" s="458">
        <v>4.4562565793272446E-2</v>
      </c>
      <c r="E1289" s="477">
        <v>22889799.10196818</v>
      </c>
      <c r="F1289" s="458">
        <v>0.13734324758992855</v>
      </c>
      <c r="G1289" s="477">
        <v>100700014.21498065</v>
      </c>
      <c r="H1289" s="458">
        <v>0.24080559211494057</v>
      </c>
      <c r="I1289" s="468">
        <v>8.6118486246178421</v>
      </c>
    </row>
    <row r="1290" spans="1:9" ht="16.5" x14ac:dyDescent="0.3">
      <c r="A1290" s="477">
        <v>3542461.4678424639</v>
      </c>
      <c r="B1290" s="458">
        <v>1.9418890654992138E-2</v>
      </c>
      <c r="C1290" s="477">
        <v>6309950.5205060784</v>
      </c>
      <c r="D1290" s="458">
        <v>8.7195269833340028E-3</v>
      </c>
      <c r="E1290" s="477">
        <v>18883382.318786155</v>
      </c>
      <c r="F1290" s="458">
        <v>0.10717372756593546</v>
      </c>
      <c r="G1290" s="477">
        <v>101482020.26288426</v>
      </c>
      <c r="H1290" s="458">
        <v>0.29541758842150312</v>
      </c>
      <c r="I1290" s="468">
        <v>10.170332400240076</v>
      </c>
    </row>
    <row r="1291" spans="1:9" ht="16.5" x14ac:dyDescent="0.3">
      <c r="A1291" s="477">
        <v>4859206.0172924735</v>
      </c>
      <c r="B1291" s="458">
        <v>5.4038959666223185E-2</v>
      </c>
      <c r="C1291" s="477">
        <v>10693649.431870628</v>
      </c>
      <c r="D1291" s="458">
        <v>4.9588135261722011E-2</v>
      </c>
      <c r="E1291" s="477">
        <v>16579103.162016025</v>
      </c>
      <c r="F1291" s="458">
        <v>0.11682546087857526</v>
      </c>
      <c r="G1291" s="477">
        <v>105659572.49096926</v>
      </c>
      <c r="H1291" s="458">
        <v>0.26370842638814729</v>
      </c>
      <c r="I1291" s="468">
        <v>10.91960626816971</v>
      </c>
    </row>
    <row r="1292" spans="1:9" ht="16.5" x14ac:dyDescent="0.3">
      <c r="A1292" s="477">
        <v>4534465.6342181535</v>
      </c>
      <c r="B1292" s="458">
        <v>4.4230583728301021E-2</v>
      </c>
      <c r="C1292" s="477">
        <v>9661683.3220948111</v>
      </c>
      <c r="D1292" s="458">
        <v>7.9095476957620647E-2</v>
      </c>
      <c r="E1292" s="477">
        <v>21338341.131428897</v>
      </c>
      <c r="F1292" s="458">
        <v>0.12535030350396492</v>
      </c>
      <c r="G1292" s="477">
        <v>82183341.164073437</v>
      </c>
      <c r="H1292" s="458">
        <v>0.28186729316162396</v>
      </c>
      <c r="I1292" s="468">
        <v>8.0173803001951001</v>
      </c>
    </row>
    <row r="1293" spans="1:9" ht="16.5" x14ac:dyDescent="0.3">
      <c r="A1293" s="477">
        <v>9023788.5687718019</v>
      </c>
      <c r="B1293" s="458">
        <v>3.8384078409027467E-2</v>
      </c>
      <c r="C1293" s="477">
        <v>7193134.8489646399</v>
      </c>
      <c r="D1293" s="458">
        <v>5.5529045185018333E-2</v>
      </c>
      <c r="E1293" s="477">
        <v>14737922.019927476</v>
      </c>
      <c r="F1293" s="458">
        <v>0.11476758163390999</v>
      </c>
      <c r="G1293" s="477">
        <v>88453421.45234482</v>
      </c>
      <c r="H1293" s="458">
        <v>0.28183278917313115</v>
      </c>
      <c r="I1293" s="468">
        <v>5.93220461527544</v>
      </c>
    </row>
    <row r="1294" spans="1:9" ht="16.5" x14ac:dyDescent="0.3">
      <c r="A1294" s="477">
        <v>5519075.5342232911</v>
      </c>
      <c r="B1294" s="458">
        <v>0.10812196148087883</v>
      </c>
      <c r="C1294" s="477">
        <v>4417239.1759642251</v>
      </c>
      <c r="D1294" s="458">
        <v>5.2159192591592518E-2</v>
      </c>
      <c r="E1294" s="477">
        <v>18521479.587730493</v>
      </c>
      <c r="F1294" s="458">
        <v>8.1336589602151399E-2</v>
      </c>
      <c r="G1294" s="477">
        <v>93395467.938518763</v>
      </c>
      <c r="H1294" s="458">
        <v>0.27669001882338717</v>
      </c>
      <c r="I1294" s="468">
        <v>8.1710601119646906</v>
      </c>
    </row>
    <row r="1295" spans="1:9" ht="16.5" x14ac:dyDescent="0.3">
      <c r="A1295" s="477">
        <v>4613254.0874723168</v>
      </c>
      <c r="B1295" s="458">
        <v>4.8683736261008193E-2</v>
      </c>
      <c r="C1295" s="477">
        <v>8918836.1582571063</v>
      </c>
      <c r="D1295" s="458">
        <v>4.815873477256627E-2</v>
      </c>
      <c r="E1295" s="477">
        <v>15313222.647278147</v>
      </c>
      <c r="F1295" s="458">
        <v>8.3947936241609344E-2</v>
      </c>
      <c r="G1295" s="477">
        <v>96527669.961299449</v>
      </c>
      <c r="H1295" s="458">
        <v>0.26735871005526879</v>
      </c>
      <c r="I1295" s="468">
        <v>9.8590121813445304</v>
      </c>
    </row>
    <row r="1296" spans="1:9" ht="16.5" x14ac:dyDescent="0.3">
      <c r="A1296" s="477">
        <v>3576252.1891819891</v>
      </c>
      <c r="B1296" s="458">
        <v>2.7772668660341004E-2</v>
      </c>
      <c r="C1296" s="477">
        <v>12381902.074566478</v>
      </c>
      <c r="D1296" s="458">
        <v>2.2137902866756543E-2</v>
      </c>
      <c r="E1296" s="477">
        <v>15996225.732028378</v>
      </c>
      <c r="F1296" s="458">
        <v>8.8932124292883996E-2</v>
      </c>
      <c r="G1296" s="477">
        <v>89783005.531347483</v>
      </c>
      <c r="H1296" s="458">
        <v>0.26934197618058886</v>
      </c>
      <c r="I1296" s="468">
        <v>9.1018447245287444</v>
      </c>
    </row>
    <row r="1297" spans="1:9" ht="16.5" x14ac:dyDescent="0.3">
      <c r="A1297" s="477">
        <v>4205136.2414625371</v>
      </c>
      <c r="B1297" s="458">
        <v>6.4437249909077066E-2</v>
      </c>
      <c r="C1297" s="477">
        <v>9835991.2354804892</v>
      </c>
      <c r="D1297" s="458">
        <v>6.1048202312756983E-2</v>
      </c>
      <c r="E1297" s="477">
        <v>17332756.626090251</v>
      </c>
      <c r="F1297" s="458">
        <v>0.10952557810988384</v>
      </c>
      <c r="G1297" s="477">
        <v>90274051.613476396</v>
      </c>
      <c r="H1297" s="458">
        <v>0.30956273505554344</v>
      </c>
      <c r="I1297" s="468">
        <v>2.6496695274051119</v>
      </c>
    </row>
    <row r="1298" spans="1:9" ht="16.5" x14ac:dyDescent="0.3">
      <c r="A1298" s="477">
        <v>8823757.5538847614</v>
      </c>
      <c r="B1298" s="458">
        <v>1.4361985745682038E-2</v>
      </c>
      <c r="C1298" s="477">
        <v>8246009.2381166751</v>
      </c>
      <c r="D1298" s="458">
        <v>2.2369682789257439E-2</v>
      </c>
      <c r="E1298" s="477">
        <v>19724400.016804285</v>
      </c>
      <c r="F1298" s="458">
        <v>0.10408135972141874</v>
      </c>
      <c r="G1298" s="477">
        <v>83498608.294218302</v>
      </c>
      <c r="H1298" s="458">
        <v>0.26392388247491327</v>
      </c>
      <c r="I1298" s="468">
        <v>8.7910448489767177</v>
      </c>
    </row>
    <row r="1299" spans="1:9" ht="16.5" x14ac:dyDescent="0.3">
      <c r="A1299" s="477">
        <v>7461754.988635581</v>
      </c>
      <c r="B1299" s="458">
        <v>3.9032500261819703E-2</v>
      </c>
      <c r="C1299" s="477">
        <v>4988438.5768865431</v>
      </c>
      <c r="D1299" s="458">
        <v>3.6809040584674602E-2</v>
      </c>
      <c r="E1299" s="477">
        <v>14153695.525161158</v>
      </c>
      <c r="F1299" s="458">
        <v>0.11679007484025838</v>
      </c>
      <c r="G1299" s="477">
        <v>100773762.26186138</v>
      </c>
      <c r="H1299" s="458">
        <v>0.27383557924770674</v>
      </c>
      <c r="I1299" s="468">
        <v>5.2513433769266191</v>
      </c>
    </row>
    <row r="1300" spans="1:9" ht="16.5" x14ac:dyDescent="0.3">
      <c r="A1300" s="477">
        <v>2760345.9597431193</v>
      </c>
      <c r="B1300" s="458">
        <v>7.0847491601180757E-2</v>
      </c>
      <c r="C1300" s="477">
        <v>10135101.341396153</v>
      </c>
      <c r="D1300" s="458">
        <v>6.7170636507990933E-2</v>
      </c>
      <c r="E1300" s="477">
        <v>15447512.467992183</v>
      </c>
      <c r="F1300" s="458">
        <v>9.7160045013631846E-2</v>
      </c>
      <c r="G1300" s="477">
        <v>80408231.808654875</v>
      </c>
      <c r="H1300" s="458">
        <v>0.26165969164781755</v>
      </c>
      <c r="I1300" s="468">
        <v>12.6474124197991</v>
      </c>
    </row>
    <row r="1301" spans="1:9" ht="16.5" x14ac:dyDescent="0.3">
      <c r="A1301" s="477">
        <v>5611125.7477454618</v>
      </c>
      <c r="B1301" s="458">
        <v>4.1351591694966272E-2</v>
      </c>
      <c r="C1301" s="477">
        <v>5649054.7704815716</v>
      </c>
      <c r="D1301" s="458">
        <v>4.8656181804305199E-2</v>
      </c>
      <c r="E1301" s="477">
        <v>9729966.500302095</v>
      </c>
      <c r="F1301" s="458">
        <v>9.2116587723096943E-2</v>
      </c>
      <c r="G1301" s="477">
        <v>94642032.659622207</v>
      </c>
      <c r="H1301" s="458">
        <v>0.27634306047152335</v>
      </c>
      <c r="I1301" s="468">
        <v>3.6410425126234722</v>
      </c>
    </row>
    <row r="1302" spans="1:9" ht="16.5" x14ac:dyDescent="0.3">
      <c r="A1302" s="477">
        <v>5706603.1897693863</v>
      </c>
      <c r="B1302" s="458">
        <v>2.6928238527340387E-2</v>
      </c>
      <c r="C1302" s="477">
        <v>4239375.0963416798</v>
      </c>
      <c r="D1302" s="458">
        <v>8.7201116407273238E-2</v>
      </c>
      <c r="E1302" s="477">
        <v>13994693.811556891</v>
      </c>
      <c r="F1302" s="458">
        <v>0.10477627961709612</v>
      </c>
      <c r="G1302" s="477">
        <v>87785994.422862113</v>
      </c>
      <c r="H1302" s="458">
        <v>0.25312217617895594</v>
      </c>
      <c r="I1302" s="468">
        <v>3.7181296198689049</v>
      </c>
    </row>
    <row r="1303" spans="1:9" ht="16.5" x14ac:dyDescent="0.3">
      <c r="A1303" s="477">
        <v>819670.222003081</v>
      </c>
      <c r="B1303" s="458">
        <v>5.6522481644586842E-2</v>
      </c>
      <c r="C1303" s="477">
        <v>14291015.582901431</v>
      </c>
      <c r="D1303" s="458">
        <v>4.3596856547271301E-2</v>
      </c>
      <c r="E1303" s="477">
        <v>13948914.663153956</v>
      </c>
      <c r="F1303" s="458">
        <v>0.10905260762533353</v>
      </c>
      <c r="G1303" s="477">
        <v>95382555.184220105</v>
      </c>
      <c r="H1303" s="458">
        <v>0.25242065734353281</v>
      </c>
      <c r="I1303" s="468">
        <v>12.373492138568757</v>
      </c>
    </row>
    <row r="1304" spans="1:9" ht="16.5" x14ac:dyDescent="0.3">
      <c r="A1304" s="477">
        <v>5416619.8715416258</v>
      </c>
      <c r="B1304" s="458">
        <v>3.3825975541267983E-2</v>
      </c>
      <c r="C1304" s="477">
        <v>9690480.2653611694</v>
      </c>
      <c r="D1304" s="458">
        <v>6.6752422699535963E-2</v>
      </c>
      <c r="E1304" s="477">
        <v>12395999.686293131</v>
      </c>
      <c r="F1304" s="458">
        <v>0.10968684463702827</v>
      </c>
      <c r="G1304" s="477">
        <v>81728799.747296393</v>
      </c>
      <c r="H1304" s="458">
        <v>0.24776821470827826</v>
      </c>
      <c r="I1304" s="468">
        <v>4.4793409697430464</v>
      </c>
    </row>
    <row r="1305" spans="1:9" ht="16.5" x14ac:dyDescent="0.3">
      <c r="A1305" s="477">
        <v>803994.80628476071</v>
      </c>
      <c r="B1305" s="458">
        <v>3.6021027143706252E-2</v>
      </c>
      <c r="C1305" s="477">
        <v>5294840.0791610824</v>
      </c>
      <c r="D1305" s="458">
        <v>5.690053683238494E-2</v>
      </c>
      <c r="E1305" s="477">
        <v>12224528.135492049</v>
      </c>
      <c r="F1305" s="458">
        <v>8.0855527049205067E-2</v>
      </c>
      <c r="G1305" s="477">
        <v>95223677.405124605</v>
      </c>
      <c r="H1305" s="458">
        <v>0.26569800052832648</v>
      </c>
      <c r="I1305" s="468">
        <v>9.1941483635948344</v>
      </c>
    </row>
    <row r="1306" spans="1:9" ht="16.5" x14ac:dyDescent="0.3">
      <c r="A1306" s="477">
        <v>5388028.365681516</v>
      </c>
      <c r="B1306" s="458">
        <v>2.9766451025520446E-2</v>
      </c>
      <c r="C1306" s="477">
        <v>9905838.6504030395</v>
      </c>
      <c r="D1306" s="458">
        <v>6.5955658123363126E-2</v>
      </c>
      <c r="E1306" s="477">
        <v>13266617.461869495</v>
      </c>
      <c r="F1306" s="458">
        <v>9.7488738430154376E-2</v>
      </c>
      <c r="G1306" s="477">
        <v>79674888.872480646</v>
      </c>
      <c r="H1306" s="458">
        <v>0.2522653736291407</v>
      </c>
      <c r="I1306" s="468">
        <v>6.8961622370683919</v>
      </c>
    </row>
    <row r="1307" spans="1:9" ht="16.5" x14ac:dyDescent="0.3">
      <c r="A1307" s="477">
        <v>3752688.3618489038</v>
      </c>
      <c r="B1307" s="458">
        <v>4.363573613830285E-2</v>
      </c>
      <c r="C1307" s="477">
        <v>5787681.771129583</v>
      </c>
      <c r="D1307" s="458">
        <v>7.5086990260946118E-2</v>
      </c>
      <c r="E1307" s="477">
        <v>21065214.11666457</v>
      </c>
      <c r="F1307" s="458">
        <v>0.12674137367013594</v>
      </c>
      <c r="G1307" s="477">
        <v>94284163.500056744</v>
      </c>
      <c r="H1307" s="458">
        <v>0.26437707038851133</v>
      </c>
      <c r="I1307" s="468">
        <v>8.6475137347401745</v>
      </c>
    </row>
    <row r="1308" spans="1:9" ht="16.5" x14ac:dyDescent="0.3">
      <c r="A1308" s="477">
        <v>4971098.5304207606</v>
      </c>
      <c r="B1308" s="458">
        <v>5.8579781571594269E-2</v>
      </c>
      <c r="C1308" s="477">
        <v>5763586.5026544323</v>
      </c>
      <c r="D1308" s="458">
        <v>4.6656393751447478E-2</v>
      </c>
      <c r="E1308" s="477">
        <v>16767795.18292216</v>
      </c>
      <c r="F1308" s="458">
        <v>9.9024254874127582E-2</v>
      </c>
      <c r="G1308" s="477">
        <v>77239454.187273696</v>
      </c>
      <c r="H1308" s="458">
        <v>0.28450842858253123</v>
      </c>
      <c r="I1308" s="468">
        <v>8.9152379152263261</v>
      </c>
    </row>
    <row r="1309" spans="1:9" ht="16.5" x14ac:dyDescent="0.3">
      <c r="A1309" s="477">
        <v>3924984.8671531877</v>
      </c>
      <c r="B1309" s="458">
        <v>4.2375819213897659E-2</v>
      </c>
      <c r="C1309" s="477">
        <v>2493931.499092605</v>
      </c>
      <c r="D1309" s="458">
        <v>4.73118773447323E-2</v>
      </c>
      <c r="E1309" s="477">
        <v>21311562.081491131</v>
      </c>
      <c r="F1309" s="458">
        <v>9.4454158315057102E-2</v>
      </c>
      <c r="G1309" s="477">
        <v>84805628.825048789</v>
      </c>
      <c r="H1309" s="458">
        <v>0.2586196936933578</v>
      </c>
      <c r="I1309" s="468">
        <v>11.015650734479234</v>
      </c>
    </row>
    <row r="1310" spans="1:9" ht="16.5" x14ac:dyDescent="0.3">
      <c r="A1310" s="477">
        <v>3180675.1107950383</v>
      </c>
      <c r="B1310" s="458">
        <v>5.9312294838360424E-2</v>
      </c>
      <c r="C1310" s="477">
        <v>14506355.660517471</v>
      </c>
      <c r="D1310" s="458">
        <v>6.1729693816948261E-2</v>
      </c>
      <c r="E1310" s="477">
        <v>17072396.301172026</v>
      </c>
      <c r="F1310" s="458">
        <v>0.10737639113172648</v>
      </c>
      <c r="G1310" s="477">
        <v>98167596.939934909</v>
      </c>
      <c r="H1310" s="458">
        <v>0.2769975717941624</v>
      </c>
      <c r="I1310" s="468">
        <v>13.882189961046656</v>
      </c>
    </row>
    <row r="1311" spans="1:9" ht="16.5" x14ac:dyDescent="0.3">
      <c r="A1311" s="477">
        <v>3110646.7699269764</v>
      </c>
      <c r="B1311" s="458">
        <v>3.7674744463640053E-2</v>
      </c>
      <c r="C1311" s="477">
        <v>13054091.001338335</v>
      </c>
      <c r="D1311" s="458">
        <v>6.8081251339211279E-2</v>
      </c>
      <c r="E1311" s="477">
        <v>8680139.8413910735</v>
      </c>
      <c r="F1311" s="458">
        <v>0.12595926609396124</v>
      </c>
      <c r="G1311" s="477">
        <v>88376876.347014442</v>
      </c>
      <c r="H1311" s="458">
        <v>0.2556378271403752</v>
      </c>
      <c r="I1311" s="468">
        <v>2.7788841462213876</v>
      </c>
    </row>
    <row r="1312" spans="1:9" ht="16.5" x14ac:dyDescent="0.3">
      <c r="A1312" s="477">
        <v>6980684.4128587972</v>
      </c>
      <c r="B1312" s="458">
        <v>3.5098269380629432E-2</v>
      </c>
      <c r="C1312" s="477">
        <v>11460954.675338959</v>
      </c>
      <c r="D1312" s="458">
        <v>6.3446785379475124E-2</v>
      </c>
      <c r="E1312" s="477">
        <v>13556286.986945009</v>
      </c>
      <c r="F1312" s="458">
        <v>7.7720438601239339E-2</v>
      </c>
      <c r="G1312" s="477">
        <v>84858120.506344676</v>
      </c>
      <c r="H1312" s="458">
        <v>0.26450401534296075</v>
      </c>
      <c r="I1312" s="468">
        <v>9.03168016312598</v>
      </c>
    </row>
    <row r="1313" spans="1:9" ht="16.5" x14ac:dyDescent="0.3">
      <c r="A1313" s="477">
        <v>3753831.8252415066</v>
      </c>
      <c r="B1313" s="458">
        <v>4.9979978897307209E-2</v>
      </c>
      <c r="C1313" s="477">
        <v>12830557.597533975</v>
      </c>
      <c r="D1313" s="458">
        <v>6.0388105802232195E-2</v>
      </c>
      <c r="E1313" s="477">
        <v>18337500.163571876</v>
      </c>
      <c r="F1313" s="458">
        <v>0.11280650442961626</v>
      </c>
      <c r="G1313" s="477">
        <v>91312697.240048036</v>
      </c>
      <c r="H1313" s="458">
        <v>0.27183770480990832</v>
      </c>
      <c r="I1313" s="468">
        <v>15.90023784709129</v>
      </c>
    </row>
    <row r="1314" spans="1:9" ht="16.5" x14ac:dyDescent="0.3">
      <c r="A1314" s="477">
        <v>2502007.5835825242</v>
      </c>
      <c r="B1314" s="458">
        <v>5.6513845167762256E-2</v>
      </c>
      <c r="C1314" s="477">
        <v>9930067.3007022254</v>
      </c>
      <c r="D1314" s="458">
        <v>7.8346059443205718E-2</v>
      </c>
      <c r="E1314" s="477">
        <v>14688908.419182757</v>
      </c>
      <c r="F1314" s="458">
        <v>0.11741601491762221</v>
      </c>
      <c r="G1314" s="477">
        <v>98945050.735323638</v>
      </c>
      <c r="H1314" s="458">
        <v>0.26753582383872976</v>
      </c>
      <c r="I1314" s="468">
        <v>7.0664164901102788</v>
      </c>
    </row>
    <row r="1315" spans="1:9" ht="16.5" x14ac:dyDescent="0.3">
      <c r="A1315" s="477">
        <v>3558456.0160197481</v>
      </c>
      <c r="B1315" s="458">
        <v>4.6287209707652988E-2</v>
      </c>
      <c r="C1315" s="477">
        <v>6626993.3778223908</v>
      </c>
      <c r="D1315" s="458">
        <v>6.3762290032491009E-2</v>
      </c>
      <c r="E1315" s="477">
        <v>21360598.129431661</v>
      </c>
      <c r="F1315" s="458">
        <v>7.9351496898482976E-2</v>
      </c>
      <c r="G1315" s="477">
        <v>90923909.144034714</v>
      </c>
      <c r="H1315" s="458">
        <v>0.27439635728219725</v>
      </c>
      <c r="I1315" s="468">
        <v>9.0863144407310514</v>
      </c>
    </row>
    <row r="1316" spans="1:9" ht="16.5" x14ac:dyDescent="0.3">
      <c r="A1316" s="477">
        <v>4841682.7263832064</v>
      </c>
      <c r="B1316" s="458">
        <v>3.7333793761993528E-2</v>
      </c>
      <c r="C1316" s="477">
        <v>7497665.3157058451</v>
      </c>
      <c r="D1316" s="458">
        <v>7.9273787571607635E-2</v>
      </c>
      <c r="E1316" s="477">
        <v>17001988.600397777</v>
      </c>
      <c r="F1316" s="458">
        <v>0.10736099739056937</v>
      </c>
      <c r="G1316" s="477">
        <v>85321430.041142955</v>
      </c>
      <c r="H1316" s="458">
        <v>0.26977544989917468</v>
      </c>
      <c r="I1316" s="468">
        <v>6.7915238765585935</v>
      </c>
    </row>
    <row r="1317" spans="1:9" ht="16.5" x14ac:dyDescent="0.3">
      <c r="A1317" s="477">
        <v>2804280.678050892</v>
      </c>
      <c r="B1317" s="458">
        <v>4.2726742721189481E-2</v>
      </c>
      <c r="C1317" s="477">
        <v>8634012.9622465204</v>
      </c>
      <c r="D1317" s="458">
        <v>7.6214456676398035E-2</v>
      </c>
      <c r="E1317" s="477">
        <v>19265050.172225345</v>
      </c>
      <c r="F1317" s="458">
        <v>0.12108208786960262</v>
      </c>
      <c r="G1317" s="477">
        <v>99947090.305691898</v>
      </c>
      <c r="H1317" s="458">
        <v>0.28655911244248222</v>
      </c>
      <c r="I1317" s="468">
        <v>5.4548209321920691</v>
      </c>
    </row>
    <row r="1318" spans="1:9" ht="16.5" x14ac:dyDescent="0.3">
      <c r="A1318" s="477">
        <v>5311750.6436763853</v>
      </c>
      <c r="B1318" s="458">
        <v>3.8751110807785816E-2</v>
      </c>
      <c r="C1318" s="477">
        <v>10018944.075046504</v>
      </c>
      <c r="D1318" s="458">
        <v>2.889964856894367E-2</v>
      </c>
      <c r="E1318" s="477">
        <v>13698161.439289598</v>
      </c>
      <c r="F1318" s="458">
        <v>8.0799666119463209E-2</v>
      </c>
      <c r="G1318" s="477">
        <v>99620511.342514753</v>
      </c>
      <c r="H1318" s="458">
        <v>0.26728745080669292</v>
      </c>
      <c r="I1318" s="468">
        <v>10.406557637965047</v>
      </c>
    </row>
    <row r="1319" spans="1:9" ht="16.5" x14ac:dyDescent="0.3">
      <c r="A1319" s="477">
        <v>4583913.8603642425</v>
      </c>
      <c r="B1319" s="458">
        <v>4.3237670959607621E-2</v>
      </c>
      <c r="C1319" s="477">
        <v>10600432.267927127</v>
      </c>
      <c r="D1319" s="458">
        <v>7.8549532394359467E-2</v>
      </c>
      <c r="E1319" s="477">
        <v>10958567.433629088</v>
      </c>
      <c r="F1319" s="458">
        <v>0.1028584117500364</v>
      </c>
      <c r="G1319" s="477">
        <v>80206658.224626362</v>
      </c>
      <c r="H1319" s="458">
        <v>0.26594970725612255</v>
      </c>
      <c r="I1319" s="468">
        <v>4.0585801247053599</v>
      </c>
    </row>
    <row r="1320" spans="1:9" ht="16.5" x14ac:dyDescent="0.3">
      <c r="A1320" s="477">
        <v>4694904.1194627099</v>
      </c>
      <c r="B1320" s="458">
        <v>4.7485881111982486E-2</v>
      </c>
      <c r="C1320" s="477">
        <v>5525952.8110456048</v>
      </c>
      <c r="D1320" s="458">
        <v>7.4417271677649444E-2</v>
      </c>
      <c r="E1320" s="477">
        <v>19777984.081587866</v>
      </c>
      <c r="F1320" s="458">
        <v>0.13594435010079553</v>
      </c>
      <c r="G1320" s="477">
        <v>84193197.033362985</v>
      </c>
      <c r="H1320" s="458">
        <v>0.27634975976288878</v>
      </c>
      <c r="I1320" s="468">
        <v>10.031267783014265</v>
      </c>
    </row>
    <row r="1321" spans="1:9" ht="16.5" x14ac:dyDescent="0.3">
      <c r="A1321" s="477">
        <v>5752046.1826500325</v>
      </c>
      <c r="B1321" s="458">
        <v>2.8586873685397363E-2</v>
      </c>
      <c r="C1321" s="477">
        <v>4150675.488017974</v>
      </c>
      <c r="D1321" s="458">
        <v>7.432081080506836E-2</v>
      </c>
      <c r="E1321" s="477">
        <v>25891254.455967516</v>
      </c>
      <c r="F1321" s="458">
        <v>0.10121222252485507</v>
      </c>
      <c r="G1321" s="477">
        <v>65400802.197533898</v>
      </c>
      <c r="H1321" s="458">
        <v>0.28647228263590985</v>
      </c>
      <c r="I1321" s="468">
        <v>7.355475039450055</v>
      </c>
    </row>
    <row r="1322" spans="1:9" ht="16.5" x14ac:dyDescent="0.3">
      <c r="A1322" s="477">
        <v>3975453.8574387822</v>
      </c>
      <c r="B1322" s="458">
        <v>3.9695746288382905E-2</v>
      </c>
      <c r="C1322" s="477">
        <v>14287068.607847448</v>
      </c>
      <c r="D1322" s="458">
        <v>8.0771078732893908E-2</v>
      </c>
      <c r="E1322" s="477">
        <v>6189163.1933247251</v>
      </c>
      <c r="F1322" s="458">
        <v>0.152110477116292</v>
      </c>
      <c r="G1322" s="477">
        <v>93283948.596554041</v>
      </c>
      <c r="H1322" s="458">
        <v>0.26779946192667725</v>
      </c>
      <c r="I1322" s="468">
        <v>5.8947678987324394</v>
      </c>
    </row>
    <row r="1323" spans="1:9" ht="16.5" x14ac:dyDescent="0.3">
      <c r="A1323" s="477">
        <v>5829444.9031087589</v>
      </c>
      <c r="B1323" s="458">
        <v>3.6931492456025783E-2</v>
      </c>
      <c r="C1323" s="477">
        <v>10729133.168557014</v>
      </c>
      <c r="D1323" s="458">
        <v>8.9695540610032376E-2</v>
      </c>
      <c r="E1323" s="477">
        <v>16769991.2502265</v>
      </c>
      <c r="F1323" s="458">
        <v>0.11524169363171288</v>
      </c>
      <c r="G1323" s="477">
        <v>83233207.446836561</v>
      </c>
      <c r="H1323" s="458">
        <v>0.2530734548810587</v>
      </c>
      <c r="I1323" s="468">
        <v>2.5767930677964612</v>
      </c>
    </row>
    <row r="1324" spans="1:9" ht="16.5" x14ac:dyDescent="0.3">
      <c r="A1324" s="477">
        <v>7928511.9264043951</v>
      </c>
      <c r="B1324" s="458">
        <v>3.2721409902560561E-2</v>
      </c>
      <c r="C1324" s="477">
        <v>6940809.1382137034</v>
      </c>
      <c r="D1324" s="458">
        <v>7.1337919322385313E-2</v>
      </c>
      <c r="E1324" s="477">
        <v>14416974.246350745</v>
      </c>
      <c r="F1324" s="458">
        <v>0.10357256177544705</v>
      </c>
      <c r="G1324" s="477">
        <v>87721817.562512517</v>
      </c>
      <c r="H1324" s="458">
        <v>0.25726952170605966</v>
      </c>
      <c r="I1324" s="468">
        <v>13.713549346463608</v>
      </c>
    </row>
    <row r="1325" spans="1:9" ht="16.5" x14ac:dyDescent="0.3">
      <c r="A1325" s="477">
        <v>3967757.1220070831</v>
      </c>
      <c r="B1325" s="458">
        <v>5.2775254296123952E-2</v>
      </c>
      <c r="C1325" s="477">
        <v>7705572.2252778215</v>
      </c>
      <c r="D1325" s="458">
        <v>5.5346287663476268E-2</v>
      </c>
      <c r="E1325" s="477">
        <v>10220038.344518393</v>
      </c>
      <c r="F1325" s="458">
        <v>0.12346150914044762</v>
      </c>
      <c r="G1325" s="477">
        <v>92054080.444302708</v>
      </c>
      <c r="H1325" s="458">
        <v>0.28104546331525637</v>
      </c>
      <c r="I1325" s="468">
        <v>10.391169218452669</v>
      </c>
    </row>
    <row r="1326" spans="1:9" ht="16.5" x14ac:dyDescent="0.3">
      <c r="A1326" s="477">
        <v>2895525.562444868</v>
      </c>
      <c r="B1326" s="458">
        <v>3.2744053108291205E-2</v>
      </c>
      <c r="C1326" s="477">
        <v>1383891.5301686421</v>
      </c>
      <c r="D1326" s="458">
        <v>2.9760088837957444E-2</v>
      </c>
      <c r="E1326" s="477">
        <v>18598374.888331022</v>
      </c>
      <c r="F1326" s="458">
        <v>0.10375530655090182</v>
      </c>
      <c r="G1326" s="477">
        <v>83713667.663844779</v>
      </c>
      <c r="H1326" s="458">
        <v>0.28971484766497735</v>
      </c>
      <c r="I1326" s="468">
        <v>10.888240066736913</v>
      </c>
    </row>
    <row r="1327" spans="1:9" ht="16.5" x14ac:dyDescent="0.3">
      <c r="A1327" s="477">
        <v>6247566.313734699</v>
      </c>
      <c r="B1327" s="458">
        <v>4.5809301529285751E-2</v>
      </c>
      <c r="C1327" s="477">
        <v>3906995.2134137806</v>
      </c>
      <c r="D1327" s="458">
        <v>0.10492802288536796</v>
      </c>
      <c r="E1327" s="477">
        <v>16051885.055110481</v>
      </c>
      <c r="F1327" s="458">
        <v>0.13775342009526881</v>
      </c>
      <c r="G1327" s="477">
        <v>86006257.572202027</v>
      </c>
      <c r="H1327" s="458">
        <v>0.267449985211065</v>
      </c>
      <c r="I1327" s="468">
        <v>9.4907102245123731</v>
      </c>
    </row>
    <row r="1328" spans="1:9" ht="16.5" x14ac:dyDescent="0.3">
      <c r="A1328" s="477">
        <v>7508171.3486876898</v>
      </c>
      <c r="B1328" s="458">
        <v>4.5686538171982205E-2</v>
      </c>
      <c r="C1328" s="477">
        <v>7229380.7765066596</v>
      </c>
      <c r="D1328" s="458">
        <v>8.4617052182177854E-2</v>
      </c>
      <c r="E1328" s="477">
        <v>16432316.601117546</v>
      </c>
      <c r="F1328" s="458">
        <v>9.4410390217608331E-2</v>
      </c>
      <c r="G1328" s="477">
        <v>91285322.112298578</v>
      </c>
      <c r="H1328" s="458">
        <v>0.2593089743990391</v>
      </c>
      <c r="I1328" s="468">
        <v>7.9957913035825312</v>
      </c>
    </row>
    <row r="1329" spans="1:9" ht="16.5" x14ac:dyDescent="0.3">
      <c r="A1329" s="477">
        <v>8460208.4204197079</v>
      </c>
      <c r="B1329" s="458">
        <v>2.5884936709762885E-2</v>
      </c>
      <c r="C1329" s="477">
        <v>9593012.1413009129</v>
      </c>
      <c r="D1329" s="458">
        <v>6.0128423099131023E-2</v>
      </c>
      <c r="E1329" s="477">
        <v>15857434.753657946</v>
      </c>
      <c r="F1329" s="458">
        <v>0.10954795621343405</v>
      </c>
      <c r="G1329" s="477">
        <v>71763248.838251352</v>
      </c>
      <c r="H1329" s="458">
        <v>0.27220121051948487</v>
      </c>
      <c r="I1329" s="468">
        <v>8.2154579337143225</v>
      </c>
    </row>
    <row r="1330" spans="1:9" ht="16.5" x14ac:dyDescent="0.3">
      <c r="A1330" s="477">
        <v>2846773.9823388988</v>
      </c>
      <c r="B1330" s="458">
        <v>2.6524048439697134E-2</v>
      </c>
      <c r="C1330" s="477">
        <v>4415160.4059091369</v>
      </c>
      <c r="D1330" s="458">
        <v>5.0188854193277788E-2</v>
      </c>
      <c r="E1330" s="477">
        <v>20594566.465053957</v>
      </c>
      <c r="F1330" s="458">
        <v>0.14043440393202711</v>
      </c>
      <c r="G1330" s="477">
        <v>80895919.321304381</v>
      </c>
      <c r="H1330" s="458">
        <v>0.29336694693493603</v>
      </c>
      <c r="I1330" s="468">
        <v>6.0146138665745781</v>
      </c>
    </row>
    <row r="1331" spans="1:9" ht="16.5" x14ac:dyDescent="0.3">
      <c r="A1331" s="477">
        <v>6173317.7930143522</v>
      </c>
      <c r="B1331" s="458">
        <v>4.935788404655006E-2</v>
      </c>
      <c r="C1331" s="477">
        <v>8742118.0165596921</v>
      </c>
      <c r="D1331" s="458">
        <v>5.983074044174419E-2</v>
      </c>
      <c r="E1331" s="477">
        <v>13720135.33616529</v>
      </c>
      <c r="F1331" s="458">
        <v>0.14477729423449515</v>
      </c>
      <c r="G1331" s="477">
        <v>85784584.346409753</v>
      </c>
      <c r="H1331" s="458">
        <v>0.27055598837830308</v>
      </c>
      <c r="I1331" s="468">
        <v>12.036775093187556</v>
      </c>
    </row>
    <row r="1332" spans="1:9" ht="16.5" x14ac:dyDescent="0.3">
      <c r="A1332" s="477">
        <v>13034244.617071951</v>
      </c>
      <c r="B1332" s="458">
        <v>3.5621914054792425E-2</v>
      </c>
      <c r="C1332" s="477">
        <v>14735264.222898336</v>
      </c>
      <c r="D1332" s="458">
        <v>7.2772095127832115E-2</v>
      </c>
      <c r="E1332" s="477">
        <v>14496220.78275986</v>
      </c>
      <c r="F1332" s="458">
        <v>0.10352961801589822</v>
      </c>
      <c r="G1332" s="477">
        <v>116477387.57205915</v>
      </c>
      <c r="H1332" s="458">
        <v>0.26410081218196702</v>
      </c>
      <c r="I1332" s="468">
        <v>9.9589178037478057</v>
      </c>
    </row>
    <row r="1333" spans="1:9" ht="16.5" x14ac:dyDescent="0.3">
      <c r="A1333" s="477">
        <v>3997017.9197156243</v>
      </c>
      <c r="B1333" s="458">
        <v>2.8280675310456083E-2</v>
      </c>
      <c r="C1333" s="477">
        <v>7704247.6474559456</v>
      </c>
      <c r="D1333" s="458">
        <v>7.4631290990599508E-2</v>
      </c>
      <c r="E1333" s="477">
        <v>30966625.213314015</v>
      </c>
      <c r="F1333" s="458">
        <v>0.12933943892207744</v>
      </c>
      <c r="G1333" s="477">
        <v>83354100.401488185</v>
      </c>
      <c r="H1333" s="458">
        <v>0.25965023394388376</v>
      </c>
      <c r="I1333" s="468">
        <v>10.992239908301165</v>
      </c>
    </row>
    <row r="1334" spans="1:9" ht="16.5" x14ac:dyDescent="0.3">
      <c r="A1334" s="477">
        <v>8322348.8635194208</v>
      </c>
      <c r="B1334" s="458">
        <v>5.6303929646974282E-2</v>
      </c>
      <c r="C1334" s="477">
        <v>7864416.3124984866</v>
      </c>
      <c r="D1334" s="458">
        <v>3.2549137548993023E-2</v>
      </c>
      <c r="E1334" s="477">
        <v>20698015.069751896</v>
      </c>
      <c r="F1334" s="458">
        <v>9.1064971540167905E-2</v>
      </c>
      <c r="G1334" s="477">
        <v>102469017.12298687</v>
      </c>
      <c r="H1334" s="458">
        <v>0.26979329983607347</v>
      </c>
      <c r="I1334" s="468">
        <v>3.1408455975557397</v>
      </c>
    </row>
    <row r="1335" spans="1:9" ht="16.5" x14ac:dyDescent="0.3">
      <c r="A1335" s="477">
        <v>8623460.294349933</v>
      </c>
      <c r="B1335" s="458">
        <v>3.4198236472561705E-2</v>
      </c>
      <c r="C1335" s="477">
        <v>7170085.5491862856</v>
      </c>
      <c r="D1335" s="458">
        <v>0.11740998030288519</v>
      </c>
      <c r="E1335" s="477">
        <v>11629528.21014487</v>
      </c>
      <c r="F1335" s="458">
        <v>9.2354023244709316E-2</v>
      </c>
      <c r="G1335" s="477">
        <v>76384154.112612233</v>
      </c>
      <c r="H1335" s="458">
        <v>0.25200821013626307</v>
      </c>
      <c r="I1335" s="468">
        <v>9.0923271631060842</v>
      </c>
    </row>
    <row r="1336" spans="1:9" ht="16.5" x14ac:dyDescent="0.3">
      <c r="A1336" s="477">
        <v>3853603.3116153874</v>
      </c>
      <c r="B1336" s="458">
        <v>2.6097605975930138E-2</v>
      </c>
      <c r="C1336" s="477">
        <v>10467518.894622222</v>
      </c>
      <c r="D1336" s="458">
        <v>4.6032001998208338E-2</v>
      </c>
      <c r="E1336" s="477">
        <v>19100856.237691883</v>
      </c>
      <c r="F1336" s="458">
        <v>9.7035965826348214E-2</v>
      </c>
      <c r="G1336" s="477">
        <v>107232369.11462675</v>
      </c>
      <c r="H1336" s="458">
        <v>0.26864542993880991</v>
      </c>
      <c r="I1336" s="468">
        <v>7.8738354532585424</v>
      </c>
    </row>
    <row r="1337" spans="1:9" ht="16.5" x14ac:dyDescent="0.3">
      <c r="A1337" s="477">
        <v>-258362.81422574958</v>
      </c>
      <c r="B1337" s="458">
        <v>3.7876119817737308E-2</v>
      </c>
      <c r="C1337" s="477">
        <v>9111904.9535587337</v>
      </c>
      <c r="D1337" s="458">
        <v>5.6203249018372148E-2</v>
      </c>
      <c r="E1337" s="477">
        <v>16229422.165316125</v>
      </c>
      <c r="F1337" s="458">
        <v>0.10678686213460797</v>
      </c>
      <c r="G1337" s="477">
        <v>90045930.121310517</v>
      </c>
      <c r="H1337" s="458">
        <v>0.27764787180841166</v>
      </c>
      <c r="I1337" s="468">
        <v>11.475150681425164</v>
      </c>
    </row>
    <row r="1338" spans="1:9" ht="16.5" x14ac:dyDescent="0.3">
      <c r="A1338" s="477">
        <v>9879256.9360923413</v>
      </c>
      <c r="B1338" s="458">
        <v>1.9777938845618293E-2</v>
      </c>
      <c r="C1338" s="477">
        <v>13396365.665261677</v>
      </c>
      <c r="D1338" s="458">
        <v>8.4704539705742432E-2</v>
      </c>
      <c r="E1338" s="477">
        <v>19305644.105189119</v>
      </c>
      <c r="F1338" s="458">
        <v>0.11059307307535127</v>
      </c>
      <c r="G1338" s="477">
        <v>89753858.364501789</v>
      </c>
      <c r="H1338" s="458">
        <v>0.26819505804104682</v>
      </c>
      <c r="I1338" s="468">
        <v>15.228683409612522</v>
      </c>
    </row>
    <row r="1339" spans="1:9" ht="16.5" x14ac:dyDescent="0.3">
      <c r="A1339" s="477">
        <v>-562565.06266450428</v>
      </c>
      <c r="B1339" s="458">
        <v>2.3038342844891257E-2</v>
      </c>
      <c r="C1339" s="477">
        <v>8832688.9900590666</v>
      </c>
      <c r="D1339" s="458">
        <v>6.7679943509412643E-2</v>
      </c>
      <c r="E1339" s="477">
        <v>11505746.805330841</v>
      </c>
      <c r="F1339" s="458">
        <v>0.11301761082042083</v>
      </c>
      <c r="G1339" s="477">
        <v>94036996.491634518</v>
      </c>
      <c r="H1339" s="458">
        <v>0.24988044038055657</v>
      </c>
      <c r="I1339" s="468">
        <v>5.6305818175020139</v>
      </c>
    </row>
    <row r="1340" spans="1:9" ht="16.5" x14ac:dyDescent="0.3">
      <c r="A1340" s="477">
        <v>6554215.1139542693</v>
      </c>
      <c r="B1340" s="458">
        <v>5.0557957817261467E-2</v>
      </c>
      <c r="C1340" s="477">
        <v>11242110.731311202</v>
      </c>
      <c r="D1340" s="458">
        <v>4.9505977227037645E-2</v>
      </c>
      <c r="E1340" s="477">
        <v>21415886.37429712</v>
      </c>
      <c r="F1340" s="458">
        <v>0.1112217871182446</v>
      </c>
      <c r="G1340" s="477">
        <v>89220555.753825486</v>
      </c>
      <c r="H1340" s="458">
        <v>0.26267697983069138</v>
      </c>
      <c r="I1340" s="468">
        <v>13.467168960520516</v>
      </c>
    </row>
    <row r="1341" spans="1:9" ht="16.5" x14ac:dyDescent="0.3">
      <c r="A1341" s="477">
        <v>3675498.7216110807</v>
      </c>
      <c r="B1341" s="458">
        <v>3.8437389825847434E-2</v>
      </c>
      <c r="C1341" s="477">
        <v>14598810.002738768</v>
      </c>
      <c r="D1341" s="458">
        <v>5.0968844694819992E-2</v>
      </c>
      <c r="E1341" s="477">
        <v>17752993.519928765</v>
      </c>
      <c r="F1341" s="458">
        <v>8.6226553558762298E-2</v>
      </c>
      <c r="G1341" s="477">
        <v>86795447.343380302</v>
      </c>
      <c r="H1341" s="458">
        <v>0.2760940550610631</v>
      </c>
      <c r="I1341" s="468">
        <v>10.478620915654659</v>
      </c>
    </row>
    <row r="1342" spans="1:9" ht="16.5" x14ac:dyDescent="0.3">
      <c r="A1342" s="477">
        <v>4971141.3979346268</v>
      </c>
      <c r="B1342" s="458">
        <v>3.1101344332586933E-2</v>
      </c>
      <c r="C1342" s="477">
        <v>6764428.2341782777</v>
      </c>
      <c r="D1342" s="458">
        <v>7.3306731279005444E-2</v>
      </c>
      <c r="E1342" s="477">
        <v>21809896.869334199</v>
      </c>
      <c r="F1342" s="458">
        <v>0.12515893815292634</v>
      </c>
      <c r="G1342" s="477">
        <v>86608194.985781819</v>
      </c>
      <c r="H1342" s="458">
        <v>0.28198990894883491</v>
      </c>
      <c r="I1342" s="468">
        <v>3.8604372597283234</v>
      </c>
    </row>
    <row r="1343" spans="1:9" ht="16.5" x14ac:dyDescent="0.3">
      <c r="A1343" s="477">
        <v>3252471.6926349513</v>
      </c>
      <c r="B1343" s="458">
        <v>3.4118520607964609E-2</v>
      </c>
      <c r="C1343" s="477">
        <v>-740926.90389954299</v>
      </c>
      <c r="D1343" s="458">
        <v>6.0241412597808353E-2</v>
      </c>
      <c r="E1343" s="477">
        <v>15756312.477346513</v>
      </c>
      <c r="F1343" s="458">
        <v>0.11346463717477673</v>
      </c>
      <c r="G1343" s="477">
        <v>91294728.252281085</v>
      </c>
      <c r="H1343" s="458">
        <v>0.2604379719829768</v>
      </c>
      <c r="I1343" s="468">
        <v>10.999392539348996</v>
      </c>
    </row>
    <row r="1344" spans="1:9" ht="16.5" x14ac:dyDescent="0.3">
      <c r="A1344" s="477">
        <v>6557864.5826262711</v>
      </c>
      <c r="B1344" s="458">
        <v>9.0216926383877682E-2</v>
      </c>
      <c r="C1344" s="477">
        <v>6927090.0883506369</v>
      </c>
      <c r="D1344" s="458">
        <v>0.10427662118462089</v>
      </c>
      <c r="E1344" s="477">
        <v>16178718.766177939</v>
      </c>
      <c r="F1344" s="458">
        <v>0.101258059309693</v>
      </c>
      <c r="G1344" s="477">
        <v>77400472.358182847</v>
      </c>
      <c r="H1344" s="458">
        <v>0.26167636838236819</v>
      </c>
      <c r="I1344" s="468">
        <v>16.768170999025756</v>
      </c>
    </row>
    <row r="1345" spans="1:9" ht="16.5" x14ac:dyDescent="0.3">
      <c r="A1345" s="477">
        <v>4446959.2056053011</v>
      </c>
      <c r="B1345" s="458">
        <v>0.13519707683227145</v>
      </c>
      <c r="C1345" s="477">
        <v>7942158.7917347122</v>
      </c>
      <c r="D1345" s="458">
        <v>6.0960701982052612E-2</v>
      </c>
      <c r="E1345" s="477">
        <v>12864482.090514055</v>
      </c>
      <c r="F1345" s="458">
        <v>9.2576957551376848E-2</v>
      </c>
      <c r="G1345" s="477">
        <v>74627353.310153708</v>
      </c>
      <c r="H1345" s="458">
        <v>0.28124689899306277</v>
      </c>
      <c r="I1345" s="468">
        <v>7.4779218927397739</v>
      </c>
    </row>
    <row r="1346" spans="1:9" ht="16.5" x14ac:dyDescent="0.3">
      <c r="A1346" s="477">
        <v>6920224.6846295772</v>
      </c>
      <c r="B1346" s="458">
        <v>4.7834178857841803E-2</v>
      </c>
      <c r="C1346" s="477">
        <v>10096603.522061655</v>
      </c>
      <c r="D1346" s="458">
        <v>4.986298931055555E-2</v>
      </c>
      <c r="E1346" s="477">
        <v>20427029.940856922</v>
      </c>
      <c r="F1346" s="458">
        <v>0.10770254300543924</v>
      </c>
      <c r="G1346" s="477">
        <v>99382137.625484332</v>
      </c>
      <c r="H1346" s="458">
        <v>0.26423873727789005</v>
      </c>
      <c r="I1346" s="468">
        <v>2.2137728668398253</v>
      </c>
    </row>
    <row r="1347" spans="1:9" ht="16.5" x14ac:dyDescent="0.3">
      <c r="A1347" s="477">
        <v>7664464.927757618</v>
      </c>
      <c r="B1347" s="458">
        <v>3.9877084147525999E-2</v>
      </c>
      <c r="C1347" s="477">
        <v>6530566.4267943026</v>
      </c>
      <c r="D1347" s="458">
        <v>6.6010958758536908E-2</v>
      </c>
      <c r="E1347" s="477">
        <v>14308220.202138487</v>
      </c>
      <c r="F1347" s="458">
        <v>0.10645650996882106</v>
      </c>
      <c r="G1347" s="477">
        <v>96238036.874810427</v>
      </c>
      <c r="H1347" s="458">
        <v>0.26757172173524069</v>
      </c>
      <c r="I1347" s="468">
        <v>1.4628678083250648</v>
      </c>
    </row>
    <row r="1348" spans="1:9" ht="16.5" x14ac:dyDescent="0.3">
      <c r="A1348" s="477">
        <v>9241489.8531122245</v>
      </c>
      <c r="B1348" s="458">
        <v>4.55660985575983E-2</v>
      </c>
      <c r="C1348" s="477">
        <v>1775930.2205638876</v>
      </c>
      <c r="D1348" s="458">
        <v>5.4391284510644455E-2</v>
      </c>
      <c r="E1348" s="477">
        <v>20220316.505592722</v>
      </c>
      <c r="F1348" s="458">
        <v>8.9292870519953826E-2</v>
      </c>
      <c r="G1348" s="477">
        <v>90030575.382256091</v>
      </c>
      <c r="H1348" s="458">
        <v>0.26685554496844932</v>
      </c>
      <c r="I1348" s="468">
        <v>10.84380112158815</v>
      </c>
    </row>
    <row r="1349" spans="1:9" ht="16.5" x14ac:dyDescent="0.3">
      <c r="A1349" s="477">
        <v>2153577.0871472931</v>
      </c>
      <c r="B1349" s="458">
        <v>2.5338002314819752E-2</v>
      </c>
      <c r="C1349" s="477">
        <v>10072874.481276685</v>
      </c>
      <c r="D1349" s="458">
        <v>5.996445887972035E-2</v>
      </c>
      <c r="E1349" s="477">
        <v>27643432.188533489</v>
      </c>
      <c r="F1349" s="458">
        <v>0.12607405227076773</v>
      </c>
      <c r="G1349" s="477">
        <v>80477433.196096838</v>
      </c>
      <c r="H1349" s="458">
        <v>0.29694133038015025</v>
      </c>
      <c r="I1349" s="468">
        <v>8.9196402677611317</v>
      </c>
    </row>
    <row r="1350" spans="1:9" ht="16.5" x14ac:dyDescent="0.3">
      <c r="A1350" s="477">
        <v>6223376.5871368395</v>
      </c>
      <c r="B1350" s="458">
        <v>4.4514353161922982E-2</v>
      </c>
      <c r="C1350" s="477">
        <v>6694118.7487935014</v>
      </c>
      <c r="D1350" s="458">
        <v>9.0613065220776168E-2</v>
      </c>
      <c r="E1350" s="477">
        <v>16158002.097191058</v>
      </c>
      <c r="F1350" s="458">
        <v>0.10543691791510423</v>
      </c>
      <c r="G1350" s="477">
        <v>86273699.867656693</v>
      </c>
      <c r="H1350" s="458">
        <v>0.26611267522101745</v>
      </c>
      <c r="I1350" s="468">
        <v>8.8340633641916959</v>
      </c>
    </row>
    <row r="1351" spans="1:9" ht="16.5" x14ac:dyDescent="0.3">
      <c r="A1351" s="477">
        <v>9097073.933537947</v>
      </c>
      <c r="B1351" s="458">
        <v>2.0610247658834124E-2</v>
      </c>
      <c r="C1351" s="477">
        <v>17521135.346943136</v>
      </c>
      <c r="D1351" s="458">
        <v>8.4151783799797819E-2</v>
      </c>
      <c r="E1351" s="477">
        <v>16545421.615917204</v>
      </c>
      <c r="F1351" s="458">
        <v>9.1193712739538135E-2</v>
      </c>
      <c r="G1351" s="477">
        <v>99090946.484943867</v>
      </c>
      <c r="H1351" s="458">
        <v>0.27673769494372924</v>
      </c>
      <c r="I1351" s="468">
        <v>11.378549115725772</v>
      </c>
    </row>
    <row r="1352" spans="1:9" ht="16.5" x14ac:dyDescent="0.3">
      <c r="A1352" s="477">
        <v>5535947.7075796649</v>
      </c>
      <c r="B1352" s="458">
        <v>5.5758588712182977E-2</v>
      </c>
      <c r="C1352" s="477">
        <v>5696944.1435617041</v>
      </c>
      <c r="D1352" s="458">
        <v>8.4666028203066013E-2</v>
      </c>
      <c r="E1352" s="477">
        <v>19250924.482280564</v>
      </c>
      <c r="F1352" s="458">
        <v>0.10106159996214337</v>
      </c>
      <c r="G1352" s="477">
        <v>90413436.317046389</v>
      </c>
      <c r="H1352" s="458">
        <v>0.28399583889281566</v>
      </c>
      <c r="I1352" s="468">
        <v>12.241115634828732</v>
      </c>
    </row>
    <row r="1353" spans="1:9" ht="16.5" x14ac:dyDescent="0.3">
      <c r="A1353" s="477">
        <v>6188629.4450074686</v>
      </c>
      <c r="B1353" s="458">
        <v>3.1741246375533549E-2</v>
      </c>
      <c r="C1353" s="477">
        <v>3186469.3713551611</v>
      </c>
      <c r="D1353" s="458">
        <v>8.4753475135529888E-2</v>
      </c>
      <c r="E1353" s="477">
        <v>16301647.510805316</v>
      </c>
      <c r="F1353" s="458">
        <v>9.6969003718736291E-2</v>
      </c>
      <c r="G1353" s="477">
        <v>85765565.753145263</v>
      </c>
      <c r="H1353" s="458">
        <v>0.25907772268318241</v>
      </c>
      <c r="I1353" s="468">
        <v>5.6950366473318823</v>
      </c>
    </row>
    <row r="1354" spans="1:9" ht="16.5" x14ac:dyDescent="0.3">
      <c r="A1354" s="477">
        <v>3899380.6378481542</v>
      </c>
      <c r="B1354" s="458">
        <v>3.2758207205624279E-2</v>
      </c>
      <c r="C1354" s="477">
        <v>11118570.272416916</v>
      </c>
      <c r="D1354" s="458">
        <v>6.6798419454367375E-2</v>
      </c>
      <c r="E1354" s="477">
        <v>15404725.963407535</v>
      </c>
      <c r="F1354" s="458">
        <v>0.15239397031509228</v>
      </c>
      <c r="G1354" s="477">
        <v>93405984.337025076</v>
      </c>
      <c r="H1354" s="458">
        <v>0.28517194783326349</v>
      </c>
      <c r="I1354" s="468">
        <v>7.978816160955434</v>
      </c>
    </row>
    <row r="1355" spans="1:9" ht="16.5" x14ac:dyDescent="0.3">
      <c r="A1355" s="477">
        <v>4442506.0570043083</v>
      </c>
      <c r="B1355" s="458">
        <v>2.4739285619390872E-2</v>
      </c>
      <c r="C1355" s="477">
        <v>10768996.052993273</v>
      </c>
      <c r="D1355" s="458">
        <v>5.6807406244825387E-2</v>
      </c>
      <c r="E1355" s="477">
        <v>12368238.03159201</v>
      </c>
      <c r="F1355" s="458">
        <v>9.4626128909777618E-2</v>
      </c>
      <c r="G1355" s="477">
        <v>92681492.510483116</v>
      </c>
      <c r="H1355" s="458">
        <v>0.2699080573111563</v>
      </c>
      <c r="I1355" s="468">
        <v>9.6514397421134284</v>
      </c>
    </row>
    <row r="1356" spans="1:9" ht="16.5" x14ac:dyDescent="0.3">
      <c r="A1356" s="477">
        <v>3448793.3006414222</v>
      </c>
      <c r="B1356" s="458">
        <v>2.7653013994221487E-2</v>
      </c>
      <c r="C1356" s="477">
        <v>7055260.6572854286</v>
      </c>
      <c r="D1356" s="458">
        <v>5.94183738361167E-2</v>
      </c>
      <c r="E1356" s="477">
        <v>19055945.139257967</v>
      </c>
      <c r="F1356" s="458">
        <v>0.11294770867439863</v>
      </c>
      <c r="G1356" s="477">
        <v>93906487.59781152</v>
      </c>
      <c r="H1356" s="458">
        <v>0.26618200479998277</v>
      </c>
      <c r="I1356" s="468">
        <v>2.4768731285866048</v>
      </c>
    </row>
    <row r="1357" spans="1:9" ht="16.5" x14ac:dyDescent="0.3">
      <c r="A1357" s="477">
        <v>4299962.3703112127</v>
      </c>
      <c r="B1357" s="458">
        <v>4.578162701486721E-2</v>
      </c>
      <c r="C1357" s="477">
        <v>3091245.0238504219</v>
      </c>
      <c r="D1357" s="458">
        <v>6.5992983466078847E-2</v>
      </c>
      <c r="E1357" s="477">
        <v>21836158.423326313</v>
      </c>
      <c r="F1357" s="458">
        <v>0.12150191896286655</v>
      </c>
      <c r="G1357" s="477">
        <v>90253517.060515165</v>
      </c>
      <c r="H1357" s="458">
        <v>0.28561645193227991</v>
      </c>
      <c r="I1357" s="468">
        <v>3.2273278939585515</v>
      </c>
    </row>
    <row r="1358" spans="1:9" ht="16.5" x14ac:dyDescent="0.3">
      <c r="A1358" s="477">
        <v>5838576.0206403108</v>
      </c>
      <c r="B1358" s="458">
        <v>5.0738600124041078E-2</v>
      </c>
      <c r="C1358" s="477">
        <v>11313006.074125033</v>
      </c>
      <c r="D1358" s="458">
        <v>7.8952626692640804E-2</v>
      </c>
      <c r="E1358" s="477">
        <v>11949031.469236607</v>
      </c>
      <c r="F1358" s="458">
        <v>0.10908054013124224</v>
      </c>
      <c r="G1358" s="477">
        <v>93964191.601055324</v>
      </c>
      <c r="H1358" s="458">
        <v>0.27208532165847088</v>
      </c>
      <c r="I1358" s="468">
        <v>12.585533745924277</v>
      </c>
    </row>
    <row r="1359" spans="1:9" ht="16.5" x14ac:dyDescent="0.3">
      <c r="A1359" s="477">
        <v>1795132.0021651324</v>
      </c>
      <c r="B1359" s="458">
        <v>4.6279890120758171E-2</v>
      </c>
      <c r="C1359" s="477">
        <v>620396.29583090171</v>
      </c>
      <c r="D1359" s="458">
        <v>7.9390935740419222E-2</v>
      </c>
      <c r="E1359" s="477">
        <v>18485135.161516085</v>
      </c>
      <c r="F1359" s="458">
        <v>0.10709714703657247</v>
      </c>
      <c r="G1359" s="477">
        <v>78148605.609496757</v>
      </c>
      <c r="H1359" s="458">
        <v>0.29761245580496731</v>
      </c>
      <c r="I1359" s="468">
        <v>3.9332798027873901</v>
      </c>
    </row>
    <row r="1360" spans="1:9" ht="16.5" x14ac:dyDescent="0.3">
      <c r="A1360" s="477">
        <v>3553528.6623098138</v>
      </c>
      <c r="B1360" s="458">
        <v>4.311939312628188E-2</v>
      </c>
      <c r="C1360" s="477">
        <v>9225332.7221324816</v>
      </c>
      <c r="D1360" s="458">
        <v>4.1882923076978384E-2</v>
      </c>
      <c r="E1360" s="477">
        <v>11891065.87486591</v>
      </c>
      <c r="F1360" s="458">
        <v>0.10982788624647721</v>
      </c>
      <c r="G1360" s="477">
        <v>88030620.182356179</v>
      </c>
      <c r="H1360" s="458">
        <v>0.26139439633085515</v>
      </c>
      <c r="I1360" s="468">
        <v>7.1067989714094644</v>
      </c>
    </row>
    <row r="1361" spans="1:9" ht="16.5" x14ac:dyDescent="0.3">
      <c r="A1361" s="477">
        <v>6762083.9379894715</v>
      </c>
      <c r="B1361" s="458">
        <v>5.6970431585257497E-2</v>
      </c>
      <c r="C1361" s="477">
        <v>13790499.538463451</v>
      </c>
      <c r="D1361" s="458">
        <v>7.2602292264325019E-2</v>
      </c>
      <c r="E1361" s="477">
        <v>15555187.835458288</v>
      </c>
      <c r="F1361" s="458">
        <v>0.1313299105566339</v>
      </c>
      <c r="G1361" s="477">
        <v>77628845.040491611</v>
      </c>
      <c r="H1361" s="458">
        <v>0.26549510188858094</v>
      </c>
      <c r="I1361" s="468">
        <v>6.7005804577216352</v>
      </c>
    </row>
    <row r="1362" spans="1:9" ht="16.5" x14ac:dyDescent="0.3">
      <c r="A1362" s="477">
        <v>5462260.8597615669</v>
      </c>
      <c r="B1362" s="458">
        <v>3.0037249187762072E-2</v>
      </c>
      <c r="C1362" s="477">
        <v>5944839.0808783993</v>
      </c>
      <c r="D1362" s="458">
        <v>6.0894301073455281E-2</v>
      </c>
      <c r="E1362" s="477">
        <v>18406142.159659471</v>
      </c>
      <c r="F1362" s="458">
        <v>0.12584453165516929</v>
      </c>
      <c r="G1362" s="477">
        <v>90767615.548669279</v>
      </c>
      <c r="H1362" s="458">
        <v>0.26364027547934454</v>
      </c>
      <c r="I1362" s="468">
        <v>5.9722464140034042</v>
      </c>
    </row>
    <row r="1363" spans="1:9" ht="16.5" x14ac:dyDescent="0.3">
      <c r="A1363" s="477">
        <v>9537253.3862630874</v>
      </c>
      <c r="B1363" s="458">
        <v>3.5316077277355973E-2</v>
      </c>
      <c r="C1363" s="477">
        <v>2069078.2738829434</v>
      </c>
      <c r="D1363" s="458">
        <v>6.5242886406152945E-2</v>
      </c>
      <c r="E1363" s="477">
        <v>16201699.309198052</v>
      </c>
      <c r="F1363" s="458">
        <v>9.7902215125194703E-2</v>
      </c>
      <c r="G1363" s="477">
        <v>79701474.534611359</v>
      </c>
      <c r="H1363" s="458">
        <v>0.26342575315385619</v>
      </c>
      <c r="I1363" s="468">
        <v>11.834851905466177</v>
      </c>
    </row>
    <row r="1364" spans="1:9" ht="16.5" x14ac:dyDescent="0.3">
      <c r="A1364" s="477">
        <v>8349915.2617857084</v>
      </c>
      <c r="B1364" s="458">
        <v>4.0042004180602442E-2</v>
      </c>
      <c r="C1364" s="477">
        <v>10300858.360466698</v>
      </c>
      <c r="D1364" s="458">
        <v>4.8496134275519465E-2</v>
      </c>
      <c r="E1364" s="477">
        <v>16920218.651792236</v>
      </c>
      <c r="F1364" s="458">
        <v>0.13730602724407182</v>
      </c>
      <c r="G1364" s="477">
        <v>96664765.956651524</v>
      </c>
      <c r="H1364" s="458">
        <v>0.30114722828187612</v>
      </c>
      <c r="I1364" s="468">
        <v>7.4602618187494274</v>
      </c>
    </row>
    <row r="1365" spans="1:9" ht="16.5" x14ac:dyDescent="0.3">
      <c r="A1365" s="477">
        <v>5924918.118583763</v>
      </c>
      <c r="B1365" s="458">
        <v>4.1895144598548484E-2</v>
      </c>
      <c r="C1365" s="477">
        <v>10743227.118694559</v>
      </c>
      <c r="D1365" s="458">
        <v>7.6987546341446444E-2</v>
      </c>
      <c r="E1365" s="477">
        <v>12373643.198804585</v>
      </c>
      <c r="F1365" s="458">
        <v>8.4838326803984954E-2</v>
      </c>
      <c r="G1365" s="477">
        <v>85299834.771281362</v>
      </c>
      <c r="H1365" s="458">
        <v>0.27549499198840355</v>
      </c>
      <c r="I1365" s="468">
        <v>12.063675288197476</v>
      </c>
    </row>
    <row r="1366" spans="1:9" ht="16.5" x14ac:dyDescent="0.3">
      <c r="A1366" s="477">
        <v>7271057.4065803131</v>
      </c>
      <c r="B1366" s="458">
        <v>4.1461809967137331E-2</v>
      </c>
      <c r="C1366" s="477">
        <v>7157532.588842323</v>
      </c>
      <c r="D1366" s="458">
        <v>4.5363424578148681E-2</v>
      </c>
      <c r="E1366" s="477">
        <v>18728443.332050413</v>
      </c>
      <c r="F1366" s="458">
        <v>0.11492105814378095</v>
      </c>
      <c r="G1366" s="477">
        <v>93324743.303843662</v>
      </c>
      <c r="H1366" s="458">
        <v>0.27087553877357373</v>
      </c>
      <c r="I1366" s="468">
        <v>15.89692034798183</v>
      </c>
    </row>
    <row r="1367" spans="1:9" ht="16.5" x14ac:dyDescent="0.3">
      <c r="A1367" s="477">
        <v>7543490.8626771262</v>
      </c>
      <c r="B1367" s="458">
        <v>5.0046576525504483E-2</v>
      </c>
      <c r="C1367" s="477">
        <v>14558753.273697391</v>
      </c>
      <c r="D1367" s="458">
        <v>5.7477805931898773E-2</v>
      </c>
      <c r="E1367" s="477">
        <v>8860197.1415726002</v>
      </c>
      <c r="F1367" s="458">
        <v>9.2282568347470173E-2</v>
      </c>
      <c r="G1367" s="477">
        <v>105758621.46886741</v>
      </c>
      <c r="H1367" s="458">
        <v>0.23743534976673275</v>
      </c>
      <c r="I1367" s="468">
        <v>6.5225581187878063</v>
      </c>
    </row>
    <row r="1368" spans="1:9" ht="16.5" x14ac:dyDescent="0.3">
      <c r="A1368" s="477">
        <v>-564904.50685213541</v>
      </c>
      <c r="B1368" s="458">
        <v>4.8040257800885167E-2</v>
      </c>
      <c r="C1368" s="477">
        <v>3331742.5781108467</v>
      </c>
      <c r="D1368" s="458">
        <v>5.7771479991108432E-2</v>
      </c>
      <c r="E1368" s="477">
        <v>20986715.825869799</v>
      </c>
      <c r="F1368" s="458">
        <v>0.11726782028589966</v>
      </c>
      <c r="G1368" s="477">
        <v>97362608.173032671</v>
      </c>
      <c r="H1368" s="458">
        <v>0.25653485489313366</v>
      </c>
      <c r="I1368" s="468">
        <v>10.599415811192605</v>
      </c>
    </row>
    <row r="1369" spans="1:9" ht="16.5" x14ac:dyDescent="0.3">
      <c r="A1369" s="477">
        <v>681330.27884078841</v>
      </c>
      <c r="B1369" s="458">
        <v>3.6105248689075387E-2</v>
      </c>
      <c r="C1369" s="477">
        <v>7767902.7218002211</v>
      </c>
      <c r="D1369" s="458">
        <v>7.5140562216941209E-2</v>
      </c>
      <c r="E1369" s="477">
        <v>11358430.884665586</v>
      </c>
      <c r="F1369" s="458">
        <v>0.1071623605765013</v>
      </c>
      <c r="G1369" s="477">
        <v>96386276.913221553</v>
      </c>
      <c r="H1369" s="458">
        <v>0.31280840423683354</v>
      </c>
      <c r="I1369" s="468">
        <v>7.6784537973017812</v>
      </c>
    </row>
    <row r="1370" spans="1:9" ht="16.5" x14ac:dyDescent="0.3">
      <c r="A1370" s="477">
        <v>2953787.1008909568</v>
      </c>
      <c r="B1370" s="458">
        <v>6.0825240011495474E-2</v>
      </c>
      <c r="C1370" s="477">
        <v>5205529.2438190347</v>
      </c>
      <c r="D1370" s="458">
        <v>5.4028873776641673E-2</v>
      </c>
      <c r="E1370" s="477">
        <v>5745961.1335111102</v>
      </c>
      <c r="F1370" s="458">
        <v>0.10772702233246112</v>
      </c>
      <c r="G1370" s="477">
        <v>92919139.574990571</v>
      </c>
      <c r="H1370" s="458">
        <v>0.26389689288328699</v>
      </c>
      <c r="I1370" s="468">
        <v>8.4582212905948655</v>
      </c>
    </row>
    <row r="1371" spans="1:9" ht="16.5" x14ac:dyDescent="0.3">
      <c r="A1371" s="477">
        <v>14683219.354879681</v>
      </c>
      <c r="B1371" s="458">
        <v>3.7533668807490539E-2</v>
      </c>
      <c r="C1371" s="477">
        <v>10479055.952922124</v>
      </c>
      <c r="D1371" s="458">
        <v>5.7495548304207889E-2</v>
      </c>
      <c r="E1371" s="477">
        <v>12353948.967753284</v>
      </c>
      <c r="F1371" s="458">
        <v>0.1330927143266285</v>
      </c>
      <c r="G1371" s="477">
        <v>84780028.344736233</v>
      </c>
      <c r="H1371" s="458">
        <v>0.26344602545749907</v>
      </c>
      <c r="I1371" s="468">
        <v>9.1578089032531338</v>
      </c>
    </row>
    <row r="1372" spans="1:9" ht="16.5" x14ac:dyDescent="0.3">
      <c r="A1372" s="477">
        <v>7598620.6909957919</v>
      </c>
      <c r="B1372" s="458">
        <v>3.9020112615955727E-2</v>
      </c>
      <c r="C1372" s="477">
        <v>11928365.934695415</v>
      </c>
      <c r="D1372" s="458">
        <v>5.4167268196644303E-2</v>
      </c>
      <c r="E1372" s="477">
        <v>13523936.693969963</v>
      </c>
      <c r="F1372" s="458">
        <v>0.10495885758716517</v>
      </c>
      <c r="G1372" s="477">
        <v>100405259.24516676</v>
      </c>
      <c r="H1372" s="458">
        <v>0.26044565320988977</v>
      </c>
      <c r="I1372" s="468">
        <v>9.6929487392965861</v>
      </c>
    </row>
    <row r="1373" spans="1:9" ht="16.5" x14ac:dyDescent="0.3">
      <c r="A1373" s="477">
        <v>4866126.5166939916</v>
      </c>
      <c r="B1373" s="458">
        <v>3.6396037697246975E-2</v>
      </c>
      <c r="C1373" s="477">
        <v>6357733.5685092136</v>
      </c>
      <c r="D1373" s="458">
        <v>8.019193322395668E-2</v>
      </c>
      <c r="E1373" s="477">
        <v>15110319.862391405</v>
      </c>
      <c r="F1373" s="458">
        <v>0.10419215854357944</v>
      </c>
      <c r="G1373" s="477">
        <v>84449387.298755035</v>
      </c>
      <c r="H1373" s="458">
        <v>0.26735521333916501</v>
      </c>
      <c r="I1373" s="468">
        <v>7.5946798348798685</v>
      </c>
    </row>
    <row r="1374" spans="1:9" ht="16.5" x14ac:dyDescent="0.3">
      <c r="A1374" s="477">
        <v>5081765.4413121231</v>
      </c>
      <c r="B1374" s="458">
        <v>3.7940719346422958E-2</v>
      </c>
      <c r="C1374" s="477">
        <v>10440344.311808074</v>
      </c>
      <c r="D1374" s="458">
        <v>3.7600037033798106E-2</v>
      </c>
      <c r="E1374" s="477">
        <v>11398588.005657883</v>
      </c>
      <c r="F1374" s="458">
        <v>0.11855366204910878</v>
      </c>
      <c r="G1374" s="477">
        <v>90692612.004206568</v>
      </c>
      <c r="H1374" s="458">
        <v>0.29253014653298859</v>
      </c>
      <c r="I1374" s="468">
        <v>13.255096706172113</v>
      </c>
    </row>
    <row r="1375" spans="1:9" ht="16.5" x14ac:dyDescent="0.3">
      <c r="A1375" s="477">
        <v>4660678.4091673754</v>
      </c>
      <c r="B1375" s="458">
        <v>7.4200633755024059E-2</v>
      </c>
      <c r="C1375" s="477">
        <v>5169873.8092272552</v>
      </c>
      <c r="D1375" s="458">
        <v>6.699842946363499E-2</v>
      </c>
      <c r="E1375" s="477">
        <v>13813467.443063371</v>
      </c>
      <c r="F1375" s="458">
        <v>0.10190207665288464</v>
      </c>
      <c r="G1375" s="477">
        <v>69822040.934796542</v>
      </c>
      <c r="H1375" s="458">
        <v>0.25772835261005667</v>
      </c>
      <c r="I1375" s="468">
        <v>6.0041570948502212</v>
      </c>
    </row>
    <row r="1376" spans="1:9" ht="16.5" x14ac:dyDescent="0.3">
      <c r="A1376" s="477">
        <v>3194920.1063404754</v>
      </c>
      <c r="B1376" s="458">
        <v>1.7335809469574803E-2</v>
      </c>
      <c r="C1376" s="477">
        <v>13806651.864512248</v>
      </c>
      <c r="D1376" s="458">
        <v>4.9450755782606937E-2</v>
      </c>
      <c r="E1376" s="477">
        <v>9761556.1958809737</v>
      </c>
      <c r="F1376" s="458">
        <v>0.11324203891964957</v>
      </c>
      <c r="G1376" s="477">
        <v>85068314.548721418</v>
      </c>
      <c r="H1376" s="458">
        <v>0.25416527869430205</v>
      </c>
      <c r="I1376" s="468">
        <v>14.558324794458166</v>
      </c>
    </row>
    <row r="1377" spans="1:9" ht="16.5" x14ac:dyDescent="0.3">
      <c r="A1377" s="477">
        <v>3805416.5045481073</v>
      </c>
      <c r="B1377" s="458">
        <v>3.9304339799075994E-2</v>
      </c>
      <c r="C1377" s="477">
        <v>1953555.477735908</v>
      </c>
      <c r="D1377" s="458">
        <v>6.8258470243044878E-2</v>
      </c>
      <c r="E1377" s="477">
        <v>16285835.28791903</v>
      </c>
      <c r="F1377" s="458">
        <v>9.7758847810261784E-2</v>
      </c>
      <c r="G1377" s="477">
        <v>83307288.690813363</v>
      </c>
      <c r="H1377" s="458">
        <v>0.30063268861844938</v>
      </c>
      <c r="I1377" s="468">
        <v>4.022760804383525</v>
      </c>
    </row>
    <row r="1378" spans="1:9" ht="16.5" x14ac:dyDescent="0.3">
      <c r="A1378" s="477">
        <v>6322641.7587276381</v>
      </c>
      <c r="B1378" s="458">
        <v>1.5665968983604284E-2</v>
      </c>
      <c r="C1378" s="477">
        <v>11462336.219952796</v>
      </c>
      <c r="D1378" s="458">
        <v>5.5071308563390486E-2</v>
      </c>
      <c r="E1378" s="477">
        <v>19706437.962644551</v>
      </c>
      <c r="F1378" s="458">
        <v>0.10227310743290574</v>
      </c>
      <c r="G1378" s="477">
        <v>90376678.757483989</v>
      </c>
      <c r="H1378" s="458">
        <v>0.27867850318053411</v>
      </c>
      <c r="I1378" s="468">
        <v>10.508884722656607</v>
      </c>
    </row>
    <row r="1379" spans="1:9" ht="16.5" x14ac:dyDescent="0.3">
      <c r="A1379" s="477">
        <v>2497500.9137215749</v>
      </c>
      <c r="B1379" s="458">
        <v>4.9834776960769656E-2</v>
      </c>
      <c r="C1379" s="477">
        <v>7800555.0819345294</v>
      </c>
      <c r="D1379" s="458">
        <v>6.9332643559390617E-2</v>
      </c>
      <c r="E1379" s="477">
        <v>23288608.591130685</v>
      </c>
      <c r="F1379" s="458">
        <v>8.6049620489182299E-2</v>
      </c>
      <c r="G1379" s="477">
        <v>90217159.886453688</v>
      </c>
      <c r="H1379" s="458">
        <v>0.26516945493163568</v>
      </c>
      <c r="I1379" s="468">
        <v>9.5731793421951572</v>
      </c>
    </row>
    <row r="1380" spans="1:9" ht="16.5" x14ac:dyDescent="0.3">
      <c r="A1380" s="477">
        <v>10644388.162964895</v>
      </c>
      <c r="B1380" s="458">
        <v>3.7305525347187674E-2</v>
      </c>
      <c r="C1380" s="477">
        <v>5568306.433845303</v>
      </c>
      <c r="D1380" s="458">
        <v>7.511798827830618E-2</v>
      </c>
      <c r="E1380" s="477">
        <v>9851014.0979043599</v>
      </c>
      <c r="F1380" s="458">
        <v>0.12787568389012627</v>
      </c>
      <c r="G1380" s="477">
        <v>99801740.656480789</v>
      </c>
      <c r="H1380" s="458">
        <v>0.26517345689174276</v>
      </c>
      <c r="I1380" s="468">
        <v>16.422211761297177</v>
      </c>
    </row>
    <row r="1381" spans="1:9" ht="16.5" x14ac:dyDescent="0.3">
      <c r="A1381" s="477">
        <v>2087543.5004025795</v>
      </c>
      <c r="B1381" s="458">
        <v>6.9504595077597431E-2</v>
      </c>
      <c r="C1381" s="477">
        <v>9283352.6875391304</v>
      </c>
      <c r="D1381" s="458">
        <v>5.2997629772060018E-2</v>
      </c>
      <c r="E1381" s="477">
        <v>12292136.917069148</v>
      </c>
      <c r="F1381" s="458">
        <v>0.13825261680157697</v>
      </c>
      <c r="G1381" s="477">
        <v>88328614.54259941</v>
      </c>
      <c r="H1381" s="458">
        <v>0.27433100683388201</v>
      </c>
      <c r="I1381" s="468">
        <v>8.4544337900959352</v>
      </c>
    </row>
    <row r="1382" spans="1:9" ht="16.5" x14ac:dyDescent="0.3">
      <c r="A1382" s="477">
        <v>7584781.7140538329</v>
      </c>
      <c r="B1382" s="458">
        <v>2.9019426375205049E-2</v>
      </c>
      <c r="C1382" s="477">
        <v>8891853.4809848536</v>
      </c>
      <c r="D1382" s="458">
        <v>9.9563521528288623E-2</v>
      </c>
      <c r="E1382" s="477">
        <v>18621766.969780944</v>
      </c>
      <c r="F1382" s="458">
        <v>0.11463090337583881</v>
      </c>
      <c r="G1382" s="477">
        <v>100578753.10809815</v>
      </c>
      <c r="H1382" s="458">
        <v>0.24377119547921744</v>
      </c>
      <c r="I1382" s="468">
        <v>3.3020185380294178</v>
      </c>
    </row>
    <row r="1383" spans="1:9" ht="16.5" x14ac:dyDescent="0.3">
      <c r="A1383" s="477">
        <v>955232.69917825644</v>
      </c>
      <c r="B1383" s="458">
        <v>3.7821935973944454E-2</v>
      </c>
      <c r="C1383" s="477">
        <v>9204838.2060596589</v>
      </c>
      <c r="D1383" s="458">
        <v>5.7871733148643356E-2</v>
      </c>
      <c r="E1383" s="477">
        <v>8604445.8966898788</v>
      </c>
      <c r="F1383" s="458">
        <v>0.13030548493624106</v>
      </c>
      <c r="G1383" s="477">
        <v>81294002.717736796</v>
      </c>
      <c r="H1383" s="458">
        <v>0.28560493910822893</v>
      </c>
      <c r="I1383" s="468">
        <v>9.8549775489163025</v>
      </c>
    </row>
    <row r="1384" spans="1:9" ht="16.5" x14ac:dyDescent="0.3">
      <c r="A1384" s="477">
        <v>10758942.817271439</v>
      </c>
      <c r="B1384" s="458">
        <v>4.3242003291932951E-2</v>
      </c>
      <c r="C1384" s="477">
        <v>10966394.132407248</v>
      </c>
      <c r="D1384" s="458">
        <v>6.3720153673908042E-2</v>
      </c>
      <c r="E1384" s="477">
        <v>14445217.427805478</v>
      </c>
      <c r="F1384" s="458">
        <v>0.10600222094280221</v>
      </c>
      <c r="G1384" s="477">
        <v>91766399.684671208</v>
      </c>
      <c r="H1384" s="458">
        <v>0.26252324457959464</v>
      </c>
      <c r="I1384" s="468">
        <v>11.868802061332882</v>
      </c>
    </row>
    <row r="1385" spans="1:9" ht="16.5" x14ac:dyDescent="0.3">
      <c r="A1385" s="477">
        <v>2001717.8735032994</v>
      </c>
      <c r="B1385" s="458">
        <v>3.7378993835138763E-2</v>
      </c>
      <c r="C1385" s="477">
        <v>15890596.97696981</v>
      </c>
      <c r="D1385" s="458">
        <v>9.6923326419713351E-2</v>
      </c>
      <c r="E1385" s="477">
        <v>19522408.238342788</v>
      </c>
      <c r="F1385" s="458">
        <v>0.12302765218987832</v>
      </c>
      <c r="G1385" s="477">
        <v>87047762.446665466</v>
      </c>
      <c r="H1385" s="458">
        <v>0.2675129550154951</v>
      </c>
      <c r="I1385" s="468">
        <v>3.3600453994920398</v>
      </c>
    </row>
    <row r="1386" spans="1:9" ht="16.5" x14ac:dyDescent="0.3">
      <c r="A1386" s="477">
        <v>520057.91111544147</v>
      </c>
      <c r="B1386" s="458">
        <v>4.8284187423764724E-2</v>
      </c>
      <c r="C1386" s="477">
        <v>11271210.932616506</v>
      </c>
      <c r="D1386" s="458">
        <v>6.5419832113325027E-2</v>
      </c>
      <c r="E1386" s="477">
        <v>14017807.868985385</v>
      </c>
      <c r="F1386" s="458">
        <v>0.12852715756501221</v>
      </c>
      <c r="G1386" s="477">
        <v>107348144.70806773</v>
      </c>
      <c r="H1386" s="458">
        <v>0.28224553053457835</v>
      </c>
      <c r="I1386" s="468">
        <v>11.815970071328861</v>
      </c>
    </row>
    <row r="1387" spans="1:9" ht="16.5" x14ac:dyDescent="0.3">
      <c r="A1387" s="477">
        <v>2699530.8884300753</v>
      </c>
      <c r="B1387" s="458">
        <v>3.1265863016723072E-2</v>
      </c>
      <c r="C1387" s="477">
        <v>7383748.5321033485</v>
      </c>
      <c r="D1387" s="458">
        <v>6.8464772221926262E-2</v>
      </c>
      <c r="E1387" s="477">
        <v>9118632.985616941</v>
      </c>
      <c r="F1387" s="458">
        <v>9.1777537547720778E-2</v>
      </c>
      <c r="G1387" s="477">
        <v>93820803.16530624</v>
      </c>
      <c r="H1387" s="458">
        <v>0.27425805290594329</v>
      </c>
      <c r="I1387" s="468">
        <v>11.124331812566107</v>
      </c>
    </row>
    <row r="1388" spans="1:9" ht="16.5" x14ac:dyDescent="0.3">
      <c r="A1388" s="477">
        <v>1079534.9514571363</v>
      </c>
      <c r="B1388" s="458">
        <v>7.2811879236868826E-2</v>
      </c>
      <c r="C1388" s="477">
        <v>12175802.284269469</v>
      </c>
      <c r="D1388" s="458">
        <v>9.5347250202445721E-2</v>
      </c>
      <c r="E1388" s="477">
        <v>22740512.34074023</v>
      </c>
      <c r="F1388" s="458">
        <v>9.0951222917347252E-2</v>
      </c>
      <c r="G1388" s="477">
        <v>78444327.763587266</v>
      </c>
      <c r="H1388" s="458">
        <v>0.263376622645354</v>
      </c>
      <c r="I1388" s="468">
        <v>6.7100217004617164</v>
      </c>
    </row>
    <row r="1389" spans="1:9" ht="16.5" x14ac:dyDescent="0.3">
      <c r="A1389" s="477">
        <v>-385041.45458831399</v>
      </c>
      <c r="B1389" s="458">
        <v>4.6249703253787411E-2</v>
      </c>
      <c r="C1389" s="477">
        <v>15757402.833799507</v>
      </c>
      <c r="D1389" s="458">
        <v>7.8837540559223429E-2</v>
      </c>
      <c r="E1389" s="477">
        <v>14664448.778801564</v>
      </c>
      <c r="F1389" s="458">
        <v>0.12005775227531901</v>
      </c>
      <c r="G1389" s="477">
        <v>101597635.52027199</v>
      </c>
      <c r="H1389" s="458">
        <v>0.29634789380656557</v>
      </c>
      <c r="I1389" s="468">
        <v>11.416587068694467</v>
      </c>
    </row>
    <row r="1390" spans="1:9" ht="16.5" x14ac:dyDescent="0.3">
      <c r="A1390" s="477">
        <v>6598563.6915635262</v>
      </c>
      <c r="B1390" s="458">
        <v>2.4034326043024468E-2</v>
      </c>
      <c r="C1390" s="477">
        <v>7594299.5654474664</v>
      </c>
      <c r="D1390" s="458">
        <v>6.5756879530757484E-2</v>
      </c>
      <c r="E1390" s="477">
        <v>21437894.306741878</v>
      </c>
      <c r="F1390" s="458">
        <v>0.11727024203933589</v>
      </c>
      <c r="G1390" s="477">
        <v>97711275.733363941</v>
      </c>
      <c r="H1390" s="458">
        <v>0.26546881597703154</v>
      </c>
      <c r="I1390" s="468">
        <v>17.104415591327875</v>
      </c>
    </row>
    <row r="1391" spans="1:9" ht="16.5" x14ac:dyDescent="0.3">
      <c r="A1391" s="477">
        <v>3720910.5956312995</v>
      </c>
      <c r="B1391" s="458">
        <v>6.1298958627715283E-2</v>
      </c>
      <c r="C1391" s="477">
        <v>3084362.0256947628</v>
      </c>
      <c r="D1391" s="458">
        <v>4.6123644455004387E-2</v>
      </c>
      <c r="E1391" s="477">
        <v>26914982.94098042</v>
      </c>
      <c r="F1391" s="458">
        <v>9.1052199051291804E-2</v>
      </c>
      <c r="G1391" s="477">
        <v>93878258.249034747</v>
      </c>
      <c r="H1391" s="458">
        <v>0.28233490712204379</v>
      </c>
      <c r="I1391" s="468">
        <v>8.1858416313424147</v>
      </c>
    </row>
    <row r="1392" spans="1:9" ht="16.5" x14ac:dyDescent="0.3">
      <c r="A1392" s="477">
        <v>6058416.42222529</v>
      </c>
      <c r="B1392" s="458">
        <v>5.6491477893347408E-2</v>
      </c>
      <c r="C1392" s="477">
        <v>10562475.092772748</v>
      </c>
      <c r="D1392" s="458">
        <v>7.9063639979229716E-2</v>
      </c>
      <c r="E1392" s="477">
        <v>14594247.571088372</v>
      </c>
      <c r="F1392" s="458">
        <v>0.11324102555981841</v>
      </c>
      <c r="G1392" s="477">
        <v>89446144.560020179</v>
      </c>
      <c r="H1392" s="458">
        <v>0.27431684241736898</v>
      </c>
      <c r="I1392" s="468">
        <v>4.4599302189617109</v>
      </c>
    </row>
    <row r="1393" spans="1:9" ht="16.5" x14ac:dyDescent="0.3">
      <c r="A1393" s="477">
        <v>4493304.0984718651</v>
      </c>
      <c r="B1393" s="458">
        <v>1.2990712494158174E-2</v>
      </c>
      <c r="C1393" s="477">
        <v>14482175.998809079</v>
      </c>
      <c r="D1393" s="458">
        <v>6.0050920375530392E-2</v>
      </c>
      <c r="E1393" s="477">
        <v>10828701.789760912</v>
      </c>
      <c r="F1393" s="458">
        <v>0.10173066122742891</v>
      </c>
      <c r="G1393" s="477">
        <v>91334012.432214141</v>
      </c>
      <c r="H1393" s="458">
        <v>0.27826070254905799</v>
      </c>
      <c r="I1393" s="468">
        <v>9.6312263333721049</v>
      </c>
    </row>
    <row r="1394" spans="1:9" ht="16.5" x14ac:dyDescent="0.3">
      <c r="A1394" s="477">
        <v>2533335.0613702536</v>
      </c>
      <c r="B1394" s="458">
        <v>3.8949758545081092E-2</v>
      </c>
      <c r="C1394" s="477">
        <v>17273813.032165606</v>
      </c>
      <c r="D1394" s="458">
        <v>8.7198714338276195E-2</v>
      </c>
      <c r="E1394" s="477">
        <v>10698368.920982655</v>
      </c>
      <c r="F1394" s="458">
        <v>0.12963821154318644</v>
      </c>
      <c r="G1394" s="477">
        <v>100978161.47652367</v>
      </c>
      <c r="H1394" s="458">
        <v>0.25657136144643156</v>
      </c>
      <c r="I1394" s="468">
        <v>6.5264130489046082</v>
      </c>
    </row>
    <row r="1395" spans="1:9" ht="16.5" x14ac:dyDescent="0.3">
      <c r="A1395" s="477">
        <v>6550476.633642124</v>
      </c>
      <c r="B1395" s="458">
        <v>4.603558976166422E-2</v>
      </c>
      <c r="C1395" s="477">
        <v>9031749.3726141248</v>
      </c>
      <c r="D1395" s="458">
        <v>7.5274201449157641E-2</v>
      </c>
      <c r="E1395" s="477">
        <v>11587595.883636104</v>
      </c>
      <c r="F1395" s="458">
        <v>9.3899446794091457E-2</v>
      </c>
      <c r="G1395" s="477">
        <v>93168775.68129459</v>
      </c>
      <c r="H1395" s="458">
        <v>0.27094942453316206</v>
      </c>
      <c r="I1395" s="468">
        <v>1.6430416260841758</v>
      </c>
    </row>
    <row r="1396" spans="1:9" ht="16.5" x14ac:dyDescent="0.3">
      <c r="A1396" s="477">
        <v>3402242.8293107189</v>
      </c>
      <c r="B1396" s="458">
        <v>4.0965557715942236E-2</v>
      </c>
      <c r="C1396" s="477">
        <v>-1097988.852534723</v>
      </c>
      <c r="D1396" s="458">
        <v>6.0348702762429873E-2</v>
      </c>
      <c r="E1396" s="477">
        <v>15826625.183682624</v>
      </c>
      <c r="F1396" s="458">
        <v>0.1216732271767611</v>
      </c>
      <c r="G1396" s="477">
        <v>91191157.90284501</v>
      </c>
      <c r="H1396" s="458">
        <v>0.28787811327617363</v>
      </c>
      <c r="I1396" s="468">
        <v>2.2925396158578693</v>
      </c>
    </row>
    <row r="1397" spans="1:9" ht="16.5" x14ac:dyDescent="0.3">
      <c r="A1397" s="477">
        <v>2347974.4894180545</v>
      </c>
      <c r="B1397" s="458">
        <v>4.3378050817858949E-2</v>
      </c>
      <c r="C1397" s="477">
        <v>9447428.7937512565</v>
      </c>
      <c r="D1397" s="458">
        <v>7.1814130042879176E-2</v>
      </c>
      <c r="E1397" s="477">
        <v>18800630.713930201</v>
      </c>
      <c r="F1397" s="458">
        <v>9.3957477871976947E-2</v>
      </c>
      <c r="G1397" s="477">
        <v>94394245.252367273</v>
      </c>
      <c r="H1397" s="458">
        <v>0.25965887815681321</v>
      </c>
      <c r="I1397" s="468">
        <v>3.7795205504813199</v>
      </c>
    </row>
    <row r="1398" spans="1:9" ht="16.5" x14ac:dyDescent="0.3">
      <c r="A1398" s="477">
        <v>5111639.6505347304</v>
      </c>
      <c r="B1398" s="458">
        <v>3.7291329182740585E-2</v>
      </c>
      <c r="C1398" s="477">
        <v>5687249.5123330988</v>
      </c>
      <c r="D1398" s="458">
        <v>6.184297402854888E-2</v>
      </c>
      <c r="E1398" s="477">
        <v>19256112.786489256</v>
      </c>
      <c r="F1398" s="458">
        <v>0.11566852172681164</v>
      </c>
      <c r="G1398" s="477">
        <v>85011648.771229774</v>
      </c>
      <c r="H1398" s="458">
        <v>0.27315345024390369</v>
      </c>
      <c r="I1398" s="468">
        <v>2.9779311628022294</v>
      </c>
    </row>
    <row r="1399" spans="1:9" ht="16.5" x14ac:dyDescent="0.3">
      <c r="A1399" s="477">
        <v>5852921.5727326563</v>
      </c>
      <c r="B1399" s="458">
        <v>3.9221892418493276E-2</v>
      </c>
      <c r="C1399" s="477">
        <v>8323155.4650672767</v>
      </c>
      <c r="D1399" s="458">
        <v>8.4969704820125891E-2</v>
      </c>
      <c r="E1399" s="477">
        <v>18380371.191927444</v>
      </c>
      <c r="F1399" s="458">
        <v>9.7155851891868261E-2</v>
      </c>
      <c r="G1399" s="477">
        <v>96417360.630777583</v>
      </c>
      <c r="H1399" s="458">
        <v>0.25624897096091082</v>
      </c>
      <c r="I1399" s="468">
        <v>6.155188548993503</v>
      </c>
    </row>
    <row r="1400" spans="1:9" ht="16.5" x14ac:dyDescent="0.3">
      <c r="A1400" s="477">
        <v>10719830.89513736</v>
      </c>
      <c r="B1400" s="458">
        <v>4.1101990667142818E-2</v>
      </c>
      <c r="C1400" s="477">
        <v>6069947.9704539897</v>
      </c>
      <c r="D1400" s="458">
        <v>5.1406088272579753E-2</v>
      </c>
      <c r="E1400" s="477">
        <v>17910504.532952882</v>
      </c>
      <c r="F1400" s="458">
        <v>9.2646136583906857E-2</v>
      </c>
      <c r="G1400" s="477">
        <v>91062842.988910004</v>
      </c>
      <c r="H1400" s="458">
        <v>0.30181613327953238</v>
      </c>
      <c r="I1400" s="468">
        <v>9.8540951034865998</v>
      </c>
    </row>
    <row r="1401" spans="1:9" ht="16.5" x14ac:dyDescent="0.3">
      <c r="A1401" s="477">
        <v>7671356.9301392911</v>
      </c>
      <c r="B1401" s="458">
        <v>4.8495849652342882E-2</v>
      </c>
      <c r="C1401" s="477">
        <v>10943898.355281889</v>
      </c>
      <c r="D1401" s="458">
        <v>5.6643810630113478E-2</v>
      </c>
      <c r="E1401" s="477">
        <v>19362457.69235833</v>
      </c>
      <c r="F1401" s="458">
        <v>0.12277460135493468</v>
      </c>
      <c r="G1401" s="477">
        <v>97586378.232862532</v>
      </c>
      <c r="H1401" s="458">
        <v>0.25859902400051871</v>
      </c>
      <c r="I1401" s="468">
        <v>9.9037039623114378</v>
      </c>
    </row>
    <row r="1402" spans="1:9" ht="16.5" x14ac:dyDescent="0.3">
      <c r="A1402" s="477">
        <v>7288039.4557999698</v>
      </c>
      <c r="B1402" s="458">
        <v>3.318478058072527E-2</v>
      </c>
      <c r="C1402" s="477">
        <v>7054386.5985536184</v>
      </c>
      <c r="D1402" s="458">
        <v>7.2778318016915255E-2</v>
      </c>
      <c r="E1402" s="477">
        <v>21037643.895498671</v>
      </c>
      <c r="F1402" s="458">
        <v>0.10536113420619753</v>
      </c>
      <c r="G1402" s="477">
        <v>85884118.317237586</v>
      </c>
      <c r="H1402" s="458">
        <v>0.26770864552116946</v>
      </c>
      <c r="I1402" s="468">
        <v>5.8627274810359591</v>
      </c>
    </row>
    <row r="1403" spans="1:9" ht="16.5" x14ac:dyDescent="0.3">
      <c r="A1403" s="477">
        <v>8131365.4774167482</v>
      </c>
      <c r="B1403" s="458">
        <v>4.4078107293973545E-2</v>
      </c>
      <c r="C1403" s="477">
        <v>6807497.2632949157</v>
      </c>
      <c r="D1403" s="458">
        <v>7.4557725113758799E-2</v>
      </c>
      <c r="E1403" s="477">
        <v>15785929.873697357</v>
      </c>
      <c r="F1403" s="458">
        <v>0.1242743443285097</v>
      </c>
      <c r="G1403" s="477">
        <v>89925039.611438543</v>
      </c>
      <c r="H1403" s="458">
        <v>0.33094179282247138</v>
      </c>
      <c r="I1403" s="468">
        <v>5.1603138543129958</v>
      </c>
    </row>
    <row r="1404" spans="1:9" ht="16.5" x14ac:dyDescent="0.3">
      <c r="A1404" s="477">
        <v>4346140.3883969625</v>
      </c>
      <c r="B1404" s="458">
        <v>5.3833357209785992E-2</v>
      </c>
      <c r="C1404" s="477">
        <v>11633367.472450335</v>
      </c>
      <c r="D1404" s="458">
        <v>4.2456415508226542E-2</v>
      </c>
      <c r="E1404" s="477">
        <v>16801613.815930415</v>
      </c>
      <c r="F1404" s="458">
        <v>0.12330073433148558</v>
      </c>
      <c r="G1404" s="477">
        <v>92646639.508508518</v>
      </c>
      <c r="H1404" s="458">
        <v>0.25989150552180851</v>
      </c>
      <c r="I1404" s="468">
        <v>12.491305366419352</v>
      </c>
    </row>
    <row r="1405" spans="1:9" ht="16.5" x14ac:dyDescent="0.3">
      <c r="A1405" s="477">
        <v>5405640.5011998527</v>
      </c>
      <c r="B1405" s="458">
        <v>4.1312684256458843E-2</v>
      </c>
      <c r="C1405" s="477">
        <v>3261459.030037676</v>
      </c>
      <c r="D1405" s="458">
        <v>4.7862085206914484E-2</v>
      </c>
      <c r="E1405" s="477">
        <v>14242487.336677199</v>
      </c>
      <c r="F1405" s="458">
        <v>8.5922651383651294E-2</v>
      </c>
      <c r="G1405" s="477">
        <v>95287412.968686208</v>
      </c>
      <c r="H1405" s="458">
        <v>0.25559481066528633</v>
      </c>
      <c r="I1405" s="468">
        <v>4.5331776161894535</v>
      </c>
    </row>
    <row r="1406" spans="1:9" ht="16.5" x14ac:dyDescent="0.3">
      <c r="A1406" s="477">
        <v>4079649.54435169</v>
      </c>
      <c r="B1406" s="458">
        <v>2.5555178427971281E-2</v>
      </c>
      <c r="C1406" s="477">
        <v>7806873.9081406686</v>
      </c>
      <c r="D1406" s="458">
        <v>6.6882697688886994E-2</v>
      </c>
      <c r="E1406" s="477">
        <v>3148691.6371837794</v>
      </c>
      <c r="F1406" s="458">
        <v>0.10416185686014923</v>
      </c>
      <c r="G1406" s="477">
        <v>90670464.604748651</v>
      </c>
      <c r="H1406" s="458">
        <v>0.25505795958870436</v>
      </c>
      <c r="I1406" s="468">
        <v>8.0352408123002714</v>
      </c>
    </row>
    <row r="1407" spans="1:9" ht="16.5" x14ac:dyDescent="0.3">
      <c r="A1407" s="477">
        <v>4010334.3753862563</v>
      </c>
      <c r="B1407" s="458">
        <v>2.0992078313498697E-2</v>
      </c>
      <c r="C1407" s="477">
        <v>3323408.0032350514</v>
      </c>
      <c r="D1407" s="458">
        <v>6.5717273155192713E-2</v>
      </c>
      <c r="E1407" s="477">
        <v>909131.6980183142</v>
      </c>
      <c r="F1407" s="458">
        <v>9.80496250159959E-2</v>
      </c>
      <c r="G1407" s="477">
        <v>96482025.799436182</v>
      </c>
      <c r="H1407" s="458">
        <v>0.27266910272484735</v>
      </c>
      <c r="I1407" s="468">
        <v>5.403493493626117</v>
      </c>
    </row>
    <row r="1408" spans="1:9" ht="16.5" x14ac:dyDescent="0.3">
      <c r="A1408" s="477">
        <v>7856373.775873485</v>
      </c>
      <c r="B1408" s="458">
        <v>4.4850459490010097E-2</v>
      </c>
      <c r="C1408" s="477">
        <v>3567553.5616408722</v>
      </c>
      <c r="D1408" s="458">
        <v>7.0141691530792638E-2</v>
      </c>
      <c r="E1408" s="477">
        <v>17149664.533520602</v>
      </c>
      <c r="F1408" s="458">
        <v>9.7607434392871673E-2</v>
      </c>
      <c r="G1408" s="477">
        <v>77026706.625009641</v>
      </c>
      <c r="H1408" s="458">
        <v>0.26334310586846721</v>
      </c>
      <c r="I1408" s="468">
        <v>4.8160960345701636</v>
      </c>
    </row>
    <row r="1409" spans="1:9" ht="16.5" x14ac:dyDescent="0.3">
      <c r="A1409" s="477">
        <v>6509743.3581146719</v>
      </c>
      <c r="B1409" s="458">
        <v>5.2143782318628373E-2</v>
      </c>
      <c r="C1409" s="477">
        <v>3254424.0227545006</v>
      </c>
      <c r="D1409" s="458">
        <v>5.7161923637988332E-2</v>
      </c>
      <c r="E1409" s="477">
        <v>12443578.352310522</v>
      </c>
      <c r="F1409" s="458">
        <v>0.10959681275083955</v>
      </c>
      <c r="G1409" s="477">
        <v>78760735.194987193</v>
      </c>
      <c r="H1409" s="458">
        <v>0.25135864128995866</v>
      </c>
      <c r="I1409" s="468">
        <v>8.6700465750206419</v>
      </c>
    </row>
    <row r="1410" spans="1:9" ht="16.5" x14ac:dyDescent="0.3">
      <c r="A1410" s="477">
        <v>5903306.0404604236</v>
      </c>
      <c r="B1410" s="458">
        <v>3.8979585499301805E-2</v>
      </c>
      <c r="C1410" s="477">
        <v>9568179.9299615826</v>
      </c>
      <c r="D1410" s="458">
        <v>4.0187478687443878E-2</v>
      </c>
      <c r="E1410" s="477">
        <v>11892128.393130433</v>
      </c>
      <c r="F1410" s="458">
        <v>0.13537230506173614</v>
      </c>
      <c r="G1410" s="477">
        <v>86859368.403258517</v>
      </c>
      <c r="H1410" s="458">
        <v>0.27311941935189998</v>
      </c>
      <c r="I1410" s="468">
        <v>6.3044449064281638</v>
      </c>
    </row>
    <row r="1411" spans="1:9" ht="16.5" x14ac:dyDescent="0.3">
      <c r="A1411" s="477">
        <v>6061060.3761693416</v>
      </c>
      <c r="B1411" s="458">
        <v>3.6061450990069854E-2</v>
      </c>
      <c r="C1411" s="477">
        <v>4022818.8844410088</v>
      </c>
      <c r="D1411" s="458">
        <v>6.2999566984730748E-2</v>
      </c>
      <c r="E1411" s="477">
        <v>20049753.635355361</v>
      </c>
      <c r="F1411" s="458">
        <v>0.10009655673849172</v>
      </c>
      <c r="G1411" s="477">
        <v>84584375.692528605</v>
      </c>
      <c r="H1411" s="458">
        <v>0.27741146652115001</v>
      </c>
      <c r="I1411" s="468">
        <v>3.7960055507723105</v>
      </c>
    </row>
    <row r="1412" spans="1:9" ht="16.5" x14ac:dyDescent="0.3">
      <c r="A1412" s="477">
        <v>2234223.3852230734</v>
      </c>
      <c r="B1412" s="458">
        <v>5.2150533992498804E-2</v>
      </c>
      <c r="C1412" s="477">
        <v>2629029.0835981183</v>
      </c>
      <c r="D1412" s="458">
        <v>6.8940492704432366E-2</v>
      </c>
      <c r="E1412" s="477">
        <v>16642758.689243423</v>
      </c>
      <c r="F1412" s="458">
        <v>7.1774365297269327E-2</v>
      </c>
      <c r="G1412" s="477">
        <v>97082571.988644361</v>
      </c>
      <c r="H1412" s="458">
        <v>0.27508118223019196</v>
      </c>
      <c r="I1412" s="468">
        <v>10.277119067888574</v>
      </c>
    </row>
    <row r="1413" spans="1:9" ht="16.5" x14ac:dyDescent="0.3">
      <c r="A1413" s="477">
        <v>5064267.2885016091</v>
      </c>
      <c r="B1413" s="458">
        <v>3.4713507276920019E-2</v>
      </c>
      <c r="C1413" s="477">
        <v>6248582.8888077578</v>
      </c>
      <c r="D1413" s="458">
        <v>8.5079021841986124E-2</v>
      </c>
      <c r="E1413" s="477">
        <v>18529151.954492405</v>
      </c>
      <c r="F1413" s="458">
        <v>0.11248921597040229</v>
      </c>
      <c r="G1413" s="477">
        <v>87907467.671756953</v>
      </c>
      <c r="H1413" s="458">
        <v>0.27541082224839553</v>
      </c>
      <c r="I1413" s="468">
        <v>8.5374516018868416</v>
      </c>
    </row>
    <row r="1414" spans="1:9" ht="16.5" x14ac:dyDescent="0.3">
      <c r="A1414" s="477">
        <v>2234048.7318202979</v>
      </c>
      <c r="B1414" s="458">
        <v>3.4235960981532809E-2</v>
      </c>
      <c r="C1414" s="477">
        <v>14463855.369598636</v>
      </c>
      <c r="D1414" s="458">
        <v>6.7379892226785865E-2</v>
      </c>
      <c r="E1414" s="477">
        <v>15200142.210077567</v>
      </c>
      <c r="F1414" s="458">
        <v>0.11548256290834646</v>
      </c>
      <c r="G1414" s="477">
        <v>99403896.792409852</v>
      </c>
      <c r="H1414" s="458">
        <v>0.27762766570430775</v>
      </c>
      <c r="I1414" s="468">
        <v>5.7682207961723755</v>
      </c>
    </row>
    <row r="1415" spans="1:9" ht="16.5" x14ac:dyDescent="0.3">
      <c r="A1415" s="477">
        <v>5224925.6689742366</v>
      </c>
      <c r="B1415" s="458">
        <v>5.2255425344734263E-2</v>
      </c>
      <c r="C1415" s="477">
        <v>9361737.7402464077</v>
      </c>
      <c r="D1415" s="458">
        <v>6.2892041561062761E-2</v>
      </c>
      <c r="E1415" s="477">
        <v>14058997.662942769</v>
      </c>
      <c r="F1415" s="458">
        <v>0.1214543322597581</v>
      </c>
      <c r="G1415" s="477">
        <v>94868442.279333189</v>
      </c>
      <c r="H1415" s="458">
        <v>0.27321113304855071</v>
      </c>
      <c r="I1415" s="468">
        <v>6.5966127390045211</v>
      </c>
    </row>
    <row r="1416" spans="1:9" ht="16.5" x14ac:dyDescent="0.3">
      <c r="A1416" s="477">
        <v>1862258.2768376523</v>
      </c>
      <c r="B1416" s="458">
        <v>4.159983493731767E-2</v>
      </c>
      <c r="C1416" s="477">
        <v>7378696.8306436436</v>
      </c>
      <c r="D1416" s="458">
        <v>5.42583981129241E-2</v>
      </c>
      <c r="E1416" s="477">
        <v>10466417.797565216</v>
      </c>
      <c r="F1416" s="458">
        <v>0.10217320975403776</v>
      </c>
      <c r="G1416" s="477">
        <v>84930297.399189085</v>
      </c>
      <c r="H1416" s="458">
        <v>0.2753695562745857</v>
      </c>
      <c r="I1416" s="468">
        <v>3.6927928045804057</v>
      </c>
    </row>
    <row r="1417" spans="1:9" ht="16.5" x14ac:dyDescent="0.3">
      <c r="A1417" s="477">
        <v>2573602.592907574</v>
      </c>
      <c r="B1417" s="458">
        <v>5.5635298342148198E-2</v>
      </c>
      <c r="C1417" s="477">
        <v>8708505.5789446961</v>
      </c>
      <c r="D1417" s="458">
        <v>6.98144093174764E-2</v>
      </c>
      <c r="E1417" s="477">
        <v>16324299.458550489</v>
      </c>
      <c r="F1417" s="458">
        <v>0.10329040078706342</v>
      </c>
      <c r="G1417" s="477">
        <v>83685627.023656324</v>
      </c>
      <c r="H1417" s="458">
        <v>0.2684232984620103</v>
      </c>
      <c r="I1417" s="468">
        <v>8.0137380685512269</v>
      </c>
    </row>
    <row r="1418" spans="1:9" ht="16.5" x14ac:dyDescent="0.3">
      <c r="A1418" s="477">
        <v>2614606.7874463955</v>
      </c>
      <c r="B1418" s="458">
        <v>3.8606019102945144E-2</v>
      </c>
      <c r="C1418" s="477">
        <v>6844345.1617573267</v>
      </c>
      <c r="D1418" s="458">
        <v>5.2521800542056685E-2</v>
      </c>
      <c r="E1418" s="477">
        <v>14102977.971337724</v>
      </c>
      <c r="F1418" s="458">
        <v>0.12105876038145102</v>
      </c>
      <c r="G1418" s="477">
        <v>88588335.214555472</v>
      </c>
      <c r="H1418" s="458">
        <v>0.25287963666845914</v>
      </c>
      <c r="I1418" s="468">
        <v>11.929174442461758</v>
      </c>
    </row>
    <row r="1419" spans="1:9" ht="16.5" x14ac:dyDescent="0.3">
      <c r="A1419" s="477">
        <v>8059953.4581301324</v>
      </c>
      <c r="B1419" s="458">
        <v>3.9381316438408254E-2</v>
      </c>
      <c r="C1419" s="477">
        <v>9733862.5868038852</v>
      </c>
      <c r="D1419" s="458">
        <v>6.9957865547496167E-2</v>
      </c>
      <c r="E1419" s="477">
        <v>19440850.874754526</v>
      </c>
      <c r="F1419" s="458">
        <v>0.1299971174174992</v>
      </c>
      <c r="G1419" s="477">
        <v>87396946.679446176</v>
      </c>
      <c r="H1419" s="458">
        <v>0.26607631305430379</v>
      </c>
      <c r="I1419" s="468">
        <v>4.3441186016129931</v>
      </c>
    </row>
    <row r="1420" spans="1:9" ht="16.5" x14ac:dyDescent="0.3">
      <c r="A1420" s="477">
        <v>4889334.2020568568</v>
      </c>
      <c r="B1420" s="458">
        <v>3.4866831192721159E-2</v>
      </c>
      <c r="C1420" s="477">
        <v>5536579.0855450081</v>
      </c>
      <c r="D1420" s="458">
        <v>7.7943638550376448E-2</v>
      </c>
      <c r="E1420" s="477">
        <v>3793113.7278836109</v>
      </c>
      <c r="F1420" s="458">
        <v>0.12686524856221659</v>
      </c>
      <c r="G1420" s="477">
        <v>87022218.67567876</v>
      </c>
      <c r="H1420" s="458">
        <v>0.24885186388243574</v>
      </c>
      <c r="I1420" s="468">
        <v>7.6464777502686205</v>
      </c>
    </row>
    <row r="1421" spans="1:9" ht="16.5" x14ac:dyDescent="0.3">
      <c r="A1421" s="477">
        <v>2958787.7396414345</v>
      </c>
      <c r="B1421" s="458">
        <v>4.7092340996167215E-2</v>
      </c>
      <c r="C1421" s="477">
        <v>3978077.3469694639</v>
      </c>
      <c r="D1421" s="458">
        <v>6.9875014106345557E-2</v>
      </c>
      <c r="E1421" s="477">
        <v>18561065.865985814</v>
      </c>
      <c r="F1421" s="458">
        <v>0.1203695373078062</v>
      </c>
      <c r="G1421" s="477">
        <v>86127026.233646587</v>
      </c>
      <c r="H1421" s="458">
        <v>0.27653832675645296</v>
      </c>
      <c r="I1421" s="468">
        <v>10.041602212159182</v>
      </c>
    </row>
    <row r="1422" spans="1:9" ht="16.5" x14ac:dyDescent="0.3">
      <c r="A1422" s="477">
        <v>3689449.5349541181</v>
      </c>
      <c r="B1422" s="458">
        <v>4.1736025712691305E-2</v>
      </c>
      <c r="C1422" s="477">
        <v>12515938.572032524</v>
      </c>
      <c r="D1422" s="458">
        <v>3.8146793495497322E-2</v>
      </c>
      <c r="E1422" s="477">
        <v>15163216.723105749</v>
      </c>
      <c r="F1422" s="458">
        <v>8.831889729162512E-2</v>
      </c>
      <c r="G1422" s="477">
        <v>98159617.680506349</v>
      </c>
      <c r="H1422" s="458">
        <v>0.29306814511195411</v>
      </c>
      <c r="I1422" s="468">
        <v>4.1690694125277314</v>
      </c>
    </row>
    <row r="1423" spans="1:9" ht="16.5" x14ac:dyDescent="0.3">
      <c r="A1423" s="477">
        <v>4088530.8975193975</v>
      </c>
      <c r="B1423" s="458">
        <v>7.1513642631445995E-2</v>
      </c>
      <c r="C1423" s="477">
        <v>9025947.6848546565</v>
      </c>
      <c r="D1423" s="458">
        <v>7.7218647957849162E-2</v>
      </c>
      <c r="E1423" s="477">
        <v>16602273.327088347</v>
      </c>
      <c r="F1423" s="458">
        <v>9.5725005738643398E-2</v>
      </c>
      <c r="G1423" s="477">
        <v>95558929.684983015</v>
      </c>
      <c r="H1423" s="458">
        <v>0.25413528457285794</v>
      </c>
      <c r="I1423" s="468">
        <v>16.565940599319106</v>
      </c>
    </row>
    <row r="1424" spans="1:9" ht="16.5" x14ac:dyDescent="0.3">
      <c r="A1424" s="477">
        <v>2491564.930813089</v>
      </c>
      <c r="B1424" s="458">
        <v>3.6186869644397435E-2</v>
      </c>
      <c r="C1424" s="477">
        <v>16711890.990195237</v>
      </c>
      <c r="D1424" s="458">
        <v>5.6754651053069427E-2</v>
      </c>
      <c r="E1424" s="477">
        <v>17544871.350846469</v>
      </c>
      <c r="F1424" s="458">
        <v>0.11937713261804106</v>
      </c>
      <c r="G1424" s="477">
        <v>88602833.105074048</v>
      </c>
      <c r="H1424" s="458">
        <v>0.26363011359923161</v>
      </c>
      <c r="I1424" s="468">
        <v>4.3911977091799717</v>
      </c>
    </row>
    <row r="1425" spans="1:9" ht="16.5" x14ac:dyDescent="0.3">
      <c r="A1425" s="477">
        <v>3331681.4213100881</v>
      </c>
      <c r="B1425" s="458">
        <v>4.1676627292031476E-2</v>
      </c>
      <c r="C1425" s="477">
        <v>375625.6050982484</v>
      </c>
      <c r="D1425" s="458">
        <v>7.7490662808773259E-2</v>
      </c>
      <c r="E1425" s="477">
        <v>16791522.453654565</v>
      </c>
      <c r="F1425" s="458">
        <v>0.11257990136925611</v>
      </c>
      <c r="G1425" s="477">
        <v>86644266.301924914</v>
      </c>
      <c r="H1425" s="458">
        <v>0.28829831568451936</v>
      </c>
      <c r="I1425" s="468">
        <v>2.7999780221950896</v>
      </c>
    </row>
    <row r="1426" spans="1:9" ht="16.5" x14ac:dyDescent="0.3">
      <c r="A1426" s="477">
        <v>2470697.9270885382</v>
      </c>
      <c r="B1426" s="458">
        <v>3.7449984715515416E-2</v>
      </c>
      <c r="C1426" s="477">
        <v>8229829.707515317</v>
      </c>
      <c r="D1426" s="458">
        <v>6.1024784859530889E-2</v>
      </c>
      <c r="E1426" s="477">
        <v>19299304.524480678</v>
      </c>
      <c r="F1426" s="458">
        <v>9.3707321100098051E-2</v>
      </c>
      <c r="G1426" s="477">
        <v>95885536.880499542</v>
      </c>
      <c r="H1426" s="458">
        <v>0.27330405815341074</v>
      </c>
      <c r="I1426" s="468">
        <v>9.8064045871950487</v>
      </c>
    </row>
    <row r="1427" spans="1:9" ht="16.5" x14ac:dyDescent="0.3">
      <c r="A1427" s="477">
        <v>6830681.4733303785</v>
      </c>
      <c r="B1427" s="458">
        <v>7.6978112647350105E-2</v>
      </c>
      <c r="C1427" s="477">
        <v>11404275.946102131</v>
      </c>
      <c r="D1427" s="458">
        <v>3.7723218967012029E-2</v>
      </c>
      <c r="E1427" s="477">
        <v>19696036.961450152</v>
      </c>
      <c r="F1427" s="458">
        <v>0.10328194720784922</v>
      </c>
      <c r="G1427" s="477">
        <v>87539893.858666733</v>
      </c>
      <c r="H1427" s="458">
        <v>0.24902406845836333</v>
      </c>
      <c r="I1427" s="468">
        <v>3.5349819265541624</v>
      </c>
    </row>
    <row r="1428" spans="1:9" ht="16.5" x14ac:dyDescent="0.3">
      <c r="A1428" s="477">
        <v>4011536.5778859193</v>
      </c>
      <c r="B1428" s="458">
        <v>4.4034115146162955E-2</v>
      </c>
      <c r="C1428" s="477">
        <v>15262840.700568924</v>
      </c>
      <c r="D1428" s="458">
        <v>7.3526734869265642E-2</v>
      </c>
      <c r="E1428" s="477">
        <v>19108112.245473702</v>
      </c>
      <c r="F1428" s="458">
        <v>0.10634854580324404</v>
      </c>
      <c r="G1428" s="477">
        <v>79627642.349195376</v>
      </c>
      <c r="H1428" s="458">
        <v>0.26306601354256576</v>
      </c>
      <c r="I1428" s="468">
        <v>11.297711085729064</v>
      </c>
    </row>
    <row r="1429" spans="1:9" ht="16.5" x14ac:dyDescent="0.3">
      <c r="A1429" s="477">
        <v>3591184.0918901777</v>
      </c>
      <c r="B1429" s="458">
        <v>1.8982426031354915E-2</v>
      </c>
      <c r="C1429" s="477">
        <v>6797181.3951602615</v>
      </c>
      <c r="D1429" s="458">
        <v>7.160724495871662E-2</v>
      </c>
      <c r="E1429" s="477">
        <v>24571108.994908698</v>
      </c>
      <c r="F1429" s="458">
        <v>0.11251457452150437</v>
      </c>
      <c r="G1429" s="477">
        <v>85865442.803423122</v>
      </c>
      <c r="H1429" s="458">
        <v>0.26466523256535779</v>
      </c>
      <c r="I1429" s="468">
        <v>3.4270935692230911</v>
      </c>
    </row>
    <row r="1430" spans="1:9" ht="16.5" x14ac:dyDescent="0.3">
      <c r="A1430" s="477">
        <v>2319223.5953831007</v>
      </c>
      <c r="B1430" s="458">
        <v>5.9643314708611728E-2</v>
      </c>
      <c r="C1430" s="477">
        <v>13173838.960495612</v>
      </c>
      <c r="D1430" s="458">
        <v>7.884575386850301E-2</v>
      </c>
      <c r="E1430" s="477">
        <v>11962227.97561782</v>
      </c>
      <c r="F1430" s="458">
        <v>0.12739450827333454</v>
      </c>
      <c r="G1430" s="477">
        <v>65272635.197172321</v>
      </c>
      <c r="H1430" s="458">
        <v>0.2610215151381543</v>
      </c>
      <c r="I1430" s="468">
        <v>5.4614900462529423</v>
      </c>
    </row>
    <row r="1431" spans="1:9" ht="16.5" x14ac:dyDescent="0.3">
      <c r="A1431" s="477">
        <v>5236740.4292736538</v>
      </c>
      <c r="B1431" s="458">
        <v>3.2602287393111551E-2</v>
      </c>
      <c r="C1431" s="477">
        <v>8267232.6167450398</v>
      </c>
      <c r="D1431" s="458">
        <v>5.5582964128133794E-2</v>
      </c>
      <c r="E1431" s="477">
        <v>18727030.737986084</v>
      </c>
      <c r="F1431" s="458">
        <v>0.11160399420503597</v>
      </c>
      <c r="G1431" s="477">
        <v>81252021.158878505</v>
      </c>
      <c r="H1431" s="458">
        <v>0.27519250976382015</v>
      </c>
      <c r="I1431" s="468">
        <v>5.7887959549895012</v>
      </c>
    </row>
    <row r="1432" spans="1:9" ht="16.5" x14ac:dyDescent="0.3">
      <c r="A1432" s="477">
        <v>6061569.5431264387</v>
      </c>
      <c r="B1432" s="458">
        <v>2.4345359324706273E-2</v>
      </c>
      <c r="C1432" s="477">
        <v>3327102.4182192143</v>
      </c>
      <c r="D1432" s="458">
        <v>8.1368076205230011E-2</v>
      </c>
      <c r="E1432" s="477">
        <v>21606654.247721203</v>
      </c>
      <c r="F1432" s="458">
        <v>0.12913547606859521</v>
      </c>
      <c r="G1432" s="477">
        <v>84253228.932720333</v>
      </c>
      <c r="H1432" s="458">
        <v>0.27065199893288217</v>
      </c>
      <c r="I1432" s="468">
        <v>13.84752512976436</v>
      </c>
    </row>
    <row r="1433" spans="1:9" ht="16.5" x14ac:dyDescent="0.3">
      <c r="A1433" s="477">
        <v>8516998.9986853711</v>
      </c>
      <c r="B1433" s="458">
        <v>2.5935629948790284E-2</v>
      </c>
      <c r="C1433" s="477">
        <v>11367872.200096549</v>
      </c>
      <c r="D1433" s="458">
        <v>6.4941540700133693E-2</v>
      </c>
      <c r="E1433" s="477">
        <v>8439298.5315046422</v>
      </c>
      <c r="F1433" s="458">
        <v>9.1511619971386349E-2</v>
      </c>
      <c r="G1433" s="477">
        <v>96868133.41270411</v>
      </c>
      <c r="H1433" s="458">
        <v>0.27045465879519437</v>
      </c>
      <c r="I1433" s="468">
        <v>2.8083601717359707</v>
      </c>
    </row>
    <row r="1434" spans="1:9" ht="16.5" x14ac:dyDescent="0.3">
      <c r="A1434" s="477">
        <v>3620357.4409197955</v>
      </c>
      <c r="B1434" s="458">
        <v>5.7849100858000213E-2</v>
      </c>
      <c r="C1434" s="477">
        <v>5990341.4617391462</v>
      </c>
      <c r="D1434" s="458">
        <v>5.0891703285204093E-2</v>
      </c>
      <c r="E1434" s="477">
        <v>8074449.6859904658</v>
      </c>
      <c r="F1434" s="458">
        <v>0.11588422496271522</v>
      </c>
      <c r="G1434" s="477">
        <v>86685374.775587931</v>
      </c>
      <c r="H1434" s="458">
        <v>0.25941359895726124</v>
      </c>
      <c r="I1434" s="468">
        <v>10.606393792354032</v>
      </c>
    </row>
    <row r="1435" spans="1:9" ht="16.5" x14ac:dyDescent="0.3">
      <c r="A1435" s="477">
        <v>4059687.6719818339</v>
      </c>
      <c r="B1435" s="458">
        <v>5.4451528530656157E-2</v>
      </c>
      <c r="C1435" s="477">
        <v>10932026.959047509</v>
      </c>
      <c r="D1435" s="458">
        <v>5.8126544917215694E-2</v>
      </c>
      <c r="E1435" s="477">
        <v>9037552.8116669934</v>
      </c>
      <c r="F1435" s="458">
        <v>0.10680871113137602</v>
      </c>
      <c r="G1435" s="477">
        <v>89974392.329911336</v>
      </c>
      <c r="H1435" s="458">
        <v>0.27166962603518452</v>
      </c>
      <c r="I1435" s="468">
        <v>9.3431776064143151</v>
      </c>
    </row>
    <row r="1436" spans="1:9" ht="16.5" x14ac:dyDescent="0.3">
      <c r="A1436" s="477">
        <v>1965425.3308027335</v>
      </c>
      <c r="B1436" s="458">
        <v>3.2048026841515087E-2</v>
      </c>
      <c r="C1436" s="477">
        <v>11742049.420712674</v>
      </c>
      <c r="D1436" s="458">
        <v>5.4816932569207832E-2</v>
      </c>
      <c r="E1436" s="477">
        <v>23632603.148600005</v>
      </c>
      <c r="F1436" s="458">
        <v>0.11046949503653747</v>
      </c>
      <c r="G1436" s="477">
        <v>78359461.995076433</v>
      </c>
      <c r="H1436" s="458">
        <v>0.26406420308612844</v>
      </c>
      <c r="I1436" s="468">
        <v>7.6264529477535223</v>
      </c>
    </row>
    <row r="1437" spans="1:9" ht="16.5" x14ac:dyDescent="0.3">
      <c r="A1437" s="477">
        <v>6332464.6220761286</v>
      </c>
      <c r="B1437" s="458">
        <v>3.6786280430759932E-2</v>
      </c>
      <c r="C1437" s="477">
        <v>12973474.12986628</v>
      </c>
      <c r="D1437" s="458">
        <v>6.3066081425428688E-2</v>
      </c>
      <c r="E1437" s="477">
        <v>23549661.135348968</v>
      </c>
      <c r="F1437" s="458">
        <v>0.14221705243602778</v>
      </c>
      <c r="G1437" s="477">
        <v>89142627.660444185</v>
      </c>
      <c r="H1437" s="458">
        <v>0.26684563800290317</v>
      </c>
      <c r="I1437" s="468">
        <v>9.3619472991826989</v>
      </c>
    </row>
    <row r="1438" spans="1:9" ht="16.5" x14ac:dyDescent="0.3">
      <c r="A1438" s="477">
        <v>6676302.7710804539</v>
      </c>
      <c r="B1438" s="458">
        <v>4.0529537417486772E-2</v>
      </c>
      <c r="C1438" s="477">
        <v>6782728.4370983699</v>
      </c>
      <c r="D1438" s="458">
        <v>6.7059573104807368E-2</v>
      </c>
      <c r="E1438" s="477">
        <v>21258176.640955329</v>
      </c>
      <c r="F1438" s="458">
        <v>6.549973420167543E-2</v>
      </c>
      <c r="G1438" s="477">
        <v>75931389.479375094</v>
      </c>
      <c r="H1438" s="458">
        <v>0.27396582706198935</v>
      </c>
      <c r="I1438" s="468">
        <v>9.0185169929401017</v>
      </c>
    </row>
    <row r="1439" spans="1:9" ht="16.5" x14ac:dyDescent="0.3">
      <c r="A1439" s="477">
        <v>447847.8203298733</v>
      </c>
      <c r="B1439" s="458">
        <v>3.0307712046735658E-2</v>
      </c>
      <c r="C1439" s="477">
        <v>11846970.881883802</v>
      </c>
      <c r="D1439" s="458">
        <v>4.1488949769678651E-2</v>
      </c>
      <c r="E1439" s="477">
        <v>12400998.00992598</v>
      </c>
      <c r="F1439" s="458">
        <v>9.0359357474209867E-2</v>
      </c>
      <c r="G1439" s="477">
        <v>84545335.173166215</v>
      </c>
      <c r="H1439" s="458">
        <v>0.28621234679588348</v>
      </c>
      <c r="I1439" s="468">
        <v>5.0073635560375473</v>
      </c>
    </row>
    <row r="1440" spans="1:9" ht="16.5" x14ac:dyDescent="0.3">
      <c r="A1440" s="477">
        <v>5740164.3533535507</v>
      </c>
      <c r="B1440" s="458">
        <v>4.6450180943149899E-2</v>
      </c>
      <c r="C1440" s="477">
        <v>13990354.065875651</v>
      </c>
      <c r="D1440" s="458">
        <v>3.9009672128617723E-2</v>
      </c>
      <c r="E1440" s="477">
        <v>20046549.721514333</v>
      </c>
      <c r="F1440" s="458">
        <v>0.10789635046979629</v>
      </c>
      <c r="G1440" s="477">
        <v>74430424.866493672</v>
      </c>
      <c r="H1440" s="458">
        <v>0.27468187243615061</v>
      </c>
      <c r="I1440" s="468">
        <v>11.624835916917746</v>
      </c>
    </row>
    <row r="1441" spans="1:9" ht="16.5" x14ac:dyDescent="0.3">
      <c r="A1441" s="477">
        <v>2572570.4706432652</v>
      </c>
      <c r="B1441" s="458">
        <v>3.9104028845036831E-2</v>
      </c>
      <c r="C1441" s="477">
        <v>10801912.450981529</v>
      </c>
      <c r="D1441" s="458">
        <v>6.4693696189263905E-2</v>
      </c>
      <c r="E1441" s="477">
        <v>12557906.643736914</v>
      </c>
      <c r="F1441" s="458">
        <v>0.1155228334982068</v>
      </c>
      <c r="G1441" s="477">
        <v>62907362.872035049</v>
      </c>
      <c r="H1441" s="458">
        <v>0.27575532374335632</v>
      </c>
      <c r="I1441" s="468">
        <v>7.1706818532584196</v>
      </c>
    </row>
    <row r="1442" spans="1:9" ht="16.5" x14ac:dyDescent="0.3">
      <c r="A1442" s="477">
        <v>-798611.93746464595</v>
      </c>
      <c r="B1442" s="458">
        <v>4.006508291723998E-2</v>
      </c>
      <c r="C1442" s="477">
        <v>10774928.410301562</v>
      </c>
      <c r="D1442" s="458">
        <v>5.7702013406968566E-2</v>
      </c>
      <c r="E1442" s="477">
        <v>20620081.997704744</v>
      </c>
      <c r="F1442" s="458">
        <v>0.12764704250521208</v>
      </c>
      <c r="G1442" s="477">
        <v>90643358.113590524</v>
      </c>
      <c r="H1442" s="458">
        <v>0.26493701350282772</v>
      </c>
      <c r="I1442" s="468">
        <v>12.539390240451695</v>
      </c>
    </row>
    <row r="1443" spans="1:9" ht="16.5" x14ac:dyDescent="0.3">
      <c r="A1443" s="477">
        <v>6262508.2275722865</v>
      </c>
      <c r="B1443" s="458">
        <v>3.8242354561702774E-2</v>
      </c>
      <c r="C1443" s="477">
        <v>9904870.5770276487</v>
      </c>
      <c r="D1443" s="458">
        <v>5.0640585396505067E-2</v>
      </c>
      <c r="E1443" s="477">
        <v>16935325.937344581</v>
      </c>
      <c r="F1443" s="458">
        <v>0.12087973983379352</v>
      </c>
      <c r="G1443" s="477">
        <v>89781835.797585875</v>
      </c>
      <c r="H1443" s="458">
        <v>0.25792945338516327</v>
      </c>
      <c r="I1443" s="468">
        <v>-5.7527867828568446E-2</v>
      </c>
    </row>
    <row r="1444" spans="1:9" ht="16.5" x14ac:dyDescent="0.3">
      <c r="A1444" s="477">
        <v>249599.17197590441</v>
      </c>
      <c r="B1444" s="458">
        <v>1.9110308082244787E-2</v>
      </c>
      <c r="C1444" s="477">
        <v>7227543.2493439186</v>
      </c>
      <c r="D1444" s="458">
        <v>5.3977338946799014E-2</v>
      </c>
      <c r="E1444" s="477">
        <v>17147216.562234566</v>
      </c>
      <c r="F1444" s="458">
        <v>0.10621279523338356</v>
      </c>
      <c r="G1444" s="477">
        <v>95268680.910887688</v>
      </c>
      <c r="H1444" s="458">
        <v>0.25502036338661105</v>
      </c>
      <c r="I1444" s="468">
        <v>8.8248392889828882</v>
      </c>
    </row>
    <row r="1445" spans="1:9" ht="16.5" x14ac:dyDescent="0.3">
      <c r="A1445" s="477">
        <v>2777280.933297113</v>
      </c>
      <c r="B1445" s="458">
        <v>3.7177360442891993E-2</v>
      </c>
      <c r="C1445" s="477">
        <v>9964950.6311956383</v>
      </c>
      <c r="D1445" s="458">
        <v>6.6451880552599762E-2</v>
      </c>
      <c r="E1445" s="477">
        <v>14588055.283764251</v>
      </c>
      <c r="F1445" s="458">
        <v>0.13813434308928518</v>
      </c>
      <c r="G1445" s="477">
        <v>84089458.899553299</v>
      </c>
      <c r="H1445" s="458">
        <v>0.26875351097075928</v>
      </c>
      <c r="I1445" s="468">
        <v>7.8531344655622535</v>
      </c>
    </row>
    <row r="1446" spans="1:9" ht="16.5" x14ac:dyDescent="0.3">
      <c r="A1446" s="477">
        <v>6671005.0917131547</v>
      </c>
      <c r="B1446" s="458">
        <v>3.5791033708968856E-2</v>
      </c>
      <c r="C1446" s="477">
        <v>9242138.1385160163</v>
      </c>
      <c r="D1446" s="458">
        <v>7.7379170312357859E-2</v>
      </c>
      <c r="E1446" s="477">
        <v>19655584.009527922</v>
      </c>
      <c r="F1446" s="458">
        <v>0.11912810892388759</v>
      </c>
      <c r="G1446" s="477">
        <v>81267745.613634154</v>
      </c>
      <c r="H1446" s="458">
        <v>0.26115218919058569</v>
      </c>
      <c r="I1446" s="468">
        <v>6.1538235898129896</v>
      </c>
    </row>
    <row r="1447" spans="1:9" ht="16.5" x14ac:dyDescent="0.3">
      <c r="A1447" s="477">
        <v>4940623.4612240205</v>
      </c>
      <c r="B1447" s="458">
        <v>4.1791172513075736E-2</v>
      </c>
      <c r="C1447" s="477">
        <v>6708452.374375768</v>
      </c>
      <c r="D1447" s="458">
        <v>6.4305537911850008E-2</v>
      </c>
      <c r="E1447" s="477">
        <v>22189977.974059213</v>
      </c>
      <c r="F1447" s="458">
        <v>0.11144450378070214</v>
      </c>
      <c r="G1447" s="477">
        <v>89998881.653786853</v>
      </c>
      <c r="H1447" s="458">
        <v>0.26967259889818007</v>
      </c>
      <c r="I1447" s="468">
        <v>16.299298280229671</v>
      </c>
    </row>
    <row r="1448" spans="1:9" ht="16.5" x14ac:dyDescent="0.3">
      <c r="A1448" s="477">
        <v>3983454.4243188058</v>
      </c>
      <c r="B1448" s="458">
        <v>3.9009279581374567E-2</v>
      </c>
      <c r="C1448" s="477">
        <v>8834567.3094355445</v>
      </c>
      <c r="D1448" s="458">
        <v>4.8085747304202897E-2</v>
      </c>
      <c r="E1448" s="477">
        <v>16104127.956406893</v>
      </c>
      <c r="F1448" s="458">
        <v>0.12002625313937321</v>
      </c>
      <c r="G1448" s="477">
        <v>95232732.365904838</v>
      </c>
      <c r="H1448" s="458">
        <v>0.26387767326086231</v>
      </c>
      <c r="I1448" s="468">
        <v>9.8399672967263854</v>
      </c>
    </row>
    <row r="1449" spans="1:9" ht="16.5" x14ac:dyDescent="0.3">
      <c r="A1449" s="477">
        <v>8764353.8473904096</v>
      </c>
      <c r="B1449" s="458">
        <v>4.0348226057871361E-2</v>
      </c>
      <c r="C1449" s="477">
        <v>5913736.8443103032</v>
      </c>
      <c r="D1449" s="458">
        <v>8.2715320550619698E-2</v>
      </c>
      <c r="E1449" s="477">
        <v>11411925.018716641</v>
      </c>
      <c r="F1449" s="458">
        <v>0.10658251706718413</v>
      </c>
      <c r="G1449" s="477">
        <v>95247716.12937586</v>
      </c>
      <c r="H1449" s="458">
        <v>0.26064800944762445</v>
      </c>
      <c r="I1449" s="468">
        <v>7.7484706672698129</v>
      </c>
    </row>
    <row r="1450" spans="1:9" ht="16.5" x14ac:dyDescent="0.3">
      <c r="A1450" s="477">
        <v>5940605.7728365017</v>
      </c>
      <c r="B1450" s="458">
        <v>3.0343589717326092E-2</v>
      </c>
      <c r="C1450" s="477">
        <v>7614484.4346830789</v>
      </c>
      <c r="D1450" s="458">
        <v>6.1768146833994342E-2</v>
      </c>
      <c r="E1450" s="477">
        <v>18987088.469082069</v>
      </c>
      <c r="F1450" s="458">
        <v>0.1374327950855998</v>
      </c>
      <c r="G1450" s="477">
        <v>90031112.362398311</v>
      </c>
      <c r="H1450" s="458">
        <v>0.26055340905646895</v>
      </c>
      <c r="I1450" s="468">
        <v>8.6443206519564146</v>
      </c>
    </row>
    <row r="1451" spans="1:9" ht="16.5" x14ac:dyDescent="0.3">
      <c r="A1451" s="477">
        <v>6607031.5983355455</v>
      </c>
      <c r="B1451" s="458">
        <v>4.0912245860905694E-2</v>
      </c>
      <c r="C1451" s="477">
        <v>11354468.679599946</v>
      </c>
      <c r="D1451" s="458">
        <v>5.8570105812240092E-2</v>
      </c>
      <c r="E1451" s="477">
        <v>8882380.263015246</v>
      </c>
      <c r="F1451" s="458">
        <v>0.1059427792706944</v>
      </c>
      <c r="G1451" s="477">
        <v>87488836.002777189</v>
      </c>
      <c r="H1451" s="458">
        <v>0.2525083407551123</v>
      </c>
      <c r="I1451" s="468">
        <v>4.7451909001233279</v>
      </c>
    </row>
    <row r="1452" spans="1:9" ht="16.5" x14ac:dyDescent="0.3">
      <c r="A1452" s="477">
        <v>-779606.62753174466</v>
      </c>
      <c r="B1452" s="458">
        <v>3.7133326771742636E-2</v>
      </c>
      <c r="C1452" s="477">
        <v>12569120.571414195</v>
      </c>
      <c r="D1452" s="458">
        <v>4.9999222782463493E-2</v>
      </c>
      <c r="E1452" s="477">
        <v>18398678.854481257</v>
      </c>
      <c r="F1452" s="458">
        <v>0.11787321035248688</v>
      </c>
      <c r="G1452" s="477">
        <v>90528808.571676195</v>
      </c>
      <c r="H1452" s="458">
        <v>0.25798153485713859</v>
      </c>
      <c r="I1452" s="468">
        <v>7.8169572252263784</v>
      </c>
    </row>
    <row r="1453" spans="1:9" ht="16.5" x14ac:dyDescent="0.3">
      <c r="A1453" s="477">
        <v>6301117.3771717045</v>
      </c>
      <c r="B1453" s="458">
        <v>4.7155316929985425E-2</v>
      </c>
      <c r="C1453" s="477">
        <v>3448681.5500526587</v>
      </c>
      <c r="D1453" s="458">
        <v>0.10296321602478797</v>
      </c>
      <c r="E1453" s="477">
        <v>11260042.887885982</v>
      </c>
      <c r="F1453" s="458">
        <v>0.10705998075163392</v>
      </c>
      <c r="G1453" s="477">
        <v>91147574.841292828</v>
      </c>
      <c r="H1453" s="458">
        <v>0.24799380234707091</v>
      </c>
      <c r="I1453" s="468">
        <v>10.882006878549676</v>
      </c>
    </row>
    <row r="1454" spans="1:9" ht="16.5" x14ac:dyDescent="0.3">
      <c r="A1454" s="477">
        <v>7561234.4804146038</v>
      </c>
      <c r="B1454" s="458">
        <v>5.7898495839889819E-2</v>
      </c>
      <c r="C1454" s="477">
        <v>9751598.4434446413</v>
      </c>
      <c r="D1454" s="458">
        <v>5.1111070953039572E-2</v>
      </c>
      <c r="E1454" s="477">
        <v>14586368.78485103</v>
      </c>
      <c r="F1454" s="458">
        <v>0.11484726658761413</v>
      </c>
      <c r="G1454" s="477">
        <v>89097101.124467343</v>
      </c>
      <c r="H1454" s="458">
        <v>0.26233904303150402</v>
      </c>
      <c r="I1454" s="468">
        <v>6.613622589885459</v>
      </c>
    </row>
    <row r="1455" spans="1:9" ht="16.5" x14ac:dyDescent="0.3">
      <c r="A1455" s="477">
        <v>3797038.2169451588</v>
      </c>
      <c r="B1455" s="458">
        <v>4.0222624092842052E-2</v>
      </c>
      <c r="C1455" s="477">
        <v>6241966.7293758187</v>
      </c>
      <c r="D1455" s="458">
        <v>6.7495523124635914E-2</v>
      </c>
      <c r="E1455" s="477">
        <v>19367339.18474545</v>
      </c>
      <c r="F1455" s="458">
        <v>9.8811820770327685E-2</v>
      </c>
      <c r="G1455" s="477">
        <v>75810901.299674675</v>
      </c>
      <c r="H1455" s="458">
        <v>0.24186560416394021</v>
      </c>
      <c r="I1455" s="468">
        <v>8.4149671891743196</v>
      </c>
    </row>
    <row r="1456" spans="1:9" ht="16.5" x14ac:dyDescent="0.3">
      <c r="A1456" s="477">
        <v>4432071.5358695993</v>
      </c>
      <c r="B1456" s="458">
        <v>2.8497014015018252E-2</v>
      </c>
      <c r="C1456" s="477">
        <v>5155623.2297662972</v>
      </c>
      <c r="D1456" s="458">
        <v>2.9809934567898377E-2</v>
      </c>
      <c r="E1456" s="477">
        <v>15432769.226519132</v>
      </c>
      <c r="F1456" s="458">
        <v>0.10856111848729322</v>
      </c>
      <c r="G1456" s="477">
        <v>81042376.320321709</v>
      </c>
      <c r="H1456" s="458">
        <v>0.28648208874124159</v>
      </c>
      <c r="I1456" s="468">
        <v>2.6059177164253997</v>
      </c>
    </row>
    <row r="1457" spans="1:9" ht="16.5" x14ac:dyDescent="0.3">
      <c r="A1457" s="477">
        <v>4801330.2796004331</v>
      </c>
      <c r="B1457" s="458">
        <v>4.731583637866521E-2</v>
      </c>
      <c r="C1457" s="477">
        <v>8795684.7493442576</v>
      </c>
      <c r="D1457" s="458">
        <v>7.6268088364192854E-2</v>
      </c>
      <c r="E1457" s="477">
        <v>9696495.0399262253</v>
      </c>
      <c r="F1457" s="458">
        <v>0.10902062776359078</v>
      </c>
      <c r="G1457" s="477">
        <v>76194412.001874328</v>
      </c>
      <c r="H1457" s="458">
        <v>0.32669367839718233</v>
      </c>
      <c r="I1457" s="468">
        <v>16.702555099692844</v>
      </c>
    </row>
    <row r="1458" spans="1:9" ht="16.5" x14ac:dyDescent="0.3">
      <c r="A1458" s="477">
        <v>3080929.6266988479</v>
      </c>
      <c r="B1458" s="458">
        <v>5.0597230367690038E-2</v>
      </c>
      <c r="C1458" s="477">
        <v>5053672.7232465679</v>
      </c>
      <c r="D1458" s="458">
        <v>6.7061097033639161E-2</v>
      </c>
      <c r="E1458" s="477">
        <v>16579788.113654437</v>
      </c>
      <c r="F1458" s="458">
        <v>0.11755831412992501</v>
      </c>
      <c r="G1458" s="477">
        <v>81858864.35943833</v>
      </c>
      <c r="H1458" s="458">
        <v>0.26515318299083157</v>
      </c>
      <c r="I1458" s="468">
        <v>5.9542687578901834</v>
      </c>
    </row>
    <row r="1459" spans="1:9" ht="16.5" x14ac:dyDescent="0.3">
      <c r="A1459" s="477">
        <v>6701148.5446803113</v>
      </c>
      <c r="B1459" s="458">
        <v>2.9485144970721411E-2</v>
      </c>
      <c r="C1459" s="477">
        <v>13467094.280322831</v>
      </c>
      <c r="D1459" s="458">
        <v>5.9404329866382888E-2</v>
      </c>
      <c r="E1459" s="477">
        <v>19933535.194815818</v>
      </c>
      <c r="F1459" s="458">
        <v>0.13942157859831017</v>
      </c>
      <c r="G1459" s="477">
        <v>92017459.538484201</v>
      </c>
      <c r="H1459" s="458">
        <v>0.27790577042659614</v>
      </c>
      <c r="I1459" s="468">
        <v>9.8717824319698426</v>
      </c>
    </row>
    <row r="1460" spans="1:9" ht="16.5" x14ac:dyDescent="0.3">
      <c r="A1460" s="477">
        <v>6320931.6568121007</v>
      </c>
      <c r="B1460" s="458">
        <v>3.1284574980569024E-2</v>
      </c>
      <c r="C1460" s="477">
        <v>2021943.2302905195</v>
      </c>
      <c r="D1460" s="458">
        <v>5.5528171189646702E-2</v>
      </c>
      <c r="E1460" s="477">
        <v>15899147.684410742</v>
      </c>
      <c r="F1460" s="458">
        <v>0.11588778235652697</v>
      </c>
      <c r="G1460" s="477">
        <v>90572978.1469087</v>
      </c>
      <c r="H1460" s="458">
        <v>0.27585883181296933</v>
      </c>
      <c r="I1460" s="468">
        <v>-0.47349185148675055</v>
      </c>
    </row>
    <row r="1461" spans="1:9" ht="16.5" x14ac:dyDescent="0.3">
      <c r="A1461" s="477">
        <v>6935521.3898856398</v>
      </c>
      <c r="B1461" s="458">
        <v>7.872002029095726E-2</v>
      </c>
      <c r="C1461" s="477">
        <v>6461484.7037981348</v>
      </c>
      <c r="D1461" s="458">
        <v>6.8326380231693351E-2</v>
      </c>
      <c r="E1461" s="477">
        <v>17637991.42983089</v>
      </c>
      <c r="F1461" s="458">
        <v>8.2076713314930938E-2</v>
      </c>
      <c r="G1461" s="477">
        <v>76950826.888951212</v>
      </c>
      <c r="H1461" s="458">
        <v>0.32856259504698149</v>
      </c>
      <c r="I1461" s="468">
        <v>10.951200858758305</v>
      </c>
    </row>
    <row r="1462" spans="1:9" ht="16.5" x14ac:dyDescent="0.3">
      <c r="A1462" s="477">
        <v>7006623.8664855175</v>
      </c>
      <c r="B1462" s="458">
        <v>3.4828759712864477E-2</v>
      </c>
      <c r="C1462" s="477">
        <v>1122661.1757561076</v>
      </c>
      <c r="D1462" s="458">
        <v>5.7433161446015069E-2</v>
      </c>
      <c r="E1462" s="477">
        <v>12980331.527417887</v>
      </c>
      <c r="F1462" s="458">
        <v>0.10601749534112104</v>
      </c>
      <c r="G1462" s="477">
        <v>89007682.882170573</v>
      </c>
      <c r="H1462" s="458">
        <v>0.28868161061603259</v>
      </c>
      <c r="I1462" s="468">
        <v>7.6211995590123411</v>
      </c>
    </row>
    <row r="1463" spans="1:9" ht="16.5" x14ac:dyDescent="0.3">
      <c r="A1463" s="477">
        <v>1261702.7817828017</v>
      </c>
      <c r="B1463" s="458">
        <v>3.5578320360079463E-2</v>
      </c>
      <c r="C1463" s="477">
        <v>2828591.8485737862</v>
      </c>
      <c r="D1463" s="458">
        <v>9.4553573502378363E-2</v>
      </c>
      <c r="E1463" s="477">
        <v>18673923.870680228</v>
      </c>
      <c r="F1463" s="458">
        <v>9.414381664371918E-2</v>
      </c>
      <c r="G1463" s="477">
        <v>75374847.15017277</v>
      </c>
      <c r="H1463" s="458">
        <v>0.26492423437485701</v>
      </c>
      <c r="I1463" s="468">
        <v>8.4998199541076236</v>
      </c>
    </row>
    <row r="1464" spans="1:9" ht="16.5" x14ac:dyDescent="0.3">
      <c r="A1464" s="477">
        <v>4943625.9275512574</v>
      </c>
      <c r="B1464" s="458">
        <v>4.3329536031308402E-2</v>
      </c>
      <c r="C1464" s="477">
        <v>7749481.3377471538</v>
      </c>
      <c r="D1464" s="458">
        <v>4.9001616917315749E-2</v>
      </c>
      <c r="E1464" s="477">
        <v>12007509.594384955</v>
      </c>
      <c r="F1464" s="458">
        <v>0.10199238320950532</v>
      </c>
      <c r="G1464" s="477">
        <v>88200525.742755592</v>
      </c>
      <c r="H1464" s="458">
        <v>0.25830305955644062</v>
      </c>
      <c r="I1464" s="468">
        <v>6.7211458787185254</v>
      </c>
    </row>
    <row r="1465" spans="1:9" ht="16.5" x14ac:dyDescent="0.3">
      <c r="A1465" s="477">
        <v>8504944.5233016796</v>
      </c>
      <c r="B1465" s="458">
        <v>4.3575679948572699E-2</v>
      </c>
      <c r="C1465" s="477">
        <v>9570725.1783127356</v>
      </c>
      <c r="D1465" s="458">
        <v>7.0552933906272486E-2</v>
      </c>
      <c r="E1465" s="477">
        <v>15137739.536492219</v>
      </c>
      <c r="F1465" s="458">
        <v>0.1324590857363297</v>
      </c>
      <c r="G1465" s="477">
        <v>83638120.189663649</v>
      </c>
      <c r="H1465" s="458">
        <v>0.25889702382453228</v>
      </c>
      <c r="I1465" s="468">
        <v>9.1868000029223182</v>
      </c>
    </row>
    <row r="1466" spans="1:9" ht="16.5" x14ac:dyDescent="0.3">
      <c r="A1466" s="477">
        <v>7441707.130694475</v>
      </c>
      <c r="B1466" s="458">
        <v>4.9570361845126198E-2</v>
      </c>
      <c r="C1466" s="477">
        <v>14389043.715667548</v>
      </c>
      <c r="D1466" s="458">
        <v>6.8979567625094163E-2</v>
      </c>
      <c r="E1466" s="477">
        <v>20518031.938890781</v>
      </c>
      <c r="F1466" s="458">
        <v>0.10164546979428168</v>
      </c>
      <c r="G1466" s="477">
        <v>92214930.854717359</v>
      </c>
      <c r="H1466" s="458">
        <v>0.26181493879789119</v>
      </c>
      <c r="I1466" s="468">
        <v>3.5500770787208786</v>
      </c>
    </row>
    <row r="1467" spans="1:9" ht="16.5" x14ac:dyDescent="0.3">
      <c r="A1467" s="477">
        <v>6610771.9556594742</v>
      </c>
      <c r="B1467" s="458">
        <v>4.0275257526636965E-2</v>
      </c>
      <c r="C1467" s="477">
        <v>8930490.9026639462</v>
      </c>
      <c r="D1467" s="458">
        <v>6.1715002962269505E-2</v>
      </c>
      <c r="E1467" s="477">
        <v>19875204.340881404</v>
      </c>
      <c r="F1467" s="458">
        <v>0.12927620657989269</v>
      </c>
      <c r="G1467" s="477">
        <v>93149854.645286292</v>
      </c>
      <c r="H1467" s="458">
        <v>0.29482265497941751</v>
      </c>
      <c r="I1467" s="468">
        <v>6.9592480549030018</v>
      </c>
    </row>
    <row r="1468" spans="1:9" ht="16.5" x14ac:dyDescent="0.3">
      <c r="A1468" s="477">
        <v>5115944.9477564404</v>
      </c>
      <c r="B1468" s="458">
        <v>1.0225850281331939E-2</v>
      </c>
      <c r="C1468" s="477">
        <v>5091613.4669311652</v>
      </c>
      <c r="D1468" s="458">
        <v>8.2738841522556728E-2</v>
      </c>
      <c r="E1468" s="477">
        <v>23342246.284148153</v>
      </c>
      <c r="F1468" s="458">
        <v>0.11306241280341589</v>
      </c>
      <c r="G1468" s="477">
        <v>96043617.495995939</v>
      </c>
      <c r="H1468" s="458">
        <v>0.2990457793215997</v>
      </c>
      <c r="I1468" s="468">
        <v>1.755284841321477</v>
      </c>
    </row>
    <row r="1469" spans="1:9" ht="16.5" x14ac:dyDescent="0.3">
      <c r="A1469" s="477">
        <v>1889017.1503122197</v>
      </c>
      <c r="B1469" s="458">
        <v>4.9762302968220151E-2</v>
      </c>
      <c r="C1469" s="477">
        <v>5560108.7096413523</v>
      </c>
      <c r="D1469" s="458">
        <v>6.3380714618813006E-2</v>
      </c>
      <c r="E1469" s="477">
        <v>15924441.779678436</v>
      </c>
      <c r="F1469" s="458">
        <v>0.12591709121995298</v>
      </c>
      <c r="G1469" s="477">
        <v>89362135.302326083</v>
      </c>
      <c r="H1469" s="458">
        <v>0.26996319166957861</v>
      </c>
      <c r="I1469" s="468">
        <v>0.48068999560440506</v>
      </c>
    </row>
    <row r="1470" spans="1:9" ht="16.5" x14ac:dyDescent="0.3">
      <c r="A1470" s="477">
        <v>3822820.7522067977</v>
      </c>
      <c r="B1470" s="458">
        <v>4.6423850972881375E-2</v>
      </c>
      <c r="C1470" s="477">
        <v>1719047.1692940071</v>
      </c>
      <c r="D1470" s="458">
        <v>4.9488392760663524E-2</v>
      </c>
      <c r="E1470" s="477">
        <v>9759533.9361631554</v>
      </c>
      <c r="F1470" s="458">
        <v>0.10309131271353111</v>
      </c>
      <c r="G1470" s="477">
        <v>81934752.851841807</v>
      </c>
      <c r="H1470" s="458">
        <v>0.2650959869517413</v>
      </c>
      <c r="I1470" s="468">
        <v>2.4753424498462131</v>
      </c>
    </row>
    <row r="1471" spans="1:9" ht="16.5" x14ac:dyDescent="0.3">
      <c r="A1471" s="477">
        <v>5089821.3943802333</v>
      </c>
      <c r="B1471" s="458">
        <v>5.1851984848001687E-2</v>
      </c>
      <c r="C1471" s="477">
        <v>12365414.712616302</v>
      </c>
      <c r="D1471" s="458">
        <v>6.3833473659245854E-2</v>
      </c>
      <c r="E1471" s="477">
        <v>24772080.883562025</v>
      </c>
      <c r="F1471" s="458">
        <v>0.13849780087419017</v>
      </c>
      <c r="G1471" s="477">
        <v>80637449.814125806</v>
      </c>
      <c r="H1471" s="458">
        <v>0.27397600027376923</v>
      </c>
      <c r="I1471" s="468">
        <v>11.493128890074271</v>
      </c>
    </row>
    <row r="1472" spans="1:9" ht="16.5" x14ac:dyDescent="0.3">
      <c r="A1472" s="477">
        <v>5807427.3595024813</v>
      </c>
      <c r="B1472" s="458">
        <v>2.314096340657068E-2</v>
      </c>
      <c r="C1472" s="477">
        <v>6611526.473685707</v>
      </c>
      <c r="D1472" s="458">
        <v>7.5784339257778388E-2</v>
      </c>
      <c r="E1472" s="477">
        <v>13589576.420335375</v>
      </c>
      <c r="F1472" s="458">
        <v>0.11280935855180485</v>
      </c>
      <c r="G1472" s="477">
        <v>97202585.772554085</v>
      </c>
      <c r="H1472" s="458">
        <v>0.27341234200013487</v>
      </c>
      <c r="I1472" s="468">
        <v>6.2958737270239205</v>
      </c>
    </row>
    <row r="1473" spans="1:9" ht="16.5" x14ac:dyDescent="0.3">
      <c r="A1473" s="477">
        <v>9678789.587247178</v>
      </c>
      <c r="B1473" s="458">
        <v>3.9563222367140272E-2</v>
      </c>
      <c r="C1473" s="477">
        <v>8258851.0658917092</v>
      </c>
      <c r="D1473" s="458">
        <v>5.253785474312167E-2</v>
      </c>
      <c r="E1473" s="477">
        <v>12436126.807546679</v>
      </c>
      <c r="F1473" s="458">
        <v>0.117532423033605</v>
      </c>
      <c r="G1473" s="477">
        <v>81520703.065185785</v>
      </c>
      <c r="H1473" s="458">
        <v>0.27641269921933631</v>
      </c>
      <c r="I1473" s="468">
        <v>10.641437127784174</v>
      </c>
    </row>
    <row r="1474" spans="1:9" ht="16.5" x14ac:dyDescent="0.3">
      <c r="A1474" s="477">
        <v>7428276.8902083831</v>
      </c>
      <c r="B1474" s="458">
        <v>5.2583239598710918E-2</v>
      </c>
      <c r="C1474" s="477">
        <v>5073573.2524462612</v>
      </c>
      <c r="D1474" s="458">
        <v>7.7290697104010375E-2</v>
      </c>
      <c r="E1474" s="477">
        <v>19713576.381601289</v>
      </c>
      <c r="F1474" s="458">
        <v>0.11273617752668508</v>
      </c>
      <c r="G1474" s="477">
        <v>100160131.15995726</v>
      </c>
      <c r="H1474" s="458">
        <v>0.27345492000555649</v>
      </c>
      <c r="I1474" s="468">
        <v>9.8337608252585316</v>
      </c>
    </row>
    <row r="1475" spans="1:9" ht="16.5" x14ac:dyDescent="0.3">
      <c r="A1475" s="477">
        <v>6705265.3445845954</v>
      </c>
      <c r="B1475" s="458">
        <v>4.346387495857118E-2</v>
      </c>
      <c r="C1475" s="477">
        <v>2083444.4718059085</v>
      </c>
      <c r="D1475" s="458">
        <v>6.0976383483928087E-2</v>
      </c>
      <c r="E1475" s="477">
        <v>19188509.298775066</v>
      </c>
      <c r="F1475" s="458">
        <v>0.10557997430898247</v>
      </c>
      <c r="G1475" s="477">
        <v>82069776.635234043</v>
      </c>
      <c r="H1475" s="458">
        <v>0.26873543256379406</v>
      </c>
      <c r="I1475" s="468">
        <v>10.108998963777916</v>
      </c>
    </row>
    <row r="1476" spans="1:9" ht="16.5" x14ac:dyDescent="0.3">
      <c r="A1476" s="477">
        <v>4327511.0508701745</v>
      </c>
      <c r="B1476" s="458">
        <v>5.3043138735750173E-2</v>
      </c>
      <c r="C1476" s="477">
        <v>6890439.9980065413</v>
      </c>
      <c r="D1476" s="458">
        <v>8.4897529697445684E-2</v>
      </c>
      <c r="E1476" s="477">
        <v>19722029.322067507</v>
      </c>
      <c r="F1476" s="458">
        <v>0.12023077811163718</v>
      </c>
      <c r="G1476" s="477">
        <v>85466608.62208882</v>
      </c>
      <c r="H1476" s="458">
        <v>0.27936311749827647</v>
      </c>
      <c r="I1476" s="468">
        <v>2.848612828581687</v>
      </c>
    </row>
    <row r="1477" spans="1:9" ht="16.5" x14ac:dyDescent="0.3">
      <c r="A1477" s="477">
        <v>10765300.561923586</v>
      </c>
      <c r="B1477" s="458">
        <v>4.4483499390188141E-2</v>
      </c>
      <c r="C1477" s="477">
        <v>6779979.3324426459</v>
      </c>
      <c r="D1477" s="458">
        <v>5.5625094677924203E-2</v>
      </c>
      <c r="E1477" s="477">
        <v>22450623.049226742</v>
      </c>
      <c r="F1477" s="458">
        <v>9.3427234358459899E-2</v>
      </c>
      <c r="G1477" s="477">
        <v>87058701.415574342</v>
      </c>
      <c r="H1477" s="458">
        <v>0.25466634555543299</v>
      </c>
      <c r="I1477" s="468">
        <v>6.174977983540102</v>
      </c>
    </row>
    <row r="1478" spans="1:9" ht="16.5" x14ac:dyDescent="0.3">
      <c r="A1478" s="477">
        <v>7069653.5528688766</v>
      </c>
      <c r="B1478" s="458">
        <v>2.4645228931889251E-2</v>
      </c>
      <c r="C1478" s="477">
        <v>15117040.244931316</v>
      </c>
      <c r="D1478" s="458">
        <v>5.6566785963586552E-2</v>
      </c>
      <c r="E1478" s="477">
        <v>17686425.503381282</v>
      </c>
      <c r="F1478" s="458">
        <v>0.10337519534356265</v>
      </c>
      <c r="G1478" s="477">
        <v>85434255.662591413</v>
      </c>
      <c r="H1478" s="458">
        <v>0.25693867792823921</v>
      </c>
      <c r="I1478" s="468">
        <v>7.2929481547601291</v>
      </c>
    </row>
    <row r="1479" spans="1:9" ht="16.5" x14ac:dyDescent="0.3">
      <c r="A1479" s="477">
        <v>3366696.40302506</v>
      </c>
      <c r="B1479" s="458">
        <v>3.2369052299661583E-2</v>
      </c>
      <c r="C1479" s="477">
        <v>10794857.523955246</v>
      </c>
      <c r="D1479" s="458">
        <v>9.1164983245660025E-2</v>
      </c>
      <c r="E1479" s="477">
        <v>17424300.800717104</v>
      </c>
      <c r="F1479" s="458">
        <v>0.12893991295519802</v>
      </c>
      <c r="G1479" s="477">
        <v>90067258.15544191</v>
      </c>
      <c r="H1479" s="458">
        <v>0.26423419024989125</v>
      </c>
      <c r="I1479" s="468">
        <v>7.3847380021583575</v>
      </c>
    </row>
    <row r="1480" spans="1:9" ht="16.5" x14ac:dyDescent="0.3">
      <c r="A1480" s="477">
        <v>3346345.8619371774</v>
      </c>
      <c r="B1480" s="458">
        <v>3.738624501135579E-2</v>
      </c>
      <c r="C1480" s="477">
        <v>4910711.393512574</v>
      </c>
      <c r="D1480" s="458">
        <v>7.1109947276688068E-2</v>
      </c>
      <c r="E1480" s="477">
        <v>18792665.7200661</v>
      </c>
      <c r="F1480" s="458">
        <v>0.1135869294225138</v>
      </c>
      <c r="G1480" s="477">
        <v>97128728.541028917</v>
      </c>
      <c r="H1480" s="458">
        <v>0.26641620934108201</v>
      </c>
      <c r="I1480" s="468">
        <v>9.7389162948042358</v>
      </c>
    </row>
    <row r="1481" spans="1:9" ht="16.5" x14ac:dyDescent="0.3">
      <c r="A1481" s="477">
        <v>10563169.125358859</v>
      </c>
      <c r="B1481" s="458">
        <v>6.7175124875979986E-2</v>
      </c>
      <c r="C1481" s="477">
        <v>5990901.9718856169</v>
      </c>
      <c r="D1481" s="458">
        <v>5.1221860638738459E-2</v>
      </c>
      <c r="E1481" s="477">
        <v>8943569.7143984828</v>
      </c>
      <c r="F1481" s="458">
        <v>0.11823373304336116</v>
      </c>
      <c r="G1481" s="477">
        <v>86400812.66340135</v>
      </c>
      <c r="H1481" s="458">
        <v>0.26940321261302702</v>
      </c>
      <c r="I1481" s="468">
        <v>9.8198958982125681</v>
      </c>
    </row>
    <row r="1482" spans="1:9" ht="16.5" x14ac:dyDescent="0.3">
      <c r="A1482" s="477">
        <v>6523187.3845246425</v>
      </c>
      <c r="B1482" s="458">
        <v>5.0168212537236023E-2</v>
      </c>
      <c r="C1482" s="477">
        <v>8431834.972514879</v>
      </c>
      <c r="D1482" s="458">
        <v>5.7405344529197322E-2</v>
      </c>
      <c r="E1482" s="477">
        <v>18440025.359802563</v>
      </c>
      <c r="F1482" s="458">
        <v>8.4212793501354355E-2</v>
      </c>
      <c r="G1482" s="477">
        <v>92815517.056457326</v>
      </c>
      <c r="H1482" s="458">
        <v>0.27562333359416957</v>
      </c>
      <c r="I1482" s="468">
        <v>14.016159568716672</v>
      </c>
    </row>
    <row r="1483" spans="1:9" ht="16.5" x14ac:dyDescent="0.3">
      <c r="A1483" s="477">
        <v>4039134.4863368711</v>
      </c>
      <c r="B1483" s="458">
        <v>4.0173389853633834E-2</v>
      </c>
      <c r="C1483" s="477">
        <v>8084109.1779558314</v>
      </c>
      <c r="D1483" s="458">
        <v>8.5106293845877312E-2</v>
      </c>
      <c r="E1483" s="477">
        <v>12934015.016799087</v>
      </c>
      <c r="F1483" s="458">
        <v>8.8507533019478668E-2</v>
      </c>
      <c r="G1483" s="477">
        <v>75386922.531082615</v>
      </c>
      <c r="H1483" s="458">
        <v>0.28972613714403339</v>
      </c>
      <c r="I1483" s="468">
        <v>10.778128682940697</v>
      </c>
    </row>
    <row r="1484" spans="1:9" ht="16.5" x14ac:dyDescent="0.3">
      <c r="A1484" s="477">
        <v>9081269.5684075095</v>
      </c>
      <c r="B1484" s="458">
        <v>2.2301758540184347E-2</v>
      </c>
      <c r="C1484" s="477">
        <v>8655007.1947912257</v>
      </c>
      <c r="D1484" s="458">
        <v>6.7677831641488551E-2</v>
      </c>
      <c r="E1484" s="477">
        <v>19459258.403763171</v>
      </c>
      <c r="F1484" s="458">
        <v>7.6034015509243602E-2</v>
      </c>
      <c r="G1484" s="477">
        <v>82743956.304858431</v>
      </c>
      <c r="H1484" s="458">
        <v>0.26022424908568409</v>
      </c>
      <c r="I1484" s="468">
        <v>11.238511790972</v>
      </c>
    </row>
    <row r="1485" spans="1:9" ht="16.5" x14ac:dyDescent="0.3">
      <c r="A1485" s="477">
        <v>5571176.3288735701</v>
      </c>
      <c r="B1485" s="458">
        <v>4.4351144969448031E-2</v>
      </c>
      <c r="C1485" s="477">
        <v>6557540.4890371338</v>
      </c>
      <c r="D1485" s="458">
        <v>6.3797010020616884E-2</v>
      </c>
      <c r="E1485" s="477">
        <v>18938674.225403082</v>
      </c>
      <c r="F1485" s="458">
        <v>8.670996824763022E-2</v>
      </c>
      <c r="G1485" s="477">
        <v>107990110.74740776</v>
      </c>
      <c r="H1485" s="458">
        <v>0.26703441387037219</v>
      </c>
      <c r="I1485" s="468">
        <v>9.4340859453741945</v>
      </c>
    </row>
    <row r="1486" spans="1:9" ht="16.5" x14ac:dyDescent="0.3">
      <c r="A1486" s="477">
        <v>5670454.357071409</v>
      </c>
      <c r="B1486" s="458">
        <v>3.4692387261355817E-2</v>
      </c>
      <c r="C1486" s="477">
        <v>5068235.9839869831</v>
      </c>
      <c r="D1486" s="458">
        <v>5.9354164874076742E-2</v>
      </c>
      <c r="E1486" s="477">
        <v>20395035.999432217</v>
      </c>
      <c r="F1486" s="458">
        <v>0.11368810693199483</v>
      </c>
      <c r="G1486" s="477">
        <v>91298329.286704198</v>
      </c>
      <c r="H1486" s="458">
        <v>0.27522555896736378</v>
      </c>
      <c r="I1486" s="468">
        <v>9.0911734429790947</v>
      </c>
    </row>
    <row r="1487" spans="1:9" ht="16.5" x14ac:dyDescent="0.3">
      <c r="A1487" s="477">
        <v>4930238.9771543182</v>
      </c>
      <c r="B1487" s="458">
        <v>6.132261909651171E-2</v>
      </c>
      <c r="C1487" s="477">
        <v>9167627.9791246392</v>
      </c>
      <c r="D1487" s="458">
        <v>4.9026441089267347E-2</v>
      </c>
      <c r="E1487" s="477">
        <v>16417715.668534342</v>
      </c>
      <c r="F1487" s="458">
        <v>0.12460053204836874</v>
      </c>
      <c r="G1487" s="477">
        <v>96310150.421913624</v>
      </c>
      <c r="H1487" s="458">
        <v>0.27340663954174649</v>
      </c>
      <c r="I1487" s="468">
        <v>18.006716176981367</v>
      </c>
    </row>
    <row r="1488" spans="1:9" ht="16.5" x14ac:dyDescent="0.3">
      <c r="A1488" s="477">
        <v>4294079.6871347874</v>
      </c>
      <c r="B1488" s="458">
        <v>5.4721332874779094E-2</v>
      </c>
      <c r="C1488" s="477">
        <v>13369628.207097836</v>
      </c>
      <c r="D1488" s="458">
        <v>8.0240388946191343E-2</v>
      </c>
      <c r="E1488" s="477">
        <v>17880203.547192398</v>
      </c>
      <c r="F1488" s="458">
        <v>0.12954499492102256</v>
      </c>
      <c r="G1488" s="477">
        <v>93704581.300812781</v>
      </c>
      <c r="H1488" s="458">
        <v>0.27277488849385279</v>
      </c>
      <c r="I1488" s="468">
        <v>6.228541845755398</v>
      </c>
    </row>
    <row r="1489" spans="1:9" ht="16.5" x14ac:dyDescent="0.3">
      <c r="A1489" s="477">
        <v>7469109.5998472124</v>
      </c>
      <c r="B1489" s="458">
        <v>3.2891003319484025E-2</v>
      </c>
      <c r="C1489" s="477">
        <v>11360166.614504389</v>
      </c>
      <c r="D1489" s="458">
        <v>4.9600752641110413E-2</v>
      </c>
      <c r="E1489" s="477">
        <v>12445648.325628456</v>
      </c>
      <c r="F1489" s="458">
        <v>0.12727459970124744</v>
      </c>
      <c r="G1489" s="477">
        <v>100111630.23963478</v>
      </c>
      <c r="H1489" s="458">
        <v>0.26080259774281767</v>
      </c>
      <c r="I1489" s="468">
        <v>5.3266048106034063</v>
      </c>
    </row>
    <row r="1490" spans="1:9" ht="16.5" x14ac:dyDescent="0.3">
      <c r="A1490" s="477">
        <v>5025691.439531384</v>
      </c>
      <c r="B1490" s="458">
        <v>1.9506465513870586E-2</v>
      </c>
      <c r="C1490" s="477">
        <v>10186113.705537988</v>
      </c>
      <c r="D1490" s="458">
        <v>7.4062869817422383E-2</v>
      </c>
      <c r="E1490" s="477">
        <v>12714125.004286813</v>
      </c>
      <c r="F1490" s="458">
        <v>0.12389057781519552</v>
      </c>
      <c r="G1490" s="477">
        <v>77566499.666850865</v>
      </c>
      <c r="H1490" s="458">
        <v>0.28148116426019154</v>
      </c>
      <c r="I1490" s="468">
        <v>13.405542376969569</v>
      </c>
    </row>
    <row r="1491" spans="1:9" ht="16.5" x14ac:dyDescent="0.3">
      <c r="A1491" s="477">
        <v>-900269.98786094016</v>
      </c>
      <c r="B1491" s="458">
        <v>3.7743851358925218E-2</v>
      </c>
      <c r="C1491" s="477">
        <v>8176139.0877818447</v>
      </c>
      <c r="D1491" s="458">
        <v>7.3785956890047633E-2</v>
      </c>
      <c r="E1491" s="477">
        <v>7919159.9007224133</v>
      </c>
      <c r="F1491" s="458">
        <v>0.1218946024350871</v>
      </c>
      <c r="G1491" s="477">
        <v>98587044.501929194</v>
      </c>
      <c r="H1491" s="458">
        <v>0.27253866143555605</v>
      </c>
      <c r="I1491" s="468">
        <v>1.3800078201778687</v>
      </c>
    </row>
    <row r="1492" spans="1:9" ht="16.5" x14ac:dyDescent="0.3">
      <c r="A1492" s="477">
        <v>3259474.7668061648</v>
      </c>
      <c r="B1492" s="458">
        <v>5.2605769636621336E-2</v>
      </c>
      <c r="C1492" s="477">
        <v>12524629.062780574</v>
      </c>
      <c r="D1492" s="458">
        <v>8.8963573799792695E-2</v>
      </c>
      <c r="E1492" s="477">
        <v>7927062.7250366732</v>
      </c>
      <c r="F1492" s="458">
        <v>0.13475626085783809</v>
      </c>
      <c r="G1492" s="477">
        <v>86388793.925279304</v>
      </c>
      <c r="H1492" s="458">
        <v>0.28074614519497154</v>
      </c>
      <c r="I1492" s="468">
        <v>15.309237190209505</v>
      </c>
    </row>
    <row r="1493" spans="1:9" ht="16.5" x14ac:dyDescent="0.3">
      <c r="A1493" s="477">
        <v>4184778.7246116214</v>
      </c>
      <c r="B1493" s="458">
        <v>3.2364945978067272E-2</v>
      </c>
      <c r="C1493" s="477">
        <v>10647396.688020434</v>
      </c>
      <c r="D1493" s="458">
        <v>7.3801715848414107E-2</v>
      </c>
      <c r="E1493" s="477">
        <v>19700069.818083871</v>
      </c>
      <c r="F1493" s="458">
        <v>0.10077926074653476</v>
      </c>
      <c r="G1493" s="477">
        <v>86576588.734189734</v>
      </c>
      <c r="H1493" s="458">
        <v>0.25430380258492113</v>
      </c>
      <c r="I1493" s="468">
        <v>8.4877883793432591</v>
      </c>
    </row>
    <row r="1494" spans="1:9" ht="16.5" x14ac:dyDescent="0.3">
      <c r="A1494" s="477">
        <v>3270151.2621717439</v>
      </c>
      <c r="B1494" s="458">
        <v>7.6133417740174014E-2</v>
      </c>
      <c r="C1494" s="477">
        <v>2315975.1089783236</v>
      </c>
      <c r="D1494" s="458">
        <v>5.7429267461190925E-2</v>
      </c>
      <c r="E1494" s="477">
        <v>12822706.293365041</v>
      </c>
      <c r="F1494" s="458">
        <v>0.10672482424374552</v>
      </c>
      <c r="G1494" s="477">
        <v>87548314.958800226</v>
      </c>
      <c r="H1494" s="458">
        <v>0.26794391950696417</v>
      </c>
      <c r="I1494" s="468">
        <v>7.3254157143114824</v>
      </c>
    </row>
    <row r="1495" spans="1:9" ht="16.5" x14ac:dyDescent="0.3">
      <c r="A1495" s="477">
        <v>8218251.4445748124</v>
      </c>
      <c r="B1495" s="458">
        <v>3.6243446736188289E-2</v>
      </c>
      <c r="C1495" s="477">
        <v>6627812.3026878806</v>
      </c>
      <c r="D1495" s="458">
        <v>8.8811150436461261E-2</v>
      </c>
      <c r="E1495" s="477">
        <v>11989339.751461485</v>
      </c>
      <c r="F1495" s="458">
        <v>0.12182151968750121</v>
      </c>
      <c r="G1495" s="477">
        <v>103731308.53393914</v>
      </c>
      <c r="H1495" s="458">
        <v>0.27394947064055342</v>
      </c>
      <c r="I1495" s="468">
        <v>8.7426042509894017</v>
      </c>
    </row>
    <row r="1496" spans="1:9" ht="16.5" x14ac:dyDescent="0.3">
      <c r="A1496" s="477">
        <v>781519.12572516128</v>
      </c>
      <c r="B1496" s="458">
        <v>3.7547236316186616E-2</v>
      </c>
      <c r="C1496" s="477">
        <v>8702620.6566394456</v>
      </c>
      <c r="D1496" s="458">
        <v>8.4178242220015242E-2</v>
      </c>
      <c r="E1496" s="477">
        <v>12757569.101394391</v>
      </c>
      <c r="F1496" s="458">
        <v>0.12364181498773896</v>
      </c>
      <c r="G1496" s="477">
        <v>94527210.430898726</v>
      </c>
      <c r="H1496" s="458">
        <v>0.26126513242432003</v>
      </c>
      <c r="I1496" s="468">
        <v>9.1256901204685814</v>
      </c>
    </row>
    <row r="1497" spans="1:9" ht="16.5" x14ac:dyDescent="0.3">
      <c r="A1497" s="477">
        <v>-16016.042873613675</v>
      </c>
      <c r="B1497" s="458">
        <v>2.0482974112267627E-2</v>
      </c>
      <c r="C1497" s="477">
        <v>9407415.4077193066</v>
      </c>
      <c r="D1497" s="458">
        <v>6.3386597759458985E-2</v>
      </c>
      <c r="E1497" s="477">
        <v>22221362.583131619</v>
      </c>
      <c r="F1497" s="458">
        <v>0.11440339877825911</v>
      </c>
      <c r="G1497" s="477">
        <v>91747766.035638541</v>
      </c>
      <c r="H1497" s="458">
        <v>0.26905847691264362</v>
      </c>
      <c r="I1497" s="468">
        <v>10.363534598871144</v>
      </c>
    </row>
    <row r="1498" spans="1:9" ht="16.5" x14ac:dyDescent="0.3">
      <c r="A1498" s="477">
        <v>4222559.1083777947</v>
      </c>
      <c r="B1498" s="458">
        <v>3.5855486056189267E-2</v>
      </c>
      <c r="C1498" s="477">
        <v>9420237.1621254012</v>
      </c>
      <c r="D1498" s="458">
        <v>6.9433999608804919E-2</v>
      </c>
      <c r="E1498" s="477">
        <v>17798008.527203429</v>
      </c>
      <c r="F1498" s="458">
        <v>0.10948378201465192</v>
      </c>
      <c r="G1498" s="477">
        <v>90537610.533828467</v>
      </c>
      <c r="H1498" s="458">
        <v>0.26416910877263544</v>
      </c>
      <c r="I1498" s="468">
        <v>8.0644800765895273</v>
      </c>
    </row>
    <row r="1499" spans="1:9" ht="16.5" x14ac:dyDescent="0.3">
      <c r="A1499" s="477">
        <v>6637784.7807164872</v>
      </c>
      <c r="B1499" s="458">
        <v>6.0336702430998423E-2</v>
      </c>
      <c r="C1499" s="477">
        <v>-2971414.593806243</v>
      </c>
      <c r="D1499" s="458">
        <v>7.1599327749272801E-2</v>
      </c>
      <c r="E1499" s="477">
        <v>23669676.642726209</v>
      </c>
      <c r="F1499" s="458">
        <v>0.15092289330145747</v>
      </c>
      <c r="G1499" s="477">
        <v>86337341.377943054</v>
      </c>
      <c r="H1499" s="458">
        <v>0.28129779410247635</v>
      </c>
      <c r="I1499" s="468">
        <v>12.345699438526765</v>
      </c>
    </row>
    <row r="1500" spans="1:9" ht="16.5" x14ac:dyDescent="0.3">
      <c r="A1500" s="477">
        <v>3346289.905894734</v>
      </c>
      <c r="B1500" s="458">
        <v>2.9747554934636433E-2</v>
      </c>
      <c r="C1500" s="477">
        <v>6270533.4598217355</v>
      </c>
      <c r="D1500" s="458">
        <v>5.7277381283648898E-2</v>
      </c>
      <c r="E1500" s="477">
        <v>19527673.003983974</v>
      </c>
      <c r="F1500" s="458">
        <v>0.11904930668540192</v>
      </c>
      <c r="G1500" s="477">
        <v>101904884.20793074</v>
      </c>
      <c r="H1500" s="458">
        <v>0.26950321308546488</v>
      </c>
      <c r="I1500" s="468">
        <v>4.6433630310713312</v>
      </c>
    </row>
    <row r="1501" spans="1:9" ht="16.5" x14ac:dyDescent="0.3">
      <c r="A1501" s="477">
        <v>6552306.1258461</v>
      </c>
      <c r="B1501" s="458">
        <v>4.7362893889723034E-2</v>
      </c>
      <c r="C1501" s="477">
        <v>6143984.5446061846</v>
      </c>
      <c r="D1501" s="458">
        <v>3.9365070915565292E-2</v>
      </c>
      <c r="E1501" s="477">
        <v>9217299.1826804653</v>
      </c>
      <c r="F1501" s="458">
        <v>0.10252446796602244</v>
      </c>
      <c r="G1501" s="477">
        <v>94130827.016330898</v>
      </c>
      <c r="H1501" s="458">
        <v>0.27231157549467033</v>
      </c>
      <c r="I1501" s="468">
        <v>3.7891531743646096</v>
      </c>
    </row>
    <row r="1502" spans="1:9" ht="16.5" x14ac:dyDescent="0.3">
      <c r="A1502" s="477">
        <v>3314426.1796163884</v>
      </c>
      <c r="B1502" s="458">
        <v>4.1347832335325574E-2</v>
      </c>
      <c r="C1502" s="477">
        <v>4984409.933909175</v>
      </c>
      <c r="D1502" s="458">
        <v>8.5372354648512561E-2</v>
      </c>
      <c r="E1502" s="477">
        <v>9692671.952833211</v>
      </c>
      <c r="F1502" s="458">
        <v>7.366050024870896E-2</v>
      </c>
      <c r="G1502" s="477">
        <v>88469719.297688499</v>
      </c>
      <c r="H1502" s="458">
        <v>0.27023242552891569</v>
      </c>
      <c r="I1502" s="468">
        <v>12.170463612734913</v>
      </c>
    </row>
    <row r="1503" spans="1:9" ht="16.5" x14ac:dyDescent="0.3">
      <c r="A1503" s="477">
        <v>2143856.7323092329</v>
      </c>
      <c r="B1503" s="458">
        <v>6.4262246211960417E-2</v>
      </c>
      <c r="C1503" s="477">
        <v>12136347.244971942</v>
      </c>
      <c r="D1503" s="458">
        <v>8.4768279965300897E-2</v>
      </c>
      <c r="E1503" s="477">
        <v>6877060.7627479145</v>
      </c>
      <c r="F1503" s="458">
        <v>0.11755080128366813</v>
      </c>
      <c r="G1503" s="477">
        <v>81165383.262962118</v>
      </c>
      <c r="H1503" s="458">
        <v>0.25335948124236674</v>
      </c>
      <c r="I1503" s="468">
        <v>4.6494916200447616</v>
      </c>
    </row>
    <row r="1504" spans="1:9" ht="16.5" x14ac:dyDescent="0.3">
      <c r="A1504" s="477">
        <v>9051424.3591772653</v>
      </c>
      <c r="B1504" s="458">
        <v>4.8887467019707476E-2</v>
      </c>
      <c r="C1504" s="477">
        <v>-15335.876942539775</v>
      </c>
      <c r="D1504" s="458">
        <v>4.5393205893254018E-2</v>
      </c>
      <c r="E1504" s="477">
        <v>17762262.927133538</v>
      </c>
      <c r="F1504" s="458">
        <v>0.10743014127397865</v>
      </c>
      <c r="G1504" s="477">
        <v>108561712.68523911</v>
      </c>
      <c r="H1504" s="458">
        <v>0.24420394527553801</v>
      </c>
      <c r="I1504" s="468">
        <v>13.005724416939467</v>
      </c>
    </row>
    <row r="1505" spans="1:9" ht="16.5" x14ac:dyDescent="0.3">
      <c r="A1505" s="477">
        <v>2110546.7018297995</v>
      </c>
      <c r="B1505" s="458">
        <v>4.3704960365462231E-2</v>
      </c>
      <c r="C1505" s="477">
        <v>13258831.924747301</v>
      </c>
      <c r="D1505" s="458">
        <v>6.6530230783955702E-2</v>
      </c>
      <c r="E1505" s="477">
        <v>19331916.605019022</v>
      </c>
      <c r="F1505" s="458">
        <v>8.2441798386068132E-2</v>
      </c>
      <c r="G1505" s="477">
        <v>96505340.419631392</v>
      </c>
      <c r="H1505" s="458">
        <v>0.27682311423898898</v>
      </c>
      <c r="I1505" s="468">
        <v>12.848326507980655</v>
      </c>
    </row>
    <row r="1506" spans="1:9" ht="16.5" x14ac:dyDescent="0.3">
      <c r="A1506" s="477">
        <v>9860598.9910738859</v>
      </c>
      <c r="B1506" s="458">
        <v>3.1004298684157439E-2</v>
      </c>
      <c r="C1506" s="477">
        <v>13469933.436417656</v>
      </c>
      <c r="D1506" s="458">
        <v>8.1878537353177183E-2</v>
      </c>
      <c r="E1506" s="477">
        <v>23221949.620273177</v>
      </c>
      <c r="F1506" s="458">
        <v>0.11434748161439101</v>
      </c>
      <c r="G1506" s="477">
        <v>87909500.306905687</v>
      </c>
      <c r="H1506" s="458">
        <v>0.25784977818122101</v>
      </c>
      <c r="I1506" s="468">
        <v>8.7184659957221644</v>
      </c>
    </row>
    <row r="1507" spans="1:9" ht="16.5" x14ac:dyDescent="0.3">
      <c r="A1507" s="477">
        <v>6122450.2604978103</v>
      </c>
      <c r="B1507" s="458">
        <v>3.7731148360674149E-2</v>
      </c>
      <c r="C1507" s="477">
        <v>11927589.839220027</v>
      </c>
      <c r="D1507" s="458">
        <v>4.4941568752466132E-2</v>
      </c>
      <c r="E1507" s="477">
        <v>14440664.042042477</v>
      </c>
      <c r="F1507" s="458">
        <v>0.10557695142467804</v>
      </c>
      <c r="G1507" s="477">
        <v>94331171.128360793</v>
      </c>
      <c r="H1507" s="458">
        <v>0.28128805630363352</v>
      </c>
      <c r="I1507" s="468">
        <v>5.2095722100831985</v>
      </c>
    </row>
    <row r="1508" spans="1:9" ht="16.5" x14ac:dyDescent="0.3">
      <c r="A1508" s="477">
        <v>7829507.8213291159</v>
      </c>
      <c r="B1508" s="458">
        <v>1.9269016015569962E-2</v>
      </c>
      <c r="C1508" s="477">
        <v>14161938.121735755</v>
      </c>
      <c r="D1508" s="458">
        <v>7.1276899314413944E-2</v>
      </c>
      <c r="E1508" s="477">
        <v>22988607.774873577</v>
      </c>
      <c r="F1508" s="458">
        <v>9.2742208995075126E-2</v>
      </c>
      <c r="G1508" s="477">
        <v>74420124.494662315</v>
      </c>
      <c r="H1508" s="458">
        <v>0.27680561014045657</v>
      </c>
      <c r="I1508" s="468">
        <v>17.088601474045806</v>
      </c>
    </row>
    <row r="1509" spans="1:9" ht="16.5" x14ac:dyDescent="0.3">
      <c r="A1509" s="477">
        <v>8060470.0683120601</v>
      </c>
      <c r="B1509" s="458">
        <v>2.8907315712479287E-2</v>
      </c>
      <c r="C1509" s="477">
        <v>16024736.021532198</v>
      </c>
      <c r="D1509" s="458">
        <v>6.120320184460315E-2</v>
      </c>
      <c r="E1509" s="477">
        <v>24146020.395487882</v>
      </c>
      <c r="F1509" s="458">
        <v>0.10576949236021438</v>
      </c>
      <c r="G1509" s="477">
        <v>89593675.908254758</v>
      </c>
      <c r="H1509" s="458">
        <v>0.27833912107530923</v>
      </c>
      <c r="I1509" s="468">
        <v>5.4622602140578653</v>
      </c>
    </row>
    <row r="1510" spans="1:9" ht="16.5" x14ac:dyDescent="0.3">
      <c r="A1510" s="477">
        <v>6699953.4548843736</v>
      </c>
      <c r="B1510" s="458">
        <v>3.995410621316986E-2</v>
      </c>
      <c r="C1510" s="477">
        <v>7177502.7842839528</v>
      </c>
      <c r="D1510" s="458">
        <v>6.3426478379019713E-2</v>
      </c>
      <c r="E1510" s="477">
        <v>9589395.1454309337</v>
      </c>
      <c r="F1510" s="458">
        <v>0.10767774161893229</v>
      </c>
      <c r="G1510" s="477">
        <v>82832860.985271975</v>
      </c>
      <c r="H1510" s="458">
        <v>0.26709634705302676</v>
      </c>
      <c r="I1510" s="468">
        <v>12.443114482346395</v>
      </c>
    </row>
    <row r="1511" spans="1:9" ht="16.5" x14ac:dyDescent="0.3">
      <c r="A1511" s="477">
        <v>4035620.0154519104</v>
      </c>
      <c r="B1511" s="458">
        <v>6.7966722453673745E-2</v>
      </c>
      <c r="C1511" s="477">
        <v>4890658.1982442923</v>
      </c>
      <c r="D1511" s="458">
        <v>7.9693676961167803E-2</v>
      </c>
      <c r="E1511" s="477">
        <v>18047391.240973219</v>
      </c>
      <c r="F1511" s="458">
        <v>0.10712045622946542</v>
      </c>
      <c r="G1511" s="477">
        <v>87019170.120530739</v>
      </c>
      <c r="H1511" s="458">
        <v>0.27445020767735806</v>
      </c>
      <c r="I1511" s="468">
        <v>3.1479605017524221</v>
      </c>
    </row>
    <row r="1512" spans="1:9" ht="16.5" x14ac:dyDescent="0.3">
      <c r="A1512" s="477">
        <v>8616493.3581697848</v>
      </c>
      <c r="B1512" s="458">
        <v>5.4476519427851366E-2</v>
      </c>
      <c r="C1512" s="477">
        <v>3523786.4440267724</v>
      </c>
      <c r="D1512" s="458">
        <v>6.6219788263113921E-2</v>
      </c>
      <c r="E1512" s="477">
        <v>11413208.309714833</v>
      </c>
      <c r="F1512" s="458">
        <v>8.2461551712225356E-2</v>
      </c>
      <c r="G1512" s="477">
        <v>83257593.679292455</v>
      </c>
      <c r="H1512" s="458">
        <v>0.28482843331463203</v>
      </c>
      <c r="I1512" s="468">
        <v>3.9226394317442725</v>
      </c>
    </row>
    <row r="1513" spans="1:9" ht="16.5" x14ac:dyDescent="0.3">
      <c r="A1513" s="477">
        <v>4591744.9668856077</v>
      </c>
      <c r="B1513" s="458">
        <v>2.2934106365968709E-2</v>
      </c>
      <c r="C1513" s="477">
        <v>10955465.158814143</v>
      </c>
      <c r="D1513" s="458">
        <v>3.1086440889055877E-2</v>
      </c>
      <c r="E1513" s="477">
        <v>13963128.376228925</v>
      </c>
      <c r="F1513" s="458">
        <v>9.8768226306013673E-2</v>
      </c>
      <c r="G1513" s="477">
        <v>89273230.712911412</v>
      </c>
      <c r="H1513" s="458">
        <v>0.30121955823801505</v>
      </c>
      <c r="I1513" s="468">
        <v>11.454145532645976</v>
      </c>
    </row>
    <row r="1514" spans="1:9" ht="16.5" x14ac:dyDescent="0.3">
      <c r="A1514" s="477">
        <v>6793175.1188034145</v>
      </c>
      <c r="B1514" s="458">
        <v>3.3874869957689846E-2</v>
      </c>
      <c r="C1514" s="477">
        <v>4149507.833407212</v>
      </c>
      <c r="D1514" s="458">
        <v>9.9434566717522488E-2</v>
      </c>
      <c r="E1514" s="477">
        <v>14487177.838503057</v>
      </c>
      <c r="F1514" s="458">
        <v>8.536728818200312E-2</v>
      </c>
      <c r="G1514" s="477">
        <v>83057496.134335935</v>
      </c>
      <c r="H1514" s="458">
        <v>0.28429309295971694</v>
      </c>
      <c r="I1514" s="468">
        <v>6.7910935824265799</v>
      </c>
    </row>
    <row r="1515" spans="1:9" ht="16.5" x14ac:dyDescent="0.3">
      <c r="A1515" s="477">
        <v>5085167.6984035447</v>
      </c>
      <c r="B1515" s="458">
        <v>3.3299838939676141E-2</v>
      </c>
      <c r="C1515" s="477">
        <v>-991966.79280844377</v>
      </c>
      <c r="D1515" s="458">
        <v>6.3531626263999774E-2</v>
      </c>
      <c r="E1515" s="477">
        <v>15735865.356417434</v>
      </c>
      <c r="F1515" s="458">
        <v>0.1047974690509148</v>
      </c>
      <c r="G1515" s="477">
        <v>95754679.194379821</v>
      </c>
      <c r="H1515" s="458">
        <v>0.28010850383420927</v>
      </c>
      <c r="I1515" s="468">
        <v>8.8167882846429642</v>
      </c>
    </row>
    <row r="1516" spans="1:9" ht="16.5" x14ac:dyDescent="0.3">
      <c r="A1516" s="477">
        <v>11986666.907377021</v>
      </c>
      <c r="B1516" s="458">
        <v>2.74815014270402E-2</v>
      </c>
      <c r="C1516" s="477">
        <v>13559204.451805357</v>
      </c>
      <c r="D1516" s="458">
        <v>6.0913270419870935E-2</v>
      </c>
      <c r="E1516" s="477">
        <v>21169998.781853311</v>
      </c>
      <c r="F1516" s="458">
        <v>8.8390507298539145E-2</v>
      </c>
      <c r="G1516" s="477">
        <v>89802356.314173356</v>
      </c>
      <c r="H1516" s="458">
        <v>0.26761677710989962</v>
      </c>
      <c r="I1516" s="468">
        <v>13.324012382538971</v>
      </c>
    </row>
    <row r="1517" spans="1:9" ht="16.5" x14ac:dyDescent="0.3">
      <c r="A1517" s="477">
        <v>3437295.644951323</v>
      </c>
      <c r="B1517" s="458">
        <v>4.7570434194868172E-2</v>
      </c>
      <c r="C1517" s="477">
        <v>9250622.0446109623</v>
      </c>
      <c r="D1517" s="458">
        <v>5.428452140426554E-2</v>
      </c>
      <c r="E1517" s="477">
        <v>26248235.443722982</v>
      </c>
      <c r="F1517" s="458">
        <v>0.10924673496134818</v>
      </c>
      <c r="G1517" s="477">
        <v>101485988.74976666</v>
      </c>
      <c r="H1517" s="458">
        <v>0.25917573004866368</v>
      </c>
      <c r="I1517" s="468">
        <v>6.5773595397663298</v>
      </c>
    </row>
    <row r="1518" spans="1:9" ht="16.5" x14ac:dyDescent="0.3">
      <c r="A1518" s="477">
        <v>5113539.3563266406</v>
      </c>
      <c r="B1518" s="458">
        <v>5.2246435501869914E-2</v>
      </c>
      <c r="C1518" s="477">
        <v>19010060.915392213</v>
      </c>
      <c r="D1518" s="458">
        <v>5.5519401012161573E-2</v>
      </c>
      <c r="E1518" s="477">
        <v>24399007.862188309</v>
      </c>
      <c r="F1518" s="458">
        <v>9.8160346366021889E-2</v>
      </c>
      <c r="G1518" s="477">
        <v>99606716.562446177</v>
      </c>
      <c r="H1518" s="458">
        <v>0.2489832172608768</v>
      </c>
      <c r="I1518" s="468">
        <v>8.8694338926103526</v>
      </c>
    </row>
    <row r="1519" spans="1:9" ht="16.5" x14ac:dyDescent="0.3">
      <c r="A1519" s="477">
        <v>6011087.5624860907</v>
      </c>
      <c r="B1519" s="458">
        <v>3.8947853590223458E-2</v>
      </c>
      <c r="C1519" s="477">
        <v>6388922.0635763863</v>
      </c>
      <c r="D1519" s="458">
        <v>5.2113177768621011E-2</v>
      </c>
      <c r="E1519" s="477">
        <v>20355395.224585049</v>
      </c>
      <c r="F1519" s="458">
        <v>8.468804001535446E-2</v>
      </c>
      <c r="G1519" s="477">
        <v>79705369.741873816</v>
      </c>
      <c r="H1519" s="458">
        <v>0.26790830964681067</v>
      </c>
      <c r="I1519" s="468">
        <v>7.0950590184028384</v>
      </c>
    </row>
    <row r="1520" spans="1:9" ht="16.5" x14ac:dyDescent="0.3">
      <c r="A1520" s="477">
        <v>4172639.887260634</v>
      </c>
      <c r="B1520" s="458">
        <v>1.5580660683121028E-2</v>
      </c>
      <c r="C1520" s="477">
        <v>7116077.6576126311</v>
      </c>
      <c r="D1520" s="458">
        <v>8.3071775796058178E-2</v>
      </c>
      <c r="E1520" s="477">
        <v>17833682.522924997</v>
      </c>
      <c r="F1520" s="458">
        <v>0.10963132078927451</v>
      </c>
      <c r="G1520" s="477">
        <v>98812227.232624501</v>
      </c>
      <c r="H1520" s="458">
        <v>0.28126207471145048</v>
      </c>
      <c r="I1520" s="468">
        <v>11.085305720937136</v>
      </c>
    </row>
    <row r="1521" spans="1:9" ht="16.5" x14ac:dyDescent="0.3">
      <c r="A1521" s="477">
        <v>2271953.2551449351</v>
      </c>
      <c r="B1521" s="458">
        <v>3.1234311867841758E-2</v>
      </c>
      <c r="C1521" s="477">
        <v>6587400.8308023056</v>
      </c>
      <c r="D1521" s="458">
        <v>8.5428514022876545E-2</v>
      </c>
      <c r="E1521" s="477">
        <v>19781521.281854905</v>
      </c>
      <c r="F1521" s="458">
        <v>0.11193795337815637</v>
      </c>
      <c r="G1521" s="477">
        <v>73871010.709843069</v>
      </c>
      <c r="H1521" s="458">
        <v>0.28330396767004284</v>
      </c>
      <c r="I1521" s="468">
        <v>4.3036190957443452</v>
      </c>
    </row>
    <row r="1522" spans="1:9" ht="16.5" x14ac:dyDescent="0.3">
      <c r="A1522" s="477">
        <v>9894394.1565848887</v>
      </c>
      <c r="B1522" s="458">
        <v>2.4784033265465411E-2</v>
      </c>
      <c r="C1522" s="477">
        <v>4820414.1191184353</v>
      </c>
      <c r="D1522" s="458">
        <v>6.0956879063456926E-2</v>
      </c>
      <c r="E1522" s="477">
        <v>20616095.027096238</v>
      </c>
      <c r="F1522" s="458">
        <v>0.10758283313389572</v>
      </c>
      <c r="G1522" s="477">
        <v>93304383.509916708</v>
      </c>
      <c r="H1522" s="458">
        <v>0.25642407879323592</v>
      </c>
      <c r="I1522" s="468">
        <v>7.257702240219686</v>
      </c>
    </row>
    <row r="1523" spans="1:9" ht="16.5" x14ac:dyDescent="0.3">
      <c r="A1523" s="477">
        <v>5257750.5988780791</v>
      </c>
      <c r="B1523" s="458">
        <v>4.8462360125295145E-2</v>
      </c>
      <c r="C1523" s="477">
        <v>8297858.6587250214</v>
      </c>
      <c r="D1523" s="458">
        <v>7.5009616047252869E-2</v>
      </c>
      <c r="E1523" s="477">
        <v>17884017.884619884</v>
      </c>
      <c r="F1523" s="458">
        <v>0.11192639742482857</v>
      </c>
      <c r="G1523" s="477">
        <v>87411083.538992241</v>
      </c>
      <c r="H1523" s="458">
        <v>0.25689077894173895</v>
      </c>
      <c r="I1523" s="468">
        <v>5.1096135648660752</v>
      </c>
    </row>
    <row r="1524" spans="1:9" ht="16.5" x14ac:dyDescent="0.3">
      <c r="A1524" s="477">
        <v>5598289.6381151909</v>
      </c>
      <c r="B1524" s="458">
        <v>6.3500102970041716E-2</v>
      </c>
      <c r="C1524" s="477">
        <v>3896289.8052143059</v>
      </c>
      <c r="D1524" s="458">
        <v>5.9261802579887446E-2</v>
      </c>
      <c r="E1524" s="477">
        <v>18192830.166135982</v>
      </c>
      <c r="F1524" s="458">
        <v>8.8139854709449184E-2</v>
      </c>
      <c r="G1524" s="477">
        <v>102378403.34764984</v>
      </c>
      <c r="H1524" s="458">
        <v>0.24836222735019087</v>
      </c>
      <c r="I1524" s="468">
        <v>11.584628200833395</v>
      </c>
    </row>
    <row r="1525" spans="1:9" ht="16.5" x14ac:dyDescent="0.3">
      <c r="A1525" s="477">
        <v>7128130.5618590694</v>
      </c>
      <c r="B1525" s="458">
        <v>2.9635608792622836E-2</v>
      </c>
      <c r="C1525" s="477">
        <v>10363103.673309691</v>
      </c>
      <c r="D1525" s="458">
        <v>2.4531557498283618E-2</v>
      </c>
      <c r="E1525" s="477">
        <v>16059470.48935307</v>
      </c>
      <c r="F1525" s="458">
        <v>9.2901312518326229E-2</v>
      </c>
      <c r="G1525" s="477">
        <v>94595229.087665185</v>
      </c>
      <c r="H1525" s="458">
        <v>0.26329592346540887</v>
      </c>
      <c r="I1525" s="468">
        <v>9.4263114077960228</v>
      </c>
    </row>
    <row r="1526" spans="1:9" ht="16.5" x14ac:dyDescent="0.3">
      <c r="A1526" s="477">
        <v>3489916.2912582844</v>
      </c>
      <c r="B1526" s="458">
        <v>3.3480692929383382E-2</v>
      </c>
      <c r="C1526" s="477">
        <v>8371984.7930943863</v>
      </c>
      <c r="D1526" s="458">
        <v>9.0494703342379079E-2</v>
      </c>
      <c r="E1526" s="477">
        <v>11850712.703699956</v>
      </c>
      <c r="F1526" s="458">
        <v>7.9905360546092652E-2</v>
      </c>
      <c r="G1526" s="477">
        <v>94411451.074669331</v>
      </c>
      <c r="H1526" s="458">
        <v>0.26815008051781342</v>
      </c>
      <c r="I1526" s="468">
        <v>14.768956838427956</v>
      </c>
    </row>
    <row r="1527" spans="1:9" ht="16.5" x14ac:dyDescent="0.3">
      <c r="A1527" s="477">
        <v>1719204.672461505</v>
      </c>
      <c r="B1527" s="458">
        <v>5.6471815948599069E-2</v>
      </c>
      <c r="C1527" s="477">
        <v>7746011.5873629842</v>
      </c>
      <c r="D1527" s="458">
        <v>7.0569620351950357E-2</v>
      </c>
      <c r="E1527" s="477">
        <v>18603498.817863755</v>
      </c>
      <c r="F1527" s="458">
        <v>0.10662947719113025</v>
      </c>
      <c r="G1527" s="477">
        <v>82028542.322341979</v>
      </c>
      <c r="H1527" s="458">
        <v>0.27192262414339896</v>
      </c>
      <c r="I1527" s="468">
        <v>5.9063753355729638</v>
      </c>
    </row>
    <row r="1528" spans="1:9" ht="16.5" x14ac:dyDescent="0.3">
      <c r="A1528" s="477">
        <v>5910357.3719944805</v>
      </c>
      <c r="B1528" s="458">
        <v>4.6539233856581985E-2</v>
      </c>
      <c r="C1528" s="477">
        <v>6134467.9785318999</v>
      </c>
      <c r="D1528" s="458">
        <v>6.255290434636307E-2</v>
      </c>
      <c r="E1528" s="477">
        <v>17883347.305474419</v>
      </c>
      <c r="F1528" s="458">
        <v>0.11357910792812231</v>
      </c>
      <c r="G1528" s="477">
        <v>87732069.477342442</v>
      </c>
      <c r="H1528" s="458">
        <v>0.25877377751825614</v>
      </c>
      <c r="I1528" s="468">
        <v>12.095971813410671</v>
      </c>
    </row>
    <row r="1529" spans="1:9" ht="16.5" x14ac:dyDescent="0.3">
      <c r="A1529" s="477">
        <v>4144590.2451391728</v>
      </c>
      <c r="B1529" s="458">
        <v>6.2942192175477807E-2</v>
      </c>
      <c r="C1529" s="477">
        <v>6641415.9876438025</v>
      </c>
      <c r="D1529" s="458">
        <v>5.4912385832748489E-2</v>
      </c>
      <c r="E1529" s="477">
        <v>21103067.685899712</v>
      </c>
      <c r="F1529" s="458">
        <v>6.7551235960877642E-2</v>
      </c>
      <c r="G1529" s="477">
        <v>91278194.520266905</v>
      </c>
      <c r="H1529" s="458">
        <v>0.27576349513331677</v>
      </c>
      <c r="I1529" s="468">
        <v>6.4441773119341903</v>
      </c>
    </row>
    <row r="1530" spans="1:9" ht="16.5" x14ac:dyDescent="0.3">
      <c r="A1530" s="477">
        <v>3131095.6834025532</v>
      </c>
      <c r="B1530" s="458">
        <v>5.6597696037419265E-2</v>
      </c>
      <c r="C1530" s="477">
        <v>3055508.6216569245</v>
      </c>
      <c r="D1530" s="458">
        <v>6.1622057345303904E-2</v>
      </c>
      <c r="E1530" s="477">
        <v>867892.48186452582</v>
      </c>
      <c r="F1530" s="458">
        <v>9.5180276806240416E-2</v>
      </c>
      <c r="G1530" s="477">
        <v>103645965.96888085</v>
      </c>
      <c r="H1530" s="458">
        <v>0.26582272665826578</v>
      </c>
      <c r="I1530" s="468">
        <v>4.4646558240129348</v>
      </c>
    </row>
    <row r="1531" spans="1:9" ht="16.5" x14ac:dyDescent="0.3">
      <c r="A1531" s="477">
        <v>3392005.6621357077</v>
      </c>
      <c r="B1531" s="458">
        <v>4.2916536985298182E-2</v>
      </c>
      <c r="C1531" s="477">
        <v>17656358.106478203</v>
      </c>
      <c r="D1531" s="458">
        <v>5.1818119028225418E-2</v>
      </c>
      <c r="E1531" s="477">
        <v>20273102.998641562</v>
      </c>
      <c r="F1531" s="458">
        <v>0.10698688518469845</v>
      </c>
      <c r="G1531" s="477">
        <v>90000925.618769035</v>
      </c>
      <c r="H1531" s="458">
        <v>0.29452336381482236</v>
      </c>
      <c r="I1531" s="468">
        <v>7.2849115194825131</v>
      </c>
    </row>
    <row r="1532" spans="1:9" ht="16.5" x14ac:dyDescent="0.3">
      <c r="A1532" s="477">
        <v>4799229.7937113428</v>
      </c>
      <c r="B1532" s="458">
        <v>2.8983073656009495E-2</v>
      </c>
      <c r="C1532" s="477">
        <v>1089207.4345169624</v>
      </c>
      <c r="D1532" s="458">
        <v>7.4636761154066811E-2</v>
      </c>
      <c r="E1532" s="477">
        <v>17289074.145667907</v>
      </c>
      <c r="F1532" s="458">
        <v>0.10604090894586493</v>
      </c>
      <c r="G1532" s="477">
        <v>96251262.351580501</v>
      </c>
      <c r="H1532" s="458">
        <v>0.25600402803046474</v>
      </c>
      <c r="I1532" s="468">
        <v>5.48491731011881</v>
      </c>
    </row>
    <row r="1533" spans="1:9" ht="16.5" x14ac:dyDescent="0.3">
      <c r="A1533" s="477">
        <v>5615743.0136208003</v>
      </c>
      <c r="B1533" s="458">
        <v>5.4801460211304054E-2</v>
      </c>
      <c r="C1533" s="477">
        <v>12033570.703958271</v>
      </c>
      <c r="D1533" s="458">
        <v>4.7879584941171283E-2</v>
      </c>
      <c r="E1533" s="477">
        <v>18353787.867047362</v>
      </c>
      <c r="F1533" s="458">
        <v>0.10710250877741934</v>
      </c>
      <c r="G1533" s="477">
        <v>72603358.140692279</v>
      </c>
      <c r="H1533" s="458">
        <v>0.28824081526997847</v>
      </c>
      <c r="I1533" s="468">
        <v>9.9511786513534268</v>
      </c>
    </row>
    <row r="1534" spans="1:9" ht="16.5" x14ac:dyDescent="0.3">
      <c r="A1534" s="477">
        <v>7661781.1324961074</v>
      </c>
      <c r="B1534" s="458">
        <v>4.0495704153524104E-2</v>
      </c>
      <c r="C1534" s="477">
        <v>7617568.528680562</v>
      </c>
      <c r="D1534" s="458">
        <v>5.5041157232310178E-2</v>
      </c>
      <c r="E1534" s="477">
        <v>13409106.007555323</v>
      </c>
      <c r="F1534" s="458">
        <v>0.13074150352966152</v>
      </c>
      <c r="G1534" s="477">
        <v>95594682.530862421</v>
      </c>
      <c r="H1534" s="458">
        <v>0.26256257530859051</v>
      </c>
      <c r="I1534" s="468">
        <v>4.0478305053303059</v>
      </c>
    </row>
    <row r="1535" spans="1:9" ht="16.5" x14ac:dyDescent="0.3">
      <c r="A1535" s="477">
        <v>6960627.7425712319</v>
      </c>
      <c r="B1535" s="458">
        <v>3.3286856907603468E-2</v>
      </c>
      <c r="C1535" s="477">
        <v>5559478.1738082599</v>
      </c>
      <c r="D1535" s="458">
        <v>5.8605896016924675E-2</v>
      </c>
      <c r="E1535" s="477">
        <v>19799925.225560747</v>
      </c>
      <c r="F1535" s="458">
        <v>0.12193665881136906</v>
      </c>
      <c r="G1535" s="477">
        <v>79187091.692847565</v>
      </c>
      <c r="H1535" s="458">
        <v>0.2811624182406196</v>
      </c>
      <c r="I1535" s="468">
        <v>15.044797861425973</v>
      </c>
    </row>
    <row r="1536" spans="1:9" ht="16.5" x14ac:dyDescent="0.3">
      <c r="A1536" s="477">
        <v>5579478.5454134662</v>
      </c>
      <c r="B1536" s="458">
        <v>3.2392208294663494E-2</v>
      </c>
      <c r="C1536" s="477">
        <v>5823257.0589964855</v>
      </c>
      <c r="D1536" s="458">
        <v>0.11000198789385784</v>
      </c>
      <c r="E1536" s="477">
        <v>5587165.076634801</v>
      </c>
      <c r="F1536" s="458">
        <v>0.10631007371472778</v>
      </c>
      <c r="G1536" s="477">
        <v>97739214.197744608</v>
      </c>
      <c r="H1536" s="458">
        <v>0.28601069355293629</v>
      </c>
      <c r="I1536" s="468">
        <v>4.6157772292613082</v>
      </c>
    </row>
    <row r="1537" spans="1:9" ht="16.5" x14ac:dyDescent="0.3">
      <c r="A1537" s="477">
        <v>4995566.8696213355</v>
      </c>
      <c r="B1537" s="458">
        <v>4.7586652186164979E-2</v>
      </c>
      <c r="C1537" s="477">
        <v>12292792.469883701</v>
      </c>
      <c r="D1537" s="458">
        <v>6.5495216080649898E-2</v>
      </c>
      <c r="E1537" s="477">
        <v>16585473.488176756</v>
      </c>
      <c r="F1537" s="458">
        <v>0.10726303378674551</v>
      </c>
      <c r="G1537" s="477">
        <v>74721311.125982985</v>
      </c>
      <c r="H1537" s="458">
        <v>0.241267899283097</v>
      </c>
      <c r="I1537" s="468">
        <v>7.8222019951467434</v>
      </c>
    </row>
    <row r="1538" spans="1:9" ht="16.5" x14ac:dyDescent="0.3">
      <c r="A1538" s="477">
        <v>7123454.8504366307</v>
      </c>
      <c r="B1538" s="458">
        <v>3.636084991753763E-2</v>
      </c>
      <c r="C1538" s="477">
        <v>10277267.627013713</v>
      </c>
      <c r="D1538" s="458">
        <v>8.0450924528042034E-2</v>
      </c>
      <c r="E1538" s="477">
        <v>18575595.100462317</v>
      </c>
      <c r="F1538" s="458">
        <v>0.1151046881914044</v>
      </c>
      <c r="G1538" s="477">
        <v>83599743.744327173</v>
      </c>
      <c r="H1538" s="458">
        <v>0.27190552058491524</v>
      </c>
      <c r="I1538" s="468">
        <v>5.3703889154418025</v>
      </c>
    </row>
    <row r="1539" spans="1:9" ht="16.5" x14ac:dyDescent="0.3">
      <c r="A1539" s="477">
        <v>2192859.4468430984</v>
      </c>
      <c r="B1539" s="458">
        <v>3.6577423411416898E-2</v>
      </c>
      <c r="C1539" s="477">
        <v>7266616.4740488911</v>
      </c>
      <c r="D1539" s="458">
        <v>7.8879783593700292E-2</v>
      </c>
      <c r="E1539" s="477">
        <v>24763805.388206549</v>
      </c>
      <c r="F1539" s="458">
        <v>0.11870520192571421</v>
      </c>
      <c r="G1539" s="477">
        <v>85344885.276021838</v>
      </c>
      <c r="H1539" s="458">
        <v>0.26271749074769324</v>
      </c>
      <c r="I1539" s="468">
        <v>8.1955860864616241</v>
      </c>
    </row>
    <row r="1540" spans="1:9" ht="16.5" x14ac:dyDescent="0.3">
      <c r="A1540" s="477">
        <v>4863035.3308032434</v>
      </c>
      <c r="B1540" s="458">
        <v>3.2995752866737504E-2</v>
      </c>
      <c r="C1540" s="477">
        <v>12692919.72500908</v>
      </c>
      <c r="D1540" s="458">
        <v>7.5574632318891943E-2</v>
      </c>
      <c r="E1540" s="477">
        <v>13973989.026002804</v>
      </c>
      <c r="F1540" s="458">
        <v>0.12124355750705562</v>
      </c>
      <c r="G1540" s="477">
        <v>90246565.0625</v>
      </c>
      <c r="H1540" s="458">
        <v>0.25524761054060829</v>
      </c>
      <c r="I1540" s="468">
        <v>7.539112253759618</v>
      </c>
    </row>
    <row r="1541" spans="1:9" ht="16.5" x14ac:dyDescent="0.3">
      <c r="A1541" s="477">
        <v>4610893.5445204582</v>
      </c>
      <c r="B1541" s="458">
        <v>6.3857263975153566E-2</v>
      </c>
      <c r="C1541" s="477">
        <v>7814094.2924347091</v>
      </c>
      <c r="D1541" s="458">
        <v>8.4943349125406575E-2</v>
      </c>
      <c r="E1541" s="477">
        <v>10977401.75272404</v>
      </c>
      <c r="F1541" s="458">
        <v>0.1162179160499095</v>
      </c>
      <c r="G1541" s="477">
        <v>99412457.910225004</v>
      </c>
      <c r="H1541" s="458">
        <v>0.2896102988307081</v>
      </c>
      <c r="I1541" s="468">
        <v>12.607009055233409</v>
      </c>
    </row>
    <row r="1542" spans="1:9" ht="16.5" x14ac:dyDescent="0.3">
      <c r="A1542" s="477">
        <v>8658781.6049703173</v>
      </c>
      <c r="B1542" s="458">
        <v>4.8873917328728478E-2</v>
      </c>
      <c r="C1542" s="477">
        <v>6858582.7942173593</v>
      </c>
      <c r="D1542" s="458">
        <v>6.3808599700637014E-2</v>
      </c>
      <c r="E1542" s="477">
        <v>22012115.172639903</v>
      </c>
      <c r="F1542" s="458">
        <v>0.1120504020395694</v>
      </c>
      <c r="G1542" s="477">
        <v>87070024.061310545</v>
      </c>
      <c r="H1542" s="458">
        <v>0.25587486890117495</v>
      </c>
      <c r="I1542" s="468">
        <v>12.102952030848201</v>
      </c>
    </row>
    <row r="1543" spans="1:9" ht="16.5" x14ac:dyDescent="0.3">
      <c r="A1543" s="477">
        <v>9962438.4749031924</v>
      </c>
      <c r="B1543" s="458">
        <v>4.0035219108305986E-2</v>
      </c>
      <c r="C1543" s="477">
        <v>14571691.689932037</v>
      </c>
      <c r="D1543" s="458">
        <v>7.6469340359387461E-2</v>
      </c>
      <c r="E1543" s="477">
        <v>13791288.556904564</v>
      </c>
      <c r="F1543" s="458">
        <v>7.8609153988811409E-2</v>
      </c>
      <c r="G1543" s="477">
        <v>81701896.945318058</v>
      </c>
      <c r="H1543" s="458">
        <v>0.26117005614485245</v>
      </c>
      <c r="I1543" s="468">
        <v>11.36545532982889</v>
      </c>
    </row>
    <row r="1544" spans="1:9" ht="16.5" x14ac:dyDescent="0.3">
      <c r="A1544" s="477">
        <v>7050587.8638051637</v>
      </c>
      <c r="B1544" s="458">
        <v>3.3936500601408515E-2</v>
      </c>
      <c r="C1544" s="477">
        <v>9420765.3355820272</v>
      </c>
      <c r="D1544" s="458">
        <v>6.2883316201227668E-2</v>
      </c>
      <c r="E1544" s="477">
        <v>14711883.066827422</v>
      </c>
      <c r="F1544" s="458">
        <v>0.10649571294766291</v>
      </c>
      <c r="G1544" s="477">
        <v>78019503.816143155</v>
      </c>
      <c r="H1544" s="458">
        <v>0.26107326074902537</v>
      </c>
      <c r="I1544" s="468">
        <v>10.366585691392586</v>
      </c>
    </row>
    <row r="1545" spans="1:9" ht="16.5" x14ac:dyDescent="0.3">
      <c r="A1545" s="477">
        <v>6925994.1869576927</v>
      </c>
      <c r="B1545" s="458">
        <v>2.1869779762965225E-2</v>
      </c>
      <c r="C1545" s="477">
        <v>10295407.879551083</v>
      </c>
      <c r="D1545" s="458">
        <v>9.1012384478412534E-2</v>
      </c>
      <c r="E1545" s="477">
        <v>22546911.140598126</v>
      </c>
      <c r="F1545" s="458">
        <v>9.1669774844420848E-2</v>
      </c>
      <c r="G1545" s="477">
        <v>83006755.565965682</v>
      </c>
      <c r="H1545" s="458">
        <v>0.26597525157151347</v>
      </c>
      <c r="I1545" s="468">
        <v>10.152635645371388</v>
      </c>
    </row>
    <row r="1546" spans="1:9" ht="16.5" x14ac:dyDescent="0.3">
      <c r="A1546" s="477">
        <v>605956.46772780642</v>
      </c>
      <c r="B1546" s="458">
        <v>5.3990422690776585E-2</v>
      </c>
      <c r="C1546" s="477">
        <v>5589231.4645228134</v>
      </c>
      <c r="D1546" s="458">
        <v>5.0064526301520695E-2</v>
      </c>
      <c r="E1546" s="477">
        <v>17648763.162542202</v>
      </c>
      <c r="F1546" s="458">
        <v>0.11727275453961483</v>
      </c>
      <c r="G1546" s="477">
        <v>84417558.63868624</v>
      </c>
      <c r="H1546" s="458">
        <v>0.28049225079409523</v>
      </c>
      <c r="I1546" s="468">
        <v>8.8941345506887366</v>
      </c>
    </row>
    <row r="1547" spans="1:9" ht="16.5" x14ac:dyDescent="0.3">
      <c r="A1547" s="477">
        <v>5805484.1755131623</v>
      </c>
      <c r="B1547" s="458">
        <v>3.7880601998113272E-2</v>
      </c>
      <c r="C1547" s="477">
        <v>6173736.192131388</v>
      </c>
      <c r="D1547" s="458">
        <v>6.4151412787703865E-2</v>
      </c>
      <c r="E1547" s="477">
        <v>16368397.852221191</v>
      </c>
      <c r="F1547" s="458">
        <v>0.10523986721003986</v>
      </c>
      <c r="G1547" s="477">
        <v>102357782.26767236</v>
      </c>
      <c r="H1547" s="458">
        <v>0.27843170425512387</v>
      </c>
      <c r="I1547" s="468">
        <v>6.4477864193040286</v>
      </c>
    </row>
    <row r="1548" spans="1:9" ht="16.5" x14ac:dyDescent="0.3">
      <c r="A1548" s="477">
        <v>6623925.5182619467</v>
      </c>
      <c r="B1548" s="458">
        <v>3.0471949069786231E-2</v>
      </c>
      <c r="C1548" s="477">
        <v>10118816.324486453</v>
      </c>
      <c r="D1548" s="458">
        <v>4.6080922396151136E-2</v>
      </c>
      <c r="E1548" s="477">
        <v>7698584.9639622942</v>
      </c>
      <c r="F1548" s="458">
        <v>9.5436494330330524E-2</v>
      </c>
      <c r="G1548" s="477">
        <v>99491623.375383437</v>
      </c>
      <c r="H1548" s="458">
        <v>0.26877303621119575</v>
      </c>
      <c r="I1548" s="468">
        <v>6.2110705224959446</v>
      </c>
    </row>
    <row r="1549" spans="1:9" ht="16.5" x14ac:dyDescent="0.3">
      <c r="A1549" s="477">
        <v>6986225.824865588</v>
      </c>
      <c r="B1549" s="458">
        <v>3.918010095111657E-2</v>
      </c>
      <c r="C1549" s="477">
        <v>5995962.0372484876</v>
      </c>
      <c r="D1549" s="458">
        <v>5.4886220421512588E-2</v>
      </c>
      <c r="E1549" s="477">
        <v>19597407.569791585</v>
      </c>
      <c r="F1549" s="458">
        <v>0.11443793949467196</v>
      </c>
      <c r="G1549" s="477">
        <v>85394500.810217857</v>
      </c>
      <c r="H1549" s="458">
        <v>0.26123970991601175</v>
      </c>
      <c r="I1549" s="468">
        <v>7.5368024921469772</v>
      </c>
    </row>
    <row r="1550" spans="1:9" ht="16.5" x14ac:dyDescent="0.3">
      <c r="A1550" s="477">
        <v>3910327.6220177533</v>
      </c>
      <c r="B1550" s="458">
        <v>3.7683534467331192E-2</v>
      </c>
      <c r="C1550" s="477">
        <v>9921773.5576020218</v>
      </c>
      <c r="D1550" s="458">
        <v>6.8838386229369108E-2</v>
      </c>
      <c r="E1550" s="477">
        <v>20334668.091945827</v>
      </c>
      <c r="F1550" s="458">
        <v>0.11508644031115622</v>
      </c>
      <c r="G1550" s="477">
        <v>92167916.421395093</v>
      </c>
      <c r="H1550" s="458">
        <v>0.28558092032662818</v>
      </c>
      <c r="I1550" s="468">
        <v>4.9497745630698757</v>
      </c>
    </row>
    <row r="1551" spans="1:9" ht="16.5" x14ac:dyDescent="0.3">
      <c r="A1551" s="477">
        <v>5104017.4123954885</v>
      </c>
      <c r="B1551" s="458">
        <v>4.1415208846959262E-2</v>
      </c>
      <c r="C1551" s="477">
        <v>5221199.1844967632</v>
      </c>
      <c r="D1551" s="458">
        <v>5.09736346253713E-2</v>
      </c>
      <c r="E1551" s="477">
        <v>18818258.174863212</v>
      </c>
      <c r="F1551" s="458">
        <v>9.9387089483414348E-2</v>
      </c>
      <c r="G1551" s="477">
        <v>96244179.834173962</v>
      </c>
      <c r="H1551" s="458">
        <v>0.260864988958174</v>
      </c>
      <c r="I1551" s="468">
        <v>4.0943676287131288</v>
      </c>
    </row>
    <row r="1552" spans="1:9" ht="16.5" x14ac:dyDescent="0.3">
      <c r="A1552" s="477">
        <v>4165227.6435412564</v>
      </c>
      <c r="B1552" s="458">
        <v>5.2680550503682255E-2</v>
      </c>
      <c r="C1552" s="477">
        <v>4996666.187246047</v>
      </c>
      <c r="D1552" s="458">
        <v>7.7548183087678968E-2</v>
      </c>
      <c r="E1552" s="477">
        <v>11718325.832892254</v>
      </c>
      <c r="F1552" s="458">
        <v>0.115456631465501</v>
      </c>
      <c r="G1552" s="477">
        <v>99473566.629589602</v>
      </c>
      <c r="H1552" s="458">
        <v>0.27179188565086077</v>
      </c>
      <c r="I1552" s="468">
        <v>8.2432531322597171</v>
      </c>
    </row>
    <row r="1553" spans="1:9" ht="16.5" x14ac:dyDescent="0.3">
      <c r="A1553" s="477">
        <v>5582586.4517645389</v>
      </c>
      <c r="B1553" s="458">
        <v>7.8850130207157587E-3</v>
      </c>
      <c r="C1553" s="477">
        <v>8896927.5889402293</v>
      </c>
      <c r="D1553" s="458">
        <v>7.9137848763253915E-2</v>
      </c>
      <c r="E1553" s="477">
        <v>18614207.053006705</v>
      </c>
      <c r="F1553" s="458">
        <v>7.6707366460692317E-2</v>
      </c>
      <c r="G1553" s="477">
        <v>77712189.72494629</v>
      </c>
      <c r="H1553" s="458">
        <v>0.26331358506158886</v>
      </c>
      <c r="I1553" s="468">
        <v>10.495317073206078</v>
      </c>
    </row>
    <row r="1554" spans="1:9" ht="16.5" x14ac:dyDescent="0.3">
      <c r="A1554" s="477">
        <v>4484497.167629079</v>
      </c>
      <c r="B1554" s="458">
        <v>4.1133884453802727E-2</v>
      </c>
      <c r="C1554" s="477">
        <v>6423012.087774232</v>
      </c>
      <c r="D1554" s="458">
        <v>6.3683379845713706E-2</v>
      </c>
      <c r="E1554" s="477">
        <v>19511080.79926141</v>
      </c>
      <c r="F1554" s="458">
        <v>0.11500935827691428</v>
      </c>
      <c r="G1554" s="477">
        <v>82177139.862035394</v>
      </c>
      <c r="H1554" s="458">
        <v>0.288646367342829</v>
      </c>
      <c r="I1554" s="468">
        <v>2.8573708550531496</v>
      </c>
    </row>
    <row r="1555" spans="1:9" ht="16.5" x14ac:dyDescent="0.3">
      <c r="A1555" s="477">
        <v>5087186.308503747</v>
      </c>
      <c r="B1555" s="458">
        <v>3.4275610852426253E-2</v>
      </c>
      <c r="C1555" s="477">
        <v>8828590.1779526249</v>
      </c>
      <c r="D1555" s="458">
        <v>6.6490663796445748E-2</v>
      </c>
      <c r="E1555" s="477">
        <v>22511954.603603277</v>
      </c>
      <c r="F1555" s="458">
        <v>0.11274900973222701</v>
      </c>
      <c r="G1555" s="477">
        <v>88979344.689480543</v>
      </c>
      <c r="H1555" s="458">
        <v>0.26767262652975576</v>
      </c>
      <c r="I1555" s="468">
        <v>8.0339379918258587</v>
      </c>
    </row>
    <row r="1556" spans="1:9" ht="16.5" x14ac:dyDescent="0.3">
      <c r="A1556" s="477">
        <v>5913279.5148417167</v>
      </c>
      <c r="B1556" s="458">
        <v>4.4988541823751893E-2</v>
      </c>
      <c r="C1556" s="477">
        <v>9372347.6268082093</v>
      </c>
      <c r="D1556" s="458">
        <v>7.4415711213570601E-2</v>
      </c>
      <c r="E1556" s="477">
        <v>12189669.198692333</v>
      </c>
      <c r="F1556" s="458">
        <v>0.1099876233758792</v>
      </c>
      <c r="G1556" s="477">
        <v>88403241.893186271</v>
      </c>
      <c r="H1556" s="458">
        <v>0.2990888810362049</v>
      </c>
      <c r="I1556" s="468">
        <v>12.103757363723119</v>
      </c>
    </row>
    <row r="1557" spans="1:9" ht="16.5" x14ac:dyDescent="0.3">
      <c r="A1557" s="477">
        <v>1593012.564392522</v>
      </c>
      <c r="B1557" s="458">
        <v>3.6395366488435998E-2</v>
      </c>
      <c r="C1557" s="477">
        <v>5843303.3604970202</v>
      </c>
      <c r="D1557" s="458">
        <v>9.2784699838397877E-2</v>
      </c>
      <c r="E1557" s="477">
        <v>11055022.761963515</v>
      </c>
      <c r="F1557" s="458">
        <v>0.11840234397189153</v>
      </c>
      <c r="G1557" s="477">
        <v>83549201.038792804</v>
      </c>
      <c r="H1557" s="458">
        <v>0.2936022447709028</v>
      </c>
      <c r="I1557" s="468">
        <v>5.24985054577032</v>
      </c>
    </row>
    <row r="1558" spans="1:9" ht="16.5" x14ac:dyDescent="0.3">
      <c r="A1558" s="477">
        <v>4470038.4261210654</v>
      </c>
      <c r="B1558" s="458">
        <v>3.7139097422262068E-2</v>
      </c>
      <c r="C1558" s="477">
        <v>7411789.789526633</v>
      </c>
      <c r="D1558" s="458">
        <v>7.1230706514145314E-2</v>
      </c>
      <c r="E1558" s="477">
        <v>19988267.552355643</v>
      </c>
      <c r="F1558" s="458">
        <v>7.6968983569100313E-2</v>
      </c>
      <c r="G1558" s="477">
        <v>92981702.989225298</v>
      </c>
      <c r="H1558" s="458">
        <v>0.26854538832817965</v>
      </c>
      <c r="I1558" s="468">
        <v>4.5016169310189458</v>
      </c>
    </row>
    <row r="1559" spans="1:9" ht="16.5" x14ac:dyDescent="0.3">
      <c r="A1559" s="477">
        <v>4994174.4202480139</v>
      </c>
      <c r="B1559" s="458">
        <v>2.1437581186239285E-2</v>
      </c>
      <c r="C1559" s="477">
        <v>8422352.3870580085</v>
      </c>
      <c r="D1559" s="458">
        <v>5.5744490452855233E-2</v>
      </c>
      <c r="E1559" s="477">
        <v>16904080.354494102</v>
      </c>
      <c r="F1559" s="458">
        <v>0.10694257568222998</v>
      </c>
      <c r="G1559" s="477">
        <v>85996807.955189213</v>
      </c>
      <c r="H1559" s="458">
        <v>0.26264083361863699</v>
      </c>
      <c r="I1559" s="468">
        <v>10.372487801039306</v>
      </c>
    </row>
    <row r="1560" spans="1:9" ht="16.5" x14ac:dyDescent="0.3">
      <c r="A1560" s="477">
        <v>7844018.3923270525</v>
      </c>
      <c r="B1560" s="458">
        <v>3.2807632195949177E-2</v>
      </c>
      <c r="C1560" s="477">
        <v>9558692.4013922829</v>
      </c>
      <c r="D1560" s="458">
        <v>5.0336490874458573E-2</v>
      </c>
      <c r="E1560" s="477">
        <v>16569075.734503219</v>
      </c>
      <c r="F1560" s="458">
        <v>0.11414452207831349</v>
      </c>
      <c r="G1560" s="477">
        <v>75536002.244445875</v>
      </c>
      <c r="H1560" s="458">
        <v>0.27447288709775375</v>
      </c>
      <c r="I1560" s="468">
        <v>8.2097500912527543</v>
      </c>
    </row>
    <row r="1561" spans="1:9" ht="16.5" x14ac:dyDescent="0.3">
      <c r="A1561" s="477">
        <v>3001998.1996574351</v>
      </c>
      <c r="B1561" s="458">
        <v>4.3111934642577676E-2</v>
      </c>
      <c r="C1561" s="477">
        <v>5879795.9659737479</v>
      </c>
      <c r="D1561" s="458">
        <v>8.3871634762240577E-2</v>
      </c>
      <c r="E1561" s="477">
        <v>13125781.776207399</v>
      </c>
      <c r="F1561" s="458">
        <v>0.11793154770180325</v>
      </c>
      <c r="G1561" s="477">
        <v>77372501.755586386</v>
      </c>
      <c r="H1561" s="458">
        <v>0.29270183849306619</v>
      </c>
      <c r="I1561" s="468">
        <v>4.9733240873174731</v>
      </c>
    </row>
    <row r="1562" spans="1:9" ht="16.5" x14ac:dyDescent="0.3">
      <c r="A1562" s="477">
        <v>4440943.6868512733</v>
      </c>
      <c r="B1562" s="458">
        <v>2.6597158159788137E-2</v>
      </c>
      <c r="C1562" s="477">
        <v>9281470.6345317699</v>
      </c>
      <c r="D1562" s="458">
        <v>6.0739634905176532E-2</v>
      </c>
      <c r="E1562" s="477">
        <v>19441702.4591722</v>
      </c>
      <c r="F1562" s="458">
        <v>9.5228181271147738E-2</v>
      </c>
      <c r="G1562" s="477">
        <v>86934591.049620688</v>
      </c>
      <c r="H1562" s="458">
        <v>0.26296961836092492</v>
      </c>
      <c r="I1562" s="468">
        <v>-1.5653701455581981E-2</v>
      </c>
    </row>
    <row r="1563" spans="1:9" ht="16.5" x14ac:dyDescent="0.3">
      <c r="A1563" s="477">
        <v>4558841.9165479243</v>
      </c>
      <c r="B1563" s="458">
        <v>3.3796272050398812E-2</v>
      </c>
      <c r="C1563" s="477">
        <v>6792161.7296178052</v>
      </c>
      <c r="D1563" s="458">
        <v>6.1492513453177855E-2</v>
      </c>
      <c r="E1563" s="477">
        <v>19509242.578770146</v>
      </c>
      <c r="F1563" s="458">
        <v>0.10379069084196302</v>
      </c>
      <c r="G1563" s="477">
        <v>75206784.350056842</v>
      </c>
      <c r="H1563" s="458">
        <v>0.24867665094298297</v>
      </c>
      <c r="I1563" s="468">
        <v>10.152058488289674</v>
      </c>
    </row>
    <row r="1564" spans="1:9" ht="16.5" x14ac:dyDescent="0.3">
      <c r="A1564" s="477">
        <v>4187139.6087651951</v>
      </c>
      <c r="B1564" s="458">
        <v>5.313371538385514E-2</v>
      </c>
      <c r="C1564" s="477">
        <v>10814041.323510645</v>
      </c>
      <c r="D1564" s="458">
        <v>6.7050178856514764E-2</v>
      </c>
      <c r="E1564" s="477">
        <v>21569799.018545456</v>
      </c>
      <c r="F1564" s="458">
        <v>0.11255349536265769</v>
      </c>
      <c r="G1564" s="477">
        <v>84892780.891981646</v>
      </c>
      <c r="H1564" s="458">
        <v>0.28483945359779783</v>
      </c>
      <c r="I1564" s="468">
        <v>8.5278147616828743</v>
      </c>
    </row>
    <row r="1565" spans="1:9" ht="16.5" x14ac:dyDescent="0.3">
      <c r="A1565" s="477">
        <v>8647367.1112174504</v>
      </c>
      <c r="B1565" s="458">
        <v>5.98617850650216E-2</v>
      </c>
      <c r="C1565" s="477">
        <v>10314764.524185738</v>
      </c>
      <c r="D1565" s="458">
        <v>5.4766011051879282E-2</v>
      </c>
      <c r="E1565" s="477">
        <v>17707624.476022784</v>
      </c>
      <c r="F1565" s="458">
        <v>0.10612306057935017</v>
      </c>
      <c r="G1565" s="477">
        <v>100921562.05147435</v>
      </c>
      <c r="H1565" s="458">
        <v>0.29157293022799013</v>
      </c>
      <c r="I1565" s="468">
        <v>2.7503786229334848</v>
      </c>
    </row>
    <row r="1566" spans="1:9" ht="16.5" x14ac:dyDescent="0.3">
      <c r="A1566" s="477">
        <v>4719603.9267965704</v>
      </c>
      <c r="B1566" s="458">
        <v>8.0367054668419424E-2</v>
      </c>
      <c r="C1566" s="477">
        <v>1752150.1227037245</v>
      </c>
      <c r="D1566" s="458">
        <v>6.4872466035264864E-2</v>
      </c>
      <c r="E1566" s="477">
        <v>12830604.180083171</v>
      </c>
      <c r="F1566" s="458">
        <v>0.12545612728889632</v>
      </c>
      <c r="G1566" s="477">
        <v>81805763.620694295</v>
      </c>
      <c r="H1566" s="458">
        <v>0.27731245408012573</v>
      </c>
      <c r="I1566" s="468">
        <v>11.937306051543141</v>
      </c>
    </row>
    <row r="1567" spans="1:9" ht="16.5" x14ac:dyDescent="0.3">
      <c r="A1567" s="477">
        <v>7142668.6189097222</v>
      </c>
      <c r="B1567" s="458">
        <v>5.128958064296385E-2</v>
      </c>
      <c r="C1567" s="477">
        <v>12091004.845524855</v>
      </c>
      <c r="D1567" s="458">
        <v>6.3660081918287315E-2</v>
      </c>
      <c r="E1567" s="477">
        <v>17519977.483086552</v>
      </c>
      <c r="F1567" s="458">
        <v>9.0886716105549548E-2</v>
      </c>
      <c r="G1567" s="477">
        <v>89530411.88750276</v>
      </c>
      <c r="H1567" s="458">
        <v>0.27204239815411069</v>
      </c>
      <c r="I1567" s="468">
        <v>7.0190523581534485</v>
      </c>
    </row>
    <row r="1568" spans="1:9" ht="16.5" x14ac:dyDescent="0.3">
      <c r="A1568" s="477">
        <v>8484871.3116756529</v>
      </c>
      <c r="B1568" s="458">
        <v>4.0017328138798547E-2</v>
      </c>
      <c r="C1568" s="477">
        <v>7420417.6758215306</v>
      </c>
      <c r="D1568" s="458">
        <v>4.0356657504161397E-2</v>
      </c>
      <c r="E1568" s="477">
        <v>15733616.589874143</v>
      </c>
      <c r="F1568" s="458">
        <v>0.12489713025860438</v>
      </c>
      <c r="G1568" s="477">
        <v>82858372.212652668</v>
      </c>
      <c r="H1568" s="458">
        <v>0.26235846679274322</v>
      </c>
      <c r="I1568" s="468">
        <v>5.9549932969709607</v>
      </c>
    </row>
    <row r="1569" spans="1:9" ht="16.5" x14ac:dyDescent="0.3">
      <c r="A1569" s="477">
        <v>7893005.0441345368</v>
      </c>
      <c r="B1569" s="458">
        <v>4.4411637145063798E-2</v>
      </c>
      <c r="C1569" s="477">
        <v>5873102.3472556788</v>
      </c>
      <c r="D1569" s="458">
        <v>8.0151168119815708E-2</v>
      </c>
      <c r="E1569" s="477">
        <v>21765880.07865648</v>
      </c>
      <c r="F1569" s="458">
        <v>7.825705748343359E-2</v>
      </c>
      <c r="G1569" s="477">
        <v>91058542.917687193</v>
      </c>
      <c r="H1569" s="458">
        <v>0.25134096539093753</v>
      </c>
      <c r="I1569" s="468">
        <v>9.0679620311608691</v>
      </c>
    </row>
    <row r="1570" spans="1:9" ht="16.5" x14ac:dyDescent="0.3">
      <c r="A1570" s="477">
        <v>4021062.0884920964</v>
      </c>
      <c r="B1570" s="458">
        <v>3.7280103507309592E-2</v>
      </c>
      <c r="C1570" s="477">
        <v>6251730.2405625917</v>
      </c>
      <c r="D1570" s="458">
        <v>6.0010223037387789E-2</v>
      </c>
      <c r="E1570" s="477">
        <v>14333930.732366575</v>
      </c>
      <c r="F1570" s="458">
        <v>0.13095617148303118</v>
      </c>
      <c r="G1570" s="477">
        <v>99203335.53563264</v>
      </c>
      <c r="H1570" s="458">
        <v>0.28820995801754989</v>
      </c>
      <c r="I1570" s="468">
        <v>8.9705433605888842</v>
      </c>
    </row>
    <row r="1571" spans="1:9" ht="16.5" x14ac:dyDescent="0.3">
      <c r="A1571" s="477">
        <v>6971641.0218467228</v>
      </c>
      <c r="B1571" s="458">
        <v>4.4191592349359654E-2</v>
      </c>
      <c r="C1571" s="477">
        <v>9963160.5931868851</v>
      </c>
      <c r="D1571" s="458">
        <v>5.6838152510361617E-2</v>
      </c>
      <c r="E1571" s="477">
        <v>19197732.991983283</v>
      </c>
      <c r="F1571" s="458">
        <v>0.11422813663238407</v>
      </c>
      <c r="G1571" s="477">
        <v>102006109.80923803</v>
      </c>
      <c r="H1571" s="458">
        <v>0.27419949866186277</v>
      </c>
      <c r="I1571" s="468">
        <v>8.2058932176924042</v>
      </c>
    </row>
    <row r="1572" spans="1:9" ht="16.5" x14ac:dyDescent="0.3">
      <c r="A1572" s="477">
        <v>4495737.273836677</v>
      </c>
      <c r="B1572" s="458">
        <v>4.0412571212787629E-2</v>
      </c>
      <c r="C1572" s="477">
        <v>10338606.492179133</v>
      </c>
      <c r="D1572" s="458">
        <v>5.7041341000633183E-2</v>
      </c>
      <c r="E1572" s="477">
        <v>15502284.259871241</v>
      </c>
      <c r="F1572" s="458">
        <v>7.9937556686098921E-2</v>
      </c>
      <c r="G1572" s="477">
        <v>91872277.802958861</v>
      </c>
      <c r="H1572" s="458">
        <v>0.26592643691766704</v>
      </c>
      <c r="I1572" s="468">
        <v>6.0852430728194182</v>
      </c>
    </row>
    <row r="1573" spans="1:9" ht="16.5" x14ac:dyDescent="0.3">
      <c r="A1573" s="477">
        <v>6644499.4628527071</v>
      </c>
      <c r="B1573" s="458">
        <v>4.4946684649687763E-2</v>
      </c>
      <c r="C1573" s="477">
        <v>1130489.8640729224</v>
      </c>
      <c r="D1573" s="458">
        <v>6.5892216332794851E-2</v>
      </c>
      <c r="E1573" s="477">
        <v>17890208.287316434</v>
      </c>
      <c r="F1573" s="458">
        <v>0.13121645289569761</v>
      </c>
      <c r="G1573" s="477">
        <v>88487664.972065911</v>
      </c>
      <c r="H1573" s="458">
        <v>0.24982323739236478</v>
      </c>
      <c r="I1573" s="468">
        <v>11.627391096207642</v>
      </c>
    </row>
    <row r="1574" spans="1:9" ht="16.5" x14ac:dyDescent="0.3">
      <c r="A1574" s="477">
        <v>7859333.9821227957</v>
      </c>
      <c r="B1574" s="458">
        <v>6.8391738289479642E-2</v>
      </c>
      <c r="C1574" s="477">
        <v>12181144.607217588</v>
      </c>
      <c r="D1574" s="458">
        <v>4.7842853791389972E-2</v>
      </c>
      <c r="E1574" s="477">
        <v>15469730.397498945</v>
      </c>
      <c r="F1574" s="458">
        <v>8.6923921832214646E-2</v>
      </c>
      <c r="G1574" s="477">
        <v>83634535.392819285</v>
      </c>
      <c r="H1574" s="458">
        <v>0.30033340015629739</v>
      </c>
      <c r="I1574" s="468">
        <v>2.1871894620277939</v>
      </c>
    </row>
    <row r="1575" spans="1:9" ht="16.5" x14ac:dyDescent="0.3">
      <c r="A1575" s="477">
        <v>128559.81398772301</v>
      </c>
      <c r="B1575" s="458">
        <v>3.1761430603195029E-2</v>
      </c>
      <c r="C1575" s="477">
        <v>12992070.305850044</v>
      </c>
      <c r="D1575" s="458">
        <v>8.5331982350648206E-2</v>
      </c>
      <c r="E1575" s="477">
        <v>20093142.650614943</v>
      </c>
      <c r="F1575" s="458">
        <v>0.11238982115978668</v>
      </c>
      <c r="G1575" s="477">
        <v>90626671.394634277</v>
      </c>
      <c r="H1575" s="458">
        <v>0.28080838920823425</v>
      </c>
      <c r="I1575" s="468">
        <v>9.9133138276842026</v>
      </c>
    </row>
    <row r="1576" spans="1:9" ht="16.5" x14ac:dyDescent="0.3">
      <c r="A1576" s="477">
        <v>2907536.6600473267</v>
      </c>
      <c r="B1576" s="458">
        <v>4.1550479354050429E-2</v>
      </c>
      <c r="C1576" s="477">
        <v>7082303.2443652907</v>
      </c>
      <c r="D1576" s="458">
        <v>9.7343092968909417E-2</v>
      </c>
      <c r="E1576" s="477">
        <v>13777044.141954632</v>
      </c>
      <c r="F1576" s="458">
        <v>0.10900543484331338</v>
      </c>
      <c r="G1576" s="477">
        <v>103744559.85532951</v>
      </c>
      <c r="H1576" s="458">
        <v>0.26743012191483673</v>
      </c>
      <c r="I1576" s="468">
        <v>3.7508886637746954</v>
      </c>
    </row>
    <row r="1577" spans="1:9" ht="16.5" x14ac:dyDescent="0.3">
      <c r="A1577" s="477">
        <v>3869163.4436226194</v>
      </c>
      <c r="B1577" s="458">
        <v>4.1667196008436491E-2</v>
      </c>
      <c r="C1577" s="477">
        <v>5411226.4006771632</v>
      </c>
      <c r="D1577" s="458">
        <v>5.3992930140832618E-2</v>
      </c>
      <c r="E1577" s="477">
        <v>12813201.554888317</v>
      </c>
      <c r="F1577" s="458">
        <v>0.11970642550610111</v>
      </c>
      <c r="G1577" s="477">
        <v>94720236.084921017</v>
      </c>
      <c r="H1577" s="458">
        <v>0.27271488454163095</v>
      </c>
      <c r="I1577" s="468">
        <v>3.9504322897032145</v>
      </c>
    </row>
    <row r="1578" spans="1:9" ht="16.5" x14ac:dyDescent="0.3">
      <c r="A1578" s="477">
        <v>1433138.6187545566</v>
      </c>
      <c r="B1578" s="458">
        <v>2.5944121430125922E-2</v>
      </c>
      <c r="C1578" s="477">
        <v>4459484.8893712135</v>
      </c>
      <c r="D1578" s="458">
        <v>8.2620250327655631E-2</v>
      </c>
      <c r="E1578" s="477">
        <v>6220142.5722397864</v>
      </c>
      <c r="F1578" s="458">
        <v>0.11977153846872524</v>
      </c>
      <c r="G1578" s="477">
        <v>109787639.35590759</v>
      </c>
      <c r="H1578" s="458">
        <v>0.26818787887603124</v>
      </c>
      <c r="I1578" s="468">
        <v>7.431163768555443</v>
      </c>
    </row>
    <row r="1579" spans="1:9" ht="16.5" x14ac:dyDescent="0.3">
      <c r="A1579" s="477">
        <v>5671463.3778663892</v>
      </c>
      <c r="B1579" s="458">
        <v>5.8095464294104948E-2</v>
      </c>
      <c r="C1579" s="477">
        <v>8865519.1725623328</v>
      </c>
      <c r="D1579" s="458">
        <v>6.441730183845884E-2</v>
      </c>
      <c r="E1579" s="477">
        <v>12603449.511118425</v>
      </c>
      <c r="F1579" s="458">
        <v>0.1070278697945215</v>
      </c>
      <c r="G1579" s="477">
        <v>85838160.347324133</v>
      </c>
      <c r="H1579" s="458">
        <v>0.25572809142486275</v>
      </c>
      <c r="I1579" s="468">
        <v>4.6861155518588431</v>
      </c>
    </row>
    <row r="1580" spans="1:9" ht="16.5" x14ac:dyDescent="0.3">
      <c r="A1580" s="477">
        <v>5770938.2942385543</v>
      </c>
      <c r="B1580" s="458">
        <v>3.185828322877704E-2</v>
      </c>
      <c r="C1580" s="477">
        <v>6050886.0454428913</v>
      </c>
      <c r="D1580" s="458">
        <v>5.2603096908828251E-2</v>
      </c>
      <c r="E1580" s="477">
        <v>22645152.294749755</v>
      </c>
      <c r="F1580" s="458">
        <v>0.10180548158036884</v>
      </c>
      <c r="G1580" s="477">
        <v>89187413.399035603</v>
      </c>
      <c r="H1580" s="458">
        <v>0.26517493505634393</v>
      </c>
      <c r="I1580" s="468">
        <v>10.964127389562131</v>
      </c>
    </row>
    <row r="1581" spans="1:9" ht="16.5" x14ac:dyDescent="0.3">
      <c r="A1581" s="477">
        <v>1140386.4287106434</v>
      </c>
      <c r="B1581" s="458">
        <v>3.9134753342427109E-2</v>
      </c>
      <c r="C1581" s="477">
        <v>2087685.1031570178</v>
      </c>
      <c r="D1581" s="458">
        <v>7.986613085272487E-2</v>
      </c>
      <c r="E1581" s="477">
        <v>12690242.214398129</v>
      </c>
      <c r="F1581" s="458">
        <v>9.0764200425838659E-2</v>
      </c>
      <c r="G1581" s="477">
        <v>84001359.663075998</v>
      </c>
      <c r="H1581" s="458">
        <v>0.30040163375114948</v>
      </c>
      <c r="I1581" s="468">
        <v>2.8294833302015299</v>
      </c>
    </row>
    <row r="1582" spans="1:9" ht="16.5" x14ac:dyDescent="0.3">
      <c r="A1582" s="477">
        <v>3137270.6220204015</v>
      </c>
      <c r="B1582" s="458">
        <v>2.2843877362937137E-2</v>
      </c>
      <c r="C1582" s="477">
        <v>9843873.046508098</v>
      </c>
      <c r="D1582" s="458">
        <v>5.6895011369830994E-2</v>
      </c>
      <c r="E1582" s="477">
        <v>13080099.441509284</v>
      </c>
      <c r="F1582" s="458">
        <v>0.11323901695191174</v>
      </c>
      <c r="G1582" s="477">
        <v>90930933.586524278</v>
      </c>
      <c r="H1582" s="458">
        <v>0.28093986820981764</v>
      </c>
      <c r="I1582" s="468">
        <v>11.186578978325885</v>
      </c>
    </row>
    <row r="1583" spans="1:9" ht="16.5" x14ac:dyDescent="0.3">
      <c r="A1583" s="477">
        <v>3504815.9067883226</v>
      </c>
      <c r="B1583" s="458">
        <v>4.6304100128676362E-2</v>
      </c>
      <c r="C1583" s="477">
        <v>8476779.5625482854</v>
      </c>
      <c r="D1583" s="458">
        <v>5.2019233729017511E-2</v>
      </c>
      <c r="E1583" s="477">
        <v>11163238.538626306</v>
      </c>
      <c r="F1583" s="458">
        <v>9.0476788743709013E-2</v>
      </c>
      <c r="G1583" s="477">
        <v>97157019.528865695</v>
      </c>
      <c r="H1583" s="458">
        <v>0.25395612032219561</v>
      </c>
      <c r="I1583" s="468">
        <v>0.29944648967221088</v>
      </c>
    </row>
    <row r="1584" spans="1:9" ht="16.5" x14ac:dyDescent="0.3">
      <c r="A1584" s="477">
        <v>7831527.1424034741</v>
      </c>
      <c r="B1584" s="458">
        <v>7.8097598263743073E-2</v>
      </c>
      <c r="C1584" s="477">
        <v>8910227.6916447114</v>
      </c>
      <c r="D1584" s="458">
        <v>0.10432526493153849</v>
      </c>
      <c r="E1584" s="477">
        <v>17707921.314693704</v>
      </c>
      <c r="F1584" s="458">
        <v>0.11034093620499141</v>
      </c>
      <c r="G1584" s="477">
        <v>74969357.233446956</v>
      </c>
      <c r="H1584" s="458">
        <v>0.25861249034249933</v>
      </c>
      <c r="I1584" s="468">
        <v>5.5007036631437458</v>
      </c>
    </row>
    <row r="1585" spans="1:9" ht="16.5" x14ac:dyDescent="0.3">
      <c r="A1585" s="477">
        <v>5572645.3280977234</v>
      </c>
      <c r="B1585" s="458">
        <v>4.5868834878602049E-2</v>
      </c>
      <c r="C1585" s="477">
        <v>11977484.247962639</v>
      </c>
      <c r="D1585" s="458">
        <v>1.0882299757103864E-2</v>
      </c>
      <c r="E1585" s="477">
        <v>12197334.602734216</v>
      </c>
      <c r="F1585" s="458">
        <v>0.1096599390841515</v>
      </c>
      <c r="G1585" s="477">
        <v>94828810.216409191</v>
      </c>
      <c r="H1585" s="458">
        <v>0.28676098904241831</v>
      </c>
      <c r="I1585" s="468">
        <v>5.9492314500758781</v>
      </c>
    </row>
    <row r="1586" spans="1:9" ht="16.5" x14ac:dyDescent="0.3">
      <c r="A1586" s="477">
        <v>1324853.6212330903</v>
      </c>
      <c r="B1586" s="458">
        <v>4.2030056681751304E-2</v>
      </c>
      <c r="C1586" s="477">
        <v>13322683.707563374</v>
      </c>
      <c r="D1586" s="458">
        <v>3.0906824950544864E-2</v>
      </c>
      <c r="E1586" s="477">
        <v>11160099.777237425</v>
      </c>
      <c r="F1586" s="458">
        <v>0.11469474366312582</v>
      </c>
      <c r="G1586" s="477">
        <v>92731053.225236222</v>
      </c>
      <c r="H1586" s="458">
        <v>0.26525352046892992</v>
      </c>
      <c r="I1586" s="468">
        <v>4.3274795426148387</v>
      </c>
    </row>
    <row r="1587" spans="1:9" ht="16.5" x14ac:dyDescent="0.3">
      <c r="A1587" s="477">
        <v>3528680.5827625217</v>
      </c>
      <c r="B1587" s="458">
        <v>3.2601191938541829E-2</v>
      </c>
      <c r="C1587" s="477">
        <v>11756853.347304121</v>
      </c>
      <c r="D1587" s="458">
        <v>5.5070395710401066E-2</v>
      </c>
      <c r="E1587" s="477">
        <v>15645487.292174861</v>
      </c>
      <c r="F1587" s="458">
        <v>0.11598999082447792</v>
      </c>
      <c r="G1587" s="477">
        <v>89994564.19685775</v>
      </c>
      <c r="H1587" s="458">
        <v>0.25021855437710783</v>
      </c>
      <c r="I1587" s="468">
        <v>9.3583686051721369</v>
      </c>
    </row>
    <row r="1588" spans="1:9" ht="16.5" x14ac:dyDescent="0.3">
      <c r="A1588" s="477">
        <v>2431612.6265794151</v>
      </c>
      <c r="B1588" s="458">
        <v>3.2491286890710125E-2</v>
      </c>
      <c r="C1588" s="477">
        <v>12078616.430562435</v>
      </c>
      <c r="D1588" s="458">
        <v>7.7262957071464466E-2</v>
      </c>
      <c r="E1588" s="477">
        <v>16158908.537486723</v>
      </c>
      <c r="F1588" s="458">
        <v>9.2021432618603294E-2</v>
      </c>
      <c r="G1588" s="477">
        <v>69766321.139156371</v>
      </c>
      <c r="H1588" s="458">
        <v>0.27309816412049859</v>
      </c>
      <c r="I1588" s="468">
        <v>11.919047106489213</v>
      </c>
    </row>
    <row r="1589" spans="1:9" ht="16.5" x14ac:dyDescent="0.3">
      <c r="A1589" s="477">
        <v>1914293.3137540487</v>
      </c>
      <c r="B1589" s="458">
        <v>4.0148595906099427E-2</v>
      </c>
      <c r="C1589" s="477">
        <v>8085817.4823019076</v>
      </c>
      <c r="D1589" s="458">
        <v>7.7507673089828089E-2</v>
      </c>
      <c r="E1589" s="477">
        <v>14354149.528170632</v>
      </c>
      <c r="F1589" s="458">
        <v>0.10955010274357391</v>
      </c>
      <c r="G1589" s="477">
        <v>99985270.441636726</v>
      </c>
      <c r="H1589" s="458">
        <v>0.26757613208922404</v>
      </c>
      <c r="I1589" s="468">
        <v>1.7018964654171693</v>
      </c>
    </row>
    <row r="1590" spans="1:9" ht="16.5" x14ac:dyDescent="0.3">
      <c r="A1590" s="477">
        <v>5445528.9796528658</v>
      </c>
      <c r="B1590" s="458">
        <v>6.3183566781101597E-2</v>
      </c>
      <c r="C1590" s="477">
        <v>4761391.6275322698</v>
      </c>
      <c r="D1590" s="458">
        <v>5.7073126958487652E-2</v>
      </c>
      <c r="E1590" s="477">
        <v>22903576.906286381</v>
      </c>
      <c r="F1590" s="458">
        <v>9.8450812551180711E-2</v>
      </c>
      <c r="G1590" s="477">
        <v>99594655.761428252</v>
      </c>
      <c r="H1590" s="458">
        <v>0.26510529193601462</v>
      </c>
      <c r="I1590" s="468">
        <v>6.9315340931972198</v>
      </c>
    </row>
    <row r="1591" spans="1:9" ht="16.5" x14ac:dyDescent="0.3">
      <c r="A1591" s="477">
        <v>7073525.5014049485</v>
      </c>
      <c r="B1591" s="458">
        <v>2.9523724647413818E-2</v>
      </c>
      <c r="C1591" s="477">
        <v>8706919.7227743957</v>
      </c>
      <c r="D1591" s="458">
        <v>6.0267584696344523E-2</v>
      </c>
      <c r="E1591" s="477">
        <v>18687729.672097702</v>
      </c>
      <c r="F1591" s="458">
        <v>0.14631110129771185</v>
      </c>
      <c r="G1591" s="477">
        <v>72034247.407108381</v>
      </c>
      <c r="H1591" s="458">
        <v>0.26202131111968785</v>
      </c>
      <c r="I1591" s="468">
        <v>10.301389023630033</v>
      </c>
    </row>
    <row r="1592" spans="1:9" ht="16.5" x14ac:dyDescent="0.3">
      <c r="A1592" s="477">
        <v>1644112.4792305916</v>
      </c>
      <c r="B1592" s="458">
        <v>2.931007221842008E-2</v>
      </c>
      <c r="C1592" s="477">
        <v>7338892.4370002858</v>
      </c>
      <c r="D1592" s="458">
        <v>7.9684192412510901E-2</v>
      </c>
      <c r="E1592" s="477">
        <v>11210049.224188065</v>
      </c>
      <c r="F1592" s="458">
        <v>0.12597334680133043</v>
      </c>
      <c r="G1592" s="477">
        <v>86399582.11093466</v>
      </c>
      <c r="H1592" s="458">
        <v>0.2620594201637223</v>
      </c>
      <c r="I1592" s="468">
        <v>8.5103210945188508</v>
      </c>
    </row>
    <row r="1593" spans="1:9" ht="16.5" x14ac:dyDescent="0.3">
      <c r="A1593" s="477">
        <v>2997695.090495639</v>
      </c>
      <c r="B1593" s="458">
        <v>1.5529980567863255E-2</v>
      </c>
      <c r="C1593" s="477">
        <v>8995573.9778959118</v>
      </c>
      <c r="D1593" s="458">
        <v>7.841571213116949E-2</v>
      </c>
      <c r="E1593" s="477">
        <v>13218973.05354527</v>
      </c>
      <c r="F1593" s="458">
        <v>0.11540171122302478</v>
      </c>
      <c r="G1593" s="477">
        <v>94487561.92032516</v>
      </c>
      <c r="H1593" s="458">
        <v>0.27380116233493657</v>
      </c>
      <c r="I1593" s="468">
        <v>10.519493578878837</v>
      </c>
    </row>
    <row r="1594" spans="1:9" ht="16.5" x14ac:dyDescent="0.3">
      <c r="A1594" s="477">
        <v>5668191.7112178355</v>
      </c>
      <c r="B1594" s="458">
        <v>4.3683310649018647E-2</v>
      </c>
      <c r="C1594" s="477">
        <v>7194009.3645022595</v>
      </c>
      <c r="D1594" s="458">
        <v>5.9211210795549807E-2</v>
      </c>
      <c r="E1594" s="477">
        <v>15963842.026946591</v>
      </c>
      <c r="F1594" s="458">
        <v>0.11929358365929676</v>
      </c>
      <c r="G1594" s="477">
        <v>98391691.068507001</v>
      </c>
      <c r="H1594" s="458">
        <v>0.26286024409596709</v>
      </c>
      <c r="I1594" s="468">
        <v>10.196959724629924</v>
      </c>
    </row>
    <row r="1595" spans="1:9" ht="16.5" x14ac:dyDescent="0.3">
      <c r="A1595" s="477">
        <v>5091410.4155885465</v>
      </c>
      <c r="B1595" s="458">
        <v>2.8598988053827323E-2</v>
      </c>
      <c r="C1595" s="477">
        <v>5122283.8354487037</v>
      </c>
      <c r="D1595" s="458">
        <v>5.4557608284702352E-2</v>
      </c>
      <c r="E1595" s="477">
        <v>14341251.370752152</v>
      </c>
      <c r="F1595" s="458">
        <v>0.12295829228495636</v>
      </c>
      <c r="G1595" s="477">
        <v>100376235.32304032</v>
      </c>
      <c r="H1595" s="458">
        <v>0.26105655041049336</v>
      </c>
      <c r="I1595" s="468">
        <v>6.3996788508089422</v>
      </c>
    </row>
    <row r="1596" spans="1:9" ht="16.5" x14ac:dyDescent="0.3">
      <c r="A1596" s="477">
        <v>4655586.450846999</v>
      </c>
      <c r="B1596" s="458">
        <v>6.1896966826962219E-2</v>
      </c>
      <c r="C1596" s="477">
        <v>7630380.4241749449</v>
      </c>
      <c r="D1596" s="458">
        <v>5.8333469236506952E-2</v>
      </c>
      <c r="E1596" s="477">
        <v>10109014.094192516</v>
      </c>
      <c r="F1596" s="458">
        <v>0.11673336071806784</v>
      </c>
      <c r="G1596" s="477">
        <v>88830907.065903232</v>
      </c>
      <c r="H1596" s="458">
        <v>0.26775492190501993</v>
      </c>
      <c r="I1596" s="468">
        <v>5.6027034206046311</v>
      </c>
    </row>
    <row r="1597" spans="1:9" ht="16.5" x14ac:dyDescent="0.3">
      <c r="A1597" s="477">
        <v>3963853.7788944431</v>
      </c>
      <c r="B1597" s="458">
        <v>4.9967531333562798E-2</v>
      </c>
      <c r="C1597" s="477">
        <v>1221413.4887349708</v>
      </c>
      <c r="D1597" s="458">
        <v>5.7024510834814635E-2</v>
      </c>
      <c r="E1597" s="477">
        <v>10326252.060988097</v>
      </c>
      <c r="F1597" s="458">
        <v>0.11907061664181917</v>
      </c>
      <c r="G1597" s="477">
        <v>94543545.859396055</v>
      </c>
      <c r="H1597" s="458">
        <v>0.2795500691614885</v>
      </c>
      <c r="I1597" s="468">
        <v>8.2661765601050874</v>
      </c>
    </row>
    <row r="1598" spans="1:9" ht="16.5" x14ac:dyDescent="0.3">
      <c r="A1598" s="477">
        <v>4690954.4963554032</v>
      </c>
      <c r="B1598" s="458">
        <v>2.7491902072147356E-2</v>
      </c>
      <c r="C1598" s="477">
        <v>15175871.417797904</v>
      </c>
      <c r="D1598" s="458">
        <v>6.2175589407416743E-2</v>
      </c>
      <c r="E1598" s="477">
        <v>21610481.339457035</v>
      </c>
      <c r="F1598" s="458">
        <v>0.10963427986154328</v>
      </c>
      <c r="G1598" s="477">
        <v>90214625.811913207</v>
      </c>
      <c r="H1598" s="458">
        <v>0.26491223672002517</v>
      </c>
      <c r="I1598" s="468">
        <v>14.596819241658281</v>
      </c>
    </row>
    <row r="1599" spans="1:9" ht="16.5" x14ac:dyDescent="0.3">
      <c r="A1599" s="477">
        <v>3191279.0274830875</v>
      </c>
      <c r="B1599" s="458">
        <v>3.4224826811713349E-2</v>
      </c>
      <c r="C1599" s="477">
        <v>3450245.7805127739</v>
      </c>
      <c r="D1599" s="458">
        <v>4.7690899010034649E-2</v>
      </c>
      <c r="E1599" s="477">
        <v>20095349.977316912</v>
      </c>
      <c r="F1599" s="458">
        <v>9.0358960451456971E-2</v>
      </c>
      <c r="G1599" s="477">
        <v>90727019.323701069</v>
      </c>
      <c r="H1599" s="458">
        <v>0.27733459364140201</v>
      </c>
      <c r="I1599" s="468">
        <v>8.1964031800332187</v>
      </c>
    </row>
    <row r="1600" spans="1:9" ht="16.5" x14ac:dyDescent="0.3">
      <c r="A1600" s="477">
        <v>1302767.6065769508</v>
      </c>
      <c r="B1600" s="458">
        <v>1.0219809398275492E-2</v>
      </c>
      <c r="C1600" s="477">
        <v>5514744.7745915186</v>
      </c>
      <c r="D1600" s="458">
        <v>7.7265279776212115E-2</v>
      </c>
      <c r="E1600" s="477">
        <v>24955859.4940181</v>
      </c>
      <c r="F1600" s="458">
        <v>0.12837338434273993</v>
      </c>
      <c r="G1600" s="477">
        <v>98907710.544986442</v>
      </c>
      <c r="H1600" s="458">
        <v>0.29496127900717628</v>
      </c>
      <c r="I1600" s="468">
        <v>-0.52446036528367657</v>
      </c>
    </row>
    <row r="1601" spans="1:9" ht="16.5" x14ac:dyDescent="0.3">
      <c r="A1601" s="477">
        <v>6907088.7269581789</v>
      </c>
      <c r="B1601" s="458">
        <v>3.0743089742254481E-2</v>
      </c>
      <c r="C1601" s="477">
        <v>12088662.079069577</v>
      </c>
      <c r="D1601" s="458">
        <v>4.1292193124963017E-2</v>
      </c>
      <c r="E1601" s="477">
        <v>14231203.074626392</v>
      </c>
      <c r="F1601" s="458">
        <v>0.11191108653270554</v>
      </c>
      <c r="G1601" s="477">
        <v>92841775.043116674</v>
      </c>
      <c r="H1601" s="458">
        <v>0.28846319172840729</v>
      </c>
      <c r="I1601" s="468">
        <v>9.2366264273431256</v>
      </c>
    </row>
    <row r="1602" spans="1:9" ht="16.5" x14ac:dyDescent="0.3">
      <c r="A1602" s="477">
        <v>9106946.3784192055</v>
      </c>
      <c r="B1602" s="458">
        <v>4.0674178146510531E-2</v>
      </c>
      <c r="C1602" s="477">
        <v>13258740.073305588</v>
      </c>
      <c r="D1602" s="458">
        <v>5.9665573968658903E-2</v>
      </c>
      <c r="E1602" s="477">
        <v>11832667.149506453</v>
      </c>
      <c r="F1602" s="458">
        <v>0.11118186871645164</v>
      </c>
      <c r="G1602" s="477">
        <v>82898797.877584785</v>
      </c>
      <c r="H1602" s="458">
        <v>0.28834606500115711</v>
      </c>
      <c r="I1602" s="468">
        <v>4.0290462834798335</v>
      </c>
    </row>
    <row r="1603" spans="1:9" ht="16.5" x14ac:dyDescent="0.3">
      <c r="A1603" s="477">
        <v>3866975.9782777382</v>
      </c>
      <c r="B1603" s="458">
        <v>5.7456645782860694E-2</v>
      </c>
      <c r="C1603" s="477">
        <v>11384957.01129722</v>
      </c>
      <c r="D1603" s="458">
        <v>8.2140909637080206E-2</v>
      </c>
      <c r="E1603" s="477">
        <v>19545827.843915895</v>
      </c>
      <c r="F1603" s="458">
        <v>0.1143803070833207</v>
      </c>
      <c r="G1603" s="477">
        <v>88005589.186995834</v>
      </c>
      <c r="H1603" s="458">
        <v>0.26524188144064298</v>
      </c>
      <c r="I1603" s="468">
        <v>8.1391203642991865</v>
      </c>
    </row>
    <row r="1604" spans="1:9" ht="16.5" x14ac:dyDescent="0.3">
      <c r="A1604" s="477">
        <v>4018425.3097959477</v>
      </c>
      <c r="B1604" s="458">
        <v>3.6478390186885923E-2</v>
      </c>
      <c r="C1604" s="477">
        <v>13609125.99038426</v>
      </c>
      <c r="D1604" s="458">
        <v>7.791439151617463E-2</v>
      </c>
      <c r="E1604" s="477">
        <v>23675712.618530229</v>
      </c>
      <c r="F1604" s="458">
        <v>0.12941297060011614</v>
      </c>
      <c r="G1604" s="477">
        <v>76824536.8534863</v>
      </c>
      <c r="H1604" s="458">
        <v>0.26733636562754604</v>
      </c>
      <c r="I1604" s="468">
        <v>10.002940928436201</v>
      </c>
    </row>
    <row r="1605" spans="1:9" ht="16.5" x14ac:dyDescent="0.3">
      <c r="A1605" s="477">
        <v>5130528.406378028</v>
      </c>
      <c r="B1605" s="458">
        <v>3.9718717913588497E-2</v>
      </c>
      <c r="C1605" s="477">
        <v>390152.51800207194</v>
      </c>
      <c r="D1605" s="458">
        <v>7.2934968861755989E-2</v>
      </c>
      <c r="E1605" s="477">
        <v>22202872.795405995</v>
      </c>
      <c r="F1605" s="458">
        <v>0.11927661762614661</v>
      </c>
      <c r="G1605" s="477">
        <v>81605831.180607617</v>
      </c>
      <c r="H1605" s="458">
        <v>0.32397644390668789</v>
      </c>
      <c r="I1605" s="468">
        <v>9.016982534139748</v>
      </c>
    </row>
    <row r="1606" spans="1:9" ht="16.5" x14ac:dyDescent="0.3">
      <c r="A1606" s="477">
        <v>5276474.0433367258</v>
      </c>
      <c r="B1606" s="458">
        <v>6.8647529931499029E-2</v>
      </c>
      <c r="C1606" s="477">
        <v>2218566.420956464</v>
      </c>
      <c r="D1606" s="458">
        <v>6.7028352946184366E-2</v>
      </c>
      <c r="E1606" s="477">
        <v>19136590.19573611</v>
      </c>
      <c r="F1606" s="458">
        <v>0.15573737316111824</v>
      </c>
      <c r="G1606" s="477">
        <v>89444409.916611686</v>
      </c>
      <c r="H1606" s="458">
        <v>0.25273983335275396</v>
      </c>
      <c r="I1606" s="468">
        <v>4.9038442826689419</v>
      </c>
    </row>
    <row r="1607" spans="1:9" ht="16.5" x14ac:dyDescent="0.3">
      <c r="A1607" s="477">
        <v>1034260.6283981735</v>
      </c>
      <c r="B1607" s="458">
        <v>2.6642195290745851E-2</v>
      </c>
      <c r="C1607" s="477">
        <v>8565227.857936129</v>
      </c>
      <c r="D1607" s="458">
        <v>8.5526601020779136E-2</v>
      </c>
      <c r="E1607" s="477">
        <v>16363915.91249611</v>
      </c>
      <c r="F1607" s="458">
        <v>9.6667978051494297E-2</v>
      </c>
      <c r="G1607" s="477">
        <v>76381463.712862715</v>
      </c>
      <c r="H1607" s="458">
        <v>0.27300224167397191</v>
      </c>
      <c r="I1607" s="468">
        <v>10.159489186967768</v>
      </c>
    </row>
    <row r="1608" spans="1:9" ht="16.5" x14ac:dyDescent="0.3">
      <c r="A1608" s="477">
        <v>3899785.0949875051</v>
      </c>
      <c r="B1608" s="458">
        <v>4.0130508939579368E-2</v>
      </c>
      <c r="C1608" s="477">
        <v>11627500.122199131</v>
      </c>
      <c r="D1608" s="458">
        <v>5.9138067456109278E-2</v>
      </c>
      <c r="E1608" s="477">
        <v>22502742.113383066</v>
      </c>
      <c r="F1608" s="458">
        <v>0.10560534397795496</v>
      </c>
      <c r="G1608" s="477">
        <v>95539028.372170419</v>
      </c>
      <c r="H1608" s="458">
        <v>0.2668832223189721</v>
      </c>
      <c r="I1608" s="468">
        <v>14.026095426037278</v>
      </c>
    </row>
    <row r="1609" spans="1:9" ht="16.5" x14ac:dyDescent="0.3">
      <c r="A1609" s="477">
        <v>5742772.8796478696</v>
      </c>
      <c r="B1609" s="458">
        <v>4.0051224270027719E-2</v>
      </c>
      <c r="C1609" s="477">
        <v>6650045.8702713996</v>
      </c>
      <c r="D1609" s="458">
        <v>8.7386817860868327E-2</v>
      </c>
      <c r="E1609" s="477">
        <v>11017456.877255078</v>
      </c>
      <c r="F1609" s="458">
        <v>0.10346184246953261</v>
      </c>
      <c r="G1609" s="477">
        <v>87072919.105133697</v>
      </c>
      <c r="H1609" s="458">
        <v>0.26590640812850053</v>
      </c>
      <c r="I1609" s="468">
        <v>13.090644579099706</v>
      </c>
    </row>
    <row r="1610" spans="1:9" ht="16.5" x14ac:dyDescent="0.3">
      <c r="A1610" s="477">
        <v>6524522.7293986501</v>
      </c>
      <c r="B1610" s="458">
        <v>4.7586154569835726E-2</v>
      </c>
      <c r="C1610" s="477">
        <v>4242031.2888913322</v>
      </c>
      <c r="D1610" s="458">
        <v>9.8348725830026629E-2</v>
      </c>
      <c r="E1610" s="477">
        <v>18559907.371295884</v>
      </c>
      <c r="F1610" s="458">
        <v>0.10838853459785258</v>
      </c>
      <c r="G1610" s="477">
        <v>76740917.17285201</v>
      </c>
      <c r="H1610" s="458">
        <v>0.26744088283473455</v>
      </c>
      <c r="I1610" s="468">
        <v>9.6307270749230653</v>
      </c>
    </row>
    <row r="1611" spans="1:9" ht="16.5" x14ac:dyDescent="0.3">
      <c r="A1611" s="477">
        <v>8998528.4519345574</v>
      </c>
      <c r="B1611" s="458">
        <v>3.0470667186728306E-2</v>
      </c>
      <c r="C1611" s="477">
        <v>11091898.874610428</v>
      </c>
      <c r="D1611" s="458">
        <v>6.759697022317801E-2</v>
      </c>
      <c r="E1611" s="477">
        <v>15977610.854502285</v>
      </c>
      <c r="F1611" s="458">
        <v>0.12213079381383429</v>
      </c>
      <c r="G1611" s="477">
        <v>90009533.691977218</v>
      </c>
      <c r="H1611" s="458">
        <v>0.29386308638246028</v>
      </c>
      <c r="I1611" s="468">
        <v>6.1866765764737375</v>
      </c>
    </row>
    <row r="1612" spans="1:9" ht="16.5" x14ac:dyDescent="0.3">
      <c r="A1612" s="477">
        <v>7006133.2230496975</v>
      </c>
      <c r="B1612" s="458">
        <v>3.7720370281215443E-2</v>
      </c>
      <c r="C1612" s="477">
        <v>6237478.1917352043</v>
      </c>
      <c r="D1612" s="458">
        <v>4.1512709720568752E-2</v>
      </c>
      <c r="E1612" s="477">
        <v>12511077.504550049</v>
      </c>
      <c r="F1612" s="458">
        <v>8.2723898796052575E-2</v>
      </c>
      <c r="G1612" s="477">
        <v>84533477.501623914</v>
      </c>
      <c r="H1612" s="458">
        <v>0.29491473587184802</v>
      </c>
      <c r="I1612" s="468">
        <v>12.26008683901712</v>
      </c>
    </row>
    <row r="1613" spans="1:9" ht="16.5" x14ac:dyDescent="0.3">
      <c r="A1613" s="477">
        <v>997575.63920707779</v>
      </c>
      <c r="B1613" s="458">
        <v>5.930820053357988E-2</v>
      </c>
      <c r="C1613" s="477">
        <v>8287159.9839508552</v>
      </c>
      <c r="D1613" s="458">
        <v>3.4949238202032662E-2</v>
      </c>
      <c r="E1613" s="477">
        <v>17291477.615844823</v>
      </c>
      <c r="F1613" s="458">
        <v>0.10775535507351219</v>
      </c>
      <c r="G1613" s="477">
        <v>85839630.150930852</v>
      </c>
      <c r="H1613" s="458">
        <v>0.26070678232486211</v>
      </c>
      <c r="I1613" s="468">
        <v>13.973607301771825</v>
      </c>
    </row>
    <row r="1614" spans="1:9" ht="16.5" x14ac:dyDescent="0.3">
      <c r="A1614" s="477">
        <v>6091534.6738026924</v>
      </c>
      <c r="B1614" s="458">
        <v>3.2545307596371087E-2</v>
      </c>
      <c r="C1614" s="477">
        <v>7181374.2741615903</v>
      </c>
      <c r="D1614" s="458">
        <v>6.0683687578961809E-2</v>
      </c>
      <c r="E1614" s="477">
        <v>7570232.6858847048</v>
      </c>
      <c r="F1614" s="458">
        <v>9.8643277076825076E-2</v>
      </c>
      <c r="G1614" s="477">
        <v>91722824.47322157</v>
      </c>
      <c r="H1614" s="458">
        <v>0.24649859337950075</v>
      </c>
      <c r="I1614" s="468">
        <v>5.8049317017465114</v>
      </c>
    </row>
    <row r="1615" spans="1:9" ht="16.5" x14ac:dyDescent="0.3">
      <c r="A1615" s="477">
        <v>4989408.6404684102</v>
      </c>
      <c r="B1615" s="458">
        <v>3.9722174472660576E-2</v>
      </c>
      <c r="C1615" s="477">
        <v>5238051.0993955983</v>
      </c>
      <c r="D1615" s="458">
        <v>4.520125114778617E-2</v>
      </c>
      <c r="E1615" s="477">
        <v>15862335.874968551</v>
      </c>
      <c r="F1615" s="458">
        <v>0.10777017806831068</v>
      </c>
      <c r="G1615" s="477">
        <v>92709797.71637629</v>
      </c>
      <c r="H1615" s="458">
        <v>0.25362454871086992</v>
      </c>
      <c r="I1615" s="468">
        <v>10.08592680890526</v>
      </c>
    </row>
    <row r="1616" spans="1:9" ht="16.5" x14ac:dyDescent="0.3">
      <c r="A1616" s="477">
        <v>5275924.6231978489</v>
      </c>
      <c r="B1616" s="458">
        <v>1.9572942968756335E-2</v>
      </c>
      <c r="C1616" s="477">
        <v>11318475.144718019</v>
      </c>
      <c r="D1616" s="458">
        <v>2.6117846646120491E-2</v>
      </c>
      <c r="E1616" s="477">
        <v>14592861.579330478</v>
      </c>
      <c r="F1616" s="458">
        <v>8.725730798161857E-2</v>
      </c>
      <c r="G1616" s="477">
        <v>89125220.295745358</v>
      </c>
      <c r="H1616" s="458">
        <v>0.27550513331981241</v>
      </c>
      <c r="I1616" s="468">
        <v>6.5400731856465812</v>
      </c>
    </row>
    <row r="1617" spans="1:9" ht="16.5" x14ac:dyDescent="0.3">
      <c r="A1617" s="477">
        <v>9431548.6625869535</v>
      </c>
      <c r="B1617" s="458">
        <v>4.0936685694040076E-2</v>
      </c>
      <c r="C1617" s="477">
        <v>10729729.137594072</v>
      </c>
      <c r="D1617" s="458">
        <v>6.2219242078926706E-2</v>
      </c>
      <c r="E1617" s="477">
        <v>11670662.877222406</v>
      </c>
      <c r="F1617" s="458">
        <v>0.10308998608065867</v>
      </c>
      <c r="G1617" s="477">
        <v>95433804.789164051</v>
      </c>
      <c r="H1617" s="458">
        <v>0.26273852431822031</v>
      </c>
      <c r="I1617" s="468">
        <v>7.5175811393627878</v>
      </c>
    </row>
    <row r="1618" spans="1:9" ht="16.5" x14ac:dyDescent="0.3">
      <c r="A1618" s="477">
        <v>6043303.3128242576</v>
      </c>
      <c r="B1618" s="458">
        <v>3.918922098650035E-2</v>
      </c>
      <c r="C1618" s="477">
        <v>9236868.0238468591</v>
      </c>
      <c r="D1618" s="458">
        <v>2.6529519415519731E-2</v>
      </c>
      <c r="E1618" s="477">
        <v>17504452.213992752</v>
      </c>
      <c r="F1618" s="458">
        <v>0.12743917927421045</v>
      </c>
      <c r="G1618" s="477">
        <v>92242422.425763488</v>
      </c>
      <c r="H1618" s="458">
        <v>0.25932053985852432</v>
      </c>
      <c r="I1618" s="468">
        <v>17.522001790044797</v>
      </c>
    </row>
    <row r="1619" spans="1:9" ht="16.5" x14ac:dyDescent="0.3">
      <c r="A1619" s="477">
        <v>1944139.8619372039</v>
      </c>
      <c r="B1619" s="458">
        <v>4.9858985083018004E-2</v>
      </c>
      <c r="C1619" s="477">
        <v>5252863.7434511492</v>
      </c>
      <c r="D1619" s="458">
        <v>7.1919051167787185E-2</v>
      </c>
      <c r="E1619" s="477">
        <v>24293654.242822457</v>
      </c>
      <c r="F1619" s="458">
        <v>0.10590569414730555</v>
      </c>
      <c r="G1619" s="477">
        <v>104997607.39885612</v>
      </c>
      <c r="H1619" s="458">
        <v>0.2824341656963425</v>
      </c>
      <c r="I1619" s="468">
        <v>10.569326744651494</v>
      </c>
    </row>
    <row r="1620" spans="1:9" ht="16.5" x14ac:dyDescent="0.3">
      <c r="A1620" s="477">
        <v>11266504.480344001</v>
      </c>
      <c r="B1620" s="458">
        <v>6.4290818872414501E-2</v>
      </c>
      <c r="C1620" s="477">
        <v>-1337827.0478350301</v>
      </c>
      <c r="D1620" s="458">
        <v>4.9744064026274737E-2</v>
      </c>
      <c r="E1620" s="477">
        <v>21510775.938184232</v>
      </c>
      <c r="F1620" s="458">
        <v>0.1390281779321576</v>
      </c>
      <c r="G1620" s="477">
        <v>81812175.849187672</v>
      </c>
      <c r="H1620" s="458">
        <v>0.2627263323508362</v>
      </c>
      <c r="I1620" s="468">
        <v>11.747275030885483</v>
      </c>
    </row>
    <row r="1621" spans="1:9" ht="16.5" x14ac:dyDescent="0.3">
      <c r="A1621" s="477">
        <v>3051537.5261903098</v>
      </c>
      <c r="B1621" s="458">
        <v>6.3973299858004928E-2</v>
      </c>
      <c r="C1621" s="477">
        <v>8448855.8303991687</v>
      </c>
      <c r="D1621" s="458">
        <v>5.0038990256633831E-2</v>
      </c>
      <c r="E1621" s="477">
        <v>14117310.287677111</v>
      </c>
      <c r="F1621" s="458">
        <v>8.5963446739456995E-2</v>
      </c>
      <c r="G1621" s="477">
        <v>94483782.11043027</v>
      </c>
      <c r="H1621" s="458">
        <v>0.26855065526438038</v>
      </c>
      <c r="I1621" s="468">
        <v>10.314708953399371</v>
      </c>
    </row>
    <row r="1622" spans="1:9" ht="16.5" x14ac:dyDescent="0.3">
      <c r="A1622" s="477">
        <v>1003899.4553362094</v>
      </c>
      <c r="B1622" s="458">
        <v>3.2128335805521102E-2</v>
      </c>
      <c r="C1622" s="477">
        <v>8943482.9675475154</v>
      </c>
      <c r="D1622" s="458">
        <v>5.8346794808165292E-2</v>
      </c>
      <c r="E1622" s="477">
        <v>18693048.946445871</v>
      </c>
      <c r="F1622" s="458">
        <v>0.10048834243009619</v>
      </c>
      <c r="G1622" s="477">
        <v>83750047.061516613</v>
      </c>
      <c r="H1622" s="458">
        <v>0.26949464784903054</v>
      </c>
      <c r="I1622" s="468">
        <v>5.0047999978958337</v>
      </c>
    </row>
    <row r="1623" spans="1:9" ht="16.5" x14ac:dyDescent="0.3">
      <c r="A1623" s="477">
        <v>4796700.628891632</v>
      </c>
      <c r="B1623" s="458">
        <v>3.9419558218276585E-2</v>
      </c>
      <c r="C1623" s="477">
        <v>3445511.2849466442</v>
      </c>
      <c r="D1623" s="458">
        <v>7.2350812279291965E-2</v>
      </c>
      <c r="E1623" s="477">
        <v>15172705.378747884</v>
      </c>
      <c r="F1623" s="458">
        <v>0.1000093584951891</v>
      </c>
      <c r="G1623" s="477">
        <v>91207094.9350425</v>
      </c>
      <c r="H1623" s="458">
        <v>0.28952995390899372</v>
      </c>
      <c r="I1623" s="468">
        <v>11.117987250471167</v>
      </c>
    </row>
    <row r="1624" spans="1:9" ht="16.5" x14ac:dyDescent="0.3">
      <c r="A1624" s="477">
        <v>6273340.0839508362</v>
      </c>
      <c r="B1624" s="458">
        <v>5.5342155854609443E-2</v>
      </c>
      <c r="C1624" s="477">
        <v>11565840.289723555</v>
      </c>
      <c r="D1624" s="458">
        <v>5.2098245886087025E-2</v>
      </c>
      <c r="E1624" s="477">
        <v>25894654.58859466</v>
      </c>
      <c r="F1624" s="458">
        <v>0.10404523468551208</v>
      </c>
      <c r="G1624" s="477">
        <v>100667277.68642706</v>
      </c>
      <c r="H1624" s="458">
        <v>0.25262996390114378</v>
      </c>
      <c r="I1624" s="468">
        <v>10.526811656480238</v>
      </c>
    </row>
    <row r="1625" spans="1:9" ht="16.5" x14ac:dyDescent="0.3">
      <c r="A1625" s="477">
        <v>7664586.0415958539</v>
      </c>
      <c r="B1625" s="458">
        <v>4.6406309106660881E-2</v>
      </c>
      <c r="C1625" s="477">
        <v>8098615.5513828294</v>
      </c>
      <c r="D1625" s="458">
        <v>8.2992213520946212E-2</v>
      </c>
      <c r="E1625" s="477">
        <v>13912875.914733341</v>
      </c>
      <c r="F1625" s="458">
        <v>0.11125856247928367</v>
      </c>
      <c r="G1625" s="477">
        <v>86649703.43120487</v>
      </c>
      <c r="H1625" s="458">
        <v>0.29967442222422824</v>
      </c>
      <c r="I1625" s="468">
        <v>6.8497789468440784</v>
      </c>
    </row>
    <row r="1626" spans="1:9" ht="16.5" x14ac:dyDescent="0.3">
      <c r="A1626" s="477">
        <v>5150306.9692768231</v>
      </c>
      <c r="B1626" s="458">
        <v>5.4924670628069494E-2</v>
      </c>
      <c r="C1626" s="477">
        <v>13736666.932013188</v>
      </c>
      <c r="D1626" s="458">
        <v>6.007729213184132E-2</v>
      </c>
      <c r="E1626" s="477">
        <v>28440151.026996858</v>
      </c>
      <c r="F1626" s="458">
        <v>8.1310720283679361E-2</v>
      </c>
      <c r="G1626" s="477">
        <v>92518829.722364381</v>
      </c>
      <c r="H1626" s="458">
        <v>0.26167829767620532</v>
      </c>
      <c r="I1626" s="468">
        <v>5.767894371524644</v>
      </c>
    </row>
    <row r="1627" spans="1:9" ht="16.5" x14ac:dyDescent="0.3">
      <c r="A1627" s="477">
        <v>8598952.1117702294</v>
      </c>
      <c r="B1627" s="458">
        <v>4.1611676470918679E-2</v>
      </c>
      <c r="C1627" s="477">
        <v>11950590.396263853</v>
      </c>
      <c r="D1627" s="458">
        <v>9.8129455154343015E-2</v>
      </c>
      <c r="E1627" s="477">
        <v>14544349.0119291</v>
      </c>
      <c r="F1627" s="458">
        <v>0.12267910753520495</v>
      </c>
      <c r="G1627" s="477">
        <v>86316053.781564042</v>
      </c>
      <c r="H1627" s="458">
        <v>0.29516377493112222</v>
      </c>
      <c r="I1627" s="468">
        <v>5.6283138113251168</v>
      </c>
    </row>
    <row r="1628" spans="1:9" ht="16.5" x14ac:dyDescent="0.3">
      <c r="A1628" s="477">
        <v>4150462.5213708673</v>
      </c>
      <c r="B1628" s="458">
        <v>2.363938063310167E-2</v>
      </c>
      <c r="C1628" s="477">
        <v>6991049.7236253023</v>
      </c>
      <c r="D1628" s="458">
        <v>6.2121217073512147E-2</v>
      </c>
      <c r="E1628" s="477">
        <v>23279282.806973785</v>
      </c>
      <c r="F1628" s="458">
        <v>0.12342504353761141</v>
      </c>
      <c r="G1628" s="477">
        <v>92720420.023223981</v>
      </c>
      <c r="H1628" s="458">
        <v>0.27979520591549778</v>
      </c>
      <c r="I1628" s="468">
        <v>5.5844510758162311</v>
      </c>
    </row>
    <row r="1629" spans="1:9" ht="16.5" x14ac:dyDescent="0.3">
      <c r="A1629" s="477">
        <v>-516941.57299179718</v>
      </c>
      <c r="B1629" s="458">
        <v>6.6769988602943364E-2</v>
      </c>
      <c r="C1629" s="477">
        <v>7388809.0401385101</v>
      </c>
      <c r="D1629" s="458">
        <v>3.8340121230708846E-2</v>
      </c>
      <c r="E1629" s="477">
        <v>18326894.920594413</v>
      </c>
      <c r="F1629" s="458">
        <v>0.10406788622602803</v>
      </c>
      <c r="G1629" s="477">
        <v>92873491.244805157</v>
      </c>
      <c r="H1629" s="458">
        <v>0.27538211743377294</v>
      </c>
      <c r="I1629" s="468">
        <v>5.9222857509124909</v>
      </c>
    </row>
    <row r="1630" spans="1:9" ht="16.5" x14ac:dyDescent="0.3">
      <c r="A1630" s="477">
        <v>4228912.8517779652</v>
      </c>
      <c r="B1630" s="458">
        <v>3.8500750430872754E-2</v>
      </c>
      <c r="C1630" s="477">
        <v>8707017.7507409733</v>
      </c>
      <c r="D1630" s="458">
        <v>6.6817620127724409E-2</v>
      </c>
      <c r="E1630" s="477">
        <v>11796463.30995534</v>
      </c>
      <c r="F1630" s="458">
        <v>0.10089201117486968</v>
      </c>
      <c r="G1630" s="477">
        <v>109920290.04237206</v>
      </c>
      <c r="H1630" s="458">
        <v>0.27734502545046791</v>
      </c>
      <c r="I1630" s="468">
        <v>12.079218302220884</v>
      </c>
    </row>
    <row r="1631" spans="1:9" ht="16.5" x14ac:dyDescent="0.3">
      <c r="A1631" s="477">
        <v>5287652.5302028824</v>
      </c>
      <c r="B1631" s="458">
        <v>1.7628829660196521E-2</v>
      </c>
      <c r="C1631" s="477">
        <v>17065326.298057232</v>
      </c>
      <c r="D1631" s="458">
        <v>6.3629517301607708E-2</v>
      </c>
      <c r="E1631" s="477">
        <v>15274203.853206376</v>
      </c>
      <c r="F1631" s="458">
        <v>0.10088891939111533</v>
      </c>
      <c r="G1631" s="477">
        <v>97944986.901393101</v>
      </c>
      <c r="H1631" s="458">
        <v>0.26826952056855369</v>
      </c>
      <c r="I1631" s="468">
        <v>10.177664037533068</v>
      </c>
    </row>
    <row r="1632" spans="1:9" ht="16.5" x14ac:dyDescent="0.3">
      <c r="A1632" s="477">
        <v>6414311.0299558332</v>
      </c>
      <c r="B1632" s="458">
        <v>4.2237988306177199E-2</v>
      </c>
      <c r="C1632" s="477">
        <v>15949240.410091573</v>
      </c>
      <c r="D1632" s="458">
        <v>8.8693256646931617E-2</v>
      </c>
      <c r="E1632" s="477">
        <v>19972808.145202547</v>
      </c>
      <c r="F1632" s="458">
        <v>9.4288567641093168E-2</v>
      </c>
      <c r="G1632" s="477">
        <v>76810265.077844381</v>
      </c>
      <c r="H1632" s="458">
        <v>0.26025890269860774</v>
      </c>
      <c r="I1632" s="468">
        <v>14.568158716561552</v>
      </c>
    </row>
    <row r="1633" spans="1:9" ht="16.5" x14ac:dyDescent="0.3">
      <c r="A1633" s="477">
        <v>7946917.327801845</v>
      </c>
      <c r="B1633" s="458">
        <v>4.9276766968654906E-2</v>
      </c>
      <c r="C1633" s="477">
        <v>11653804.613119027</v>
      </c>
      <c r="D1633" s="458">
        <v>8.1889632024545245E-2</v>
      </c>
      <c r="E1633" s="477">
        <v>22217987.290819213</v>
      </c>
      <c r="F1633" s="458">
        <v>0.11930225751725487</v>
      </c>
      <c r="G1633" s="477">
        <v>104265664.04856257</v>
      </c>
      <c r="H1633" s="458">
        <v>0.27391584909852162</v>
      </c>
      <c r="I1633" s="468">
        <v>7.1025647881164122</v>
      </c>
    </row>
    <row r="1634" spans="1:9" ht="16.5" x14ac:dyDescent="0.3">
      <c r="A1634" s="477">
        <v>2215826.1615722845</v>
      </c>
      <c r="B1634" s="458">
        <v>4.348036229151897E-2</v>
      </c>
      <c r="C1634" s="477">
        <v>12631787.761146737</v>
      </c>
      <c r="D1634" s="458">
        <v>5.6810066994459119E-2</v>
      </c>
      <c r="E1634" s="477">
        <v>18472478.936888773</v>
      </c>
      <c r="F1634" s="458">
        <v>0.10212121439575106</v>
      </c>
      <c r="G1634" s="477">
        <v>92871682.696961239</v>
      </c>
      <c r="H1634" s="458">
        <v>0.26385843399114339</v>
      </c>
      <c r="I1634" s="468">
        <v>8.2586254342532843</v>
      </c>
    </row>
    <row r="1635" spans="1:9" ht="16.5" x14ac:dyDescent="0.3">
      <c r="A1635" s="477">
        <v>6492823.9154379759</v>
      </c>
      <c r="B1635" s="458">
        <v>3.1401839873180348E-2</v>
      </c>
      <c r="C1635" s="477">
        <v>3418618.9236628632</v>
      </c>
      <c r="D1635" s="458">
        <v>6.3161261032782301E-2</v>
      </c>
      <c r="E1635" s="477">
        <v>9269381.1118129734</v>
      </c>
      <c r="F1635" s="458">
        <v>0.11501572740165678</v>
      </c>
      <c r="G1635" s="477">
        <v>89380785.238903463</v>
      </c>
      <c r="H1635" s="458">
        <v>0.253809727574966</v>
      </c>
      <c r="I1635" s="468">
        <v>14.520003154130436</v>
      </c>
    </row>
    <row r="1636" spans="1:9" ht="16.5" x14ac:dyDescent="0.3">
      <c r="A1636" s="477">
        <v>2461644.0029397625</v>
      </c>
      <c r="B1636" s="458">
        <v>5.135515790133538E-2</v>
      </c>
      <c r="C1636" s="477">
        <v>16503014.401375143</v>
      </c>
      <c r="D1636" s="458">
        <v>5.4409148238161453E-2</v>
      </c>
      <c r="E1636" s="477">
        <v>4479405.153967062</v>
      </c>
      <c r="F1636" s="458">
        <v>9.1618796423314386E-2</v>
      </c>
      <c r="G1636" s="477">
        <v>70633192.835610718</v>
      </c>
      <c r="H1636" s="458">
        <v>0.26029004123491584</v>
      </c>
      <c r="I1636" s="468">
        <v>8.7126859659776166</v>
      </c>
    </row>
    <row r="1637" spans="1:9" ht="16.5" x14ac:dyDescent="0.3">
      <c r="A1637" s="477">
        <v>5185695.7287270389</v>
      </c>
      <c r="B1637" s="458">
        <v>3.9495312513934122E-2</v>
      </c>
      <c r="C1637" s="477">
        <v>11005249.814212617</v>
      </c>
      <c r="D1637" s="458">
        <v>5.7666802275455176E-2</v>
      </c>
      <c r="E1637" s="477">
        <v>16400892.031894431</v>
      </c>
      <c r="F1637" s="458">
        <v>0.10933909355105387</v>
      </c>
      <c r="G1637" s="477">
        <v>83195280.103954211</v>
      </c>
      <c r="H1637" s="458">
        <v>0.28140584047536676</v>
      </c>
      <c r="I1637" s="468">
        <v>4.2373185870112406</v>
      </c>
    </row>
    <row r="1638" spans="1:9" ht="16.5" x14ac:dyDescent="0.3">
      <c r="A1638" s="477">
        <v>6222076.0466200067</v>
      </c>
      <c r="B1638" s="458">
        <v>5.685665644298199E-2</v>
      </c>
      <c r="C1638" s="477">
        <v>8558055.3809055816</v>
      </c>
      <c r="D1638" s="458">
        <v>6.149889564308797E-2</v>
      </c>
      <c r="E1638" s="477">
        <v>18806803.739372592</v>
      </c>
      <c r="F1638" s="458">
        <v>9.6386540441793844E-2</v>
      </c>
      <c r="G1638" s="477">
        <v>108503571.55150488</v>
      </c>
      <c r="H1638" s="458">
        <v>0.25486054352717469</v>
      </c>
      <c r="I1638" s="468">
        <v>5.9159118669360451</v>
      </c>
    </row>
    <row r="1639" spans="1:9" ht="16.5" x14ac:dyDescent="0.3">
      <c r="A1639" s="477">
        <v>2738402.7332396386</v>
      </c>
      <c r="B1639" s="458">
        <v>6.3185316902059974E-2</v>
      </c>
      <c r="C1639" s="477">
        <v>3115498.8132803398</v>
      </c>
      <c r="D1639" s="458">
        <v>2.5810627761634564E-2</v>
      </c>
      <c r="E1639" s="477">
        <v>7958535.433950969</v>
      </c>
      <c r="F1639" s="458">
        <v>0.11233242121695985</v>
      </c>
      <c r="G1639" s="477">
        <v>93110899.013897941</v>
      </c>
      <c r="H1639" s="458">
        <v>0.27342814319954845</v>
      </c>
      <c r="I1639" s="468">
        <v>11.775856004278975</v>
      </c>
    </row>
    <row r="1640" spans="1:9" ht="16.5" x14ac:dyDescent="0.3">
      <c r="A1640" s="477">
        <v>7730809.7248858055</v>
      </c>
      <c r="B1640" s="458">
        <v>4.4453171239092315E-2</v>
      </c>
      <c r="C1640" s="477">
        <v>10993116.302480849</v>
      </c>
      <c r="D1640" s="458">
        <v>7.2097911495889289E-2</v>
      </c>
      <c r="E1640" s="477">
        <v>19601523.504143249</v>
      </c>
      <c r="F1640" s="458">
        <v>0.10877550601182229</v>
      </c>
      <c r="G1640" s="477">
        <v>96723060.397098422</v>
      </c>
      <c r="H1640" s="458">
        <v>0.25857161931698203</v>
      </c>
      <c r="I1640" s="468">
        <v>9.9445988834956136</v>
      </c>
    </row>
    <row r="1641" spans="1:9" ht="16.5" x14ac:dyDescent="0.3">
      <c r="A1641" s="477">
        <v>6339812.4988365481</v>
      </c>
      <c r="B1641" s="458">
        <v>2.2458034004626093E-2</v>
      </c>
      <c r="C1641" s="477">
        <v>5691013.0899228994</v>
      </c>
      <c r="D1641" s="458">
        <v>6.8317760782783621E-2</v>
      </c>
      <c r="E1641" s="477">
        <v>20848968.289611615</v>
      </c>
      <c r="F1641" s="458">
        <v>0.10427882788862575</v>
      </c>
      <c r="G1641" s="477">
        <v>84097288.208757117</v>
      </c>
      <c r="H1641" s="458">
        <v>0.27448998271856739</v>
      </c>
      <c r="I1641" s="468">
        <v>5.6550780043172972</v>
      </c>
    </row>
    <row r="1642" spans="1:9" ht="16.5" x14ac:dyDescent="0.3">
      <c r="A1642" s="477">
        <v>4725315.2361866841</v>
      </c>
      <c r="B1642" s="458">
        <v>6.8784596335328185E-2</v>
      </c>
      <c r="C1642" s="477">
        <v>7810961.0159640815</v>
      </c>
      <c r="D1642" s="458">
        <v>6.2491966628325235E-2</v>
      </c>
      <c r="E1642" s="477">
        <v>15145643.753107758</v>
      </c>
      <c r="F1642" s="458">
        <v>8.3655500085872969E-2</v>
      </c>
      <c r="G1642" s="477">
        <v>94718375.627199113</v>
      </c>
      <c r="H1642" s="458">
        <v>0.27891936327217115</v>
      </c>
      <c r="I1642" s="468">
        <v>8.513115377093623</v>
      </c>
    </row>
    <row r="1643" spans="1:9" ht="16.5" x14ac:dyDescent="0.3">
      <c r="A1643" s="477">
        <v>4178305.728085679</v>
      </c>
      <c r="B1643" s="458">
        <v>4.2118941228619144E-2</v>
      </c>
      <c r="C1643" s="477">
        <v>12503954.334387176</v>
      </c>
      <c r="D1643" s="458">
        <v>4.9524656596708461E-2</v>
      </c>
      <c r="E1643" s="477">
        <v>10669283.714216301</v>
      </c>
      <c r="F1643" s="458">
        <v>9.525398694666154E-2</v>
      </c>
      <c r="G1643" s="477">
        <v>81624042.723054409</v>
      </c>
      <c r="H1643" s="458">
        <v>0.27212239228248469</v>
      </c>
      <c r="I1643" s="468">
        <v>7.7141452925215708</v>
      </c>
    </row>
    <row r="1644" spans="1:9" ht="16.5" x14ac:dyDescent="0.3">
      <c r="A1644" s="477">
        <v>1148621.4859291918</v>
      </c>
      <c r="B1644" s="458">
        <v>3.6443394765976578E-2</v>
      </c>
      <c r="C1644" s="477">
        <v>10962464.689489795</v>
      </c>
      <c r="D1644" s="458">
        <v>5.746931361054175E-2</v>
      </c>
      <c r="E1644" s="477">
        <v>19065490.316983476</v>
      </c>
      <c r="F1644" s="458">
        <v>8.809917488087371E-2</v>
      </c>
      <c r="G1644" s="477">
        <v>90254224.193509623</v>
      </c>
      <c r="H1644" s="458">
        <v>0.26632821216721414</v>
      </c>
      <c r="I1644" s="468">
        <v>13.326753691202196</v>
      </c>
    </row>
    <row r="1645" spans="1:9" ht="16.5" x14ac:dyDescent="0.3">
      <c r="A1645" s="477">
        <v>7542948.4810147909</v>
      </c>
      <c r="B1645" s="458">
        <v>4.7227848467039202E-2</v>
      </c>
      <c r="C1645" s="477">
        <v>10453370.03748728</v>
      </c>
      <c r="D1645" s="458">
        <v>1.4813952701921984E-2</v>
      </c>
      <c r="E1645" s="477">
        <v>19680311.152048752</v>
      </c>
      <c r="F1645" s="458">
        <v>0.13313199644289053</v>
      </c>
      <c r="G1645" s="477">
        <v>96066626.060749531</v>
      </c>
      <c r="H1645" s="458">
        <v>0.29492590082617443</v>
      </c>
      <c r="I1645" s="468">
        <v>10.895052230266868</v>
      </c>
    </row>
    <row r="1646" spans="1:9" ht="16.5" x14ac:dyDescent="0.3">
      <c r="A1646" s="477">
        <v>6509803.6508450834</v>
      </c>
      <c r="B1646" s="458">
        <v>3.8749177608272678E-2</v>
      </c>
      <c r="C1646" s="477">
        <v>9089566.4923895597</v>
      </c>
      <c r="D1646" s="458">
        <v>7.242244776328266E-2</v>
      </c>
      <c r="E1646" s="477">
        <v>15202051.878055274</v>
      </c>
      <c r="F1646" s="458">
        <v>9.8105036404206869E-2</v>
      </c>
      <c r="G1646" s="477">
        <v>77942757.470693618</v>
      </c>
      <c r="H1646" s="458">
        <v>0.25947600424048711</v>
      </c>
      <c r="I1646" s="468">
        <v>9.4779010262697909</v>
      </c>
    </row>
    <row r="1647" spans="1:9" ht="16.5" x14ac:dyDescent="0.3">
      <c r="A1647" s="477">
        <v>4979938.685983723</v>
      </c>
      <c r="B1647" s="458">
        <v>4.0902695532415656E-2</v>
      </c>
      <c r="C1647" s="477">
        <v>4089066.8546201154</v>
      </c>
      <c r="D1647" s="458">
        <v>7.1749088819732965E-2</v>
      </c>
      <c r="E1647" s="477">
        <v>12120165.841669809</v>
      </c>
      <c r="F1647" s="458">
        <v>0.13217290199192933</v>
      </c>
      <c r="G1647" s="477">
        <v>98994571.799608856</v>
      </c>
      <c r="H1647" s="458">
        <v>0.26368480634947944</v>
      </c>
      <c r="I1647" s="468">
        <v>4.7779706301014286</v>
      </c>
    </row>
    <row r="1648" spans="1:9" ht="16.5" x14ac:dyDescent="0.3">
      <c r="A1648" s="477">
        <v>2468641.6926340517</v>
      </c>
      <c r="B1648" s="458">
        <v>2.4989556885535169E-2</v>
      </c>
      <c r="C1648" s="477">
        <v>7537154.9858576851</v>
      </c>
      <c r="D1648" s="458">
        <v>7.4605320775274597E-2</v>
      </c>
      <c r="E1648" s="477">
        <v>13038407.289017119</v>
      </c>
      <c r="F1648" s="458">
        <v>8.5199667733182327E-2</v>
      </c>
      <c r="G1648" s="477">
        <v>89936776.371588379</v>
      </c>
      <c r="H1648" s="458">
        <v>0.26725642983201703</v>
      </c>
      <c r="I1648" s="468">
        <v>14.287000640254139</v>
      </c>
    </row>
    <row r="1649" spans="1:9" ht="16.5" x14ac:dyDescent="0.3">
      <c r="A1649" s="477">
        <v>6015220.6928971261</v>
      </c>
      <c r="B1649" s="458">
        <v>5.0190881100957263E-2</v>
      </c>
      <c r="C1649" s="477">
        <v>3977114.8072273401</v>
      </c>
      <c r="D1649" s="458">
        <v>6.9301597973852935E-2</v>
      </c>
      <c r="E1649" s="477">
        <v>17170220.489471655</v>
      </c>
      <c r="F1649" s="458">
        <v>0.10812815833613998</v>
      </c>
      <c r="G1649" s="477">
        <v>92831511.258707866</v>
      </c>
      <c r="H1649" s="458">
        <v>0.26159719453115415</v>
      </c>
      <c r="I1649" s="468">
        <v>14.575666777725534</v>
      </c>
    </row>
    <row r="1650" spans="1:9" ht="16.5" x14ac:dyDescent="0.3">
      <c r="A1650" s="477">
        <v>6292332.7499148799</v>
      </c>
      <c r="B1650" s="458">
        <v>3.0701021815670249E-2</v>
      </c>
      <c r="C1650" s="477">
        <v>7271175.9674584195</v>
      </c>
      <c r="D1650" s="458">
        <v>4.2964262328922587E-2</v>
      </c>
      <c r="E1650" s="477">
        <v>23865283.56232293</v>
      </c>
      <c r="F1650" s="458">
        <v>0.11585030767871651</v>
      </c>
      <c r="G1650" s="477">
        <v>70354996.400059849</v>
      </c>
      <c r="H1650" s="458">
        <v>0.28199677647971977</v>
      </c>
      <c r="I1650" s="468">
        <v>10.940249702106183</v>
      </c>
    </row>
    <row r="1651" spans="1:9" ht="16.5" x14ac:dyDescent="0.3">
      <c r="A1651" s="477">
        <v>6378423.9676597044</v>
      </c>
      <c r="B1651" s="458">
        <v>4.0075484197817923E-2</v>
      </c>
      <c r="C1651" s="477">
        <v>6661408.4233213337</v>
      </c>
      <c r="D1651" s="458">
        <v>7.192828644756033E-2</v>
      </c>
      <c r="E1651" s="477">
        <v>8529625.8762315027</v>
      </c>
      <c r="F1651" s="458">
        <v>8.1895000414041963E-2</v>
      </c>
      <c r="G1651" s="477">
        <v>98258452.220390826</v>
      </c>
      <c r="H1651" s="458">
        <v>0.26317159309059268</v>
      </c>
      <c r="I1651" s="468">
        <v>5.8972877421930168</v>
      </c>
    </row>
    <row r="1652" spans="1:9" ht="16.5" x14ac:dyDescent="0.3">
      <c r="A1652" s="477">
        <v>4424649.8291558241</v>
      </c>
      <c r="B1652" s="458">
        <v>3.4884081655076615E-2</v>
      </c>
      <c r="C1652" s="477">
        <v>9057353.9866992738</v>
      </c>
      <c r="D1652" s="458">
        <v>6.4821014486361683E-2</v>
      </c>
      <c r="E1652" s="477">
        <v>17997652.564309433</v>
      </c>
      <c r="F1652" s="458">
        <v>0.11324892250137286</v>
      </c>
      <c r="G1652" s="477">
        <v>104223995.83147885</v>
      </c>
      <c r="H1652" s="458">
        <v>0.2866463915663171</v>
      </c>
      <c r="I1652" s="468">
        <v>6.3206873302612365</v>
      </c>
    </row>
    <row r="1653" spans="1:9" ht="16.5" x14ac:dyDescent="0.3">
      <c r="A1653" s="477">
        <v>4893560.0658865608</v>
      </c>
      <c r="B1653" s="458">
        <v>2.5180379885144655E-2</v>
      </c>
      <c r="C1653" s="477">
        <v>-3179066.2110650223</v>
      </c>
      <c r="D1653" s="458">
        <v>7.3259170430996834E-2</v>
      </c>
      <c r="E1653" s="477">
        <v>18945978.609602857</v>
      </c>
      <c r="F1653" s="458">
        <v>0.12585950315203975</v>
      </c>
      <c r="G1653" s="477">
        <v>89823554.055541217</v>
      </c>
      <c r="H1653" s="458">
        <v>0.26580597220712399</v>
      </c>
      <c r="I1653" s="468">
        <v>1.0589028885636074</v>
      </c>
    </row>
    <row r="1654" spans="1:9" ht="16.5" x14ac:dyDescent="0.3">
      <c r="A1654" s="477">
        <v>8950071.753868049</v>
      </c>
      <c r="B1654" s="458">
        <v>2.2362770870345106E-2</v>
      </c>
      <c r="C1654" s="477">
        <v>14582538.790565725</v>
      </c>
      <c r="D1654" s="458">
        <v>8.3149957327500523E-2</v>
      </c>
      <c r="E1654" s="477">
        <v>17692896.763342429</v>
      </c>
      <c r="F1654" s="458">
        <v>9.703340475943123E-2</v>
      </c>
      <c r="G1654" s="477">
        <v>90110183.64663969</v>
      </c>
      <c r="H1654" s="458">
        <v>0.25814250851016007</v>
      </c>
      <c r="I1654" s="468">
        <v>8.7762139562557699</v>
      </c>
    </row>
    <row r="1655" spans="1:9" ht="16.5" x14ac:dyDescent="0.3">
      <c r="A1655" s="477">
        <v>53248.874209906935</v>
      </c>
      <c r="B1655" s="458">
        <v>5.0273757961537102E-2</v>
      </c>
      <c r="C1655" s="477">
        <v>7534738.1146809841</v>
      </c>
      <c r="D1655" s="458">
        <v>5.9681310474413829E-2</v>
      </c>
      <c r="E1655" s="477">
        <v>26176960.963235337</v>
      </c>
      <c r="F1655" s="458">
        <v>0.10437910719517207</v>
      </c>
      <c r="G1655" s="477">
        <v>86165999.345966712</v>
      </c>
      <c r="H1655" s="458">
        <v>0.26850105782745604</v>
      </c>
      <c r="I1655" s="468">
        <v>12.191171157653127</v>
      </c>
    </row>
    <row r="1656" spans="1:9" ht="16.5" x14ac:dyDescent="0.3">
      <c r="A1656" s="477">
        <v>6808943.3267413732</v>
      </c>
      <c r="B1656" s="458">
        <v>4.0540763420291004E-2</v>
      </c>
      <c r="C1656" s="477">
        <v>12506180.080810536</v>
      </c>
      <c r="D1656" s="458">
        <v>6.9686467783022898E-2</v>
      </c>
      <c r="E1656" s="477">
        <v>18342167.269100592</v>
      </c>
      <c r="F1656" s="458">
        <v>8.274745011786977E-2</v>
      </c>
      <c r="G1656" s="477">
        <v>90734011.378628045</v>
      </c>
      <c r="H1656" s="458">
        <v>0.28700827665732054</v>
      </c>
      <c r="I1656" s="468">
        <v>11.109520266053588</v>
      </c>
    </row>
    <row r="1657" spans="1:9" ht="16.5" x14ac:dyDescent="0.3">
      <c r="A1657" s="477">
        <v>5336576.794578271</v>
      </c>
      <c r="B1657" s="458">
        <v>7.0101715378483309E-2</v>
      </c>
      <c r="C1657" s="477">
        <v>9778459.7335074376</v>
      </c>
      <c r="D1657" s="458">
        <v>6.4781917776107312E-2</v>
      </c>
      <c r="E1657" s="477">
        <v>21449490.66954254</v>
      </c>
      <c r="F1657" s="458">
        <v>0.11908052606633568</v>
      </c>
      <c r="G1657" s="477">
        <v>77219462.028723449</v>
      </c>
      <c r="H1657" s="458">
        <v>0.29820721568666952</v>
      </c>
      <c r="I1657" s="468">
        <v>10.998163726462437</v>
      </c>
    </row>
    <row r="1658" spans="1:9" ht="16.5" x14ac:dyDescent="0.3">
      <c r="A1658" s="477">
        <v>4878394.3141683899</v>
      </c>
      <c r="B1658" s="458">
        <v>3.7767231941661761E-2</v>
      </c>
      <c r="C1658" s="477">
        <v>7447439.1371886767</v>
      </c>
      <c r="D1658" s="458">
        <v>7.9427299946390084E-2</v>
      </c>
      <c r="E1658" s="477">
        <v>13605923.941395143</v>
      </c>
      <c r="F1658" s="458">
        <v>0.11766181427077504</v>
      </c>
      <c r="G1658" s="477">
        <v>83809019.97759144</v>
      </c>
      <c r="H1658" s="458">
        <v>0.27654730232995051</v>
      </c>
      <c r="I1658" s="468">
        <v>11.317228981933631</v>
      </c>
    </row>
    <row r="1659" spans="1:9" ht="16.5" x14ac:dyDescent="0.3">
      <c r="A1659" s="477">
        <v>8719991.6542996988</v>
      </c>
      <c r="B1659" s="458">
        <v>4.6291012920511854E-2</v>
      </c>
      <c r="C1659" s="477">
        <v>8738362.0818780642</v>
      </c>
      <c r="D1659" s="458">
        <v>5.3166555119462E-2</v>
      </c>
      <c r="E1659" s="477">
        <v>10289194.26249893</v>
      </c>
      <c r="F1659" s="458">
        <v>0.12283665900867158</v>
      </c>
      <c r="G1659" s="477">
        <v>77644288.080129623</v>
      </c>
      <c r="H1659" s="458">
        <v>0.26735347332389692</v>
      </c>
      <c r="I1659" s="468">
        <v>11.844079439471905</v>
      </c>
    </row>
    <row r="1660" spans="1:9" ht="16.5" x14ac:dyDescent="0.3">
      <c r="A1660" s="477">
        <v>5313626.3544028532</v>
      </c>
      <c r="B1660" s="458">
        <v>4.6820984037021951E-2</v>
      </c>
      <c r="C1660" s="477">
        <v>8745552.5728044827</v>
      </c>
      <c r="D1660" s="458">
        <v>8.809475166403602E-2</v>
      </c>
      <c r="E1660" s="477">
        <v>16216762.308423772</v>
      </c>
      <c r="F1660" s="458">
        <v>0.11777918667575915</v>
      </c>
      <c r="G1660" s="477">
        <v>79882453.552860171</v>
      </c>
      <c r="H1660" s="458">
        <v>0.27531824580788289</v>
      </c>
      <c r="I1660" s="468">
        <v>14.16117346242563</v>
      </c>
    </row>
    <row r="1661" spans="1:9" ht="16.5" x14ac:dyDescent="0.3">
      <c r="A1661" s="477">
        <v>-742087.25459967763</v>
      </c>
      <c r="B1661" s="458">
        <v>5.1359241335182881E-2</v>
      </c>
      <c r="C1661" s="477">
        <v>14981015.186809128</v>
      </c>
      <c r="D1661" s="458">
        <v>4.7993508530349116E-2</v>
      </c>
      <c r="E1661" s="477">
        <v>13917568.068834567</v>
      </c>
      <c r="F1661" s="458">
        <v>0.12444942664214498</v>
      </c>
      <c r="G1661" s="477">
        <v>96404840.214579523</v>
      </c>
      <c r="H1661" s="458">
        <v>0.25114148781487367</v>
      </c>
      <c r="I1661" s="468">
        <v>10.288356225695205</v>
      </c>
    </row>
    <row r="1662" spans="1:9" ht="16.5" x14ac:dyDescent="0.3">
      <c r="A1662" s="477">
        <v>6508629.1033789963</v>
      </c>
      <c r="B1662" s="458">
        <v>3.6696930155095897E-2</v>
      </c>
      <c r="C1662" s="477">
        <v>8994882.1662308518</v>
      </c>
      <c r="D1662" s="458">
        <v>5.6408003725312961E-2</v>
      </c>
      <c r="E1662" s="477">
        <v>16308718.639464593</v>
      </c>
      <c r="F1662" s="458">
        <v>9.7789963148623871E-2</v>
      </c>
      <c r="G1662" s="477">
        <v>96933425.39734295</v>
      </c>
      <c r="H1662" s="458">
        <v>0.26574069846765824</v>
      </c>
      <c r="I1662" s="468">
        <v>8.5111621549406333</v>
      </c>
    </row>
    <row r="1663" spans="1:9" ht="16.5" x14ac:dyDescent="0.3">
      <c r="A1663" s="477">
        <v>2916050.4132685279</v>
      </c>
      <c r="B1663" s="458">
        <v>1.3538839973568972E-2</v>
      </c>
      <c r="C1663" s="477">
        <v>11423199.169608185</v>
      </c>
      <c r="D1663" s="458">
        <v>4.0012629629280649E-2</v>
      </c>
      <c r="E1663" s="477">
        <v>15535825.434946187</v>
      </c>
      <c r="F1663" s="458">
        <v>0.10525853566766785</v>
      </c>
      <c r="G1663" s="477">
        <v>98250723.574963257</v>
      </c>
      <c r="H1663" s="458">
        <v>0.25842520126292889</v>
      </c>
      <c r="I1663" s="468">
        <v>5.3954131674166197</v>
      </c>
    </row>
    <row r="1664" spans="1:9" ht="16.5" x14ac:dyDescent="0.3">
      <c r="A1664" s="477">
        <v>5019276.1600443413</v>
      </c>
      <c r="B1664" s="458">
        <v>5.7000397680005754E-2</v>
      </c>
      <c r="C1664" s="477">
        <v>15526001.966732852</v>
      </c>
      <c r="D1664" s="458">
        <v>6.8162580508306148E-2</v>
      </c>
      <c r="E1664" s="477">
        <v>22592592.417813394</v>
      </c>
      <c r="F1664" s="458">
        <v>0.10587587934244747</v>
      </c>
      <c r="G1664" s="477">
        <v>84889652.064837277</v>
      </c>
      <c r="H1664" s="458">
        <v>0.26221532423174265</v>
      </c>
      <c r="I1664" s="468">
        <v>17.619651347561437</v>
      </c>
    </row>
    <row r="1665" spans="1:9" ht="16.5" x14ac:dyDescent="0.3">
      <c r="A1665" s="477">
        <v>5409044.8173708459</v>
      </c>
      <c r="B1665" s="458">
        <v>3.5510053291303967E-2</v>
      </c>
      <c r="C1665" s="477">
        <v>10334786.492295511</v>
      </c>
      <c r="D1665" s="458">
        <v>9.889927661396869E-2</v>
      </c>
      <c r="E1665" s="477">
        <v>15203706.294566603</v>
      </c>
      <c r="F1665" s="458">
        <v>0.11503531654576737</v>
      </c>
      <c r="G1665" s="477">
        <v>86046982.8353329</v>
      </c>
      <c r="H1665" s="458">
        <v>0.26813773859368983</v>
      </c>
      <c r="I1665" s="468">
        <v>3.7874740232090947</v>
      </c>
    </row>
    <row r="1666" spans="1:9" ht="16.5" x14ac:dyDescent="0.3">
      <c r="A1666" s="477">
        <v>2306239.1503778826</v>
      </c>
      <c r="B1666" s="458">
        <v>2.0100755866566233E-2</v>
      </c>
      <c r="C1666" s="477">
        <v>15011678.556803742</v>
      </c>
      <c r="D1666" s="458">
        <v>5.2860761505346243E-2</v>
      </c>
      <c r="E1666" s="477">
        <v>12009033.650059594</v>
      </c>
      <c r="F1666" s="458">
        <v>9.7466951670858837E-2</v>
      </c>
      <c r="G1666" s="477">
        <v>94191511.667172432</v>
      </c>
      <c r="H1666" s="458">
        <v>0.25911238869340369</v>
      </c>
      <c r="I1666" s="468">
        <v>8.7937460621092605</v>
      </c>
    </row>
    <row r="1667" spans="1:9" ht="16.5" x14ac:dyDescent="0.3">
      <c r="A1667" s="477">
        <v>-347127.29644003924</v>
      </c>
      <c r="B1667" s="458">
        <v>3.6075213039234111E-2</v>
      </c>
      <c r="C1667" s="477">
        <v>10522304.067544853</v>
      </c>
      <c r="D1667" s="458">
        <v>4.2794116715904718E-2</v>
      </c>
      <c r="E1667" s="477">
        <v>18283324.154496569</v>
      </c>
      <c r="F1667" s="458">
        <v>0.11364744407169503</v>
      </c>
      <c r="G1667" s="477">
        <v>86894217.325595826</v>
      </c>
      <c r="H1667" s="458">
        <v>0.28320173001829341</v>
      </c>
      <c r="I1667" s="468">
        <v>11.042033016754626</v>
      </c>
    </row>
    <row r="1668" spans="1:9" ht="16.5" x14ac:dyDescent="0.3">
      <c r="A1668" s="477">
        <v>6595290.9850490885</v>
      </c>
      <c r="B1668" s="458">
        <v>4.9824088644193187E-2</v>
      </c>
      <c r="C1668" s="477">
        <v>8944133.1688392274</v>
      </c>
      <c r="D1668" s="458">
        <v>4.638193961435344E-2</v>
      </c>
      <c r="E1668" s="477">
        <v>19078696.725063533</v>
      </c>
      <c r="F1668" s="458">
        <v>9.6476885642586385E-2</v>
      </c>
      <c r="G1668" s="477">
        <v>97075015.022065371</v>
      </c>
      <c r="H1668" s="458">
        <v>0.29505989278097888</v>
      </c>
      <c r="I1668" s="468">
        <v>10.525598715800747</v>
      </c>
    </row>
    <row r="1669" spans="1:9" ht="16.5" x14ac:dyDescent="0.3">
      <c r="A1669" s="477">
        <v>4213290.0514066759</v>
      </c>
      <c r="B1669" s="458">
        <v>3.2511264614258684E-2</v>
      </c>
      <c r="C1669" s="477">
        <v>12106529.769082243</v>
      </c>
      <c r="D1669" s="458">
        <v>9.3027474877254157E-2</v>
      </c>
      <c r="E1669" s="477">
        <v>17096627.506114021</v>
      </c>
      <c r="F1669" s="458">
        <v>0.10669423810060885</v>
      </c>
      <c r="G1669" s="477">
        <v>96247697.704043642</v>
      </c>
      <c r="H1669" s="458">
        <v>0.25626234277057236</v>
      </c>
      <c r="I1669" s="468">
        <v>10.493950734800139</v>
      </c>
    </row>
    <row r="1670" spans="1:9" ht="16.5" x14ac:dyDescent="0.3">
      <c r="A1670" s="477">
        <v>13414017.458905969</v>
      </c>
      <c r="B1670" s="458">
        <v>2.6265017072511387E-2</v>
      </c>
      <c r="C1670" s="477">
        <v>10551978.295043735</v>
      </c>
      <c r="D1670" s="458">
        <v>6.6504009752890836E-2</v>
      </c>
      <c r="E1670" s="477">
        <v>9991861.4694795106</v>
      </c>
      <c r="F1670" s="458">
        <v>0.12378744518352369</v>
      </c>
      <c r="G1670" s="477">
        <v>84224626.481065139</v>
      </c>
      <c r="H1670" s="458">
        <v>0.27466209952229459</v>
      </c>
      <c r="I1670" s="468">
        <v>7.2179701212901852</v>
      </c>
    </row>
    <row r="1671" spans="1:9" ht="16.5" x14ac:dyDescent="0.3">
      <c r="A1671" s="477">
        <v>7391394.7564160749</v>
      </c>
      <c r="B1671" s="458">
        <v>5.2082044834134145E-2</v>
      </c>
      <c r="C1671" s="477">
        <v>14745530.61652521</v>
      </c>
      <c r="D1671" s="458">
        <v>7.5665048414600644E-2</v>
      </c>
      <c r="E1671" s="477">
        <v>13442331.064876435</v>
      </c>
      <c r="F1671" s="458">
        <v>0.1043372465712582</v>
      </c>
      <c r="G1671" s="477">
        <v>95052681.68681173</v>
      </c>
      <c r="H1671" s="458">
        <v>0.26802022434115846</v>
      </c>
      <c r="I1671" s="468">
        <v>9.7960537199590263</v>
      </c>
    </row>
    <row r="1672" spans="1:9" ht="16.5" x14ac:dyDescent="0.3">
      <c r="A1672" s="477">
        <v>5292855.501431549</v>
      </c>
      <c r="B1672" s="458">
        <v>6.8413349473772866E-2</v>
      </c>
      <c r="C1672" s="477">
        <v>8905738.9959158339</v>
      </c>
      <c r="D1672" s="458">
        <v>3.4020647471333154E-2</v>
      </c>
      <c r="E1672" s="477">
        <v>18378344.847512275</v>
      </c>
      <c r="F1672" s="458">
        <v>7.4131855538952296E-2</v>
      </c>
      <c r="G1672" s="477">
        <v>95155851.326907814</v>
      </c>
      <c r="H1672" s="458">
        <v>0.257990766785958</v>
      </c>
      <c r="I1672" s="468">
        <v>16.09477415150144</v>
      </c>
    </row>
    <row r="1673" spans="1:9" ht="16.5" x14ac:dyDescent="0.3">
      <c r="A1673" s="477">
        <v>2865706.7206276478</v>
      </c>
      <c r="B1673" s="458">
        <v>5.0578750666710359E-2</v>
      </c>
      <c r="C1673" s="477">
        <v>5540268.4314336041</v>
      </c>
      <c r="D1673" s="458">
        <v>6.7825996311755121E-2</v>
      </c>
      <c r="E1673" s="477">
        <v>9979099.7607147153</v>
      </c>
      <c r="F1673" s="458">
        <v>0.12455142822305043</v>
      </c>
      <c r="G1673" s="477">
        <v>92516041.764767766</v>
      </c>
      <c r="H1673" s="458">
        <v>0.29071328662512119</v>
      </c>
      <c r="I1673" s="468">
        <v>7.6959934075653882</v>
      </c>
    </row>
    <row r="1674" spans="1:9" ht="16.5" x14ac:dyDescent="0.3">
      <c r="A1674" s="477">
        <v>5138176.0816228939</v>
      </c>
      <c r="B1674" s="458">
        <v>2.6065017229465415E-2</v>
      </c>
      <c r="C1674" s="477">
        <v>11864294.069575235</v>
      </c>
      <c r="D1674" s="458">
        <v>8.4025130936658421E-2</v>
      </c>
      <c r="E1674" s="477">
        <v>22051356.146762263</v>
      </c>
      <c r="F1674" s="458">
        <v>9.4902030806548465E-2</v>
      </c>
      <c r="G1674" s="477">
        <v>95347012.797791526</v>
      </c>
      <c r="H1674" s="458">
        <v>0.25781053589047054</v>
      </c>
      <c r="I1674" s="468">
        <v>11.473033629557651</v>
      </c>
    </row>
    <row r="1675" spans="1:9" ht="16.5" x14ac:dyDescent="0.3">
      <c r="A1675" s="477">
        <v>4071386.760924614</v>
      </c>
      <c r="B1675" s="458">
        <v>1.3861887718641164E-2</v>
      </c>
      <c r="C1675" s="477">
        <v>4832282.2820802405</v>
      </c>
      <c r="D1675" s="458">
        <v>5.0716036666265785E-2</v>
      </c>
      <c r="E1675" s="477">
        <v>19127400.289722115</v>
      </c>
      <c r="F1675" s="458">
        <v>8.8123163367392454E-2</v>
      </c>
      <c r="G1675" s="477">
        <v>84465892.46689263</v>
      </c>
      <c r="H1675" s="458">
        <v>0.28561892539114409</v>
      </c>
      <c r="I1675" s="468">
        <v>2.2046177969688232</v>
      </c>
    </row>
    <row r="1676" spans="1:9" ht="16.5" x14ac:dyDescent="0.3">
      <c r="A1676" s="477">
        <v>5044234.1077884734</v>
      </c>
      <c r="B1676" s="458">
        <v>4.4164550899405075E-2</v>
      </c>
      <c r="C1676" s="477">
        <v>8977403.451572381</v>
      </c>
      <c r="D1676" s="458">
        <v>5.3047233796641446E-2</v>
      </c>
      <c r="E1676" s="477">
        <v>20114258.202776644</v>
      </c>
      <c r="F1676" s="458">
        <v>0.11645609109442323</v>
      </c>
      <c r="G1676" s="477">
        <v>91336141.445801839</v>
      </c>
      <c r="H1676" s="458">
        <v>0.25076761015746518</v>
      </c>
      <c r="I1676" s="468">
        <v>7.7892872571285308</v>
      </c>
    </row>
    <row r="1677" spans="1:9" ht="16.5" x14ac:dyDescent="0.3">
      <c r="A1677" s="477">
        <v>7195904.0269838758</v>
      </c>
      <c r="B1677" s="458">
        <v>3.8582687031109675E-2</v>
      </c>
      <c r="C1677" s="477">
        <v>7226375.4358921964</v>
      </c>
      <c r="D1677" s="458">
        <v>6.8324248218835093E-2</v>
      </c>
      <c r="E1677" s="477">
        <v>16144767.431283439</v>
      </c>
      <c r="F1677" s="458">
        <v>0.10493300246072956</v>
      </c>
      <c r="G1677" s="477">
        <v>84001537.133979306</v>
      </c>
      <c r="H1677" s="458">
        <v>0.26156551983616172</v>
      </c>
      <c r="I1677" s="468">
        <v>5.7489831722920339</v>
      </c>
    </row>
    <row r="1678" spans="1:9" ht="16.5" x14ac:dyDescent="0.3">
      <c r="A1678" s="477">
        <v>7755819.3192183394</v>
      </c>
      <c r="B1678" s="458">
        <v>4.8355218621041196E-2</v>
      </c>
      <c r="C1678" s="477">
        <v>10893586.605876118</v>
      </c>
      <c r="D1678" s="458">
        <v>6.6738908921390783E-2</v>
      </c>
      <c r="E1678" s="477">
        <v>23162308.463912606</v>
      </c>
      <c r="F1678" s="458">
        <v>0.1137870045630911</v>
      </c>
      <c r="G1678" s="477">
        <v>93422578.952737466</v>
      </c>
      <c r="H1678" s="458">
        <v>0.27600497238265276</v>
      </c>
      <c r="I1678" s="468">
        <v>8.0386758930721545</v>
      </c>
    </row>
    <row r="1679" spans="1:9" ht="16.5" x14ac:dyDescent="0.3">
      <c r="A1679" s="477">
        <v>6821589.0516235465</v>
      </c>
      <c r="B1679" s="458">
        <v>3.6057327937030426E-2</v>
      </c>
      <c r="C1679" s="477">
        <v>7032958.3956383178</v>
      </c>
      <c r="D1679" s="458">
        <v>8.3047473749897849E-2</v>
      </c>
      <c r="E1679" s="477">
        <v>21438435.507981516</v>
      </c>
      <c r="F1679" s="458">
        <v>0.11651279102798417</v>
      </c>
      <c r="G1679" s="477">
        <v>91492344.977295741</v>
      </c>
      <c r="H1679" s="458">
        <v>0.29011206349615759</v>
      </c>
      <c r="I1679" s="468">
        <v>5.4086496974476752</v>
      </c>
    </row>
    <row r="1680" spans="1:9" ht="16.5" x14ac:dyDescent="0.3">
      <c r="A1680" s="477">
        <v>2669131.6394971348</v>
      </c>
      <c r="B1680" s="458">
        <v>7.2773043453868702E-2</v>
      </c>
      <c r="C1680" s="477">
        <v>11710005.632995931</v>
      </c>
      <c r="D1680" s="458">
        <v>4.2135080298376204E-2</v>
      </c>
      <c r="E1680" s="477">
        <v>12374461.609890129</v>
      </c>
      <c r="F1680" s="458">
        <v>8.7824619395816983E-2</v>
      </c>
      <c r="G1680" s="477">
        <v>75226404.531290799</v>
      </c>
      <c r="H1680" s="458">
        <v>0.24768714747895237</v>
      </c>
      <c r="I1680" s="468">
        <v>7.6039921907997465</v>
      </c>
    </row>
    <row r="1681" spans="1:9" ht="16.5" x14ac:dyDescent="0.3">
      <c r="A1681" s="477">
        <v>2429572.2736961665</v>
      </c>
      <c r="B1681" s="458">
        <v>2.3468185725997515E-2</v>
      </c>
      <c r="C1681" s="477">
        <v>10105231.238603517</v>
      </c>
      <c r="D1681" s="458">
        <v>5.0388175724735751E-2</v>
      </c>
      <c r="E1681" s="477">
        <v>13514409.454145029</v>
      </c>
      <c r="F1681" s="458">
        <v>0.11148326786724194</v>
      </c>
      <c r="G1681" s="477">
        <v>81799631.291041419</v>
      </c>
      <c r="H1681" s="458">
        <v>0.25917682202312808</v>
      </c>
      <c r="I1681" s="468">
        <v>7.5033495450548067</v>
      </c>
    </row>
    <row r="1682" spans="1:9" ht="16.5" x14ac:dyDescent="0.3">
      <c r="A1682" s="477">
        <v>7301743.4959658226</v>
      </c>
      <c r="B1682" s="458">
        <v>6.5826932289640983E-3</v>
      </c>
      <c r="C1682" s="477">
        <v>8272847.1434479915</v>
      </c>
      <c r="D1682" s="458">
        <v>6.7784989720632405E-2</v>
      </c>
      <c r="E1682" s="477">
        <v>19786871.749233488</v>
      </c>
      <c r="F1682" s="458">
        <v>0.1264177977769565</v>
      </c>
      <c r="G1682" s="477">
        <v>99941562.12546888</v>
      </c>
      <c r="H1682" s="458">
        <v>0.25003590941188669</v>
      </c>
      <c r="I1682" s="468">
        <v>1.6062725069212043</v>
      </c>
    </row>
    <row r="1683" spans="1:9" ht="16.5" x14ac:dyDescent="0.3">
      <c r="A1683" s="477">
        <v>11523423.432280106</v>
      </c>
      <c r="B1683" s="458">
        <v>4.0793542462749244E-2</v>
      </c>
      <c r="C1683" s="477">
        <v>10592438.414404018</v>
      </c>
      <c r="D1683" s="458">
        <v>7.8566530065286022E-2</v>
      </c>
      <c r="E1683" s="477">
        <v>20484582.717666518</v>
      </c>
      <c r="F1683" s="458">
        <v>0.11671255294336746</v>
      </c>
      <c r="G1683" s="477">
        <v>93364291.751433954</v>
      </c>
      <c r="H1683" s="458">
        <v>0.2651011160821386</v>
      </c>
      <c r="I1683" s="468">
        <v>6.038640662688417</v>
      </c>
    </row>
    <row r="1684" spans="1:9" ht="16.5" x14ac:dyDescent="0.3">
      <c r="A1684" s="477">
        <v>6775183.2405639477</v>
      </c>
      <c r="B1684" s="458">
        <v>5.6008068685125423E-2</v>
      </c>
      <c r="C1684" s="477">
        <v>6649992.7516038222</v>
      </c>
      <c r="D1684" s="458">
        <v>4.2450449155210457E-2</v>
      </c>
      <c r="E1684" s="477">
        <v>17505798.227718372</v>
      </c>
      <c r="F1684" s="458">
        <v>0.11730892316740782</v>
      </c>
      <c r="G1684" s="477">
        <v>91782144.403183773</v>
      </c>
      <c r="H1684" s="458">
        <v>0.25493695033049013</v>
      </c>
      <c r="I1684" s="468">
        <v>4.2994443233509108</v>
      </c>
    </row>
    <row r="1685" spans="1:9" ht="16.5" x14ac:dyDescent="0.3">
      <c r="A1685" s="477">
        <v>6326031.7453630781</v>
      </c>
      <c r="B1685" s="458">
        <v>2.7974798286155345E-2</v>
      </c>
      <c r="C1685" s="477">
        <v>13356402.823284011</v>
      </c>
      <c r="D1685" s="458">
        <v>8.3243763236479529E-2</v>
      </c>
      <c r="E1685" s="477">
        <v>20082870.534548659</v>
      </c>
      <c r="F1685" s="458">
        <v>0.11270060799763959</v>
      </c>
      <c r="G1685" s="477">
        <v>100074017.37410785</v>
      </c>
      <c r="H1685" s="458">
        <v>0.26475163248333677</v>
      </c>
      <c r="I1685" s="468">
        <v>9.3054106214922729</v>
      </c>
    </row>
    <row r="1686" spans="1:9" ht="16.5" x14ac:dyDescent="0.3">
      <c r="A1686" s="477">
        <v>-2141085.2814328508</v>
      </c>
      <c r="B1686" s="458">
        <v>4.027207906854624E-2</v>
      </c>
      <c r="C1686" s="477">
        <v>3188516.5835741246</v>
      </c>
      <c r="D1686" s="458">
        <v>5.6210197117493532E-2</v>
      </c>
      <c r="E1686" s="477">
        <v>17735604.077544946</v>
      </c>
      <c r="F1686" s="458">
        <v>0.10084329655327218</v>
      </c>
      <c r="G1686" s="477">
        <v>77950098.777875632</v>
      </c>
      <c r="H1686" s="458">
        <v>0.25867953620085515</v>
      </c>
      <c r="I1686" s="468">
        <v>7.4255830741253437</v>
      </c>
    </row>
    <row r="1687" spans="1:9" ht="16.5" x14ac:dyDescent="0.3">
      <c r="A1687" s="477">
        <v>4733818.7751861876</v>
      </c>
      <c r="B1687" s="458">
        <v>2.9856279849473477E-2</v>
      </c>
      <c r="C1687" s="477">
        <v>6924567.897357936</v>
      </c>
      <c r="D1687" s="458">
        <v>6.3359246635992683E-2</v>
      </c>
      <c r="E1687" s="477">
        <v>8613363.5375931971</v>
      </c>
      <c r="F1687" s="458">
        <v>0.12260329578833629</v>
      </c>
      <c r="G1687" s="477">
        <v>95157135.236808568</v>
      </c>
      <c r="H1687" s="458">
        <v>0.26977908102979775</v>
      </c>
      <c r="I1687" s="468">
        <v>4.3251370878316919</v>
      </c>
    </row>
    <row r="1688" spans="1:9" ht="16.5" x14ac:dyDescent="0.3">
      <c r="A1688" s="477">
        <v>4063130.2557651517</v>
      </c>
      <c r="B1688" s="458">
        <v>4.989190126044929E-2</v>
      </c>
      <c r="C1688" s="477">
        <v>8403632.2073830776</v>
      </c>
      <c r="D1688" s="458">
        <v>6.3191322193914212E-2</v>
      </c>
      <c r="E1688" s="477">
        <v>12628490.141485969</v>
      </c>
      <c r="F1688" s="458">
        <v>0.1003911760272973</v>
      </c>
      <c r="G1688" s="477">
        <v>86258651.965874404</v>
      </c>
      <c r="H1688" s="458">
        <v>0.25868559296287219</v>
      </c>
      <c r="I1688" s="468">
        <v>9.8477769286798864</v>
      </c>
    </row>
    <row r="1689" spans="1:9" ht="16.5" x14ac:dyDescent="0.3">
      <c r="A1689" s="477">
        <v>5023921.576825182</v>
      </c>
      <c r="B1689" s="458">
        <v>4.8865673476248483E-2</v>
      </c>
      <c r="C1689" s="477">
        <v>12259092.002469053</v>
      </c>
      <c r="D1689" s="458">
        <v>9.5859990585033916E-2</v>
      </c>
      <c r="E1689" s="477">
        <v>7534086.9849236421</v>
      </c>
      <c r="F1689" s="458">
        <v>9.658574438908496E-2</v>
      </c>
      <c r="G1689" s="477">
        <v>98816672.679840073</v>
      </c>
      <c r="H1689" s="458">
        <v>0.26495049904737744</v>
      </c>
      <c r="I1689" s="468">
        <v>8.4415222019355749</v>
      </c>
    </row>
    <row r="1690" spans="1:9" ht="16.5" x14ac:dyDescent="0.3">
      <c r="A1690" s="477">
        <v>6637423.6791675249</v>
      </c>
      <c r="B1690" s="458">
        <v>4.0506542562513959E-2</v>
      </c>
      <c r="C1690" s="477">
        <v>13337524.161306743</v>
      </c>
      <c r="D1690" s="458">
        <v>6.5872926882714955E-2</v>
      </c>
      <c r="E1690" s="477">
        <v>17211670.215671368</v>
      </c>
      <c r="F1690" s="458">
        <v>7.7605938666589047E-2</v>
      </c>
      <c r="G1690" s="477">
        <v>81850232.790691227</v>
      </c>
      <c r="H1690" s="458">
        <v>0.28165812001659662</v>
      </c>
      <c r="I1690" s="468">
        <v>12.497465436944605</v>
      </c>
    </row>
    <row r="1691" spans="1:9" ht="16.5" x14ac:dyDescent="0.3">
      <c r="A1691" s="477">
        <v>8322796.6848556576</v>
      </c>
      <c r="B1691" s="458">
        <v>5.8016906849636118E-2</v>
      </c>
      <c r="C1691" s="477">
        <v>9494055.9995807651</v>
      </c>
      <c r="D1691" s="458">
        <v>0.11954184792269906</v>
      </c>
      <c r="E1691" s="477">
        <v>13508034.626022262</v>
      </c>
      <c r="F1691" s="458">
        <v>0.1109193031252258</v>
      </c>
      <c r="G1691" s="477">
        <v>90618169.698206648</v>
      </c>
      <c r="H1691" s="458">
        <v>0.26541537706648555</v>
      </c>
      <c r="I1691" s="468">
        <v>9.5957400840266178</v>
      </c>
    </row>
    <row r="1692" spans="1:9" ht="16.5" x14ac:dyDescent="0.3">
      <c r="A1692" s="477">
        <v>3318529.8468958801</v>
      </c>
      <c r="B1692" s="458">
        <v>3.179346027726071E-2</v>
      </c>
      <c r="C1692" s="477">
        <v>8685134.068551071</v>
      </c>
      <c r="D1692" s="458">
        <v>6.9135498618076774E-2</v>
      </c>
      <c r="E1692" s="477">
        <v>14721009.256908167</v>
      </c>
      <c r="F1692" s="458">
        <v>0.11819776365575074</v>
      </c>
      <c r="G1692" s="477">
        <v>82979449.866122842</v>
      </c>
      <c r="H1692" s="458">
        <v>0.27400535573701856</v>
      </c>
      <c r="I1692" s="468">
        <v>10.257925001714959</v>
      </c>
    </row>
    <row r="1693" spans="1:9" ht="16.5" x14ac:dyDescent="0.3">
      <c r="A1693" s="477">
        <v>3744244.9541489417</v>
      </c>
      <c r="B1693" s="458">
        <v>3.9032869962383421E-2</v>
      </c>
      <c r="C1693" s="477">
        <v>10719850.074616911</v>
      </c>
      <c r="D1693" s="458">
        <v>7.704978004988372E-2</v>
      </c>
      <c r="E1693" s="477">
        <v>12587856.304308079</v>
      </c>
      <c r="F1693" s="458">
        <v>0.12779734519385388</v>
      </c>
      <c r="G1693" s="477">
        <v>92432281.002734616</v>
      </c>
      <c r="H1693" s="458">
        <v>0.26373156158865751</v>
      </c>
      <c r="I1693" s="468">
        <v>12.699437327208424</v>
      </c>
    </row>
    <row r="1694" spans="1:9" ht="16.5" x14ac:dyDescent="0.3">
      <c r="A1694" s="477">
        <v>4270124.5176851051</v>
      </c>
      <c r="B1694" s="458">
        <v>5.8045356505157741E-2</v>
      </c>
      <c r="C1694" s="477">
        <v>8904560.5322311353</v>
      </c>
      <c r="D1694" s="458">
        <v>5.5912254576149234E-2</v>
      </c>
      <c r="E1694" s="477">
        <v>17668088.167760909</v>
      </c>
      <c r="F1694" s="458">
        <v>0.12757752812155254</v>
      </c>
      <c r="G1694" s="477">
        <v>86257608.689038932</v>
      </c>
      <c r="H1694" s="458">
        <v>0.27410744970291701</v>
      </c>
      <c r="I1694" s="468">
        <v>1.361091660535009</v>
      </c>
    </row>
    <row r="1695" spans="1:9" ht="16.5" x14ac:dyDescent="0.3">
      <c r="A1695" s="477">
        <v>6093633.0333478115</v>
      </c>
      <c r="B1695" s="458">
        <v>4.6477077004634104E-2</v>
      </c>
      <c r="C1695" s="477">
        <v>-346634.21080457087</v>
      </c>
      <c r="D1695" s="458">
        <v>4.7928052532028254E-2</v>
      </c>
      <c r="E1695" s="477">
        <v>14347847.111675965</v>
      </c>
      <c r="F1695" s="458">
        <v>0.10339260319968879</v>
      </c>
      <c r="G1695" s="477">
        <v>103048006.92434305</v>
      </c>
      <c r="H1695" s="458">
        <v>0.25447682704010166</v>
      </c>
      <c r="I1695" s="468">
        <v>5.9313324302538462</v>
      </c>
    </row>
    <row r="1696" spans="1:9" ht="16.5" x14ac:dyDescent="0.3">
      <c r="A1696" s="477">
        <v>7441484.9233818743</v>
      </c>
      <c r="B1696" s="458">
        <v>3.7754961523000397E-2</v>
      </c>
      <c r="C1696" s="477">
        <v>5603670.4231840465</v>
      </c>
      <c r="D1696" s="458">
        <v>7.968527044671081E-2</v>
      </c>
      <c r="E1696" s="477">
        <v>23829795.225835282</v>
      </c>
      <c r="F1696" s="458">
        <v>0.10311836784299255</v>
      </c>
      <c r="G1696" s="477">
        <v>88636799.867460132</v>
      </c>
      <c r="H1696" s="458">
        <v>0.29240079028330701</v>
      </c>
      <c r="I1696" s="468">
        <v>8.4542795591548305</v>
      </c>
    </row>
    <row r="1697" spans="1:9" ht="16.5" x14ac:dyDescent="0.3">
      <c r="A1697" s="477">
        <v>4645061.0959497774</v>
      </c>
      <c r="B1697" s="458">
        <v>3.7934587995732016E-2</v>
      </c>
      <c r="C1697" s="477">
        <v>13578537.53838329</v>
      </c>
      <c r="D1697" s="458">
        <v>5.0770633927375686E-2</v>
      </c>
      <c r="E1697" s="477">
        <v>10186698.710350825</v>
      </c>
      <c r="F1697" s="458">
        <v>0.11945720261427484</v>
      </c>
      <c r="G1697" s="477">
        <v>84577961.415989861</v>
      </c>
      <c r="H1697" s="458">
        <v>0.28830941113826691</v>
      </c>
      <c r="I1697" s="468">
        <v>11.189549240294522</v>
      </c>
    </row>
    <row r="1698" spans="1:9" ht="16.5" x14ac:dyDescent="0.3">
      <c r="A1698" s="477">
        <v>7807958.1543709645</v>
      </c>
      <c r="B1698" s="458">
        <v>3.0298137630011768E-2</v>
      </c>
      <c r="C1698" s="477">
        <v>9280075.8670458999</v>
      </c>
      <c r="D1698" s="458">
        <v>7.8533446186242584E-2</v>
      </c>
      <c r="E1698" s="477">
        <v>5192652.9155182708</v>
      </c>
      <c r="F1698" s="458">
        <v>0.10170111667435422</v>
      </c>
      <c r="G1698" s="477">
        <v>92144789.123448059</v>
      </c>
      <c r="H1698" s="458">
        <v>0.26086888043381373</v>
      </c>
      <c r="I1698" s="468">
        <v>10.673335320705469</v>
      </c>
    </row>
    <row r="1699" spans="1:9" ht="16.5" x14ac:dyDescent="0.3">
      <c r="A1699" s="477">
        <v>4742857.9568049004</v>
      </c>
      <c r="B1699" s="458">
        <v>3.2397513465716399E-2</v>
      </c>
      <c r="C1699" s="477">
        <v>11461708.38450042</v>
      </c>
      <c r="D1699" s="458">
        <v>5.2091611818793293E-2</v>
      </c>
      <c r="E1699" s="477">
        <v>23889544.118557487</v>
      </c>
      <c r="F1699" s="458">
        <v>0.13306211182611882</v>
      </c>
      <c r="G1699" s="477">
        <v>97079561.977300882</v>
      </c>
      <c r="H1699" s="458">
        <v>0.27071091927876623</v>
      </c>
      <c r="I1699" s="468">
        <v>13.269673382486596</v>
      </c>
    </row>
    <row r="1700" spans="1:9" ht="16.5" x14ac:dyDescent="0.3">
      <c r="A1700" s="477">
        <v>8569513.9973581508</v>
      </c>
      <c r="B1700" s="458">
        <v>5.2555697495950682E-2</v>
      </c>
      <c r="C1700" s="477">
        <v>8698281.626227105</v>
      </c>
      <c r="D1700" s="458">
        <v>6.2376760871977632E-2</v>
      </c>
      <c r="E1700" s="477">
        <v>21292184.340423796</v>
      </c>
      <c r="F1700" s="458">
        <v>0.1110991559298371</v>
      </c>
      <c r="G1700" s="477">
        <v>93975958.056868926</v>
      </c>
      <c r="H1700" s="458">
        <v>0.2660444791589025</v>
      </c>
      <c r="I1700" s="468">
        <v>6.8742210743849483</v>
      </c>
    </row>
    <row r="1701" spans="1:9" ht="16.5" x14ac:dyDescent="0.3">
      <c r="A1701" s="477">
        <v>4225118.5003214367</v>
      </c>
      <c r="B1701" s="458">
        <v>3.9698151260608494E-2</v>
      </c>
      <c r="C1701" s="477">
        <v>16370220.503524484</v>
      </c>
      <c r="D1701" s="458">
        <v>7.961442418411746E-2</v>
      </c>
      <c r="E1701" s="477">
        <v>14203369.767414765</v>
      </c>
      <c r="F1701" s="458">
        <v>0.11356435182070324</v>
      </c>
      <c r="G1701" s="477">
        <v>77663452.554726437</v>
      </c>
      <c r="H1701" s="458">
        <v>0.2612420162571143</v>
      </c>
      <c r="I1701" s="468">
        <v>6.8989278002522578</v>
      </c>
    </row>
    <row r="1702" spans="1:9" ht="16.5" x14ac:dyDescent="0.3">
      <c r="A1702" s="477">
        <v>2930926.3527616072</v>
      </c>
      <c r="B1702" s="458">
        <v>5.4386120924147408E-2</v>
      </c>
      <c r="C1702" s="477">
        <v>7701583.1171642356</v>
      </c>
      <c r="D1702" s="458">
        <v>8.5830105756355524E-2</v>
      </c>
      <c r="E1702" s="477">
        <v>22072676.83850776</v>
      </c>
      <c r="F1702" s="458">
        <v>0.13034614512616605</v>
      </c>
      <c r="G1702" s="477">
        <v>91412076.231102869</v>
      </c>
      <c r="H1702" s="458">
        <v>0.26535087882926889</v>
      </c>
      <c r="I1702" s="468">
        <v>6.6013456434874644</v>
      </c>
    </row>
    <row r="1703" spans="1:9" ht="16.5" x14ac:dyDescent="0.3">
      <c r="A1703" s="477">
        <v>1150248.4340731471</v>
      </c>
      <c r="B1703" s="458">
        <v>5.4699858373310706E-2</v>
      </c>
      <c r="C1703" s="477">
        <v>16360468.225623898</v>
      </c>
      <c r="D1703" s="458">
        <v>5.7378008539000547E-2</v>
      </c>
      <c r="E1703" s="477">
        <v>17545227.678022835</v>
      </c>
      <c r="F1703" s="458">
        <v>0.1059930373754896</v>
      </c>
      <c r="G1703" s="477">
        <v>81974622.338502884</v>
      </c>
      <c r="H1703" s="458">
        <v>0.27085165750081397</v>
      </c>
      <c r="I1703" s="468">
        <v>9.5104814920860949</v>
      </c>
    </row>
    <row r="1704" spans="1:9" ht="16.5" x14ac:dyDescent="0.3">
      <c r="A1704" s="477">
        <v>5744297.7368038772</v>
      </c>
      <c r="B1704" s="458">
        <v>3.2007813779102223E-2</v>
      </c>
      <c r="C1704" s="477">
        <v>9805529.3043136131</v>
      </c>
      <c r="D1704" s="458">
        <v>7.6363338383588442E-2</v>
      </c>
      <c r="E1704" s="477">
        <v>20751902.603596702</v>
      </c>
      <c r="F1704" s="458">
        <v>0.11624307068807638</v>
      </c>
      <c r="G1704" s="477">
        <v>87597734.261142135</v>
      </c>
      <c r="H1704" s="458">
        <v>0.28814388258013435</v>
      </c>
      <c r="I1704" s="468">
        <v>1.3923095832247485</v>
      </c>
    </row>
    <row r="1705" spans="1:9" ht="16.5" x14ac:dyDescent="0.3">
      <c r="A1705" s="477">
        <v>2076521.2929634422</v>
      </c>
      <c r="B1705" s="458">
        <v>4.7789999673738537E-2</v>
      </c>
      <c r="C1705" s="477">
        <v>12569856.11412864</v>
      </c>
      <c r="D1705" s="458">
        <v>5.2401427048138105E-2</v>
      </c>
      <c r="E1705" s="477">
        <v>15506808.196235232</v>
      </c>
      <c r="F1705" s="458">
        <v>0.10821507755950743</v>
      </c>
      <c r="G1705" s="477">
        <v>95851962.736043274</v>
      </c>
      <c r="H1705" s="458">
        <v>0.26849675814348362</v>
      </c>
      <c r="I1705" s="468">
        <v>6.7171736598140592</v>
      </c>
    </row>
    <row r="1706" spans="1:9" ht="16.5" x14ac:dyDescent="0.3">
      <c r="A1706" s="477">
        <v>3797396.5658191955</v>
      </c>
      <c r="B1706" s="458">
        <v>5.2494617131442212E-2</v>
      </c>
      <c r="C1706" s="477">
        <v>8751482.8929176852</v>
      </c>
      <c r="D1706" s="458">
        <v>6.4908063413303019E-2</v>
      </c>
      <c r="E1706" s="477">
        <v>19390447.656978149</v>
      </c>
      <c r="F1706" s="458">
        <v>0.10103951929101518</v>
      </c>
      <c r="G1706" s="477">
        <v>85335479.340534016</v>
      </c>
      <c r="H1706" s="458">
        <v>0.26509673038070591</v>
      </c>
      <c r="I1706" s="468">
        <v>8.3141844560676308</v>
      </c>
    </row>
    <row r="1707" spans="1:9" ht="16.5" x14ac:dyDescent="0.3">
      <c r="A1707" s="477">
        <v>714631.9429382768</v>
      </c>
      <c r="B1707" s="458">
        <v>4.2362118832792284E-2</v>
      </c>
      <c r="C1707" s="477">
        <v>7273313.6516988231</v>
      </c>
      <c r="D1707" s="458">
        <v>3.1202694917432439E-2</v>
      </c>
      <c r="E1707" s="477">
        <v>22470441.562484454</v>
      </c>
      <c r="F1707" s="458">
        <v>9.1360971832981308E-2</v>
      </c>
      <c r="G1707" s="477">
        <v>83145068.18905133</v>
      </c>
      <c r="H1707" s="458">
        <v>0.25401490349348954</v>
      </c>
      <c r="I1707" s="468">
        <v>4.2041778469555897</v>
      </c>
    </row>
    <row r="1708" spans="1:9" ht="16.5" x14ac:dyDescent="0.3">
      <c r="A1708" s="477">
        <v>3451699.9184365273</v>
      </c>
      <c r="B1708" s="458">
        <v>1.8801165701445299E-2</v>
      </c>
      <c r="C1708" s="477">
        <v>13026243.989626627</v>
      </c>
      <c r="D1708" s="458">
        <v>5.2909551919794406E-2</v>
      </c>
      <c r="E1708" s="477">
        <v>18118887.273193281</v>
      </c>
      <c r="F1708" s="458">
        <v>0.10010653781651291</v>
      </c>
      <c r="G1708" s="477">
        <v>84267628.845237941</v>
      </c>
      <c r="H1708" s="458">
        <v>0.26155605368324286</v>
      </c>
      <c r="I1708" s="468">
        <v>11.14540923264784</v>
      </c>
    </row>
    <row r="1709" spans="1:9" ht="16.5" x14ac:dyDescent="0.3">
      <c r="A1709" s="477">
        <v>4852230.6632915633</v>
      </c>
      <c r="B1709" s="458">
        <v>6.0089942479318204E-2</v>
      </c>
      <c r="C1709" s="477">
        <v>8311603.243296992</v>
      </c>
      <c r="D1709" s="458">
        <v>6.8186544974311536E-2</v>
      </c>
      <c r="E1709" s="477">
        <v>18340654.62068915</v>
      </c>
      <c r="F1709" s="458">
        <v>0.10652113664490703</v>
      </c>
      <c r="G1709" s="477">
        <v>81765543.136458665</v>
      </c>
      <c r="H1709" s="458">
        <v>0.30658755705796947</v>
      </c>
      <c r="I1709" s="468">
        <v>8.9536729474268189</v>
      </c>
    </row>
    <row r="1710" spans="1:9" ht="16.5" x14ac:dyDescent="0.3">
      <c r="A1710" s="477">
        <v>9755792.5346213449</v>
      </c>
      <c r="B1710" s="458">
        <v>4.2064709262299438E-2</v>
      </c>
      <c r="C1710" s="477">
        <v>7036868.9348579505</v>
      </c>
      <c r="D1710" s="458">
        <v>6.7356558303100167E-2</v>
      </c>
      <c r="E1710" s="477">
        <v>19583981.92298875</v>
      </c>
      <c r="F1710" s="458">
        <v>0.11060625621716813</v>
      </c>
      <c r="G1710" s="477">
        <v>100238226.27901331</v>
      </c>
      <c r="H1710" s="458">
        <v>0.26558881802202716</v>
      </c>
      <c r="I1710" s="468">
        <v>2.3397929059132014</v>
      </c>
    </row>
    <row r="1711" spans="1:9" ht="16.5" x14ac:dyDescent="0.3">
      <c r="A1711" s="477">
        <v>6589562.7809975585</v>
      </c>
      <c r="B1711" s="458">
        <v>5.6339099952022131E-2</v>
      </c>
      <c r="C1711" s="477">
        <v>15128935.165079618</v>
      </c>
      <c r="D1711" s="458">
        <v>5.9308924396414664E-2</v>
      </c>
      <c r="E1711" s="477">
        <v>9611558.1976500303</v>
      </c>
      <c r="F1711" s="458">
        <v>9.8844771418715949E-2</v>
      </c>
      <c r="G1711" s="477">
        <v>91004498.710134536</v>
      </c>
      <c r="H1711" s="458">
        <v>0.25071618508045557</v>
      </c>
      <c r="I1711" s="468">
        <v>4.1695887866644767</v>
      </c>
    </row>
    <row r="1712" spans="1:9" ht="16.5" x14ac:dyDescent="0.3">
      <c r="A1712" s="477">
        <v>6450571.9836147549</v>
      </c>
      <c r="B1712" s="458">
        <v>3.4325290318515611E-2</v>
      </c>
      <c r="C1712" s="477">
        <v>9476569.1835159492</v>
      </c>
      <c r="D1712" s="458">
        <v>5.6483474474070761E-2</v>
      </c>
      <c r="E1712" s="477">
        <v>16442993.071727393</v>
      </c>
      <c r="F1712" s="458">
        <v>0.12647960797347646</v>
      </c>
      <c r="G1712" s="477">
        <v>76005905.694100559</v>
      </c>
      <c r="H1712" s="458">
        <v>0.25618705320588475</v>
      </c>
      <c r="I1712" s="468">
        <v>15.395297291690046</v>
      </c>
    </row>
    <row r="1713" spans="1:9" ht="16.5" x14ac:dyDescent="0.3">
      <c r="A1713" s="477">
        <v>8721424.6558573544</v>
      </c>
      <c r="B1713" s="458">
        <v>3.1348734291891445E-2</v>
      </c>
      <c r="C1713" s="477">
        <v>7606604.5832742956</v>
      </c>
      <c r="D1713" s="458">
        <v>4.3644649219775511E-2</v>
      </c>
      <c r="E1713" s="477">
        <v>17488210.920589454</v>
      </c>
      <c r="F1713" s="458">
        <v>0.10931073273249914</v>
      </c>
      <c r="G1713" s="477">
        <v>86515570.779480591</v>
      </c>
      <c r="H1713" s="458">
        <v>0.2639320072109792</v>
      </c>
      <c r="I1713" s="468">
        <v>5.8791272238290517</v>
      </c>
    </row>
    <row r="1714" spans="1:9" ht="16.5" x14ac:dyDescent="0.3">
      <c r="A1714" s="477">
        <v>4270412.9190541701</v>
      </c>
      <c r="B1714" s="458">
        <v>4.7753899890733198E-2</v>
      </c>
      <c r="C1714" s="477">
        <v>9782635.0201488063</v>
      </c>
      <c r="D1714" s="458">
        <v>5.9889555273456851E-2</v>
      </c>
      <c r="E1714" s="477">
        <v>23466013.404079676</v>
      </c>
      <c r="F1714" s="458">
        <v>9.8790286384319526E-2</v>
      </c>
      <c r="G1714" s="477">
        <v>86681312.728325129</v>
      </c>
      <c r="H1714" s="458">
        <v>0.28246696766333113</v>
      </c>
      <c r="I1714" s="468">
        <v>2.352442743912051</v>
      </c>
    </row>
    <row r="1715" spans="1:9" ht="16.5" x14ac:dyDescent="0.3">
      <c r="A1715" s="477">
        <v>3778457.2573822835</v>
      </c>
      <c r="B1715" s="458">
        <v>3.3518298583270711E-2</v>
      </c>
      <c r="C1715" s="477">
        <v>8299606.1041694088</v>
      </c>
      <c r="D1715" s="458">
        <v>8.1137505180490344E-2</v>
      </c>
      <c r="E1715" s="477">
        <v>23540794.534127973</v>
      </c>
      <c r="F1715" s="458">
        <v>0.10039914191355193</v>
      </c>
      <c r="G1715" s="477">
        <v>86247841.804528147</v>
      </c>
      <c r="H1715" s="458">
        <v>0.24917932134294873</v>
      </c>
      <c r="I1715" s="468">
        <v>8.989466313977081</v>
      </c>
    </row>
    <row r="1716" spans="1:9" ht="16.5" x14ac:dyDescent="0.3">
      <c r="A1716" s="477">
        <v>3621073.4345822055</v>
      </c>
      <c r="B1716" s="458">
        <v>4.0843730293691705E-2</v>
      </c>
      <c r="C1716" s="477">
        <v>5850150.1884653326</v>
      </c>
      <c r="D1716" s="458">
        <v>4.6563518056454534E-2</v>
      </c>
      <c r="E1716" s="477">
        <v>12958373.889462342</v>
      </c>
      <c r="F1716" s="458">
        <v>9.2562367599192008E-2</v>
      </c>
      <c r="G1716" s="477">
        <v>95083049.227778748</v>
      </c>
      <c r="H1716" s="458">
        <v>0.27358148103616453</v>
      </c>
      <c r="I1716" s="468">
        <v>8.6530876040906683</v>
      </c>
    </row>
    <row r="1717" spans="1:9" ht="16.5" x14ac:dyDescent="0.3">
      <c r="A1717" s="477">
        <v>5315924.2709112316</v>
      </c>
      <c r="B1717" s="458">
        <v>5.0078366708888211E-2</v>
      </c>
      <c r="C1717" s="477">
        <v>9608648.4722430725</v>
      </c>
      <c r="D1717" s="458">
        <v>6.5195768102292995E-2</v>
      </c>
      <c r="E1717" s="477">
        <v>17128023.968992926</v>
      </c>
      <c r="F1717" s="458">
        <v>0.11371986892810448</v>
      </c>
      <c r="G1717" s="477">
        <v>90936479.966202632</v>
      </c>
      <c r="H1717" s="458">
        <v>0.28272460699612645</v>
      </c>
      <c r="I1717" s="468">
        <v>13.297102106777126</v>
      </c>
    </row>
    <row r="1718" spans="1:9" ht="16.5" x14ac:dyDescent="0.3">
      <c r="A1718" s="477">
        <v>6363325.2909103902</v>
      </c>
      <c r="B1718" s="458">
        <v>4.5828820562422212E-2</v>
      </c>
      <c r="C1718" s="477">
        <v>6593163.8367996756</v>
      </c>
      <c r="D1718" s="458">
        <v>8.102332702622328E-2</v>
      </c>
      <c r="E1718" s="477">
        <v>16570582.603476828</v>
      </c>
      <c r="F1718" s="458">
        <v>8.2740203329823458E-2</v>
      </c>
      <c r="G1718" s="477">
        <v>80747162.625914812</v>
      </c>
      <c r="H1718" s="458">
        <v>0.29250039405545358</v>
      </c>
      <c r="I1718" s="468">
        <v>7.5633324784814873</v>
      </c>
    </row>
    <row r="1719" spans="1:9" ht="16.5" x14ac:dyDescent="0.3">
      <c r="A1719" s="477">
        <v>2723856.9386065467</v>
      </c>
      <c r="B1719" s="458">
        <v>2.6806943146858053E-2</v>
      </c>
      <c r="C1719" s="477">
        <v>11045403.063308623</v>
      </c>
      <c r="D1719" s="458">
        <v>6.798504046882714E-2</v>
      </c>
      <c r="E1719" s="477">
        <v>22459119.261718716</v>
      </c>
      <c r="F1719" s="458">
        <v>0.13258776231709568</v>
      </c>
      <c r="G1719" s="477">
        <v>99851102.686220959</v>
      </c>
      <c r="H1719" s="458">
        <v>0.26730559971917689</v>
      </c>
      <c r="I1719" s="468">
        <v>9.3976475420975909</v>
      </c>
    </row>
    <row r="1720" spans="1:9" ht="16.5" x14ac:dyDescent="0.3">
      <c r="A1720" s="477">
        <v>4811721.0280958842</v>
      </c>
      <c r="B1720" s="458">
        <v>3.5729614148257927E-2</v>
      </c>
      <c r="C1720" s="477">
        <v>6548248.5154328123</v>
      </c>
      <c r="D1720" s="458">
        <v>4.5506362441809722E-2</v>
      </c>
      <c r="E1720" s="477">
        <v>24759109.354388028</v>
      </c>
      <c r="F1720" s="458">
        <v>0.11350253042426206</v>
      </c>
      <c r="G1720" s="477">
        <v>70505253.520233631</v>
      </c>
      <c r="H1720" s="458">
        <v>0.28659325910631717</v>
      </c>
      <c r="I1720" s="468">
        <v>10.606687961157309</v>
      </c>
    </row>
    <row r="1721" spans="1:9" ht="16.5" x14ac:dyDescent="0.3">
      <c r="A1721" s="477">
        <v>7649055.1120616365</v>
      </c>
      <c r="B1721" s="458">
        <v>1.9288377510909172E-2</v>
      </c>
      <c r="C1721" s="477">
        <v>11642854.197778514</v>
      </c>
      <c r="D1721" s="458">
        <v>0.10776619452570069</v>
      </c>
      <c r="E1721" s="477">
        <v>14342875.303852959</v>
      </c>
      <c r="F1721" s="458">
        <v>0.12968615784463267</v>
      </c>
      <c r="G1721" s="477">
        <v>91729229.194397032</v>
      </c>
      <c r="H1721" s="458">
        <v>0.27314462393435401</v>
      </c>
      <c r="I1721" s="468">
        <v>11.336614492898409</v>
      </c>
    </row>
    <row r="1722" spans="1:9" ht="16.5" x14ac:dyDescent="0.3">
      <c r="A1722" s="477">
        <v>4848435.5286789639</v>
      </c>
      <c r="B1722" s="458">
        <v>3.2354734008434916E-2</v>
      </c>
      <c r="C1722" s="477">
        <v>17727657.974091187</v>
      </c>
      <c r="D1722" s="458">
        <v>7.4992358173199491E-2</v>
      </c>
      <c r="E1722" s="477">
        <v>20560895.12810728</v>
      </c>
      <c r="F1722" s="458">
        <v>0.1088560681668822</v>
      </c>
      <c r="G1722" s="477">
        <v>97532323.838473588</v>
      </c>
      <c r="H1722" s="458">
        <v>0.25446671349238237</v>
      </c>
      <c r="I1722" s="468">
        <v>5.9752552494441042</v>
      </c>
    </row>
    <row r="1723" spans="1:9" ht="16.5" x14ac:dyDescent="0.3">
      <c r="A1723" s="477">
        <v>7815210.6512556728</v>
      </c>
      <c r="B1723" s="458">
        <v>6.1380627074077543E-2</v>
      </c>
      <c r="C1723" s="477">
        <v>13025918.957129637</v>
      </c>
      <c r="D1723" s="458">
        <v>7.4955901480471709E-2</v>
      </c>
      <c r="E1723" s="477">
        <v>3495736.8593998728</v>
      </c>
      <c r="F1723" s="458">
        <v>0.11569683250581897</v>
      </c>
      <c r="G1723" s="477">
        <v>85763721.712688595</v>
      </c>
      <c r="H1723" s="458">
        <v>0.26174357126194892</v>
      </c>
      <c r="I1723" s="468">
        <v>3.9833952061915765</v>
      </c>
    </row>
    <row r="1724" spans="1:9" ht="16.5" x14ac:dyDescent="0.3">
      <c r="A1724" s="477">
        <v>1765241.8454499331</v>
      </c>
      <c r="B1724" s="458">
        <v>2.9449314037720997E-2</v>
      </c>
      <c r="C1724" s="477">
        <v>2259519.5856234115</v>
      </c>
      <c r="D1724" s="458">
        <v>5.9951502106504018E-2</v>
      </c>
      <c r="E1724" s="477">
        <v>19244301.215259943</v>
      </c>
      <c r="F1724" s="458">
        <v>0.1129296755924647</v>
      </c>
      <c r="G1724" s="477">
        <v>88137175.075685382</v>
      </c>
      <c r="H1724" s="458">
        <v>0.25837709737746395</v>
      </c>
      <c r="I1724" s="468">
        <v>2.413393417350715</v>
      </c>
    </row>
    <row r="1725" spans="1:9" ht="16.5" x14ac:dyDescent="0.3">
      <c r="A1725" s="477">
        <v>6303596.7733681444</v>
      </c>
      <c r="B1725" s="458">
        <v>1.2157166754377613E-2</v>
      </c>
      <c r="C1725" s="477">
        <v>3121694.7287480137</v>
      </c>
      <c r="D1725" s="458">
        <v>8.1828137804902834E-2</v>
      </c>
      <c r="E1725" s="477">
        <v>25803947.149640784</v>
      </c>
      <c r="F1725" s="458">
        <v>8.7511941986803787E-2</v>
      </c>
      <c r="G1725" s="477">
        <v>83464233.721677423</v>
      </c>
      <c r="H1725" s="458">
        <v>0.25630951665005464</v>
      </c>
      <c r="I1725" s="468">
        <v>10.573299729278343</v>
      </c>
    </row>
    <row r="1726" spans="1:9" ht="16.5" x14ac:dyDescent="0.3">
      <c r="A1726" s="477">
        <v>6378345.6525660791</v>
      </c>
      <c r="B1726" s="458">
        <v>5.0163882129148574E-2</v>
      </c>
      <c r="C1726" s="477">
        <v>-2780547.2590542766</v>
      </c>
      <c r="D1726" s="458">
        <v>8.4454303991468693E-2</v>
      </c>
      <c r="E1726" s="477">
        <v>10473973.538868949</v>
      </c>
      <c r="F1726" s="458">
        <v>6.9972346489347581E-2</v>
      </c>
      <c r="G1726" s="477">
        <v>97133566.630540401</v>
      </c>
      <c r="H1726" s="458">
        <v>0.27928172006023755</v>
      </c>
      <c r="I1726" s="468">
        <v>13.085139782380729</v>
      </c>
    </row>
    <row r="1727" spans="1:9" ht="16.5" x14ac:dyDescent="0.3">
      <c r="A1727" s="477">
        <v>10261175.872489471</v>
      </c>
      <c r="B1727" s="458">
        <v>4.3331847644979993E-2</v>
      </c>
      <c r="C1727" s="477">
        <v>5372208.8336198302</v>
      </c>
      <c r="D1727" s="458">
        <v>7.1721258519454656E-2</v>
      </c>
      <c r="E1727" s="477">
        <v>25504985.13849625</v>
      </c>
      <c r="F1727" s="458">
        <v>0.13573288478412637</v>
      </c>
      <c r="G1727" s="477">
        <v>93942253.408032686</v>
      </c>
      <c r="H1727" s="458">
        <v>0.25928071934681718</v>
      </c>
      <c r="I1727" s="468">
        <v>5.8938318675580561</v>
      </c>
    </row>
    <row r="1728" spans="1:9" ht="16.5" x14ac:dyDescent="0.3">
      <c r="A1728" s="477">
        <v>2785624.0193971409</v>
      </c>
      <c r="B1728" s="458">
        <v>3.0596080809865978E-3</v>
      </c>
      <c r="C1728" s="477">
        <v>12800282.515525222</v>
      </c>
      <c r="D1728" s="458">
        <v>7.2314564614295307E-2</v>
      </c>
      <c r="E1728" s="477">
        <v>19367723.679240175</v>
      </c>
      <c r="F1728" s="458">
        <v>9.9424067776127556E-2</v>
      </c>
      <c r="G1728" s="477">
        <v>90840778.087548673</v>
      </c>
      <c r="H1728" s="458">
        <v>0.28412610759537316</v>
      </c>
      <c r="I1728" s="468">
        <v>3.5887178807702789</v>
      </c>
    </row>
    <row r="1729" spans="1:9" ht="16.5" x14ac:dyDescent="0.3">
      <c r="A1729" s="477">
        <v>2197411.6990396394</v>
      </c>
      <c r="B1729" s="458">
        <v>2.6138466206434785E-2</v>
      </c>
      <c r="C1729" s="477">
        <v>6360373.1347408593</v>
      </c>
      <c r="D1729" s="458">
        <v>8.2084094868221991E-2</v>
      </c>
      <c r="E1729" s="477">
        <v>10597602.228466844</v>
      </c>
      <c r="F1729" s="458">
        <v>0.11755508429136396</v>
      </c>
      <c r="G1729" s="477">
        <v>90225105.730738491</v>
      </c>
      <c r="H1729" s="458">
        <v>0.27072539201460577</v>
      </c>
      <c r="I1729" s="468">
        <v>3.4645363762241974</v>
      </c>
    </row>
    <row r="1730" spans="1:9" ht="16.5" x14ac:dyDescent="0.3">
      <c r="A1730" s="477">
        <v>9770857.481105933</v>
      </c>
      <c r="B1730" s="458">
        <v>3.4903263824765496E-2</v>
      </c>
      <c r="C1730" s="477">
        <v>5818345.6442833552</v>
      </c>
      <c r="D1730" s="458">
        <v>4.8287196452829306E-2</v>
      </c>
      <c r="E1730" s="477">
        <v>11639718.606665803</v>
      </c>
      <c r="F1730" s="458">
        <v>0.11330417079108535</v>
      </c>
      <c r="G1730" s="477">
        <v>98945737.977426529</v>
      </c>
      <c r="H1730" s="458">
        <v>0.25671626029085881</v>
      </c>
      <c r="I1730" s="468">
        <v>6.2770778058287284</v>
      </c>
    </row>
    <row r="1731" spans="1:9" ht="16.5" x14ac:dyDescent="0.3">
      <c r="A1731" s="477">
        <v>3702293.8747269083</v>
      </c>
      <c r="B1731" s="458">
        <v>1.2233679605652581E-2</v>
      </c>
      <c r="C1731" s="477">
        <v>10721850.968445409</v>
      </c>
      <c r="D1731" s="458">
        <v>5.4971848573410087E-2</v>
      </c>
      <c r="E1731" s="477">
        <v>10396712.922362119</v>
      </c>
      <c r="F1731" s="458">
        <v>0.10069533347095661</v>
      </c>
      <c r="G1731" s="477">
        <v>93533241.089059442</v>
      </c>
      <c r="H1731" s="458">
        <v>0.27390119994091622</v>
      </c>
      <c r="I1731" s="468">
        <v>9.0123605327424219</v>
      </c>
    </row>
    <row r="1732" spans="1:9" ht="16.5" x14ac:dyDescent="0.3">
      <c r="A1732" s="477">
        <v>5298913.5022367705</v>
      </c>
      <c r="B1732" s="458">
        <v>4.2101172739853476E-2</v>
      </c>
      <c r="C1732" s="477">
        <v>1830124.0449066244</v>
      </c>
      <c r="D1732" s="458">
        <v>7.0769276873771325E-2</v>
      </c>
      <c r="E1732" s="477">
        <v>16535094.738547111</v>
      </c>
      <c r="F1732" s="458">
        <v>9.7399767761792377E-2</v>
      </c>
      <c r="G1732" s="477">
        <v>81996254.598554283</v>
      </c>
      <c r="H1732" s="458">
        <v>0.26042983448576851</v>
      </c>
      <c r="I1732" s="468">
        <v>9.7096036249648048</v>
      </c>
    </row>
    <row r="1733" spans="1:9" ht="16.5" x14ac:dyDescent="0.3">
      <c r="A1733" s="477">
        <v>7082968.2308159266</v>
      </c>
      <c r="B1733" s="458">
        <v>4.5371661048260625E-2</v>
      </c>
      <c r="C1733" s="477">
        <v>9453599.8115567546</v>
      </c>
      <c r="D1733" s="458">
        <v>6.3333158288437108E-2</v>
      </c>
      <c r="E1733" s="477">
        <v>19169022.043609191</v>
      </c>
      <c r="F1733" s="458">
        <v>0.13148261652382742</v>
      </c>
      <c r="G1733" s="477">
        <v>88010283.368984863</v>
      </c>
      <c r="H1733" s="458">
        <v>0.27400595274622286</v>
      </c>
      <c r="I1733" s="468">
        <v>9.2618131990058608</v>
      </c>
    </row>
    <row r="1734" spans="1:9" ht="16.5" x14ac:dyDescent="0.3">
      <c r="A1734" s="477">
        <v>9549334.1572867446</v>
      </c>
      <c r="B1734" s="458">
        <v>2.5082843891294004E-2</v>
      </c>
      <c r="C1734" s="477">
        <v>13978756.377388272</v>
      </c>
      <c r="D1734" s="458">
        <v>6.953624634299338E-2</v>
      </c>
      <c r="E1734" s="477">
        <v>21282222.360157639</v>
      </c>
      <c r="F1734" s="458">
        <v>0.10829218321716017</v>
      </c>
      <c r="G1734" s="477">
        <v>80140134.173801899</v>
      </c>
      <c r="H1734" s="458">
        <v>0.27838128878494839</v>
      </c>
      <c r="I1734" s="468">
        <v>7.9698171967335991</v>
      </c>
    </row>
    <row r="1735" spans="1:9" ht="16.5" x14ac:dyDescent="0.3">
      <c r="A1735" s="477">
        <v>2328968.9604499848</v>
      </c>
      <c r="B1735" s="458">
        <v>4.2979500773198565E-2</v>
      </c>
      <c r="C1735" s="477">
        <v>15133207.399830803</v>
      </c>
      <c r="D1735" s="458">
        <v>6.8166890508667421E-2</v>
      </c>
      <c r="E1735" s="477">
        <v>17862935.586780455</v>
      </c>
      <c r="F1735" s="458">
        <v>0.12227520590220164</v>
      </c>
      <c r="G1735" s="477">
        <v>92359805.113181919</v>
      </c>
      <c r="H1735" s="458">
        <v>0.25882287095182299</v>
      </c>
      <c r="I1735" s="468">
        <v>2.9879119014649875</v>
      </c>
    </row>
    <row r="1736" spans="1:9" ht="16.5" x14ac:dyDescent="0.3">
      <c r="A1736" s="477">
        <v>7479154.6449141772</v>
      </c>
      <c r="B1736" s="458">
        <v>2.2666102971241164E-2</v>
      </c>
      <c r="C1736" s="477">
        <v>6911728.2400019094</v>
      </c>
      <c r="D1736" s="458">
        <v>8.4239193085185793E-2</v>
      </c>
      <c r="E1736" s="477">
        <v>18513744.161193445</v>
      </c>
      <c r="F1736" s="458">
        <v>0.12583974242098361</v>
      </c>
      <c r="G1736" s="477">
        <v>83091339.866207972</v>
      </c>
      <c r="H1736" s="458">
        <v>0.28640779089866086</v>
      </c>
      <c r="I1736" s="468">
        <v>7.3060576705446971</v>
      </c>
    </row>
    <row r="1737" spans="1:9" ht="16.5" x14ac:dyDescent="0.3">
      <c r="A1737" s="477">
        <v>5200107.4381859126</v>
      </c>
      <c r="B1737" s="458">
        <v>5.4472843320213737E-2</v>
      </c>
      <c r="C1737" s="477">
        <v>5619621.02293579</v>
      </c>
      <c r="D1737" s="458">
        <v>6.2348603302450512E-2</v>
      </c>
      <c r="E1737" s="477">
        <v>11763265.715344869</v>
      </c>
      <c r="F1737" s="458">
        <v>0.12885397002323806</v>
      </c>
      <c r="G1737" s="477">
        <v>91035129.394179359</v>
      </c>
      <c r="H1737" s="458">
        <v>0.25356448204208548</v>
      </c>
      <c r="I1737" s="468">
        <v>11.597259041845266</v>
      </c>
    </row>
    <row r="1738" spans="1:9" ht="16.5" x14ac:dyDescent="0.3">
      <c r="A1738" s="477">
        <v>3697598.2655176311</v>
      </c>
      <c r="B1738" s="458">
        <v>3.2151814376205179E-2</v>
      </c>
      <c r="C1738" s="477">
        <v>5593954.8643132998</v>
      </c>
      <c r="D1738" s="458">
        <v>5.8584887133713348E-2</v>
      </c>
      <c r="E1738" s="477">
        <v>15456992.833564192</v>
      </c>
      <c r="F1738" s="458">
        <v>0.12313397829978778</v>
      </c>
      <c r="G1738" s="477">
        <v>89930144.35845086</v>
      </c>
      <c r="H1738" s="458">
        <v>0.28183044030948912</v>
      </c>
      <c r="I1738" s="468">
        <v>2.2549353188042724</v>
      </c>
    </row>
    <row r="1739" spans="1:9" ht="16.5" x14ac:dyDescent="0.3">
      <c r="A1739" s="477">
        <v>4580097.0741213383</v>
      </c>
      <c r="B1739" s="458">
        <v>3.4825116644505938E-2</v>
      </c>
      <c r="C1739" s="477">
        <v>5532077.976704861</v>
      </c>
      <c r="D1739" s="458">
        <v>6.8078506766962699E-2</v>
      </c>
      <c r="E1739" s="477">
        <v>13654121.509376651</v>
      </c>
      <c r="F1739" s="458">
        <v>0.10236218300316069</v>
      </c>
      <c r="G1739" s="477">
        <v>86635740.448722333</v>
      </c>
      <c r="H1739" s="458">
        <v>0.26235062998332936</v>
      </c>
      <c r="I1739" s="468">
        <v>12.825465150658045</v>
      </c>
    </row>
    <row r="1740" spans="1:9" ht="16.5" x14ac:dyDescent="0.3">
      <c r="A1740" s="477">
        <v>4888265.6128444578</v>
      </c>
      <c r="B1740" s="458">
        <v>2.1422840513420027E-2</v>
      </c>
      <c r="C1740" s="477">
        <v>5261431.0467464775</v>
      </c>
      <c r="D1740" s="458">
        <v>9.101649609244955E-2</v>
      </c>
      <c r="E1740" s="477">
        <v>16236873.242400359</v>
      </c>
      <c r="F1740" s="458">
        <v>0.1132029843187099</v>
      </c>
      <c r="G1740" s="477">
        <v>85478207.101697281</v>
      </c>
      <c r="H1740" s="458">
        <v>0.29032947367022621</v>
      </c>
      <c r="I1740" s="468">
        <v>8.4091445739815232</v>
      </c>
    </row>
    <row r="1741" spans="1:9" ht="16.5" x14ac:dyDescent="0.3">
      <c r="A1741" s="477">
        <v>4420876.5895461002</v>
      </c>
      <c r="B1741" s="458">
        <v>4.027397307659597E-2</v>
      </c>
      <c r="C1741" s="477">
        <v>14112364.607981153</v>
      </c>
      <c r="D1741" s="458">
        <v>5.6129518026422742E-2</v>
      </c>
      <c r="E1741" s="477">
        <v>9350289.2142364495</v>
      </c>
      <c r="F1741" s="458">
        <v>0.10209399144883058</v>
      </c>
      <c r="G1741" s="477">
        <v>74016797.008152664</v>
      </c>
      <c r="H1741" s="458">
        <v>0.28095490407705248</v>
      </c>
      <c r="I1741" s="468">
        <v>2.7576550843958891</v>
      </c>
    </row>
    <row r="1742" spans="1:9" ht="16.5" x14ac:dyDescent="0.3">
      <c r="A1742" s="477">
        <v>3797380.4943297287</v>
      </c>
      <c r="B1742" s="458">
        <v>6.1886035598189393E-2</v>
      </c>
      <c r="C1742" s="477">
        <v>5819927.3915030351</v>
      </c>
      <c r="D1742" s="458">
        <v>2.558941413209137E-2</v>
      </c>
      <c r="E1742" s="477">
        <v>13133253.395763874</v>
      </c>
      <c r="F1742" s="458">
        <v>0.122327449874303</v>
      </c>
      <c r="G1742" s="477">
        <v>95486916.191885129</v>
      </c>
      <c r="H1742" s="458">
        <v>0.27606752946906532</v>
      </c>
      <c r="I1742" s="468">
        <v>12.055267228144483</v>
      </c>
    </row>
    <row r="1743" spans="1:9" ht="16.5" x14ac:dyDescent="0.3">
      <c r="A1743" s="477">
        <v>8832216.8824757244</v>
      </c>
      <c r="B1743" s="458">
        <v>1.6406092313441034E-2</v>
      </c>
      <c r="C1743" s="477">
        <v>6284496.3779991753</v>
      </c>
      <c r="D1743" s="458">
        <v>6.2052672689969279E-2</v>
      </c>
      <c r="E1743" s="477">
        <v>14193553.423483087</v>
      </c>
      <c r="F1743" s="458">
        <v>0.11310389185028247</v>
      </c>
      <c r="G1743" s="477">
        <v>100311761.93622857</v>
      </c>
      <c r="H1743" s="458">
        <v>0.25694445827106649</v>
      </c>
      <c r="I1743" s="468">
        <v>12.034246819255689</v>
      </c>
    </row>
    <row r="1744" spans="1:9" ht="16.5" x14ac:dyDescent="0.3">
      <c r="A1744" s="477">
        <v>4560481.8294791151</v>
      </c>
      <c r="B1744" s="458">
        <v>4.0571317411391083E-2</v>
      </c>
      <c r="C1744" s="477">
        <v>11478192.395237882</v>
      </c>
      <c r="D1744" s="458">
        <v>4.8236189198846313E-2</v>
      </c>
      <c r="E1744" s="477">
        <v>12914267.820166672</v>
      </c>
      <c r="F1744" s="458">
        <v>0.12066012636118817</v>
      </c>
      <c r="G1744" s="477">
        <v>94613334.089550123</v>
      </c>
      <c r="H1744" s="458">
        <v>0.25098855279838106</v>
      </c>
      <c r="I1744" s="468">
        <v>13.235989280768937</v>
      </c>
    </row>
    <row r="1745" spans="1:9" ht="16.5" x14ac:dyDescent="0.3">
      <c r="A1745" s="477">
        <v>1512235.0439721979</v>
      </c>
      <c r="B1745" s="458">
        <v>4.2682663841236756E-2</v>
      </c>
      <c r="C1745" s="477">
        <v>13007930.204872802</v>
      </c>
      <c r="D1745" s="458">
        <v>4.8143411645134471E-2</v>
      </c>
      <c r="E1745" s="477">
        <v>17285863.815916382</v>
      </c>
      <c r="F1745" s="458">
        <v>0.12258248405807604</v>
      </c>
      <c r="G1745" s="477">
        <v>75709030.774130106</v>
      </c>
      <c r="H1745" s="458">
        <v>0.2627734932675454</v>
      </c>
      <c r="I1745" s="468">
        <v>3.9004487140619277</v>
      </c>
    </row>
    <row r="1746" spans="1:9" ht="16.5" x14ac:dyDescent="0.3">
      <c r="A1746" s="477">
        <v>12098200.615357833</v>
      </c>
      <c r="B1746" s="458">
        <v>4.1193213252473937E-2</v>
      </c>
      <c r="C1746" s="477">
        <v>5382596.8267273335</v>
      </c>
      <c r="D1746" s="458">
        <v>8.034636229055736E-2</v>
      </c>
      <c r="E1746" s="477">
        <v>18479750.560005397</v>
      </c>
      <c r="F1746" s="458">
        <v>0.11252695316753858</v>
      </c>
      <c r="G1746" s="477">
        <v>81162780.63576363</v>
      </c>
      <c r="H1746" s="458">
        <v>0.2651899323290039</v>
      </c>
      <c r="I1746" s="468">
        <v>4.4080842713691011</v>
      </c>
    </row>
    <row r="1747" spans="1:9" ht="16.5" x14ac:dyDescent="0.3">
      <c r="A1747" s="477">
        <v>5240565.5162847843</v>
      </c>
      <c r="B1747" s="458">
        <v>3.5134855118998054E-2</v>
      </c>
      <c r="C1747" s="477">
        <v>14270638.060425909</v>
      </c>
      <c r="D1747" s="458">
        <v>7.1238921634904973E-2</v>
      </c>
      <c r="E1747" s="477">
        <v>13736374.312650042</v>
      </c>
      <c r="F1747" s="458">
        <v>9.3023055688989054E-2</v>
      </c>
      <c r="G1747" s="477">
        <v>85889228.1238949</v>
      </c>
      <c r="H1747" s="458">
        <v>0.27498696186328075</v>
      </c>
      <c r="I1747" s="468">
        <v>12.964704200428161</v>
      </c>
    </row>
    <row r="1748" spans="1:9" ht="16.5" x14ac:dyDescent="0.3">
      <c r="A1748" s="477">
        <v>4425900.5914675919</v>
      </c>
      <c r="B1748" s="458">
        <v>3.5228533514927385E-2</v>
      </c>
      <c r="C1748" s="477">
        <v>9830530.1530029066</v>
      </c>
      <c r="D1748" s="458">
        <v>6.2134130190726999E-2</v>
      </c>
      <c r="E1748" s="477">
        <v>17184160.906196512</v>
      </c>
      <c r="F1748" s="458">
        <v>0.1018576941680005</v>
      </c>
      <c r="G1748" s="477">
        <v>88312247.978111729</v>
      </c>
      <c r="H1748" s="458">
        <v>0.2582435675550554</v>
      </c>
      <c r="I1748" s="468">
        <v>7.2505866670919517E-2</v>
      </c>
    </row>
    <row r="1749" spans="1:9" ht="16.5" x14ac:dyDescent="0.3">
      <c r="A1749" s="477">
        <v>6855294.0114164855</v>
      </c>
      <c r="B1749" s="458">
        <v>2.9682195710987402E-2</v>
      </c>
      <c r="C1749" s="477">
        <v>6997974.7320712125</v>
      </c>
      <c r="D1749" s="458">
        <v>5.2504933255716146E-2</v>
      </c>
      <c r="E1749" s="477">
        <v>15794541.29027543</v>
      </c>
      <c r="F1749" s="458">
        <v>0.11572352904304206</v>
      </c>
      <c r="G1749" s="477">
        <v>81918414.683548898</v>
      </c>
      <c r="H1749" s="458">
        <v>0.26466591424469454</v>
      </c>
      <c r="I1749" s="468">
        <v>10.436327970456617</v>
      </c>
    </row>
    <row r="1750" spans="1:9" ht="16.5" x14ac:dyDescent="0.3">
      <c r="A1750" s="477">
        <v>4759170.7707534563</v>
      </c>
      <c r="B1750" s="458">
        <v>2.6456146166021766E-2</v>
      </c>
      <c r="C1750" s="477">
        <v>13289769.391308494</v>
      </c>
      <c r="D1750" s="458">
        <v>8.5215553452173021E-2</v>
      </c>
      <c r="E1750" s="477">
        <v>15425982.171460297</v>
      </c>
      <c r="F1750" s="458">
        <v>0.10737548339640646</v>
      </c>
      <c r="G1750" s="477">
        <v>81349373.696919367</v>
      </c>
      <c r="H1750" s="458">
        <v>0.26551937717452989</v>
      </c>
      <c r="I1750" s="468">
        <v>11.687160665074405</v>
      </c>
    </row>
    <row r="1751" spans="1:9" ht="16.5" x14ac:dyDescent="0.3">
      <c r="A1751" s="477">
        <v>-811927.43966611999</v>
      </c>
      <c r="B1751" s="458">
        <v>3.2056896838820403E-2</v>
      </c>
      <c r="C1751" s="477">
        <v>11683532.261694863</v>
      </c>
      <c r="D1751" s="458">
        <v>4.1150171196400631E-2</v>
      </c>
      <c r="E1751" s="477">
        <v>15494097.286512176</v>
      </c>
      <c r="F1751" s="458">
        <v>0.12262798196759284</v>
      </c>
      <c r="G1751" s="477">
        <v>101463151.17002928</v>
      </c>
      <c r="H1751" s="458">
        <v>0.26046271812808763</v>
      </c>
      <c r="I1751" s="468">
        <v>5.7546945279684021</v>
      </c>
    </row>
    <row r="1752" spans="1:9" ht="16.5" x14ac:dyDescent="0.3">
      <c r="A1752" s="477">
        <v>6163687.9817700684</v>
      </c>
      <c r="B1752" s="458">
        <v>4.9970543236563136E-2</v>
      </c>
      <c r="C1752" s="477">
        <v>12779572.077697203</v>
      </c>
      <c r="D1752" s="458">
        <v>7.638998709284639E-2</v>
      </c>
      <c r="E1752" s="477">
        <v>16909998.705578223</v>
      </c>
      <c r="F1752" s="458">
        <v>0.11792735105024788</v>
      </c>
      <c r="G1752" s="477">
        <v>83887997.886541173</v>
      </c>
      <c r="H1752" s="458">
        <v>0.23800714411619128</v>
      </c>
      <c r="I1752" s="468">
        <v>10.466234540314241</v>
      </c>
    </row>
    <row r="1753" spans="1:9" ht="16.5" x14ac:dyDescent="0.3">
      <c r="A1753" s="477">
        <v>3480640.2426052704</v>
      </c>
      <c r="B1753" s="458">
        <v>9.6458871561620807E-2</v>
      </c>
      <c r="C1753" s="477">
        <v>7802757.2127550188</v>
      </c>
      <c r="D1753" s="458">
        <v>6.6184053459112713E-2</v>
      </c>
      <c r="E1753" s="477">
        <v>14405302.468515519</v>
      </c>
      <c r="F1753" s="458">
        <v>8.88055393103937E-2</v>
      </c>
      <c r="G1753" s="477">
        <v>84782584.595735729</v>
      </c>
      <c r="H1753" s="458">
        <v>0.26513140463737828</v>
      </c>
      <c r="I1753" s="468">
        <v>14.111797044562962</v>
      </c>
    </row>
    <row r="1754" spans="1:9" ht="16.5" x14ac:dyDescent="0.3">
      <c r="A1754" s="477">
        <v>7252550.9610411534</v>
      </c>
      <c r="B1754" s="458">
        <v>6.540740700713199E-2</v>
      </c>
      <c r="C1754" s="477">
        <v>12228271.551123291</v>
      </c>
      <c r="D1754" s="458">
        <v>7.4260666174711609E-2</v>
      </c>
      <c r="E1754" s="477">
        <v>20586220.863347519</v>
      </c>
      <c r="F1754" s="458">
        <v>9.8436072042447753E-2</v>
      </c>
      <c r="G1754" s="477">
        <v>106537625.27977557</v>
      </c>
      <c r="H1754" s="458">
        <v>0.25909965554422643</v>
      </c>
      <c r="I1754" s="468">
        <v>15.2476898347557</v>
      </c>
    </row>
    <row r="1755" spans="1:9" ht="16.5" x14ac:dyDescent="0.3">
      <c r="A1755" s="477">
        <v>2073797.816054882</v>
      </c>
      <c r="B1755" s="458">
        <v>4.3727429337542034E-2</v>
      </c>
      <c r="C1755" s="477">
        <v>8620362.0047158636</v>
      </c>
      <c r="D1755" s="458">
        <v>7.7118228936038369E-2</v>
      </c>
      <c r="E1755" s="477">
        <v>24754969.534701716</v>
      </c>
      <c r="F1755" s="458">
        <v>0.15922761341808433</v>
      </c>
      <c r="G1755" s="477">
        <v>83552701.768935144</v>
      </c>
      <c r="H1755" s="458">
        <v>0.27317829014758499</v>
      </c>
      <c r="I1755" s="468">
        <v>8.7002383777719885</v>
      </c>
    </row>
    <row r="1756" spans="1:9" ht="16.5" x14ac:dyDescent="0.3">
      <c r="A1756" s="477">
        <v>1558339.7130300298</v>
      </c>
      <c r="B1756" s="458">
        <v>4.5649579344485325E-2</v>
      </c>
      <c r="C1756" s="477">
        <v>12448807.134305945</v>
      </c>
      <c r="D1756" s="458">
        <v>5.8206066023332337E-2</v>
      </c>
      <c r="E1756" s="477">
        <v>21038886.049214482</v>
      </c>
      <c r="F1756" s="458">
        <v>0.12789680774631207</v>
      </c>
      <c r="G1756" s="477">
        <v>91774598.054411069</v>
      </c>
      <c r="H1756" s="458">
        <v>0.26933345311748091</v>
      </c>
      <c r="I1756" s="468">
        <v>5.4450455360861181</v>
      </c>
    </row>
    <row r="1757" spans="1:9" ht="16.5" x14ac:dyDescent="0.3">
      <c r="A1757" s="477">
        <v>6118962.6413521171</v>
      </c>
      <c r="B1757" s="458">
        <v>4.5714222330084375E-2</v>
      </c>
      <c r="C1757" s="477">
        <v>6721045.7471859194</v>
      </c>
      <c r="D1757" s="458">
        <v>5.3433045348442842E-2</v>
      </c>
      <c r="E1757" s="477">
        <v>18573412.38423619</v>
      </c>
      <c r="F1757" s="458">
        <v>0.10060239172720831</v>
      </c>
      <c r="G1757" s="477">
        <v>95391948.041978672</v>
      </c>
      <c r="H1757" s="458">
        <v>0.288370723957039</v>
      </c>
      <c r="I1757" s="468">
        <v>13.295593071422147</v>
      </c>
    </row>
    <row r="1758" spans="1:9" ht="16.5" x14ac:dyDescent="0.3">
      <c r="A1758" s="477">
        <v>6575263.9260909241</v>
      </c>
      <c r="B1758" s="458">
        <v>4.1363743692649946E-2</v>
      </c>
      <c r="C1758" s="477">
        <v>7773764.3644722905</v>
      </c>
      <c r="D1758" s="458">
        <v>3.7462144095970373E-2</v>
      </c>
      <c r="E1758" s="477">
        <v>16984893.839762576</v>
      </c>
      <c r="F1758" s="458">
        <v>0.10495116106604896</v>
      </c>
      <c r="G1758" s="477">
        <v>89675152.414830342</v>
      </c>
      <c r="H1758" s="458">
        <v>0.27900551006477237</v>
      </c>
      <c r="I1758" s="468">
        <v>0.23930363762412288</v>
      </c>
    </row>
    <row r="1759" spans="1:9" ht="16.5" x14ac:dyDescent="0.3">
      <c r="A1759" s="477">
        <v>5964330.88839918</v>
      </c>
      <c r="B1759" s="458">
        <v>3.3463207131974704E-2</v>
      </c>
      <c r="C1759" s="477">
        <v>3166570.8154165023</v>
      </c>
      <c r="D1759" s="458">
        <v>4.2185082738140922E-2</v>
      </c>
      <c r="E1759" s="477">
        <v>13644553.930518143</v>
      </c>
      <c r="F1759" s="458">
        <v>9.5878621157593935E-2</v>
      </c>
      <c r="G1759" s="477">
        <v>95278424.884494275</v>
      </c>
      <c r="H1759" s="458">
        <v>0.2653847490876402</v>
      </c>
      <c r="I1759" s="468">
        <v>7.9795303252955083</v>
      </c>
    </row>
    <row r="1760" spans="1:9" ht="16.5" x14ac:dyDescent="0.3">
      <c r="A1760" s="477">
        <v>5611315.7222372759</v>
      </c>
      <c r="B1760" s="458">
        <v>3.8606136066101637E-2</v>
      </c>
      <c r="C1760" s="477">
        <v>12503166.248096861</v>
      </c>
      <c r="D1760" s="458">
        <v>5.8036742948656128E-2</v>
      </c>
      <c r="E1760" s="477">
        <v>13114966.214955496</v>
      </c>
      <c r="F1760" s="458">
        <v>9.8656148309071101E-2</v>
      </c>
      <c r="G1760" s="477">
        <v>90188493.795253754</v>
      </c>
      <c r="H1760" s="458">
        <v>0.27685685079253819</v>
      </c>
      <c r="I1760" s="468">
        <v>8.7502943432638371</v>
      </c>
    </row>
    <row r="1761" spans="1:9" ht="16.5" x14ac:dyDescent="0.3">
      <c r="A1761" s="477">
        <v>5139526.5788931167</v>
      </c>
      <c r="B1761" s="458">
        <v>2.8864449798027048E-2</v>
      </c>
      <c r="C1761" s="477">
        <v>1981587.9216620983</v>
      </c>
      <c r="D1761" s="458">
        <v>5.3207276017914751E-2</v>
      </c>
      <c r="E1761" s="477">
        <v>19635510.758196831</v>
      </c>
      <c r="F1761" s="458">
        <v>0.1255697446248718</v>
      </c>
      <c r="G1761" s="477">
        <v>84392344.72440733</v>
      </c>
      <c r="H1761" s="458">
        <v>0.27447687689592426</v>
      </c>
      <c r="I1761" s="468">
        <v>4.706988759868743</v>
      </c>
    </row>
    <row r="1762" spans="1:9" ht="16.5" x14ac:dyDescent="0.3">
      <c r="A1762" s="477">
        <v>4416448.6793705681</v>
      </c>
      <c r="B1762" s="458">
        <v>7.3845237000419228E-2</v>
      </c>
      <c r="C1762" s="477">
        <v>13203352.795431545</v>
      </c>
      <c r="D1762" s="458">
        <v>6.3467789351576931E-2</v>
      </c>
      <c r="E1762" s="477">
        <v>17605575.383065119</v>
      </c>
      <c r="F1762" s="458">
        <v>9.3840426159920609E-2</v>
      </c>
      <c r="G1762" s="477">
        <v>94634404.972491071</v>
      </c>
      <c r="H1762" s="458">
        <v>0.26428324766272859</v>
      </c>
      <c r="I1762" s="468">
        <v>0.94196541634560482</v>
      </c>
    </row>
    <row r="1763" spans="1:9" ht="16.5" x14ac:dyDescent="0.3">
      <c r="A1763" s="477">
        <v>1583972.9550400241</v>
      </c>
      <c r="B1763" s="458">
        <v>4.9792758663981029E-2</v>
      </c>
      <c r="C1763" s="477">
        <v>13502378.44202641</v>
      </c>
      <c r="D1763" s="458">
        <v>6.1769182734472405E-2</v>
      </c>
      <c r="E1763" s="477">
        <v>23231979.394763213</v>
      </c>
      <c r="F1763" s="458">
        <v>0.13153312703884623</v>
      </c>
      <c r="G1763" s="477">
        <v>85395214.055853575</v>
      </c>
      <c r="H1763" s="458">
        <v>0.25650181221292767</v>
      </c>
      <c r="I1763" s="468">
        <v>8.1597007021563783</v>
      </c>
    </row>
    <row r="1764" spans="1:9" ht="16.5" x14ac:dyDescent="0.3">
      <c r="A1764" s="477">
        <v>604658.45859503304</v>
      </c>
      <c r="B1764" s="458">
        <v>1.242135727390048E-2</v>
      </c>
      <c r="C1764" s="477">
        <v>10412003.299286807</v>
      </c>
      <c r="D1764" s="458">
        <v>5.8348326288120367E-2</v>
      </c>
      <c r="E1764" s="477">
        <v>16372872.844471786</v>
      </c>
      <c r="F1764" s="458">
        <v>0.11386839188448183</v>
      </c>
      <c r="G1764" s="477">
        <v>102754507.29139648</v>
      </c>
      <c r="H1764" s="458">
        <v>0.28346792450045366</v>
      </c>
      <c r="I1764" s="468">
        <v>13.043131273553364</v>
      </c>
    </row>
    <row r="1765" spans="1:9" ht="16.5" x14ac:dyDescent="0.3">
      <c r="A1765" s="477">
        <v>7092426.486442701</v>
      </c>
      <c r="B1765" s="458">
        <v>3.9231125202815686E-2</v>
      </c>
      <c r="C1765" s="477">
        <v>5612469.5941480687</v>
      </c>
      <c r="D1765" s="458">
        <v>6.8930798915482816E-2</v>
      </c>
      <c r="E1765" s="477">
        <v>18499160.078873139</v>
      </c>
      <c r="F1765" s="458">
        <v>0.11357216871130338</v>
      </c>
      <c r="G1765" s="477">
        <v>87249699.251704335</v>
      </c>
      <c r="H1765" s="458">
        <v>0.25344212887610151</v>
      </c>
      <c r="I1765" s="468">
        <v>4.6905585316041218</v>
      </c>
    </row>
    <row r="1766" spans="1:9" ht="16.5" x14ac:dyDescent="0.3">
      <c r="A1766" s="477">
        <v>2215409.0807770276</v>
      </c>
      <c r="B1766" s="458">
        <v>5.1818615503453458E-2</v>
      </c>
      <c r="C1766" s="477">
        <v>7512599.9972781986</v>
      </c>
      <c r="D1766" s="458">
        <v>6.091611481154624E-2</v>
      </c>
      <c r="E1766" s="477">
        <v>24463255.388640236</v>
      </c>
      <c r="F1766" s="458">
        <v>0.13186044865795177</v>
      </c>
      <c r="G1766" s="477">
        <v>77681909.176697463</v>
      </c>
      <c r="H1766" s="458">
        <v>0.25989613751046559</v>
      </c>
      <c r="I1766" s="468">
        <v>9.7211175566773065</v>
      </c>
    </row>
    <row r="1767" spans="1:9" ht="16.5" x14ac:dyDescent="0.3">
      <c r="A1767" s="477">
        <v>6492825.4295921605</v>
      </c>
      <c r="B1767" s="458">
        <v>2.540075344017878E-2</v>
      </c>
      <c r="C1767" s="477">
        <v>6696334.9523535063</v>
      </c>
      <c r="D1767" s="458">
        <v>8.4683400874302039E-2</v>
      </c>
      <c r="E1767" s="477">
        <v>25768169.971877236</v>
      </c>
      <c r="F1767" s="458">
        <v>0.13180110497446762</v>
      </c>
      <c r="G1767" s="477">
        <v>91546717.202888325</v>
      </c>
      <c r="H1767" s="458">
        <v>0.24982579104566827</v>
      </c>
      <c r="I1767" s="468">
        <v>10.987859708702656</v>
      </c>
    </row>
    <row r="1768" spans="1:9" ht="16.5" x14ac:dyDescent="0.3">
      <c r="A1768" s="477">
        <v>7861561.8411903707</v>
      </c>
      <c r="B1768" s="458">
        <v>4.9287758054771924E-2</v>
      </c>
      <c r="C1768" s="477">
        <v>10038493.800272601</v>
      </c>
      <c r="D1768" s="458">
        <v>3.8916354459840319E-2</v>
      </c>
      <c r="E1768" s="477">
        <v>16580437.203262294</v>
      </c>
      <c r="F1768" s="458">
        <v>9.3132533431254272E-2</v>
      </c>
      <c r="G1768" s="477">
        <v>82501336.928890258</v>
      </c>
      <c r="H1768" s="458">
        <v>0.27860998293173167</v>
      </c>
      <c r="I1768" s="468">
        <v>6.2732821367181213</v>
      </c>
    </row>
    <row r="1769" spans="1:9" ht="16.5" x14ac:dyDescent="0.3">
      <c r="A1769" s="477">
        <v>6271595.2685973328</v>
      </c>
      <c r="B1769" s="458">
        <v>2.0722366850421725E-2</v>
      </c>
      <c r="C1769" s="477">
        <v>6235284.4987040916</v>
      </c>
      <c r="D1769" s="458">
        <v>4.3903491200879552E-2</v>
      </c>
      <c r="E1769" s="477">
        <v>13430049.823390407</v>
      </c>
      <c r="F1769" s="458">
        <v>0.10281861298969264</v>
      </c>
      <c r="G1769" s="477">
        <v>96817349.186411425</v>
      </c>
      <c r="H1769" s="458">
        <v>0.28547587000343544</v>
      </c>
      <c r="I1769" s="468">
        <v>11.805700389249992</v>
      </c>
    </row>
    <row r="1770" spans="1:9" ht="16.5" x14ac:dyDescent="0.3">
      <c r="A1770" s="477">
        <v>-768464.15455347102</v>
      </c>
      <c r="B1770" s="458">
        <v>3.8446343390117654E-2</v>
      </c>
      <c r="C1770" s="477">
        <v>8617699.9497430548</v>
      </c>
      <c r="D1770" s="458">
        <v>5.7726679636814549E-2</v>
      </c>
      <c r="E1770" s="477">
        <v>24394517.605792101</v>
      </c>
      <c r="F1770" s="458">
        <v>0.11470465776555927</v>
      </c>
      <c r="G1770" s="477">
        <v>89882157.568241686</v>
      </c>
      <c r="H1770" s="458">
        <v>0.25192801032518086</v>
      </c>
      <c r="I1770" s="468">
        <v>1.4954139940688576</v>
      </c>
    </row>
    <row r="1771" spans="1:9" ht="16.5" x14ac:dyDescent="0.3">
      <c r="A1771" s="477">
        <v>7012401.9323306875</v>
      </c>
      <c r="B1771" s="458">
        <v>4.6258923698495158E-2</v>
      </c>
      <c r="C1771" s="477">
        <v>6997370.5189078925</v>
      </c>
      <c r="D1771" s="458">
        <v>7.6995045268552165E-2</v>
      </c>
      <c r="E1771" s="477">
        <v>5736787.7785774088</v>
      </c>
      <c r="F1771" s="458">
        <v>0.12270448923310218</v>
      </c>
      <c r="G1771" s="477">
        <v>85968080.659908131</v>
      </c>
      <c r="H1771" s="458">
        <v>0.28341350304321811</v>
      </c>
      <c r="I1771" s="468">
        <v>12.959361512065534</v>
      </c>
    </row>
    <row r="1772" spans="1:9" ht="16.5" x14ac:dyDescent="0.3">
      <c r="A1772" s="477">
        <v>8463297.7993370946</v>
      </c>
      <c r="B1772" s="458">
        <v>3.6597559900386711E-2</v>
      </c>
      <c r="C1772" s="477">
        <v>13579259.152142916</v>
      </c>
      <c r="D1772" s="458">
        <v>7.2229311559659726E-2</v>
      </c>
      <c r="E1772" s="477">
        <v>14885204.567761015</v>
      </c>
      <c r="F1772" s="458">
        <v>0.11656480504860256</v>
      </c>
      <c r="G1772" s="477">
        <v>105525012.44784378</v>
      </c>
      <c r="H1772" s="458">
        <v>0.25619043959214016</v>
      </c>
      <c r="I1772" s="468">
        <v>10.384103142692563</v>
      </c>
    </row>
    <row r="1773" spans="1:9" ht="16.5" x14ac:dyDescent="0.3">
      <c r="A1773" s="477">
        <v>2689837.9686957947</v>
      </c>
      <c r="B1773" s="458">
        <v>4.7284356674772043E-2</v>
      </c>
      <c r="C1773" s="477">
        <v>2088594.0536535601</v>
      </c>
      <c r="D1773" s="458">
        <v>5.3533895743319793E-2</v>
      </c>
      <c r="E1773" s="477">
        <v>26030963.852042243</v>
      </c>
      <c r="F1773" s="458">
        <v>0.10404734010203898</v>
      </c>
      <c r="G1773" s="477">
        <v>86714339.968482226</v>
      </c>
      <c r="H1773" s="458">
        <v>0.27187114138156421</v>
      </c>
      <c r="I1773" s="468">
        <v>5.9140713132790363</v>
      </c>
    </row>
    <row r="1774" spans="1:9" ht="16.5" x14ac:dyDescent="0.3">
      <c r="A1774" s="477">
        <v>6814371.8191860681</v>
      </c>
      <c r="B1774" s="458">
        <v>5.408187346795934E-2</v>
      </c>
      <c r="C1774" s="477">
        <v>1608780.1113689323</v>
      </c>
      <c r="D1774" s="458">
        <v>7.0557081171340519E-2</v>
      </c>
      <c r="E1774" s="477">
        <v>15140191.444245493</v>
      </c>
      <c r="F1774" s="458">
        <v>9.7121613550273711E-2</v>
      </c>
      <c r="G1774" s="477">
        <v>91763246.886779845</v>
      </c>
      <c r="H1774" s="458">
        <v>0.25567406696967931</v>
      </c>
      <c r="I1774" s="468">
        <v>4.5786702992281265</v>
      </c>
    </row>
    <row r="1775" spans="1:9" ht="16.5" x14ac:dyDescent="0.3">
      <c r="A1775" s="477">
        <v>6233978.7793450663</v>
      </c>
      <c r="B1775" s="458">
        <v>4.0095820049684372E-2</v>
      </c>
      <c r="C1775" s="477">
        <v>8899760.249663569</v>
      </c>
      <c r="D1775" s="458">
        <v>6.5601025711892635E-2</v>
      </c>
      <c r="E1775" s="477">
        <v>13386793.101878282</v>
      </c>
      <c r="F1775" s="458">
        <v>0.10788124828199575</v>
      </c>
      <c r="G1775" s="477">
        <v>85506297.287822604</v>
      </c>
      <c r="H1775" s="458">
        <v>0.25534888934724775</v>
      </c>
      <c r="I1775" s="468">
        <v>6.7163039128555644</v>
      </c>
    </row>
    <row r="1776" spans="1:9" ht="16.5" x14ac:dyDescent="0.3">
      <c r="A1776" s="477">
        <v>6563447.6780669969</v>
      </c>
      <c r="B1776" s="458">
        <v>5.6597125253931901E-2</v>
      </c>
      <c r="C1776" s="477">
        <v>5656644.152134995</v>
      </c>
      <c r="D1776" s="458">
        <v>6.457032192566059E-2</v>
      </c>
      <c r="E1776" s="477">
        <v>18725703.871343672</v>
      </c>
      <c r="F1776" s="458">
        <v>0.11259642689788274</v>
      </c>
      <c r="G1776" s="477">
        <v>90216250.004570052</v>
      </c>
      <c r="H1776" s="458">
        <v>0.30506593945300819</v>
      </c>
      <c r="I1776" s="468">
        <v>5.7466967468004349</v>
      </c>
    </row>
    <row r="1777" spans="1:9" ht="16.5" x14ac:dyDescent="0.3">
      <c r="A1777" s="477">
        <v>4122367.2636027099</v>
      </c>
      <c r="B1777" s="458">
        <v>4.6001113369535496E-2</v>
      </c>
      <c r="C1777" s="477">
        <v>12649964.415600773</v>
      </c>
      <c r="D1777" s="458">
        <v>6.263746297021644E-2</v>
      </c>
      <c r="E1777" s="477">
        <v>15511019.876346093</v>
      </c>
      <c r="F1777" s="458">
        <v>0.12638106439689278</v>
      </c>
      <c r="G1777" s="477">
        <v>81304576.928587765</v>
      </c>
      <c r="H1777" s="458">
        <v>0.28436721261475606</v>
      </c>
      <c r="I1777" s="468">
        <v>12.268426278825325</v>
      </c>
    </row>
    <row r="1778" spans="1:9" ht="16.5" x14ac:dyDescent="0.3">
      <c r="A1778" s="477">
        <v>5750119.3812962798</v>
      </c>
      <c r="B1778" s="458">
        <v>3.9056375352446437E-2</v>
      </c>
      <c r="C1778" s="477">
        <v>5484094.3384519964</v>
      </c>
      <c r="D1778" s="458">
        <v>4.3215938459434833E-2</v>
      </c>
      <c r="E1778" s="477">
        <v>8937161.3793503027</v>
      </c>
      <c r="F1778" s="458">
        <v>9.1635823151704709E-2</v>
      </c>
      <c r="G1778" s="477">
        <v>93386253.629251122</v>
      </c>
      <c r="H1778" s="458">
        <v>0.27062590514283325</v>
      </c>
      <c r="I1778" s="468">
        <v>9.7252196520242684</v>
      </c>
    </row>
    <row r="1779" spans="1:9" ht="16.5" x14ac:dyDescent="0.3">
      <c r="A1779" s="477">
        <v>1215723.9256307646</v>
      </c>
      <c r="B1779" s="458">
        <v>2.6972320517496318E-2</v>
      </c>
      <c r="C1779" s="477">
        <v>2107958.0911125974</v>
      </c>
      <c r="D1779" s="458">
        <v>4.7307218329483147E-2</v>
      </c>
      <c r="E1779" s="477">
        <v>21019381.539178252</v>
      </c>
      <c r="F1779" s="458">
        <v>0.1123278409700823</v>
      </c>
      <c r="G1779" s="477">
        <v>98853539.678687289</v>
      </c>
      <c r="H1779" s="458">
        <v>0.2562927356682374</v>
      </c>
      <c r="I1779" s="468">
        <v>7.2648458319078895</v>
      </c>
    </row>
    <row r="1780" spans="1:9" ht="16.5" x14ac:dyDescent="0.3">
      <c r="A1780" s="477">
        <v>7432617.7611540528</v>
      </c>
      <c r="B1780" s="458">
        <v>2.5784721854174686E-2</v>
      </c>
      <c r="C1780" s="477">
        <v>2996162.9784065876</v>
      </c>
      <c r="D1780" s="458">
        <v>8.3995405936178491E-2</v>
      </c>
      <c r="E1780" s="477">
        <v>14713870.363476349</v>
      </c>
      <c r="F1780" s="458">
        <v>9.5147216860677286E-2</v>
      </c>
      <c r="G1780" s="477">
        <v>91120642.558647275</v>
      </c>
      <c r="H1780" s="458">
        <v>0.28125817114974505</v>
      </c>
      <c r="I1780" s="468">
        <v>11.259734130816136</v>
      </c>
    </row>
    <row r="1781" spans="1:9" ht="16.5" x14ac:dyDescent="0.3">
      <c r="A1781" s="477">
        <v>8991175.7634295654</v>
      </c>
      <c r="B1781" s="458">
        <v>4.6744972985523381E-2</v>
      </c>
      <c r="C1781" s="477">
        <v>12409544.185798295</v>
      </c>
      <c r="D1781" s="458">
        <v>8.4468143240378435E-2</v>
      </c>
      <c r="E1781" s="477">
        <v>19953685.132708102</v>
      </c>
      <c r="F1781" s="458">
        <v>9.1847692520663715E-2</v>
      </c>
      <c r="G1781" s="477">
        <v>97343722.080058426</v>
      </c>
      <c r="H1781" s="458">
        <v>0.25821790693741953</v>
      </c>
      <c r="I1781" s="468">
        <v>11.301137124289047</v>
      </c>
    </row>
    <row r="1782" spans="1:9" ht="16.5" x14ac:dyDescent="0.3">
      <c r="A1782" s="477">
        <v>1032580.0157468878</v>
      </c>
      <c r="B1782" s="458">
        <v>3.5669826392721982E-2</v>
      </c>
      <c r="C1782" s="477">
        <v>10833714.519936224</v>
      </c>
      <c r="D1782" s="458">
        <v>5.8539690054389526E-2</v>
      </c>
      <c r="E1782" s="477">
        <v>15062749.716605496</v>
      </c>
      <c r="F1782" s="458">
        <v>0.10498464415316966</v>
      </c>
      <c r="G1782" s="477">
        <v>85225411.792584643</v>
      </c>
      <c r="H1782" s="458">
        <v>0.25424834887317105</v>
      </c>
      <c r="I1782" s="468">
        <v>3.0962208368511286</v>
      </c>
    </row>
    <row r="1783" spans="1:9" ht="16.5" x14ac:dyDescent="0.3">
      <c r="A1783" s="477">
        <v>2997691.8369613928</v>
      </c>
      <c r="B1783" s="458">
        <v>5.4603295579982003E-2</v>
      </c>
      <c r="C1783" s="477">
        <v>11480831.675256541</v>
      </c>
      <c r="D1783" s="458">
        <v>6.1497357517398266E-2</v>
      </c>
      <c r="E1783" s="477">
        <v>17134812.758856721</v>
      </c>
      <c r="F1783" s="458">
        <v>9.7495937376041342E-2</v>
      </c>
      <c r="G1783" s="477">
        <v>98927539.254451931</v>
      </c>
      <c r="H1783" s="458">
        <v>0.26072504747868641</v>
      </c>
      <c r="I1783" s="468">
        <v>7.6329498517413965</v>
      </c>
    </row>
    <row r="1784" spans="1:9" ht="16.5" x14ac:dyDescent="0.3">
      <c r="A1784" s="477">
        <v>5559268.1820684709</v>
      </c>
      <c r="B1784" s="458">
        <v>2.8101916701574803E-2</v>
      </c>
      <c r="C1784" s="477">
        <v>11003854.204604996</v>
      </c>
      <c r="D1784" s="458">
        <v>5.9722307252216167E-2</v>
      </c>
      <c r="E1784" s="477">
        <v>11167992.832699282</v>
      </c>
      <c r="F1784" s="458">
        <v>0.1003363660652119</v>
      </c>
      <c r="G1784" s="477">
        <v>88508739.998036236</v>
      </c>
      <c r="H1784" s="458">
        <v>0.26577077532055915</v>
      </c>
      <c r="I1784" s="468">
        <v>6.621041947242678</v>
      </c>
    </row>
    <row r="1785" spans="1:9" ht="16.5" x14ac:dyDescent="0.3">
      <c r="A1785" s="477">
        <v>4659843.7885190006</v>
      </c>
      <c r="B1785" s="458">
        <v>3.0338881370808757E-2</v>
      </c>
      <c r="C1785" s="477">
        <v>10391587.69585151</v>
      </c>
      <c r="D1785" s="458">
        <v>6.570596873060075E-2</v>
      </c>
      <c r="E1785" s="477">
        <v>17783437.28680364</v>
      </c>
      <c r="F1785" s="458">
        <v>0.11031869495993218</v>
      </c>
      <c r="G1785" s="477">
        <v>79749813.241224796</v>
      </c>
      <c r="H1785" s="458">
        <v>0.25494818056960877</v>
      </c>
      <c r="I1785" s="468">
        <v>13.390238344668752</v>
      </c>
    </row>
    <row r="1786" spans="1:9" ht="16.5" x14ac:dyDescent="0.3">
      <c r="A1786" s="477">
        <v>3710602.0902198944</v>
      </c>
      <c r="B1786" s="458">
        <v>2.3735305429590126E-2</v>
      </c>
      <c r="C1786" s="477">
        <v>14888550.021801699</v>
      </c>
      <c r="D1786" s="458">
        <v>4.343554265946703E-2</v>
      </c>
      <c r="E1786" s="477">
        <v>26074141.18973349</v>
      </c>
      <c r="F1786" s="458">
        <v>0.12289726702613923</v>
      </c>
      <c r="G1786" s="477">
        <v>97177395.714548141</v>
      </c>
      <c r="H1786" s="458">
        <v>0.2685027293637563</v>
      </c>
      <c r="I1786" s="468">
        <v>4.2310763548303409</v>
      </c>
    </row>
    <row r="1787" spans="1:9" ht="16.5" x14ac:dyDescent="0.3">
      <c r="A1787" s="477">
        <v>4295548.9621283365</v>
      </c>
      <c r="B1787" s="458">
        <v>2.9327308673539276E-2</v>
      </c>
      <c r="C1787" s="477">
        <v>15378950.77548027</v>
      </c>
      <c r="D1787" s="458">
        <v>5.7382396957974091E-2</v>
      </c>
      <c r="E1787" s="477">
        <v>13488384.675695213</v>
      </c>
      <c r="F1787" s="458">
        <v>9.2795127088534768E-2</v>
      </c>
      <c r="G1787" s="477">
        <v>72321934.645080805</v>
      </c>
      <c r="H1787" s="458">
        <v>0.29606820829687597</v>
      </c>
      <c r="I1787" s="468">
        <v>9.3383006068549914</v>
      </c>
    </row>
    <row r="1788" spans="1:9" ht="16.5" x14ac:dyDescent="0.3">
      <c r="A1788" s="477">
        <v>7189130.3396880459</v>
      </c>
      <c r="B1788" s="458">
        <v>3.5206080622047553E-2</v>
      </c>
      <c r="C1788" s="477">
        <v>7800193.6678414922</v>
      </c>
      <c r="D1788" s="458">
        <v>5.6822497549341655E-2</v>
      </c>
      <c r="E1788" s="477">
        <v>15636504.438017882</v>
      </c>
      <c r="F1788" s="458">
        <v>0.12537001827322869</v>
      </c>
      <c r="G1788" s="477">
        <v>92061897.92439504</v>
      </c>
      <c r="H1788" s="458">
        <v>0.24129142049087826</v>
      </c>
      <c r="I1788" s="468">
        <v>3.9433727117482222</v>
      </c>
    </row>
    <row r="1789" spans="1:9" ht="16.5" x14ac:dyDescent="0.3">
      <c r="A1789" s="477">
        <v>4170575.4774046731</v>
      </c>
      <c r="B1789" s="458">
        <v>4.076045467185696E-2</v>
      </c>
      <c r="C1789" s="477">
        <v>9816560.7698951233</v>
      </c>
      <c r="D1789" s="458">
        <v>4.7704697954890518E-2</v>
      </c>
      <c r="E1789" s="477">
        <v>21069216.200215515</v>
      </c>
      <c r="F1789" s="458">
        <v>8.5482444291444359E-2</v>
      </c>
      <c r="G1789" s="477">
        <v>95639732.040713549</v>
      </c>
      <c r="H1789" s="458">
        <v>0.26745152622769264</v>
      </c>
      <c r="I1789" s="468">
        <v>6.8850853826067606</v>
      </c>
    </row>
    <row r="1790" spans="1:9" ht="16.5" x14ac:dyDescent="0.3">
      <c r="A1790" s="477">
        <v>4244334.9840270486</v>
      </c>
      <c r="B1790" s="458">
        <v>3.5891193884443284E-2</v>
      </c>
      <c r="C1790" s="477">
        <v>8533994.3834347259</v>
      </c>
      <c r="D1790" s="458">
        <v>8.0551002261076032E-2</v>
      </c>
      <c r="E1790" s="477">
        <v>22140133.065546393</v>
      </c>
      <c r="F1790" s="458">
        <v>0.11251826899811679</v>
      </c>
      <c r="G1790" s="477">
        <v>78731889.606648505</v>
      </c>
      <c r="H1790" s="458">
        <v>0.24878882186703155</v>
      </c>
      <c r="I1790" s="468">
        <v>10.794507314562917</v>
      </c>
    </row>
    <row r="1791" spans="1:9" ht="16.5" x14ac:dyDescent="0.3">
      <c r="A1791" s="477">
        <v>5974563.454963157</v>
      </c>
      <c r="B1791" s="458">
        <v>2.5500182478451983E-2</v>
      </c>
      <c r="C1791" s="477">
        <v>5016068.2236182233</v>
      </c>
      <c r="D1791" s="458">
        <v>5.5654669196017581E-2</v>
      </c>
      <c r="E1791" s="477">
        <v>20086854.258407403</v>
      </c>
      <c r="F1791" s="458">
        <v>0.1064997579334237</v>
      </c>
      <c r="G1791" s="477">
        <v>90697689.989689529</v>
      </c>
      <c r="H1791" s="458">
        <v>0.25459207676020901</v>
      </c>
      <c r="I1791" s="468">
        <v>10.465101593846271</v>
      </c>
    </row>
    <row r="1792" spans="1:9" ht="16.5" x14ac:dyDescent="0.3">
      <c r="A1792" s="477">
        <v>9833956.6358282175</v>
      </c>
      <c r="B1792" s="458">
        <v>2.4687193793496487E-2</v>
      </c>
      <c r="C1792" s="477">
        <v>9083882.3515169807</v>
      </c>
      <c r="D1792" s="458">
        <v>6.5135047832961313E-2</v>
      </c>
      <c r="E1792" s="477">
        <v>21195876.43441838</v>
      </c>
      <c r="F1792" s="458">
        <v>0.12565840069613499</v>
      </c>
      <c r="G1792" s="477">
        <v>95927762.532919154</v>
      </c>
      <c r="H1792" s="458">
        <v>0.25990504388217239</v>
      </c>
      <c r="I1792" s="468">
        <v>11.652387722424404</v>
      </c>
    </row>
    <row r="1793" spans="1:9" ht="16.5" x14ac:dyDescent="0.3">
      <c r="A1793" s="477">
        <v>3158863.2847981174</v>
      </c>
      <c r="B1793" s="458">
        <v>3.0445412523211646E-2</v>
      </c>
      <c r="C1793" s="477">
        <v>9412292.0922741257</v>
      </c>
      <c r="D1793" s="458">
        <v>5.6934008609498932E-2</v>
      </c>
      <c r="E1793" s="477">
        <v>18998715.183550164</v>
      </c>
      <c r="F1793" s="458">
        <v>9.5110122495223326E-2</v>
      </c>
      <c r="G1793" s="477">
        <v>93812241.846808761</v>
      </c>
      <c r="H1793" s="458">
        <v>0.26716135603650937</v>
      </c>
      <c r="I1793" s="468">
        <v>8.7694525937132468</v>
      </c>
    </row>
    <row r="1794" spans="1:9" ht="16.5" x14ac:dyDescent="0.3">
      <c r="A1794" s="477">
        <v>5619050.1356574455</v>
      </c>
      <c r="B1794" s="458">
        <v>3.5871994574337318E-2</v>
      </c>
      <c r="C1794" s="477">
        <v>8177536.253526045</v>
      </c>
      <c r="D1794" s="458">
        <v>6.8070956612534816E-2</v>
      </c>
      <c r="E1794" s="477">
        <v>17676378.748834163</v>
      </c>
      <c r="F1794" s="458">
        <v>8.6124473788629752E-2</v>
      </c>
      <c r="G1794" s="477">
        <v>71975364.405641586</v>
      </c>
      <c r="H1794" s="458">
        <v>0.26100784499433072</v>
      </c>
      <c r="I1794" s="468">
        <v>10.758451371143448</v>
      </c>
    </row>
    <row r="1795" spans="1:9" ht="16.5" x14ac:dyDescent="0.3">
      <c r="A1795" s="477">
        <v>6831623.8123816419</v>
      </c>
      <c r="B1795" s="458">
        <v>1.7500962239305196E-2</v>
      </c>
      <c r="C1795" s="477">
        <v>9954789.0140713472</v>
      </c>
      <c r="D1795" s="458">
        <v>7.8395977294751784E-2</v>
      </c>
      <c r="E1795" s="477">
        <v>12924086.718195297</v>
      </c>
      <c r="F1795" s="458">
        <v>0.10902064878629614</v>
      </c>
      <c r="G1795" s="477">
        <v>85386192.537279069</v>
      </c>
      <c r="H1795" s="458">
        <v>0.27533701448960435</v>
      </c>
      <c r="I1795" s="468">
        <v>9.2344181567349164</v>
      </c>
    </row>
    <row r="1796" spans="1:9" ht="16.5" x14ac:dyDescent="0.3">
      <c r="A1796" s="477">
        <v>6827072.422602783</v>
      </c>
      <c r="B1796" s="458">
        <v>3.1020769575472062E-2</v>
      </c>
      <c r="C1796" s="477">
        <v>7273422.9774482623</v>
      </c>
      <c r="D1796" s="458">
        <v>6.6148469809711008E-2</v>
      </c>
      <c r="E1796" s="477">
        <v>21308522.911479156</v>
      </c>
      <c r="F1796" s="458">
        <v>0.10144825701355709</v>
      </c>
      <c r="G1796" s="477">
        <v>96943804.770618469</v>
      </c>
      <c r="H1796" s="458">
        <v>0.26067932214567957</v>
      </c>
      <c r="I1796" s="468">
        <v>3.1292010366452088</v>
      </c>
    </row>
    <row r="1797" spans="1:9" ht="16.5" x14ac:dyDescent="0.3">
      <c r="A1797" s="477">
        <v>5003509.5462538199</v>
      </c>
      <c r="B1797" s="458">
        <v>3.9405646298031005E-2</v>
      </c>
      <c r="C1797" s="477">
        <v>10487485.037786532</v>
      </c>
      <c r="D1797" s="458">
        <v>8.6121428943325196E-2</v>
      </c>
      <c r="E1797" s="477">
        <v>13000403.551324176</v>
      </c>
      <c r="F1797" s="458">
        <v>0.1070206878853559</v>
      </c>
      <c r="G1797" s="477">
        <v>92853707.454243451</v>
      </c>
      <c r="H1797" s="458">
        <v>0.26625290270254909</v>
      </c>
      <c r="I1797" s="468">
        <v>5.328762077399392</v>
      </c>
    </row>
    <row r="1798" spans="1:9" ht="16.5" x14ac:dyDescent="0.3">
      <c r="A1798" s="477">
        <v>5219851.1979907844</v>
      </c>
      <c r="B1798" s="458">
        <v>4.5582884570009474E-2</v>
      </c>
      <c r="C1798" s="477">
        <v>10979555.259503849</v>
      </c>
      <c r="D1798" s="458">
        <v>5.4141516739688811E-2</v>
      </c>
      <c r="E1798" s="477">
        <v>11934589.977721144</v>
      </c>
      <c r="F1798" s="458">
        <v>9.9088524186869087E-2</v>
      </c>
      <c r="G1798" s="477">
        <v>86056070.316931829</v>
      </c>
      <c r="H1798" s="458">
        <v>0.25620649816869268</v>
      </c>
      <c r="I1798" s="468">
        <v>4.3771022556593158</v>
      </c>
    </row>
    <row r="1799" spans="1:9" ht="16.5" x14ac:dyDescent="0.3">
      <c r="A1799" s="477">
        <v>907826.72320119827</v>
      </c>
      <c r="B1799" s="458">
        <v>3.2823900302586972E-2</v>
      </c>
      <c r="C1799" s="477">
        <v>14664172.775407784</v>
      </c>
      <c r="D1799" s="458">
        <v>7.8304190238170479E-2</v>
      </c>
      <c r="E1799" s="477">
        <v>16210424.617840283</v>
      </c>
      <c r="F1799" s="458">
        <v>8.9613256810875397E-2</v>
      </c>
      <c r="G1799" s="477">
        <v>83813064.504165769</v>
      </c>
      <c r="H1799" s="458">
        <v>0.2715660364998036</v>
      </c>
      <c r="I1799" s="468">
        <v>8.9387589282965276</v>
      </c>
    </row>
    <row r="1800" spans="1:9" ht="16.5" x14ac:dyDescent="0.3">
      <c r="A1800" s="477">
        <v>4770488.2451521261</v>
      </c>
      <c r="B1800" s="458">
        <v>7.5559812869756549E-2</v>
      </c>
      <c r="C1800" s="477">
        <v>8782321.5811872333</v>
      </c>
      <c r="D1800" s="458">
        <v>6.5001662090901746E-2</v>
      </c>
      <c r="E1800" s="477">
        <v>26244826.51161132</v>
      </c>
      <c r="F1800" s="458">
        <v>9.9915026604444179E-2</v>
      </c>
      <c r="G1800" s="477">
        <v>86769568.611348867</v>
      </c>
      <c r="H1800" s="458">
        <v>0.26167103547585646</v>
      </c>
      <c r="I1800" s="468">
        <v>0.28857831852192195</v>
      </c>
    </row>
    <row r="1801" spans="1:9" ht="16.5" x14ac:dyDescent="0.3">
      <c r="A1801" s="477">
        <v>2661776.24228389</v>
      </c>
      <c r="B1801" s="458">
        <v>5.1879154261412097E-2</v>
      </c>
      <c r="C1801" s="477">
        <v>280108.65447980486</v>
      </c>
      <c r="D1801" s="458">
        <v>7.4550596415982273E-2</v>
      </c>
      <c r="E1801" s="477">
        <v>21166231.74327904</v>
      </c>
      <c r="F1801" s="458">
        <v>9.474786173075378E-2</v>
      </c>
      <c r="G1801" s="477">
        <v>98714259.247031063</v>
      </c>
      <c r="H1801" s="458">
        <v>0.26887259743429226</v>
      </c>
      <c r="I1801" s="468">
        <v>5.0658684468225132</v>
      </c>
    </row>
    <row r="1802" spans="1:9" ht="16.5" x14ac:dyDescent="0.3">
      <c r="A1802" s="477">
        <v>2654945.4425269538</v>
      </c>
      <c r="B1802" s="458">
        <v>4.2452661590755003E-2</v>
      </c>
      <c r="C1802" s="477">
        <v>9884115.2724508774</v>
      </c>
      <c r="D1802" s="458">
        <v>5.7099300530999653E-2</v>
      </c>
      <c r="E1802" s="477">
        <v>20598913.729824416</v>
      </c>
      <c r="F1802" s="458">
        <v>0.12179763997650195</v>
      </c>
      <c r="G1802" s="477">
        <v>92129721.713160247</v>
      </c>
      <c r="H1802" s="458">
        <v>0.27205951196867018</v>
      </c>
      <c r="I1802" s="468">
        <v>5.9565917524543757</v>
      </c>
    </row>
    <row r="1803" spans="1:9" ht="16.5" x14ac:dyDescent="0.3">
      <c r="A1803" s="477">
        <v>4625222.3435169309</v>
      </c>
      <c r="B1803" s="458">
        <v>2.6855109552464729E-2</v>
      </c>
      <c r="C1803" s="477">
        <v>4866307.9973658575</v>
      </c>
      <c r="D1803" s="458">
        <v>8.2630896834550605E-2</v>
      </c>
      <c r="E1803" s="477">
        <v>13739353.001304915</v>
      </c>
      <c r="F1803" s="458">
        <v>0.10093453369375815</v>
      </c>
      <c r="G1803" s="477">
        <v>81913340.066121653</v>
      </c>
      <c r="H1803" s="458">
        <v>0.27214565555431558</v>
      </c>
      <c r="I1803" s="468">
        <v>10.966692336362271</v>
      </c>
    </row>
    <row r="1804" spans="1:9" ht="16.5" x14ac:dyDescent="0.3">
      <c r="A1804" s="477">
        <v>6985408.3420668114</v>
      </c>
      <c r="B1804" s="458">
        <v>5.0524508324673034E-2</v>
      </c>
      <c r="C1804" s="477">
        <v>4064485.4004406291</v>
      </c>
      <c r="D1804" s="458">
        <v>5.6366650128030216E-2</v>
      </c>
      <c r="E1804" s="477">
        <v>17605775.067125197</v>
      </c>
      <c r="F1804" s="458">
        <v>0.10272334848246789</v>
      </c>
      <c r="G1804" s="477">
        <v>91830781.721387029</v>
      </c>
      <c r="H1804" s="458">
        <v>0.28677594978796361</v>
      </c>
      <c r="I1804" s="468">
        <v>7.8699899986487729</v>
      </c>
    </row>
    <row r="1805" spans="1:9" ht="16.5" x14ac:dyDescent="0.3">
      <c r="A1805" s="477">
        <v>1048155.5045835614</v>
      </c>
      <c r="B1805" s="458">
        <v>3.0428108170941881E-2</v>
      </c>
      <c r="C1805" s="477">
        <v>5980745.8021482164</v>
      </c>
      <c r="D1805" s="458">
        <v>3.9860243111031091E-2</v>
      </c>
      <c r="E1805" s="477">
        <v>16240613.498100702</v>
      </c>
      <c r="F1805" s="458">
        <v>0.12665710071971348</v>
      </c>
      <c r="G1805" s="477">
        <v>73351814.109379381</v>
      </c>
      <c r="H1805" s="458">
        <v>0.29156809565660646</v>
      </c>
      <c r="I1805" s="468">
        <v>6.513192612559159</v>
      </c>
    </row>
    <row r="1806" spans="1:9" ht="16.5" x14ac:dyDescent="0.3">
      <c r="A1806" s="477">
        <v>5867465.8351464821</v>
      </c>
      <c r="B1806" s="458">
        <v>2.756596848928794E-2</v>
      </c>
      <c r="C1806" s="477">
        <v>10947140.50141966</v>
      </c>
      <c r="D1806" s="458">
        <v>8.0118213020954787E-2</v>
      </c>
      <c r="E1806" s="477">
        <v>21565974.072149724</v>
      </c>
      <c r="F1806" s="458">
        <v>8.948436851625563E-2</v>
      </c>
      <c r="G1806" s="477">
        <v>95343680.110080585</v>
      </c>
      <c r="H1806" s="458">
        <v>0.27362680237214154</v>
      </c>
      <c r="I1806" s="468">
        <v>12.378761681572902</v>
      </c>
    </row>
    <row r="1807" spans="1:9" ht="16.5" x14ac:dyDescent="0.3">
      <c r="A1807" s="477">
        <v>2462640.6435959293</v>
      </c>
      <c r="B1807" s="458">
        <v>3.3338658930382126E-2</v>
      </c>
      <c r="C1807" s="477">
        <v>4396967.6294589648</v>
      </c>
      <c r="D1807" s="458">
        <v>8.3765953143215111E-2</v>
      </c>
      <c r="E1807" s="477">
        <v>15045430.415173111</v>
      </c>
      <c r="F1807" s="458">
        <v>0.13990865178826439</v>
      </c>
      <c r="G1807" s="477">
        <v>93348638.574085906</v>
      </c>
      <c r="H1807" s="458">
        <v>0.26696649659225202</v>
      </c>
      <c r="I1807" s="468">
        <v>8.3198276309943076</v>
      </c>
    </row>
    <row r="1808" spans="1:9" ht="16.5" x14ac:dyDescent="0.3">
      <c r="A1808" s="477">
        <v>7692994.137492043</v>
      </c>
      <c r="B1808" s="458">
        <v>2.1213090928030143E-2</v>
      </c>
      <c r="C1808" s="477">
        <v>9232387.6655053422</v>
      </c>
      <c r="D1808" s="458">
        <v>5.4455516732469178E-2</v>
      </c>
      <c r="E1808" s="477">
        <v>14364592.231375923</v>
      </c>
      <c r="F1808" s="458">
        <v>0.11345067707516931</v>
      </c>
      <c r="G1808" s="477">
        <v>91593918.68895255</v>
      </c>
      <c r="H1808" s="458">
        <v>0.26471779804677653</v>
      </c>
      <c r="I1808" s="468">
        <v>10.715375218299165</v>
      </c>
    </row>
    <row r="1809" spans="1:9" ht="16.5" x14ac:dyDescent="0.3">
      <c r="A1809" s="477">
        <v>7206904.9832946332</v>
      </c>
      <c r="B1809" s="458">
        <v>3.8049821408526308E-2</v>
      </c>
      <c r="C1809" s="477">
        <v>14444815.588926191</v>
      </c>
      <c r="D1809" s="458">
        <v>4.7982987017178624E-2</v>
      </c>
      <c r="E1809" s="477">
        <v>24301798.904797547</v>
      </c>
      <c r="F1809" s="458">
        <v>0.10356572182847734</v>
      </c>
      <c r="G1809" s="477">
        <v>73340776.725722939</v>
      </c>
      <c r="H1809" s="458">
        <v>0.27192625547946481</v>
      </c>
      <c r="I1809" s="468">
        <v>7.675405878563585</v>
      </c>
    </row>
    <row r="1810" spans="1:9" ht="16.5" x14ac:dyDescent="0.3">
      <c r="A1810" s="477">
        <v>5690640.0598139288</v>
      </c>
      <c r="B1810" s="458">
        <v>4.0320001282777573E-2</v>
      </c>
      <c r="C1810" s="477">
        <v>7315797.6431467207</v>
      </c>
      <c r="D1810" s="458">
        <v>9.9088749445605195E-2</v>
      </c>
      <c r="E1810" s="477">
        <v>16633352.80141354</v>
      </c>
      <c r="F1810" s="458">
        <v>0.13279805375491538</v>
      </c>
      <c r="G1810" s="477">
        <v>87611484.02828382</v>
      </c>
      <c r="H1810" s="458">
        <v>0.2849284085374697</v>
      </c>
      <c r="I1810" s="468">
        <v>8.8344962575768751</v>
      </c>
    </row>
    <row r="1811" spans="1:9" ht="16.5" x14ac:dyDescent="0.3">
      <c r="A1811" s="477">
        <v>4614242.3723679809</v>
      </c>
      <c r="B1811" s="458">
        <v>3.8122727346922458E-2</v>
      </c>
      <c r="C1811" s="477">
        <v>3785999.3973318073</v>
      </c>
      <c r="D1811" s="458">
        <v>7.6704944624702565E-2</v>
      </c>
      <c r="E1811" s="477">
        <v>14161839.746176468</v>
      </c>
      <c r="F1811" s="458">
        <v>0.11477744164806558</v>
      </c>
      <c r="G1811" s="477">
        <v>97828546.397934377</v>
      </c>
      <c r="H1811" s="458">
        <v>0.27417356647011548</v>
      </c>
      <c r="I1811" s="468">
        <v>8.6530072304578542</v>
      </c>
    </row>
    <row r="1812" spans="1:9" ht="16.5" x14ac:dyDescent="0.3">
      <c r="A1812" s="477">
        <v>5144362.1355033666</v>
      </c>
      <c r="B1812" s="458">
        <v>8.7794984471943005E-2</v>
      </c>
      <c r="C1812" s="477">
        <v>10480668.764207307</v>
      </c>
      <c r="D1812" s="458">
        <v>7.1143323779610634E-2</v>
      </c>
      <c r="E1812" s="477">
        <v>20618125.63569827</v>
      </c>
      <c r="F1812" s="458">
        <v>0.12428159131573469</v>
      </c>
      <c r="G1812" s="477">
        <v>82913438.861532286</v>
      </c>
      <c r="H1812" s="458">
        <v>0.27926164766348416</v>
      </c>
      <c r="I1812" s="468">
        <v>7.3179775007341989</v>
      </c>
    </row>
    <row r="1813" spans="1:9" ht="16.5" x14ac:dyDescent="0.3">
      <c r="A1813" s="477">
        <v>1890099.4154992653</v>
      </c>
      <c r="B1813" s="458">
        <v>5.964484630118938E-2</v>
      </c>
      <c r="C1813" s="477">
        <v>14665106.626682667</v>
      </c>
      <c r="D1813" s="458">
        <v>6.0618169010317358E-2</v>
      </c>
      <c r="E1813" s="477">
        <v>19763380.798735391</v>
      </c>
      <c r="F1813" s="458">
        <v>0.11111271148952984</v>
      </c>
      <c r="G1813" s="477">
        <v>88238296.111689299</v>
      </c>
      <c r="H1813" s="458">
        <v>0.25427982763466606</v>
      </c>
      <c r="I1813" s="468">
        <v>5.5300464526681239</v>
      </c>
    </row>
    <row r="1814" spans="1:9" ht="16.5" x14ac:dyDescent="0.3">
      <c r="A1814" s="477">
        <v>8563393.2488820814</v>
      </c>
      <c r="B1814" s="458">
        <v>5.3114328098142094E-2</v>
      </c>
      <c r="C1814" s="477">
        <v>9572775.2795552798</v>
      </c>
      <c r="D1814" s="458">
        <v>7.7757749783356811E-2</v>
      </c>
      <c r="E1814" s="477">
        <v>16088948.372432655</v>
      </c>
      <c r="F1814" s="458">
        <v>0.10667215110891526</v>
      </c>
      <c r="G1814" s="477">
        <v>87477553.700501204</v>
      </c>
      <c r="H1814" s="458">
        <v>0.27782999432875988</v>
      </c>
      <c r="I1814" s="468">
        <v>12.237987029111727</v>
      </c>
    </row>
    <row r="1815" spans="1:9" ht="16.5" x14ac:dyDescent="0.3">
      <c r="A1815" s="477">
        <v>7626275.3774223411</v>
      </c>
      <c r="B1815" s="458">
        <v>2.4488870554772557E-2</v>
      </c>
      <c r="C1815" s="477">
        <v>9376090.8384912983</v>
      </c>
      <c r="D1815" s="458">
        <v>3.7984814678976297E-2</v>
      </c>
      <c r="E1815" s="477">
        <v>14253405.981492044</v>
      </c>
      <c r="F1815" s="458">
        <v>0.13527139573049474</v>
      </c>
      <c r="G1815" s="477">
        <v>106972102.29475532</v>
      </c>
      <c r="H1815" s="458">
        <v>0.2643680744177499</v>
      </c>
      <c r="I1815" s="468">
        <v>4.2347964263973008</v>
      </c>
    </row>
    <row r="1816" spans="1:9" ht="16.5" x14ac:dyDescent="0.3">
      <c r="A1816" s="477">
        <v>1666276.4798400754</v>
      </c>
      <c r="B1816" s="458">
        <v>5.543716434730106E-2</v>
      </c>
      <c r="C1816" s="477">
        <v>10771854.90502131</v>
      </c>
      <c r="D1816" s="458">
        <v>9.7922214347448744E-2</v>
      </c>
      <c r="E1816" s="477">
        <v>18567943.860910885</v>
      </c>
      <c r="F1816" s="458">
        <v>9.8904032893890603E-2</v>
      </c>
      <c r="G1816" s="477">
        <v>76635038.737436697</v>
      </c>
      <c r="H1816" s="458">
        <v>0.27931250751809089</v>
      </c>
      <c r="I1816" s="468">
        <v>9.2903262172798371</v>
      </c>
    </row>
    <row r="1817" spans="1:9" ht="16.5" x14ac:dyDescent="0.3">
      <c r="A1817" s="477">
        <v>6055244.4983511195</v>
      </c>
      <c r="B1817" s="458">
        <v>6.3496361515428035E-2</v>
      </c>
      <c r="C1817" s="477">
        <v>6542864.058406435</v>
      </c>
      <c r="D1817" s="458">
        <v>3.9334050729759706E-2</v>
      </c>
      <c r="E1817" s="477">
        <v>17439727.346072603</v>
      </c>
      <c r="F1817" s="458">
        <v>0.10867402923360836</v>
      </c>
      <c r="G1817" s="477">
        <v>85038737.949624345</v>
      </c>
      <c r="H1817" s="458">
        <v>0.28153128882197009</v>
      </c>
      <c r="I1817" s="468">
        <v>8.1973610634794927</v>
      </c>
    </row>
    <row r="1818" spans="1:9" ht="16.5" x14ac:dyDescent="0.3">
      <c r="A1818" s="477">
        <v>-144546.86459729113</v>
      </c>
      <c r="B1818" s="458">
        <v>2.7676981670931244E-2</v>
      </c>
      <c r="C1818" s="477">
        <v>12112403.0959996</v>
      </c>
      <c r="D1818" s="458">
        <v>3.5833302414568946E-2</v>
      </c>
      <c r="E1818" s="477">
        <v>14846033.447292615</v>
      </c>
      <c r="F1818" s="458">
        <v>0.11086611236737243</v>
      </c>
      <c r="G1818" s="477">
        <v>78448934.706291243</v>
      </c>
      <c r="H1818" s="458">
        <v>0.2653059131839095</v>
      </c>
      <c r="I1818" s="468">
        <v>7.3060038115871766</v>
      </c>
    </row>
    <row r="1819" spans="1:9" ht="16.5" x14ac:dyDescent="0.3">
      <c r="A1819" s="477">
        <v>5994203.6844422147</v>
      </c>
      <c r="B1819" s="458">
        <v>4.403227927099751E-2</v>
      </c>
      <c r="C1819" s="477">
        <v>8179165.0133320168</v>
      </c>
      <c r="D1819" s="458">
        <v>6.8011448497408589E-2</v>
      </c>
      <c r="E1819" s="477">
        <v>10481380.854776384</v>
      </c>
      <c r="F1819" s="458">
        <v>0.12347556700811069</v>
      </c>
      <c r="G1819" s="477">
        <v>91600165.167565107</v>
      </c>
      <c r="H1819" s="458">
        <v>0.26633355907763612</v>
      </c>
      <c r="I1819" s="468">
        <v>2.8915083271395705</v>
      </c>
    </row>
    <row r="1820" spans="1:9" ht="16.5" x14ac:dyDescent="0.3">
      <c r="A1820" s="477">
        <v>3797230.9435446621</v>
      </c>
      <c r="B1820" s="458">
        <v>5.0537362478865644E-2</v>
      </c>
      <c r="C1820" s="477">
        <v>12585668.776811335</v>
      </c>
      <c r="D1820" s="458">
        <v>9.0564847960275641E-2</v>
      </c>
      <c r="E1820" s="477">
        <v>15602921.717908772</v>
      </c>
      <c r="F1820" s="458">
        <v>0.11030943782479041</v>
      </c>
      <c r="G1820" s="477">
        <v>81076275.496958151</v>
      </c>
      <c r="H1820" s="458">
        <v>0.29901280532971541</v>
      </c>
      <c r="I1820" s="468">
        <v>8.3258374673965836</v>
      </c>
    </row>
    <row r="1821" spans="1:9" ht="16.5" x14ac:dyDescent="0.3">
      <c r="A1821" s="477">
        <v>4505264.5338164447</v>
      </c>
      <c r="B1821" s="458">
        <v>6.4744980092642068E-2</v>
      </c>
      <c r="C1821" s="477">
        <v>3089076.1143466895</v>
      </c>
      <c r="D1821" s="458">
        <v>8.6227308142557524E-2</v>
      </c>
      <c r="E1821" s="477">
        <v>16927706.324115466</v>
      </c>
      <c r="F1821" s="458">
        <v>8.5187196965957224E-2</v>
      </c>
      <c r="G1821" s="477">
        <v>95339107.727339089</v>
      </c>
      <c r="H1821" s="458">
        <v>0.26383231130891804</v>
      </c>
      <c r="I1821" s="468">
        <v>9.4092527752663173</v>
      </c>
    </row>
    <row r="1822" spans="1:9" ht="16.5" x14ac:dyDescent="0.3">
      <c r="A1822" s="477">
        <v>7197266.7148701083</v>
      </c>
      <c r="B1822" s="458">
        <v>4.7017237986582527E-2</v>
      </c>
      <c r="C1822" s="477">
        <v>9765930.7554408479</v>
      </c>
      <c r="D1822" s="458">
        <v>7.9139211804279297E-2</v>
      </c>
      <c r="E1822" s="477">
        <v>13836253.192711055</v>
      </c>
      <c r="F1822" s="458">
        <v>0.11224947146813258</v>
      </c>
      <c r="G1822" s="477">
        <v>80245552.019187644</v>
      </c>
      <c r="H1822" s="458">
        <v>0.2491581761521986</v>
      </c>
      <c r="I1822" s="468">
        <v>11.626724226914432</v>
      </c>
    </row>
    <row r="1823" spans="1:9" ht="16.5" x14ac:dyDescent="0.3">
      <c r="A1823" s="477">
        <v>2938236.6406108937</v>
      </c>
      <c r="B1823" s="458">
        <v>3.1937923740416263E-2</v>
      </c>
      <c r="C1823" s="477">
        <v>10414574.992419718</v>
      </c>
      <c r="D1823" s="458">
        <v>5.9004215600419796E-2</v>
      </c>
      <c r="E1823" s="477">
        <v>17597882.214941937</v>
      </c>
      <c r="F1823" s="458">
        <v>0.11482436360204917</v>
      </c>
      <c r="G1823" s="477">
        <v>83473098.150355265</v>
      </c>
      <c r="H1823" s="458">
        <v>0.26454457487551175</v>
      </c>
      <c r="I1823" s="468">
        <v>3.6653166727333986</v>
      </c>
    </row>
    <row r="1824" spans="1:9" ht="16.5" x14ac:dyDescent="0.3">
      <c r="A1824" s="477">
        <v>6118211.1339403698</v>
      </c>
      <c r="B1824" s="458">
        <v>3.9836992078769562E-2</v>
      </c>
      <c r="C1824" s="477">
        <v>9319038.2569379378</v>
      </c>
      <c r="D1824" s="458">
        <v>8.4585229166217024E-2</v>
      </c>
      <c r="E1824" s="477">
        <v>16354873.256159244</v>
      </c>
      <c r="F1824" s="458">
        <v>0.11796459335224152</v>
      </c>
      <c r="G1824" s="477">
        <v>82635060.835750967</v>
      </c>
      <c r="H1824" s="458">
        <v>0.27735562540820058</v>
      </c>
      <c r="I1824" s="468">
        <v>7.6440406394810569</v>
      </c>
    </row>
    <row r="1825" spans="1:9" ht="16.5" x14ac:dyDescent="0.3">
      <c r="A1825" s="477">
        <v>6242283.867965919</v>
      </c>
      <c r="B1825" s="458">
        <v>3.5148895814238301E-2</v>
      </c>
      <c r="C1825" s="477">
        <v>10907938.313546138</v>
      </c>
      <c r="D1825" s="458">
        <v>2.7597860100691429E-2</v>
      </c>
      <c r="E1825" s="477">
        <v>18415588.227050405</v>
      </c>
      <c r="F1825" s="458">
        <v>0.12985741916283433</v>
      </c>
      <c r="G1825" s="477">
        <v>89105555.423790947</v>
      </c>
      <c r="H1825" s="458">
        <v>0.26092099381952338</v>
      </c>
      <c r="I1825" s="468">
        <v>0.81526896071259447</v>
      </c>
    </row>
    <row r="1826" spans="1:9" ht="16.5" x14ac:dyDescent="0.3">
      <c r="A1826" s="477">
        <v>3393533.3084323048</v>
      </c>
      <c r="B1826" s="458">
        <v>3.876221806374347E-2</v>
      </c>
      <c r="C1826" s="477">
        <v>11222453.529668726</v>
      </c>
      <c r="D1826" s="458">
        <v>4.568495183137089E-2</v>
      </c>
      <c r="E1826" s="477">
        <v>18489945.181758232</v>
      </c>
      <c r="F1826" s="458">
        <v>0.18946399106646394</v>
      </c>
      <c r="G1826" s="477">
        <v>79449844.522976175</v>
      </c>
      <c r="H1826" s="458">
        <v>0.25785507905449134</v>
      </c>
      <c r="I1826" s="468">
        <v>3.8189601791597667</v>
      </c>
    </row>
    <row r="1827" spans="1:9" ht="16.5" x14ac:dyDescent="0.3">
      <c r="A1827" s="477">
        <v>4439479.286145702</v>
      </c>
      <c r="B1827" s="458">
        <v>2.1339536677463355E-2</v>
      </c>
      <c r="C1827" s="477">
        <v>16518042.986048099</v>
      </c>
      <c r="D1827" s="458">
        <v>2.8634262682045719E-2</v>
      </c>
      <c r="E1827" s="477">
        <v>22092287.138483994</v>
      </c>
      <c r="F1827" s="458">
        <v>0.11631231873979631</v>
      </c>
      <c r="G1827" s="477">
        <v>88508591.079876661</v>
      </c>
      <c r="H1827" s="458">
        <v>0.26131862642702308</v>
      </c>
      <c r="I1827" s="468">
        <v>7.9848317371983182</v>
      </c>
    </row>
    <row r="1828" spans="1:9" ht="16.5" x14ac:dyDescent="0.3">
      <c r="A1828" s="477">
        <v>2849055.8603740693</v>
      </c>
      <c r="B1828" s="458">
        <v>1.9726690966435534E-2</v>
      </c>
      <c r="C1828" s="477">
        <v>7519173.2108730171</v>
      </c>
      <c r="D1828" s="458">
        <v>5.108861036239154E-2</v>
      </c>
      <c r="E1828" s="477">
        <v>19496521.658243857</v>
      </c>
      <c r="F1828" s="458">
        <v>0.11831039418707134</v>
      </c>
      <c r="G1828" s="477">
        <v>84952036.387335941</v>
      </c>
      <c r="H1828" s="458">
        <v>0.27754572232021002</v>
      </c>
      <c r="I1828" s="468">
        <v>11.298010515080703</v>
      </c>
    </row>
    <row r="1829" spans="1:9" ht="16.5" x14ac:dyDescent="0.3">
      <c r="A1829" s="477">
        <v>7236372.4997387109</v>
      </c>
      <c r="B1829" s="458">
        <v>3.4820439653010959E-2</v>
      </c>
      <c r="C1829" s="477">
        <v>7983021.1781205283</v>
      </c>
      <c r="D1829" s="458">
        <v>4.8119752744860023E-2</v>
      </c>
      <c r="E1829" s="477">
        <v>26140592.954108119</v>
      </c>
      <c r="F1829" s="458">
        <v>0.11236385003693616</v>
      </c>
      <c r="G1829" s="477">
        <v>98497382.633401632</v>
      </c>
      <c r="H1829" s="458">
        <v>0.29291734941627934</v>
      </c>
      <c r="I1829" s="468">
        <v>2.981501535625724</v>
      </c>
    </row>
    <row r="1830" spans="1:9" ht="16.5" x14ac:dyDescent="0.3">
      <c r="A1830" s="477">
        <v>-2006398.2979571314</v>
      </c>
      <c r="B1830" s="458">
        <v>4.9709903727544136E-2</v>
      </c>
      <c r="C1830" s="477">
        <v>2906379.2661095154</v>
      </c>
      <c r="D1830" s="458">
        <v>5.8130161667246938E-2</v>
      </c>
      <c r="E1830" s="477">
        <v>13838635.428562969</v>
      </c>
      <c r="F1830" s="458">
        <v>0.10542820943664122</v>
      </c>
      <c r="G1830" s="477">
        <v>101646105.45558757</v>
      </c>
      <c r="H1830" s="458">
        <v>0.26509012298231327</v>
      </c>
      <c r="I1830" s="468">
        <v>8.5746929967070606</v>
      </c>
    </row>
    <row r="1831" spans="1:9" ht="16.5" x14ac:dyDescent="0.3">
      <c r="A1831" s="477">
        <v>8730578.3758718763</v>
      </c>
      <c r="B1831" s="458">
        <v>5.9323495057125974E-2</v>
      </c>
      <c r="C1831" s="477">
        <v>13443247.934968961</v>
      </c>
      <c r="D1831" s="458">
        <v>4.9539614690913281E-2</v>
      </c>
      <c r="E1831" s="477">
        <v>15303389.029622262</v>
      </c>
      <c r="F1831" s="458">
        <v>0.10963288171202423</v>
      </c>
      <c r="G1831" s="477">
        <v>84264535.697866768</v>
      </c>
      <c r="H1831" s="458">
        <v>0.2518812926633629</v>
      </c>
      <c r="I1831" s="468">
        <v>5.8450398052561621</v>
      </c>
    </row>
    <row r="1832" spans="1:9" ht="16.5" x14ac:dyDescent="0.3">
      <c r="A1832" s="477">
        <v>2410939.5592849692</v>
      </c>
      <c r="B1832" s="458">
        <v>5.1859938610593126E-2</v>
      </c>
      <c r="C1832" s="477">
        <v>6580150.6891068537</v>
      </c>
      <c r="D1832" s="458">
        <v>7.162076527390826E-2</v>
      </c>
      <c r="E1832" s="477">
        <v>8384406.9015439302</v>
      </c>
      <c r="F1832" s="458">
        <v>0.10206578114438503</v>
      </c>
      <c r="G1832" s="477">
        <v>99137427.098666936</v>
      </c>
      <c r="H1832" s="458">
        <v>0.26660664784237564</v>
      </c>
      <c r="I1832" s="468">
        <v>6.16223924938053</v>
      </c>
    </row>
    <row r="1833" spans="1:9" ht="16.5" x14ac:dyDescent="0.3">
      <c r="A1833" s="477">
        <v>2847163.444250586</v>
      </c>
      <c r="B1833" s="458">
        <v>4.6559279471407145E-2</v>
      </c>
      <c r="C1833" s="477">
        <v>2982735.4353959691</v>
      </c>
      <c r="D1833" s="458">
        <v>5.2792956696527504E-2</v>
      </c>
      <c r="E1833" s="477">
        <v>7799053.9732440785</v>
      </c>
      <c r="F1833" s="458">
        <v>0.10396037049976714</v>
      </c>
      <c r="G1833" s="477">
        <v>100430759.9061763</v>
      </c>
      <c r="H1833" s="458">
        <v>0.2570088288357868</v>
      </c>
      <c r="I1833" s="468">
        <v>9.888119828611007</v>
      </c>
    </row>
    <row r="1834" spans="1:9" ht="16.5" x14ac:dyDescent="0.3">
      <c r="A1834" s="477">
        <v>498251.90724073758</v>
      </c>
      <c r="B1834" s="458">
        <v>4.1361846972445271E-2</v>
      </c>
      <c r="C1834" s="477">
        <v>9523505.0947596096</v>
      </c>
      <c r="D1834" s="458">
        <v>3.9316022164403552E-2</v>
      </c>
      <c r="E1834" s="477">
        <v>21774506.196830928</v>
      </c>
      <c r="F1834" s="458">
        <v>0.11035540645861563</v>
      </c>
      <c r="G1834" s="477">
        <v>93652504.048637599</v>
      </c>
      <c r="H1834" s="458">
        <v>0.28061956283530964</v>
      </c>
      <c r="I1834" s="468">
        <v>6.7162717437926158</v>
      </c>
    </row>
    <row r="1835" spans="1:9" ht="16.5" x14ac:dyDescent="0.3">
      <c r="A1835" s="477">
        <v>8288489.0081302607</v>
      </c>
      <c r="B1835" s="458">
        <v>4.137982258301709E-2</v>
      </c>
      <c r="C1835" s="477">
        <v>4455324.7298624674</v>
      </c>
      <c r="D1835" s="458">
        <v>5.6289811471847528E-2</v>
      </c>
      <c r="E1835" s="477">
        <v>20760874.653402515</v>
      </c>
      <c r="F1835" s="458">
        <v>0.1169932405634706</v>
      </c>
      <c r="G1835" s="477">
        <v>100903202.5322817</v>
      </c>
      <c r="H1835" s="458">
        <v>0.27017712773460034</v>
      </c>
      <c r="I1835" s="468">
        <v>9.3196331129958825</v>
      </c>
    </row>
    <row r="1836" spans="1:9" ht="16.5" x14ac:dyDescent="0.3">
      <c r="A1836" s="477">
        <v>1054726.0919903736</v>
      </c>
      <c r="B1836" s="458">
        <v>4.0825315968769926E-2</v>
      </c>
      <c r="C1836" s="477">
        <v>6485941.4552714089</v>
      </c>
      <c r="D1836" s="458">
        <v>5.7156575247693464E-2</v>
      </c>
      <c r="E1836" s="477">
        <v>23774566.468304932</v>
      </c>
      <c r="F1836" s="458">
        <v>0.12773797383843788</v>
      </c>
      <c r="G1836" s="477">
        <v>83849068.310167298</v>
      </c>
      <c r="H1836" s="458">
        <v>0.28792601544884211</v>
      </c>
      <c r="I1836" s="468">
        <v>7.3059372684676216</v>
      </c>
    </row>
    <row r="1837" spans="1:9" ht="16.5" x14ac:dyDescent="0.3">
      <c r="A1837" s="477">
        <v>7802783.9465371156</v>
      </c>
      <c r="B1837" s="458">
        <v>4.0119987857593076E-2</v>
      </c>
      <c r="C1837" s="477">
        <v>5350305.761636815</v>
      </c>
      <c r="D1837" s="458">
        <v>5.3138974181945908E-2</v>
      </c>
      <c r="E1837" s="477">
        <v>23564796.877890363</v>
      </c>
      <c r="F1837" s="458">
        <v>0.11290280424992405</v>
      </c>
      <c r="G1837" s="477">
        <v>105437715.97203986</v>
      </c>
      <c r="H1837" s="458">
        <v>0.26211114572699534</v>
      </c>
      <c r="I1837" s="468">
        <v>9.9582552715544992</v>
      </c>
    </row>
    <row r="1838" spans="1:9" ht="16.5" x14ac:dyDescent="0.3">
      <c r="A1838" s="477">
        <v>7805744.2764239982</v>
      </c>
      <c r="B1838" s="458">
        <v>5.8217006583655584E-2</v>
      </c>
      <c r="C1838" s="477">
        <v>9602207.239271285</v>
      </c>
      <c r="D1838" s="458">
        <v>5.7751725872473347E-2</v>
      </c>
      <c r="E1838" s="477">
        <v>17726892.921066802</v>
      </c>
      <c r="F1838" s="458">
        <v>0.11158095223247999</v>
      </c>
      <c r="G1838" s="477">
        <v>89535174.590633735</v>
      </c>
      <c r="H1838" s="458">
        <v>0.26799954179275831</v>
      </c>
      <c r="I1838" s="468">
        <v>5.6132888542855337</v>
      </c>
    </row>
    <row r="1839" spans="1:9" ht="16.5" x14ac:dyDescent="0.3">
      <c r="A1839" s="477">
        <v>9047558.7000120562</v>
      </c>
      <c r="B1839" s="458">
        <v>3.5680864648578892E-2</v>
      </c>
      <c r="C1839" s="477">
        <v>11698879.37683665</v>
      </c>
      <c r="D1839" s="458">
        <v>6.2372881773858246E-2</v>
      </c>
      <c r="E1839" s="477">
        <v>11271532.377955601</v>
      </c>
      <c r="F1839" s="458">
        <v>0.14233245998423882</v>
      </c>
      <c r="G1839" s="477">
        <v>96378980.680003181</v>
      </c>
      <c r="H1839" s="458">
        <v>0.26767771368205873</v>
      </c>
      <c r="I1839" s="468">
        <v>10.480476050219977</v>
      </c>
    </row>
    <row r="1840" spans="1:9" ht="16.5" x14ac:dyDescent="0.3">
      <c r="A1840" s="477">
        <v>4781810.2878947835</v>
      </c>
      <c r="B1840" s="458">
        <v>3.9864276238227303E-2</v>
      </c>
      <c r="C1840" s="477">
        <v>10115548.572556818</v>
      </c>
      <c r="D1840" s="458">
        <v>6.2386859196895239E-2</v>
      </c>
      <c r="E1840" s="477">
        <v>20001572.615762234</v>
      </c>
      <c r="F1840" s="458">
        <v>0.1251334042891612</v>
      </c>
      <c r="G1840" s="477">
        <v>95831258.95200114</v>
      </c>
      <c r="H1840" s="458">
        <v>0.27022705546725945</v>
      </c>
      <c r="I1840" s="468">
        <v>4.9359735990538223</v>
      </c>
    </row>
    <row r="1841" spans="1:9" ht="16.5" x14ac:dyDescent="0.3">
      <c r="A1841" s="477">
        <v>5560908.4096273566</v>
      </c>
      <c r="B1841" s="458">
        <v>5.4974421359911041E-2</v>
      </c>
      <c r="C1841" s="477">
        <v>3435117.5307404604</v>
      </c>
      <c r="D1841" s="458">
        <v>6.4923765324228944E-2</v>
      </c>
      <c r="E1841" s="477">
        <v>18261443.345867686</v>
      </c>
      <c r="F1841" s="458">
        <v>9.5709899233792584E-2</v>
      </c>
      <c r="G1841" s="477">
        <v>79696367.12301828</v>
      </c>
      <c r="H1841" s="458">
        <v>0.26665252131920614</v>
      </c>
      <c r="I1841" s="468">
        <v>7.6975363979963376</v>
      </c>
    </row>
    <row r="1842" spans="1:9" ht="16.5" x14ac:dyDescent="0.3">
      <c r="A1842" s="477">
        <v>2947478.7581214346</v>
      </c>
      <c r="B1842" s="458">
        <v>4.7197968319200756E-2</v>
      </c>
      <c r="C1842" s="477">
        <v>3513126.1494019297</v>
      </c>
      <c r="D1842" s="458">
        <v>7.7702435984028595E-2</v>
      </c>
      <c r="E1842" s="477">
        <v>17135106.639744524</v>
      </c>
      <c r="F1842" s="458">
        <v>0.11984764885910426</v>
      </c>
      <c r="G1842" s="477">
        <v>103040128.42792431</v>
      </c>
      <c r="H1842" s="458">
        <v>0.26664633882429212</v>
      </c>
      <c r="I1842" s="468">
        <v>11.231240493494159</v>
      </c>
    </row>
    <row r="1843" spans="1:9" ht="16.5" x14ac:dyDescent="0.3">
      <c r="A1843" s="477">
        <v>2293463.4747356325</v>
      </c>
      <c r="B1843" s="458">
        <v>6.318750833527309E-2</v>
      </c>
      <c r="C1843" s="477">
        <v>16542618.341947367</v>
      </c>
      <c r="D1843" s="458">
        <v>4.553912868869614E-2</v>
      </c>
      <c r="E1843" s="477">
        <v>15777985.051596338</v>
      </c>
      <c r="F1843" s="458">
        <v>0.11975912524547816</v>
      </c>
      <c r="G1843" s="477">
        <v>106276328.36843424</v>
      </c>
      <c r="H1843" s="458">
        <v>0.28250985623506764</v>
      </c>
      <c r="I1843" s="468">
        <v>9.5453226857475322</v>
      </c>
    </row>
    <row r="1844" spans="1:9" ht="16.5" x14ac:dyDescent="0.3">
      <c r="A1844" s="477">
        <v>3992985.6841048189</v>
      </c>
      <c r="B1844" s="458">
        <v>3.7790214810793366E-2</v>
      </c>
      <c r="C1844" s="477">
        <v>9557125.677603282</v>
      </c>
      <c r="D1844" s="458">
        <v>6.0022539964744048E-2</v>
      </c>
      <c r="E1844" s="477">
        <v>10915538.374165975</v>
      </c>
      <c r="F1844" s="458">
        <v>0.13609039542482093</v>
      </c>
      <c r="G1844" s="477">
        <v>99090495.339185938</v>
      </c>
      <c r="H1844" s="458">
        <v>0.2516365379492933</v>
      </c>
      <c r="I1844" s="468">
        <v>7.0021065787412295</v>
      </c>
    </row>
    <row r="1845" spans="1:9" ht="16.5" x14ac:dyDescent="0.3">
      <c r="A1845" s="477">
        <v>3842920.3195610931</v>
      </c>
      <c r="B1845" s="458">
        <v>3.5020394677802269E-2</v>
      </c>
      <c r="C1845" s="477">
        <v>14716708.85132472</v>
      </c>
      <c r="D1845" s="458">
        <v>5.499064060251535E-2</v>
      </c>
      <c r="E1845" s="477">
        <v>16068035.717997339</v>
      </c>
      <c r="F1845" s="458">
        <v>0.11302415893472162</v>
      </c>
      <c r="G1845" s="477">
        <v>92842262.691794291</v>
      </c>
      <c r="H1845" s="458">
        <v>0.26640089625043761</v>
      </c>
      <c r="I1845" s="468">
        <v>7.6962960588119778</v>
      </c>
    </row>
    <row r="1846" spans="1:9" ht="16.5" x14ac:dyDescent="0.3">
      <c r="A1846" s="477">
        <v>7133870.9658064246</v>
      </c>
      <c r="B1846" s="458">
        <v>4.0533780613313475E-2</v>
      </c>
      <c r="C1846" s="477">
        <v>5976521.711076919</v>
      </c>
      <c r="D1846" s="458">
        <v>8.487545507318961E-2</v>
      </c>
      <c r="E1846" s="477">
        <v>18789274.303047493</v>
      </c>
      <c r="F1846" s="458">
        <v>0.10400979947523159</v>
      </c>
      <c r="G1846" s="477">
        <v>97226187.413908854</v>
      </c>
      <c r="H1846" s="458">
        <v>0.26298213557350092</v>
      </c>
      <c r="I1846" s="468">
        <v>5.0961733725136673</v>
      </c>
    </row>
    <row r="1847" spans="1:9" ht="16.5" x14ac:dyDescent="0.3">
      <c r="A1847" s="477">
        <v>7094253.943024544</v>
      </c>
      <c r="B1847" s="458">
        <v>3.8341839285282786E-2</v>
      </c>
      <c r="C1847" s="477">
        <v>14716816.014955763</v>
      </c>
      <c r="D1847" s="458">
        <v>4.8624088200726057E-2</v>
      </c>
      <c r="E1847" s="477">
        <v>14960191.584812604</v>
      </c>
      <c r="F1847" s="458">
        <v>0.10970532022062351</v>
      </c>
      <c r="G1847" s="477">
        <v>100233371.86951047</v>
      </c>
      <c r="H1847" s="458">
        <v>0.25629023605042245</v>
      </c>
      <c r="I1847" s="468">
        <v>6.5867985004696239</v>
      </c>
    </row>
    <row r="1848" spans="1:9" ht="16.5" x14ac:dyDescent="0.3">
      <c r="A1848" s="477">
        <v>3299331.3073975812</v>
      </c>
      <c r="B1848" s="458">
        <v>4.1382242529482971E-2</v>
      </c>
      <c r="C1848" s="477">
        <v>5539934.4597886661</v>
      </c>
      <c r="D1848" s="458">
        <v>8.3865782229293639E-2</v>
      </c>
      <c r="E1848" s="477">
        <v>16598131.700338466</v>
      </c>
      <c r="F1848" s="458">
        <v>8.2720725464216383E-2</v>
      </c>
      <c r="G1848" s="477">
        <v>90906708.933932573</v>
      </c>
      <c r="H1848" s="458">
        <v>0.27755709281960139</v>
      </c>
      <c r="I1848" s="468">
        <v>6.0459520349012417</v>
      </c>
    </row>
    <row r="1849" spans="1:9" ht="16.5" x14ac:dyDescent="0.3">
      <c r="A1849" s="477">
        <v>1897965.964316857</v>
      </c>
      <c r="B1849" s="458">
        <v>4.499768842948626E-2</v>
      </c>
      <c r="C1849" s="477">
        <v>14087987.362442261</v>
      </c>
      <c r="D1849" s="458">
        <v>6.1054973864620221E-2</v>
      </c>
      <c r="E1849" s="477">
        <v>21617240.3438759</v>
      </c>
      <c r="F1849" s="458">
        <v>0.11727955773773036</v>
      </c>
      <c r="G1849" s="477">
        <v>97554449.730266005</v>
      </c>
      <c r="H1849" s="458">
        <v>0.24055639656648031</v>
      </c>
      <c r="I1849" s="468">
        <v>9.0353339093135201</v>
      </c>
    </row>
    <row r="1850" spans="1:9" ht="16.5" x14ac:dyDescent="0.3">
      <c r="A1850" s="477">
        <v>-1196486.2756882533</v>
      </c>
      <c r="B1850" s="458">
        <v>5.1356777141830179E-2</v>
      </c>
      <c r="C1850" s="477">
        <v>6776218.9799965927</v>
      </c>
      <c r="D1850" s="458">
        <v>5.3886628912732881E-2</v>
      </c>
      <c r="E1850" s="477">
        <v>13108561.56885639</v>
      </c>
      <c r="F1850" s="458">
        <v>7.9867947347697532E-2</v>
      </c>
      <c r="G1850" s="477">
        <v>98923381.665043294</v>
      </c>
      <c r="H1850" s="458">
        <v>0.2676907271096276</v>
      </c>
      <c r="I1850" s="468">
        <v>5.5596133971227566</v>
      </c>
    </row>
    <row r="1851" spans="1:9" ht="16.5" x14ac:dyDescent="0.3">
      <c r="A1851" s="477">
        <v>4358781.2096132403</v>
      </c>
      <c r="B1851" s="458">
        <v>6.9627398032623189E-2</v>
      </c>
      <c r="C1851" s="477">
        <v>11767622.051001605</v>
      </c>
      <c r="D1851" s="458">
        <v>9.3680322477390998E-2</v>
      </c>
      <c r="E1851" s="477">
        <v>14976475.257705379</v>
      </c>
      <c r="F1851" s="458">
        <v>0.10995281719776862</v>
      </c>
      <c r="G1851" s="477">
        <v>100103413.5008626</v>
      </c>
      <c r="H1851" s="458">
        <v>0.26579192694046649</v>
      </c>
      <c r="I1851" s="468">
        <v>10.531081808040122</v>
      </c>
    </row>
    <row r="1852" spans="1:9" ht="16.5" x14ac:dyDescent="0.3">
      <c r="A1852" s="477">
        <v>2995044.3153717807</v>
      </c>
      <c r="B1852" s="458">
        <v>3.2740187944460875E-2</v>
      </c>
      <c r="C1852" s="477">
        <v>12564413.882123832</v>
      </c>
      <c r="D1852" s="458">
        <v>7.8463682672031521E-2</v>
      </c>
      <c r="E1852" s="477">
        <v>19339940.014754482</v>
      </c>
      <c r="F1852" s="458">
        <v>0.11459347378321061</v>
      </c>
      <c r="G1852" s="477">
        <v>98115272.596550629</v>
      </c>
      <c r="H1852" s="458">
        <v>0.27380862396534722</v>
      </c>
      <c r="I1852" s="468">
        <v>6.2108419093936131</v>
      </c>
    </row>
    <row r="1853" spans="1:9" ht="16.5" x14ac:dyDescent="0.3">
      <c r="A1853" s="477">
        <v>6739231.4846984884</v>
      </c>
      <c r="B1853" s="458">
        <v>4.0476972018773205E-2</v>
      </c>
      <c r="C1853" s="477">
        <v>12513077.601083007</v>
      </c>
      <c r="D1853" s="458">
        <v>3.9556182307332044E-2</v>
      </c>
      <c r="E1853" s="477">
        <v>23438863.401348878</v>
      </c>
      <c r="F1853" s="458">
        <v>0.11778901493698068</v>
      </c>
      <c r="G1853" s="477">
        <v>103326699.51585408</v>
      </c>
      <c r="H1853" s="458">
        <v>0.27296963467741042</v>
      </c>
      <c r="I1853" s="468">
        <v>3.3581579107054536</v>
      </c>
    </row>
    <row r="1854" spans="1:9" ht="16.5" x14ac:dyDescent="0.3">
      <c r="A1854" s="477">
        <v>3656042.0348843466</v>
      </c>
      <c r="B1854" s="458">
        <v>3.6472844613887334E-2</v>
      </c>
      <c r="C1854" s="477">
        <v>8291296.0669704247</v>
      </c>
      <c r="D1854" s="458">
        <v>7.3812669289362809E-2</v>
      </c>
      <c r="E1854" s="477">
        <v>18312542.483545698</v>
      </c>
      <c r="F1854" s="458">
        <v>0.10932897342598347</v>
      </c>
      <c r="G1854" s="477">
        <v>87449662.869882852</v>
      </c>
      <c r="H1854" s="458">
        <v>0.27385257141023156</v>
      </c>
      <c r="I1854" s="468">
        <v>7.8566080906236557</v>
      </c>
    </row>
    <row r="1855" spans="1:9" ht="16.5" x14ac:dyDescent="0.3">
      <c r="A1855" s="477">
        <v>9597834.9232593141</v>
      </c>
      <c r="B1855" s="458">
        <v>6.8657916989135925E-2</v>
      </c>
      <c r="C1855" s="477">
        <v>10578685.849430712</v>
      </c>
      <c r="D1855" s="458">
        <v>6.6501829144361979E-2</v>
      </c>
      <c r="E1855" s="477">
        <v>20767767.616131306</v>
      </c>
      <c r="F1855" s="458">
        <v>0.11940113534128205</v>
      </c>
      <c r="G1855" s="477">
        <v>95503292.472467497</v>
      </c>
      <c r="H1855" s="458">
        <v>0.26923986612636175</v>
      </c>
      <c r="I1855" s="468">
        <v>3.4953922581231627</v>
      </c>
    </row>
    <row r="1856" spans="1:9" ht="16.5" x14ac:dyDescent="0.3">
      <c r="A1856" s="477">
        <v>8538479.5315314326</v>
      </c>
      <c r="B1856" s="458">
        <v>4.063360657694437E-2</v>
      </c>
      <c r="C1856" s="477">
        <v>12240958.635721371</v>
      </c>
      <c r="D1856" s="458">
        <v>3.1976519363420497E-2</v>
      </c>
      <c r="E1856" s="477">
        <v>22255086.689535704</v>
      </c>
      <c r="F1856" s="458">
        <v>0.10896262890058916</v>
      </c>
      <c r="G1856" s="477">
        <v>79346506.623129129</v>
      </c>
      <c r="H1856" s="458">
        <v>0.25729454416906217</v>
      </c>
      <c r="I1856" s="468">
        <v>9.6452488735561364</v>
      </c>
    </row>
    <row r="1857" spans="1:9" ht="16.5" x14ac:dyDescent="0.3">
      <c r="A1857" s="477">
        <v>11668102.787287025</v>
      </c>
      <c r="B1857" s="458">
        <v>3.4024658857755519E-2</v>
      </c>
      <c r="C1857" s="477">
        <v>8505741.1269156877</v>
      </c>
      <c r="D1857" s="458">
        <v>6.2669953545080093E-2</v>
      </c>
      <c r="E1857" s="477">
        <v>20583363.103046946</v>
      </c>
      <c r="F1857" s="458">
        <v>0.12035525561547278</v>
      </c>
      <c r="G1857" s="477">
        <v>87259656.365722179</v>
      </c>
      <c r="H1857" s="458">
        <v>0.28517064718212048</v>
      </c>
      <c r="I1857" s="468">
        <v>6.3334873250029862</v>
      </c>
    </row>
    <row r="1858" spans="1:9" ht="16.5" x14ac:dyDescent="0.3">
      <c r="A1858" s="477">
        <v>6675827.1187411919</v>
      </c>
      <c r="B1858" s="458">
        <v>3.6545787499914439E-2</v>
      </c>
      <c r="C1858" s="477">
        <v>6956000.7025493477</v>
      </c>
      <c r="D1858" s="458">
        <v>5.5774784007208922E-2</v>
      </c>
      <c r="E1858" s="477">
        <v>12270939.890078465</v>
      </c>
      <c r="F1858" s="458">
        <v>0.1213419967714684</v>
      </c>
      <c r="G1858" s="477">
        <v>79090850.511137903</v>
      </c>
      <c r="H1858" s="458">
        <v>0.28253469465712056</v>
      </c>
      <c r="I1858" s="468">
        <v>14.056912759243621</v>
      </c>
    </row>
    <row r="1859" spans="1:9" ht="16.5" x14ac:dyDescent="0.3">
      <c r="A1859" s="477">
        <v>1955003.0274410439</v>
      </c>
      <c r="B1859" s="458">
        <v>4.6947793394487514E-2</v>
      </c>
      <c r="C1859" s="477">
        <v>10290423.322207641</v>
      </c>
      <c r="D1859" s="458">
        <v>8.9637575784516033E-2</v>
      </c>
      <c r="E1859" s="477">
        <v>12450462.375849241</v>
      </c>
      <c r="F1859" s="458">
        <v>0.11564931316502269</v>
      </c>
      <c r="G1859" s="477">
        <v>86647287.481766477</v>
      </c>
      <c r="H1859" s="458">
        <v>0.25203735743601574</v>
      </c>
      <c r="I1859" s="468">
        <v>7.7513372872267183</v>
      </c>
    </row>
    <row r="1860" spans="1:9" ht="16.5" x14ac:dyDescent="0.3">
      <c r="A1860" s="477">
        <v>6590513.461425473</v>
      </c>
      <c r="B1860" s="458">
        <v>6.3884761508525179E-2</v>
      </c>
      <c r="C1860" s="477">
        <v>7919804.6445285119</v>
      </c>
      <c r="D1860" s="458">
        <v>5.4814106790363581E-2</v>
      </c>
      <c r="E1860" s="477">
        <v>18069371.975074161</v>
      </c>
      <c r="F1860" s="458">
        <v>7.8422590595131014E-2</v>
      </c>
      <c r="G1860" s="477">
        <v>75388862.776505068</v>
      </c>
      <c r="H1860" s="458">
        <v>0.24618656585787613</v>
      </c>
      <c r="I1860" s="468">
        <v>5.1637378436019388</v>
      </c>
    </row>
    <row r="1861" spans="1:9" ht="16.5" x14ac:dyDescent="0.3">
      <c r="A1861" s="477">
        <v>5708589.1317553194</v>
      </c>
      <c r="B1861" s="458">
        <v>3.3814932776030426E-2</v>
      </c>
      <c r="C1861" s="477">
        <v>7897298.8292847052</v>
      </c>
      <c r="D1861" s="458">
        <v>9.3031924968550284E-2</v>
      </c>
      <c r="E1861" s="477">
        <v>13918929.94961419</v>
      </c>
      <c r="F1861" s="458">
        <v>0.11091952158942586</v>
      </c>
      <c r="G1861" s="477">
        <v>88995240.04009971</v>
      </c>
      <c r="H1861" s="458">
        <v>0.26116773023898743</v>
      </c>
      <c r="I1861" s="468">
        <v>11.777300872878893</v>
      </c>
    </row>
    <row r="1862" spans="1:9" ht="16.5" x14ac:dyDescent="0.3">
      <c r="A1862" s="477">
        <v>7609322.382199307</v>
      </c>
      <c r="B1862" s="458">
        <v>3.034550606099784E-2</v>
      </c>
      <c r="C1862" s="477">
        <v>9042827.7038244009</v>
      </c>
      <c r="D1862" s="458">
        <v>7.9392531510869002E-2</v>
      </c>
      <c r="E1862" s="477">
        <v>13655183.269509584</v>
      </c>
      <c r="F1862" s="458">
        <v>0.19329828604686394</v>
      </c>
      <c r="G1862" s="477">
        <v>93088860.57414256</v>
      </c>
      <c r="H1862" s="458">
        <v>0.26509561587686892</v>
      </c>
      <c r="I1862" s="468">
        <v>5.7805495126459219</v>
      </c>
    </row>
    <row r="1863" spans="1:9" ht="16.5" x14ac:dyDescent="0.3">
      <c r="A1863" s="477">
        <v>1639652.606657105</v>
      </c>
      <c r="B1863" s="458">
        <v>5.0538524720626476E-2</v>
      </c>
      <c r="C1863" s="477">
        <v>14027368.119172012</v>
      </c>
      <c r="D1863" s="458">
        <v>5.0512433591713313E-2</v>
      </c>
      <c r="E1863" s="477">
        <v>11119024.404566456</v>
      </c>
      <c r="F1863" s="458">
        <v>0.1022061873923481</v>
      </c>
      <c r="G1863" s="477">
        <v>89492966.693971843</v>
      </c>
      <c r="H1863" s="458">
        <v>0.26308787732125527</v>
      </c>
      <c r="I1863" s="468">
        <v>4.1262695069346229</v>
      </c>
    </row>
    <row r="1864" spans="1:9" ht="16.5" x14ac:dyDescent="0.3">
      <c r="A1864" s="477">
        <v>6361037.8423225628</v>
      </c>
      <c r="B1864" s="458">
        <v>5.1998955484651388E-2</v>
      </c>
      <c r="C1864" s="477">
        <v>7004373.8258773601</v>
      </c>
      <c r="D1864" s="458">
        <v>6.0021728602583702E-2</v>
      </c>
      <c r="E1864" s="477">
        <v>18353990.771094818</v>
      </c>
      <c r="F1864" s="458">
        <v>0.11820886252554841</v>
      </c>
      <c r="G1864" s="477">
        <v>81069483.141433239</v>
      </c>
      <c r="H1864" s="458">
        <v>0.2863337610888903</v>
      </c>
      <c r="I1864" s="468">
        <v>7.7489279763308536</v>
      </c>
    </row>
    <row r="1865" spans="1:9" ht="16.5" x14ac:dyDescent="0.3">
      <c r="A1865" s="477">
        <v>3606744.0320467255</v>
      </c>
      <c r="B1865" s="458">
        <v>5.5513424350425389E-2</v>
      </c>
      <c r="C1865" s="477">
        <v>12256046.902183853</v>
      </c>
      <c r="D1865" s="458">
        <v>5.5799021429663309E-2</v>
      </c>
      <c r="E1865" s="477">
        <v>14897438.179060621</v>
      </c>
      <c r="F1865" s="458">
        <v>0.19753857742050407</v>
      </c>
      <c r="G1865" s="477">
        <v>79305488.228185415</v>
      </c>
      <c r="H1865" s="458">
        <v>0.28777173292736502</v>
      </c>
      <c r="I1865" s="468">
        <v>6.5823696356281625</v>
      </c>
    </row>
    <row r="1866" spans="1:9" ht="16.5" x14ac:dyDescent="0.3">
      <c r="A1866" s="477">
        <v>5203028.7422489431</v>
      </c>
      <c r="B1866" s="458">
        <v>3.1964744941220813E-2</v>
      </c>
      <c r="C1866" s="477">
        <v>7577381.1740825642</v>
      </c>
      <c r="D1866" s="458">
        <v>5.4703476847455024E-2</v>
      </c>
      <c r="E1866" s="477">
        <v>15342590.908189641</v>
      </c>
      <c r="F1866" s="458">
        <v>0.11423723037051614</v>
      </c>
      <c r="G1866" s="477">
        <v>70594429.105641842</v>
      </c>
      <c r="H1866" s="458">
        <v>0.28006942330615048</v>
      </c>
      <c r="I1866" s="468">
        <v>6.6517124623512824</v>
      </c>
    </row>
    <row r="1867" spans="1:9" ht="16.5" x14ac:dyDescent="0.3">
      <c r="A1867" s="477">
        <v>5140148.9119098904</v>
      </c>
      <c r="B1867" s="458">
        <v>5.7301093349779286E-2</v>
      </c>
      <c r="C1867" s="477">
        <v>6854717.4575950801</v>
      </c>
      <c r="D1867" s="458">
        <v>5.8811218297095236E-2</v>
      </c>
      <c r="E1867" s="477">
        <v>14702331.757091403</v>
      </c>
      <c r="F1867" s="458">
        <v>0.12838566434679821</v>
      </c>
      <c r="G1867" s="477">
        <v>92341606.287629902</v>
      </c>
      <c r="H1867" s="458">
        <v>0.26695271427832012</v>
      </c>
      <c r="I1867" s="468">
        <v>9.3105417011885336</v>
      </c>
    </row>
    <row r="1868" spans="1:9" ht="16.5" x14ac:dyDescent="0.3">
      <c r="A1868" s="477">
        <v>8488128.5692031849</v>
      </c>
      <c r="B1868" s="458">
        <v>3.8365033529098147E-2</v>
      </c>
      <c r="C1868" s="477">
        <v>7662250.6376124183</v>
      </c>
      <c r="D1868" s="458">
        <v>7.5425692973810854E-2</v>
      </c>
      <c r="E1868" s="477">
        <v>18959223.992793106</v>
      </c>
      <c r="F1868" s="458">
        <v>0.12019307031029514</v>
      </c>
      <c r="G1868" s="477">
        <v>94563771.511358202</v>
      </c>
      <c r="H1868" s="458">
        <v>0.27023060931840903</v>
      </c>
      <c r="I1868" s="468">
        <v>8.0734730161562887</v>
      </c>
    </row>
    <row r="1869" spans="1:9" ht="16.5" x14ac:dyDescent="0.3">
      <c r="A1869" s="477">
        <v>6497588.6255444065</v>
      </c>
      <c r="B1869" s="458">
        <v>2.859171368665403E-2</v>
      </c>
      <c r="C1869" s="477">
        <v>8699085.737711696</v>
      </c>
      <c r="D1869" s="458">
        <v>5.7072249081451254E-2</v>
      </c>
      <c r="E1869" s="477">
        <v>15788491.698173871</v>
      </c>
      <c r="F1869" s="458">
        <v>0.1083783213781031</v>
      </c>
      <c r="G1869" s="477">
        <v>83587070.209228694</v>
      </c>
      <c r="H1869" s="458">
        <v>0.29502820380669914</v>
      </c>
      <c r="I1869" s="468">
        <v>3.957787927115632</v>
      </c>
    </row>
    <row r="1870" spans="1:9" ht="16.5" x14ac:dyDescent="0.3">
      <c r="A1870" s="477">
        <v>6950831.4895819705</v>
      </c>
      <c r="B1870" s="458">
        <v>5.3745199061077331E-2</v>
      </c>
      <c r="C1870" s="477">
        <v>6123713.9761247123</v>
      </c>
      <c r="D1870" s="458">
        <v>5.0409557975247488E-2</v>
      </c>
      <c r="E1870" s="477">
        <v>10932464.848873867</v>
      </c>
      <c r="F1870" s="458">
        <v>0.12979196550028682</v>
      </c>
      <c r="G1870" s="477">
        <v>76028283.624079645</v>
      </c>
      <c r="H1870" s="458">
        <v>0.28146082319115751</v>
      </c>
      <c r="I1870" s="468">
        <v>5.593058291744514</v>
      </c>
    </row>
    <row r="1871" spans="1:9" ht="16.5" x14ac:dyDescent="0.3">
      <c r="A1871" s="477">
        <v>6729142.2008452909</v>
      </c>
      <c r="B1871" s="458">
        <v>5.3630473076361707E-2</v>
      </c>
      <c r="C1871" s="477">
        <v>8347292.2477210658</v>
      </c>
      <c r="D1871" s="458">
        <v>6.8137518460999136E-2</v>
      </c>
      <c r="E1871" s="477">
        <v>13045868.55412457</v>
      </c>
      <c r="F1871" s="458">
        <v>0.10748485818795528</v>
      </c>
      <c r="G1871" s="477">
        <v>88079903.289041594</v>
      </c>
      <c r="H1871" s="458">
        <v>0.26657031993301206</v>
      </c>
      <c r="I1871" s="468">
        <v>8.5819815770622849</v>
      </c>
    </row>
    <row r="1872" spans="1:9" ht="16.5" x14ac:dyDescent="0.3">
      <c r="A1872" s="477">
        <v>-116628.41195619317</v>
      </c>
      <c r="B1872" s="458">
        <v>4.5927849351784733E-2</v>
      </c>
      <c r="C1872" s="477">
        <v>11474339.358701546</v>
      </c>
      <c r="D1872" s="458">
        <v>9.2691990338418462E-2</v>
      </c>
      <c r="E1872" s="477">
        <v>15140850.655304415</v>
      </c>
      <c r="F1872" s="458">
        <v>9.5754545940397673E-2</v>
      </c>
      <c r="G1872" s="477">
        <v>89432440.264908001</v>
      </c>
      <c r="H1872" s="458">
        <v>0.27194529175640136</v>
      </c>
      <c r="I1872" s="468">
        <v>8.3888300310469646</v>
      </c>
    </row>
    <row r="1873" spans="1:9" ht="16.5" x14ac:dyDescent="0.3">
      <c r="A1873" s="477">
        <v>11482308.057410873</v>
      </c>
      <c r="B1873" s="458">
        <v>5.8672666331919476E-2</v>
      </c>
      <c r="C1873" s="477">
        <v>3879277.2982688281</v>
      </c>
      <c r="D1873" s="458">
        <v>6.6503197558946292E-2</v>
      </c>
      <c r="E1873" s="477">
        <v>21324386.740724321</v>
      </c>
      <c r="F1873" s="458">
        <v>0.11585262346890945</v>
      </c>
      <c r="G1873" s="477">
        <v>91905812.433709994</v>
      </c>
      <c r="H1873" s="458">
        <v>0.26911930104826198</v>
      </c>
      <c r="I1873" s="468">
        <v>3.9051484123175717</v>
      </c>
    </row>
    <row r="1874" spans="1:9" ht="16.5" x14ac:dyDescent="0.3">
      <c r="A1874" s="477">
        <v>4370007.5737039493</v>
      </c>
      <c r="B1874" s="458">
        <v>2.7368982360264749E-2</v>
      </c>
      <c r="C1874" s="477">
        <v>4469867.4980921475</v>
      </c>
      <c r="D1874" s="458">
        <v>5.3656407684583129E-2</v>
      </c>
      <c r="E1874" s="477">
        <v>14501123.282589456</v>
      </c>
      <c r="F1874" s="458">
        <v>0.11282634222236454</v>
      </c>
      <c r="G1874" s="477">
        <v>83087147.68818751</v>
      </c>
      <c r="H1874" s="458">
        <v>0.27173119575484406</v>
      </c>
      <c r="I1874" s="468">
        <v>13.529390966919241</v>
      </c>
    </row>
    <row r="1875" spans="1:9" ht="16.5" x14ac:dyDescent="0.3">
      <c r="A1875" s="477">
        <v>10968868.872464016</v>
      </c>
      <c r="B1875" s="458">
        <v>6.5201916824895401E-2</v>
      </c>
      <c r="C1875" s="477">
        <v>1674718.9589304859</v>
      </c>
      <c r="D1875" s="458">
        <v>5.2685993897838346E-2</v>
      </c>
      <c r="E1875" s="477">
        <v>19755014.507018436</v>
      </c>
      <c r="F1875" s="458">
        <v>0.11957117606898571</v>
      </c>
      <c r="G1875" s="477">
        <v>89144710.905732512</v>
      </c>
      <c r="H1875" s="458">
        <v>0.26391865308528284</v>
      </c>
      <c r="I1875" s="468">
        <v>6.6183199651208646</v>
      </c>
    </row>
    <row r="1876" spans="1:9" ht="16.5" x14ac:dyDescent="0.3">
      <c r="A1876" s="477">
        <v>5895406.5002788249</v>
      </c>
      <c r="B1876" s="458">
        <v>3.7963277984250698E-2</v>
      </c>
      <c r="C1876" s="477">
        <v>2429905.724421131</v>
      </c>
      <c r="D1876" s="458">
        <v>8.2338824710204372E-2</v>
      </c>
      <c r="E1876" s="477">
        <v>13454054.841687361</v>
      </c>
      <c r="F1876" s="458">
        <v>0.11522927245512804</v>
      </c>
      <c r="G1876" s="477">
        <v>86505762.828154594</v>
      </c>
      <c r="H1876" s="458">
        <v>0.28897434791575027</v>
      </c>
      <c r="I1876" s="468">
        <v>-0.73552068727132713</v>
      </c>
    </row>
    <row r="1877" spans="1:9" ht="16.5" x14ac:dyDescent="0.3">
      <c r="A1877" s="477">
        <v>5102978.8599465443</v>
      </c>
      <c r="B1877" s="458">
        <v>3.3144267212944056E-2</v>
      </c>
      <c r="C1877" s="477">
        <v>10001387.19995781</v>
      </c>
      <c r="D1877" s="458">
        <v>8.1416512643410988E-2</v>
      </c>
      <c r="E1877" s="477">
        <v>19010608.969607595</v>
      </c>
      <c r="F1877" s="458">
        <v>0.13299108296651951</v>
      </c>
      <c r="G1877" s="477">
        <v>98790578.743355796</v>
      </c>
      <c r="H1877" s="458">
        <v>0.2616128023640556</v>
      </c>
      <c r="I1877" s="468">
        <v>7.1531048413969609</v>
      </c>
    </row>
    <row r="1878" spans="1:9" ht="16.5" x14ac:dyDescent="0.3">
      <c r="A1878" s="477">
        <v>3524822.5848068637</v>
      </c>
      <c r="B1878" s="458">
        <v>3.0289854252519843E-2</v>
      </c>
      <c r="C1878" s="477">
        <v>10320119.542840768</v>
      </c>
      <c r="D1878" s="458">
        <v>6.3630941004144015E-2</v>
      </c>
      <c r="E1878" s="477">
        <v>23235507.397288602</v>
      </c>
      <c r="F1878" s="458">
        <v>0.12681973695367543</v>
      </c>
      <c r="G1878" s="477">
        <v>90619239.304592744</v>
      </c>
      <c r="H1878" s="458">
        <v>0.27919756860424383</v>
      </c>
      <c r="I1878" s="468">
        <v>8.9934929399072079</v>
      </c>
    </row>
    <row r="1879" spans="1:9" ht="16.5" x14ac:dyDescent="0.3">
      <c r="A1879" s="477">
        <v>6351201.823005395</v>
      </c>
      <c r="B1879" s="458">
        <v>5.2405474577824185E-2</v>
      </c>
      <c r="C1879" s="477">
        <v>15058920.950138682</v>
      </c>
      <c r="D1879" s="458">
        <v>8.964934091089316E-2</v>
      </c>
      <c r="E1879" s="477">
        <v>17124721.924212907</v>
      </c>
      <c r="F1879" s="458">
        <v>0.10654816368860387</v>
      </c>
      <c r="G1879" s="477">
        <v>81303360.871196657</v>
      </c>
      <c r="H1879" s="458">
        <v>0.29537174821937429</v>
      </c>
      <c r="I1879" s="468">
        <v>11.8295909605327</v>
      </c>
    </row>
    <row r="1880" spans="1:9" ht="16.5" x14ac:dyDescent="0.3">
      <c r="A1880" s="477">
        <v>4103200.9709500475</v>
      </c>
      <c r="B1880" s="458">
        <v>2.0960147838070986E-2</v>
      </c>
      <c r="C1880" s="477">
        <v>9330805.3978728484</v>
      </c>
      <c r="D1880" s="458">
        <v>6.4941760493464118E-2</v>
      </c>
      <c r="E1880" s="477">
        <v>17493465.323395908</v>
      </c>
      <c r="F1880" s="458">
        <v>8.9209466757672384E-2</v>
      </c>
      <c r="G1880" s="477">
        <v>98340944.299883276</v>
      </c>
      <c r="H1880" s="458">
        <v>0.26987617402157338</v>
      </c>
      <c r="I1880" s="468">
        <v>7.2364198713811083</v>
      </c>
    </row>
    <row r="1881" spans="1:9" ht="16.5" x14ac:dyDescent="0.3">
      <c r="A1881" s="477">
        <v>4699324.0490945876</v>
      </c>
      <c r="B1881" s="458">
        <v>3.1681660162633962E-2</v>
      </c>
      <c r="C1881" s="477">
        <v>5983227.0387863908</v>
      </c>
      <c r="D1881" s="458">
        <v>7.2892108924300425E-2</v>
      </c>
      <c r="E1881" s="477">
        <v>12148678.380998841</v>
      </c>
      <c r="F1881" s="458">
        <v>0.1161052435728287</v>
      </c>
      <c r="G1881" s="477">
        <v>94468099.433016151</v>
      </c>
      <c r="H1881" s="458">
        <v>0.28877994877707436</v>
      </c>
      <c r="I1881" s="468">
        <v>6.6798731262135718</v>
      </c>
    </row>
    <row r="1882" spans="1:9" ht="16.5" x14ac:dyDescent="0.3">
      <c r="A1882" s="477">
        <v>6314291.4339886308</v>
      </c>
      <c r="B1882" s="458">
        <v>8.6390236264109799E-2</v>
      </c>
      <c r="C1882" s="477">
        <v>9978113.0541886259</v>
      </c>
      <c r="D1882" s="458">
        <v>3.1018514400144248E-2</v>
      </c>
      <c r="E1882" s="477">
        <v>14435304.876956487</v>
      </c>
      <c r="F1882" s="458">
        <v>0.12785604585223287</v>
      </c>
      <c r="G1882" s="477">
        <v>91585425.258220434</v>
      </c>
      <c r="H1882" s="458">
        <v>0.27851000631386791</v>
      </c>
      <c r="I1882" s="468">
        <v>8.4352657168276171</v>
      </c>
    </row>
    <row r="1883" spans="1:9" ht="16.5" x14ac:dyDescent="0.3">
      <c r="A1883" s="477">
        <v>4062721.6819563317</v>
      </c>
      <c r="B1883" s="458">
        <v>3.5357435188836384E-2</v>
      </c>
      <c r="C1883" s="477">
        <v>12952870.535526395</v>
      </c>
      <c r="D1883" s="458">
        <v>6.0153146651722667E-2</v>
      </c>
      <c r="E1883" s="477">
        <v>20712677.225375805</v>
      </c>
      <c r="F1883" s="458">
        <v>0.10356421146338435</v>
      </c>
      <c r="G1883" s="477">
        <v>86334580.746568531</v>
      </c>
      <c r="H1883" s="458">
        <v>0.26746329703430693</v>
      </c>
      <c r="I1883" s="468">
        <v>3.6420591625941832</v>
      </c>
    </row>
    <row r="1884" spans="1:9" ht="16.5" x14ac:dyDescent="0.3">
      <c r="A1884" s="477">
        <v>12719663.837998062</v>
      </c>
      <c r="B1884" s="458">
        <v>2.9133290228100517E-2</v>
      </c>
      <c r="C1884" s="477">
        <v>9323321.6146695726</v>
      </c>
      <c r="D1884" s="458">
        <v>7.3774966152940546E-2</v>
      </c>
      <c r="E1884" s="477">
        <v>18330953.291665588</v>
      </c>
      <c r="F1884" s="458">
        <v>0.10923240925133237</v>
      </c>
      <c r="G1884" s="477">
        <v>87863833.345752746</v>
      </c>
      <c r="H1884" s="458">
        <v>0.28177751957130237</v>
      </c>
      <c r="I1884" s="468">
        <v>5.2594853022478434</v>
      </c>
    </row>
    <row r="1885" spans="1:9" ht="16.5" x14ac:dyDescent="0.3">
      <c r="A1885" s="477">
        <v>3815515.2440850008</v>
      </c>
      <c r="B1885" s="458">
        <v>3.7855253292320423E-2</v>
      </c>
      <c r="C1885" s="477">
        <v>6219964.944114686</v>
      </c>
      <c r="D1885" s="458">
        <v>0.1019751434902918</v>
      </c>
      <c r="E1885" s="477">
        <v>18523406.73509831</v>
      </c>
      <c r="F1885" s="458">
        <v>0.11766426989908152</v>
      </c>
      <c r="G1885" s="477">
        <v>91761473.407805607</v>
      </c>
      <c r="H1885" s="458">
        <v>0.25503993736808606</v>
      </c>
      <c r="I1885" s="468">
        <v>8.6870183210495906</v>
      </c>
    </row>
    <row r="1886" spans="1:9" ht="16.5" x14ac:dyDescent="0.3">
      <c r="A1886" s="477">
        <v>2696666.8994089616</v>
      </c>
      <c r="B1886" s="458">
        <v>3.0209241544774112E-2</v>
      </c>
      <c r="C1886" s="477">
        <v>7101249.0568656791</v>
      </c>
      <c r="D1886" s="458">
        <v>7.4779363330823578E-2</v>
      </c>
      <c r="E1886" s="477">
        <v>17413659.335515317</v>
      </c>
      <c r="F1886" s="458">
        <v>0.10052152626167099</v>
      </c>
      <c r="G1886" s="477">
        <v>87782660.300974444</v>
      </c>
      <c r="H1886" s="458">
        <v>0.26777376604220127</v>
      </c>
      <c r="I1886" s="468">
        <v>7.0232329479320201</v>
      </c>
    </row>
    <row r="1887" spans="1:9" ht="16.5" x14ac:dyDescent="0.3">
      <c r="A1887" s="477">
        <v>3886296.5098433555</v>
      </c>
      <c r="B1887" s="458">
        <v>4.4862594866031502E-2</v>
      </c>
      <c r="C1887" s="477">
        <v>16015293.545872033</v>
      </c>
      <c r="D1887" s="458">
        <v>6.5686144404555558E-2</v>
      </c>
      <c r="E1887" s="477">
        <v>26292972.533172041</v>
      </c>
      <c r="F1887" s="458">
        <v>9.978002183876078E-2</v>
      </c>
      <c r="G1887" s="477">
        <v>91928701.960130304</v>
      </c>
      <c r="H1887" s="458">
        <v>0.2740312197998902</v>
      </c>
      <c r="I1887" s="468">
        <v>9.5691307240935011</v>
      </c>
    </row>
    <row r="1888" spans="1:9" ht="16.5" x14ac:dyDescent="0.3">
      <c r="A1888" s="477">
        <v>3511721.5625030892</v>
      </c>
      <c r="B1888" s="458">
        <v>5.9259578959919734E-2</v>
      </c>
      <c r="C1888" s="477">
        <v>13279806.299198164</v>
      </c>
      <c r="D1888" s="458">
        <v>6.355498030208806E-2</v>
      </c>
      <c r="E1888" s="477">
        <v>18159853.411187984</v>
      </c>
      <c r="F1888" s="458">
        <v>0.12095649859983348</v>
      </c>
      <c r="G1888" s="477">
        <v>94539401.712966129</v>
      </c>
      <c r="H1888" s="458">
        <v>0.27031189192380967</v>
      </c>
      <c r="I1888" s="468">
        <v>-0.91590393087142452</v>
      </c>
    </row>
    <row r="1889" spans="1:9" ht="16.5" x14ac:dyDescent="0.3">
      <c r="A1889" s="477">
        <v>7410803.2864336055</v>
      </c>
      <c r="B1889" s="458">
        <v>3.9773364406981315E-2</v>
      </c>
      <c r="C1889" s="477">
        <v>8460677.0642880239</v>
      </c>
      <c r="D1889" s="458">
        <v>8.089354201409571E-2</v>
      </c>
      <c r="E1889" s="477">
        <v>17449211.440147337</v>
      </c>
      <c r="F1889" s="458">
        <v>9.7058552301450884E-2</v>
      </c>
      <c r="G1889" s="477">
        <v>96115258.502769947</v>
      </c>
      <c r="H1889" s="458">
        <v>0.26489163272642302</v>
      </c>
      <c r="I1889" s="468">
        <v>11.339061356331749</v>
      </c>
    </row>
    <row r="1890" spans="1:9" ht="16.5" x14ac:dyDescent="0.3">
      <c r="A1890" s="477">
        <v>4154739.7288342593</v>
      </c>
      <c r="B1890" s="458">
        <v>3.1185427185968839E-2</v>
      </c>
      <c r="C1890" s="477">
        <v>8795900.6261535715</v>
      </c>
      <c r="D1890" s="458">
        <v>6.7852332151930206E-2</v>
      </c>
      <c r="E1890" s="477">
        <v>9310420.6675623693</v>
      </c>
      <c r="F1890" s="458">
        <v>9.9551214811222977E-2</v>
      </c>
      <c r="G1890" s="477">
        <v>81789897.754678756</v>
      </c>
      <c r="H1890" s="458">
        <v>0.25573700104114394</v>
      </c>
      <c r="I1890" s="468">
        <v>8.4092058154897824</v>
      </c>
    </row>
    <row r="1891" spans="1:9" ht="16.5" x14ac:dyDescent="0.3">
      <c r="A1891" s="477">
        <v>9245581.6540347803</v>
      </c>
      <c r="B1891" s="458">
        <v>2.3095282483989399E-2</v>
      </c>
      <c r="C1891" s="477">
        <v>8340463.6911022533</v>
      </c>
      <c r="D1891" s="458">
        <v>9.5753080056570461E-2</v>
      </c>
      <c r="E1891" s="477">
        <v>11141188.574201996</v>
      </c>
      <c r="F1891" s="458">
        <v>0.11260582456699053</v>
      </c>
      <c r="G1891" s="477">
        <v>82980669.573519424</v>
      </c>
      <c r="H1891" s="458">
        <v>0.26932092655978468</v>
      </c>
      <c r="I1891" s="468">
        <v>11.860656404815431</v>
      </c>
    </row>
    <row r="1892" spans="1:9" ht="16.5" x14ac:dyDescent="0.3">
      <c r="A1892" s="477">
        <v>7166102.5395612931</v>
      </c>
      <c r="B1892" s="458">
        <v>4.988793230458799E-2</v>
      </c>
      <c r="C1892" s="477">
        <v>15162445.546191668</v>
      </c>
      <c r="D1892" s="458">
        <v>6.5056315427813205E-2</v>
      </c>
      <c r="E1892" s="477">
        <v>10824559.478611963</v>
      </c>
      <c r="F1892" s="458">
        <v>0.11477959192062404</v>
      </c>
      <c r="G1892" s="477">
        <v>89348653.806563348</v>
      </c>
      <c r="H1892" s="458">
        <v>0.26417393252761068</v>
      </c>
      <c r="I1892" s="468">
        <v>7.8469715589956186</v>
      </c>
    </row>
    <row r="1893" spans="1:9" ht="16.5" x14ac:dyDescent="0.3">
      <c r="A1893" s="477">
        <v>768164.05858144094</v>
      </c>
      <c r="B1893" s="458">
        <v>3.004750035028092E-2</v>
      </c>
      <c r="C1893" s="477">
        <v>8071386.2264407584</v>
      </c>
      <c r="D1893" s="458">
        <v>7.6403861524561245E-2</v>
      </c>
      <c r="E1893" s="477">
        <v>9653965.2924510781</v>
      </c>
      <c r="F1893" s="458">
        <v>0.11743277702825172</v>
      </c>
      <c r="G1893" s="477">
        <v>89250029.219066635</v>
      </c>
      <c r="H1893" s="458">
        <v>0.26311061338747344</v>
      </c>
      <c r="I1893" s="468">
        <v>12.612061308708046</v>
      </c>
    </row>
    <row r="1894" spans="1:9" ht="16.5" x14ac:dyDescent="0.3">
      <c r="A1894" s="477">
        <v>4438182.2666162811</v>
      </c>
      <c r="B1894" s="458">
        <v>2.9631744571746665E-2</v>
      </c>
      <c r="C1894" s="477">
        <v>3621735.9911761601</v>
      </c>
      <c r="D1894" s="458">
        <v>4.0789449519365251E-2</v>
      </c>
      <c r="E1894" s="477">
        <v>17581523.332702596</v>
      </c>
      <c r="F1894" s="458">
        <v>9.2287534942809391E-2</v>
      </c>
      <c r="G1894" s="477">
        <v>95338411.930499315</v>
      </c>
      <c r="H1894" s="458">
        <v>0.26346635503656946</v>
      </c>
      <c r="I1894" s="468">
        <v>4.6110374774273772</v>
      </c>
    </row>
    <row r="1895" spans="1:9" ht="16.5" x14ac:dyDescent="0.3">
      <c r="A1895" s="477">
        <v>6007762.8824690981</v>
      </c>
      <c r="B1895" s="458">
        <v>3.7250598007022573E-2</v>
      </c>
      <c r="C1895" s="477">
        <v>10344111.195945015</v>
      </c>
      <c r="D1895" s="458">
        <v>4.5482318973515845E-2</v>
      </c>
      <c r="E1895" s="477">
        <v>19748901.635266177</v>
      </c>
      <c r="F1895" s="458">
        <v>0.11332672246578079</v>
      </c>
      <c r="G1895" s="477">
        <v>87122312.297208011</v>
      </c>
      <c r="H1895" s="458">
        <v>0.27380701123848983</v>
      </c>
      <c r="I1895" s="468">
        <v>5.8006472226310901</v>
      </c>
    </row>
    <row r="1896" spans="1:9" ht="16.5" x14ac:dyDescent="0.3">
      <c r="A1896" s="477">
        <v>4420061.0082693771</v>
      </c>
      <c r="B1896" s="458">
        <v>4.8099823261980701E-2</v>
      </c>
      <c r="C1896" s="477">
        <v>12615126.488731602</v>
      </c>
      <c r="D1896" s="458">
        <v>6.4938741365524244E-2</v>
      </c>
      <c r="E1896" s="477">
        <v>21414999.079697352</v>
      </c>
      <c r="F1896" s="458">
        <v>0.10972520301862576</v>
      </c>
      <c r="G1896" s="477">
        <v>90414507.358128205</v>
      </c>
      <c r="H1896" s="458">
        <v>0.26001247413822592</v>
      </c>
      <c r="I1896" s="468">
        <v>4.7115855043768562</v>
      </c>
    </row>
    <row r="1897" spans="1:9" ht="16.5" x14ac:dyDescent="0.3">
      <c r="A1897" s="477">
        <v>4036507.0315724867</v>
      </c>
      <c r="B1897" s="458">
        <v>4.3165881737709633E-2</v>
      </c>
      <c r="C1897" s="477">
        <v>5483342.217401607</v>
      </c>
      <c r="D1897" s="458">
        <v>6.162737984864175E-2</v>
      </c>
      <c r="E1897" s="477">
        <v>15469648.226488139</v>
      </c>
      <c r="F1897" s="458">
        <v>0.10530344936065239</v>
      </c>
      <c r="G1897" s="477">
        <v>76758341.842095003</v>
      </c>
      <c r="H1897" s="458">
        <v>0.26030471289264545</v>
      </c>
      <c r="I1897" s="468">
        <v>12.810398546602517</v>
      </c>
    </row>
    <row r="1898" spans="1:9" ht="16.5" x14ac:dyDescent="0.3">
      <c r="A1898" s="477">
        <v>3867757.101531527</v>
      </c>
      <c r="B1898" s="458">
        <v>3.8434573403069328E-2</v>
      </c>
      <c r="C1898" s="477">
        <v>3006526.1330483039</v>
      </c>
      <c r="D1898" s="458">
        <v>5.9175055518458697E-2</v>
      </c>
      <c r="E1898" s="477">
        <v>19199872.61689578</v>
      </c>
      <c r="F1898" s="458">
        <v>0.1258207142343799</v>
      </c>
      <c r="G1898" s="477">
        <v>98960584.94943063</v>
      </c>
      <c r="H1898" s="458">
        <v>0.29167690175210392</v>
      </c>
      <c r="I1898" s="468">
        <v>6.1406377116019932</v>
      </c>
    </row>
    <row r="1899" spans="1:9" ht="16.5" x14ac:dyDescent="0.3">
      <c r="A1899" s="477">
        <v>3726044.3499465771</v>
      </c>
      <c r="B1899" s="458">
        <v>5.693545404659095E-2</v>
      </c>
      <c r="C1899" s="477">
        <v>16244381.738929374</v>
      </c>
      <c r="D1899" s="458">
        <v>4.3277103924588944E-2</v>
      </c>
      <c r="E1899" s="477">
        <v>13203248.339045199</v>
      </c>
      <c r="F1899" s="458">
        <v>7.4170086594415707E-2</v>
      </c>
      <c r="G1899" s="477">
        <v>95735891.50205332</v>
      </c>
      <c r="H1899" s="458">
        <v>0.26184417508664226</v>
      </c>
      <c r="I1899" s="468">
        <v>8.0618409223108625</v>
      </c>
    </row>
    <row r="1900" spans="1:9" ht="16.5" x14ac:dyDescent="0.3">
      <c r="A1900" s="477">
        <v>582162.41092326923</v>
      </c>
      <c r="B1900" s="458">
        <v>4.3728489124261971E-2</v>
      </c>
      <c r="C1900" s="477">
        <v>10763413.97066815</v>
      </c>
      <c r="D1900" s="458">
        <v>8.2032158542005407E-2</v>
      </c>
      <c r="E1900" s="477">
        <v>15745175.597040093</v>
      </c>
      <c r="F1900" s="458">
        <v>9.6013498436782196E-2</v>
      </c>
      <c r="G1900" s="477">
        <v>83722630.707720518</v>
      </c>
      <c r="H1900" s="458">
        <v>0.26842754941153069</v>
      </c>
      <c r="I1900" s="468">
        <v>6.3302608316511915</v>
      </c>
    </row>
    <row r="1901" spans="1:9" ht="16.5" x14ac:dyDescent="0.3">
      <c r="A1901" s="477">
        <v>5660492.7019034382</v>
      </c>
      <c r="B1901" s="458">
        <v>4.1845555728116102E-2</v>
      </c>
      <c r="C1901" s="477">
        <v>5004182.0603600498</v>
      </c>
      <c r="D1901" s="458">
        <v>6.4517608505060497E-2</v>
      </c>
      <c r="E1901" s="477">
        <v>10125175.27295864</v>
      </c>
      <c r="F1901" s="458">
        <v>0.11623789460958611</v>
      </c>
      <c r="G1901" s="477">
        <v>94765496.052215099</v>
      </c>
      <c r="H1901" s="458">
        <v>0.25487563186380524</v>
      </c>
      <c r="I1901" s="468">
        <v>10.643299268437199</v>
      </c>
    </row>
    <row r="1902" spans="1:9" ht="16.5" x14ac:dyDescent="0.3">
      <c r="A1902" s="477">
        <v>3097357.1786788329</v>
      </c>
      <c r="B1902" s="458">
        <v>2.6810492510349393E-2</v>
      </c>
      <c r="C1902" s="477">
        <v>14197546.798127174</v>
      </c>
      <c r="D1902" s="458">
        <v>5.344649238065502E-2</v>
      </c>
      <c r="E1902" s="477">
        <v>21296153.363785047</v>
      </c>
      <c r="F1902" s="458">
        <v>0.11096134004222291</v>
      </c>
      <c r="G1902" s="477">
        <v>73901238.682624862</v>
      </c>
      <c r="H1902" s="458">
        <v>0.25636644261977426</v>
      </c>
      <c r="I1902" s="468">
        <v>9.1702228501115997</v>
      </c>
    </row>
    <row r="1903" spans="1:9" ht="16.5" x14ac:dyDescent="0.3">
      <c r="A1903" s="477">
        <v>7364078.5203454634</v>
      </c>
      <c r="B1903" s="458">
        <v>4.9227409359637209E-2</v>
      </c>
      <c r="C1903" s="477">
        <v>10747888.151724903</v>
      </c>
      <c r="D1903" s="458">
        <v>3.1569511934717465E-2</v>
      </c>
      <c r="E1903" s="477">
        <v>8804120.833980361</v>
      </c>
      <c r="F1903" s="458">
        <v>9.6786946086756309E-2</v>
      </c>
      <c r="G1903" s="477">
        <v>73232792.001474321</v>
      </c>
      <c r="H1903" s="458">
        <v>0.2509848071260985</v>
      </c>
      <c r="I1903" s="468">
        <v>10.512524420527354</v>
      </c>
    </row>
    <row r="1904" spans="1:9" ht="16.5" x14ac:dyDescent="0.3">
      <c r="A1904" s="477">
        <v>1367400.0999175401</v>
      </c>
      <c r="B1904" s="458">
        <v>5.38105199387513E-2</v>
      </c>
      <c r="C1904" s="477">
        <v>6000766.3736253828</v>
      </c>
      <c r="D1904" s="458">
        <v>5.9996389469572753E-2</v>
      </c>
      <c r="E1904" s="477">
        <v>13644587.747766841</v>
      </c>
      <c r="F1904" s="458">
        <v>9.9770932918083366E-2</v>
      </c>
      <c r="G1904" s="477">
        <v>93385198.823411226</v>
      </c>
      <c r="H1904" s="458">
        <v>0.25901477602824929</v>
      </c>
      <c r="I1904" s="468">
        <v>3.991994593617159</v>
      </c>
    </row>
    <row r="1905" spans="1:9" ht="16.5" x14ac:dyDescent="0.3">
      <c r="A1905" s="477">
        <v>6475642.1238353122</v>
      </c>
      <c r="B1905" s="458">
        <v>6.3217991764493053E-2</v>
      </c>
      <c r="C1905" s="477">
        <v>7026010.3964240924</v>
      </c>
      <c r="D1905" s="458">
        <v>0.10383544438587178</v>
      </c>
      <c r="E1905" s="477">
        <v>23510328.79596426</v>
      </c>
      <c r="F1905" s="458">
        <v>0.12755596423818316</v>
      </c>
      <c r="G1905" s="477">
        <v>89550546.144203424</v>
      </c>
      <c r="H1905" s="458">
        <v>0.25318035445661313</v>
      </c>
      <c r="I1905" s="468">
        <v>8.0119433951045806</v>
      </c>
    </row>
    <row r="1906" spans="1:9" ht="16.5" x14ac:dyDescent="0.3">
      <c r="A1906" s="477">
        <v>5415731.7064277241</v>
      </c>
      <c r="B1906" s="458">
        <v>4.3501965402427567E-2</v>
      </c>
      <c r="C1906" s="477">
        <v>11133225.350249058</v>
      </c>
      <c r="D1906" s="458">
        <v>7.1923024898560728E-2</v>
      </c>
      <c r="E1906" s="477">
        <v>17191451.931529678</v>
      </c>
      <c r="F1906" s="458">
        <v>9.9755781954507627E-2</v>
      </c>
      <c r="G1906" s="477">
        <v>83609621.384356871</v>
      </c>
      <c r="H1906" s="458">
        <v>0.26351837246808918</v>
      </c>
      <c r="I1906" s="468">
        <v>3.6573823906686007</v>
      </c>
    </row>
    <row r="1907" spans="1:9" ht="16.5" x14ac:dyDescent="0.3">
      <c r="A1907" s="477">
        <v>5618273.6715052547</v>
      </c>
      <c r="B1907" s="458">
        <v>5.4613973834406915E-2</v>
      </c>
      <c r="C1907" s="477">
        <v>9549084.9732803628</v>
      </c>
      <c r="D1907" s="458">
        <v>7.8290064372785961E-2</v>
      </c>
      <c r="E1907" s="477">
        <v>18567076.460968629</v>
      </c>
      <c r="F1907" s="458">
        <v>0.12034712421351701</v>
      </c>
      <c r="G1907" s="477">
        <v>95526156.152544305</v>
      </c>
      <c r="H1907" s="458">
        <v>0.26075627740519081</v>
      </c>
      <c r="I1907" s="468">
        <v>11.660340283839343</v>
      </c>
    </row>
    <row r="1908" spans="1:9" ht="16.5" x14ac:dyDescent="0.3">
      <c r="A1908" s="477">
        <v>-517514.61570627912</v>
      </c>
      <c r="B1908" s="458">
        <v>6.0533213092723859E-3</v>
      </c>
      <c r="C1908" s="477">
        <v>9876764.4025113061</v>
      </c>
      <c r="D1908" s="458">
        <v>2.8347850828482235E-2</v>
      </c>
      <c r="E1908" s="477">
        <v>18792967.744502317</v>
      </c>
      <c r="F1908" s="458">
        <v>9.2700241477963186E-2</v>
      </c>
      <c r="G1908" s="477">
        <v>97070181.684258193</v>
      </c>
      <c r="H1908" s="458">
        <v>0.27469631500720881</v>
      </c>
      <c r="I1908" s="468">
        <v>6.8597832320353156</v>
      </c>
    </row>
    <row r="1909" spans="1:9" ht="16.5" x14ac:dyDescent="0.3">
      <c r="A1909" s="477">
        <v>4130220.6896218951</v>
      </c>
      <c r="B1909" s="458">
        <v>1.8849101445298944E-2</v>
      </c>
      <c r="C1909" s="477">
        <v>3122615.4217979484</v>
      </c>
      <c r="D1909" s="458">
        <v>6.9348497976464252E-2</v>
      </c>
      <c r="E1909" s="477">
        <v>26442048.596074171</v>
      </c>
      <c r="F1909" s="458">
        <v>0.12046602280375618</v>
      </c>
      <c r="G1909" s="477">
        <v>110264797.91552421</v>
      </c>
      <c r="H1909" s="458">
        <v>0.26598375211496217</v>
      </c>
      <c r="I1909" s="468">
        <v>3.9008136836436069</v>
      </c>
    </row>
    <row r="1910" spans="1:9" ht="16.5" x14ac:dyDescent="0.3">
      <c r="A1910" s="477">
        <v>946653.24933045777</v>
      </c>
      <c r="B1910" s="458">
        <v>5.8688068753232514E-2</v>
      </c>
      <c r="C1910" s="477">
        <v>11557979.058253247</v>
      </c>
      <c r="D1910" s="458">
        <v>8.1196109917149872E-2</v>
      </c>
      <c r="E1910" s="477">
        <v>20231421.152812175</v>
      </c>
      <c r="F1910" s="458">
        <v>9.2985985442332719E-2</v>
      </c>
      <c r="G1910" s="477">
        <v>80000516.898715556</v>
      </c>
      <c r="H1910" s="458">
        <v>0.27260305560662812</v>
      </c>
      <c r="I1910" s="468">
        <v>10.68275256255294</v>
      </c>
    </row>
    <row r="1911" spans="1:9" ht="16.5" x14ac:dyDescent="0.3">
      <c r="A1911" s="477">
        <v>4949539.1099400297</v>
      </c>
      <c r="B1911" s="458">
        <v>4.9569877870755841E-2</v>
      </c>
      <c r="C1911" s="477">
        <v>11850345.153390436</v>
      </c>
      <c r="D1911" s="458">
        <v>8.4158801008996198E-2</v>
      </c>
      <c r="E1911" s="477">
        <v>17689838.608749777</v>
      </c>
      <c r="F1911" s="458">
        <v>0.12540650057222913</v>
      </c>
      <c r="G1911" s="477">
        <v>93351387.452930078</v>
      </c>
      <c r="H1911" s="458">
        <v>0.28744881168499803</v>
      </c>
      <c r="I1911" s="468">
        <v>6.3288929562517406</v>
      </c>
    </row>
    <row r="1912" spans="1:9" ht="16.5" x14ac:dyDescent="0.3">
      <c r="A1912" s="477">
        <v>9376086.4174914211</v>
      </c>
      <c r="B1912" s="458">
        <v>5.7473507144178981E-2</v>
      </c>
      <c r="C1912" s="477">
        <v>10992501.646026552</v>
      </c>
      <c r="D1912" s="458">
        <v>6.5291562238506629E-2</v>
      </c>
      <c r="E1912" s="477">
        <v>12228845.920906032</v>
      </c>
      <c r="F1912" s="458">
        <v>0.10639234187698254</v>
      </c>
      <c r="G1912" s="477">
        <v>86567634.122035265</v>
      </c>
      <c r="H1912" s="458">
        <v>0.29492158792703504</v>
      </c>
      <c r="I1912" s="468">
        <v>3.2367517913018702</v>
      </c>
    </row>
    <row r="1913" spans="1:9" ht="16.5" x14ac:dyDescent="0.3">
      <c r="A1913" s="477">
        <v>2609815.602942335</v>
      </c>
      <c r="B1913" s="458">
        <v>4.4541474535133574E-2</v>
      </c>
      <c r="C1913" s="477">
        <v>7150377.3034756621</v>
      </c>
      <c r="D1913" s="458">
        <v>7.0483066962385044E-2</v>
      </c>
      <c r="E1913" s="477">
        <v>19763267.014931615</v>
      </c>
      <c r="F1913" s="458">
        <v>0.11715346438786933</v>
      </c>
      <c r="G1913" s="477">
        <v>77043863.626529843</v>
      </c>
      <c r="H1913" s="458">
        <v>0.24039847396481262</v>
      </c>
      <c r="I1913" s="468">
        <v>8.9845466648173264</v>
      </c>
    </row>
    <row r="1914" spans="1:9" ht="16.5" x14ac:dyDescent="0.3">
      <c r="A1914" s="477">
        <v>8521956.2048974708</v>
      </c>
      <c r="B1914" s="458">
        <v>3.1939301514843033E-2</v>
      </c>
      <c r="C1914" s="477">
        <v>8358096.0744454712</v>
      </c>
      <c r="D1914" s="458">
        <v>7.2786402622508461E-2</v>
      </c>
      <c r="E1914" s="477">
        <v>21351219.054308757</v>
      </c>
      <c r="F1914" s="458">
        <v>8.4199450255962871E-2</v>
      </c>
      <c r="G1914" s="477">
        <v>84211359.967659101</v>
      </c>
      <c r="H1914" s="458">
        <v>0.28469191955605755</v>
      </c>
      <c r="I1914" s="468">
        <v>15.41928639850569</v>
      </c>
    </row>
    <row r="1915" spans="1:9" ht="16.5" x14ac:dyDescent="0.3">
      <c r="A1915" s="477">
        <v>4954836.348747164</v>
      </c>
      <c r="B1915" s="458">
        <v>4.3056417240849632E-2</v>
      </c>
      <c r="C1915" s="477">
        <v>7014641.4468148183</v>
      </c>
      <c r="D1915" s="458">
        <v>7.0661573688683754E-2</v>
      </c>
      <c r="E1915" s="477">
        <v>17022725.19264229</v>
      </c>
      <c r="F1915" s="458">
        <v>0.10857593308418934</v>
      </c>
      <c r="G1915" s="477">
        <v>92694438.761808857</v>
      </c>
      <c r="H1915" s="458">
        <v>0.26146405679530638</v>
      </c>
      <c r="I1915" s="468">
        <v>10.178970747292553</v>
      </c>
    </row>
    <row r="1916" spans="1:9" ht="16.5" x14ac:dyDescent="0.3">
      <c r="A1916" s="477">
        <v>2922006.6078001307</v>
      </c>
      <c r="B1916" s="458">
        <v>3.4290232177177193E-2</v>
      </c>
      <c r="C1916" s="477">
        <v>9546694.4754285328</v>
      </c>
      <c r="D1916" s="458">
        <v>5.8042258640692568E-2</v>
      </c>
      <c r="E1916" s="477">
        <v>12246217.246847667</v>
      </c>
      <c r="F1916" s="458">
        <v>0.10568871794993129</v>
      </c>
      <c r="G1916" s="477">
        <v>87547919.916603997</v>
      </c>
      <c r="H1916" s="458">
        <v>0.25303388414692418</v>
      </c>
      <c r="I1916" s="468">
        <v>4.5302706593927002</v>
      </c>
    </row>
    <row r="1917" spans="1:9" ht="16.5" x14ac:dyDescent="0.3">
      <c r="A1917" s="477">
        <v>11525887.140571412</v>
      </c>
      <c r="B1917" s="458">
        <v>2.8832928691374438E-2</v>
      </c>
      <c r="C1917" s="477">
        <v>4158827.8890101756</v>
      </c>
      <c r="D1917" s="458">
        <v>8.0782746582745535E-2</v>
      </c>
      <c r="E1917" s="477">
        <v>4823565.3681407804</v>
      </c>
      <c r="F1917" s="458">
        <v>0.1215082646887482</v>
      </c>
      <c r="G1917" s="477">
        <v>95631267.517573521</v>
      </c>
      <c r="H1917" s="458">
        <v>0.26863922128666129</v>
      </c>
      <c r="I1917" s="468">
        <v>13.53348488905727</v>
      </c>
    </row>
    <row r="1918" spans="1:9" ht="16.5" x14ac:dyDescent="0.3">
      <c r="A1918" s="477">
        <v>5318018.8326846603</v>
      </c>
      <c r="B1918" s="458">
        <v>4.0898170030677861E-2</v>
      </c>
      <c r="C1918" s="477">
        <v>7054599.5173988007</v>
      </c>
      <c r="D1918" s="458">
        <v>4.9807426790340781E-2</v>
      </c>
      <c r="E1918" s="477">
        <v>10265439.163153159</v>
      </c>
      <c r="F1918" s="458">
        <v>0.11204158687534149</v>
      </c>
      <c r="G1918" s="477">
        <v>103019214.99041648</v>
      </c>
      <c r="H1918" s="458">
        <v>0.27624032069957605</v>
      </c>
      <c r="I1918" s="468">
        <v>8.742101005285507</v>
      </c>
    </row>
    <row r="1919" spans="1:9" ht="16.5" x14ac:dyDescent="0.3">
      <c r="A1919" s="477">
        <v>9323225.9274728689</v>
      </c>
      <c r="B1919" s="458">
        <v>3.1151663262282803E-2</v>
      </c>
      <c r="C1919" s="477">
        <v>6936687.2817982398</v>
      </c>
      <c r="D1919" s="458">
        <v>6.6240837630109795E-2</v>
      </c>
      <c r="E1919" s="477">
        <v>22231141.179096885</v>
      </c>
      <c r="F1919" s="458">
        <v>0.12456177731680929</v>
      </c>
      <c r="G1919" s="477">
        <v>85844081.022866175</v>
      </c>
      <c r="H1919" s="458">
        <v>0.2713389468652796</v>
      </c>
      <c r="I1919" s="468">
        <v>1.2389808540036036</v>
      </c>
    </row>
    <row r="1920" spans="1:9" ht="16.5" x14ac:dyDescent="0.3">
      <c r="A1920" s="477">
        <v>130693.16044596731</v>
      </c>
      <c r="B1920" s="458">
        <v>5.3918115076516226E-2</v>
      </c>
      <c r="C1920" s="477">
        <v>8093590.5712478627</v>
      </c>
      <c r="D1920" s="458">
        <v>6.8288580371605345E-2</v>
      </c>
      <c r="E1920" s="477">
        <v>22404320.334632698</v>
      </c>
      <c r="F1920" s="458">
        <v>9.6134115881093329E-2</v>
      </c>
      <c r="G1920" s="477">
        <v>92292398.045528382</v>
      </c>
      <c r="H1920" s="458">
        <v>0.26940055863219547</v>
      </c>
      <c r="I1920" s="468">
        <v>4.608812355498614</v>
      </c>
    </row>
    <row r="1921" spans="1:9" ht="16.5" x14ac:dyDescent="0.3">
      <c r="A1921" s="477">
        <v>5700189.8643253278</v>
      </c>
      <c r="B1921" s="458">
        <v>2.4878344590923973E-2</v>
      </c>
      <c r="C1921" s="477">
        <v>10114625.419943914</v>
      </c>
      <c r="D1921" s="458">
        <v>4.988890989018735E-2</v>
      </c>
      <c r="E1921" s="477">
        <v>17939351.429885861</v>
      </c>
      <c r="F1921" s="458">
        <v>0.12055156135465417</v>
      </c>
      <c r="G1921" s="477">
        <v>98430625.606239513</v>
      </c>
      <c r="H1921" s="458">
        <v>0.26426795921550128</v>
      </c>
      <c r="I1921" s="468">
        <v>3.9875967915536439</v>
      </c>
    </row>
    <row r="1922" spans="1:9" ht="16.5" x14ac:dyDescent="0.3">
      <c r="A1922" s="477">
        <v>5891076.4298964869</v>
      </c>
      <c r="B1922" s="458">
        <v>1.5831673029967019E-2</v>
      </c>
      <c r="C1922" s="477">
        <v>10640993.367181132</v>
      </c>
      <c r="D1922" s="458">
        <v>6.7874115279893177E-2</v>
      </c>
      <c r="E1922" s="477">
        <v>9473206.1265185494</v>
      </c>
      <c r="F1922" s="458">
        <v>8.8205313491161785E-2</v>
      </c>
      <c r="G1922" s="477">
        <v>76342640.891205639</v>
      </c>
      <c r="H1922" s="458">
        <v>0.27917961875273134</v>
      </c>
      <c r="I1922" s="468">
        <v>10.046833612480905</v>
      </c>
    </row>
    <row r="1923" spans="1:9" ht="16.5" x14ac:dyDescent="0.3">
      <c r="A1923" s="477">
        <v>5343925.345195082</v>
      </c>
      <c r="B1923" s="458">
        <v>3.5263537276438939E-2</v>
      </c>
      <c r="C1923" s="477">
        <v>8756702.5734962132</v>
      </c>
      <c r="D1923" s="458">
        <v>0.10030093456791578</v>
      </c>
      <c r="E1923" s="477">
        <v>12325001.755185414</v>
      </c>
      <c r="F1923" s="458">
        <v>9.945493965843144E-2</v>
      </c>
      <c r="G1923" s="477">
        <v>91093349.370842814</v>
      </c>
      <c r="H1923" s="458">
        <v>0.27773658372835075</v>
      </c>
      <c r="I1923" s="468">
        <v>6.5612040326209389</v>
      </c>
    </row>
    <row r="1924" spans="1:9" ht="16.5" x14ac:dyDescent="0.3">
      <c r="A1924" s="477">
        <v>5342106.1375358794</v>
      </c>
      <c r="B1924" s="458">
        <v>5.7015812660403675E-2</v>
      </c>
      <c r="C1924" s="477">
        <v>4861278.4354650602</v>
      </c>
      <c r="D1924" s="458">
        <v>8.7973334763635114E-2</v>
      </c>
      <c r="E1924" s="477">
        <v>13836159.868845863</v>
      </c>
      <c r="F1924" s="458">
        <v>0.10064825188178417</v>
      </c>
      <c r="G1924" s="477">
        <v>88512194.980073139</v>
      </c>
      <c r="H1924" s="458">
        <v>0.27412526860177211</v>
      </c>
      <c r="I1924" s="468">
        <v>7.2400950343468509</v>
      </c>
    </row>
    <row r="1925" spans="1:9" ht="16.5" x14ac:dyDescent="0.3">
      <c r="A1925" s="477">
        <v>5925819.6178900478</v>
      </c>
      <c r="B1925" s="458">
        <v>3.7042997190563476E-2</v>
      </c>
      <c r="C1925" s="477">
        <v>9714801.753320707</v>
      </c>
      <c r="D1925" s="458">
        <v>6.5976480670465909E-2</v>
      </c>
      <c r="E1925" s="477">
        <v>12320990.655616455</v>
      </c>
      <c r="F1925" s="458">
        <v>0.11431006212925188</v>
      </c>
      <c r="G1925" s="477">
        <v>77798300.344543412</v>
      </c>
      <c r="H1925" s="458">
        <v>0.29351857324395358</v>
      </c>
      <c r="I1925" s="468">
        <v>10.448137599447847</v>
      </c>
    </row>
    <row r="1926" spans="1:9" ht="16.5" x14ac:dyDescent="0.3">
      <c r="A1926" s="477">
        <v>5442876.6720642541</v>
      </c>
      <c r="B1926" s="458">
        <v>2.9101385934363178E-2</v>
      </c>
      <c r="C1926" s="477">
        <v>13297152.47313148</v>
      </c>
      <c r="D1926" s="458">
        <v>7.551004474922518E-2</v>
      </c>
      <c r="E1926" s="477">
        <v>10247952.688035266</v>
      </c>
      <c r="F1926" s="458">
        <v>8.6868664256840811E-2</v>
      </c>
      <c r="G1926" s="477">
        <v>72038948.411045998</v>
      </c>
      <c r="H1926" s="458">
        <v>0.27743907864537465</v>
      </c>
      <c r="I1926" s="468">
        <v>10.736468432471185</v>
      </c>
    </row>
    <row r="1927" spans="1:9" ht="16.5" x14ac:dyDescent="0.3">
      <c r="A1927" s="477">
        <v>9550017.6269503515</v>
      </c>
      <c r="B1927" s="458">
        <v>3.6246384401889653E-2</v>
      </c>
      <c r="C1927" s="477">
        <v>3182204.3434748831</v>
      </c>
      <c r="D1927" s="458">
        <v>6.9591352498471926E-2</v>
      </c>
      <c r="E1927" s="477">
        <v>14487575.809228119</v>
      </c>
      <c r="F1927" s="458">
        <v>0.11196667521094317</v>
      </c>
      <c r="G1927" s="477">
        <v>92563620.077074155</v>
      </c>
      <c r="H1927" s="458">
        <v>0.25929474936648744</v>
      </c>
      <c r="I1927" s="468">
        <v>11.937519800761219</v>
      </c>
    </row>
    <row r="1928" spans="1:9" ht="16.5" x14ac:dyDescent="0.3">
      <c r="A1928" s="477">
        <v>9491442.4705714472</v>
      </c>
      <c r="B1928" s="458">
        <v>2.8119764944982473E-2</v>
      </c>
      <c r="C1928" s="477">
        <v>9156171.9255227111</v>
      </c>
      <c r="D1928" s="458">
        <v>6.0052911412430188E-2</v>
      </c>
      <c r="E1928" s="477">
        <v>12720240.808447599</v>
      </c>
      <c r="F1928" s="458">
        <v>0.11780662599321667</v>
      </c>
      <c r="G1928" s="477">
        <v>94094782.388970584</v>
      </c>
      <c r="H1928" s="458">
        <v>0.25779855728089207</v>
      </c>
      <c r="I1928" s="468">
        <v>1.6077654193918356</v>
      </c>
    </row>
    <row r="1929" spans="1:9" ht="16.5" x14ac:dyDescent="0.3">
      <c r="A1929" s="477">
        <v>4755624.7888055807</v>
      </c>
      <c r="B1929" s="458">
        <v>1.3310077557836308E-2</v>
      </c>
      <c r="C1929" s="477">
        <v>11205955.195581518</v>
      </c>
      <c r="D1929" s="458">
        <v>9.0585817539788227E-2</v>
      </c>
      <c r="E1929" s="477">
        <v>26296809.543152459</v>
      </c>
      <c r="F1929" s="458">
        <v>0.10473288851544682</v>
      </c>
      <c r="G1929" s="477">
        <v>84371562.840964302</v>
      </c>
      <c r="H1929" s="458">
        <v>0.27035984145068359</v>
      </c>
      <c r="I1929" s="468">
        <v>0.91955797575653531</v>
      </c>
    </row>
    <row r="1930" spans="1:9" ht="16.5" x14ac:dyDescent="0.3">
      <c r="A1930" s="477">
        <v>7062652.8742827438</v>
      </c>
      <c r="B1930" s="458">
        <v>5.3563039306282034E-2</v>
      </c>
      <c r="C1930" s="477">
        <v>4160282.8269075854</v>
      </c>
      <c r="D1930" s="458">
        <v>9.0202403177957358E-2</v>
      </c>
      <c r="E1930" s="477">
        <v>19732015.155974437</v>
      </c>
      <c r="F1930" s="458">
        <v>9.7053038658423851E-2</v>
      </c>
      <c r="G1930" s="477">
        <v>93353453.307509914</v>
      </c>
      <c r="H1930" s="458">
        <v>0.25893218056281597</v>
      </c>
      <c r="I1930" s="468">
        <v>7.9330656775862334</v>
      </c>
    </row>
    <row r="1931" spans="1:9" ht="16.5" x14ac:dyDescent="0.3">
      <c r="A1931" s="477">
        <v>3721810.6918594693</v>
      </c>
      <c r="B1931" s="458">
        <v>1.7529985047797014E-2</v>
      </c>
      <c r="C1931" s="477">
        <v>16113340.233428935</v>
      </c>
      <c r="D1931" s="458">
        <v>5.7913034789331297E-2</v>
      </c>
      <c r="E1931" s="477">
        <v>21863203.330729015</v>
      </c>
      <c r="F1931" s="458">
        <v>0.10209896221999015</v>
      </c>
      <c r="G1931" s="477">
        <v>84727124.878639877</v>
      </c>
      <c r="H1931" s="458">
        <v>0.25330364113617354</v>
      </c>
      <c r="I1931" s="468">
        <v>9.5584610206691298</v>
      </c>
    </row>
    <row r="1932" spans="1:9" ht="16.5" x14ac:dyDescent="0.3">
      <c r="A1932" s="477">
        <v>4345635.0065196464</v>
      </c>
      <c r="B1932" s="458">
        <v>4.0210115290512993E-2</v>
      </c>
      <c r="C1932" s="477">
        <v>5430930.7575558033</v>
      </c>
      <c r="D1932" s="458">
        <v>5.4768324090380238E-2</v>
      </c>
      <c r="E1932" s="477">
        <v>11517831.583798084</v>
      </c>
      <c r="F1932" s="458">
        <v>0.11594478460116364</v>
      </c>
      <c r="G1932" s="477">
        <v>92629409.319494963</v>
      </c>
      <c r="H1932" s="458">
        <v>0.28368926213458678</v>
      </c>
      <c r="I1932" s="468">
        <v>1.789200192546498</v>
      </c>
    </row>
    <row r="1933" spans="1:9" ht="16.5" x14ac:dyDescent="0.3">
      <c r="A1933" s="477">
        <v>6171297.2816586867</v>
      </c>
      <c r="B1933" s="458">
        <v>3.4702889893386768E-2</v>
      </c>
      <c r="C1933" s="477">
        <v>7986930.8193785129</v>
      </c>
      <c r="D1933" s="458">
        <v>4.7465820682289106E-2</v>
      </c>
      <c r="E1933" s="477">
        <v>7762438.2916672807</v>
      </c>
      <c r="F1933" s="458">
        <v>0.10744416913242749</v>
      </c>
      <c r="G1933" s="477">
        <v>74839030.18292594</v>
      </c>
      <c r="H1933" s="458">
        <v>0.26376534808289764</v>
      </c>
      <c r="I1933" s="468">
        <v>15.831318273574571</v>
      </c>
    </row>
    <row r="1934" spans="1:9" ht="16.5" x14ac:dyDescent="0.3">
      <c r="A1934" s="477">
        <v>8517440.243983658</v>
      </c>
      <c r="B1934" s="458">
        <v>3.0358641123587882E-2</v>
      </c>
      <c r="C1934" s="477">
        <v>6351097.6918957829</v>
      </c>
      <c r="D1934" s="458">
        <v>7.3058063280706964E-2</v>
      </c>
      <c r="E1934" s="477">
        <v>12263509.185681179</v>
      </c>
      <c r="F1934" s="458">
        <v>0.10526750464354673</v>
      </c>
      <c r="G1934" s="477">
        <v>94492689.751385957</v>
      </c>
      <c r="H1934" s="458">
        <v>0.27247970676553157</v>
      </c>
      <c r="I1934" s="468">
        <v>9.1855552713883242</v>
      </c>
    </row>
    <row r="1935" spans="1:9" ht="16.5" x14ac:dyDescent="0.3">
      <c r="A1935" s="477">
        <v>5544244.5988300946</v>
      </c>
      <c r="B1935" s="458">
        <v>3.9655275532709977E-2</v>
      </c>
      <c r="C1935" s="477">
        <v>8057043.4814687707</v>
      </c>
      <c r="D1935" s="458">
        <v>6.2364181227942073E-2</v>
      </c>
      <c r="E1935" s="477">
        <v>19148771.295884077</v>
      </c>
      <c r="F1935" s="458">
        <v>0.11157244850630632</v>
      </c>
      <c r="G1935" s="477">
        <v>87579166.125036761</v>
      </c>
      <c r="H1935" s="458">
        <v>0.27248304001415136</v>
      </c>
      <c r="I1935" s="468">
        <v>5.6074848724030613</v>
      </c>
    </row>
    <row r="1936" spans="1:9" ht="16.5" x14ac:dyDescent="0.3">
      <c r="A1936" s="477">
        <v>-591759.83802067873</v>
      </c>
      <c r="B1936" s="458">
        <v>5.0776171843878171E-2</v>
      </c>
      <c r="C1936" s="477">
        <v>3569323.6546616429</v>
      </c>
      <c r="D1936" s="458">
        <v>6.2703650169500191E-2</v>
      </c>
      <c r="E1936" s="477">
        <v>20981187.258339059</v>
      </c>
      <c r="F1936" s="458">
        <v>8.7042038670089195E-2</v>
      </c>
      <c r="G1936" s="477">
        <v>96736629.555541039</v>
      </c>
      <c r="H1936" s="458">
        <v>0.27614140126393139</v>
      </c>
      <c r="I1936" s="468">
        <v>10.179981163029332</v>
      </c>
    </row>
    <row r="1937" spans="1:9" ht="16.5" x14ac:dyDescent="0.3">
      <c r="A1937" s="477">
        <v>2611195.6224440839</v>
      </c>
      <c r="B1937" s="458">
        <v>4.0991311400434105E-2</v>
      </c>
      <c r="C1937" s="477">
        <v>6730665.9101166474</v>
      </c>
      <c r="D1937" s="458">
        <v>6.6798384481862483E-2</v>
      </c>
      <c r="E1937" s="477">
        <v>17839897.704845656</v>
      </c>
      <c r="F1937" s="458">
        <v>9.0100005489165413E-2</v>
      </c>
      <c r="G1937" s="477">
        <v>95452069.916865319</v>
      </c>
      <c r="H1937" s="458">
        <v>0.30221137740376469</v>
      </c>
      <c r="I1937" s="468">
        <v>8.1032246493621045</v>
      </c>
    </row>
    <row r="1938" spans="1:9" ht="16.5" x14ac:dyDescent="0.3">
      <c r="A1938" s="477">
        <v>1510029.9850258974</v>
      </c>
      <c r="B1938" s="458">
        <v>3.9355265941016793E-2</v>
      </c>
      <c r="C1938" s="477">
        <v>8644209.438303588</v>
      </c>
      <c r="D1938" s="458">
        <v>6.3985996560801839E-2</v>
      </c>
      <c r="E1938" s="477">
        <v>18252811.829918627</v>
      </c>
      <c r="F1938" s="458">
        <v>9.4485891976816783E-2</v>
      </c>
      <c r="G1938" s="477">
        <v>84982072.762028858</v>
      </c>
      <c r="H1938" s="458">
        <v>0.24583351675615628</v>
      </c>
      <c r="I1938" s="468">
        <v>13.483061109642543</v>
      </c>
    </row>
    <row r="1939" spans="1:9" ht="16.5" x14ac:dyDescent="0.3">
      <c r="A1939" s="477">
        <v>6443857.0784719009</v>
      </c>
      <c r="B1939" s="458">
        <v>3.8416362943623605E-2</v>
      </c>
      <c r="C1939" s="477">
        <v>19229789.457136091</v>
      </c>
      <c r="D1939" s="458">
        <v>6.2008264117376699E-2</v>
      </c>
      <c r="E1939" s="477">
        <v>5542220.911558426</v>
      </c>
      <c r="F1939" s="458">
        <v>0.10530634394113481</v>
      </c>
      <c r="G1939" s="477">
        <v>96971577.682403117</v>
      </c>
      <c r="H1939" s="458">
        <v>0.28759219468487318</v>
      </c>
      <c r="I1939" s="468">
        <v>5.916711002063157</v>
      </c>
    </row>
    <row r="1940" spans="1:9" ht="16.5" x14ac:dyDescent="0.3">
      <c r="A1940" s="477">
        <v>2628197.3231500289</v>
      </c>
      <c r="B1940" s="458">
        <v>5.7237130660730218E-2</v>
      </c>
      <c r="C1940" s="477">
        <v>8955686.8131804951</v>
      </c>
      <c r="D1940" s="458">
        <v>8.0315515578782026E-2</v>
      </c>
      <c r="E1940" s="477">
        <v>19979262.05823186</v>
      </c>
      <c r="F1940" s="458">
        <v>0.10325987126878777</v>
      </c>
      <c r="G1940" s="477">
        <v>91760558.59281677</v>
      </c>
      <c r="H1940" s="458">
        <v>0.26340570642590166</v>
      </c>
      <c r="I1940" s="468">
        <v>10.132024915094023</v>
      </c>
    </row>
    <row r="1941" spans="1:9" ht="16.5" x14ac:dyDescent="0.3">
      <c r="A1941" s="477">
        <v>-849977.41885508213</v>
      </c>
      <c r="B1941" s="458">
        <v>3.4488277929162869E-2</v>
      </c>
      <c r="C1941" s="477">
        <v>9589884.9779712521</v>
      </c>
      <c r="D1941" s="458">
        <v>7.1269237830524856E-2</v>
      </c>
      <c r="E1941" s="477">
        <v>11938727.907712568</v>
      </c>
      <c r="F1941" s="458">
        <v>0.11708801639835054</v>
      </c>
      <c r="G1941" s="477">
        <v>91878321.562202007</v>
      </c>
      <c r="H1941" s="458">
        <v>0.27121319056467774</v>
      </c>
      <c r="I1941" s="468">
        <v>10.097311308111671</v>
      </c>
    </row>
    <row r="1942" spans="1:9" ht="16.5" x14ac:dyDescent="0.3">
      <c r="A1942" s="477">
        <v>4422451.3363910019</v>
      </c>
      <c r="B1942" s="458">
        <v>4.984070158469045E-2</v>
      </c>
      <c r="C1942" s="477">
        <v>2462988.5558892032</v>
      </c>
      <c r="D1942" s="458">
        <v>0.11562279997031233</v>
      </c>
      <c r="E1942" s="477">
        <v>13299644.548523603</v>
      </c>
      <c r="F1942" s="458">
        <v>0.10374314169134546</v>
      </c>
      <c r="G1942" s="477">
        <v>95776741.53197141</v>
      </c>
      <c r="H1942" s="458">
        <v>0.27744137203319941</v>
      </c>
      <c r="I1942" s="468">
        <v>6.6193115765828487</v>
      </c>
    </row>
    <row r="1943" spans="1:9" ht="16.5" x14ac:dyDescent="0.3">
      <c r="A1943" s="477">
        <v>5039250.389374529</v>
      </c>
      <c r="B1943" s="458">
        <v>4.5977244197298761E-2</v>
      </c>
      <c r="C1943" s="477">
        <v>7053041.3563725818</v>
      </c>
      <c r="D1943" s="458">
        <v>7.1589205070138773E-2</v>
      </c>
      <c r="E1943" s="477">
        <v>18321196.233802725</v>
      </c>
      <c r="F1943" s="458">
        <v>0.12543328298037126</v>
      </c>
      <c r="G1943" s="477">
        <v>87197658.32967639</v>
      </c>
      <c r="H1943" s="458">
        <v>0.29579691619659232</v>
      </c>
      <c r="I1943" s="468">
        <v>3.9612370671598871</v>
      </c>
    </row>
    <row r="1944" spans="1:9" ht="16.5" x14ac:dyDescent="0.3">
      <c r="A1944" s="477">
        <v>719700.43255521148</v>
      </c>
      <c r="B1944" s="458">
        <v>6.0601701606165514E-2</v>
      </c>
      <c r="C1944" s="477">
        <v>5450263.2973920694</v>
      </c>
      <c r="D1944" s="458">
        <v>6.7590967056692097E-2</v>
      </c>
      <c r="E1944" s="477">
        <v>-2803753.5579941953</v>
      </c>
      <c r="F1944" s="458">
        <v>0.12757954630010571</v>
      </c>
      <c r="G1944" s="477">
        <v>91151815.952834785</v>
      </c>
      <c r="H1944" s="458">
        <v>0.26881983588940539</v>
      </c>
      <c r="I1944" s="468">
        <v>11.472014371939082</v>
      </c>
    </row>
    <row r="1945" spans="1:9" ht="16.5" x14ac:dyDescent="0.3">
      <c r="A1945" s="477">
        <v>5128318.3331312966</v>
      </c>
      <c r="B1945" s="458">
        <v>5.1321899087225731E-2</v>
      </c>
      <c r="C1945" s="477">
        <v>10645912.315738248</v>
      </c>
      <c r="D1945" s="458">
        <v>0.10277012570907007</v>
      </c>
      <c r="E1945" s="477">
        <v>19093795.065325037</v>
      </c>
      <c r="F1945" s="458">
        <v>7.0746694556150569E-2</v>
      </c>
      <c r="G1945" s="477">
        <v>84729918.839244589</v>
      </c>
      <c r="H1945" s="458">
        <v>0.26860750770431707</v>
      </c>
      <c r="I1945" s="468">
        <v>8.1466596235791648</v>
      </c>
    </row>
    <row r="1946" spans="1:9" ht="16.5" x14ac:dyDescent="0.3">
      <c r="A1946" s="477">
        <v>7046034.3550688084</v>
      </c>
      <c r="B1946" s="458">
        <v>4.2865366171289221E-2</v>
      </c>
      <c r="C1946" s="477">
        <v>10640606.359173549</v>
      </c>
      <c r="D1946" s="458">
        <v>7.1363581309204394E-2</v>
      </c>
      <c r="E1946" s="477">
        <v>15532715.931974774</v>
      </c>
      <c r="F1946" s="458">
        <v>0.11558084045507266</v>
      </c>
      <c r="G1946" s="477">
        <v>89517180.593979597</v>
      </c>
      <c r="H1946" s="458">
        <v>0.26579784446830135</v>
      </c>
      <c r="I1946" s="468">
        <v>1.680021365066529</v>
      </c>
    </row>
    <row r="1947" spans="1:9" ht="16.5" x14ac:dyDescent="0.3">
      <c r="A1947" s="477">
        <v>2125074.3081921944</v>
      </c>
      <c r="B1947" s="458">
        <v>6.3156651543301301E-2</v>
      </c>
      <c r="C1947" s="477">
        <v>7512197.9644120065</v>
      </c>
      <c r="D1947" s="458">
        <v>6.8209811832910416E-2</v>
      </c>
      <c r="E1947" s="477">
        <v>24826285.582804058</v>
      </c>
      <c r="F1947" s="458">
        <v>0.11868146129043255</v>
      </c>
      <c r="G1947" s="477">
        <v>76595407.896935791</v>
      </c>
      <c r="H1947" s="458">
        <v>0.25264557961495049</v>
      </c>
      <c r="I1947" s="468">
        <v>2.8961051293995785</v>
      </c>
    </row>
    <row r="1948" spans="1:9" ht="16.5" x14ac:dyDescent="0.3">
      <c r="A1948" s="477">
        <v>4673408.7425685367</v>
      </c>
      <c r="B1948" s="458">
        <v>4.2929127196302153E-2</v>
      </c>
      <c r="C1948" s="477">
        <v>8168576.4371053306</v>
      </c>
      <c r="D1948" s="458">
        <v>9.2899990535459498E-2</v>
      </c>
      <c r="E1948" s="477">
        <v>17094396.018011965</v>
      </c>
      <c r="F1948" s="458">
        <v>8.9513525897485957E-2</v>
      </c>
      <c r="G1948" s="477">
        <v>99350636.678777948</v>
      </c>
      <c r="H1948" s="458">
        <v>0.26881471069620022</v>
      </c>
      <c r="I1948" s="468">
        <v>4.4728694441595191</v>
      </c>
    </row>
    <row r="1949" spans="1:9" ht="16.5" x14ac:dyDescent="0.3">
      <c r="A1949" s="477">
        <v>131573.96478023726</v>
      </c>
      <c r="B1949" s="458">
        <v>3.8258410967086487E-2</v>
      </c>
      <c r="C1949" s="477">
        <v>11044130.203645142</v>
      </c>
      <c r="D1949" s="458">
        <v>5.1809318921685055E-2</v>
      </c>
      <c r="E1949" s="477">
        <v>18439051.417183112</v>
      </c>
      <c r="F1949" s="458">
        <v>0.11722781147687389</v>
      </c>
      <c r="G1949" s="477">
        <v>84364589.632614031</v>
      </c>
      <c r="H1949" s="458">
        <v>0.27749714791525348</v>
      </c>
      <c r="I1949" s="468">
        <v>6.7573778142993142</v>
      </c>
    </row>
    <row r="1950" spans="1:9" ht="16.5" x14ac:dyDescent="0.3">
      <c r="A1950" s="477">
        <v>8640032.140674118</v>
      </c>
      <c r="B1950" s="458">
        <v>3.1165655842900319E-2</v>
      </c>
      <c r="C1950" s="477">
        <v>10624712.764231673</v>
      </c>
      <c r="D1950" s="458">
        <v>8.8246179080463172E-2</v>
      </c>
      <c r="E1950" s="477">
        <v>18982231.048258331</v>
      </c>
      <c r="F1950" s="458">
        <v>9.5324370048824214E-2</v>
      </c>
      <c r="G1950" s="477">
        <v>85668807.9073091</v>
      </c>
      <c r="H1950" s="458">
        <v>0.2680760957472077</v>
      </c>
      <c r="I1950" s="468">
        <v>14.870029820133997</v>
      </c>
    </row>
    <row r="1951" spans="1:9" ht="16.5" x14ac:dyDescent="0.3">
      <c r="A1951" s="477">
        <v>5470031.4556443924</v>
      </c>
      <c r="B1951" s="458">
        <v>5.3434488128504265E-2</v>
      </c>
      <c r="C1951" s="477">
        <v>5443322.4301987858</v>
      </c>
      <c r="D1951" s="458">
        <v>6.9353796094888676E-2</v>
      </c>
      <c r="E1951" s="477">
        <v>15291308.019408405</v>
      </c>
      <c r="F1951" s="458">
        <v>0.10979623097357494</v>
      </c>
      <c r="G1951" s="477">
        <v>74854564.357072756</v>
      </c>
      <c r="H1951" s="458">
        <v>0.2597351204060292</v>
      </c>
      <c r="I1951" s="468">
        <v>13.275027758999098</v>
      </c>
    </row>
    <row r="1952" spans="1:9" ht="16.5" x14ac:dyDescent="0.3">
      <c r="A1952" s="477">
        <v>6747484.5797239114</v>
      </c>
      <c r="B1952" s="458">
        <v>4.4526580485714229E-2</v>
      </c>
      <c r="C1952" s="477">
        <v>12468350.829691142</v>
      </c>
      <c r="D1952" s="458">
        <v>3.2686036304840682E-2</v>
      </c>
      <c r="E1952" s="477">
        <v>20249607.195784084</v>
      </c>
      <c r="F1952" s="458">
        <v>9.4310457908193923E-2</v>
      </c>
      <c r="G1952" s="477">
        <v>91954284.969253868</v>
      </c>
      <c r="H1952" s="458">
        <v>0.28069255318497799</v>
      </c>
      <c r="I1952" s="468">
        <v>12.104163319648501</v>
      </c>
    </row>
    <row r="1953" spans="1:9" ht="16.5" x14ac:dyDescent="0.3">
      <c r="A1953" s="477">
        <v>10202688.49560526</v>
      </c>
      <c r="B1953" s="458">
        <v>3.8471448917088091E-2</v>
      </c>
      <c r="C1953" s="477">
        <v>5890768.0433153743</v>
      </c>
      <c r="D1953" s="458">
        <v>9.7949064698610533E-2</v>
      </c>
      <c r="E1953" s="477">
        <v>14625981.171373127</v>
      </c>
      <c r="F1953" s="458">
        <v>6.8277165456441136E-2</v>
      </c>
      <c r="G1953" s="477">
        <v>90509834.824994549</v>
      </c>
      <c r="H1953" s="458">
        <v>0.26860612577372844</v>
      </c>
      <c r="I1953" s="468">
        <v>5.6208726397414583</v>
      </c>
    </row>
    <row r="1954" spans="1:9" ht="16.5" x14ac:dyDescent="0.3">
      <c r="A1954" s="477">
        <v>5392537.6850761073</v>
      </c>
      <c r="B1954" s="458">
        <v>5.6338139935069531E-2</v>
      </c>
      <c r="C1954" s="477">
        <v>4444857.2076692116</v>
      </c>
      <c r="D1954" s="458">
        <v>5.5479330578038777E-2</v>
      </c>
      <c r="E1954" s="477">
        <v>17838918.235702161</v>
      </c>
      <c r="F1954" s="458">
        <v>0.11624109228626778</v>
      </c>
      <c r="G1954" s="477">
        <v>80531363.163941532</v>
      </c>
      <c r="H1954" s="458">
        <v>0.26586955798132128</v>
      </c>
      <c r="I1954" s="468">
        <v>6.4022215894041441</v>
      </c>
    </row>
    <row r="1955" spans="1:9" ht="16.5" x14ac:dyDescent="0.3">
      <c r="A1955" s="477">
        <v>6806883.3467602991</v>
      </c>
      <c r="B1955" s="458">
        <v>4.1987125099941736E-2</v>
      </c>
      <c r="C1955" s="477">
        <v>6460424.9125058064</v>
      </c>
      <c r="D1955" s="458">
        <v>4.8657481600780317E-2</v>
      </c>
      <c r="E1955" s="477">
        <v>21556621.196886908</v>
      </c>
      <c r="F1955" s="458">
        <v>0.11325587342409582</v>
      </c>
      <c r="G1955" s="477">
        <v>90047071.183591828</v>
      </c>
      <c r="H1955" s="458">
        <v>0.28766916933045472</v>
      </c>
      <c r="I1955" s="468">
        <v>9.850457808534129</v>
      </c>
    </row>
    <row r="1956" spans="1:9" ht="16.5" x14ac:dyDescent="0.3">
      <c r="A1956" s="477">
        <v>5493397.1861625956</v>
      </c>
      <c r="B1956" s="458">
        <v>2.3924435895113616E-2</v>
      </c>
      <c r="C1956" s="477">
        <v>13888300.253503066</v>
      </c>
      <c r="D1956" s="458">
        <v>4.7170668091205847E-2</v>
      </c>
      <c r="E1956" s="477">
        <v>14108853.78608289</v>
      </c>
      <c r="F1956" s="458">
        <v>0.10722179985679969</v>
      </c>
      <c r="G1956" s="477">
        <v>91015642.422864139</v>
      </c>
      <c r="H1956" s="458">
        <v>0.28910283656819447</v>
      </c>
      <c r="I1956" s="468">
        <v>8.5843272916497888</v>
      </c>
    </row>
    <row r="1957" spans="1:9" ht="16.5" x14ac:dyDescent="0.3">
      <c r="A1957" s="477">
        <v>601571.99366123381</v>
      </c>
      <c r="B1957" s="458">
        <v>4.4207470684071382E-2</v>
      </c>
      <c r="C1957" s="477">
        <v>13378693.238551864</v>
      </c>
      <c r="D1957" s="458">
        <v>7.5083258844036438E-2</v>
      </c>
      <c r="E1957" s="477">
        <v>13396088.855090879</v>
      </c>
      <c r="F1957" s="458">
        <v>8.6581142234949171E-2</v>
      </c>
      <c r="G1957" s="477">
        <v>82628785.481372237</v>
      </c>
      <c r="H1957" s="458">
        <v>0.27483590191649787</v>
      </c>
      <c r="I1957" s="468">
        <v>8.3820476018548558</v>
      </c>
    </row>
    <row r="1958" spans="1:9" ht="16.5" x14ac:dyDescent="0.3">
      <c r="A1958" s="477">
        <v>3348761.8268700303</v>
      </c>
      <c r="B1958" s="458">
        <v>4.0427257757406077E-2</v>
      </c>
      <c r="C1958" s="477">
        <v>11936849.372390268</v>
      </c>
      <c r="D1958" s="458">
        <v>7.4734933521700686E-2</v>
      </c>
      <c r="E1958" s="477">
        <v>16790806.35315115</v>
      </c>
      <c r="F1958" s="458">
        <v>0.12147835918163774</v>
      </c>
      <c r="G1958" s="477">
        <v>101155996.70898961</v>
      </c>
      <c r="H1958" s="458">
        <v>0.2751442263251751</v>
      </c>
      <c r="I1958" s="468">
        <v>7.2992746172019487</v>
      </c>
    </row>
    <row r="1959" spans="1:9" ht="16.5" x14ac:dyDescent="0.3">
      <c r="A1959" s="477">
        <v>8450360.7061501723</v>
      </c>
      <c r="B1959" s="458">
        <v>3.412375748169505E-2</v>
      </c>
      <c r="C1959" s="477">
        <v>9452554.0096836332</v>
      </c>
      <c r="D1959" s="458">
        <v>8.0226336055150727E-2</v>
      </c>
      <c r="E1959" s="477">
        <v>11722817.847184101</v>
      </c>
      <c r="F1959" s="458">
        <v>0.1120827044355619</v>
      </c>
      <c r="G1959" s="477">
        <v>89090387.051731974</v>
      </c>
      <c r="H1959" s="458">
        <v>0.27886702046861545</v>
      </c>
      <c r="I1959" s="468">
        <v>13.540356240139861</v>
      </c>
    </row>
    <row r="1960" spans="1:9" ht="16.5" x14ac:dyDescent="0.3">
      <c r="A1960" s="477">
        <v>4823139.2919014804</v>
      </c>
      <c r="B1960" s="458">
        <v>4.2948713656341564E-2</v>
      </c>
      <c r="C1960" s="477">
        <v>9775044.2429298908</v>
      </c>
      <c r="D1960" s="458">
        <v>7.9751452214524399E-2</v>
      </c>
      <c r="E1960" s="477">
        <v>18064811.076528408</v>
      </c>
      <c r="F1960" s="458">
        <v>0.11555138863561987</v>
      </c>
      <c r="G1960" s="477">
        <v>81765895.393067107</v>
      </c>
      <c r="H1960" s="458">
        <v>0.28203710246200187</v>
      </c>
      <c r="I1960" s="468">
        <v>4.9326966021969501</v>
      </c>
    </row>
    <row r="1961" spans="1:9" ht="16.5" x14ac:dyDescent="0.3">
      <c r="A1961" s="477">
        <v>10628511.729834687</v>
      </c>
      <c r="B1961" s="458">
        <v>3.8018822069328273E-2</v>
      </c>
      <c r="C1961" s="477">
        <v>8897673.7975481767</v>
      </c>
      <c r="D1961" s="458">
        <v>6.5469762648630025E-2</v>
      </c>
      <c r="E1961" s="477">
        <v>7420030.5463242643</v>
      </c>
      <c r="F1961" s="458">
        <v>0.13139193656106674</v>
      </c>
      <c r="G1961" s="477">
        <v>102881514.1615822</v>
      </c>
      <c r="H1961" s="458">
        <v>0.27026152080140187</v>
      </c>
      <c r="I1961" s="468">
        <v>11.095979681996575</v>
      </c>
    </row>
    <row r="1962" spans="1:9" ht="16.5" x14ac:dyDescent="0.3">
      <c r="A1962" s="477">
        <v>6220427.4450380225</v>
      </c>
      <c r="B1962" s="458">
        <v>5.2183913918192104E-2</v>
      </c>
      <c r="C1962" s="477">
        <v>9162641.4522737376</v>
      </c>
      <c r="D1962" s="458">
        <v>5.1037285005882449E-2</v>
      </c>
      <c r="E1962" s="477">
        <v>13442201.543440579</v>
      </c>
      <c r="F1962" s="458">
        <v>0.11500442008083089</v>
      </c>
      <c r="G1962" s="477">
        <v>71531268.596339896</v>
      </c>
      <c r="H1962" s="458">
        <v>0.26405592534317202</v>
      </c>
      <c r="I1962" s="468">
        <v>10.939849362748372</v>
      </c>
    </row>
    <row r="1963" spans="1:9" ht="16.5" x14ac:dyDescent="0.3">
      <c r="A1963" s="477">
        <v>5702157.2464521732</v>
      </c>
      <c r="B1963" s="458">
        <v>2.4513153624538875E-2</v>
      </c>
      <c r="C1963" s="477">
        <v>-901520.66510485753</v>
      </c>
      <c r="D1963" s="458">
        <v>8.3066310918299635E-2</v>
      </c>
      <c r="E1963" s="477">
        <v>19908065.778118096</v>
      </c>
      <c r="F1963" s="458">
        <v>0.1034307970255901</v>
      </c>
      <c r="G1963" s="477">
        <v>89786317.747069925</v>
      </c>
      <c r="H1963" s="458">
        <v>0.27306408785154646</v>
      </c>
      <c r="I1963" s="468">
        <v>6.0847026464599994</v>
      </c>
    </row>
    <row r="1964" spans="1:9" ht="16.5" x14ac:dyDescent="0.3">
      <c r="A1964" s="477">
        <v>5368541.312812252</v>
      </c>
      <c r="B1964" s="458">
        <v>3.5414154544376464E-2</v>
      </c>
      <c r="C1964" s="477">
        <v>5392098.1759388624</v>
      </c>
      <c r="D1964" s="458">
        <v>7.0418495787685442E-2</v>
      </c>
      <c r="E1964" s="477">
        <v>15635556.786245152</v>
      </c>
      <c r="F1964" s="458">
        <v>9.4755343123473112E-2</v>
      </c>
      <c r="G1964" s="477">
        <v>89115088.139913037</v>
      </c>
      <c r="H1964" s="458">
        <v>0.26734756538362636</v>
      </c>
      <c r="I1964" s="468">
        <v>5.8705772228286062</v>
      </c>
    </row>
    <row r="1965" spans="1:9" ht="16.5" x14ac:dyDescent="0.3">
      <c r="A1965" s="477">
        <v>5454800.9277344467</v>
      </c>
      <c r="B1965" s="458">
        <v>4.9668077308562264E-2</v>
      </c>
      <c r="C1965" s="477">
        <v>13979612.381932491</v>
      </c>
      <c r="D1965" s="458">
        <v>4.668930636859403E-2</v>
      </c>
      <c r="E1965" s="477">
        <v>13311376.233637152</v>
      </c>
      <c r="F1965" s="458">
        <v>0.11643818851804588</v>
      </c>
      <c r="G1965" s="477">
        <v>96298150.077612177</v>
      </c>
      <c r="H1965" s="458">
        <v>0.29609516905594813</v>
      </c>
      <c r="I1965" s="468">
        <v>13.631976739391641</v>
      </c>
    </row>
    <row r="1966" spans="1:9" ht="16.5" x14ac:dyDescent="0.3">
      <c r="A1966" s="477">
        <v>6800432.7962637087</v>
      </c>
      <c r="B1966" s="458">
        <v>4.3918261853849616E-2</v>
      </c>
      <c r="C1966" s="477">
        <v>4177553.4365275465</v>
      </c>
      <c r="D1966" s="458">
        <v>5.6459631203948923E-2</v>
      </c>
      <c r="E1966" s="477">
        <v>12450331.444594013</v>
      </c>
      <c r="F1966" s="458">
        <v>0.11377658684994119</v>
      </c>
      <c r="G1966" s="477">
        <v>93899578.360403746</v>
      </c>
      <c r="H1966" s="458">
        <v>0.29803475083234865</v>
      </c>
      <c r="I1966" s="468">
        <v>8.064409833652924</v>
      </c>
    </row>
    <row r="1967" spans="1:9" ht="16.5" x14ac:dyDescent="0.3">
      <c r="A1967" s="477">
        <v>1687986.8501980812</v>
      </c>
      <c r="B1967" s="458">
        <v>4.2472077200820024E-2</v>
      </c>
      <c r="C1967" s="477">
        <v>8795992.8385918513</v>
      </c>
      <c r="D1967" s="458">
        <v>6.2830437297600072E-2</v>
      </c>
      <c r="E1967" s="477">
        <v>10800111.459925961</v>
      </c>
      <c r="F1967" s="458">
        <v>8.4599690157442176E-2</v>
      </c>
      <c r="G1967" s="477">
        <v>78933460.803901181</v>
      </c>
      <c r="H1967" s="458">
        <v>0.25676397349684343</v>
      </c>
      <c r="I1967" s="468">
        <v>7.1212062127837479</v>
      </c>
    </row>
    <row r="1968" spans="1:9" ht="16.5" x14ac:dyDescent="0.3">
      <c r="A1968" s="477">
        <v>8324666.803164199</v>
      </c>
      <c r="B1968" s="458">
        <v>1.8464756671704219E-2</v>
      </c>
      <c r="C1968" s="477">
        <v>10378257.927228687</v>
      </c>
      <c r="D1968" s="458">
        <v>7.6433155417519494E-2</v>
      </c>
      <c r="E1968" s="477">
        <v>20256008.589210715</v>
      </c>
      <c r="F1968" s="458">
        <v>9.8429147227765856E-2</v>
      </c>
      <c r="G1968" s="477">
        <v>93728758.915942714</v>
      </c>
      <c r="H1968" s="458">
        <v>0.27409547569179371</v>
      </c>
      <c r="I1968" s="468">
        <v>13.276327163618609</v>
      </c>
    </row>
    <row r="1969" spans="1:9" ht="16.5" x14ac:dyDescent="0.3">
      <c r="A1969" s="477">
        <v>4772442.4235162558</v>
      </c>
      <c r="B1969" s="458">
        <v>4.8838213079705817E-2</v>
      </c>
      <c r="C1969" s="477">
        <v>-1979183.8012122612</v>
      </c>
      <c r="D1969" s="458">
        <v>7.9211239442564363E-2</v>
      </c>
      <c r="E1969" s="477">
        <v>19421643.319521684</v>
      </c>
      <c r="F1969" s="458">
        <v>0.11137409440566826</v>
      </c>
      <c r="G1969" s="477">
        <v>99693362.653428391</v>
      </c>
      <c r="H1969" s="458">
        <v>0.26710689848834446</v>
      </c>
      <c r="I1969" s="468">
        <v>5.5289576670169582</v>
      </c>
    </row>
    <row r="1970" spans="1:9" ht="16.5" x14ac:dyDescent="0.3">
      <c r="A1970" s="477">
        <v>3312618.9843857745</v>
      </c>
      <c r="B1970" s="458">
        <v>4.3979626099173164E-2</v>
      </c>
      <c r="C1970" s="477">
        <v>10755623.855733547</v>
      </c>
      <c r="D1970" s="458">
        <v>0.12259827442349058</v>
      </c>
      <c r="E1970" s="477">
        <v>21627016.213189688</v>
      </c>
      <c r="F1970" s="458">
        <v>0.12046000805776669</v>
      </c>
      <c r="G1970" s="477">
        <v>90368858.022362456</v>
      </c>
      <c r="H1970" s="458">
        <v>0.28705175972075581</v>
      </c>
      <c r="I1970" s="468">
        <v>11.180610392108534</v>
      </c>
    </row>
    <row r="1971" spans="1:9" ht="16.5" x14ac:dyDescent="0.3">
      <c r="A1971" s="477">
        <v>6347749.3630638765</v>
      </c>
      <c r="B1971" s="458">
        <v>3.9409131893112903E-2</v>
      </c>
      <c r="C1971" s="477">
        <v>9146498.2263268977</v>
      </c>
      <c r="D1971" s="458">
        <v>8.1009803685972548E-2</v>
      </c>
      <c r="E1971" s="477">
        <v>20131274.464281105</v>
      </c>
      <c r="F1971" s="458">
        <v>0.11384054207300043</v>
      </c>
      <c r="G1971" s="477">
        <v>93125529.172868669</v>
      </c>
      <c r="H1971" s="458">
        <v>0.27077551053098459</v>
      </c>
      <c r="I1971" s="468">
        <v>16.959824229742168</v>
      </c>
    </row>
    <row r="1972" spans="1:9" ht="16.5" x14ac:dyDescent="0.3">
      <c r="A1972" s="477">
        <v>4733102.0725194607</v>
      </c>
      <c r="B1972" s="458">
        <v>3.5280977718876505E-2</v>
      </c>
      <c r="C1972" s="477">
        <v>6750395.2572711343</v>
      </c>
      <c r="D1972" s="458">
        <v>7.7495442674183845E-2</v>
      </c>
      <c r="E1972" s="477">
        <v>13805757.912279099</v>
      </c>
      <c r="F1972" s="458">
        <v>9.5163464564243405E-2</v>
      </c>
      <c r="G1972" s="477">
        <v>99114016.799698621</v>
      </c>
      <c r="H1972" s="458">
        <v>0.30912491918808516</v>
      </c>
      <c r="I1972" s="468">
        <v>11.069599732993307</v>
      </c>
    </row>
    <row r="1973" spans="1:9" ht="16.5" x14ac:dyDescent="0.3">
      <c r="A1973" s="477">
        <v>5003344.7442811234</v>
      </c>
      <c r="B1973" s="458">
        <v>6.1669782743811741E-2</v>
      </c>
      <c r="C1973" s="477">
        <v>8956595.9873335939</v>
      </c>
      <c r="D1973" s="458">
        <v>3.0684703029812965E-2</v>
      </c>
      <c r="E1973" s="477">
        <v>20481787.951974623</v>
      </c>
      <c r="F1973" s="458">
        <v>0.10359498667781941</v>
      </c>
      <c r="G1973" s="477">
        <v>88223611.562415078</v>
      </c>
      <c r="H1973" s="458">
        <v>0.26575273406748345</v>
      </c>
      <c r="I1973" s="468">
        <v>8.9782468008582459</v>
      </c>
    </row>
    <row r="1974" spans="1:9" ht="16.5" x14ac:dyDescent="0.3">
      <c r="A1974" s="477">
        <v>5835889.8684766227</v>
      </c>
      <c r="B1974" s="458">
        <v>5.0188978674644336E-2</v>
      </c>
      <c r="C1974" s="477">
        <v>11865656.543266881</v>
      </c>
      <c r="D1974" s="458">
        <v>5.248584632014297E-2</v>
      </c>
      <c r="E1974" s="477">
        <v>12499477.579844296</v>
      </c>
      <c r="F1974" s="458">
        <v>0.11953608943955496</v>
      </c>
      <c r="G1974" s="477">
        <v>83214799.873249322</v>
      </c>
      <c r="H1974" s="458">
        <v>0.28993059687109102</v>
      </c>
      <c r="I1974" s="468">
        <v>8.734978473444297</v>
      </c>
    </row>
    <row r="1975" spans="1:9" ht="16.5" x14ac:dyDescent="0.3">
      <c r="A1975" s="477">
        <v>7387848.5223038299</v>
      </c>
      <c r="B1975" s="458">
        <v>2.3249308944170988E-2</v>
      </c>
      <c r="C1975" s="477">
        <v>8615796.678739626</v>
      </c>
      <c r="D1975" s="458">
        <v>6.7266949719714253E-2</v>
      </c>
      <c r="E1975" s="477">
        <v>20773528.984501526</v>
      </c>
      <c r="F1975" s="458">
        <v>0.10604992007800451</v>
      </c>
      <c r="G1975" s="477">
        <v>88637495.797767282</v>
      </c>
      <c r="H1975" s="458">
        <v>0.27810137813553348</v>
      </c>
      <c r="I1975" s="468">
        <v>-5.3398565809974006</v>
      </c>
    </row>
    <row r="1976" spans="1:9" ht="16.5" x14ac:dyDescent="0.3">
      <c r="A1976" s="477">
        <v>6887888.6937097758</v>
      </c>
      <c r="B1976" s="458">
        <v>3.568600893123941E-2</v>
      </c>
      <c r="C1976" s="477">
        <v>6965140.117034114</v>
      </c>
      <c r="D1976" s="458">
        <v>8.6321748743659388E-2</v>
      </c>
      <c r="E1976" s="477">
        <v>14319609.667804038</v>
      </c>
      <c r="F1976" s="458">
        <v>0.12505922793096813</v>
      </c>
      <c r="G1976" s="477">
        <v>91379872.624595925</v>
      </c>
      <c r="H1976" s="458">
        <v>0.25883789796911683</v>
      </c>
      <c r="I1976" s="468">
        <v>14.687325099942662</v>
      </c>
    </row>
    <row r="1977" spans="1:9" ht="16.5" x14ac:dyDescent="0.3">
      <c r="A1977" s="477">
        <v>5995227.7024229728</v>
      </c>
      <c r="B1977" s="458">
        <v>6.1040117296554897E-2</v>
      </c>
      <c r="C1977" s="477">
        <v>12505057.279821165</v>
      </c>
      <c r="D1977" s="458">
        <v>5.8436388000409512E-2</v>
      </c>
      <c r="E1977" s="477">
        <v>16898460.426500481</v>
      </c>
      <c r="F1977" s="458">
        <v>0.10110789475358395</v>
      </c>
      <c r="G1977" s="477">
        <v>93254632.095982373</v>
      </c>
      <c r="H1977" s="458">
        <v>0.28968943955875504</v>
      </c>
      <c r="I1977" s="468">
        <v>10.125194299753513</v>
      </c>
    </row>
    <row r="1978" spans="1:9" ht="16.5" x14ac:dyDescent="0.3">
      <c r="A1978" s="477">
        <v>8943720.2573556248</v>
      </c>
      <c r="B1978" s="458">
        <v>5.4267719056757091E-2</v>
      </c>
      <c r="C1978" s="477">
        <v>6880501.2897356469</v>
      </c>
      <c r="D1978" s="458">
        <v>7.3090123444165211E-2</v>
      </c>
      <c r="E1978" s="477">
        <v>18119435.888001271</v>
      </c>
      <c r="F1978" s="458">
        <v>0.15022801622747006</v>
      </c>
      <c r="G1978" s="477">
        <v>93390051.948528871</v>
      </c>
      <c r="H1978" s="458">
        <v>0.2570750813208782</v>
      </c>
      <c r="I1978" s="468">
        <v>4.060453438263278</v>
      </c>
    </row>
    <row r="1979" spans="1:9" ht="16.5" x14ac:dyDescent="0.3">
      <c r="A1979" s="477">
        <v>2081032.4143091764</v>
      </c>
      <c r="B1979" s="458">
        <v>3.1634732063522852E-2</v>
      </c>
      <c r="C1979" s="477">
        <v>5702730.4030391397</v>
      </c>
      <c r="D1979" s="458">
        <v>8.3655967807992671E-2</v>
      </c>
      <c r="E1979" s="477">
        <v>11398372.03904509</v>
      </c>
      <c r="F1979" s="458">
        <v>0.11526909598402502</v>
      </c>
      <c r="G1979" s="477">
        <v>81534659.603565499</v>
      </c>
      <c r="H1979" s="458">
        <v>0.28028162737010298</v>
      </c>
      <c r="I1979" s="468">
        <v>10.003320921985589</v>
      </c>
    </row>
    <row r="1980" spans="1:9" ht="16.5" x14ac:dyDescent="0.3">
      <c r="A1980" s="477">
        <v>354189.41871498182</v>
      </c>
      <c r="B1980" s="458">
        <v>5.771325431765062E-2</v>
      </c>
      <c r="C1980" s="477">
        <v>8940107.0491139572</v>
      </c>
      <c r="D1980" s="458">
        <v>7.7655554318809994E-2</v>
      </c>
      <c r="E1980" s="477">
        <v>20530872.728114922</v>
      </c>
      <c r="F1980" s="458">
        <v>0.10875738806424873</v>
      </c>
      <c r="G1980" s="477">
        <v>82217850.312713787</v>
      </c>
      <c r="H1980" s="458">
        <v>0.27289434733994455</v>
      </c>
      <c r="I1980" s="468">
        <v>5.3041999914872644</v>
      </c>
    </row>
    <row r="1981" spans="1:9" ht="16.5" x14ac:dyDescent="0.3">
      <c r="A1981" s="477">
        <v>4335291.2150581945</v>
      </c>
      <c r="B1981" s="458">
        <v>4.6286283715890164E-2</v>
      </c>
      <c r="C1981" s="477">
        <v>10064972.84188501</v>
      </c>
      <c r="D1981" s="458">
        <v>8.7433386432518523E-2</v>
      </c>
      <c r="E1981" s="477">
        <v>12671565.176988989</v>
      </c>
      <c r="F1981" s="458">
        <v>9.853317928573424E-2</v>
      </c>
      <c r="G1981" s="477">
        <v>97875770.36423631</v>
      </c>
      <c r="H1981" s="458">
        <v>0.25824025283907237</v>
      </c>
      <c r="I1981" s="468">
        <v>14.135867324246359</v>
      </c>
    </row>
    <row r="1982" spans="1:9" ht="16.5" x14ac:dyDescent="0.3">
      <c r="A1982" s="477">
        <v>4906800.8523904737</v>
      </c>
      <c r="B1982" s="458">
        <v>3.3702960223467526E-2</v>
      </c>
      <c r="C1982" s="477">
        <v>8975865.9252034221</v>
      </c>
      <c r="D1982" s="458">
        <v>5.3123575841058202E-2</v>
      </c>
      <c r="E1982" s="477">
        <v>17954652.310639646</v>
      </c>
      <c r="F1982" s="458">
        <v>8.92858086007009E-2</v>
      </c>
      <c r="G1982" s="477">
        <v>87308955.113378122</v>
      </c>
      <c r="H1982" s="458">
        <v>0.25711297931516763</v>
      </c>
      <c r="I1982" s="468">
        <v>8.901445624006044</v>
      </c>
    </row>
    <row r="1983" spans="1:9" ht="16.5" x14ac:dyDescent="0.3">
      <c r="A1983" s="477">
        <v>1979845.2662595555</v>
      </c>
      <c r="B1983" s="458">
        <v>3.3063724537515382E-2</v>
      </c>
      <c r="C1983" s="477">
        <v>13639559.792060332</v>
      </c>
      <c r="D1983" s="458">
        <v>6.1317848983835965E-2</v>
      </c>
      <c r="E1983" s="477">
        <v>18535661.278865688</v>
      </c>
      <c r="F1983" s="458">
        <v>0.10216522097837943</v>
      </c>
      <c r="G1983" s="477">
        <v>86698406.419063613</v>
      </c>
      <c r="H1983" s="458">
        <v>0.30080572596563826</v>
      </c>
      <c r="I1983" s="468">
        <v>3.2249822730818156</v>
      </c>
    </row>
    <row r="1984" spans="1:9" ht="16.5" x14ac:dyDescent="0.3">
      <c r="A1984" s="477">
        <v>5379114.6934223892</v>
      </c>
      <c r="B1984" s="458">
        <v>3.9719514230396991E-2</v>
      </c>
      <c r="C1984" s="477">
        <v>6729860.2968756557</v>
      </c>
      <c r="D1984" s="458">
        <v>7.3914697082803738E-2</v>
      </c>
      <c r="E1984" s="477">
        <v>14654825.276864897</v>
      </c>
      <c r="F1984" s="458">
        <v>0.11926173806954488</v>
      </c>
      <c r="G1984" s="477">
        <v>84677567.856896266</v>
      </c>
      <c r="H1984" s="458">
        <v>0.26099073446020959</v>
      </c>
      <c r="I1984" s="468">
        <v>14.100048689336216</v>
      </c>
    </row>
    <row r="1985" spans="1:9" ht="16.5" x14ac:dyDescent="0.3">
      <c r="A1985" s="477">
        <v>2798035.6655694256</v>
      </c>
      <c r="B1985" s="458">
        <v>4.6899896257382556E-2</v>
      </c>
      <c r="C1985" s="477">
        <v>4719160.881612611</v>
      </c>
      <c r="D1985" s="458">
        <v>4.8745162498514905E-2</v>
      </c>
      <c r="E1985" s="477">
        <v>24643535.590010744</v>
      </c>
      <c r="F1985" s="458">
        <v>0.10644730834833482</v>
      </c>
      <c r="G1985" s="477">
        <v>87015210.038400352</v>
      </c>
      <c r="H1985" s="458">
        <v>0.27239228237416757</v>
      </c>
      <c r="I1985" s="468">
        <v>6.6697179728769278</v>
      </c>
    </row>
    <row r="1986" spans="1:9" ht="16.5" x14ac:dyDescent="0.3">
      <c r="A1986" s="477">
        <v>4626489.3447264936</v>
      </c>
      <c r="B1986" s="458">
        <v>4.9418231172997151E-2</v>
      </c>
      <c r="C1986" s="477">
        <v>10615830.84365809</v>
      </c>
      <c r="D1986" s="458">
        <v>6.3290241359835964E-2</v>
      </c>
      <c r="E1986" s="477">
        <v>14335232.777127519</v>
      </c>
      <c r="F1986" s="458">
        <v>0.11372171680098098</v>
      </c>
      <c r="G1986" s="477">
        <v>86849664.073716998</v>
      </c>
      <c r="H1986" s="458">
        <v>0.25322858938471637</v>
      </c>
      <c r="I1986" s="468">
        <v>4.041923719113119</v>
      </c>
    </row>
    <row r="1987" spans="1:9" ht="16.5" x14ac:dyDescent="0.3">
      <c r="A1987" s="477">
        <v>3120075.8199683693</v>
      </c>
      <c r="B1987" s="458">
        <v>5.3327351257080435E-2</v>
      </c>
      <c r="C1987" s="477">
        <v>6419878.1018094197</v>
      </c>
      <c r="D1987" s="458">
        <v>9.3667435934134735E-2</v>
      </c>
      <c r="E1987" s="477">
        <v>20117228.669514824</v>
      </c>
      <c r="F1987" s="458">
        <v>8.2956316630459437E-2</v>
      </c>
      <c r="G1987" s="477">
        <v>91876601.246093333</v>
      </c>
      <c r="H1987" s="458">
        <v>0.27263115615177425</v>
      </c>
      <c r="I1987" s="468">
        <v>7.9309641811422695</v>
      </c>
    </row>
    <row r="1988" spans="1:9" ht="16.5" x14ac:dyDescent="0.3">
      <c r="A1988" s="477">
        <v>-1533149.036977974</v>
      </c>
      <c r="B1988" s="458">
        <v>3.3927266624735219E-2</v>
      </c>
      <c r="C1988" s="477">
        <v>6950472.9454259239</v>
      </c>
      <c r="D1988" s="458">
        <v>7.5060309474085374E-2</v>
      </c>
      <c r="E1988" s="477">
        <v>12965665.136228817</v>
      </c>
      <c r="F1988" s="458">
        <v>0.12482575310760557</v>
      </c>
      <c r="G1988" s="477">
        <v>87309215.596471429</v>
      </c>
      <c r="H1988" s="458">
        <v>0.25193963238667538</v>
      </c>
      <c r="I1988" s="468">
        <v>12.54408997744023</v>
      </c>
    </row>
    <row r="1989" spans="1:9" ht="16.5" x14ac:dyDescent="0.3">
      <c r="A1989" s="477">
        <v>3076810.8537099906</v>
      </c>
      <c r="B1989" s="458">
        <v>4.7428415648971045E-2</v>
      </c>
      <c r="C1989" s="477">
        <v>9258890.6958632432</v>
      </c>
      <c r="D1989" s="458">
        <v>7.5907998076702565E-2</v>
      </c>
      <c r="E1989" s="477">
        <v>12932422.722438121</v>
      </c>
      <c r="F1989" s="458">
        <v>0.10527459393719463</v>
      </c>
      <c r="G1989" s="477">
        <v>83508217.779485717</v>
      </c>
      <c r="H1989" s="458">
        <v>0.26341995351938752</v>
      </c>
      <c r="I1989" s="468">
        <v>8.8317268003344473</v>
      </c>
    </row>
    <row r="1990" spans="1:9" ht="16.5" x14ac:dyDescent="0.3">
      <c r="A1990" s="477">
        <v>6717371.3676689621</v>
      </c>
      <c r="B1990" s="458">
        <v>5.301832947131313E-2</v>
      </c>
      <c r="C1990" s="477">
        <v>4814778.3834945252</v>
      </c>
      <c r="D1990" s="458">
        <v>7.5590568181579387E-2</v>
      </c>
      <c r="E1990" s="477">
        <v>18502624.473262694</v>
      </c>
      <c r="F1990" s="458">
        <v>0.10306269296531645</v>
      </c>
      <c r="G1990" s="477">
        <v>87179548.46428293</v>
      </c>
      <c r="H1990" s="458">
        <v>0.25875113859219789</v>
      </c>
      <c r="I1990" s="468">
        <v>8.4952731475651539</v>
      </c>
    </row>
    <row r="1991" spans="1:9" ht="16.5" x14ac:dyDescent="0.3">
      <c r="A1991" s="477">
        <v>5807546.7944305306</v>
      </c>
      <c r="B1991" s="458">
        <v>2.9363730551733358E-2</v>
      </c>
      <c r="C1991" s="477">
        <v>360670.80176024942</v>
      </c>
      <c r="D1991" s="458">
        <v>5.9798086964697461E-2</v>
      </c>
      <c r="E1991" s="477">
        <v>19206575.16340306</v>
      </c>
      <c r="F1991" s="458">
        <v>0.11474848809688276</v>
      </c>
      <c r="G1991" s="477">
        <v>84201493.822532296</v>
      </c>
      <c r="H1991" s="458">
        <v>0.26381168455436921</v>
      </c>
      <c r="I1991" s="468">
        <v>0.49565078485430014</v>
      </c>
    </row>
    <row r="1992" spans="1:9" ht="16.5" x14ac:dyDescent="0.3">
      <c r="A1992" s="477">
        <v>7286627.9852084601</v>
      </c>
      <c r="B1992" s="458">
        <v>3.8433419490945475E-2</v>
      </c>
      <c r="C1992" s="477">
        <v>3362690.3112692237</v>
      </c>
      <c r="D1992" s="458">
        <v>6.4456080264530202E-2</v>
      </c>
      <c r="E1992" s="477">
        <v>12554063.43392119</v>
      </c>
      <c r="F1992" s="458">
        <v>0.12330017584551567</v>
      </c>
      <c r="G1992" s="477">
        <v>101399597.97080806</v>
      </c>
      <c r="H1992" s="458">
        <v>0.28449542938618322</v>
      </c>
      <c r="I1992" s="468">
        <v>8.3581269365247532</v>
      </c>
    </row>
    <row r="1993" spans="1:9" ht="16.5" x14ac:dyDescent="0.3">
      <c r="A1993" s="477">
        <v>6379714.499474505</v>
      </c>
      <c r="B1993" s="458">
        <v>3.0051975826620447E-2</v>
      </c>
      <c r="C1993" s="477">
        <v>11815628.503355984</v>
      </c>
      <c r="D1993" s="458">
        <v>8.1576443911561158E-2</v>
      </c>
      <c r="E1993" s="477">
        <v>17360393.929001458</v>
      </c>
      <c r="F1993" s="458">
        <v>0.10827754945052392</v>
      </c>
      <c r="G1993" s="477">
        <v>94300565.011488706</v>
      </c>
      <c r="H1993" s="458">
        <v>0.24854565194725109</v>
      </c>
      <c r="I1993" s="468">
        <v>5.9685522844254777</v>
      </c>
    </row>
    <row r="1994" spans="1:9" ht="16.5" x14ac:dyDescent="0.3">
      <c r="A1994" s="477">
        <v>5332843.7561794361</v>
      </c>
      <c r="B1994" s="458">
        <v>3.1124862376693097E-2</v>
      </c>
      <c r="C1994" s="477">
        <v>3942217.2493999489</v>
      </c>
      <c r="D1994" s="458">
        <v>6.616281857028139E-2</v>
      </c>
      <c r="E1994" s="477">
        <v>16884106.788374964</v>
      </c>
      <c r="F1994" s="458">
        <v>0.14344635359803859</v>
      </c>
      <c r="G1994" s="477">
        <v>92774327.178407177</v>
      </c>
      <c r="H1994" s="458">
        <v>0.26510953807272752</v>
      </c>
      <c r="I1994" s="468">
        <v>5.1877870427074422</v>
      </c>
    </row>
    <row r="1995" spans="1:9" ht="16.5" x14ac:dyDescent="0.3">
      <c r="A1995" s="477">
        <v>9461506.3049181979</v>
      </c>
      <c r="B1995" s="458">
        <v>6.0885114365680115E-2</v>
      </c>
      <c r="C1995" s="477">
        <v>3853143.1099105016</v>
      </c>
      <c r="D1995" s="458">
        <v>9.0357078712442584E-2</v>
      </c>
      <c r="E1995" s="477">
        <v>13679861.347007357</v>
      </c>
      <c r="F1995" s="458">
        <v>9.7078565676234518E-2</v>
      </c>
      <c r="G1995" s="477">
        <v>86300638.672163039</v>
      </c>
      <c r="H1995" s="458">
        <v>0.2649701484308391</v>
      </c>
      <c r="I1995" s="468">
        <v>5.8767067022702459</v>
      </c>
    </row>
    <row r="1996" spans="1:9" ht="16.5" x14ac:dyDescent="0.3">
      <c r="A1996" s="477">
        <v>9180509.2772526164</v>
      </c>
      <c r="B1996" s="458">
        <v>3.3844411784814676E-2</v>
      </c>
      <c r="C1996" s="477">
        <v>5313064.0144903213</v>
      </c>
      <c r="D1996" s="458">
        <v>6.379797427075018E-2</v>
      </c>
      <c r="E1996" s="477">
        <v>8828895.3042661734</v>
      </c>
      <c r="F1996" s="458">
        <v>9.4791056815830554E-2</v>
      </c>
      <c r="G1996" s="477">
        <v>90092412.27112554</v>
      </c>
      <c r="H1996" s="458">
        <v>0.28658912246301371</v>
      </c>
      <c r="I1996" s="468">
        <v>1.307101588645124</v>
      </c>
    </row>
    <row r="1997" spans="1:9" ht="16.5" x14ac:dyDescent="0.3">
      <c r="A1997" s="477">
        <v>6804498.4908073274</v>
      </c>
      <c r="B1997" s="458">
        <v>4.2896037374352547E-2</v>
      </c>
      <c r="C1997" s="477">
        <v>9306052.9544588719</v>
      </c>
      <c r="D1997" s="458">
        <v>4.3394013885546423E-2</v>
      </c>
      <c r="E1997" s="477">
        <v>17306343.418181892</v>
      </c>
      <c r="F1997" s="458">
        <v>0.10287141253583365</v>
      </c>
      <c r="G1997" s="477">
        <v>91837122.219365001</v>
      </c>
      <c r="H1997" s="458">
        <v>0.27605119691442859</v>
      </c>
      <c r="I1997" s="468">
        <v>7.8644150850876278</v>
      </c>
    </row>
    <row r="1998" spans="1:9" ht="16.5" x14ac:dyDescent="0.3">
      <c r="A1998" s="477">
        <v>1537407.0748299062</v>
      </c>
      <c r="B1998" s="458">
        <v>3.1845622302354659E-2</v>
      </c>
      <c r="C1998" s="477">
        <v>10633862.005173141</v>
      </c>
      <c r="D1998" s="458">
        <v>7.9986714165458439E-2</v>
      </c>
      <c r="E1998" s="477">
        <v>22192792.511969402</v>
      </c>
      <c r="F1998" s="458">
        <v>0.10979860010640197</v>
      </c>
      <c r="G1998" s="477">
        <v>90757001.009386927</v>
      </c>
      <c r="H1998" s="458">
        <v>0.25994672500520055</v>
      </c>
      <c r="I1998" s="468">
        <v>5.8877426496088843</v>
      </c>
    </row>
    <row r="1999" spans="1:9" ht="16.5" x14ac:dyDescent="0.3">
      <c r="A1999" s="477">
        <v>2232069.6343708904</v>
      </c>
      <c r="B1999" s="458">
        <v>4.2910643438438756E-2</v>
      </c>
      <c r="C1999" s="477">
        <v>8305356.6815099409</v>
      </c>
      <c r="D1999" s="458">
        <v>6.7547758370423816E-2</v>
      </c>
      <c r="E1999" s="477">
        <v>18303740.692686312</v>
      </c>
      <c r="F1999" s="458">
        <v>9.5086651731496108E-2</v>
      </c>
      <c r="G1999" s="477">
        <v>92156231.777862847</v>
      </c>
      <c r="H1999" s="458">
        <v>0.26668750265421437</v>
      </c>
      <c r="I1999" s="468">
        <v>17.224874031852639</v>
      </c>
    </row>
    <row r="2000" spans="1:9" ht="16.5" x14ac:dyDescent="0.3">
      <c r="A2000" s="477">
        <v>2035757.9957887081</v>
      </c>
      <c r="B2000" s="458">
        <v>1.0376529338359752E-2</v>
      </c>
      <c r="C2000" s="477">
        <v>6615400.0617713053</v>
      </c>
      <c r="D2000" s="458">
        <v>7.0220493040026311E-2</v>
      </c>
      <c r="E2000" s="477">
        <v>17135100.817999218</v>
      </c>
      <c r="F2000" s="458">
        <v>0.1023719051181835</v>
      </c>
      <c r="G2000" s="477">
        <v>86848984.072327092</v>
      </c>
      <c r="H2000" s="458">
        <v>0.25494815289814721</v>
      </c>
      <c r="I2000" s="468">
        <v>3.8346319547664249</v>
      </c>
    </row>
    <row r="2001" spans="1:9" ht="16.5" x14ac:dyDescent="0.3">
      <c r="A2001" s="477">
        <v>-96492.825288185137</v>
      </c>
      <c r="B2001" s="458">
        <v>4.7535383500828088E-2</v>
      </c>
      <c r="C2001" s="477">
        <v>11569558.852560738</v>
      </c>
      <c r="D2001" s="458">
        <v>6.3230950473790903E-2</v>
      </c>
      <c r="E2001" s="477">
        <v>18688053.444477372</v>
      </c>
      <c r="F2001" s="458">
        <v>0.14222829097091449</v>
      </c>
      <c r="G2001" s="477">
        <v>93199146.172651038</v>
      </c>
      <c r="H2001" s="458">
        <v>0.2719644628116753</v>
      </c>
      <c r="I2001" s="468">
        <v>1.7074678548549862</v>
      </c>
    </row>
    <row r="2002" spans="1:9" ht="16.5" x14ac:dyDescent="0.3">
      <c r="A2002" s="477">
        <v>8848184.4465865288</v>
      </c>
      <c r="B2002" s="458">
        <v>5.4709285975478972E-2</v>
      </c>
      <c r="C2002" s="477">
        <v>2533079.9463068838</v>
      </c>
      <c r="D2002" s="458">
        <v>4.1597272286514553E-2</v>
      </c>
      <c r="E2002" s="477">
        <v>16020891.495707465</v>
      </c>
      <c r="F2002" s="458">
        <v>0.11883305215707574</v>
      </c>
      <c r="G2002" s="477">
        <v>78554247.967038095</v>
      </c>
      <c r="H2002" s="458">
        <v>0.28948230611835002</v>
      </c>
      <c r="I2002" s="468">
        <v>10.47716563812175</v>
      </c>
    </row>
    <row r="2003" spans="1:9" ht="16.5" x14ac:dyDescent="0.3">
      <c r="A2003" s="477">
        <v>7854129.6112227198</v>
      </c>
      <c r="B2003" s="458">
        <v>4.3520104855699904E-2</v>
      </c>
      <c r="C2003" s="477">
        <v>-1008949.2627709761</v>
      </c>
      <c r="D2003" s="458">
        <v>8.8767703125876896E-2</v>
      </c>
      <c r="E2003" s="477">
        <v>15505539.243421827</v>
      </c>
      <c r="F2003" s="458">
        <v>9.4696030504460627E-2</v>
      </c>
      <c r="G2003" s="477">
        <v>82176176.873667046</v>
      </c>
      <c r="H2003" s="458">
        <v>0.26325208063353123</v>
      </c>
      <c r="I2003" s="468">
        <v>10.552417960756136</v>
      </c>
    </row>
    <row r="2004" spans="1:9" ht="16.5" x14ac:dyDescent="0.3">
      <c r="A2004" s="477">
        <v>7153703.2476896476</v>
      </c>
      <c r="B2004" s="458">
        <v>2.1088260929883473E-2</v>
      </c>
      <c r="C2004" s="477">
        <v>3663457.7814240162</v>
      </c>
      <c r="D2004" s="458">
        <v>6.8111156199933021E-2</v>
      </c>
      <c r="E2004" s="477">
        <v>18529163.636692401</v>
      </c>
      <c r="F2004" s="458">
        <v>0.10830902456620772</v>
      </c>
      <c r="G2004" s="477">
        <v>98186325.560010031</v>
      </c>
      <c r="H2004" s="458">
        <v>0.26800398998974817</v>
      </c>
      <c r="I2004" s="468">
        <v>14.480403297387001</v>
      </c>
    </row>
    <row r="2005" spans="1:9" ht="16.5" x14ac:dyDescent="0.3">
      <c r="A2005" s="477">
        <v>-690702.08445790072</v>
      </c>
      <c r="B2005" s="458">
        <v>3.4612745023792746E-2</v>
      </c>
      <c r="C2005" s="477">
        <v>9250752.6898677256</v>
      </c>
      <c r="D2005" s="458">
        <v>8.2275131454363937E-2</v>
      </c>
      <c r="E2005" s="477">
        <v>16102440.90760972</v>
      </c>
      <c r="F2005" s="458">
        <v>0.11455326697613377</v>
      </c>
      <c r="G2005" s="477">
        <v>82695557.820353791</v>
      </c>
      <c r="H2005" s="458">
        <v>0.25961532049413538</v>
      </c>
      <c r="I2005" s="468">
        <v>14.231885093163189</v>
      </c>
    </row>
    <row r="2006" spans="1:9" ht="16.5" x14ac:dyDescent="0.3">
      <c r="A2006" s="477">
        <v>1836920.0148521147</v>
      </c>
      <c r="B2006" s="458">
        <v>7.4129642523957262E-2</v>
      </c>
      <c r="C2006" s="477">
        <v>4824193.0487451516</v>
      </c>
      <c r="D2006" s="458">
        <v>4.8767587178294658E-2</v>
      </c>
      <c r="E2006" s="477">
        <v>17851970.469129208</v>
      </c>
      <c r="F2006" s="458">
        <v>0.11398805659585087</v>
      </c>
      <c r="G2006" s="477">
        <v>87203866.338417903</v>
      </c>
      <c r="H2006" s="458">
        <v>0.2650328342199253</v>
      </c>
      <c r="I2006" s="468">
        <v>10.273804811539158</v>
      </c>
    </row>
    <row r="2007" spans="1:9" ht="16.5" x14ac:dyDescent="0.3">
      <c r="A2007" s="477">
        <v>8740701.0467812624</v>
      </c>
      <c r="B2007" s="458">
        <v>5.6710631703662528E-2</v>
      </c>
      <c r="C2007" s="477">
        <v>8369162.1176247727</v>
      </c>
      <c r="D2007" s="458">
        <v>5.4091780019438929E-2</v>
      </c>
      <c r="E2007" s="477">
        <v>20199874.968892463</v>
      </c>
      <c r="F2007" s="458">
        <v>0.10325627352556133</v>
      </c>
      <c r="G2007" s="477">
        <v>94170226.856470391</v>
      </c>
      <c r="H2007" s="458">
        <v>0.28944103556179823</v>
      </c>
      <c r="I2007" s="468">
        <v>12.258727484263275</v>
      </c>
    </row>
    <row r="2008" spans="1:9" ht="16.5" x14ac:dyDescent="0.3">
      <c r="A2008" s="477">
        <v>7840169.6449362952</v>
      </c>
      <c r="B2008" s="458">
        <v>3.2346319377192456E-2</v>
      </c>
      <c r="C2008" s="477">
        <v>15882683.299855864</v>
      </c>
      <c r="D2008" s="458">
        <v>6.3915310571494688E-2</v>
      </c>
      <c r="E2008" s="477">
        <v>15200567.436602203</v>
      </c>
      <c r="F2008" s="458">
        <v>0.10618431061477218</v>
      </c>
      <c r="G2008" s="477">
        <v>75591016.329914063</v>
      </c>
      <c r="H2008" s="458">
        <v>0.30181353572063485</v>
      </c>
      <c r="I2008" s="468">
        <v>7.3260602288535104</v>
      </c>
    </row>
    <row r="2009" spans="1:9" ht="16.5" x14ac:dyDescent="0.3">
      <c r="A2009" s="477">
        <v>3300157.0248444118</v>
      </c>
      <c r="B2009" s="458">
        <v>5.2408352259393887E-2</v>
      </c>
      <c r="C2009" s="477">
        <v>8458290.250246197</v>
      </c>
      <c r="D2009" s="458">
        <v>5.3495877917749679E-2</v>
      </c>
      <c r="E2009" s="477">
        <v>20124448.90233073</v>
      </c>
      <c r="F2009" s="458">
        <v>9.9482356877064415E-2</v>
      </c>
      <c r="G2009" s="477">
        <v>91048741.642999828</v>
      </c>
      <c r="H2009" s="458">
        <v>0.26018789874193171</v>
      </c>
      <c r="I2009" s="468">
        <v>10.176181903743249</v>
      </c>
    </row>
    <row r="2010" spans="1:9" ht="16.5" x14ac:dyDescent="0.3">
      <c r="A2010" s="477">
        <v>5415005.2924832776</v>
      </c>
      <c r="B2010" s="458">
        <v>3.7518268647268371E-2</v>
      </c>
      <c r="C2010" s="477">
        <v>5369545.3146417299</v>
      </c>
      <c r="D2010" s="458">
        <v>8.6060206269936934E-2</v>
      </c>
      <c r="E2010" s="477">
        <v>13479720.959901575</v>
      </c>
      <c r="F2010" s="458">
        <v>0.11023535050265432</v>
      </c>
      <c r="G2010" s="477">
        <v>91883454.794536233</v>
      </c>
      <c r="H2010" s="458">
        <v>0.25256198767608007</v>
      </c>
      <c r="I2010" s="468">
        <v>5.5146379158327097</v>
      </c>
    </row>
    <row r="2011" spans="1:9" ht="16.5" x14ac:dyDescent="0.3">
      <c r="A2011" s="477">
        <v>10989746.717333961</v>
      </c>
      <c r="B2011" s="458">
        <v>5.4806873745613105E-2</v>
      </c>
      <c r="C2011" s="477">
        <v>6573824.9920512121</v>
      </c>
      <c r="D2011" s="458">
        <v>5.3654933040810038E-2</v>
      </c>
      <c r="E2011" s="477">
        <v>10954051.124463495</v>
      </c>
      <c r="F2011" s="458">
        <v>0.12514463546602461</v>
      </c>
      <c r="G2011" s="477">
        <v>81142402.489941001</v>
      </c>
      <c r="H2011" s="458">
        <v>0.26983409730104158</v>
      </c>
      <c r="I2011" s="468">
        <v>12.576268739024425</v>
      </c>
    </row>
    <row r="2012" spans="1:9" ht="16.5" x14ac:dyDescent="0.3">
      <c r="A2012" s="477">
        <v>4152872.7288264972</v>
      </c>
      <c r="B2012" s="458">
        <v>6.2949624617733901E-2</v>
      </c>
      <c r="C2012" s="477">
        <v>9169473.9754680619</v>
      </c>
      <c r="D2012" s="458">
        <v>6.9684643852872208E-2</v>
      </c>
      <c r="E2012" s="477">
        <v>14988685.025975132</v>
      </c>
      <c r="F2012" s="458">
        <v>9.5133435160644764E-2</v>
      </c>
      <c r="G2012" s="477">
        <v>91966607.633950502</v>
      </c>
      <c r="H2012" s="458">
        <v>0.28235222641684965</v>
      </c>
      <c r="I2012" s="468">
        <v>6.1760712639134319</v>
      </c>
    </row>
    <row r="2013" spans="1:9" ht="16.5" x14ac:dyDescent="0.3">
      <c r="A2013" s="477">
        <v>10036906.277287453</v>
      </c>
      <c r="B2013" s="458">
        <v>3.3150390084782044E-2</v>
      </c>
      <c r="C2013" s="477">
        <v>5232795.3127214089</v>
      </c>
      <c r="D2013" s="458">
        <v>5.0191440008810373E-2</v>
      </c>
      <c r="E2013" s="477">
        <v>17991541.738118436</v>
      </c>
      <c r="F2013" s="458">
        <v>0.13621644770712282</v>
      </c>
      <c r="G2013" s="477">
        <v>86630190.360983893</v>
      </c>
      <c r="H2013" s="458">
        <v>0.27571072551979259</v>
      </c>
      <c r="I2013" s="468">
        <v>1.9779063826125372</v>
      </c>
    </row>
    <row r="2014" spans="1:9" ht="16.5" x14ac:dyDescent="0.3">
      <c r="A2014" s="477">
        <v>6677996.1626887601</v>
      </c>
      <c r="B2014" s="458">
        <v>1.5930949055845023E-2</v>
      </c>
      <c r="C2014" s="477">
        <v>5550972.1168389628</v>
      </c>
      <c r="D2014" s="458">
        <v>6.7164108196992034E-2</v>
      </c>
      <c r="E2014" s="477">
        <v>11271156.652717173</v>
      </c>
      <c r="F2014" s="458">
        <v>0.12223731079013067</v>
      </c>
      <c r="G2014" s="477">
        <v>89314383.360515058</v>
      </c>
      <c r="H2014" s="458">
        <v>0.27484749999098024</v>
      </c>
      <c r="I2014" s="468">
        <v>9.6896952237073251</v>
      </c>
    </row>
    <row r="2015" spans="1:9" ht="16.5" x14ac:dyDescent="0.3">
      <c r="A2015" s="477">
        <v>7208419.561723399</v>
      </c>
      <c r="B2015" s="458">
        <v>3.7988906329627703E-2</v>
      </c>
      <c r="C2015" s="477">
        <v>9747793.4357816633</v>
      </c>
      <c r="D2015" s="458">
        <v>4.8281807255305065E-2</v>
      </c>
      <c r="E2015" s="477">
        <v>11923805.184689865</v>
      </c>
      <c r="F2015" s="458">
        <v>9.1382026627225388E-2</v>
      </c>
      <c r="G2015" s="477">
        <v>91987202.355995834</v>
      </c>
      <c r="H2015" s="458">
        <v>0.25456963404184019</v>
      </c>
      <c r="I2015" s="468">
        <v>1.9030276358299014</v>
      </c>
    </row>
    <row r="2016" spans="1:9" ht="16.5" x14ac:dyDescent="0.3">
      <c r="A2016" s="477">
        <v>1554362.4329219961</v>
      </c>
      <c r="B2016" s="458">
        <v>3.451696254044534E-2</v>
      </c>
      <c r="C2016" s="477">
        <v>8303101.093627532</v>
      </c>
      <c r="D2016" s="458">
        <v>5.6157669407994826E-2</v>
      </c>
      <c r="E2016" s="477">
        <v>22578733.093405854</v>
      </c>
      <c r="F2016" s="458">
        <v>0.14032970629692065</v>
      </c>
      <c r="G2016" s="477">
        <v>90657512.913736716</v>
      </c>
      <c r="H2016" s="458">
        <v>0.27784504177414382</v>
      </c>
      <c r="I2016" s="468">
        <v>8.3241195728506803</v>
      </c>
    </row>
    <row r="2017" spans="1:9" ht="16.5" x14ac:dyDescent="0.3">
      <c r="A2017" s="477">
        <v>9137769.561531214</v>
      </c>
      <c r="B2017" s="458">
        <v>4.6103157342928469E-2</v>
      </c>
      <c r="C2017" s="477">
        <v>4213628.8931796271</v>
      </c>
      <c r="D2017" s="458">
        <v>4.8741755555153476E-2</v>
      </c>
      <c r="E2017" s="477">
        <v>17807787.797246695</v>
      </c>
      <c r="F2017" s="458">
        <v>0.10643361582859101</v>
      </c>
      <c r="G2017" s="477">
        <v>104971445.3426992</v>
      </c>
      <c r="H2017" s="458">
        <v>0.28557941471978587</v>
      </c>
      <c r="I2017" s="468">
        <v>9.4276002360834905</v>
      </c>
    </row>
    <row r="2018" spans="1:9" ht="16.5" x14ac:dyDescent="0.3">
      <c r="A2018" s="477">
        <v>5009846.5249024499</v>
      </c>
      <c r="B2018" s="458">
        <v>4.1302410967320125E-2</v>
      </c>
      <c r="C2018" s="477">
        <v>8269532.1666774387</v>
      </c>
      <c r="D2018" s="458">
        <v>9.1235669665296282E-2</v>
      </c>
      <c r="E2018" s="477">
        <v>12218960.424372893</v>
      </c>
      <c r="F2018" s="458">
        <v>9.4819111560186853E-2</v>
      </c>
      <c r="G2018" s="477">
        <v>87091879.677182183</v>
      </c>
      <c r="H2018" s="458">
        <v>0.28194113476070415</v>
      </c>
      <c r="I2018" s="468">
        <v>4.5492755006935521</v>
      </c>
    </row>
    <row r="2019" spans="1:9" ht="16.5" x14ac:dyDescent="0.3">
      <c r="A2019" s="477">
        <v>3233568.1001839363</v>
      </c>
      <c r="B2019" s="458">
        <v>3.2188182142516064E-2</v>
      </c>
      <c r="C2019" s="477">
        <v>6682094.0178507958</v>
      </c>
      <c r="D2019" s="458">
        <v>8.1542819989656179E-2</v>
      </c>
      <c r="E2019" s="477">
        <v>15745768.14978897</v>
      </c>
      <c r="F2019" s="458">
        <v>0.11850475187779907</v>
      </c>
      <c r="G2019" s="477">
        <v>77791930.045126542</v>
      </c>
      <c r="H2019" s="458">
        <v>0.27948467922879972</v>
      </c>
      <c r="I2019" s="468">
        <v>11.305114724192356</v>
      </c>
    </row>
    <row r="2020" spans="1:9" ht="16.5" x14ac:dyDescent="0.3">
      <c r="A2020" s="477">
        <v>8416955.3926633224</v>
      </c>
      <c r="B2020" s="458">
        <v>5.2970574903351553E-2</v>
      </c>
      <c r="C2020" s="477">
        <v>2529022.1415683837</v>
      </c>
      <c r="D2020" s="458">
        <v>5.2418531011188207E-2</v>
      </c>
      <c r="E2020" s="477">
        <v>15617179.425910767</v>
      </c>
      <c r="F2020" s="458">
        <v>0.1019921557008483</v>
      </c>
      <c r="G2020" s="477">
        <v>81586019.186967954</v>
      </c>
      <c r="H2020" s="458">
        <v>0.25656053838891535</v>
      </c>
      <c r="I2020" s="468">
        <v>14.167185558068134</v>
      </c>
    </row>
    <row r="2021" spans="1:9" ht="16.5" x14ac:dyDescent="0.3">
      <c r="A2021" s="477">
        <v>6255398.6665656436</v>
      </c>
      <c r="B2021" s="458">
        <v>2.5045806679703686E-2</v>
      </c>
      <c r="C2021" s="477">
        <v>8875745.555095179</v>
      </c>
      <c r="D2021" s="458">
        <v>7.7517962293441656E-2</v>
      </c>
      <c r="E2021" s="477">
        <v>18081371.511370685</v>
      </c>
      <c r="F2021" s="458">
        <v>0.10680318081936546</v>
      </c>
      <c r="G2021" s="477">
        <v>82991758.659632578</v>
      </c>
      <c r="H2021" s="458">
        <v>0.26753706066570837</v>
      </c>
      <c r="I2021" s="468">
        <v>10.316943289891878</v>
      </c>
    </row>
    <row r="2022" spans="1:9" ht="16.5" x14ac:dyDescent="0.3">
      <c r="A2022" s="477">
        <v>6335717.6274725832</v>
      </c>
      <c r="B2022" s="458">
        <v>2.8514633918099275E-2</v>
      </c>
      <c r="C2022" s="477">
        <v>4412728.6138408557</v>
      </c>
      <c r="D2022" s="458">
        <v>6.5983408908809826E-2</v>
      </c>
      <c r="E2022" s="477">
        <v>20148590.75512179</v>
      </c>
      <c r="F2022" s="458">
        <v>0.11307170968317815</v>
      </c>
      <c r="G2022" s="477">
        <v>89814447.310059845</v>
      </c>
      <c r="H2022" s="458">
        <v>0.2638515543671649</v>
      </c>
      <c r="I2022" s="468">
        <v>8.4076033085533943</v>
      </c>
    </row>
    <row r="2023" spans="1:9" ht="16.5" x14ac:dyDescent="0.3">
      <c r="A2023" s="477">
        <v>5275940.358936253</v>
      </c>
      <c r="B2023" s="458">
        <v>3.3071900411597799E-2</v>
      </c>
      <c r="C2023" s="477">
        <v>16286302.315938301</v>
      </c>
      <c r="D2023" s="458">
        <v>7.7298551271039573E-2</v>
      </c>
      <c r="E2023" s="477">
        <v>20616830.849866148</v>
      </c>
      <c r="F2023" s="458">
        <v>0.12140655606419171</v>
      </c>
      <c r="G2023" s="477">
        <v>97584666.807316706</v>
      </c>
      <c r="H2023" s="458">
        <v>0.27550765714679115</v>
      </c>
      <c r="I2023" s="468">
        <v>6.5824182913067402</v>
      </c>
    </row>
    <row r="2024" spans="1:9" ht="16.5" x14ac:dyDescent="0.3">
      <c r="A2024" s="477">
        <v>3505583.4277845994</v>
      </c>
      <c r="B2024" s="458">
        <v>2.1425108163437789E-2</v>
      </c>
      <c r="C2024" s="477">
        <v>8836995.4221478235</v>
      </c>
      <c r="D2024" s="458">
        <v>8.5709650782146207E-2</v>
      </c>
      <c r="E2024" s="477">
        <v>13176883.58045207</v>
      </c>
      <c r="F2024" s="458">
        <v>0.13641587235593566</v>
      </c>
      <c r="G2024" s="477">
        <v>80906122.92428866</v>
      </c>
      <c r="H2024" s="458">
        <v>0.26701910653333449</v>
      </c>
      <c r="I2024" s="468">
        <v>3.4501124429581838</v>
      </c>
    </row>
    <row r="2025" spans="1:9" ht="16.5" x14ac:dyDescent="0.3">
      <c r="A2025" s="477">
        <v>3577270.7891333816</v>
      </c>
      <c r="B2025" s="458">
        <v>3.689121651384597E-2</v>
      </c>
      <c r="C2025" s="477">
        <v>16262274.850072991</v>
      </c>
      <c r="D2025" s="458">
        <v>2.9728677123153746E-2</v>
      </c>
      <c r="E2025" s="477">
        <v>20146689.245452806</v>
      </c>
      <c r="F2025" s="458">
        <v>0.11194727790535275</v>
      </c>
      <c r="G2025" s="477">
        <v>102912284.80046479</v>
      </c>
      <c r="H2025" s="458">
        <v>0.25221725423295638</v>
      </c>
      <c r="I2025" s="468">
        <v>5.4018163036424305</v>
      </c>
    </row>
    <row r="2026" spans="1:9" ht="16.5" x14ac:dyDescent="0.3">
      <c r="A2026" s="477">
        <v>2386297.8219183553</v>
      </c>
      <c r="B2026" s="458">
        <v>3.752900634304579E-2</v>
      </c>
      <c r="C2026" s="477">
        <v>8755772.6938403323</v>
      </c>
      <c r="D2026" s="458">
        <v>6.6805409055546994E-2</v>
      </c>
      <c r="E2026" s="477">
        <v>10339804.508695008</v>
      </c>
      <c r="F2026" s="458">
        <v>0.11820516195220931</v>
      </c>
      <c r="G2026" s="477">
        <v>107552950.38252839</v>
      </c>
      <c r="H2026" s="458">
        <v>0.2703141335329875</v>
      </c>
      <c r="I2026" s="468">
        <v>7.1390374647620281</v>
      </c>
    </row>
    <row r="2027" spans="1:9" ht="16.5" x14ac:dyDescent="0.3">
      <c r="A2027" s="477">
        <v>7502636.0715104332</v>
      </c>
      <c r="B2027" s="458">
        <v>5.5500016536089491E-2</v>
      </c>
      <c r="C2027" s="477">
        <v>5736896.4688650547</v>
      </c>
      <c r="D2027" s="458">
        <v>8.5187954532194521E-2</v>
      </c>
      <c r="E2027" s="477">
        <v>14672688.619148413</v>
      </c>
      <c r="F2027" s="458">
        <v>9.8478043485329847E-2</v>
      </c>
      <c r="G2027" s="477">
        <v>99537430.484254926</v>
      </c>
      <c r="H2027" s="458">
        <v>0.28417768120708242</v>
      </c>
      <c r="I2027" s="468">
        <v>6.7305858268548544</v>
      </c>
    </row>
    <row r="2028" spans="1:9" ht="16.5" x14ac:dyDescent="0.3">
      <c r="A2028" s="477">
        <v>4268849.3396403855</v>
      </c>
      <c r="B2028" s="458">
        <v>4.2828303344611074E-2</v>
      </c>
      <c r="C2028" s="477">
        <v>8495490.8581967298</v>
      </c>
      <c r="D2028" s="458">
        <v>8.7063168676241753E-2</v>
      </c>
      <c r="E2028" s="477">
        <v>13191552.571090015</v>
      </c>
      <c r="F2028" s="458">
        <v>9.8574635336053928E-2</v>
      </c>
      <c r="G2028" s="477">
        <v>79803316.167738423</v>
      </c>
      <c r="H2028" s="458">
        <v>0.26435790027572303</v>
      </c>
      <c r="I2028" s="468">
        <v>10.300794213453939</v>
      </c>
    </row>
    <row r="2029" spans="1:9" ht="16.5" x14ac:dyDescent="0.3">
      <c r="A2029" s="477">
        <v>5601642.2547011804</v>
      </c>
      <c r="B2029" s="458">
        <v>4.4565235476610621E-2</v>
      </c>
      <c r="C2029" s="477">
        <v>12325141.740631206</v>
      </c>
      <c r="D2029" s="458">
        <v>5.0653415094686238E-2</v>
      </c>
      <c r="E2029" s="477">
        <v>14592518.712596722</v>
      </c>
      <c r="F2029" s="458">
        <v>0.11611782811928806</v>
      </c>
      <c r="G2029" s="477">
        <v>92314412.021938995</v>
      </c>
      <c r="H2029" s="458">
        <v>0.25667649158742245</v>
      </c>
      <c r="I2029" s="468">
        <v>7.6941200883722365</v>
      </c>
    </row>
    <row r="2030" spans="1:9" ht="16.5" x14ac:dyDescent="0.3">
      <c r="A2030" s="477">
        <v>610882.69588957133</v>
      </c>
      <c r="B2030" s="458">
        <v>3.7257556314889584E-2</v>
      </c>
      <c r="C2030" s="477">
        <v>8188692.6995656034</v>
      </c>
      <c r="D2030" s="458">
        <v>5.0713999745700011E-2</v>
      </c>
      <c r="E2030" s="477">
        <v>9944534.8700310066</v>
      </c>
      <c r="F2030" s="458">
        <v>9.7355370141074093E-2</v>
      </c>
      <c r="G2030" s="477">
        <v>93513679.907045543</v>
      </c>
      <c r="H2030" s="458">
        <v>0.28044416711610909</v>
      </c>
      <c r="I2030" s="468">
        <v>9.3660914686585262</v>
      </c>
    </row>
    <row r="2031" spans="1:9" ht="16.5" x14ac:dyDescent="0.3">
      <c r="A2031" s="477">
        <v>4844670.2177604139</v>
      </c>
      <c r="B2031" s="458">
        <v>4.1977900967974158E-2</v>
      </c>
      <c r="C2031" s="477">
        <v>9648089.933105411</v>
      </c>
      <c r="D2031" s="458">
        <v>7.2263949654093107E-2</v>
      </c>
      <c r="E2031" s="477">
        <v>23904643.534281299</v>
      </c>
      <c r="F2031" s="458">
        <v>7.8202469325518775E-2</v>
      </c>
      <c r="G2031" s="477">
        <v>81801081.05197911</v>
      </c>
      <c r="H2031" s="458">
        <v>0.2840315582996602</v>
      </c>
      <c r="I2031" s="468">
        <v>10.164734082921724</v>
      </c>
    </row>
    <row r="2032" spans="1:9" ht="16.5" x14ac:dyDescent="0.3">
      <c r="A2032" s="477">
        <v>6445635.1168564521</v>
      </c>
      <c r="B2032" s="458">
        <v>7.1931681771442157E-2</v>
      </c>
      <c r="C2032" s="477">
        <v>-2843185.5225606756</v>
      </c>
      <c r="D2032" s="458">
        <v>7.9992602804240365E-2</v>
      </c>
      <c r="E2032" s="477">
        <v>13331274.582611935</v>
      </c>
      <c r="F2032" s="458">
        <v>0.10051663730775462</v>
      </c>
      <c r="G2032" s="477">
        <v>87254881.521178812</v>
      </c>
      <c r="H2032" s="458">
        <v>0.26354531678868587</v>
      </c>
      <c r="I2032" s="468">
        <v>7.2401857131348946</v>
      </c>
    </row>
    <row r="2033" spans="1:9" ht="16.5" x14ac:dyDescent="0.3">
      <c r="A2033" s="477">
        <v>6937639.9906370323</v>
      </c>
      <c r="B2033" s="458">
        <v>3.8928148807419571E-2</v>
      </c>
      <c r="C2033" s="477">
        <v>8214812.4798825923</v>
      </c>
      <c r="D2033" s="458">
        <v>7.9065936105810586E-2</v>
      </c>
      <c r="E2033" s="477">
        <v>27173403.327096626</v>
      </c>
      <c r="F2033" s="458">
        <v>0.13275982171001077</v>
      </c>
      <c r="G2033" s="477">
        <v>97876264.070811749</v>
      </c>
      <c r="H2033" s="458">
        <v>0.26277754744910631</v>
      </c>
      <c r="I2033" s="468">
        <v>7.239261960702958</v>
      </c>
    </row>
    <row r="2034" spans="1:9" ht="16.5" x14ac:dyDescent="0.3">
      <c r="A2034" s="477">
        <v>5592898.7409917507</v>
      </c>
      <c r="B2034" s="458">
        <v>4.0036010143998935E-2</v>
      </c>
      <c r="C2034" s="477">
        <v>9322679.5526082199</v>
      </c>
      <c r="D2034" s="458">
        <v>4.6534751090308024E-2</v>
      </c>
      <c r="E2034" s="477">
        <v>11636692.206515783</v>
      </c>
      <c r="F2034" s="458">
        <v>9.1087571535135359E-2</v>
      </c>
      <c r="G2034" s="477">
        <v>95019418.948070765</v>
      </c>
      <c r="H2034" s="458">
        <v>0.25936652199697985</v>
      </c>
      <c r="I2034" s="468">
        <v>6.5534247483003449</v>
      </c>
    </row>
    <row r="2035" spans="1:9" ht="16.5" x14ac:dyDescent="0.3">
      <c r="A2035" s="477">
        <v>3045966.9174780599</v>
      </c>
      <c r="B2035" s="458">
        <v>5.4419985021636919E-2</v>
      </c>
      <c r="C2035" s="477">
        <v>9967494.0748821069</v>
      </c>
      <c r="D2035" s="458">
        <v>8.7263962184433996E-2</v>
      </c>
      <c r="E2035" s="477">
        <v>18222512.598894365</v>
      </c>
      <c r="F2035" s="458">
        <v>0.10882995592869382</v>
      </c>
      <c r="G2035" s="477">
        <v>79645774.232809126</v>
      </c>
      <c r="H2035" s="458">
        <v>0.26431216527846635</v>
      </c>
      <c r="I2035" s="468">
        <v>8.600411714580197</v>
      </c>
    </row>
    <row r="2036" spans="1:9" ht="16.5" x14ac:dyDescent="0.3">
      <c r="A2036" s="477">
        <v>5009847.651020823</v>
      </c>
      <c r="B2036" s="458">
        <v>3.2455723561243044E-2</v>
      </c>
      <c r="C2036" s="477">
        <v>8451512.5563088115</v>
      </c>
      <c r="D2036" s="458">
        <v>5.6349195937648311E-2</v>
      </c>
      <c r="E2036" s="477">
        <v>19825334.108423881</v>
      </c>
      <c r="F2036" s="458">
        <v>0.11440322823914362</v>
      </c>
      <c r="G2036" s="477">
        <v>85989981.597600475</v>
      </c>
      <c r="H2036" s="458">
        <v>0.27287586216765969</v>
      </c>
      <c r="I2036" s="468">
        <v>6.7460950891843163</v>
      </c>
    </row>
    <row r="2037" spans="1:9" ht="16.5" x14ac:dyDescent="0.3">
      <c r="A2037" s="477">
        <v>-1573139.1199067733</v>
      </c>
      <c r="B2037" s="458">
        <v>0.11490364347060544</v>
      </c>
      <c r="C2037" s="477">
        <v>5081995.1868416183</v>
      </c>
      <c r="D2037" s="458">
        <v>0.13859014888624177</v>
      </c>
      <c r="E2037" s="477">
        <v>22558359.117400751</v>
      </c>
      <c r="F2037" s="458">
        <v>0.12692576930958666</v>
      </c>
      <c r="G2037" s="477">
        <v>110543811.2512861</v>
      </c>
      <c r="H2037" s="458">
        <v>0.28861136444219393</v>
      </c>
      <c r="I2037" s="468">
        <v>8.6847051679758227</v>
      </c>
    </row>
    <row r="2038" spans="1:9" ht="16.5" x14ac:dyDescent="0.3">
      <c r="A2038" s="477">
        <v>4714542.9063078808</v>
      </c>
      <c r="B2038" s="458">
        <v>5.515258463968542E-2</v>
      </c>
      <c r="C2038" s="477">
        <v>2888283.6137319184</v>
      </c>
      <c r="D2038" s="458">
        <v>6.6951094803952449E-2</v>
      </c>
      <c r="E2038" s="477">
        <v>19795955.981763754</v>
      </c>
      <c r="F2038" s="458">
        <v>0.10582303646914748</v>
      </c>
      <c r="G2038" s="477">
        <v>77124438.752760023</v>
      </c>
      <c r="H2038" s="458">
        <v>0.25884241547139952</v>
      </c>
      <c r="I2038" s="468">
        <v>7.6473261622353235</v>
      </c>
    </row>
    <row r="2039" spans="1:9" ht="16.5" x14ac:dyDescent="0.3">
      <c r="A2039" s="477">
        <v>6158461.1721496992</v>
      </c>
      <c r="B2039" s="458">
        <v>4.8292704681401455E-2</v>
      </c>
      <c r="C2039" s="477">
        <v>7698258.0803801501</v>
      </c>
      <c r="D2039" s="458">
        <v>7.4312108247607034E-2</v>
      </c>
      <c r="E2039" s="477">
        <v>16317538.524946116</v>
      </c>
      <c r="F2039" s="458">
        <v>9.5396063175762214E-2</v>
      </c>
      <c r="G2039" s="477">
        <v>91531304.885993749</v>
      </c>
      <c r="H2039" s="458">
        <v>0.24510437958008713</v>
      </c>
      <c r="I2039" s="468">
        <v>6.7119064590283575</v>
      </c>
    </row>
    <row r="2040" spans="1:9" ht="16.5" x14ac:dyDescent="0.3">
      <c r="A2040" s="477">
        <v>5535995.7531662844</v>
      </c>
      <c r="B2040" s="458">
        <v>4.3943501229512849E-2</v>
      </c>
      <c r="C2040" s="477">
        <v>12778279.212105758</v>
      </c>
      <c r="D2040" s="458">
        <v>7.2618831889760038E-2</v>
      </c>
      <c r="E2040" s="477">
        <v>21131858.898493748</v>
      </c>
      <c r="F2040" s="458">
        <v>0.1213704798142512</v>
      </c>
      <c r="G2040" s="477">
        <v>91937443.132041946</v>
      </c>
      <c r="H2040" s="458">
        <v>0.25746994992905958</v>
      </c>
      <c r="I2040" s="468">
        <v>10.175863819418661</v>
      </c>
    </row>
    <row r="2041" spans="1:9" ht="16.5" x14ac:dyDescent="0.3">
      <c r="A2041" s="477">
        <v>5118756.2428355664</v>
      </c>
      <c r="B2041" s="458">
        <v>5.2125717114636982E-2</v>
      </c>
      <c r="C2041" s="477">
        <v>9788596.2026230376</v>
      </c>
      <c r="D2041" s="458">
        <v>6.0165309975898307E-2</v>
      </c>
      <c r="E2041" s="477">
        <v>19820786.722920932</v>
      </c>
      <c r="F2041" s="458">
        <v>0.10517976709684551</v>
      </c>
      <c r="G2041" s="477">
        <v>94976790.191538841</v>
      </c>
      <c r="H2041" s="458">
        <v>0.26969742921948137</v>
      </c>
      <c r="I2041" s="468">
        <v>11.316074150681203</v>
      </c>
    </row>
    <row r="2042" spans="1:9" ht="16.5" x14ac:dyDescent="0.3">
      <c r="A2042" s="477">
        <v>2872700.6403859202</v>
      </c>
      <c r="B2042" s="458">
        <v>6.256681349404225E-2</v>
      </c>
      <c r="C2042" s="477">
        <v>2467632.4822349055</v>
      </c>
      <c r="D2042" s="458">
        <v>3.5148899401979294E-2</v>
      </c>
      <c r="E2042" s="477">
        <v>16278865.087772317</v>
      </c>
      <c r="F2042" s="458">
        <v>0.11001441981942439</v>
      </c>
      <c r="G2042" s="477">
        <v>85408091.122660488</v>
      </c>
      <c r="H2042" s="458">
        <v>0.27469289909619543</v>
      </c>
      <c r="I2042" s="468">
        <v>2.3889477267147994</v>
      </c>
    </row>
    <row r="2043" spans="1:9" ht="16.5" x14ac:dyDescent="0.3">
      <c r="A2043" s="477">
        <v>5586895.5653832229</v>
      </c>
      <c r="B2043" s="458">
        <v>4.544518529063013E-2</v>
      </c>
      <c r="C2043" s="477">
        <v>6247476.9414814217</v>
      </c>
      <c r="D2043" s="458">
        <v>6.3415582044097585E-2</v>
      </c>
      <c r="E2043" s="477">
        <v>24078571.865709443</v>
      </c>
      <c r="F2043" s="458">
        <v>0.13756239962355155</v>
      </c>
      <c r="G2043" s="477">
        <v>103617226.64017658</v>
      </c>
      <c r="H2043" s="458">
        <v>0.28942882295162198</v>
      </c>
      <c r="I2043" s="468">
        <v>12.828374454881903</v>
      </c>
    </row>
    <row r="2044" spans="1:9" ht="16.5" x14ac:dyDescent="0.3">
      <c r="A2044" s="477">
        <v>2958807.626438628</v>
      </c>
      <c r="B2044" s="458">
        <v>5.3643581424402509E-2</v>
      </c>
      <c r="C2044" s="477">
        <v>5557024.5288235694</v>
      </c>
      <c r="D2044" s="458">
        <v>5.8058129945238734E-2</v>
      </c>
      <c r="E2044" s="477">
        <v>13009130.348564867</v>
      </c>
      <c r="F2044" s="458">
        <v>0.11321662691500345</v>
      </c>
      <c r="G2044" s="477">
        <v>86490180.285592332</v>
      </c>
      <c r="H2044" s="458">
        <v>0.25575390196719683</v>
      </c>
      <c r="I2044" s="468">
        <v>8.609622258722478</v>
      </c>
    </row>
    <row r="2045" spans="1:9" ht="16.5" x14ac:dyDescent="0.3">
      <c r="A2045" s="477">
        <v>8876936.8658313602</v>
      </c>
      <c r="B2045" s="458">
        <v>4.3523025315510777E-2</v>
      </c>
      <c r="C2045" s="477">
        <v>8353308.8165272744</v>
      </c>
      <c r="D2045" s="458">
        <v>5.9836294206196738E-2</v>
      </c>
      <c r="E2045" s="477">
        <v>18381296.977475151</v>
      </c>
      <c r="F2045" s="458">
        <v>9.8344999496759122E-2</v>
      </c>
      <c r="G2045" s="477">
        <v>92557955.453719363</v>
      </c>
      <c r="H2045" s="458">
        <v>0.268745429269589</v>
      </c>
      <c r="I2045" s="468">
        <v>14.510858563755173</v>
      </c>
    </row>
    <row r="2046" spans="1:9" ht="16.5" x14ac:dyDescent="0.3">
      <c r="A2046" s="477">
        <v>3035026.4149819375</v>
      </c>
      <c r="B2046" s="458">
        <v>4.0935917171532887E-2</v>
      </c>
      <c r="C2046" s="477">
        <v>4585572.1372958999</v>
      </c>
      <c r="D2046" s="458">
        <v>6.2524362352658569E-2</v>
      </c>
      <c r="E2046" s="477">
        <v>11350393.410216868</v>
      </c>
      <c r="F2046" s="458">
        <v>0.10752175097524486</v>
      </c>
      <c r="G2046" s="477">
        <v>102572323.30816866</v>
      </c>
      <c r="H2046" s="458">
        <v>0.27840599340257532</v>
      </c>
      <c r="I2046" s="468">
        <v>9.6733050312465068</v>
      </c>
    </row>
    <row r="2047" spans="1:9" ht="16.5" x14ac:dyDescent="0.3">
      <c r="A2047" s="477">
        <v>6993195.3979576826</v>
      </c>
      <c r="B2047" s="458">
        <v>6.6926057297157726E-2</v>
      </c>
      <c r="C2047" s="477">
        <v>9839851.6268952936</v>
      </c>
      <c r="D2047" s="458">
        <v>7.6094855202323286E-2</v>
      </c>
      <c r="E2047" s="477">
        <v>17476345.280623071</v>
      </c>
      <c r="F2047" s="458">
        <v>0.10524201104601327</v>
      </c>
      <c r="G2047" s="477">
        <v>73263584.218861371</v>
      </c>
      <c r="H2047" s="458">
        <v>0.25914395360753928</v>
      </c>
      <c r="I2047" s="468">
        <v>7.6715592138529933</v>
      </c>
    </row>
    <row r="2048" spans="1:9" ht="16.5" x14ac:dyDescent="0.3">
      <c r="A2048" s="477">
        <v>3855240.2228119611</v>
      </c>
      <c r="B2048" s="458">
        <v>4.897325485635573E-2</v>
      </c>
      <c r="C2048" s="477">
        <v>5072505.8369816337</v>
      </c>
      <c r="D2048" s="458">
        <v>6.0997520401097516E-2</v>
      </c>
      <c r="E2048" s="477">
        <v>18076928.470439859</v>
      </c>
      <c r="F2048" s="458">
        <v>0.14479616517081406</v>
      </c>
      <c r="G2048" s="477">
        <v>92797955.103498667</v>
      </c>
      <c r="H2048" s="458">
        <v>0.24929625805247868</v>
      </c>
      <c r="I2048" s="468">
        <v>7.6426447417519494</v>
      </c>
    </row>
    <row r="2049" spans="1:9" ht="16.5" x14ac:dyDescent="0.3">
      <c r="A2049" s="477">
        <v>4716004.4340697723</v>
      </c>
      <c r="B2049" s="458">
        <v>2.5587085295115664E-2</v>
      </c>
      <c r="C2049" s="477">
        <v>8435512.3947376683</v>
      </c>
      <c r="D2049" s="458">
        <v>6.4878966292718054E-2</v>
      </c>
      <c r="E2049" s="477">
        <v>16788435.145893637</v>
      </c>
      <c r="F2049" s="458">
        <v>0.11947548020296805</v>
      </c>
      <c r="G2049" s="477">
        <v>90789555.42158477</v>
      </c>
      <c r="H2049" s="458">
        <v>0.26968479628416975</v>
      </c>
      <c r="I2049" s="468">
        <v>7.3591503228908186</v>
      </c>
    </row>
    <row r="2050" spans="1:9" ht="16.5" x14ac:dyDescent="0.3">
      <c r="A2050" s="477">
        <v>8684889.0062025692</v>
      </c>
      <c r="B2050" s="458">
        <v>4.9182416576881938E-2</v>
      </c>
      <c r="C2050" s="477">
        <v>13871005.642901488</v>
      </c>
      <c r="D2050" s="458">
        <v>6.3166353056814284E-2</v>
      </c>
      <c r="E2050" s="477">
        <v>20974610.684217386</v>
      </c>
      <c r="F2050" s="458">
        <v>0.10913139536719463</v>
      </c>
      <c r="G2050" s="477">
        <v>76839874.488815516</v>
      </c>
      <c r="H2050" s="458">
        <v>0.27676051253611988</v>
      </c>
      <c r="I2050" s="468">
        <v>15.025046251457459</v>
      </c>
    </row>
    <row r="2051" spans="1:9" ht="16.5" x14ac:dyDescent="0.3">
      <c r="A2051" s="477">
        <v>14008802.564628528</v>
      </c>
      <c r="B2051" s="458">
        <v>4.7021755750725536E-2</v>
      </c>
      <c r="C2051" s="477">
        <v>8662677.2342909873</v>
      </c>
      <c r="D2051" s="458">
        <v>6.0439282869477307E-2</v>
      </c>
      <c r="E2051" s="477">
        <v>22054178.864961237</v>
      </c>
      <c r="F2051" s="458">
        <v>0.10713192142689998</v>
      </c>
      <c r="G2051" s="477">
        <v>89021637.092058867</v>
      </c>
      <c r="H2051" s="458">
        <v>0.27072660574946661</v>
      </c>
      <c r="I2051" s="468">
        <v>10.324243654722711</v>
      </c>
    </row>
    <row r="2052" spans="1:9" ht="16.5" x14ac:dyDescent="0.3">
      <c r="A2052" s="477">
        <v>4696990.4093163665</v>
      </c>
      <c r="B2052" s="458">
        <v>7.7923322993647126E-2</v>
      </c>
      <c r="C2052" s="477">
        <v>8763268.2241166066</v>
      </c>
      <c r="D2052" s="458">
        <v>8.0373050952666114E-2</v>
      </c>
      <c r="E2052" s="477">
        <v>23878939.937456433</v>
      </c>
      <c r="F2052" s="458">
        <v>8.3984774707278609E-2</v>
      </c>
      <c r="G2052" s="477">
        <v>74415380.873281434</v>
      </c>
      <c r="H2052" s="458">
        <v>0.26683435995220872</v>
      </c>
      <c r="I2052" s="468">
        <v>2.9429729696200351</v>
      </c>
    </row>
    <row r="2053" spans="1:9" ht="16.5" x14ac:dyDescent="0.3">
      <c r="A2053" s="477">
        <v>3733681.4439623985</v>
      </c>
      <c r="B2053" s="458">
        <v>3.8935994843972033E-2</v>
      </c>
      <c r="C2053" s="477">
        <v>10932570.008837322</v>
      </c>
      <c r="D2053" s="458">
        <v>7.4845508402986205E-2</v>
      </c>
      <c r="E2053" s="477">
        <v>24542287.368879534</v>
      </c>
      <c r="F2053" s="458">
        <v>0.16492591691095204</v>
      </c>
      <c r="G2053" s="477">
        <v>91644596.370797157</v>
      </c>
      <c r="H2053" s="458">
        <v>0.27291543240356275</v>
      </c>
      <c r="I2053" s="468">
        <v>3.0525584282154981</v>
      </c>
    </row>
    <row r="2054" spans="1:9" ht="16.5" x14ac:dyDescent="0.3">
      <c r="A2054" s="477">
        <v>5027115.814662437</v>
      </c>
      <c r="B2054" s="458">
        <v>3.6806283159763309E-2</v>
      </c>
      <c r="C2054" s="477">
        <v>13483481.875717469</v>
      </c>
      <c r="D2054" s="458">
        <v>5.2869800927471511E-2</v>
      </c>
      <c r="E2054" s="477">
        <v>23395893.162079223</v>
      </c>
      <c r="F2054" s="458">
        <v>0.12547127313470918</v>
      </c>
      <c r="G2054" s="477">
        <v>75314758.406919613</v>
      </c>
      <c r="H2054" s="458">
        <v>0.26141528169621586</v>
      </c>
      <c r="I2054" s="468">
        <v>10.278691208468164</v>
      </c>
    </row>
    <row r="2055" spans="1:9" ht="16.5" x14ac:dyDescent="0.3">
      <c r="A2055" s="477">
        <v>6926443.398421891</v>
      </c>
      <c r="B2055" s="458">
        <v>7.6012387067545983E-2</v>
      </c>
      <c r="C2055" s="477">
        <v>10788802.947583145</v>
      </c>
      <c r="D2055" s="458">
        <v>5.9398799172217576E-2</v>
      </c>
      <c r="E2055" s="477">
        <v>11675971.77377405</v>
      </c>
      <c r="F2055" s="458">
        <v>0.109548672426792</v>
      </c>
      <c r="G2055" s="477">
        <v>106118003.62430654</v>
      </c>
      <c r="H2055" s="458">
        <v>0.27057919369265471</v>
      </c>
      <c r="I2055" s="468">
        <v>15.787886455218139</v>
      </c>
    </row>
    <row r="2056" spans="1:9" ht="16.5" x14ac:dyDescent="0.3">
      <c r="A2056" s="477">
        <v>3650913.8908427218</v>
      </c>
      <c r="B2056" s="458">
        <v>3.2712045442971016E-2</v>
      </c>
      <c r="C2056" s="477">
        <v>4385428.2324775318</v>
      </c>
      <c r="D2056" s="458">
        <v>6.7230616462947035E-2</v>
      </c>
      <c r="E2056" s="477">
        <v>22249741.484393071</v>
      </c>
      <c r="F2056" s="458">
        <v>0.12604116643581009</v>
      </c>
      <c r="G2056" s="477">
        <v>88265761.472214401</v>
      </c>
      <c r="H2056" s="458">
        <v>0.24773257597192888</v>
      </c>
      <c r="I2056" s="468">
        <v>6.5050246389775701</v>
      </c>
    </row>
    <row r="2057" spans="1:9" ht="16.5" x14ac:dyDescent="0.3">
      <c r="A2057" s="477">
        <v>6245614.8114077318</v>
      </c>
      <c r="B2057" s="458">
        <v>5.6073143944480597E-2</v>
      </c>
      <c r="C2057" s="477">
        <v>1890454.6322559717</v>
      </c>
      <c r="D2057" s="458">
        <v>5.0679119842063525E-2</v>
      </c>
      <c r="E2057" s="477">
        <v>26657057.927018654</v>
      </c>
      <c r="F2057" s="458">
        <v>0.11026179029247762</v>
      </c>
      <c r="G2057" s="477">
        <v>73443261.932346895</v>
      </c>
      <c r="H2057" s="458">
        <v>0.26538003175257741</v>
      </c>
      <c r="I2057" s="468">
        <v>9.6549726428913658</v>
      </c>
    </row>
    <row r="2058" spans="1:9" ht="16.5" x14ac:dyDescent="0.3">
      <c r="A2058" s="477">
        <v>2351683.9514847235</v>
      </c>
      <c r="B2058" s="458">
        <v>4.4715039558246739E-2</v>
      </c>
      <c r="C2058" s="477">
        <v>6053142.2665164936</v>
      </c>
      <c r="D2058" s="458">
        <v>6.6297632112819915E-2</v>
      </c>
      <c r="E2058" s="477">
        <v>14465482.735405605</v>
      </c>
      <c r="F2058" s="458">
        <v>0.11533658215774301</v>
      </c>
      <c r="G2058" s="477">
        <v>87101937.483048201</v>
      </c>
      <c r="H2058" s="458">
        <v>0.26572155601583947</v>
      </c>
      <c r="I2058" s="468">
        <v>1.2335237313517338</v>
      </c>
    </row>
    <row r="2059" spans="1:9" ht="16.5" x14ac:dyDescent="0.3">
      <c r="A2059" s="477">
        <v>7818545.0750738271</v>
      </c>
      <c r="B2059" s="458">
        <v>2.7778178922724939E-2</v>
      </c>
      <c r="C2059" s="477">
        <v>8636906.3510713037</v>
      </c>
      <c r="D2059" s="458">
        <v>6.1797621392003732E-2</v>
      </c>
      <c r="E2059" s="477">
        <v>14958412.297266683</v>
      </c>
      <c r="F2059" s="458">
        <v>0.10352024949634675</v>
      </c>
      <c r="G2059" s="477">
        <v>87767095.324925914</v>
      </c>
      <c r="H2059" s="458">
        <v>0.26718212865018032</v>
      </c>
      <c r="I2059" s="468">
        <v>11.16752174824315</v>
      </c>
    </row>
    <row r="2060" spans="1:9" ht="16.5" x14ac:dyDescent="0.3">
      <c r="A2060" s="477">
        <v>2799421.9595197118</v>
      </c>
      <c r="B2060" s="458">
        <v>3.5807194224896977E-2</v>
      </c>
      <c r="C2060" s="477">
        <v>10425686.661446547</v>
      </c>
      <c r="D2060" s="458">
        <v>4.4409817775866944E-2</v>
      </c>
      <c r="E2060" s="477">
        <v>22361207.185760561</v>
      </c>
      <c r="F2060" s="458">
        <v>0.12951018446322293</v>
      </c>
      <c r="G2060" s="477">
        <v>91700916.649923906</v>
      </c>
      <c r="H2060" s="458">
        <v>0.27545500900292486</v>
      </c>
      <c r="I2060" s="468">
        <v>5.7728279618981393</v>
      </c>
    </row>
    <row r="2061" spans="1:9" ht="16.5" x14ac:dyDescent="0.3">
      <c r="A2061" s="477">
        <v>6065082.5607169364</v>
      </c>
      <c r="B2061" s="458">
        <v>2.8903614027055546E-2</v>
      </c>
      <c r="C2061" s="477">
        <v>5609595.669124689</v>
      </c>
      <c r="D2061" s="458">
        <v>6.0528701817563313E-2</v>
      </c>
      <c r="E2061" s="477">
        <v>16164637.716988649</v>
      </c>
      <c r="F2061" s="458">
        <v>8.5674831367329896E-2</v>
      </c>
      <c r="G2061" s="477">
        <v>89102113.619268939</v>
      </c>
      <c r="H2061" s="458">
        <v>0.26188434895331492</v>
      </c>
      <c r="I2061" s="468">
        <v>5.3362736610914698</v>
      </c>
    </row>
    <row r="2062" spans="1:9" ht="16.5" x14ac:dyDescent="0.3">
      <c r="A2062" s="477">
        <v>5411422.1833482217</v>
      </c>
      <c r="B2062" s="458">
        <v>0.13031056202624769</v>
      </c>
      <c r="C2062" s="477">
        <v>1996671.1382095497</v>
      </c>
      <c r="D2062" s="458">
        <v>6.2181755137411976E-2</v>
      </c>
      <c r="E2062" s="477">
        <v>23729083.877441615</v>
      </c>
      <c r="F2062" s="458">
        <v>0.13476946709930004</v>
      </c>
      <c r="G2062" s="477">
        <v>78890087.367467314</v>
      </c>
      <c r="H2062" s="458">
        <v>0.27287755145271508</v>
      </c>
      <c r="I2062" s="468">
        <v>13.502966722225715</v>
      </c>
    </row>
    <row r="2063" spans="1:9" ht="16.5" x14ac:dyDescent="0.3">
      <c r="A2063" s="477">
        <v>5601052.3543794835</v>
      </c>
      <c r="B2063" s="458">
        <v>3.8354314160198077E-2</v>
      </c>
      <c r="C2063" s="477">
        <v>6925979.9405309446</v>
      </c>
      <c r="D2063" s="458">
        <v>7.9634971400446286E-2</v>
      </c>
      <c r="E2063" s="477">
        <v>14862390.257285591</v>
      </c>
      <c r="F2063" s="458">
        <v>0.11849038166879655</v>
      </c>
      <c r="G2063" s="477">
        <v>91977438.208420902</v>
      </c>
      <c r="H2063" s="458">
        <v>0.25727999496017917</v>
      </c>
      <c r="I2063" s="468">
        <v>4.1089481527715446</v>
      </c>
    </row>
    <row r="2064" spans="1:9" ht="16.5" x14ac:dyDescent="0.3">
      <c r="A2064" s="477">
        <v>3575251.6131287212</v>
      </c>
      <c r="B2064" s="458">
        <v>9.7797275830362906E-2</v>
      </c>
      <c r="C2064" s="477">
        <v>10717071.442521878</v>
      </c>
      <c r="D2064" s="458">
        <v>7.1287722484028482E-2</v>
      </c>
      <c r="E2064" s="477">
        <v>13388319.044826036</v>
      </c>
      <c r="F2064" s="458">
        <v>0.11242921882472379</v>
      </c>
      <c r="G2064" s="477">
        <v>106062815.86480485</v>
      </c>
      <c r="H2064" s="458">
        <v>0.26817352718721854</v>
      </c>
      <c r="I2064" s="468">
        <v>11.908395341419038</v>
      </c>
    </row>
    <row r="2065" spans="1:9" ht="16.5" x14ac:dyDescent="0.3">
      <c r="A2065" s="477">
        <v>2786088.9853155413</v>
      </c>
      <c r="B2065" s="458">
        <v>3.0469879394416477E-2</v>
      </c>
      <c r="C2065" s="477">
        <v>9014153.8953113444</v>
      </c>
      <c r="D2065" s="458">
        <v>8.8579175153614909E-2</v>
      </c>
      <c r="E2065" s="477">
        <v>19273367.198195796</v>
      </c>
      <c r="F2065" s="458">
        <v>8.2994431281418146E-2</v>
      </c>
      <c r="G2065" s="477">
        <v>80767391.194612965</v>
      </c>
      <c r="H2065" s="458">
        <v>0.25664296695566335</v>
      </c>
      <c r="I2065" s="468">
        <v>8.8194486004102401</v>
      </c>
    </row>
    <row r="2066" spans="1:9" ht="16.5" x14ac:dyDescent="0.3">
      <c r="A2066" s="477">
        <v>3186558.9625691292</v>
      </c>
      <c r="B2066" s="458">
        <v>4.3125102291295514E-2</v>
      </c>
      <c r="C2066" s="477">
        <v>11703407.504160365</v>
      </c>
      <c r="D2066" s="458">
        <v>6.2864881534707484E-2</v>
      </c>
      <c r="E2066" s="477">
        <v>9292450.2747929189</v>
      </c>
      <c r="F2066" s="458">
        <v>0.13688254706302327</v>
      </c>
      <c r="G2066" s="477">
        <v>102224687.12810667</v>
      </c>
      <c r="H2066" s="458">
        <v>0.27276167635522008</v>
      </c>
      <c r="I2066" s="468">
        <v>13.391810518156472</v>
      </c>
    </row>
    <row r="2067" spans="1:9" ht="16.5" x14ac:dyDescent="0.3">
      <c r="A2067" s="477">
        <v>2887126.0915198554</v>
      </c>
      <c r="B2067" s="458">
        <v>3.9551467997484879E-2</v>
      </c>
      <c r="C2067" s="477">
        <v>11827609.326460145</v>
      </c>
      <c r="D2067" s="458">
        <v>6.5154202483086232E-2</v>
      </c>
      <c r="E2067" s="477">
        <v>8885841.3493469246</v>
      </c>
      <c r="F2067" s="458">
        <v>9.1771237181876852E-2</v>
      </c>
      <c r="G2067" s="477">
        <v>96296466.606526405</v>
      </c>
      <c r="H2067" s="458">
        <v>0.25435423263488466</v>
      </c>
      <c r="I2067" s="468">
        <v>6.3463129022885454</v>
      </c>
    </row>
    <row r="2068" spans="1:9" ht="16.5" x14ac:dyDescent="0.3">
      <c r="A2068" s="477">
        <v>6784005.5853756526</v>
      </c>
      <c r="B2068" s="458">
        <v>4.5844944445595281E-2</v>
      </c>
      <c r="C2068" s="477">
        <v>7180227.9678147472</v>
      </c>
      <c r="D2068" s="458">
        <v>6.2540946786521001E-2</v>
      </c>
      <c r="E2068" s="477">
        <v>10036797.881769124</v>
      </c>
      <c r="F2068" s="458">
        <v>0.10458917838420079</v>
      </c>
      <c r="G2068" s="477">
        <v>98115241.99349235</v>
      </c>
      <c r="H2068" s="458">
        <v>0.28813198215879088</v>
      </c>
      <c r="I2068" s="468">
        <v>7.6926339485550699</v>
      </c>
    </row>
    <row r="2069" spans="1:9" ht="16.5" x14ac:dyDescent="0.3">
      <c r="A2069" s="477">
        <v>6432090.1538566621</v>
      </c>
      <c r="B2069" s="458">
        <v>3.7435283457921464E-2</v>
      </c>
      <c r="C2069" s="477">
        <v>13324566.326759249</v>
      </c>
      <c r="D2069" s="458">
        <v>5.8576459063955033E-2</v>
      </c>
      <c r="E2069" s="477">
        <v>22695486.570231501</v>
      </c>
      <c r="F2069" s="458">
        <v>0.11025350245358267</v>
      </c>
      <c r="G2069" s="477">
        <v>88851100.044476822</v>
      </c>
      <c r="H2069" s="458">
        <v>0.25341220224991323</v>
      </c>
      <c r="I2069" s="468">
        <v>6.3183380192263474</v>
      </c>
    </row>
    <row r="2070" spans="1:9" ht="16.5" x14ac:dyDescent="0.3">
      <c r="A2070" s="477">
        <v>9647446.0710124671</v>
      </c>
      <c r="B2070" s="458">
        <v>1.7392573785260712E-2</v>
      </c>
      <c r="C2070" s="477">
        <v>9530934.9541579448</v>
      </c>
      <c r="D2070" s="458">
        <v>3.7151216920769281E-2</v>
      </c>
      <c r="E2070" s="477">
        <v>27782826.674247269</v>
      </c>
      <c r="F2070" s="458">
        <v>0.10284521738075236</v>
      </c>
      <c r="G2070" s="477">
        <v>86742994.88993533</v>
      </c>
      <c r="H2070" s="458">
        <v>0.25896056455020044</v>
      </c>
      <c r="I2070" s="468">
        <v>13.973128489838794</v>
      </c>
    </row>
    <row r="2071" spans="1:9" ht="16.5" x14ac:dyDescent="0.3">
      <c r="A2071" s="477">
        <v>6022631.9315486494</v>
      </c>
      <c r="B2071" s="458">
        <v>5.2920450575669076E-2</v>
      </c>
      <c r="C2071" s="477">
        <v>3199471.3021995961</v>
      </c>
      <c r="D2071" s="458">
        <v>8.2207583735716128E-2</v>
      </c>
      <c r="E2071" s="477">
        <v>21269941.264052894</v>
      </c>
      <c r="F2071" s="458">
        <v>9.8784609746459306E-2</v>
      </c>
      <c r="G2071" s="477">
        <v>83888361.614767209</v>
      </c>
      <c r="H2071" s="458">
        <v>0.28259377300276589</v>
      </c>
      <c r="I2071" s="468">
        <v>7.4000541497599377</v>
      </c>
    </row>
    <row r="2072" spans="1:9" ht="16.5" x14ac:dyDescent="0.3">
      <c r="A2072" s="477">
        <v>4634578.6025813753</v>
      </c>
      <c r="B2072" s="458">
        <v>2.9543653143150772E-2</v>
      </c>
      <c r="C2072" s="477">
        <v>2580866.9999763458</v>
      </c>
      <c r="D2072" s="458">
        <v>4.3794877578827718E-2</v>
      </c>
      <c r="E2072" s="477">
        <v>17116411.157813169</v>
      </c>
      <c r="F2072" s="458">
        <v>0.13381984406801939</v>
      </c>
      <c r="G2072" s="477">
        <v>102654598.15140076</v>
      </c>
      <c r="H2072" s="458">
        <v>0.25175547863076719</v>
      </c>
      <c r="I2072" s="468">
        <v>-0.34147559946563888</v>
      </c>
    </row>
    <row r="2073" spans="1:9" ht="16.5" x14ac:dyDescent="0.3">
      <c r="A2073" s="477">
        <v>6628653.9593522148</v>
      </c>
      <c r="B2073" s="458">
        <v>3.7653226648689753E-2</v>
      </c>
      <c r="C2073" s="477">
        <v>7183386.54545506</v>
      </c>
      <c r="D2073" s="458">
        <v>6.3426567941686995E-2</v>
      </c>
      <c r="E2073" s="477">
        <v>24774058.745058194</v>
      </c>
      <c r="F2073" s="458">
        <v>0.10958491899638312</v>
      </c>
      <c r="G2073" s="477">
        <v>80359319.964066491</v>
      </c>
      <c r="H2073" s="458">
        <v>0.26003694866442406</v>
      </c>
      <c r="I2073" s="468">
        <v>5.3856879532581718</v>
      </c>
    </row>
    <row r="2074" spans="1:9" ht="16.5" x14ac:dyDescent="0.3">
      <c r="A2074" s="477">
        <v>3626343.3749560886</v>
      </c>
      <c r="B2074" s="458">
        <v>4.0112637326843226E-2</v>
      </c>
      <c r="C2074" s="477">
        <v>12863339.285812344</v>
      </c>
      <c r="D2074" s="458">
        <v>3.5029129805218773E-2</v>
      </c>
      <c r="E2074" s="477">
        <v>15759253.734496029</v>
      </c>
      <c r="F2074" s="458">
        <v>9.9171955487960428E-2</v>
      </c>
      <c r="G2074" s="477">
        <v>87830167.204839289</v>
      </c>
      <c r="H2074" s="458">
        <v>0.25805879454762271</v>
      </c>
      <c r="I2074" s="468">
        <v>9.4790165224404426</v>
      </c>
    </row>
    <row r="2075" spans="1:9" ht="16.5" x14ac:dyDescent="0.3">
      <c r="A2075" s="477">
        <v>2535281.0105418209</v>
      </c>
      <c r="B2075" s="458">
        <v>3.8437315265376526E-2</v>
      </c>
      <c r="C2075" s="477">
        <v>10600442.334990192</v>
      </c>
      <c r="D2075" s="458">
        <v>8.119061701201824E-2</v>
      </c>
      <c r="E2075" s="477">
        <v>12499106.61229738</v>
      </c>
      <c r="F2075" s="458">
        <v>0.11809027761015423</v>
      </c>
      <c r="G2075" s="477">
        <v>89343521.761117905</v>
      </c>
      <c r="H2075" s="458">
        <v>0.26310764134803333</v>
      </c>
      <c r="I2075" s="468">
        <v>10.674215851541524</v>
      </c>
    </row>
    <row r="2076" spans="1:9" ht="16.5" x14ac:dyDescent="0.3">
      <c r="A2076" s="477">
        <v>9570035.8350300901</v>
      </c>
      <c r="B2076" s="458">
        <v>3.1065199797269072E-2</v>
      </c>
      <c r="C2076" s="477">
        <v>10468297.430467756</v>
      </c>
      <c r="D2076" s="458">
        <v>8.3316961593385308E-2</v>
      </c>
      <c r="E2076" s="477">
        <v>19873742.613271907</v>
      </c>
      <c r="F2076" s="458">
        <v>0.10250701608458734</v>
      </c>
      <c r="G2076" s="477">
        <v>89376009.683355257</v>
      </c>
      <c r="H2076" s="458">
        <v>0.28420355091750649</v>
      </c>
      <c r="I2076" s="468">
        <v>11.241233786903459</v>
      </c>
    </row>
    <row r="2077" spans="1:9" ht="16.5" x14ac:dyDescent="0.3">
      <c r="A2077" s="477">
        <v>5303728.8925433215</v>
      </c>
      <c r="B2077" s="458">
        <v>5.54443341205757E-2</v>
      </c>
      <c r="C2077" s="477">
        <v>4364482.8522888217</v>
      </c>
      <c r="D2077" s="458">
        <v>8.1700819974229733E-2</v>
      </c>
      <c r="E2077" s="477">
        <v>16510908.304679532</v>
      </c>
      <c r="F2077" s="458">
        <v>0.11275641222246513</v>
      </c>
      <c r="G2077" s="477">
        <v>94788565.14589496</v>
      </c>
      <c r="H2077" s="458">
        <v>0.28579987415531471</v>
      </c>
      <c r="I2077" s="468">
        <v>11.155608562297335</v>
      </c>
    </row>
    <row r="2078" spans="1:9" ht="16.5" x14ac:dyDescent="0.3">
      <c r="A2078" s="477">
        <v>7085817.5760682542</v>
      </c>
      <c r="B2078" s="458">
        <v>5.7923013952643876E-2</v>
      </c>
      <c r="C2078" s="477">
        <v>7832222.2967833644</v>
      </c>
      <c r="D2078" s="458">
        <v>4.8436850754978833E-2</v>
      </c>
      <c r="E2078" s="477">
        <v>24612402.430517029</v>
      </c>
      <c r="F2078" s="458">
        <v>0.11583155059368844</v>
      </c>
      <c r="G2078" s="477">
        <v>97383929.572940633</v>
      </c>
      <c r="H2078" s="458">
        <v>0.28793803193345613</v>
      </c>
      <c r="I2078" s="468">
        <v>10.144461918342467</v>
      </c>
    </row>
    <row r="2079" spans="1:9" ht="16.5" x14ac:dyDescent="0.3">
      <c r="A2079" s="477">
        <v>5492794.7457155697</v>
      </c>
      <c r="B2079" s="458">
        <v>3.6373812272018968E-2</v>
      </c>
      <c r="C2079" s="477">
        <v>12436983.475904109</v>
      </c>
      <c r="D2079" s="458">
        <v>6.7893989615156247E-2</v>
      </c>
      <c r="E2079" s="477">
        <v>12085525.859792745</v>
      </c>
      <c r="F2079" s="458">
        <v>0.11771769014679867</v>
      </c>
      <c r="G2079" s="477">
        <v>106270393.42398469</v>
      </c>
      <c r="H2079" s="458">
        <v>0.29308970276478541</v>
      </c>
      <c r="I2079" s="468">
        <v>5.2903451197681903</v>
      </c>
    </row>
    <row r="2080" spans="1:9" ht="16.5" x14ac:dyDescent="0.3">
      <c r="A2080" s="477">
        <v>5336285.1091017006</v>
      </c>
      <c r="B2080" s="458">
        <v>3.8758739202118031E-2</v>
      </c>
      <c r="C2080" s="477">
        <v>2355174.968621362</v>
      </c>
      <c r="D2080" s="458">
        <v>5.5118714033885574E-2</v>
      </c>
      <c r="E2080" s="477">
        <v>16121702.797025995</v>
      </c>
      <c r="F2080" s="458">
        <v>9.7820262457773755E-2</v>
      </c>
      <c r="G2080" s="477">
        <v>110026935.56652313</v>
      </c>
      <c r="H2080" s="458">
        <v>0.25708485132541115</v>
      </c>
      <c r="I2080" s="468">
        <v>6.7010453747478422</v>
      </c>
    </row>
    <row r="2081" spans="1:9" ht="16.5" x14ac:dyDescent="0.3">
      <c r="A2081" s="477">
        <v>7452935.3636468919</v>
      </c>
      <c r="B2081" s="458">
        <v>5.6682806272529973E-2</v>
      </c>
      <c r="C2081" s="477">
        <v>5628182.269432405</v>
      </c>
      <c r="D2081" s="458">
        <v>6.647944367726133E-2</v>
      </c>
      <c r="E2081" s="477">
        <v>10420515.339789778</v>
      </c>
      <c r="F2081" s="458">
        <v>0.10766718731051372</v>
      </c>
      <c r="G2081" s="477">
        <v>106055610.94303794</v>
      </c>
      <c r="H2081" s="458">
        <v>0.26666314393463053</v>
      </c>
      <c r="I2081" s="468">
        <v>4.1879008878793309</v>
      </c>
    </row>
    <row r="2082" spans="1:9" ht="16.5" x14ac:dyDescent="0.3">
      <c r="A2082" s="477">
        <v>4559515.4324265542</v>
      </c>
      <c r="B2082" s="458">
        <v>3.1054740938376124E-2</v>
      </c>
      <c r="C2082" s="477">
        <v>8778423.8183258772</v>
      </c>
      <c r="D2082" s="458">
        <v>2.1405833377363015E-2</v>
      </c>
      <c r="E2082" s="477">
        <v>23931775.042943899</v>
      </c>
      <c r="F2082" s="458">
        <v>0.10709997237210844</v>
      </c>
      <c r="G2082" s="477">
        <v>90107357.207140565</v>
      </c>
      <c r="H2082" s="458">
        <v>0.27652026675437669</v>
      </c>
      <c r="I2082" s="468">
        <v>7.0144383479179897</v>
      </c>
    </row>
    <row r="2083" spans="1:9" ht="16.5" x14ac:dyDescent="0.3">
      <c r="A2083" s="477">
        <v>2587937.5778030283</v>
      </c>
      <c r="B2083" s="458">
        <v>4.3845722560067468E-2</v>
      </c>
      <c r="C2083" s="477">
        <v>6213567.0156371305</v>
      </c>
      <c r="D2083" s="458">
        <v>3.2528263188282169E-2</v>
      </c>
      <c r="E2083" s="477">
        <v>22328997.439489271</v>
      </c>
      <c r="F2083" s="458">
        <v>0.10399844065249431</v>
      </c>
      <c r="G2083" s="477">
        <v>97560155.482437491</v>
      </c>
      <c r="H2083" s="458">
        <v>0.25411462522959449</v>
      </c>
      <c r="I2083" s="468">
        <v>8.616622353354435</v>
      </c>
    </row>
    <row r="2084" spans="1:9" ht="16.5" x14ac:dyDescent="0.3">
      <c r="A2084" s="477">
        <v>8617892.060454119</v>
      </c>
      <c r="B2084" s="458">
        <v>4.0075118397983056E-2</v>
      </c>
      <c r="C2084" s="477">
        <v>10705330.876626056</v>
      </c>
      <c r="D2084" s="458">
        <v>7.9510215728813893E-2</v>
      </c>
      <c r="E2084" s="477">
        <v>16376887.757008793</v>
      </c>
      <c r="F2084" s="458">
        <v>0.10768229807551899</v>
      </c>
      <c r="G2084" s="477">
        <v>97836178.031633228</v>
      </c>
      <c r="H2084" s="458">
        <v>0.27750778357193817</v>
      </c>
      <c r="I2084" s="468">
        <v>11.366793681300006</v>
      </c>
    </row>
    <row r="2085" spans="1:9" ht="16.5" x14ac:dyDescent="0.3">
      <c r="A2085" s="477">
        <v>5862181.4993858701</v>
      </c>
      <c r="B2085" s="458">
        <v>3.074358589092574E-2</v>
      </c>
      <c r="C2085" s="477">
        <v>6716732.0585442651</v>
      </c>
      <c r="D2085" s="458">
        <v>8.7132624537018977E-2</v>
      </c>
      <c r="E2085" s="477">
        <v>9944272.2574536875</v>
      </c>
      <c r="F2085" s="458">
        <v>0.12574458663607535</v>
      </c>
      <c r="G2085" s="477">
        <v>88344970.274665087</v>
      </c>
      <c r="H2085" s="458">
        <v>0.27330647829743482</v>
      </c>
      <c r="I2085" s="468">
        <v>-1.948360081965296</v>
      </c>
    </row>
    <row r="2086" spans="1:9" ht="16.5" x14ac:dyDescent="0.3">
      <c r="A2086" s="477">
        <v>6053961.3154551052</v>
      </c>
      <c r="B2086" s="458">
        <v>4.2246608584126655E-2</v>
      </c>
      <c r="C2086" s="477">
        <v>-927254.44499680388</v>
      </c>
      <c r="D2086" s="458">
        <v>8.6450240252273991E-2</v>
      </c>
      <c r="E2086" s="477">
        <v>9207390.4543232322</v>
      </c>
      <c r="F2086" s="458">
        <v>0.10412458646982814</v>
      </c>
      <c r="G2086" s="477">
        <v>73502964.62260443</v>
      </c>
      <c r="H2086" s="458">
        <v>0.26929776152854434</v>
      </c>
      <c r="I2086" s="468">
        <v>5.8133472639002797</v>
      </c>
    </row>
    <row r="2087" spans="1:9" ht="16.5" x14ac:dyDescent="0.3">
      <c r="A2087" s="477">
        <v>7587971.2903732378</v>
      </c>
      <c r="B2087" s="458">
        <v>4.7559260440645179E-2</v>
      </c>
      <c r="C2087" s="477">
        <v>5796997.8595902259</v>
      </c>
      <c r="D2087" s="458">
        <v>5.3836993197309058E-2</v>
      </c>
      <c r="E2087" s="477">
        <v>16682902.471142022</v>
      </c>
      <c r="F2087" s="458">
        <v>8.4440479102026345E-2</v>
      </c>
      <c r="G2087" s="477">
        <v>83183828.463976383</v>
      </c>
      <c r="H2087" s="458">
        <v>0.26960246337770077</v>
      </c>
      <c r="I2087" s="468">
        <v>4.8505700003122829</v>
      </c>
    </row>
    <row r="2088" spans="1:9" ht="16.5" x14ac:dyDescent="0.3">
      <c r="A2088" s="477">
        <v>7498810.2404442495</v>
      </c>
      <c r="B2088" s="458">
        <v>3.5171607503818203E-2</v>
      </c>
      <c r="C2088" s="477">
        <v>8044863.732306988</v>
      </c>
      <c r="D2088" s="458">
        <v>2.9594959323153924E-2</v>
      </c>
      <c r="E2088" s="477">
        <v>15969124.213340823</v>
      </c>
      <c r="F2088" s="458">
        <v>0.12048337176321366</v>
      </c>
      <c r="G2088" s="477">
        <v>92074477.390473098</v>
      </c>
      <c r="H2088" s="458">
        <v>0.26103929697611217</v>
      </c>
      <c r="I2088" s="468">
        <v>10.256992103944208</v>
      </c>
    </row>
    <row r="2089" spans="1:9" ht="16.5" x14ac:dyDescent="0.3">
      <c r="A2089" s="477">
        <v>3910930.5815189732</v>
      </c>
      <c r="B2089" s="458">
        <v>2.1382981781831845E-2</v>
      </c>
      <c r="C2089" s="477">
        <v>13097668.015881222</v>
      </c>
      <c r="D2089" s="458">
        <v>8.0547246078186641E-2</v>
      </c>
      <c r="E2089" s="477">
        <v>12581895.334053895</v>
      </c>
      <c r="F2089" s="458">
        <v>0.10749147762599076</v>
      </c>
      <c r="G2089" s="477">
        <v>91323851.694549039</v>
      </c>
      <c r="H2089" s="458">
        <v>0.2635488816451379</v>
      </c>
      <c r="I2089" s="468">
        <v>4.0824400668870391</v>
      </c>
    </row>
    <row r="2090" spans="1:9" ht="16.5" x14ac:dyDescent="0.3">
      <c r="A2090" s="477">
        <v>3670951.7391135893</v>
      </c>
      <c r="B2090" s="458">
        <v>5.2074573256892576E-2</v>
      </c>
      <c r="C2090" s="477">
        <v>7008378.2915733317</v>
      </c>
      <c r="D2090" s="458">
        <v>6.3009825703947309E-2</v>
      </c>
      <c r="E2090" s="477">
        <v>15383879.906732718</v>
      </c>
      <c r="F2090" s="458">
        <v>9.9705596216368431E-2</v>
      </c>
      <c r="G2090" s="477">
        <v>90625006.963615283</v>
      </c>
      <c r="H2090" s="458">
        <v>0.28076977891645916</v>
      </c>
      <c r="I2090" s="468">
        <v>6.3175094503644758</v>
      </c>
    </row>
    <row r="2091" spans="1:9" ht="16.5" x14ac:dyDescent="0.3">
      <c r="A2091" s="477">
        <v>5734359.1489417627</v>
      </c>
      <c r="B2091" s="458">
        <v>3.3626136759314251E-2</v>
      </c>
      <c r="C2091" s="477">
        <v>10254853.493414307</v>
      </c>
      <c r="D2091" s="458">
        <v>5.0578449476208931E-2</v>
      </c>
      <c r="E2091" s="477">
        <v>18892301.135352131</v>
      </c>
      <c r="F2091" s="458">
        <v>0.11784302634325128</v>
      </c>
      <c r="G2091" s="477">
        <v>108391046.90566696</v>
      </c>
      <c r="H2091" s="458">
        <v>0.25061874662871575</v>
      </c>
      <c r="I2091" s="468">
        <v>8.1460003434001536</v>
      </c>
    </row>
    <row r="2092" spans="1:9" ht="16.5" x14ac:dyDescent="0.3">
      <c r="A2092" s="477">
        <v>10329972.842949439</v>
      </c>
      <c r="B2092" s="458">
        <v>4.375098269760791E-2</v>
      </c>
      <c r="C2092" s="477">
        <v>7768314.649086277</v>
      </c>
      <c r="D2092" s="458">
        <v>6.0143302513907093E-2</v>
      </c>
      <c r="E2092" s="477">
        <v>8850359.9076423515</v>
      </c>
      <c r="F2092" s="458">
        <v>0.11313249423008687</v>
      </c>
      <c r="G2092" s="477">
        <v>69390279.607130811</v>
      </c>
      <c r="H2092" s="458">
        <v>0.26520319272926951</v>
      </c>
      <c r="I2092" s="468">
        <v>5.5555707214959593</v>
      </c>
    </row>
    <row r="2093" spans="1:9" ht="16.5" x14ac:dyDescent="0.3">
      <c r="A2093" s="477">
        <v>3416606.2930154577</v>
      </c>
      <c r="B2093" s="458">
        <v>4.1176878702998909E-2</v>
      </c>
      <c r="C2093" s="477">
        <v>7823706.406012713</v>
      </c>
      <c r="D2093" s="458">
        <v>6.4997104522720672E-2</v>
      </c>
      <c r="E2093" s="477">
        <v>20251386.077355161</v>
      </c>
      <c r="F2093" s="458">
        <v>9.4854963438118167E-2</v>
      </c>
      <c r="G2093" s="477">
        <v>97501500.821078271</v>
      </c>
      <c r="H2093" s="458">
        <v>0.28769115712991167</v>
      </c>
      <c r="I2093" s="468">
        <v>11.246010431387447</v>
      </c>
    </row>
    <row r="2094" spans="1:9" ht="16.5" x14ac:dyDescent="0.3">
      <c r="A2094" s="477">
        <v>6373423.5672264639</v>
      </c>
      <c r="B2094" s="458">
        <v>3.6249035508353122E-2</v>
      </c>
      <c r="C2094" s="477">
        <v>9207317.0724574551</v>
      </c>
      <c r="D2094" s="458">
        <v>9.0552003673085579E-2</v>
      </c>
      <c r="E2094" s="477">
        <v>22063310.115833607</v>
      </c>
      <c r="F2094" s="458">
        <v>0.11017474469042599</v>
      </c>
      <c r="G2094" s="477">
        <v>84480188.955398306</v>
      </c>
      <c r="H2094" s="458">
        <v>0.28936075553210472</v>
      </c>
      <c r="I2094" s="468">
        <v>16.022532209362375</v>
      </c>
    </row>
    <row r="2095" spans="1:9" ht="16.5" x14ac:dyDescent="0.3">
      <c r="A2095" s="477">
        <v>4979887.5688937958</v>
      </c>
      <c r="B2095" s="458">
        <v>4.3200986156868515E-2</v>
      </c>
      <c r="C2095" s="477">
        <v>3888971.3703041491</v>
      </c>
      <c r="D2095" s="458">
        <v>9.5030540752214065E-2</v>
      </c>
      <c r="E2095" s="477">
        <v>25160226.065121118</v>
      </c>
      <c r="F2095" s="458">
        <v>0.11967970037515685</v>
      </c>
      <c r="G2095" s="477">
        <v>98397299.875930488</v>
      </c>
      <c r="H2095" s="458">
        <v>0.2622484648482093</v>
      </c>
      <c r="I2095" s="468">
        <v>12.217676273387937</v>
      </c>
    </row>
    <row r="2096" spans="1:9" ht="16.5" x14ac:dyDescent="0.3">
      <c r="A2096" s="477">
        <v>6312497.8979812311</v>
      </c>
      <c r="B2096" s="458">
        <v>6.2330197977880086E-2</v>
      </c>
      <c r="C2096" s="477">
        <v>12460485.868888877</v>
      </c>
      <c r="D2096" s="458">
        <v>6.8861681283041598E-2</v>
      </c>
      <c r="E2096" s="477">
        <v>24555643.28868724</v>
      </c>
      <c r="F2096" s="458">
        <v>9.3863146854391344E-2</v>
      </c>
      <c r="G2096" s="477">
        <v>85255632.532807648</v>
      </c>
      <c r="H2096" s="458">
        <v>0.25622427906375922</v>
      </c>
      <c r="I2096" s="468">
        <v>8.4472422235519975</v>
      </c>
    </row>
    <row r="2097" spans="1:9" ht="16.5" x14ac:dyDescent="0.3">
      <c r="A2097" s="477">
        <v>5557781.8574183248</v>
      </c>
      <c r="B2097" s="458">
        <v>5.8559260868820795E-2</v>
      </c>
      <c r="C2097" s="477">
        <v>15577176.353735279</v>
      </c>
      <c r="D2097" s="458">
        <v>5.2746239906290349E-2</v>
      </c>
      <c r="E2097" s="477">
        <v>17628567.703564085</v>
      </c>
      <c r="F2097" s="458">
        <v>9.2646475641444459E-2</v>
      </c>
      <c r="G2097" s="477">
        <v>93950732.538015381</v>
      </c>
      <c r="H2097" s="458">
        <v>0.27351548857237229</v>
      </c>
      <c r="I2097" s="468">
        <v>2.9287624407788027</v>
      </c>
    </row>
    <row r="2098" spans="1:9" ht="16.5" x14ac:dyDescent="0.3">
      <c r="A2098" s="477">
        <v>2209729.4950896795</v>
      </c>
      <c r="B2098" s="458">
        <v>3.4927835932762719E-2</v>
      </c>
      <c r="C2098" s="477">
        <v>2649992.7638341975</v>
      </c>
      <c r="D2098" s="458">
        <v>6.4567981106708361E-2</v>
      </c>
      <c r="E2098" s="477">
        <v>11013338.607558541</v>
      </c>
      <c r="F2098" s="458">
        <v>0.11388216607012991</v>
      </c>
      <c r="G2098" s="477">
        <v>88174530.380931467</v>
      </c>
      <c r="H2098" s="458">
        <v>0.26651749419527415</v>
      </c>
      <c r="I2098" s="468">
        <v>4.5811530662261868</v>
      </c>
    </row>
    <row r="2099" spans="1:9" ht="16.5" x14ac:dyDescent="0.3">
      <c r="A2099" s="477">
        <v>9160448.3219525181</v>
      </c>
      <c r="B2099" s="458">
        <v>2.3641835501181152E-2</v>
      </c>
      <c r="C2099" s="477">
        <v>14389868.900190825</v>
      </c>
      <c r="D2099" s="458">
        <v>9.1075257062185777E-2</v>
      </c>
      <c r="E2099" s="477">
        <v>23993298.325446829</v>
      </c>
      <c r="F2099" s="458">
        <v>0.10326642703255562</v>
      </c>
      <c r="G2099" s="477">
        <v>99391221.302277982</v>
      </c>
      <c r="H2099" s="458">
        <v>0.25183741945189508</v>
      </c>
      <c r="I2099" s="468">
        <v>6.1799113596519524</v>
      </c>
    </row>
    <row r="2100" spans="1:9" ht="16.5" x14ac:dyDescent="0.3">
      <c r="A2100" s="477">
        <v>4229770.4576778887</v>
      </c>
      <c r="B2100" s="458">
        <v>6.6014867256554366E-2</v>
      </c>
      <c r="C2100" s="477">
        <v>2805367.9684049534</v>
      </c>
      <c r="D2100" s="458">
        <v>5.9960349362756959E-2</v>
      </c>
      <c r="E2100" s="477">
        <v>10062663.587631928</v>
      </c>
      <c r="F2100" s="458">
        <v>0.10882841698006351</v>
      </c>
      <c r="G2100" s="477">
        <v>85721023.298464283</v>
      </c>
      <c r="H2100" s="458">
        <v>0.26605332059663422</v>
      </c>
      <c r="I2100" s="468">
        <v>2.4113772730232848</v>
      </c>
    </row>
    <row r="2101" spans="1:9" ht="16.5" x14ac:dyDescent="0.3">
      <c r="A2101" s="477">
        <v>4066375.133955765</v>
      </c>
      <c r="B2101" s="458">
        <v>2.7391807449443695E-2</v>
      </c>
      <c r="C2101" s="477">
        <v>6438919.3774116626</v>
      </c>
      <c r="D2101" s="458">
        <v>6.3597726988179115E-2</v>
      </c>
      <c r="E2101" s="477">
        <v>18130604.042066611</v>
      </c>
      <c r="F2101" s="458">
        <v>0.1261715981035556</v>
      </c>
      <c r="G2101" s="477">
        <v>83846090.435327753</v>
      </c>
      <c r="H2101" s="458">
        <v>0.25998661586229965</v>
      </c>
      <c r="I2101" s="468">
        <v>9.770315486610885</v>
      </c>
    </row>
    <row r="2102" spans="1:9" ht="16.5" x14ac:dyDescent="0.3">
      <c r="A2102" s="477">
        <v>3150261.5280376226</v>
      </c>
      <c r="B2102" s="458">
        <v>7.6466459686927113E-2</v>
      </c>
      <c r="C2102" s="477">
        <v>11482144.441709837</v>
      </c>
      <c r="D2102" s="458">
        <v>6.9009304167622298E-2</v>
      </c>
      <c r="E2102" s="477">
        <v>19591574.46347174</v>
      </c>
      <c r="F2102" s="458">
        <v>0.11914122775140101</v>
      </c>
      <c r="G2102" s="477">
        <v>94683421.211600706</v>
      </c>
      <c r="H2102" s="458">
        <v>0.29019816746107141</v>
      </c>
      <c r="I2102" s="468">
        <v>8.9959209722478821</v>
      </c>
    </row>
    <row r="2103" spans="1:9" ht="16.5" x14ac:dyDescent="0.3">
      <c r="A2103" s="477">
        <v>3665392.3568896488</v>
      </c>
      <c r="B2103" s="458">
        <v>5.0705537705043824E-2</v>
      </c>
      <c r="C2103" s="477">
        <v>8613491.1530177165</v>
      </c>
      <c r="D2103" s="458">
        <v>7.4824150084952912E-2</v>
      </c>
      <c r="E2103" s="477">
        <v>14737505.381518472</v>
      </c>
      <c r="F2103" s="458">
        <v>0.11217487440670793</v>
      </c>
      <c r="G2103" s="477">
        <v>92716057.159449682</v>
      </c>
      <c r="H2103" s="458">
        <v>0.26346667349422059</v>
      </c>
      <c r="I2103" s="468">
        <v>2.3057039539624142</v>
      </c>
    </row>
    <row r="2104" spans="1:9" ht="16.5" x14ac:dyDescent="0.3">
      <c r="A2104" s="477">
        <v>445458.74328420573</v>
      </c>
      <c r="B2104" s="458">
        <v>4.3068639043066792E-2</v>
      </c>
      <c r="C2104" s="477">
        <v>5225843.4557124833</v>
      </c>
      <c r="D2104" s="458">
        <v>6.8392462210483895E-2</v>
      </c>
      <c r="E2104" s="477">
        <v>10681414.046929488</v>
      </c>
      <c r="F2104" s="458">
        <v>0.12314728011486875</v>
      </c>
      <c r="G2104" s="477">
        <v>102246487.06410864</v>
      </c>
      <c r="H2104" s="458">
        <v>0.26078764950121647</v>
      </c>
      <c r="I2104" s="468">
        <v>4.6499013964343927</v>
      </c>
    </row>
    <row r="2105" spans="1:9" ht="16.5" x14ac:dyDescent="0.3">
      <c r="A2105" s="477">
        <v>7173888.1427705381</v>
      </c>
      <c r="B2105" s="458">
        <v>4.221104483300997E-2</v>
      </c>
      <c r="C2105" s="477">
        <v>6536579.5833730064</v>
      </c>
      <c r="D2105" s="458">
        <v>6.9449377768300069E-2</v>
      </c>
      <c r="E2105" s="477">
        <v>15913245.689938327</v>
      </c>
      <c r="F2105" s="458">
        <v>7.8479927979735686E-2</v>
      </c>
      <c r="G2105" s="477">
        <v>82426196.083508596</v>
      </c>
      <c r="H2105" s="458">
        <v>0.25989151795419119</v>
      </c>
      <c r="I2105" s="468">
        <v>5.1202495093532843</v>
      </c>
    </row>
    <row r="2106" spans="1:9" ht="16.5" x14ac:dyDescent="0.3">
      <c r="A2106" s="477">
        <v>552685.91581527458</v>
      </c>
      <c r="B2106" s="458">
        <v>3.1635789724765218E-2</v>
      </c>
      <c r="C2106" s="477">
        <v>6986964.4909241023</v>
      </c>
      <c r="D2106" s="458">
        <v>8.7003277111495247E-2</v>
      </c>
      <c r="E2106" s="477">
        <v>12688942.721941996</v>
      </c>
      <c r="F2106" s="458">
        <v>0.10080437029581968</v>
      </c>
      <c r="G2106" s="477">
        <v>108240486.2672867</v>
      </c>
      <c r="H2106" s="458">
        <v>0.26949460164032124</v>
      </c>
      <c r="I2106" s="468">
        <v>3.251925063934066</v>
      </c>
    </row>
    <row r="2107" spans="1:9" ht="16.5" x14ac:dyDescent="0.3">
      <c r="A2107" s="477">
        <v>7115048.130777359</v>
      </c>
      <c r="B2107" s="458">
        <v>4.3458405531634714E-2</v>
      </c>
      <c r="C2107" s="477">
        <v>9504615.9391298164</v>
      </c>
      <c r="D2107" s="458">
        <v>7.4845649736622333E-2</v>
      </c>
      <c r="E2107" s="477">
        <v>13317723.660386067</v>
      </c>
      <c r="F2107" s="458">
        <v>0.1171638018153196</v>
      </c>
      <c r="G2107" s="477">
        <v>97987644.095754623</v>
      </c>
      <c r="H2107" s="458">
        <v>0.27330690014648584</v>
      </c>
      <c r="I2107" s="468">
        <v>7.1059391951126116</v>
      </c>
    </row>
    <row r="2108" spans="1:9" ht="16.5" x14ac:dyDescent="0.3">
      <c r="A2108" s="477">
        <v>1319782.0978592718</v>
      </c>
      <c r="B2108" s="458">
        <v>5.5929889742001082E-2</v>
      </c>
      <c r="C2108" s="477">
        <v>8136975.4352769637</v>
      </c>
      <c r="D2108" s="458">
        <v>6.2667042817843521E-2</v>
      </c>
      <c r="E2108" s="477">
        <v>12669955.539319651</v>
      </c>
      <c r="F2108" s="458">
        <v>0.10465419002712295</v>
      </c>
      <c r="G2108" s="477">
        <v>83721940.623024732</v>
      </c>
      <c r="H2108" s="458">
        <v>0.2570270053278545</v>
      </c>
      <c r="I2108" s="468">
        <v>7.6184457296692303</v>
      </c>
    </row>
    <row r="2109" spans="1:9" ht="16.5" x14ac:dyDescent="0.3">
      <c r="A2109" s="477">
        <v>9358745.9783624392</v>
      </c>
      <c r="B2109" s="458">
        <v>4.0483837164015046E-2</v>
      </c>
      <c r="C2109" s="477">
        <v>5426624.5614671567</v>
      </c>
      <c r="D2109" s="458">
        <v>7.9931179275812614E-2</v>
      </c>
      <c r="E2109" s="477">
        <v>18418171.886334315</v>
      </c>
      <c r="F2109" s="458">
        <v>0.11948905030480583</v>
      </c>
      <c r="G2109" s="477">
        <v>90513271.927345753</v>
      </c>
      <c r="H2109" s="458">
        <v>0.25513359548797698</v>
      </c>
      <c r="I2109" s="468">
        <v>13.889385697814301</v>
      </c>
    </row>
    <row r="2110" spans="1:9" ht="16.5" x14ac:dyDescent="0.3">
      <c r="A2110" s="477">
        <v>2751376.3961791694</v>
      </c>
      <c r="B2110" s="458">
        <v>6.8419934038714381E-2</v>
      </c>
      <c r="C2110" s="477">
        <v>8615104.0695741139</v>
      </c>
      <c r="D2110" s="458">
        <v>5.829742370136759E-2</v>
      </c>
      <c r="E2110" s="477">
        <v>21964452.636043981</v>
      </c>
      <c r="F2110" s="458">
        <v>0.10085014305413376</v>
      </c>
      <c r="G2110" s="477">
        <v>83450755.798544288</v>
      </c>
      <c r="H2110" s="458">
        <v>0.27675405372947504</v>
      </c>
      <c r="I2110" s="468">
        <v>5.3151446834316616</v>
      </c>
    </row>
    <row r="2111" spans="1:9" ht="16.5" x14ac:dyDescent="0.3">
      <c r="A2111" s="477">
        <v>3808948.2324294634</v>
      </c>
      <c r="B2111" s="458">
        <v>4.9020756633867846E-2</v>
      </c>
      <c r="C2111" s="477">
        <v>14736226.484401667</v>
      </c>
      <c r="D2111" s="458">
        <v>4.6580013519180286E-2</v>
      </c>
      <c r="E2111" s="477">
        <v>24219438.479207195</v>
      </c>
      <c r="F2111" s="458">
        <v>8.2029862008821341E-2</v>
      </c>
      <c r="G2111" s="477">
        <v>78081907.994852602</v>
      </c>
      <c r="H2111" s="458">
        <v>0.26767846231829284</v>
      </c>
      <c r="I2111" s="468">
        <v>4.7455702674347897</v>
      </c>
    </row>
    <row r="2112" spans="1:9" ht="16.5" x14ac:dyDescent="0.3">
      <c r="A2112" s="477">
        <v>4291887.5960391974</v>
      </c>
      <c r="B2112" s="458">
        <v>2.7683468189104721E-2</v>
      </c>
      <c r="C2112" s="477">
        <v>13129808.781342132</v>
      </c>
      <c r="D2112" s="458">
        <v>5.0201728455926853E-2</v>
      </c>
      <c r="E2112" s="477">
        <v>16716092.550626919</v>
      </c>
      <c r="F2112" s="458">
        <v>0.11770819435808377</v>
      </c>
      <c r="G2112" s="477">
        <v>90380935.890226722</v>
      </c>
      <c r="H2112" s="458">
        <v>0.26429106971594063</v>
      </c>
      <c r="I2112" s="468">
        <v>8.5966334796646109</v>
      </c>
    </row>
    <row r="2113" spans="1:9" ht="16.5" x14ac:dyDescent="0.3">
      <c r="A2113" s="477">
        <v>4637661.4227426397</v>
      </c>
      <c r="B2113" s="458">
        <v>3.6653977765300771E-2</v>
      </c>
      <c r="C2113" s="477">
        <v>7106269.0119912568</v>
      </c>
      <c r="D2113" s="458">
        <v>4.766132998534145E-2</v>
      </c>
      <c r="E2113" s="477">
        <v>11032753.092898717</v>
      </c>
      <c r="F2113" s="458">
        <v>0.10527845160914562</v>
      </c>
      <c r="G2113" s="477">
        <v>87428606.09291406</v>
      </c>
      <c r="H2113" s="458">
        <v>0.27262637070613605</v>
      </c>
      <c r="I2113" s="468">
        <v>14.958266137711181</v>
      </c>
    </row>
    <row r="2114" spans="1:9" ht="16.5" x14ac:dyDescent="0.3">
      <c r="A2114" s="477">
        <v>-1001475.3014008962</v>
      </c>
      <c r="B2114" s="458">
        <v>5.2554488941964905E-2</v>
      </c>
      <c r="C2114" s="477">
        <v>7265523.9326610342</v>
      </c>
      <c r="D2114" s="458">
        <v>6.8237318290837123E-2</v>
      </c>
      <c r="E2114" s="477">
        <v>13398739.920884065</v>
      </c>
      <c r="F2114" s="458">
        <v>0.11686350681648627</v>
      </c>
      <c r="G2114" s="477">
        <v>79630882.743813187</v>
      </c>
      <c r="H2114" s="458">
        <v>0.26872089527465892</v>
      </c>
      <c r="I2114" s="468">
        <v>8.9403145205826888</v>
      </c>
    </row>
    <row r="2115" spans="1:9" ht="16.5" x14ac:dyDescent="0.3">
      <c r="A2115" s="477">
        <v>2058961.938239587</v>
      </c>
      <c r="B2115" s="458">
        <v>3.9742568536178968E-2</v>
      </c>
      <c r="C2115" s="477">
        <v>12976280.027036723</v>
      </c>
      <c r="D2115" s="458">
        <v>7.1977150062840778E-2</v>
      </c>
      <c r="E2115" s="477">
        <v>18265948.828160729</v>
      </c>
      <c r="F2115" s="458">
        <v>0.11394273704301527</v>
      </c>
      <c r="G2115" s="477">
        <v>101291898.53300993</v>
      </c>
      <c r="H2115" s="458">
        <v>0.24852497700807663</v>
      </c>
      <c r="I2115" s="468">
        <v>2.2685496040947042</v>
      </c>
    </row>
    <row r="2116" spans="1:9" ht="16.5" x14ac:dyDescent="0.3">
      <c r="A2116" s="477">
        <v>6900653.1658829022</v>
      </c>
      <c r="B2116" s="458">
        <v>4.9658999462707687E-2</v>
      </c>
      <c r="C2116" s="477">
        <v>9639631.1677017752</v>
      </c>
      <c r="D2116" s="458">
        <v>5.6575954691075125E-2</v>
      </c>
      <c r="E2116" s="477">
        <v>20112892.917682555</v>
      </c>
      <c r="F2116" s="458">
        <v>8.7942282136681316E-2</v>
      </c>
      <c r="G2116" s="477">
        <v>106163741.68921949</v>
      </c>
      <c r="H2116" s="458">
        <v>0.25737913118954747</v>
      </c>
      <c r="I2116" s="468">
        <v>14.164077939338</v>
      </c>
    </row>
    <row r="2117" spans="1:9" ht="16.5" x14ac:dyDescent="0.3">
      <c r="A2117" s="477">
        <v>6151030.8156397305</v>
      </c>
      <c r="B2117" s="458">
        <v>6.1301805316187563E-2</v>
      </c>
      <c r="C2117" s="477">
        <v>8249948.5758740054</v>
      </c>
      <c r="D2117" s="458">
        <v>7.0345288310432963E-2</v>
      </c>
      <c r="E2117" s="477">
        <v>16706532.828985199</v>
      </c>
      <c r="F2117" s="458">
        <v>0.10721229964259971</v>
      </c>
      <c r="G2117" s="477">
        <v>75706206.138514072</v>
      </c>
      <c r="H2117" s="458">
        <v>0.27642963832325407</v>
      </c>
      <c r="I2117" s="468">
        <v>8.3960689947367104</v>
      </c>
    </row>
    <row r="2118" spans="1:9" ht="16.5" x14ac:dyDescent="0.3">
      <c r="A2118" s="477">
        <v>6938875.8539068354</v>
      </c>
      <c r="B2118" s="458">
        <v>6.3438526618420532E-2</v>
      </c>
      <c r="C2118" s="477">
        <v>11054435.219643682</v>
      </c>
      <c r="D2118" s="458">
        <v>4.3642840484858336E-2</v>
      </c>
      <c r="E2118" s="477">
        <v>16633120.186728004</v>
      </c>
      <c r="F2118" s="458">
        <v>0.11357606430007494</v>
      </c>
      <c r="G2118" s="477">
        <v>85696330.643443093</v>
      </c>
      <c r="H2118" s="458">
        <v>0.28747507939722228</v>
      </c>
      <c r="I2118" s="468">
        <v>5.3061913602610122</v>
      </c>
    </row>
    <row r="2119" spans="1:9" ht="16.5" x14ac:dyDescent="0.3">
      <c r="A2119" s="477">
        <v>1914053.7450654011</v>
      </c>
      <c r="B2119" s="458">
        <v>5.3273099059069517E-2</v>
      </c>
      <c r="C2119" s="477">
        <v>3229121.3746423125</v>
      </c>
      <c r="D2119" s="458">
        <v>7.9273337922861398E-2</v>
      </c>
      <c r="E2119" s="477">
        <v>15609160.708994165</v>
      </c>
      <c r="F2119" s="458">
        <v>9.0279507815222093E-2</v>
      </c>
      <c r="G2119" s="477">
        <v>103752441.87923214</v>
      </c>
      <c r="H2119" s="458">
        <v>0.27934597328248278</v>
      </c>
      <c r="I2119" s="468">
        <v>13.490079061742062</v>
      </c>
    </row>
    <row r="2120" spans="1:9" ht="16.5" x14ac:dyDescent="0.3">
      <c r="A2120" s="477">
        <v>2163710.7935588085</v>
      </c>
      <c r="B2120" s="458">
        <v>5.8417824386292949E-2</v>
      </c>
      <c r="C2120" s="477">
        <v>3202345.9795026723</v>
      </c>
      <c r="D2120" s="458">
        <v>7.0658855314856606E-2</v>
      </c>
      <c r="E2120" s="477">
        <v>25483721.335389894</v>
      </c>
      <c r="F2120" s="458">
        <v>6.4848697829114066E-2</v>
      </c>
      <c r="G2120" s="477">
        <v>84030897.129821539</v>
      </c>
      <c r="H2120" s="458">
        <v>0.26056482008316517</v>
      </c>
      <c r="I2120" s="468">
        <v>5.2749868130604796</v>
      </c>
    </row>
    <row r="2121" spans="1:9" ht="16.5" x14ac:dyDescent="0.3">
      <c r="A2121" s="477">
        <v>5013984.3376328768</v>
      </c>
      <c r="B2121" s="458">
        <v>2.8334431092571055E-2</v>
      </c>
      <c r="C2121" s="477">
        <v>11738658.009253826</v>
      </c>
      <c r="D2121" s="458">
        <v>6.5636805385185015E-2</v>
      </c>
      <c r="E2121" s="477">
        <v>15477598.182241449</v>
      </c>
      <c r="F2121" s="458">
        <v>0.11924056143597239</v>
      </c>
      <c r="G2121" s="477">
        <v>81295742.750275776</v>
      </c>
      <c r="H2121" s="458">
        <v>0.26308483703774943</v>
      </c>
      <c r="I2121" s="468">
        <v>10.611795542390993</v>
      </c>
    </row>
    <row r="2122" spans="1:9" ht="16.5" x14ac:dyDescent="0.3">
      <c r="A2122" s="477">
        <v>7077755.1966507621</v>
      </c>
      <c r="B2122" s="458">
        <v>5.9400297480219688E-2</v>
      </c>
      <c r="C2122" s="477">
        <v>-1433170.4080115345</v>
      </c>
      <c r="D2122" s="458">
        <v>5.9906624913715234E-2</v>
      </c>
      <c r="E2122" s="477">
        <v>12746666.211080056</v>
      </c>
      <c r="F2122" s="458">
        <v>8.4309624294575114E-2</v>
      </c>
      <c r="G2122" s="477">
        <v>74076671.444377348</v>
      </c>
      <c r="H2122" s="458">
        <v>0.26382393828905104</v>
      </c>
      <c r="I2122" s="468">
        <v>4.5999956407942673</v>
      </c>
    </row>
    <row r="2123" spans="1:9" ht="16.5" x14ac:dyDescent="0.3">
      <c r="A2123" s="477">
        <v>8016031.1598338354</v>
      </c>
      <c r="B2123" s="458">
        <v>4.8075701674015647E-2</v>
      </c>
      <c r="C2123" s="477">
        <v>9968568.3327449951</v>
      </c>
      <c r="D2123" s="458">
        <v>4.947113568900674E-2</v>
      </c>
      <c r="E2123" s="477">
        <v>18944758.923364792</v>
      </c>
      <c r="F2123" s="458">
        <v>9.7261645309946632E-2</v>
      </c>
      <c r="G2123" s="477">
        <v>88550125.923638344</v>
      </c>
      <c r="H2123" s="458">
        <v>0.27718299297033977</v>
      </c>
      <c r="I2123" s="468">
        <v>5.5490473206079329</v>
      </c>
    </row>
    <row r="2124" spans="1:9" ht="16.5" x14ac:dyDescent="0.3">
      <c r="A2124" s="477">
        <v>3264985.828669759</v>
      </c>
      <c r="B2124" s="458">
        <v>7.8446343301861843E-2</v>
      </c>
      <c r="C2124" s="477">
        <v>4105877.3048258307</v>
      </c>
      <c r="D2124" s="458">
        <v>5.6767798572076034E-2</v>
      </c>
      <c r="E2124" s="477">
        <v>21555253.202888586</v>
      </c>
      <c r="F2124" s="458">
        <v>0.14123448777345704</v>
      </c>
      <c r="G2124" s="477">
        <v>85520575.742100835</v>
      </c>
      <c r="H2124" s="458">
        <v>0.26238073007660501</v>
      </c>
      <c r="I2124" s="468">
        <v>10.924148647618008</v>
      </c>
    </row>
    <row r="2125" spans="1:9" ht="16.5" x14ac:dyDescent="0.3">
      <c r="A2125" s="477">
        <v>6815624.2466640146</v>
      </c>
      <c r="B2125" s="458">
        <v>1.6151573593252477E-2</v>
      </c>
      <c r="C2125" s="477">
        <v>14303381.685186274</v>
      </c>
      <c r="D2125" s="458">
        <v>9.3109726269378745E-2</v>
      </c>
      <c r="E2125" s="477">
        <v>15032512.375269104</v>
      </c>
      <c r="F2125" s="458">
        <v>0.10902484196759921</v>
      </c>
      <c r="G2125" s="477">
        <v>86126916.448723182</v>
      </c>
      <c r="H2125" s="458">
        <v>0.2602072552555883</v>
      </c>
      <c r="I2125" s="468">
        <v>5.7697605944045502</v>
      </c>
    </row>
    <row r="2126" spans="1:9" ht="16.5" x14ac:dyDescent="0.3">
      <c r="A2126" s="477">
        <v>4108261.6474792133</v>
      </c>
      <c r="B2126" s="458">
        <v>3.9757297893093568E-2</v>
      </c>
      <c r="C2126" s="477">
        <v>5423137.1859673113</v>
      </c>
      <c r="D2126" s="458">
        <v>8.5571890972747422E-2</v>
      </c>
      <c r="E2126" s="477">
        <v>21918058.468504034</v>
      </c>
      <c r="F2126" s="458">
        <v>0.10420844390538986</v>
      </c>
      <c r="G2126" s="477">
        <v>83421492.449038431</v>
      </c>
      <c r="H2126" s="458">
        <v>0.261665684869967</v>
      </c>
      <c r="I2126" s="468">
        <v>5.924915532829381</v>
      </c>
    </row>
    <row r="2127" spans="1:9" ht="16.5" x14ac:dyDescent="0.3">
      <c r="A2127" s="477">
        <v>4499935.7130525354</v>
      </c>
      <c r="B2127" s="458">
        <v>3.5573519000843712E-2</v>
      </c>
      <c r="C2127" s="477">
        <v>6983332.8644361096</v>
      </c>
      <c r="D2127" s="458">
        <v>4.7557987550518321E-2</v>
      </c>
      <c r="E2127" s="477">
        <v>3728128.2266821368</v>
      </c>
      <c r="F2127" s="458">
        <v>0.11460937854444531</v>
      </c>
      <c r="G2127" s="477">
        <v>92827615.249617368</v>
      </c>
      <c r="H2127" s="458">
        <v>0.25688887095919077</v>
      </c>
      <c r="I2127" s="468">
        <v>14.651628906540026</v>
      </c>
    </row>
    <row r="2128" spans="1:9" ht="16.5" x14ac:dyDescent="0.3">
      <c r="A2128" s="477">
        <v>3402468.8178097792</v>
      </c>
      <c r="B2128" s="458">
        <v>5.3932160611575464E-2</v>
      </c>
      <c r="C2128" s="477">
        <v>13333754.903968485</v>
      </c>
      <c r="D2128" s="458">
        <v>8.2627541577372732E-2</v>
      </c>
      <c r="E2128" s="477">
        <v>13575498.473659981</v>
      </c>
      <c r="F2128" s="458">
        <v>0.11869068691381202</v>
      </c>
      <c r="G2128" s="477">
        <v>89274533.531064197</v>
      </c>
      <c r="H2128" s="458">
        <v>0.26910617321809527</v>
      </c>
      <c r="I2128" s="468">
        <v>8.7477114771142048</v>
      </c>
    </row>
    <row r="2129" spans="1:9" ht="16.5" x14ac:dyDescent="0.3">
      <c r="A2129" s="477">
        <v>2129383.8850181149</v>
      </c>
      <c r="B2129" s="458">
        <v>4.1211446227054527E-2</v>
      </c>
      <c r="C2129" s="477">
        <v>4261132.9519785866</v>
      </c>
      <c r="D2129" s="458">
        <v>5.3467635307584249E-2</v>
      </c>
      <c r="E2129" s="477">
        <v>10315624.489048984</v>
      </c>
      <c r="F2129" s="458">
        <v>0.11591153462230808</v>
      </c>
      <c r="G2129" s="477">
        <v>91868819.412552804</v>
      </c>
      <c r="H2129" s="458">
        <v>0.25737297615525434</v>
      </c>
      <c r="I2129" s="468">
        <v>6.4527153034499465</v>
      </c>
    </row>
    <row r="2130" spans="1:9" ht="16.5" x14ac:dyDescent="0.3">
      <c r="A2130" s="477">
        <v>5328738.2962934021</v>
      </c>
      <c r="B2130" s="458">
        <v>4.1301415505482719E-2</v>
      </c>
      <c r="C2130" s="477">
        <v>3927801.0558031853</v>
      </c>
      <c r="D2130" s="458">
        <v>8.5578021813696781E-2</v>
      </c>
      <c r="E2130" s="477">
        <v>22951996.286148526</v>
      </c>
      <c r="F2130" s="458">
        <v>0.11477315511015851</v>
      </c>
      <c r="G2130" s="477">
        <v>99119599.421418339</v>
      </c>
      <c r="H2130" s="458">
        <v>0.25355730559267786</v>
      </c>
      <c r="I2130" s="468">
        <v>7.2564226176303759</v>
      </c>
    </row>
    <row r="2131" spans="1:9" ht="16.5" x14ac:dyDescent="0.3">
      <c r="A2131" s="477">
        <v>5538370.0444921907</v>
      </c>
      <c r="B2131" s="458">
        <v>1.6078213321730539E-2</v>
      </c>
      <c r="C2131" s="477">
        <v>10846600.680610843</v>
      </c>
      <c r="D2131" s="458">
        <v>6.2205103635692538E-2</v>
      </c>
      <c r="E2131" s="477">
        <v>20506497.768482167</v>
      </c>
      <c r="F2131" s="458">
        <v>0.12026487898057647</v>
      </c>
      <c r="G2131" s="477">
        <v>91621558.58609888</v>
      </c>
      <c r="H2131" s="458">
        <v>0.28055061287853644</v>
      </c>
      <c r="I2131" s="468">
        <v>4.7008535599667969</v>
      </c>
    </row>
    <row r="2132" spans="1:9" ht="16.5" x14ac:dyDescent="0.3">
      <c r="A2132" s="477">
        <v>7219728.2215702282</v>
      </c>
      <c r="B2132" s="458">
        <v>6.5308314516444144E-2</v>
      </c>
      <c r="C2132" s="477">
        <v>5139355.4846586091</v>
      </c>
      <c r="D2132" s="458">
        <v>7.2686453836934728E-2</v>
      </c>
      <c r="E2132" s="477">
        <v>28372325.004411258</v>
      </c>
      <c r="F2132" s="458">
        <v>9.265153238891477E-2</v>
      </c>
      <c r="G2132" s="477">
        <v>102610918.20162946</v>
      </c>
      <c r="H2132" s="458">
        <v>0.27550388600106812</v>
      </c>
      <c r="I2132" s="468">
        <v>6.037528867743486</v>
      </c>
    </row>
    <row r="2133" spans="1:9" ht="16.5" x14ac:dyDescent="0.3">
      <c r="A2133" s="477">
        <v>1361042.7138628913</v>
      </c>
      <c r="B2133" s="458">
        <v>3.7597619953189554E-2</v>
      </c>
      <c r="C2133" s="477">
        <v>8912082.3311371505</v>
      </c>
      <c r="D2133" s="458">
        <v>6.6944399573392488E-2</v>
      </c>
      <c r="E2133" s="477">
        <v>21902743.413825084</v>
      </c>
      <c r="F2133" s="458">
        <v>7.6752474439498952E-2</v>
      </c>
      <c r="G2133" s="477">
        <v>95539770.222207606</v>
      </c>
      <c r="H2133" s="458">
        <v>0.2636089433542117</v>
      </c>
      <c r="I2133" s="468">
        <v>12.965476913874269</v>
      </c>
    </row>
    <row r="2134" spans="1:9" ht="16.5" x14ac:dyDescent="0.3">
      <c r="A2134" s="477">
        <v>5032628.3450546777</v>
      </c>
      <c r="B2134" s="458">
        <v>2.0174047833553255E-2</v>
      </c>
      <c r="C2134" s="477">
        <v>10925859.271977043</v>
      </c>
      <c r="D2134" s="458">
        <v>7.8367523097869984E-2</v>
      </c>
      <c r="E2134" s="477">
        <v>19050762.07396128</v>
      </c>
      <c r="F2134" s="458">
        <v>0.10860031960161787</v>
      </c>
      <c r="G2134" s="477">
        <v>83536071.901326627</v>
      </c>
      <c r="H2134" s="458">
        <v>0.27152820445024384</v>
      </c>
      <c r="I2134" s="468">
        <v>1.0758321798349479</v>
      </c>
    </row>
    <row r="2135" spans="1:9" ht="16.5" x14ac:dyDescent="0.3">
      <c r="A2135" s="477">
        <v>7381240.4536251025</v>
      </c>
      <c r="B2135" s="458">
        <v>3.4610135923672125E-2</v>
      </c>
      <c r="C2135" s="477">
        <v>10271191.970438095</v>
      </c>
      <c r="D2135" s="458">
        <v>8.4482375901159035E-2</v>
      </c>
      <c r="E2135" s="477">
        <v>16379884.686232883</v>
      </c>
      <c r="F2135" s="458">
        <v>0.12914276882373721</v>
      </c>
      <c r="G2135" s="477">
        <v>89040327.153862983</v>
      </c>
      <c r="H2135" s="458">
        <v>0.27606065003202707</v>
      </c>
      <c r="I2135" s="468">
        <v>6.9667703138197474</v>
      </c>
    </row>
    <row r="2136" spans="1:9" ht="16.5" x14ac:dyDescent="0.3">
      <c r="A2136" s="477">
        <v>1784355.6230399399</v>
      </c>
      <c r="B2136" s="458">
        <v>4.0486461263274487E-2</v>
      </c>
      <c r="C2136" s="477">
        <v>2053627.964567242</v>
      </c>
      <c r="D2136" s="458">
        <v>4.3417809488514258E-2</v>
      </c>
      <c r="E2136" s="477">
        <v>17406925.713542342</v>
      </c>
      <c r="F2136" s="458">
        <v>9.528604606391311E-2</v>
      </c>
      <c r="G2136" s="477">
        <v>94857322.943550467</v>
      </c>
      <c r="H2136" s="458">
        <v>0.24649844438063018</v>
      </c>
      <c r="I2136" s="468">
        <v>17.750370293881893</v>
      </c>
    </row>
    <row r="2137" spans="1:9" ht="16.5" x14ac:dyDescent="0.3">
      <c r="A2137" s="477">
        <v>8828054.5670342278</v>
      </c>
      <c r="B2137" s="458">
        <v>5.793436705458177E-2</v>
      </c>
      <c r="C2137" s="477">
        <v>6511648.8113113381</v>
      </c>
      <c r="D2137" s="458">
        <v>3.6911440625439162E-2</v>
      </c>
      <c r="E2137" s="477">
        <v>17350935.766119856</v>
      </c>
      <c r="F2137" s="458">
        <v>9.0623725968900004E-2</v>
      </c>
      <c r="G2137" s="477">
        <v>86752478.471994713</v>
      </c>
      <c r="H2137" s="458">
        <v>0.28724743605704717</v>
      </c>
      <c r="I2137" s="468">
        <v>10.920254030360001</v>
      </c>
    </row>
    <row r="2138" spans="1:9" ht="16.5" x14ac:dyDescent="0.3">
      <c r="A2138" s="477">
        <v>5381298.1480012471</v>
      </c>
      <c r="B2138" s="458">
        <v>5.3501181337121784E-2</v>
      </c>
      <c r="C2138" s="477">
        <v>5018417.5961841531</v>
      </c>
      <c r="D2138" s="458">
        <v>7.7792831856992706E-2</v>
      </c>
      <c r="E2138" s="477">
        <v>21732760.741304897</v>
      </c>
      <c r="F2138" s="458">
        <v>0.11118210099409631</v>
      </c>
      <c r="G2138" s="477">
        <v>73489345.286501065</v>
      </c>
      <c r="H2138" s="458">
        <v>0.2580559112775227</v>
      </c>
      <c r="I2138" s="468">
        <v>9.9289034397147109</v>
      </c>
    </row>
    <row r="2139" spans="1:9" ht="16.5" x14ac:dyDescent="0.3">
      <c r="A2139" s="477">
        <v>4207664.6574252062</v>
      </c>
      <c r="B2139" s="458">
        <v>2.9477454700261863E-2</v>
      </c>
      <c r="C2139" s="477">
        <v>7646603.7542307936</v>
      </c>
      <c r="D2139" s="458">
        <v>4.9820498762838117E-2</v>
      </c>
      <c r="E2139" s="477">
        <v>16074850.885481428</v>
      </c>
      <c r="F2139" s="458">
        <v>8.9617667438261384E-2</v>
      </c>
      <c r="G2139" s="477">
        <v>75878530.946375176</v>
      </c>
      <c r="H2139" s="458">
        <v>0.27868312499414882</v>
      </c>
      <c r="I2139" s="468">
        <v>1.845468875782184</v>
      </c>
    </row>
    <row r="2140" spans="1:9" ht="16.5" x14ac:dyDescent="0.3">
      <c r="A2140" s="477">
        <v>-1104978.1994665917</v>
      </c>
      <c r="B2140" s="458">
        <v>3.0531821069888609E-2</v>
      </c>
      <c r="C2140" s="477">
        <v>8893328.6149448119</v>
      </c>
      <c r="D2140" s="458">
        <v>3.1490370915895793E-2</v>
      </c>
      <c r="E2140" s="477">
        <v>11304769.195609687</v>
      </c>
      <c r="F2140" s="458">
        <v>0.11320400542470632</v>
      </c>
      <c r="G2140" s="477">
        <v>89095099.909591377</v>
      </c>
      <c r="H2140" s="458">
        <v>0.27053540333458059</v>
      </c>
      <c r="I2140" s="468">
        <v>14.484307132716786</v>
      </c>
    </row>
    <row r="2141" spans="1:9" ht="16.5" x14ac:dyDescent="0.3">
      <c r="A2141" s="477">
        <v>4229952.7538876003</v>
      </c>
      <c r="B2141" s="458">
        <v>5.8700304839935047E-2</v>
      </c>
      <c r="C2141" s="477">
        <v>4538082.7667039456</v>
      </c>
      <c r="D2141" s="458">
        <v>6.1203155736123227E-2</v>
      </c>
      <c r="E2141" s="477">
        <v>16940359.267676648</v>
      </c>
      <c r="F2141" s="458">
        <v>0.10319728442452947</v>
      </c>
      <c r="G2141" s="477">
        <v>97925384.67621091</v>
      </c>
      <c r="H2141" s="458">
        <v>0.26524246428170906</v>
      </c>
      <c r="I2141" s="468">
        <v>11.10879963903041</v>
      </c>
    </row>
    <row r="2142" spans="1:9" ht="16.5" x14ac:dyDescent="0.3">
      <c r="A2142" s="477">
        <v>4929994.142866144</v>
      </c>
      <c r="B2142" s="458">
        <v>3.3794574395398902E-2</v>
      </c>
      <c r="C2142" s="477">
        <v>953025.84807337273</v>
      </c>
      <c r="D2142" s="458">
        <v>4.9967639649251883E-2</v>
      </c>
      <c r="E2142" s="477">
        <v>22453937.10041073</v>
      </c>
      <c r="F2142" s="458">
        <v>0.13762377568046058</v>
      </c>
      <c r="G2142" s="477">
        <v>91962270.313391909</v>
      </c>
      <c r="H2142" s="458">
        <v>0.28193175391544267</v>
      </c>
      <c r="I2142" s="468">
        <v>7.5396538142644811</v>
      </c>
    </row>
    <row r="2143" spans="1:9" ht="16.5" x14ac:dyDescent="0.3">
      <c r="A2143" s="477">
        <v>11720136.353335463</v>
      </c>
      <c r="B2143" s="458">
        <v>4.8398838905634456E-2</v>
      </c>
      <c r="C2143" s="477">
        <v>7576260.3190522725</v>
      </c>
      <c r="D2143" s="458">
        <v>6.8018031964326209E-2</v>
      </c>
      <c r="E2143" s="477">
        <v>15578134.08384826</v>
      </c>
      <c r="F2143" s="458">
        <v>9.2543835815423137E-2</v>
      </c>
      <c r="G2143" s="477">
        <v>90219638.24612762</v>
      </c>
      <c r="H2143" s="458">
        <v>0.28325021487294144</v>
      </c>
      <c r="I2143" s="468">
        <v>8.9398030604502292</v>
      </c>
    </row>
    <row r="2144" spans="1:9" ht="16.5" x14ac:dyDescent="0.3">
      <c r="A2144" s="477">
        <v>1574709.4728017116</v>
      </c>
      <c r="B2144" s="458">
        <v>5.1010415850731183E-2</v>
      </c>
      <c r="C2144" s="477">
        <v>5243239.0620143339</v>
      </c>
      <c r="D2144" s="458">
        <v>5.9045192921346468E-2</v>
      </c>
      <c r="E2144" s="477">
        <v>16500008.924184261</v>
      </c>
      <c r="F2144" s="458">
        <v>0.14088474011315899</v>
      </c>
      <c r="G2144" s="477">
        <v>92885213.924447477</v>
      </c>
      <c r="H2144" s="458">
        <v>0.26892382744216392</v>
      </c>
      <c r="I2144" s="468">
        <v>9.8444466371594679</v>
      </c>
    </row>
    <row r="2145" spans="1:9" ht="16.5" x14ac:dyDescent="0.3">
      <c r="A2145" s="477">
        <v>3117391.6946535199</v>
      </c>
      <c r="B2145" s="458">
        <v>3.9777173510971542E-2</v>
      </c>
      <c r="C2145" s="477">
        <v>6708829.6101265838</v>
      </c>
      <c r="D2145" s="458">
        <v>7.9879436200369858E-2</v>
      </c>
      <c r="E2145" s="477">
        <v>12099089.152946085</v>
      </c>
      <c r="F2145" s="458">
        <v>0.11620922867974426</v>
      </c>
      <c r="G2145" s="477">
        <v>74032570.824894041</v>
      </c>
      <c r="H2145" s="458">
        <v>0.31623384553863398</v>
      </c>
      <c r="I2145" s="468">
        <v>3.67311054313382</v>
      </c>
    </row>
    <row r="2146" spans="1:9" ht="16.5" x14ac:dyDescent="0.3">
      <c r="A2146" s="477">
        <v>6300654.891095724</v>
      </c>
      <c r="B2146" s="458">
        <v>1.4972596210109934E-2</v>
      </c>
      <c r="C2146" s="477">
        <v>10576735.21300862</v>
      </c>
      <c r="D2146" s="458">
        <v>6.0464429333423997E-2</v>
      </c>
      <c r="E2146" s="477">
        <v>16427365.47569418</v>
      </c>
      <c r="F2146" s="458">
        <v>0.11725101403508797</v>
      </c>
      <c r="G2146" s="477">
        <v>72946620.494164452</v>
      </c>
      <c r="H2146" s="458">
        <v>0.27307664625559092</v>
      </c>
      <c r="I2146" s="468">
        <v>9.4455731400429332</v>
      </c>
    </row>
    <row r="2147" spans="1:9" ht="16.5" x14ac:dyDescent="0.3">
      <c r="A2147" s="477">
        <v>5296607.0527539132</v>
      </c>
      <c r="B2147" s="458">
        <v>2.8665834013428482E-2</v>
      </c>
      <c r="C2147" s="477">
        <v>5992103.8112444719</v>
      </c>
      <c r="D2147" s="458">
        <v>4.4825496842182622E-2</v>
      </c>
      <c r="E2147" s="477">
        <v>15693567.503950613</v>
      </c>
      <c r="F2147" s="458">
        <v>0.11074218691171911</v>
      </c>
      <c r="G2147" s="477">
        <v>81584492.824088365</v>
      </c>
      <c r="H2147" s="458">
        <v>0.27352075663827358</v>
      </c>
      <c r="I2147" s="468">
        <v>7.3547685181170843</v>
      </c>
    </row>
    <row r="2148" spans="1:9" ht="16.5" x14ac:dyDescent="0.3">
      <c r="A2148" s="477">
        <v>803774.6441939004</v>
      </c>
      <c r="B2148" s="458">
        <v>4.8567512511592081E-2</v>
      </c>
      <c r="C2148" s="477">
        <v>-196654.42325324693</v>
      </c>
      <c r="D2148" s="458">
        <v>7.1843374639966928E-2</v>
      </c>
      <c r="E2148" s="477">
        <v>10149965.197141021</v>
      </c>
      <c r="F2148" s="458">
        <v>0.11863978142693909</v>
      </c>
      <c r="G2148" s="477">
        <v>89574940.893119246</v>
      </c>
      <c r="H2148" s="458">
        <v>0.27165401259909516</v>
      </c>
      <c r="I2148" s="468">
        <v>11.67964615097795</v>
      </c>
    </row>
    <row r="2149" spans="1:9" ht="16.5" x14ac:dyDescent="0.3">
      <c r="A2149" s="477">
        <v>5554072.3801613916</v>
      </c>
      <c r="B2149" s="458">
        <v>2.0476291721499118E-2</v>
      </c>
      <c r="C2149" s="477">
        <v>8828573.3127862196</v>
      </c>
      <c r="D2149" s="458">
        <v>4.7848779105708061E-2</v>
      </c>
      <c r="E2149" s="477">
        <v>19536985.176353429</v>
      </c>
      <c r="F2149" s="458">
        <v>9.9028864084955259E-2</v>
      </c>
      <c r="G2149" s="477">
        <v>95285219.59343946</v>
      </c>
      <c r="H2149" s="458">
        <v>0.29152706749986224</v>
      </c>
      <c r="I2149" s="468">
        <v>-1.9313979797424885</v>
      </c>
    </row>
    <row r="2150" spans="1:9" ht="16.5" x14ac:dyDescent="0.3">
      <c r="A2150" s="477">
        <v>9249221.1370061394</v>
      </c>
      <c r="B2150" s="458">
        <v>3.0027190666991999E-2</v>
      </c>
      <c r="C2150" s="477">
        <v>5581191.8441531463</v>
      </c>
      <c r="D2150" s="458">
        <v>7.8414589887773056E-2</v>
      </c>
      <c r="E2150" s="477">
        <v>17904056.965791915</v>
      </c>
      <c r="F2150" s="458">
        <v>0.11765681057539679</v>
      </c>
      <c r="G2150" s="477">
        <v>90312162.282336369</v>
      </c>
      <c r="H2150" s="458">
        <v>0.25566349718092263</v>
      </c>
      <c r="I2150" s="468">
        <v>9.1969793713253551</v>
      </c>
    </row>
    <row r="2151" spans="1:9" ht="16.5" x14ac:dyDescent="0.3">
      <c r="A2151" s="477">
        <v>5883021.2467249706</v>
      </c>
      <c r="B2151" s="458">
        <v>3.1880288906881882E-2</v>
      </c>
      <c r="C2151" s="477">
        <v>9595785.0829112045</v>
      </c>
      <c r="D2151" s="458">
        <v>5.3506449419217672E-2</v>
      </c>
      <c r="E2151" s="477">
        <v>15197672.186266182</v>
      </c>
      <c r="F2151" s="458">
        <v>0.11955942219509241</v>
      </c>
      <c r="G2151" s="477">
        <v>89294088.353714436</v>
      </c>
      <c r="H2151" s="458">
        <v>0.2779555628108521</v>
      </c>
      <c r="I2151" s="468">
        <v>13.031803600615142</v>
      </c>
    </row>
    <row r="2152" spans="1:9" ht="16.5" x14ac:dyDescent="0.3">
      <c r="A2152" s="477">
        <v>388339.03954671108</v>
      </c>
      <c r="B2152" s="458">
        <v>2.3650849266579899E-2</v>
      </c>
      <c r="C2152" s="477">
        <v>15196284.410501709</v>
      </c>
      <c r="D2152" s="458">
        <v>6.2893253337575672E-2</v>
      </c>
      <c r="E2152" s="477">
        <v>17218876.295034986</v>
      </c>
      <c r="F2152" s="458">
        <v>0.11530623565679332</v>
      </c>
      <c r="G2152" s="477">
        <v>98132741.04864648</v>
      </c>
      <c r="H2152" s="458">
        <v>0.26468272296513895</v>
      </c>
      <c r="I2152" s="468">
        <v>4.9174789817261813</v>
      </c>
    </row>
    <row r="2153" spans="1:9" ht="16.5" x14ac:dyDescent="0.3">
      <c r="A2153" s="477">
        <v>4705702.0198388239</v>
      </c>
      <c r="B2153" s="458">
        <v>4.482276123796014E-2</v>
      </c>
      <c r="C2153" s="477">
        <v>8051268.3762365375</v>
      </c>
      <c r="D2153" s="458">
        <v>7.1531217523163937E-2</v>
      </c>
      <c r="E2153" s="477">
        <v>9641315.8912215121</v>
      </c>
      <c r="F2153" s="458">
        <v>5.7484294914015077E-2</v>
      </c>
      <c r="G2153" s="477">
        <v>89660198.39301756</v>
      </c>
      <c r="H2153" s="458">
        <v>0.26404541824282268</v>
      </c>
      <c r="I2153" s="468">
        <v>9.4907356882362315</v>
      </c>
    </row>
    <row r="2154" spans="1:9" ht="16.5" x14ac:dyDescent="0.3">
      <c r="A2154" s="477">
        <v>5852491.4926402867</v>
      </c>
      <c r="B2154" s="458">
        <v>2.8008918257753868E-2</v>
      </c>
      <c r="C2154" s="477">
        <v>13434136.256325794</v>
      </c>
      <c r="D2154" s="458">
        <v>5.5459784368051102E-2</v>
      </c>
      <c r="E2154" s="477">
        <v>22213797.797794934</v>
      </c>
      <c r="F2154" s="458">
        <v>9.7232372116022203E-2</v>
      </c>
      <c r="G2154" s="477">
        <v>86804952.818144873</v>
      </c>
      <c r="H2154" s="458">
        <v>0.2637497058498488</v>
      </c>
      <c r="I2154" s="468">
        <v>2.3596094148856643</v>
      </c>
    </row>
    <row r="2155" spans="1:9" ht="16.5" x14ac:dyDescent="0.3">
      <c r="A2155" s="477">
        <v>7837862.1186099295</v>
      </c>
      <c r="B2155" s="458">
        <v>3.789103680273409E-2</v>
      </c>
      <c r="C2155" s="477">
        <v>8924488.9058063272</v>
      </c>
      <c r="D2155" s="458">
        <v>5.3686282591399737E-2</v>
      </c>
      <c r="E2155" s="477">
        <v>19417173.269418079</v>
      </c>
      <c r="F2155" s="458">
        <v>0.1079497786349064</v>
      </c>
      <c r="G2155" s="477">
        <v>87504582.306487247</v>
      </c>
      <c r="H2155" s="458">
        <v>0.27811827411747281</v>
      </c>
      <c r="I2155" s="468">
        <v>-0.57130921549974012</v>
      </c>
    </row>
    <row r="2156" spans="1:9" ht="16.5" x14ac:dyDescent="0.3">
      <c r="A2156" s="477">
        <v>6357122.6097031636</v>
      </c>
      <c r="B2156" s="458">
        <v>3.43494278483778E-2</v>
      </c>
      <c r="C2156" s="477">
        <v>9147730.4280798156</v>
      </c>
      <c r="D2156" s="458">
        <v>4.7919937002919744E-2</v>
      </c>
      <c r="E2156" s="477">
        <v>9721241.0501625855</v>
      </c>
      <c r="F2156" s="458">
        <v>0.12604507514456986</v>
      </c>
      <c r="G2156" s="477">
        <v>92262427.041198075</v>
      </c>
      <c r="H2156" s="458">
        <v>0.25985819285198275</v>
      </c>
      <c r="I2156" s="468">
        <v>7.8496932910246926</v>
      </c>
    </row>
    <row r="2157" spans="1:9" ht="16.5" x14ac:dyDescent="0.3">
      <c r="A2157" s="477">
        <v>3481656.609616233</v>
      </c>
      <c r="B2157" s="458">
        <v>2.1551051543135413E-2</v>
      </c>
      <c r="C2157" s="477">
        <v>9686282.8494201321</v>
      </c>
      <c r="D2157" s="458">
        <v>4.6693800642213734E-2</v>
      </c>
      <c r="E2157" s="477">
        <v>16062778.520101253</v>
      </c>
      <c r="F2157" s="458">
        <v>0.10357317410210265</v>
      </c>
      <c r="G2157" s="477">
        <v>88275280.269349068</v>
      </c>
      <c r="H2157" s="458">
        <v>0.26499430350143727</v>
      </c>
      <c r="I2157" s="468">
        <v>3.7654413355951375</v>
      </c>
    </row>
    <row r="2158" spans="1:9" ht="16.5" x14ac:dyDescent="0.3">
      <c r="A2158" s="477">
        <v>8009873.3328355709</v>
      </c>
      <c r="B2158" s="458">
        <v>4.209855203441415E-2</v>
      </c>
      <c r="C2158" s="477">
        <v>12023335.316448348</v>
      </c>
      <c r="D2158" s="458">
        <v>5.3047294903520781E-2</v>
      </c>
      <c r="E2158" s="477">
        <v>6698869.5807300564</v>
      </c>
      <c r="F2158" s="458">
        <v>0.10299600475546544</v>
      </c>
      <c r="G2158" s="477">
        <v>84776177.513303325</v>
      </c>
      <c r="H2158" s="458">
        <v>0.26325269890484604</v>
      </c>
      <c r="I2158" s="468">
        <v>12.422186891881898</v>
      </c>
    </row>
    <row r="2159" spans="1:9" ht="16.5" x14ac:dyDescent="0.3">
      <c r="A2159" s="477">
        <v>-89357.126110948389</v>
      </c>
      <c r="B2159" s="458">
        <v>1.6863664654881871E-2</v>
      </c>
      <c r="C2159" s="477">
        <v>11515597.771570439</v>
      </c>
      <c r="D2159" s="458">
        <v>3.6056973982006468E-2</v>
      </c>
      <c r="E2159" s="477">
        <v>10151908.348114997</v>
      </c>
      <c r="F2159" s="458">
        <v>0.120630027791784</v>
      </c>
      <c r="G2159" s="477">
        <v>88601839.031841472</v>
      </c>
      <c r="H2159" s="458">
        <v>0.29637964730507149</v>
      </c>
      <c r="I2159" s="468">
        <v>9.0840818604856324</v>
      </c>
    </row>
    <row r="2160" spans="1:9" ht="16.5" x14ac:dyDescent="0.3">
      <c r="A2160" s="477">
        <v>5440263.3264102405</v>
      </c>
      <c r="B2160" s="458">
        <v>6.4502569079313066E-2</v>
      </c>
      <c r="C2160" s="477">
        <v>14678091.898604663</v>
      </c>
      <c r="D2160" s="458">
        <v>8.3525512782268052E-2</v>
      </c>
      <c r="E2160" s="477">
        <v>17396053.663410619</v>
      </c>
      <c r="F2160" s="458">
        <v>9.5327058146045696E-2</v>
      </c>
      <c r="G2160" s="477">
        <v>82628497.901732266</v>
      </c>
      <c r="H2160" s="458">
        <v>0.2561053175821415</v>
      </c>
      <c r="I2160" s="468">
        <v>10.420200136877714</v>
      </c>
    </row>
    <row r="2161" spans="1:9" ht="16.5" x14ac:dyDescent="0.3">
      <c r="A2161" s="477">
        <v>6201825.7835257212</v>
      </c>
      <c r="B2161" s="458">
        <v>2.9505186578120624E-2</v>
      </c>
      <c r="C2161" s="477">
        <v>9992170.2070377786</v>
      </c>
      <c r="D2161" s="458">
        <v>5.4311079296006204E-2</v>
      </c>
      <c r="E2161" s="477">
        <v>27090591.99342411</v>
      </c>
      <c r="F2161" s="458">
        <v>0.11482333003166167</v>
      </c>
      <c r="G2161" s="477">
        <v>81626921.208711967</v>
      </c>
      <c r="H2161" s="458">
        <v>0.30670533691325708</v>
      </c>
      <c r="I2161" s="468">
        <v>7.3624613126319787</v>
      </c>
    </row>
    <row r="2162" spans="1:9" ht="16.5" x14ac:dyDescent="0.3">
      <c r="A2162" s="477">
        <v>5033348.5027854368</v>
      </c>
      <c r="B2162" s="458">
        <v>2.2723835900484879E-2</v>
      </c>
      <c r="C2162" s="477">
        <v>7190970.141425211</v>
      </c>
      <c r="D2162" s="458">
        <v>0.12255513352434</v>
      </c>
      <c r="E2162" s="477">
        <v>17628373.02473437</v>
      </c>
      <c r="F2162" s="458">
        <v>0.13922994280774148</v>
      </c>
      <c r="G2162" s="477">
        <v>78050280.907250747</v>
      </c>
      <c r="H2162" s="458">
        <v>0.29083995018017417</v>
      </c>
      <c r="I2162" s="468">
        <v>11.494252762213723</v>
      </c>
    </row>
    <row r="2163" spans="1:9" ht="16.5" x14ac:dyDescent="0.3">
      <c r="A2163" s="477">
        <v>5704866.6785740936</v>
      </c>
      <c r="B2163" s="458">
        <v>3.9712410918129493E-2</v>
      </c>
      <c r="C2163" s="477">
        <v>7887800.9054155201</v>
      </c>
      <c r="D2163" s="458">
        <v>5.4923193118151525E-2</v>
      </c>
      <c r="E2163" s="477">
        <v>21371993.408199295</v>
      </c>
      <c r="F2163" s="458">
        <v>0.12385639260528425</v>
      </c>
      <c r="G2163" s="477">
        <v>74966949.404388189</v>
      </c>
      <c r="H2163" s="458">
        <v>0.26247030220289647</v>
      </c>
      <c r="I2163" s="468">
        <v>13.95475218718085</v>
      </c>
    </row>
    <row r="2164" spans="1:9" ht="16.5" x14ac:dyDescent="0.3">
      <c r="A2164" s="477">
        <v>4487310.6932406891</v>
      </c>
      <c r="B2164" s="458">
        <v>5.4152943802788123E-2</v>
      </c>
      <c r="C2164" s="477">
        <v>7008648.8029402383</v>
      </c>
      <c r="D2164" s="458">
        <v>5.1877898522192822E-2</v>
      </c>
      <c r="E2164" s="477">
        <v>18825387.81500379</v>
      </c>
      <c r="F2164" s="458">
        <v>9.6624230510720999E-2</v>
      </c>
      <c r="G2164" s="477">
        <v>92791057.779474035</v>
      </c>
      <c r="H2164" s="458">
        <v>0.26293683899103226</v>
      </c>
      <c r="I2164" s="468">
        <v>13.164786924355486</v>
      </c>
    </row>
    <row r="2165" spans="1:9" ht="16.5" x14ac:dyDescent="0.3">
      <c r="A2165" s="477">
        <v>10260622.090768363</v>
      </c>
      <c r="B2165" s="458">
        <v>3.7338608231296977E-2</v>
      </c>
      <c r="C2165" s="477">
        <v>5088285.9989870787</v>
      </c>
      <c r="D2165" s="458">
        <v>7.2203009317782563E-2</v>
      </c>
      <c r="E2165" s="477">
        <v>26141921.003105067</v>
      </c>
      <c r="F2165" s="458">
        <v>0.10332437064018052</v>
      </c>
      <c r="G2165" s="477">
        <v>86444817.697301403</v>
      </c>
      <c r="H2165" s="458">
        <v>0.26152982546856518</v>
      </c>
      <c r="I2165" s="468">
        <v>7.3973383655529403</v>
      </c>
    </row>
    <row r="2166" spans="1:9" ht="16.5" x14ac:dyDescent="0.3">
      <c r="A2166" s="477">
        <v>6611539.5552191557</v>
      </c>
      <c r="B2166" s="458">
        <v>3.3819487928796743E-2</v>
      </c>
      <c r="C2166" s="477">
        <v>8422007.4325703178</v>
      </c>
      <c r="D2166" s="458">
        <v>6.086592006896363E-2</v>
      </c>
      <c r="E2166" s="477">
        <v>16061488.458556486</v>
      </c>
      <c r="F2166" s="458">
        <v>0.12821943118525336</v>
      </c>
      <c r="G2166" s="477">
        <v>81973263.97256355</v>
      </c>
      <c r="H2166" s="458">
        <v>0.28672086090826543</v>
      </c>
      <c r="I2166" s="468">
        <v>5.2857008685253213</v>
      </c>
    </row>
    <row r="2167" spans="1:9" ht="16.5" x14ac:dyDescent="0.3">
      <c r="A2167" s="477">
        <v>6860110.5215551313</v>
      </c>
      <c r="B2167" s="458">
        <v>4.7237140502005115E-2</v>
      </c>
      <c r="C2167" s="477">
        <v>4643230.6501330677</v>
      </c>
      <c r="D2167" s="458">
        <v>7.6124675582368573E-2</v>
      </c>
      <c r="E2167" s="477">
        <v>15108074.870138181</v>
      </c>
      <c r="F2167" s="458">
        <v>8.5661812716314012E-2</v>
      </c>
      <c r="G2167" s="477">
        <v>83077606.828492075</v>
      </c>
      <c r="H2167" s="458">
        <v>0.2626109869766331</v>
      </c>
      <c r="I2167" s="468">
        <v>7.3707257638181041</v>
      </c>
    </row>
    <row r="2168" spans="1:9" ht="16.5" x14ac:dyDescent="0.3">
      <c r="A2168" s="477">
        <v>5390734.3815944046</v>
      </c>
      <c r="B2168" s="458">
        <v>5.3673309729046048E-2</v>
      </c>
      <c r="C2168" s="477">
        <v>9273571.9138153177</v>
      </c>
      <c r="D2168" s="458">
        <v>4.2074440019444603E-2</v>
      </c>
      <c r="E2168" s="477">
        <v>18881407.03937741</v>
      </c>
      <c r="F2168" s="458">
        <v>8.4410680922542447E-2</v>
      </c>
      <c r="G2168" s="477">
        <v>91971102.343502134</v>
      </c>
      <c r="H2168" s="458">
        <v>0.26703066114644769</v>
      </c>
      <c r="I2168" s="468">
        <v>4.1248258792014969</v>
      </c>
    </row>
    <row r="2169" spans="1:9" ht="16.5" x14ac:dyDescent="0.3">
      <c r="A2169" s="477">
        <v>4496257.5671529258</v>
      </c>
      <c r="B2169" s="458">
        <v>3.4083695532818314E-2</v>
      </c>
      <c r="C2169" s="477">
        <v>5798689.6988819381</v>
      </c>
      <c r="D2169" s="458">
        <v>5.1118497218651138E-2</v>
      </c>
      <c r="E2169" s="477">
        <v>26702904.589497428</v>
      </c>
      <c r="F2169" s="458">
        <v>0.11729788537337127</v>
      </c>
      <c r="G2169" s="477">
        <v>102687278.98001766</v>
      </c>
      <c r="H2169" s="458">
        <v>0.2748271407227203</v>
      </c>
      <c r="I2169" s="468">
        <v>11.420155601728482</v>
      </c>
    </row>
    <row r="2170" spans="1:9" ht="16.5" x14ac:dyDescent="0.3">
      <c r="A2170" s="477">
        <v>3614945.0971678989</v>
      </c>
      <c r="B2170" s="458">
        <v>7.0222329680939444E-2</v>
      </c>
      <c r="C2170" s="477">
        <v>6106459.7925731661</v>
      </c>
      <c r="D2170" s="458">
        <v>3.1705478106452301E-2</v>
      </c>
      <c r="E2170" s="477">
        <v>25588912.347378697</v>
      </c>
      <c r="F2170" s="458">
        <v>8.8713977170060687E-2</v>
      </c>
      <c r="G2170" s="477">
        <v>86590939.578431338</v>
      </c>
      <c r="H2170" s="458">
        <v>0.25881288185151985</v>
      </c>
      <c r="I2170" s="468">
        <v>10.056371721515976</v>
      </c>
    </row>
    <row r="2171" spans="1:9" ht="16.5" x14ac:dyDescent="0.3">
      <c r="A2171" s="477">
        <v>9826335.9579319824</v>
      </c>
      <c r="B2171" s="458">
        <v>3.2603648659105255E-2</v>
      </c>
      <c r="C2171" s="477">
        <v>3701235.7192819631</v>
      </c>
      <c r="D2171" s="458">
        <v>7.0758166842879167E-2</v>
      </c>
      <c r="E2171" s="477">
        <v>14150257.29644352</v>
      </c>
      <c r="F2171" s="458">
        <v>9.8208619418021392E-2</v>
      </c>
      <c r="G2171" s="477">
        <v>96589552.567944899</v>
      </c>
      <c r="H2171" s="458">
        <v>0.26038209202119988</v>
      </c>
      <c r="I2171" s="468">
        <v>10.120884659957355</v>
      </c>
    </row>
    <row r="2172" spans="1:9" ht="16.5" x14ac:dyDescent="0.3">
      <c r="A2172" s="477">
        <v>3374451.5479928334</v>
      </c>
      <c r="B2172" s="458">
        <v>3.0003140914836468E-2</v>
      </c>
      <c r="C2172" s="477">
        <v>6564817.1805328038</v>
      </c>
      <c r="D2172" s="458">
        <v>9.0607699773159078E-2</v>
      </c>
      <c r="E2172" s="477">
        <v>16638065.131958719</v>
      </c>
      <c r="F2172" s="458">
        <v>6.6368811623222834E-2</v>
      </c>
      <c r="G2172" s="477">
        <v>86413651.576004893</v>
      </c>
      <c r="H2172" s="458">
        <v>0.27445952325283707</v>
      </c>
      <c r="I2172" s="468">
        <v>4.8801390433826732</v>
      </c>
    </row>
    <row r="2173" spans="1:9" ht="16.5" x14ac:dyDescent="0.3">
      <c r="A2173" s="477">
        <v>3292155.3622585959</v>
      </c>
      <c r="B2173" s="458">
        <v>1.367384133357552E-2</v>
      </c>
      <c r="C2173" s="477">
        <v>5383588.8910531234</v>
      </c>
      <c r="D2173" s="458">
        <v>6.6527116998494229E-2</v>
      </c>
      <c r="E2173" s="477">
        <v>20681294.296765838</v>
      </c>
      <c r="F2173" s="458">
        <v>8.4129900438594696E-2</v>
      </c>
      <c r="G2173" s="477">
        <v>84105842.956482589</v>
      </c>
      <c r="H2173" s="458">
        <v>0.26808057753511116</v>
      </c>
      <c r="I2173" s="468">
        <v>8.4418878713882357</v>
      </c>
    </row>
    <row r="2174" spans="1:9" ht="16.5" x14ac:dyDescent="0.3">
      <c r="A2174" s="477">
        <v>7804170.4112777822</v>
      </c>
      <c r="B2174" s="458">
        <v>4.3685124245367968E-2</v>
      </c>
      <c r="C2174" s="477">
        <v>6926350.9478720697</v>
      </c>
      <c r="D2174" s="458">
        <v>4.9612646072103139E-2</v>
      </c>
      <c r="E2174" s="477">
        <v>11419320.295713745</v>
      </c>
      <c r="F2174" s="458">
        <v>9.4295910561853935E-2</v>
      </c>
      <c r="G2174" s="477">
        <v>89071909.359520644</v>
      </c>
      <c r="H2174" s="458">
        <v>0.25744298162041002</v>
      </c>
      <c r="I2174" s="468">
        <v>11.240277538731188</v>
      </c>
    </row>
    <row r="2175" spans="1:9" ht="16.5" x14ac:dyDescent="0.3">
      <c r="A2175" s="477">
        <v>5483782.5167686231</v>
      </c>
      <c r="B2175" s="458">
        <v>3.1802859962597019E-2</v>
      </c>
      <c r="C2175" s="477">
        <v>8565243.6291434113</v>
      </c>
      <c r="D2175" s="458">
        <v>7.1830989674215306E-2</v>
      </c>
      <c r="E2175" s="477">
        <v>13068296.91782142</v>
      </c>
      <c r="F2175" s="458">
        <v>8.577657560781482E-2</v>
      </c>
      <c r="G2175" s="477">
        <v>87459114.948124066</v>
      </c>
      <c r="H2175" s="458">
        <v>0.28371919315619598</v>
      </c>
      <c r="I2175" s="468">
        <v>1.7639182167978369</v>
      </c>
    </row>
    <row r="2176" spans="1:9" ht="16.5" x14ac:dyDescent="0.3">
      <c r="A2176" s="477">
        <v>6306510.4941016566</v>
      </c>
      <c r="B2176" s="458">
        <v>2.1567610092343648E-2</v>
      </c>
      <c r="C2176" s="477">
        <v>11256975.211366007</v>
      </c>
      <c r="D2176" s="458">
        <v>7.295924082040095E-2</v>
      </c>
      <c r="E2176" s="477">
        <v>15727369.975801986</v>
      </c>
      <c r="F2176" s="458">
        <v>0.10957454154718826</v>
      </c>
      <c r="G2176" s="477">
        <v>86613604.298918605</v>
      </c>
      <c r="H2176" s="458">
        <v>0.27423803726421769</v>
      </c>
      <c r="I2176" s="468">
        <v>14.269970712831535</v>
      </c>
    </row>
    <row r="2177" spans="1:9" ht="16.5" x14ac:dyDescent="0.3">
      <c r="A2177" s="477">
        <v>4670453.3542632777</v>
      </c>
      <c r="B2177" s="458">
        <v>2.3845373335115605E-2</v>
      </c>
      <c r="C2177" s="477">
        <v>6488199.1956482651</v>
      </c>
      <c r="D2177" s="458">
        <v>4.8484588203568046E-2</v>
      </c>
      <c r="E2177" s="477">
        <v>15077811.626714662</v>
      </c>
      <c r="F2177" s="458">
        <v>8.0168185438498796E-2</v>
      </c>
      <c r="G2177" s="477">
        <v>88428517.662653461</v>
      </c>
      <c r="H2177" s="458">
        <v>0.28712167171437719</v>
      </c>
      <c r="I2177" s="468">
        <v>5.6373980004639446</v>
      </c>
    </row>
    <row r="2178" spans="1:9" ht="16.5" x14ac:dyDescent="0.3">
      <c r="A2178" s="477">
        <v>3206065.6488081994</v>
      </c>
      <c r="B2178" s="458">
        <v>3.0151105492012276E-2</v>
      </c>
      <c r="C2178" s="477">
        <v>9075949.3537445106</v>
      </c>
      <c r="D2178" s="458">
        <v>6.4016074746148011E-2</v>
      </c>
      <c r="E2178" s="477">
        <v>15919043.192703513</v>
      </c>
      <c r="F2178" s="458">
        <v>0.12140991017943281</v>
      </c>
      <c r="G2178" s="477">
        <v>86098415.798172459</v>
      </c>
      <c r="H2178" s="458">
        <v>0.26745777538793769</v>
      </c>
      <c r="I2178" s="468">
        <v>8.3004568281279276</v>
      </c>
    </row>
    <row r="2179" spans="1:9" ht="16.5" x14ac:dyDescent="0.3">
      <c r="A2179" s="477">
        <v>3518242.034224926</v>
      </c>
      <c r="B2179" s="458">
        <v>2.5875314196992072E-2</v>
      </c>
      <c r="C2179" s="477">
        <v>15115187.183580307</v>
      </c>
      <c r="D2179" s="458">
        <v>4.9623994969511642E-2</v>
      </c>
      <c r="E2179" s="477">
        <v>17795385.304513697</v>
      </c>
      <c r="F2179" s="458">
        <v>0.13126627260445511</v>
      </c>
      <c r="G2179" s="477">
        <v>83351505.710463807</v>
      </c>
      <c r="H2179" s="458">
        <v>0.25921098267178388</v>
      </c>
      <c r="I2179" s="468">
        <v>8.2880069872999229</v>
      </c>
    </row>
    <row r="2180" spans="1:9" ht="16.5" x14ac:dyDescent="0.3">
      <c r="A2180" s="477">
        <v>5737948.1126159439</v>
      </c>
      <c r="B2180" s="458">
        <v>3.2354222173733627E-2</v>
      </c>
      <c r="C2180" s="477">
        <v>6648757.445012602</v>
      </c>
      <c r="D2180" s="458">
        <v>6.2053492051235892E-2</v>
      </c>
      <c r="E2180" s="477">
        <v>16436122.853867251</v>
      </c>
      <c r="F2180" s="458">
        <v>0.10267261022592167</v>
      </c>
      <c r="G2180" s="477">
        <v>90112420.405351937</v>
      </c>
      <c r="H2180" s="458">
        <v>0.25082738485846079</v>
      </c>
      <c r="I2180" s="468">
        <v>0.83638448842522095</v>
      </c>
    </row>
    <row r="2181" spans="1:9" ht="16.5" x14ac:dyDescent="0.3">
      <c r="A2181" s="477">
        <v>5296251.7379542086</v>
      </c>
      <c r="B2181" s="458">
        <v>3.2780809587047877E-2</v>
      </c>
      <c r="C2181" s="477">
        <v>4197098.6386380009</v>
      </c>
      <c r="D2181" s="458">
        <v>6.176367803632421E-2</v>
      </c>
      <c r="E2181" s="477">
        <v>12006628.211678954</v>
      </c>
      <c r="F2181" s="458">
        <v>0.10746392957233319</v>
      </c>
      <c r="G2181" s="477">
        <v>97073857.553438306</v>
      </c>
      <c r="H2181" s="458">
        <v>0.26280393513206901</v>
      </c>
      <c r="I2181" s="468">
        <v>8.1775344869490727</v>
      </c>
    </row>
    <row r="2182" spans="1:9" ht="16.5" x14ac:dyDescent="0.3">
      <c r="A2182" s="477">
        <v>3008065.9664198961</v>
      </c>
      <c r="B2182" s="458">
        <v>4.9678178605270462E-2</v>
      </c>
      <c r="C2182" s="477">
        <v>10992326.280975731</v>
      </c>
      <c r="D2182" s="458">
        <v>5.112182477733529E-2</v>
      </c>
      <c r="E2182" s="477">
        <v>6468373.5915936939</v>
      </c>
      <c r="F2182" s="458">
        <v>0.14449275203745682</v>
      </c>
      <c r="G2182" s="477">
        <v>97283550.001872703</v>
      </c>
      <c r="H2182" s="458">
        <v>0.28125886040124692</v>
      </c>
      <c r="I2182" s="468">
        <v>9.8855822146373029</v>
      </c>
    </row>
    <row r="2183" spans="1:9" ht="16.5" x14ac:dyDescent="0.3">
      <c r="A2183" s="477">
        <v>5050997.9798969002</v>
      </c>
      <c r="B2183" s="458">
        <v>4.4652243576887685E-2</v>
      </c>
      <c r="C2183" s="477">
        <v>6270503.0329557182</v>
      </c>
      <c r="D2183" s="458">
        <v>5.2865534403055303E-2</v>
      </c>
      <c r="E2183" s="477">
        <v>19926430.550315723</v>
      </c>
      <c r="F2183" s="458">
        <v>9.4042127629984984E-2</v>
      </c>
      <c r="G2183" s="477">
        <v>96210655.869824514</v>
      </c>
      <c r="H2183" s="458">
        <v>0.25776753111867867</v>
      </c>
      <c r="I2183" s="468">
        <v>8.5690618150237423</v>
      </c>
    </row>
    <row r="2184" spans="1:9" ht="16.5" x14ac:dyDescent="0.3">
      <c r="A2184" s="477">
        <v>4477486.0977798877</v>
      </c>
      <c r="B2184" s="458">
        <v>6.1760182204224634E-2</v>
      </c>
      <c r="C2184" s="477">
        <v>7176916.5720042363</v>
      </c>
      <c r="D2184" s="458">
        <v>0.10669316769897308</v>
      </c>
      <c r="E2184" s="477">
        <v>23165474.23167643</v>
      </c>
      <c r="F2184" s="458">
        <v>0.11540340430928553</v>
      </c>
      <c r="G2184" s="477">
        <v>85221263.601705074</v>
      </c>
      <c r="H2184" s="458">
        <v>0.28225930507497865</v>
      </c>
      <c r="I2184" s="468">
        <v>3.7435495612163683</v>
      </c>
    </row>
    <row r="2185" spans="1:9" ht="16.5" x14ac:dyDescent="0.3">
      <c r="A2185" s="477">
        <v>6469596.8883997947</v>
      </c>
      <c r="B2185" s="458">
        <v>5.2868661272352568E-2</v>
      </c>
      <c r="C2185" s="477">
        <v>9408838.1998890396</v>
      </c>
      <c r="D2185" s="458">
        <v>9.0776340464576277E-2</v>
      </c>
      <c r="E2185" s="477">
        <v>17340744.919030577</v>
      </c>
      <c r="F2185" s="458">
        <v>8.7627209925965177E-2</v>
      </c>
      <c r="G2185" s="477">
        <v>82093001.612958476</v>
      </c>
      <c r="H2185" s="458">
        <v>0.30289775086048842</v>
      </c>
      <c r="I2185" s="468">
        <v>7.5913449397108632</v>
      </c>
    </row>
    <row r="2186" spans="1:9" ht="16.5" x14ac:dyDescent="0.3">
      <c r="A2186" s="477">
        <v>6252200.6110684676</v>
      </c>
      <c r="B2186" s="458">
        <v>2.3612458574407524E-2</v>
      </c>
      <c r="C2186" s="477">
        <v>10172760.07337385</v>
      </c>
      <c r="D2186" s="458">
        <v>8.9503078271224945E-2</v>
      </c>
      <c r="E2186" s="477">
        <v>23592818.636864435</v>
      </c>
      <c r="F2186" s="458">
        <v>0.16400876523430408</v>
      </c>
      <c r="G2186" s="477">
        <v>95190633.51689285</v>
      </c>
      <c r="H2186" s="458">
        <v>0.28581895660325829</v>
      </c>
      <c r="I2186" s="468">
        <v>3.5570303630173381</v>
      </c>
    </row>
    <row r="2187" spans="1:9" ht="16.5" x14ac:dyDescent="0.3">
      <c r="A2187" s="477">
        <v>4191283.3791463361</v>
      </c>
      <c r="B2187" s="458">
        <v>5.1242876922550584E-2</v>
      </c>
      <c r="C2187" s="477">
        <v>10421096.892584285</v>
      </c>
      <c r="D2187" s="458">
        <v>5.1498056060319319E-2</v>
      </c>
      <c r="E2187" s="477">
        <v>16307816.334196331</v>
      </c>
      <c r="F2187" s="458">
        <v>0.13730678779982886</v>
      </c>
      <c r="G2187" s="477">
        <v>74849061.671606675</v>
      </c>
      <c r="H2187" s="458">
        <v>0.30560931633689026</v>
      </c>
      <c r="I2187" s="468">
        <v>6.5067957950481441</v>
      </c>
    </row>
    <row r="2188" spans="1:9" ht="16.5" x14ac:dyDescent="0.3">
      <c r="A2188" s="477">
        <v>7451270.6479906542</v>
      </c>
      <c r="B2188" s="458">
        <v>0.10232848839711473</v>
      </c>
      <c r="C2188" s="477">
        <v>4117462.6080284049</v>
      </c>
      <c r="D2188" s="458">
        <v>7.8061012627315129E-2</v>
      </c>
      <c r="E2188" s="477">
        <v>19069924.375957955</v>
      </c>
      <c r="F2188" s="458">
        <v>0.15184047517761745</v>
      </c>
      <c r="G2188" s="477">
        <v>81762079.569256648</v>
      </c>
      <c r="H2188" s="458">
        <v>0.28772448763743896</v>
      </c>
      <c r="I2188" s="468">
        <v>6.6752808213898946</v>
      </c>
    </row>
    <row r="2189" spans="1:9" ht="16.5" x14ac:dyDescent="0.3">
      <c r="A2189" s="477">
        <v>7534333.5628527272</v>
      </c>
      <c r="B2189" s="458">
        <v>2.5543828875258523E-2</v>
      </c>
      <c r="C2189" s="477">
        <v>9067486.1666283719</v>
      </c>
      <c r="D2189" s="458">
        <v>6.5435730323457841E-2</v>
      </c>
      <c r="E2189" s="477">
        <v>13524703.752730347</v>
      </c>
      <c r="F2189" s="458">
        <v>0.12237974695488818</v>
      </c>
      <c r="G2189" s="477">
        <v>82291073.319935054</v>
      </c>
      <c r="H2189" s="458">
        <v>0.28196262368940839</v>
      </c>
      <c r="I2189" s="468">
        <v>5.6380804726907598</v>
      </c>
    </row>
    <row r="2190" spans="1:9" ht="16.5" x14ac:dyDescent="0.3">
      <c r="A2190" s="477">
        <v>4135145.6599811581</v>
      </c>
      <c r="B2190" s="458">
        <v>3.4022657515748511E-2</v>
      </c>
      <c r="C2190" s="477">
        <v>4854939.4314784408</v>
      </c>
      <c r="D2190" s="458">
        <v>4.1070210451968236E-2</v>
      </c>
      <c r="E2190" s="477">
        <v>12989264.819016568</v>
      </c>
      <c r="F2190" s="458">
        <v>0.10152348286461121</v>
      </c>
      <c r="G2190" s="477">
        <v>73028620.514833197</v>
      </c>
      <c r="H2190" s="458">
        <v>0.26672666650604815</v>
      </c>
      <c r="I2190" s="468">
        <v>8.1944688383990147</v>
      </c>
    </row>
    <row r="2191" spans="1:9" ht="16.5" x14ac:dyDescent="0.3">
      <c r="A2191" s="477">
        <v>4985115.6177473338</v>
      </c>
      <c r="B2191" s="458">
        <v>3.7033087535139231E-2</v>
      </c>
      <c r="C2191" s="477">
        <v>10109314.118454698</v>
      </c>
      <c r="D2191" s="458">
        <v>2.042704463568823E-2</v>
      </c>
      <c r="E2191" s="477">
        <v>12423465.81615377</v>
      </c>
      <c r="F2191" s="458">
        <v>0.10915539290897192</v>
      </c>
      <c r="G2191" s="477">
        <v>88838205.131966487</v>
      </c>
      <c r="H2191" s="458">
        <v>0.31021501891261027</v>
      </c>
      <c r="I2191" s="468">
        <v>5.097209119703491</v>
      </c>
    </row>
    <row r="2192" spans="1:9" ht="16.5" x14ac:dyDescent="0.3">
      <c r="A2192" s="477">
        <v>6438404.5022385465</v>
      </c>
      <c r="B2192" s="458">
        <v>3.0908976345279671E-2</v>
      </c>
      <c r="C2192" s="477">
        <v>2115368.7423006282</v>
      </c>
      <c r="D2192" s="458">
        <v>6.1712505195210321E-2</v>
      </c>
      <c r="E2192" s="477">
        <v>19625735.402515233</v>
      </c>
      <c r="F2192" s="458">
        <v>9.0025707203200689E-2</v>
      </c>
      <c r="G2192" s="477">
        <v>86759655.118574396</v>
      </c>
      <c r="H2192" s="458">
        <v>0.27861502891660028</v>
      </c>
      <c r="I2192" s="468">
        <v>10.656650358478895</v>
      </c>
    </row>
    <row r="2193" spans="1:9" ht="16.5" x14ac:dyDescent="0.3">
      <c r="A2193" s="477">
        <v>2895547.4815561078</v>
      </c>
      <c r="B2193" s="458">
        <v>3.0511643434773417E-2</v>
      </c>
      <c r="C2193" s="477">
        <v>7692847.0437247809</v>
      </c>
      <c r="D2193" s="458">
        <v>7.8227016488251921E-2</v>
      </c>
      <c r="E2193" s="477">
        <v>19210763.009357426</v>
      </c>
      <c r="F2193" s="458">
        <v>9.5918689499424836E-2</v>
      </c>
      <c r="G2193" s="477">
        <v>72954713.402616024</v>
      </c>
      <c r="H2193" s="458">
        <v>0.27998616979908109</v>
      </c>
      <c r="I2193" s="468">
        <v>12.75109370385244</v>
      </c>
    </row>
    <row r="2194" spans="1:9" ht="16.5" x14ac:dyDescent="0.3">
      <c r="A2194" s="477">
        <v>5813657.3534902725</v>
      </c>
      <c r="B2194" s="458">
        <v>4.3335065779016579E-2</v>
      </c>
      <c r="C2194" s="477">
        <v>9449072.9693728406</v>
      </c>
      <c r="D2194" s="458">
        <v>7.8302489741990833E-2</v>
      </c>
      <c r="E2194" s="477">
        <v>17266870.387390368</v>
      </c>
      <c r="F2194" s="458">
        <v>0.10019548601694628</v>
      </c>
      <c r="G2194" s="477">
        <v>104612812.24884722</v>
      </c>
      <c r="H2194" s="458">
        <v>0.27370303792540351</v>
      </c>
      <c r="I2194" s="468">
        <v>9.8542425696495766</v>
      </c>
    </row>
    <row r="2195" spans="1:9" ht="16.5" x14ac:dyDescent="0.3">
      <c r="A2195" s="477">
        <v>6086274.7121488769</v>
      </c>
      <c r="B2195" s="458">
        <v>3.4818350504898232E-2</v>
      </c>
      <c r="C2195" s="477">
        <v>15171363.177451883</v>
      </c>
      <c r="D2195" s="458">
        <v>0.10492842648378664</v>
      </c>
      <c r="E2195" s="477">
        <v>12397304.967607258</v>
      </c>
      <c r="F2195" s="458">
        <v>0.11787307754696985</v>
      </c>
      <c r="G2195" s="477">
        <v>97163587.251587823</v>
      </c>
      <c r="H2195" s="458">
        <v>0.23714335101466455</v>
      </c>
      <c r="I2195" s="468">
        <v>2.9748682863829883</v>
      </c>
    </row>
    <row r="2196" spans="1:9" ht="16.5" x14ac:dyDescent="0.3">
      <c r="A2196" s="477">
        <v>4108666.5128901755</v>
      </c>
      <c r="B2196" s="458">
        <v>1.6690650222635606E-2</v>
      </c>
      <c r="C2196" s="477">
        <v>10276553.040386217</v>
      </c>
      <c r="D2196" s="458">
        <v>6.3278001402832018E-2</v>
      </c>
      <c r="E2196" s="477">
        <v>22618305.618611109</v>
      </c>
      <c r="F2196" s="458">
        <v>9.312558650088576E-2</v>
      </c>
      <c r="G2196" s="477">
        <v>89950747.452961087</v>
      </c>
      <c r="H2196" s="458">
        <v>0.27699044893301461</v>
      </c>
      <c r="I2196" s="468">
        <v>3.8895336435053345</v>
      </c>
    </row>
    <row r="2197" spans="1:9" ht="16.5" x14ac:dyDescent="0.3">
      <c r="A2197" s="477">
        <v>4981356.2636027588</v>
      </c>
      <c r="B2197" s="458">
        <v>5.239242069034078E-2</v>
      </c>
      <c r="C2197" s="477">
        <v>14808271.122767955</v>
      </c>
      <c r="D2197" s="458">
        <v>4.1605904790054993E-2</v>
      </c>
      <c r="E2197" s="477">
        <v>21117222.520363446</v>
      </c>
      <c r="F2197" s="458">
        <v>0.14628444034385768</v>
      </c>
      <c r="G2197" s="477">
        <v>93800449.414105222</v>
      </c>
      <c r="H2197" s="458">
        <v>0.27667348544776305</v>
      </c>
      <c r="I2197" s="468">
        <v>4.8012604196406912</v>
      </c>
    </row>
    <row r="2198" spans="1:9" ht="16.5" x14ac:dyDescent="0.3">
      <c r="A2198" s="477">
        <v>7931250.4113391889</v>
      </c>
      <c r="B2198" s="458">
        <v>2.9380383275944499E-2</v>
      </c>
      <c r="C2198" s="477">
        <v>7254965.6337816045</v>
      </c>
      <c r="D2198" s="458">
        <v>6.2203371578563926E-2</v>
      </c>
      <c r="E2198" s="477">
        <v>22416812.765205</v>
      </c>
      <c r="F2198" s="458">
        <v>8.9916735393505975E-2</v>
      </c>
      <c r="G2198" s="477">
        <v>88932570.792402402</v>
      </c>
      <c r="H2198" s="458">
        <v>0.24777415502815825</v>
      </c>
      <c r="I2198" s="468">
        <v>2.3198551169533719</v>
      </c>
    </row>
    <row r="2199" spans="1:9" ht="16.5" x14ac:dyDescent="0.3">
      <c r="A2199" s="477">
        <v>3108840.5498903934</v>
      </c>
      <c r="B2199" s="458">
        <v>5.7598652372953696E-2</v>
      </c>
      <c r="C2199" s="477">
        <v>6155401.2945145369</v>
      </c>
      <c r="D2199" s="458">
        <v>8.5344271989536535E-2</v>
      </c>
      <c r="E2199" s="477">
        <v>13493834.931590242</v>
      </c>
      <c r="F2199" s="458">
        <v>0.12990502240789037</v>
      </c>
      <c r="G2199" s="477">
        <v>96477675.535374865</v>
      </c>
      <c r="H2199" s="458">
        <v>0.271903563315256</v>
      </c>
      <c r="I2199" s="468">
        <v>9.55664879666414</v>
      </c>
    </row>
    <row r="2200" spans="1:9" ht="16.5" x14ac:dyDescent="0.3">
      <c r="A2200" s="477">
        <v>2050285.18098081</v>
      </c>
      <c r="B2200" s="458">
        <v>6.4824675678833543E-2</v>
      </c>
      <c r="C2200" s="477">
        <v>14218166.04226023</v>
      </c>
      <c r="D2200" s="458">
        <v>7.809957475841256E-2</v>
      </c>
      <c r="E2200" s="477">
        <v>17486481.220814906</v>
      </c>
      <c r="F2200" s="458">
        <v>0.10240419374227772</v>
      </c>
      <c r="G2200" s="477">
        <v>102600348.57603444</v>
      </c>
      <c r="H2200" s="458">
        <v>0.2917032902621215</v>
      </c>
      <c r="I2200" s="468">
        <v>5.3537130785042741</v>
      </c>
    </row>
    <row r="2201" spans="1:9" ht="16.5" x14ac:dyDescent="0.3">
      <c r="A2201" s="477">
        <v>6979112.5883306405</v>
      </c>
      <c r="B2201" s="458">
        <v>5.5526647508438831E-2</v>
      </c>
      <c r="C2201" s="477">
        <v>1865845.5391355169</v>
      </c>
      <c r="D2201" s="458">
        <v>6.2818883570085582E-2</v>
      </c>
      <c r="E2201" s="477">
        <v>20145565.359997068</v>
      </c>
      <c r="F2201" s="458">
        <v>0.11127320977284816</v>
      </c>
      <c r="G2201" s="477">
        <v>101463397.60863476</v>
      </c>
      <c r="H2201" s="458">
        <v>0.25582901926287804</v>
      </c>
      <c r="I2201" s="468">
        <v>15.449964742566674</v>
      </c>
    </row>
    <row r="2202" spans="1:9" ht="16.5" x14ac:dyDescent="0.3">
      <c r="A2202" s="477">
        <v>14140242.303449061</v>
      </c>
      <c r="B2202" s="458">
        <v>2.7978092118295272E-2</v>
      </c>
      <c r="C2202" s="477">
        <v>8302041.7634032695</v>
      </c>
      <c r="D2202" s="458">
        <v>6.2080536640212181E-2</v>
      </c>
      <c r="E2202" s="477">
        <v>17972087.771386679</v>
      </c>
      <c r="F2202" s="458">
        <v>0.10821329585860817</v>
      </c>
      <c r="G2202" s="477">
        <v>89912927.037361115</v>
      </c>
      <c r="H2202" s="458">
        <v>0.28049565502557527</v>
      </c>
      <c r="I2202" s="468">
        <v>8.194231456411714</v>
      </c>
    </row>
    <row r="2203" spans="1:9" ht="16.5" x14ac:dyDescent="0.3">
      <c r="A2203" s="477">
        <v>5032762.7358023971</v>
      </c>
      <c r="B2203" s="458">
        <v>3.4290395976237287E-2</v>
      </c>
      <c r="C2203" s="477">
        <v>10741669.565375261</v>
      </c>
      <c r="D2203" s="458">
        <v>4.9654339631753919E-2</v>
      </c>
      <c r="E2203" s="477">
        <v>10949820.260238102</v>
      </c>
      <c r="F2203" s="458">
        <v>0.1079430923271687</v>
      </c>
      <c r="G2203" s="477">
        <v>79053207.338298783</v>
      </c>
      <c r="H2203" s="458">
        <v>0.24895058581982354</v>
      </c>
      <c r="I2203" s="468">
        <v>13.249083530947187</v>
      </c>
    </row>
    <row r="2204" spans="1:9" ht="16.5" x14ac:dyDescent="0.3">
      <c r="A2204" s="477">
        <v>8569079.5833496191</v>
      </c>
      <c r="B2204" s="458">
        <v>3.1386003503054205E-2</v>
      </c>
      <c r="C2204" s="477">
        <v>11144247.979290098</v>
      </c>
      <c r="D2204" s="458">
        <v>8.1953873132683208E-2</v>
      </c>
      <c r="E2204" s="477">
        <v>19877578.746853571</v>
      </c>
      <c r="F2204" s="458">
        <v>0.12425123443410802</v>
      </c>
      <c r="G2204" s="477">
        <v>101184479.81380716</v>
      </c>
      <c r="H2204" s="458">
        <v>0.25309460309880305</v>
      </c>
      <c r="I2204" s="468">
        <v>7.0119997162956231</v>
      </c>
    </row>
    <row r="2205" spans="1:9" ht="16.5" x14ac:dyDescent="0.3">
      <c r="A2205" s="477">
        <v>4054463.9514272604</v>
      </c>
      <c r="B2205" s="458">
        <v>2.4913288673689804E-2</v>
      </c>
      <c r="C2205" s="477">
        <v>7171427.2135005072</v>
      </c>
      <c r="D2205" s="458">
        <v>5.6316026167064326E-2</v>
      </c>
      <c r="E2205" s="477">
        <v>19251941.383762106</v>
      </c>
      <c r="F2205" s="458">
        <v>0.13403781328272446</v>
      </c>
      <c r="G2205" s="477">
        <v>91621778.730709091</v>
      </c>
      <c r="H2205" s="458">
        <v>0.24900190393196087</v>
      </c>
      <c r="I2205" s="468">
        <v>9.0829288397409407</v>
      </c>
    </row>
    <row r="2206" spans="1:9" ht="16.5" x14ac:dyDescent="0.3">
      <c r="A2206" s="477">
        <v>7499369.3901964091</v>
      </c>
      <c r="B2206" s="458">
        <v>3.6664032027154736E-2</v>
      </c>
      <c r="C2206" s="477">
        <v>11290784.743034003</v>
      </c>
      <c r="D2206" s="458">
        <v>5.8311662539239917E-2</v>
      </c>
      <c r="E2206" s="477">
        <v>17507927.687756009</v>
      </c>
      <c r="F2206" s="458">
        <v>7.7692963799953052E-2</v>
      </c>
      <c r="G2206" s="477">
        <v>93394610.421429724</v>
      </c>
      <c r="H2206" s="458">
        <v>0.26507256438676974</v>
      </c>
      <c r="I2206" s="468">
        <v>6.3885952184274863</v>
      </c>
    </row>
    <row r="2207" spans="1:9" ht="16.5" x14ac:dyDescent="0.3">
      <c r="A2207" s="477">
        <v>4432116.5092592351</v>
      </c>
      <c r="B2207" s="458">
        <v>3.3413899859189966E-2</v>
      </c>
      <c r="C2207" s="477">
        <v>5308520.2289466923</v>
      </c>
      <c r="D2207" s="458">
        <v>6.1923981579837806E-2</v>
      </c>
      <c r="E2207" s="477">
        <v>15619283.353315916</v>
      </c>
      <c r="F2207" s="458">
        <v>0.11319616349639183</v>
      </c>
      <c r="G2207" s="477">
        <v>100803376.58460571</v>
      </c>
      <c r="H2207" s="458">
        <v>0.25694539801433525</v>
      </c>
      <c r="I2207" s="468">
        <v>8.0420700826600804</v>
      </c>
    </row>
    <row r="2208" spans="1:9" ht="16.5" x14ac:dyDescent="0.3">
      <c r="A2208" s="477">
        <v>3264523.4095315533</v>
      </c>
      <c r="B2208" s="458">
        <v>3.4463622012501194E-2</v>
      </c>
      <c r="C2208" s="477">
        <v>9927942.7446842566</v>
      </c>
      <c r="D2208" s="458">
        <v>7.8471840431340922E-2</v>
      </c>
      <c r="E2208" s="477">
        <v>16151195.804442817</v>
      </c>
      <c r="F2208" s="458">
        <v>9.8244110125719208E-2</v>
      </c>
      <c r="G2208" s="477">
        <v>88860500.31186612</v>
      </c>
      <c r="H2208" s="458">
        <v>0.27861077413873625</v>
      </c>
      <c r="I2208" s="468">
        <v>8.776468314029815</v>
      </c>
    </row>
    <row r="2209" spans="1:9" ht="16.5" x14ac:dyDescent="0.3">
      <c r="A2209" s="477">
        <v>2792553.7993676444</v>
      </c>
      <c r="B2209" s="458">
        <v>3.7310408395083927E-2</v>
      </c>
      <c r="C2209" s="477">
        <v>5713582.4497982729</v>
      </c>
      <c r="D2209" s="458">
        <v>7.0612301978045577E-2</v>
      </c>
      <c r="E2209" s="477">
        <v>14142971.77975617</v>
      </c>
      <c r="F2209" s="458">
        <v>0.10734437748205083</v>
      </c>
      <c r="G2209" s="477">
        <v>91964506.594703153</v>
      </c>
      <c r="H2209" s="458">
        <v>0.28656446737113028</v>
      </c>
      <c r="I2209" s="468">
        <v>14.265124356663982</v>
      </c>
    </row>
    <row r="2210" spans="1:9" ht="16.5" x14ac:dyDescent="0.3">
      <c r="A2210" s="477">
        <v>3543356.7577667809</v>
      </c>
      <c r="B2210" s="458">
        <v>4.2613318563082592E-2</v>
      </c>
      <c r="C2210" s="477">
        <v>16253643.803608013</v>
      </c>
      <c r="D2210" s="458">
        <v>9.6073878398543311E-2</v>
      </c>
      <c r="E2210" s="477">
        <v>25362189.25311907</v>
      </c>
      <c r="F2210" s="458">
        <v>0.10967292083187474</v>
      </c>
      <c r="G2210" s="477">
        <v>92491186.852580935</v>
      </c>
      <c r="H2210" s="458">
        <v>0.27904426263499005</v>
      </c>
      <c r="I2210" s="468">
        <v>5.4804554169887343</v>
      </c>
    </row>
    <row r="2211" spans="1:9" ht="16.5" x14ac:dyDescent="0.3">
      <c r="A2211" s="477">
        <v>7570608.9129653033</v>
      </c>
      <c r="B2211" s="458">
        <v>4.8681020881132797E-2</v>
      </c>
      <c r="C2211" s="477">
        <v>7420151.0503075598</v>
      </c>
      <c r="D2211" s="458">
        <v>6.9795697239841914E-2</v>
      </c>
      <c r="E2211" s="477">
        <v>17232259.780335896</v>
      </c>
      <c r="F2211" s="458">
        <v>8.4850452761663808E-2</v>
      </c>
      <c r="G2211" s="477">
        <v>91238849.97341767</v>
      </c>
      <c r="H2211" s="458">
        <v>0.26497963850023409</v>
      </c>
      <c r="I2211" s="468">
        <v>6.1109243006916873</v>
      </c>
    </row>
    <row r="2212" spans="1:9" ht="16.5" x14ac:dyDescent="0.3">
      <c r="A2212" s="477">
        <v>5057400.5205501122</v>
      </c>
      <c r="B2212" s="458">
        <v>2.0643597984495665E-2</v>
      </c>
      <c r="C2212" s="477">
        <v>6342390.6615597373</v>
      </c>
      <c r="D2212" s="458">
        <v>5.4847966855267494E-2</v>
      </c>
      <c r="E2212" s="477">
        <v>26677835.874287657</v>
      </c>
      <c r="F2212" s="458">
        <v>0.11228011549641415</v>
      </c>
      <c r="G2212" s="477">
        <v>91566307.591230005</v>
      </c>
      <c r="H2212" s="458">
        <v>0.26540855176048428</v>
      </c>
      <c r="I2212" s="468">
        <v>8.1684932497191856</v>
      </c>
    </row>
    <row r="2213" spans="1:9" ht="16.5" x14ac:dyDescent="0.3">
      <c r="A2213" s="477">
        <v>4031005.8407734372</v>
      </c>
      <c r="B2213" s="458">
        <v>8.7835937167530798E-2</v>
      </c>
      <c r="C2213" s="477">
        <v>9354359.274182545</v>
      </c>
      <c r="D2213" s="458">
        <v>5.6067066646183106E-2</v>
      </c>
      <c r="E2213" s="477">
        <v>20058913.445992697</v>
      </c>
      <c r="F2213" s="458">
        <v>0.11897882361979528</v>
      </c>
      <c r="G2213" s="477">
        <v>93964377.00057362</v>
      </c>
      <c r="H2213" s="458">
        <v>0.25998416526872448</v>
      </c>
      <c r="I2213" s="468">
        <v>5.4812721440013261</v>
      </c>
    </row>
    <row r="2214" spans="1:9" ht="16.5" x14ac:dyDescent="0.3">
      <c r="A2214" s="477">
        <v>6166808.0000806693</v>
      </c>
      <c r="B2214" s="458">
        <v>4.4479809969305339E-2</v>
      </c>
      <c r="C2214" s="477">
        <v>8227805.3541132258</v>
      </c>
      <c r="D2214" s="458">
        <v>8.8638073346966273E-2</v>
      </c>
      <c r="E2214" s="477">
        <v>14103383.894559456</v>
      </c>
      <c r="F2214" s="458">
        <v>0.12714748377080998</v>
      </c>
      <c r="G2214" s="477">
        <v>105623783.03901052</v>
      </c>
      <c r="H2214" s="458">
        <v>0.27361698082787367</v>
      </c>
      <c r="I2214" s="468">
        <v>13.570090481374892</v>
      </c>
    </row>
    <row r="2215" spans="1:9" ht="16.5" x14ac:dyDescent="0.3">
      <c r="A2215" s="477">
        <v>8541923.4054765478</v>
      </c>
      <c r="B2215" s="458">
        <v>3.5406286230247108E-2</v>
      </c>
      <c r="C2215" s="477">
        <v>7978360.9964629989</v>
      </c>
      <c r="D2215" s="458">
        <v>7.4321569075786131E-2</v>
      </c>
      <c r="E2215" s="477">
        <v>14406913.838808909</v>
      </c>
      <c r="F2215" s="458">
        <v>0.10481267146124607</v>
      </c>
      <c r="G2215" s="477">
        <v>81770809.208807826</v>
      </c>
      <c r="H2215" s="458">
        <v>0.26634824105679944</v>
      </c>
      <c r="I2215" s="468">
        <v>0.54735668288269235</v>
      </c>
    </row>
    <row r="2216" spans="1:9" ht="16.5" x14ac:dyDescent="0.3">
      <c r="A2216" s="477">
        <v>6331609.0642927149</v>
      </c>
      <c r="B2216" s="458">
        <v>2.8924315586381866E-2</v>
      </c>
      <c r="C2216" s="477">
        <v>7036629.4221407929</v>
      </c>
      <c r="D2216" s="458">
        <v>5.0397948401837533E-2</v>
      </c>
      <c r="E2216" s="477">
        <v>19398746.392867152</v>
      </c>
      <c r="F2216" s="458">
        <v>9.7001294130814264E-2</v>
      </c>
      <c r="G2216" s="477">
        <v>98965240.085891843</v>
      </c>
      <c r="H2216" s="458">
        <v>0.28107976706514104</v>
      </c>
      <c r="I2216" s="468">
        <v>11.997972506839121</v>
      </c>
    </row>
    <row r="2217" spans="1:9" ht="16.5" x14ac:dyDescent="0.3">
      <c r="A2217" s="477">
        <v>5488610.1106244959</v>
      </c>
      <c r="B2217" s="458">
        <v>2.6001805280776447E-2</v>
      </c>
      <c r="C2217" s="477">
        <v>9133193.2642873712</v>
      </c>
      <c r="D2217" s="458">
        <v>4.6619725867335093E-2</v>
      </c>
      <c r="E2217" s="477">
        <v>16685249.450719515</v>
      </c>
      <c r="F2217" s="458">
        <v>0.13391891397874156</v>
      </c>
      <c r="G2217" s="477">
        <v>92840483.611300796</v>
      </c>
      <c r="H2217" s="458">
        <v>0.27795529666367047</v>
      </c>
      <c r="I2217" s="468">
        <v>11.11695584721868</v>
      </c>
    </row>
    <row r="2218" spans="1:9" ht="16.5" x14ac:dyDescent="0.3">
      <c r="A2218" s="477">
        <v>4041182.5515307207</v>
      </c>
      <c r="B2218" s="458">
        <v>4.6186418249470673E-2</v>
      </c>
      <c r="C2218" s="477">
        <v>11105987.176785545</v>
      </c>
      <c r="D2218" s="458">
        <v>7.8098836657641835E-2</v>
      </c>
      <c r="E2218" s="477">
        <v>14695612.883645626</v>
      </c>
      <c r="F2218" s="458">
        <v>0.12977082906200321</v>
      </c>
      <c r="G2218" s="477">
        <v>98280806.437561676</v>
      </c>
      <c r="H2218" s="458">
        <v>0.27013889481758224</v>
      </c>
      <c r="I2218" s="468">
        <v>8.1151879908967572</v>
      </c>
    </row>
    <row r="2219" spans="1:9" ht="16.5" x14ac:dyDescent="0.3">
      <c r="A2219" s="477">
        <v>6470453.2253409745</v>
      </c>
      <c r="B2219" s="458">
        <v>2.56944673596049E-2</v>
      </c>
      <c r="C2219" s="477">
        <v>7856990.5951990932</v>
      </c>
      <c r="D2219" s="458">
        <v>7.9618946420260794E-2</v>
      </c>
      <c r="E2219" s="477">
        <v>13862572.674779333</v>
      </c>
      <c r="F2219" s="458">
        <v>0.11106822828449925</v>
      </c>
      <c r="G2219" s="477">
        <v>77239670.681597039</v>
      </c>
      <c r="H2219" s="458">
        <v>0.25751164757782941</v>
      </c>
      <c r="I2219" s="468">
        <v>4.7889705236356175</v>
      </c>
    </row>
    <row r="2220" spans="1:9" ht="16.5" x14ac:dyDescent="0.3">
      <c r="A2220" s="477">
        <v>1424209.2530080068</v>
      </c>
      <c r="B2220" s="458">
        <v>4.8249140058762352E-2</v>
      </c>
      <c r="C2220" s="477">
        <v>7836410.8728728788</v>
      </c>
      <c r="D2220" s="458">
        <v>8.0932979044101572E-2</v>
      </c>
      <c r="E2220" s="477">
        <v>2680401.4991680523</v>
      </c>
      <c r="F2220" s="458">
        <v>9.3366263743340117E-2</v>
      </c>
      <c r="G2220" s="477">
        <v>92714266.08438009</v>
      </c>
      <c r="H2220" s="458">
        <v>0.25765479468375285</v>
      </c>
      <c r="I2220" s="468">
        <v>5.0221769323806411</v>
      </c>
    </row>
    <row r="2221" spans="1:9" ht="16.5" x14ac:dyDescent="0.3">
      <c r="A2221" s="477">
        <v>9366204.8033698536</v>
      </c>
      <c r="B2221" s="458">
        <v>4.3405453588668097E-2</v>
      </c>
      <c r="C2221" s="477">
        <v>7720899.0195931699</v>
      </c>
      <c r="D2221" s="458">
        <v>3.5814987894189132E-2</v>
      </c>
      <c r="E2221" s="477">
        <v>22764348.193858657</v>
      </c>
      <c r="F2221" s="458">
        <v>9.9408182813345736E-2</v>
      </c>
      <c r="G2221" s="477">
        <v>92962458.258581325</v>
      </c>
      <c r="H2221" s="458">
        <v>0.26593438841541683</v>
      </c>
      <c r="I2221" s="468">
        <v>6.2311169993113529</v>
      </c>
    </row>
    <row r="2222" spans="1:9" ht="16.5" x14ac:dyDescent="0.3">
      <c r="A2222" s="477">
        <v>3458560.8489384372</v>
      </c>
      <c r="B2222" s="458">
        <v>3.6269965284923433E-2</v>
      </c>
      <c r="C2222" s="477">
        <v>2964918.4411480245</v>
      </c>
      <c r="D2222" s="458">
        <v>4.2608079106702945E-2</v>
      </c>
      <c r="E2222" s="477">
        <v>15336935.150283806</v>
      </c>
      <c r="F2222" s="458">
        <v>0.10988546154018342</v>
      </c>
      <c r="G2222" s="477">
        <v>87229651.515543476</v>
      </c>
      <c r="H2222" s="458">
        <v>0.26433823860219441</v>
      </c>
      <c r="I2222" s="468">
        <v>4.6845697793095322</v>
      </c>
    </row>
    <row r="2223" spans="1:9" ht="16.5" x14ac:dyDescent="0.3">
      <c r="A2223" s="477">
        <v>10470043.192517409</v>
      </c>
      <c r="B2223" s="458">
        <v>2.6206291142874871E-2</v>
      </c>
      <c r="C2223" s="477">
        <v>13337373.82963877</v>
      </c>
      <c r="D2223" s="458">
        <v>7.044448878612064E-2</v>
      </c>
      <c r="E2223" s="477">
        <v>15194648.776364706</v>
      </c>
      <c r="F2223" s="458">
        <v>9.0367850312635722E-2</v>
      </c>
      <c r="G2223" s="477">
        <v>80156184.445143297</v>
      </c>
      <c r="H2223" s="458">
        <v>0.27378193423147978</v>
      </c>
      <c r="I2223" s="468">
        <v>3.866731214627281</v>
      </c>
    </row>
    <row r="2224" spans="1:9" ht="16.5" x14ac:dyDescent="0.3">
      <c r="A2224" s="477">
        <v>5203283.9255918311</v>
      </c>
      <c r="B2224" s="458">
        <v>2.0720093378924664E-2</v>
      </c>
      <c r="C2224" s="477">
        <v>4611822.0763275102</v>
      </c>
      <c r="D2224" s="458">
        <v>5.8520205244958934E-2</v>
      </c>
      <c r="E2224" s="477">
        <v>13456580.95816995</v>
      </c>
      <c r="F2224" s="458">
        <v>9.9751289130785015E-2</v>
      </c>
      <c r="G2224" s="477">
        <v>81545401.276512191</v>
      </c>
      <c r="H2224" s="458">
        <v>0.27569396817121916</v>
      </c>
      <c r="I2224" s="468">
        <v>9.2213345079710152</v>
      </c>
    </row>
    <row r="2225" spans="1:9" ht="16.5" x14ac:dyDescent="0.3">
      <c r="A2225" s="477">
        <v>2370255.0402434617</v>
      </c>
      <c r="B2225" s="458">
        <v>2.7434719380983852E-2</v>
      </c>
      <c r="C2225" s="477">
        <v>6116599.324488434</v>
      </c>
      <c r="D2225" s="458">
        <v>5.4308657940170146E-2</v>
      </c>
      <c r="E2225" s="477">
        <v>11187517.754130889</v>
      </c>
      <c r="F2225" s="458">
        <v>0.12007649312055202</v>
      </c>
      <c r="G2225" s="477">
        <v>102747032.9918392</v>
      </c>
      <c r="H2225" s="458">
        <v>0.26296787294531176</v>
      </c>
      <c r="I2225" s="468">
        <v>8.4522204342477369</v>
      </c>
    </row>
    <row r="2226" spans="1:9" ht="16.5" x14ac:dyDescent="0.3">
      <c r="A2226" s="477">
        <v>6973511.2607248621</v>
      </c>
      <c r="B2226" s="458">
        <v>3.8257787361954065E-2</v>
      </c>
      <c r="C2226" s="477">
        <v>11770840.263799116</v>
      </c>
      <c r="D2226" s="458">
        <v>6.6832670863119503E-2</v>
      </c>
      <c r="E2226" s="477">
        <v>20429643.338901665</v>
      </c>
      <c r="F2226" s="458">
        <v>0.13829203287153913</v>
      </c>
      <c r="G2226" s="477">
        <v>87046480.232733771</v>
      </c>
      <c r="H2226" s="458">
        <v>0.26888692080708521</v>
      </c>
      <c r="I2226" s="468">
        <v>7.232668946601331</v>
      </c>
    </row>
    <row r="2227" spans="1:9" ht="16.5" x14ac:dyDescent="0.3">
      <c r="A2227" s="477">
        <v>7369194.4811943974</v>
      </c>
      <c r="B2227" s="458">
        <v>2.9969390988566103E-2</v>
      </c>
      <c r="C2227" s="477">
        <v>9115375.2886252627</v>
      </c>
      <c r="D2227" s="458">
        <v>8.6491155415231002E-2</v>
      </c>
      <c r="E2227" s="477">
        <v>25088425.59204676</v>
      </c>
      <c r="F2227" s="458">
        <v>0.10401559547546446</v>
      </c>
      <c r="G2227" s="477">
        <v>87460210.751248449</v>
      </c>
      <c r="H2227" s="458">
        <v>0.26316090148514659</v>
      </c>
      <c r="I2227" s="468">
        <v>6.1352623599506853</v>
      </c>
    </row>
    <row r="2228" spans="1:9" ht="16.5" x14ac:dyDescent="0.3">
      <c r="A2228" s="477">
        <v>4415072.5556066595</v>
      </c>
      <c r="B2228" s="458">
        <v>2.829885707380897E-2</v>
      </c>
      <c r="C2228" s="477">
        <v>6989684.224747641</v>
      </c>
      <c r="D2228" s="458">
        <v>4.4683640707238848E-2</v>
      </c>
      <c r="E2228" s="477">
        <v>17958874.321891077</v>
      </c>
      <c r="F2228" s="458">
        <v>9.2546067813985777E-2</v>
      </c>
      <c r="G2228" s="477">
        <v>94443612.318676695</v>
      </c>
      <c r="H2228" s="458">
        <v>0.29409342908996217</v>
      </c>
      <c r="I2228" s="468">
        <v>2.8306731344501301</v>
      </c>
    </row>
    <row r="2229" spans="1:9" ht="16.5" x14ac:dyDescent="0.3">
      <c r="A2229" s="477">
        <v>5773334.493968945</v>
      </c>
      <c r="B2229" s="458">
        <v>4.2943572875514757E-2</v>
      </c>
      <c r="C2229" s="477">
        <v>13320543.202354595</v>
      </c>
      <c r="D2229" s="458">
        <v>7.4673626142716332E-2</v>
      </c>
      <c r="E2229" s="477">
        <v>17520912.966145098</v>
      </c>
      <c r="F2229" s="458">
        <v>0.1160741871929345</v>
      </c>
      <c r="G2229" s="477">
        <v>92366897.021724164</v>
      </c>
      <c r="H2229" s="458">
        <v>0.2875806939640666</v>
      </c>
      <c r="I2229" s="468">
        <v>9.8830504249370712</v>
      </c>
    </row>
    <row r="2230" spans="1:9" ht="16.5" x14ac:dyDescent="0.3">
      <c r="A2230" s="477">
        <v>11313124.880999835</v>
      </c>
      <c r="B2230" s="458">
        <v>4.7193160870220963E-2</v>
      </c>
      <c r="C2230" s="477">
        <v>2955374.7117628125</v>
      </c>
      <c r="D2230" s="458">
        <v>7.2259582791996069E-2</v>
      </c>
      <c r="E2230" s="477">
        <v>21462961.098335836</v>
      </c>
      <c r="F2230" s="458">
        <v>0.11019916920368034</v>
      </c>
      <c r="G2230" s="477">
        <v>86321029.379374996</v>
      </c>
      <c r="H2230" s="458">
        <v>0.26090727116890178</v>
      </c>
      <c r="I2230" s="468">
        <v>9.2134493182460115</v>
      </c>
    </row>
    <row r="2231" spans="1:9" ht="16.5" x14ac:dyDescent="0.3">
      <c r="A2231" s="477">
        <v>5327159.5872319024</v>
      </c>
      <c r="B2231" s="458">
        <v>3.2388749707617182E-2</v>
      </c>
      <c r="C2231" s="477">
        <v>9643884.7601483893</v>
      </c>
      <c r="D2231" s="458">
        <v>6.7977466537537001E-2</v>
      </c>
      <c r="E2231" s="477">
        <v>16432603.878406674</v>
      </c>
      <c r="F2231" s="458">
        <v>9.9921515463584631E-2</v>
      </c>
      <c r="G2231" s="477">
        <v>93846978.16571857</v>
      </c>
      <c r="H2231" s="458">
        <v>0.27353579352619306</v>
      </c>
      <c r="I2231" s="468">
        <v>8.0360450980085982</v>
      </c>
    </row>
    <row r="2232" spans="1:9" ht="16.5" x14ac:dyDescent="0.3">
      <c r="A2232" s="477">
        <v>8915885.9316247385</v>
      </c>
      <c r="B2232" s="458">
        <v>4.0412753792562484E-2</v>
      </c>
      <c r="C2232" s="477">
        <v>7228654.1516729984</v>
      </c>
      <c r="D2232" s="458">
        <v>6.4681388231890624E-2</v>
      </c>
      <c r="E2232" s="477">
        <v>16122747.71978501</v>
      </c>
      <c r="F2232" s="458">
        <v>0.11584924015518649</v>
      </c>
      <c r="G2232" s="477">
        <v>88758227.402292356</v>
      </c>
      <c r="H2232" s="458">
        <v>0.30202884095542326</v>
      </c>
      <c r="I2232" s="468">
        <v>13.48922282625189</v>
      </c>
    </row>
    <row r="2233" spans="1:9" ht="16.5" x14ac:dyDescent="0.3">
      <c r="A2233" s="477">
        <v>4967142.2250958942</v>
      </c>
      <c r="B2233" s="458">
        <v>4.3141306966452797E-2</v>
      </c>
      <c r="C2233" s="477">
        <v>8102125.2078966536</v>
      </c>
      <c r="D2233" s="458">
        <v>8.1143185203789159E-2</v>
      </c>
      <c r="E2233" s="477">
        <v>11478524.207099643</v>
      </c>
      <c r="F2233" s="458">
        <v>9.9392855153513704E-2</v>
      </c>
      <c r="G2233" s="477">
        <v>84008481.154689223</v>
      </c>
      <c r="H2233" s="458">
        <v>0.26624387829745966</v>
      </c>
      <c r="I2233" s="468">
        <v>3.4170448176446291</v>
      </c>
    </row>
    <row r="2234" spans="1:9" ht="16.5" x14ac:dyDescent="0.3">
      <c r="A2234" s="477">
        <v>736431.0845226926</v>
      </c>
      <c r="B2234" s="458">
        <v>1.7629250297184207E-2</v>
      </c>
      <c r="C2234" s="477">
        <v>13336990.343696265</v>
      </c>
      <c r="D2234" s="458">
        <v>6.4144106052705707E-2</v>
      </c>
      <c r="E2234" s="477">
        <v>12926771.871711209</v>
      </c>
      <c r="F2234" s="458">
        <v>9.7215531210080419E-2</v>
      </c>
      <c r="G2234" s="477">
        <v>83891245.158569917</v>
      </c>
      <c r="H2234" s="458">
        <v>0.25800131415209782</v>
      </c>
      <c r="I2234" s="468">
        <v>12.073224243538487</v>
      </c>
    </row>
    <row r="2235" spans="1:9" ht="16.5" x14ac:dyDescent="0.3">
      <c r="A2235" s="477">
        <v>5916499.6169566903</v>
      </c>
      <c r="B2235" s="458">
        <v>3.3871265559517694E-2</v>
      </c>
      <c r="C2235" s="477">
        <v>8910061.1463649869</v>
      </c>
      <c r="D2235" s="458">
        <v>6.093654766560741E-2</v>
      </c>
      <c r="E2235" s="477">
        <v>14017784.760214373</v>
      </c>
      <c r="F2235" s="458">
        <v>0.1179769318827335</v>
      </c>
      <c r="G2235" s="477">
        <v>81388625.291718572</v>
      </c>
      <c r="H2235" s="458">
        <v>0.26490002853380612</v>
      </c>
      <c r="I2235" s="468">
        <v>8.3805210088728153</v>
      </c>
    </row>
    <row r="2236" spans="1:9" ht="16.5" x14ac:dyDescent="0.3">
      <c r="A2236" s="477">
        <v>4445221.9626460616</v>
      </c>
      <c r="B2236" s="458">
        <v>3.3728731689335545E-2</v>
      </c>
      <c r="C2236" s="477">
        <v>5425911.721891351</v>
      </c>
      <c r="D2236" s="458">
        <v>8.3862997196313405E-2</v>
      </c>
      <c r="E2236" s="477">
        <v>16735431.979283225</v>
      </c>
      <c r="F2236" s="458">
        <v>0.13718145088736677</v>
      </c>
      <c r="G2236" s="477">
        <v>84805862.497129455</v>
      </c>
      <c r="H2236" s="458">
        <v>0.25711364511655654</v>
      </c>
      <c r="I2236" s="468">
        <v>13.761767399792713</v>
      </c>
    </row>
    <row r="2237" spans="1:9" ht="16.5" x14ac:dyDescent="0.3">
      <c r="A2237" s="477">
        <v>4163253.4280101554</v>
      </c>
      <c r="B2237" s="458">
        <v>3.361908505381983E-2</v>
      </c>
      <c r="C2237" s="477">
        <v>6309238.4037401024</v>
      </c>
      <c r="D2237" s="458">
        <v>8.6016282573085245E-2</v>
      </c>
      <c r="E2237" s="477">
        <v>20950434.123089802</v>
      </c>
      <c r="F2237" s="458">
        <v>0.10841667536093302</v>
      </c>
      <c r="G2237" s="477">
        <v>86559380.558451027</v>
      </c>
      <c r="H2237" s="458">
        <v>0.26662965935133776</v>
      </c>
      <c r="I2237" s="468">
        <v>8.9134645726655553</v>
      </c>
    </row>
    <row r="2238" spans="1:9" ht="16.5" x14ac:dyDescent="0.3">
      <c r="A2238" s="477">
        <v>5922876.8478813926</v>
      </c>
      <c r="B2238" s="458">
        <v>4.3154663299105556E-2</v>
      </c>
      <c r="C2238" s="477">
        <v>9080881.4675382897</v>
      </c>
      <c r="D2238" s="458">
        <v>0.10384635389325991</v>
      </c>
      <c r="E2238" s="477">
        <v>16452855.83418043</v>
      </c>
      <c r="F2238" s="458">
        <v>0.14982666465704431</v>
      </c>
      <c r="G2238" s="477">
        <v>68884437.74453555</v>
      </c>
      <c r="H2238" s="458">
        <v>0.29841129736194394</v>
      </c>
      <c r="I2238" s="468">
        <v>1.5319766153931615</v>
      </c>
    </row>
    <row r="2239" spans="1:9" ht="16.5" x14ac:dyDescent="0.3">
      <c r="A2239" s="477">
        <v>6389243.3438120224</v>
      </c>
      <c r="B2239" s="458">
        <v>4.3688312076800129E-2</v>
      </c>
      <c r="C2239" s="477">
        <v>9029547.1085561123</v>
      </c>
      <c r="D2239" s="458">
        <v>4.45686722336045E-2</v>
      </c>
      <c r="E2239" s="477">
        <v>15781896.663828554</v>
      </c>
      <c r="F2239" s="458">
        <v>0.12514986890838631</v>
      </c>
      <c r="G2239" s="477">
        <v>87435374.034772709</v>
      </c>
      <c r="H2239" s="458">
        <v>0.2743437588542228</v>
      </c>
      <c r="I2239" s="468">
        <v>9.6676499416696888</v>
      </c>
    </row>
    <row r="2240" spans="1:9" ht="16.5" x14ac:dyDescent="0.3">
      <c r="A2240" s="477">
        <v>271122.98044731666</v>
      </c>
      <c r="B2240" s="458">
        <v>4.5389999582942542E-2</v>
      </c>
      <c r="C2240" s="477">
        <v>9935924.0018128287</v>
      </c>
      <c r="D2240" s="458">
        <v>5.1844697354841207E-2</v>
      </c>
      <c r="E2240" s="477">
        <v>11827948.851557001</v>
      </c>
      <c r="F2240" s="458">
        <v>9.6331857899337292E-2</v>
      </c>
      <c r="G2240" s="477">
        <v>79694452.922557265</v>
      </c>
      <c r="H2240" s="458">
        <v>0.29392447882122985</v>
      </c>
      <c r="I2240" s="468">
        <v>14.183997896323614</v>
      </c>
    </row>
    <row r="2241" spans="1:9" ht="16.5" x14ac:dyDescent="0.3">
      <c r="A2241" s="477">
        <v>4172325.8825229658</v>
      </c>
      <c r="B2241" s="458">
        <v>5.5272721192098917E-2</v>
      </c>
      <c r="C2241" s="477">
        <v>8602601.6038342062</v>
      </c>
      <c r="D2241" s="458">
        <v>3.652738215597795E-2</v>
      </c>
      <c r="E2241" s="477">
        <v>14117251.046889668</v>
      </c>
      <c r="F2241" s="458">
        <v>0.11717054042394981</v>
      </c>
      <c r="G2241" s="477">
        <v>80185905.369621664</v>
      </c>
      <c r="H2241" s="458">
        <v>0.28781790309505406</v>
      </c>
      <c r="I2241" s="468">
        <v>8.0896133902197462</v>
      </c>
    </row>
    <row r="2242" spans="1:9" ht="16.5" x14ac:dyDescent="0.3">
      <c r="A2242" s="477">
        <v>332868.39249422296</v>
      </c>
      <c r="B2242" s="458">
        <v>3.5348975515456127E-2</v>
      </c>
      <c r="C2242" s="477">
        <v>9119062.1150139235</v>
      </c>
      <c r="D2242" s="458">
        <v>6.4795942390819095E-2</v>
      </c>
      <c r="E2242" s="477">
        <v>19414151.608275048</v>
      </c>
      <c r="F2242" s="458">
        <v>8.8828162886763984E-2</v>
      </c>
      <c r="G2242" s="477">
        <v>94459096.018644378</v>
      </c>
      <c r="H2242" s="458">
        <v>0.28738753954538598</v>
      </c>
      <c r="I2242" s="468">
        <v>11.129239686473532</v>
      </c>
    </row>
    <row r="2243" spans="1:9" ht="16.5" x14ac:dyDescent="0.3">
      <c r="A2243" s="477">
        <v>4933919.1138824709</v>
      </c>
      <c r="B2243" s="458">
        <v>2.5049816457851648E-2</v>
      </c>
      <c r="C2243" s="477">
        <v>4888012.7052952303</v>
      </c>
      <c r="D2243" s="458">
        <v>7.2808493529611162E-2</v>
      </c>
      <c r="E2243" s="477">
        <v>18450917.0227006</v>
      </c>
      <c r="F2243" s="458">
        <v>0.12781344025427455</v>
      </c>
      <c r="G2243" s="477">
        <v>103375325.31245714</v>
      </c>
      <c r="H2243" s="458">
        <v>0.26626390229642216</v>
      </c>
      <c r="I2243" s="468">
        <v>11.654566858526298</v>
      </c>
    </row>
    <row r="2244" spans="1:9" ht="16.5" x14ac:dyDescent="0.3">
      <c r="A2244" s="477">
        <v>4627844.0641913218</v>
      </c>
      <c r="B2244" s="458">
        <v>3.2874740616504194E-2</v>
      </c>
      <c r="C2244" s="477">
        <v>9772947.5268492568</v>
      </c>
      <c r="D2244" s="458">
        <v>6.6987554703562768E-2</v>
      </c>
      <c r="E2244" s="477">
        <v>5998517.7094380623</v>
      </c>
      <c r="F2244" s="458">
        <v>0.11409257742531986</v>
      </c>
      <c r="G2244" s="477">
        <v>105846019.38950551</v>
      </c>
      <c r="H2244" s="458">
        <v>0.27584130362489012</v>
      </c>
      <c r="I2244" s="468">
        <v>10.504352884045201</v>
      </c>
    </row>
    <row r="2245" spans="1:9" ht="16.5" x14ac:dyDescent="0.3">
      <c r="A2245" s="477">
        <v>8065006.9312529815</v>
      </c>
      <c r="B2245" s="458">
        <v>4.1381581073711704E-2</v>
      </c>
      <c r="C2245" s="477">
        <v>14565606.712426292</v>
      </c>
      <c r="D2245" s="458">
        <v>4.9247767745172588E-2</v>
      </c>
      <c r="E2245" s="477">
        <v>15264205.024094483</v>
      </c>
      <c r="F2245" s="458">
        <v>0.10904690444137577</v>
      </c>
      <c r="G2245" s="477">
        <v>90125147.78786172</v>
      </c>
      <c r="H2245" s="458">
        <v>0.26996092368649749</v>
      </c>
      <c r="I2245" s="468">
        <v>9.1305223732675032</v>
      </c>
    </row>
    <row r="2246" spans="1:9" ht="16.5" x14ac:dyDescent="0.3">
      <c r="A2246" s="477">
        <v>5635788.5660910392</v>
      </c>
      <c r="B2246" s="458">
        <v>3.8055437788169888E-2</v>
      </c>
      <c r="C2246" s="477">
        <v>8184239.0347589254</v>
      </c>
      <c r="D2246" s="458">
        <v>8.6307000710188042E-2</v>
      </c>
      <c r="E2246" s="477">
        <v>18949063.00238828</v>
      </c>
      <c r="F2246" s="458">
        <v>9.7516069483980283E-2</v>
      </c>
      <c r="G2246" s="477">
        <v>74240214.816296309</v>
      </c>
      <c r="H2246" s="458">
        <v>0.25909955592253953</v>
      </c>
      <c r="I2246" s="468">
        <v>9.602704092756337</v>
      </c>
    </row>
    <row r="2247" spans="1:9" ht="16.5" x14ac:dyDescent="0.3">
      <c r="A2247" s="477">
        <v>1935288.165810883</v>
      </c>
      <c r="B2247" s="458">
        <v>4.1254898683369179E-2</v>
      </c>
      <c r="C2247" s="477">
        <v>6092512.1134715499</v>
      </c>
      <c r="D2247" s="458">
        <v>8.9402215746888114E-2</v>
      </c>
      <c r="E2247" s="477">
        <v>22516413.235589448</v>
      </c>
      <c r="F2247" s="458">
        <v>0.1085569815965457</v>
      </c>
      <c r="G2247" s="477">
        <v>81239100.393346116</v>
      </c>
      <c r="H2247" s="458">
        <v>0.25836132141415913</v>
      </c>
      <c r="I2247" s="468">
        <v>9.3882546710426737</v>
      </c>
    </row>
    <row r="2248" spans="1:9" ht="16.5" x14ac:dyDescent="0.3">
      <c r="A2248" s="477">
        <v>3957459.3345848676</v>
      </c>
      <c r="B2248" s="458">
        <v>4.6862192353354093E-2</v>
      </c>
      <c r="C2248" s="477">
        <v>5804464.9906443069</v>
      </c>
      <c r="D2248" s="458">
        <v>6.0087988791013736E-2</v>
      </c>
      <c r="E2248" s="477">
        <v>11158122.677543981</v>
      </c>
      <c r="F2248" s="458">
        <v>0.12831651625386709</v>
      </c>
      <c r="G2248" s="477">
        <v>87076033.735663742</v>
      </c>
      <c r="H2248" s="458">
        <v>0.26182739643588948</v>
      </c>
      <c r="I2248" s="468">
        <v>11.398687937245922</v>
      </c>
    </row>
    <row r="2249" spans="1:9" ht="16.5" x14ac:dyDescent="0.3">
      <c r="A2249" s="477">
        <v>5626542.0809651241</v>
      </c>
      <c r="B2249" s="458">
        <v>4.6724863086669677E-2</v>
      </c>
      <c r="C2249" s="477">
        <v>6106517.3869844768</v>
      </c>
      <c r="D2249" s="458">
        <v>7.9418674574724513E-2</v>
      </c>
      <c r="E2249" s="477">
        <v>15550959.161711829</v>
      </c>
      <c r="F2249" s="458">
        <v>9.1210025321784682E-2</v>
      </c>
      <c r="G2249" s="477">
        <v>78569892.229398027</v>
      </c>
      <c r="H2249" s="458">
        <v>0.2779809567815088</v>
      </c>
      <c r="I2249" s="468">
        <v>11.998599788266199</v>
      </c>
    </row>
    <row r="2250" spans="1:9" ht="16.5" x14ac:dyDescent="0.3">
      <c r="A2250" s="477">
        <v>6177118.1663371827</v>
      </c>
      <c r="B2250" s="458">
        <v>4.7012725356247564E-2</v>
      </c>
      <c r="C2250" s="477">
        <v>15151192.989926845</v>
      </c>
      <c r="D2250" s="458">
        <v>5.8274894824743129E-2</v>
      </c>
      <c r="E2250" s="477">
        <v>14361253.786983164</v>
      </c>
      <c r="F2250" s="458">
        <v>0.13799646733458926</v>
      </c>
      <c r="G2250" s="477">
        <v>80348749.813403666</v>
      </c>
      <c r="H2250" s="458">
        <v>0.27374703984343962</v>
      </c>
      <c r="I2250" s="468">
        <v>11.853925365235641</v>
      </c>
    </row>
    <row r="2251" spans="1:9" ht="16.5" x14ac:dyDescent="0.3">
      <c r="A2251" s="477">
        <v>2567340.0547221932</v>
      </c>
      <c r="B2251" s="458">
        <v>6.4396923746373957E-2</v>
      </c>
      <c r="C2251" s="477">
        <v>2910755.2350378186</v>
      </c>
      <c r="D2251" s="458">
        <v>7.9553921106335856E-2</v>
      </c>
      <c r="E2251" s="477">
        <v>20416391.812557675</v>
      </c>
      <c r="F2251" s="458">
        <v>0.10707171190650788</v>
      </c>
      <c r="G2251" s="477">
        <v>74412618.624012053</v>
      </c>
      <c r="H2251" s="458">
        <v>0.27361585367172703</v>
      </c>
      <c r="I2251" s="468">
        <v>9.5129649327684032</v>
      </c>
    </row>
    <row r="2252" spans="1:9" ht="16.5" x14ac:dyDescent="0.3">
      <c r="A2252" s="477">
        <v>6905235.232646171</v>
      </c>
      <c r="B2252" s="458">
        <v>4.5201692412222272E-2</v>
      </c>
      <c r="C2252" s="477">
        <v>7250207.4730684506</v>
      </c>
      <c r="D2252" s="458">
        <v>6.802541228180381E-2</v>
      </c>
      <c r="E2252" s="477">
        <v>15526584.70248998</v>
      </c>
      <c r="F2252" s="458">
        <v>0.1022958224476771</v>
      </c>
      <c r="G2252" s="477">
        <v>84762798.790614456</v>
      </c>
      <c r="H2252" s="458">
        <v>0.27154466519148701</v>
      </c>
      <c r="I2252" s="468">
        <v>10.323577501431675</v>
      </c>
    </row>
    <row r="2253" spans="1:9" ht="16.5" x14ac:dyDescent="0.3">
      <c r="A2253" s="477">
        <v>8512692.3885990903</v>
      </c>
      <c r="B2253" s="458">
        <v>4.4466564087623617E-2</v>
      </c>
      <c r="C2253" s="477">
        <v>5898676.8627687702</v>
      </c>
      <c r="D2253" s="458">
        <v>7.4434959503530518E-2</v>
      </c>
      <c r="E2253" s="477">
        <v>14243538.164333349</v>
      </c>
      <c r="F2253" s="458">
        <v>0.11847893139516064</v>
      </c>
      <c r="G2253" s="477">
        <v>92505473.862509251</v>
      </c>
      <c r="H2253" s="458">
        <v>0.25990554374433739</v>
      </c>
      <c r="I2253" s="468">
        <v>6.4285492009326326</v>
      </c>
    </row>
    <row r="2254" spans="1:9" ht="16.5" x14ac:dyDescent="0.3">
      <c r="A2254" s="477">
        <v>3501082.0098167299</v>
      </c>
      <c r="B2254" s="458">
        <v>5.8013032574838919E-2</v>
      </c>
      <c r="C2254" s="477">
        <v>3237408.2421914474</v>
      </c>
      <c r="D2254" s="458">
        <v>3.4973754588587536E-2</v>
      </c>
      <c r="E2254" s="477">
        <v>16373020.833227728</v>
      </c>
      <c r="F2254" s="458">
        <v>0.10742148272153784</v>
      </c>
      <c r="G2254" s="477">
        <v>85797993.144678369</v>
      </c>
      <c r="H2254" s="458">
        <v>0.3004933306796691</v>
      </c>
      <c r="I2254" s="468">
        <v>7.2020980625954323</v>
      </c>
    </row>
    <row r="2255" spans="1:9" ht="16.5" x14ac:dyDescent="0.3">
      <c r="A2255" s="477">
        <v>6567779.6473925216</v>
      </c>
      <c r="B2255" s="458">
        <v>2.5471035794461194E-2</v>
      </c>
      <c r="C2255" s="477">
        <v>9044798.47051543</v>
      </c>
      <c r="D2255" s="458">
        <v>8.2607712559464419E-2</v>
      </c>
      <c r="E2255" s="477">
        <v>19610226.910604697</v>
      </c>
      <c r="F2255" s="458">
        <v>9.8075971827412456E-2</v>
      </c>
      <c r="G2255" s="477">
        <v>75549058.606359437</v>
      </c>
      <c r="H2255" s="458">
        <v>0.26457907607836662</v>
      </c>
      <c r="I2255" s="468">
        <v>1.982336223814027</v>
      </c>
    </row>
    <row r="2256" spans="1:9" ht="16.5" x14ac:dyDescent="0.3">
      <c r="A2256" s="477">
        <v>4690008.8477006722</v>
      </c>
      <c r="B2256" s="458">
        <v>1.7686890372814235E-2</v>
      </c>
      <c r="C2256" s="477">
        <v>8323283.0004698103</v>
      </c>
      <c r="D2256" s="458">
        <v>7.3515206834123381E-2</v>
      </c>
      <c r="E2256" s="477">
        <v>17153952.03935764</v>
      </c>
      <c r="F2256" s="458">
        <v>0.14711251749273946</v>
      </c>
      <c r="G2256" s="477">
        <v>98007992.981711566</v>
      </c>
      <c r="H2256" s="458">
        <v>0.26502012196821156</v>
      </c>
      <c r="I2256" s="468">
        <v>11.228150439934218</v>
      </c>
    </row>
    <row r="2257" spans="1:9" ht="16.5" x14ac:dyDescent="0.3">
      <c r="A2257" s="477">
        <v>6384927.0193162495</v>
      </c>
      <c r="B2257" s="458">
        <v>3.2753736749202123E-2</v>
      </c>
      <c r="C2257" s="477">
        <v>13863425.54212372</v>
      </c>
      <c r="D2257" s="458">
        <v>8.8106913840844348E-2</v>
      </c>
      <c r="E2257" s="477">
        <v>8999436.8062771894</v>
      </c>
      <c r="F2257" s="458">
        <v>0.11028792037732682</v>
      </c>
      <c r="G2257" s="477">
        <v>95024515.455801442</v>
      </c>
      <c r="H2257" s="458">
        <v>0.29219653419124425</v>
      </c>
      <c r="I2257" s="468">
        <v>8.2811731969093003</v>
      </c>
    </row>
    <row r="2258" spans="1:9" ht="16.5" x14ac:dyDescent="0.3">
      <c r="A2258" s="477">
        <v>2396569.149716916</v>
      </c>
      <c r="B2258" s="458">
        <v>4.0283984566905406E-2</v>
      </c>
      <c r="C2258" s="477">
        <v>9199252.5949100107</v>
      </c>
      <c r="D2258" s="458">
        <v>5.0822198696396814E-2</v>
      </c>
      <c r="E2258" s="477">
        <v>20526165.049908504</v>
      </c>
      <c r="F2258" s="458">
        <v>0.10742980605142471</v>
      </c>
      <c r="G2258" s="477">
        <v>91842805.900306255</v>
      </c>
      <c r="H2258" s="458">
        <v>0.25812142305833063</v>
      </c>
      <c r="I2258" s="468">
        <v>9.6442533785246543</v>
      </c>
    </row>
    <row r="2259" spans="1:9" ht="16.5" x14ac:dyDescent="0.3">
      <c r="A2259" s="477">
        <v>9954859.9580725096</v>
      </c>
      <c r="B2259" s="458">
        <v>4.7669484981343269E-2</v>
      </c>
      <c r="C2259" s="477">
        <v>13039828.494028416</v>
      </c>
      <c r="D2259" s="458">
        <v>4.597255346806195E-2</v>
      </c>
      <c r="E2259" s="477">
        <v>21943944.641854335</v>
      </c>
      <c r="F2259" s="458">
        <v>0.11817247173300482</v>
      </c>
      <c r="G2259" s="477">
        <v>86258118.415090173</v>
      </c>
      <c r="H2259" s="458">
        <v>0.26950081241242896</v>
      </c>
      <c r="I2259" s="468">
        <v>6.1326955412921684</v>
      </c>
    </row>
    <row r="2260" spans="1:9" ht="16.5" x14ac:dyDescent="0.3">
      <c r="A2260" s="477">
        <v>6577820.9830274507</v>
      </c>
      <c r="B2260" s="458">
        <v>5.9909964193475052E-2</v>
      </c>
      <c r="C2260" s="477">
        <v>10400682.757570481</v>
      </c>
      <c r="D2260" s="458">
        <v>6.4331310394854624E-2</v>
      </c>
      <c r="E2260" s="477">
        <v>26843532.364862628</v>
      </c>
      <c r="F2260" s="458">
        <v>0.11072050480596496</v>
      </c>
      <c r="G2260" s="477">
        <v>83286245.806871533</v>
      </c>
      <c r="H2260" s="458">
        <v>0.25595145789044826</v>
      </c>
      <c r="I2260" s="468">
        <v>8.2039929786541457</v>
      </c>
    </row>
    <row r="2261" spans="1:9" ht="16.5" x14ac:dyDescent="0.3">
      <c r="A2261" s="477">
        <v>4413901.1351495981</v>
      </c>
      <c r="B2261" s="458">
        <v>3.3941508115432173E-2</v>
      </c>
      <c r="C2261" s="477">
        <v>7415687.1767816907</v>
      </c>
      <c r="D2261" s="458">
        <v>9.1183642328717118E-2</v>
      </c>
      <c r="E2261" s="477">
        <v>15090143.420353889</v>
      </c>
      <c r="F2261" s="458">
        <v>9.7866029491343598E-2</v>
      </c>
      <c r="G2261" s="477">
        <v>93027362.990545377</v>
      </c>
      <c r="H2261" s="458">
        <v>0.25911976067289944</v>
      </c>
      <c r="I2261" s="468">
        <v>14.097152767817249</v>
      </c>
    </row>
    <row r="2262" spans="1:9" ht="16.5" x14ac:dyDescent="0.3">
      <c r="A2262" s="477">
        <v>5210172.9998992989</v>
      </c>
      <c r="B2262" s="458">
        <v>4.2296023068450594E-2</v>
      </c>
      <c r="C2262" s="477">
        <v>10145510.450941503</v>
      </c>
      <c r="D2262" s="458">
        <v>4.4583201979052411E-2</v>
      </c>
      <c r="E2262" s="477">
        <v>9512961.9632976577</v>
      </c>
      <c r="F2262" s="458">
        <v>0.1103364742700621</v>
      </c>
      <c r="G2262" s="477">
        <v>76845333.251676694</v>
      </c>
      <c r="H2262" s="458">
        <v>0.25814289529750289</v>
      </c>
      <c r="I2262" s="468">
        <v>9.4207718943530612</v>
      </c>
    </row>
    <row r="2263" spans="1:9" ht="16.5" x14ac:dyDescent="0.3">
      <c r="A2263" s="477">
        <v>4651985.1300952164</v>
      </c>
      <c r="B2263" s="458">
        <v>2.2756560073335486E-2</v>
      </c>
      <c r="C2263" s="477">
        <v>6622493.0934023503</v>
      </c>
      <c r="D2263" s="458">
        <v>6.3940384245769533E-2</v>
      </c>
      <c r="E2263" s="477">
        <v>17486381.085234821</v>
      </c>
      <c r="F2263" s="458">
        <v>9.6323675173950019E-2</v>
      </c>
      <c r="G2263" s="477">
        <v>96513575.976241842</v>
      </c>
      <c r="H2263" s="458">
        <v>0.27735319882943044</v>
      </c>
      <c r="I2263" s="468">
        <v>7.3918112445112234</v>
      </c>
    </row>
    <row r="2264" spans="1:9" ht="16.5" x14ac:dyDescent="0.3">
      <c r="A2264" s="477">
        <v>6609864.5770091619</v>
      </c>
      <c r="B2264" s="458">
        <v>3.3045442032258787E-2</v>
      </c>
      <c r="C2264" s="477">
        <v>7289465.5984571977</v>
      </c>
      <c r="D2264" s="458">
        <v>8.9242688151391691E-2</v>
      </c>
      <c r="E2264" s="477">
        <v>16726049.994632935</v>
      </c>
      <c r="F2264" s="458">
        <v>0.10814939426949732</v>
      </c>
      <c r="G2264" s="477">
        <v>83574924.49047491</v>
      </c>
      <c r="H2264" s="458">
        <v>0.27361664137299235</v>
      </c>
      <c r="I2264" s="468">
        <v>9.8076786517165715</v>
      </c>
    </row>
    <row r="2265" spans="1:9" ht="16.5" x14ac:dyDescent="0.3">
      <c r="A2265" s="477">
        <v>10083100.516941424</v>
      </c>
      <c r="B2265" s="458">
        <v>4.549862369678026E-2</v>
      </c>
      <c r="C2265" s="477">
        <v>12936586.988167023</v>
      </c>
      <c r="D2265" s="458">
        <v>7.1350920039201293E-2</v>
      </c>
      <c r="E2265" s="477">
        <v>7392039.9620833062</v>
      </c>
      <c r="F2265" s="458">
        <v>0.11823086110042569</v>
      </c>
      <c r="G2265" s="477">
        <v>82331165.359825164</v>
      </c>
      <c r="H2265" s="458">
        <v>0.25524108505313037</v>
      </c>
      <c r="I2265" s="468">
        <v>7.4254104173788189</v>
      </c>
    </row>
    <row r="2266" spans="1:9" ht="16.5" x14ac:dyDescent="0.3">
      <c r="A2266" s="477">
        <v>1035861.6817999287</v>
      </c>
      <c r="B2266" s="458">
        <v>3.9729967547874834E-2</v>
      </c>
      <c r="C2266" s="477">
        <v>8936178.3077887446</v>
      </c>
      <c r="D2266" s="458">
        <v>5.8381175215442394E-2</v>
      </c>
      <c r="E2266" s="477">
        <v>12514266.16931244</v>
      </c>
      <c r="F2266" s="458">
        <v>0.12343455957373828</v>
      </c>
      <c r="G2266" s="477">
        <v>81392013.21434626</v>
      </c>
      <c r="H2266" s="458">
        <v>0.26683149648528337</v>
      </c>
      <c r="I2266" s="468">
        <v>1.7239978638084414</v>
      </c>
    </row>
    <row r="2267" spans="1:9" ht="16.5" x14ac:dyDescent="0.3">
      <c r="A2267" s="477">
        <v>4461516.5878257183</v>
      </c>
      <c r="B2267" s="458">
        <v>3.5014044615240492E-2</v>
      </c>
      <c r="C2267" s="477">
        <v>5844510.3714784356</v>
      </c>
      <c r="D2267" s="458">
        <v>6.4902248718551991E-2</v>
      </c>
      <c r="E2267" s="477">
        <v>11669531.840449048</v>
      </c>
      <c r="F2267" s="458">
        <v>0.11895011894669261</v>
      </c>
      <c r="G2267" s="477">
        <v>96379626.137912661</v>
      </c>
      <c r="H2267" s="458">
        <v>0.2829696707057674</v>
      </c>
      <c r="I2267" s="468">
        <v>4.5107215350637748</v>
      </c>
    </row>
    <row r="2268" spans="1:9" ht="16.5" x14ac:dyDescent="0.3">
      <c r="A2268" s="477">
        <v>4748770.088276701</v>
      </c>
      <c r="B2268" s="458">
        <v>3.5430213623022899E-2</v>
      </c>
      <c r="C2268" s="477">
        <v>13037990.302941209</v>
      </c>
      <c r="D2268" s="458">
        <v>9.963005939558145E-2</v>
      </c>
      <c r="E2268" s="477">
        <v>16880017.035403933</v>
      </c>
      <c r="F2268" s="458">
        <v>8.0646866779888304E-2</v>
      </c>
      <c r="G2268" s="477">
        <v>63115704.524295785</v>
      </c>
      <c r="H2268" s="458">
        <v>0.28419822234761738</v>
      </c>
      <c r="I2268" s="468">
        <v>9.1295882088246678</v>
      </c>
    </row>
    <row r="2269" spans="1:9" ht="16.5" x14ac:dyDescent="0.3">
      <c r="A2269" s="477">
        <v>7471550.7408250421</v>
      </c>
      <c r="B2269" s="458">
        <v>4.1640463413777917E-2</v>
      </c>
      <c r="C2269" s="477">
        <v>3809395.286657339</v>
      </c>
      <c r="D2269" s="458">
        <v>6.9817753662428927E-2</v>
      </c>
      <c r="E2269" s="477">
        <v>21040103.07178051</v>
      </c>
      <c r="F2269" s="458">
        <v>0.10629380465718063</v>
      </c>
      <c r="G2269" s="477">
        <v>78550803.365247935</v>
      </c>
      <c r="H2269" s="458">
        <v>0.25450513555661769</v>
      </c>
      <c r="I2269" s="468">
        <v>9.6239090946955219</v>
      </c>
    </row>
    <row r="2270" spans="1:9" ht="16.5" x14ac:dyDescent="0.3">
      <c r="A2270" s="477">
        <v>4491959.6183256153</v>
      </c>
      <c r="B2270" s="458">
        <v>3.8206408486828103E-2</v>
      </c>
      <c r="C2270" s="477">
        <v>8796510.6381334085</v>
      </c>
      <c r="D2270" s="458">
        <v>7.5832530930038278E-2</v>
      </c>
      <c r="E2270" s="477">
        <v>13536484.934541566</v>
      </c>
      <c r="F2270" s="458">
        <v>0.12948539069867726</v>
      </c>
      <c r="G2270" s="477">
        <v>84159359.311761737</v>
      </c>
      <c r="H2270" s="458">
        <v>0.26357760549198295</v>
      </c>
      <c r="I2270" s="468">
        <v>5.6845062206651695</v>
      </c>
    </row>
    <row r="2271" spans="1:9" ht="16.5" x14ac:dyDescent="0.3">
      <c r="A2271" s="477">
        <v>5022502.3864803407</v>
      </c>
      <c r="B2271" s="458">
        <v>4.2638382882748571E-2</v>
      </c>
      <c r="C2271" s="477">
        <v>5754573.5056899954</v>
      </c>
      <c r="D2271" s="458">
        <v>5.2005760274222101E-2</v>
      </c>
      <c r="E2271" s="477">
        <v>21621338.839569915</v>
      </c>
      <c r="F2271" s="458">
        <v>0.10854737697738237</v>
      </c>
      <c r="G2271" s="477">
        <v>77382240.887367129</v>
      </c>
      <c r="H2271" s="458">
        <v>0.26125247406584839</v>
      </c>
      <c r="I2271" s="468">
        <v>4.0775643566956079</v>
      </c>
    </row>
    <row r="2272" spans="1:9" ht="16.5" x14ac:dyDescent="0.3">
      <c r="A2272" s="477">
        <v>6580842.9492701357</v>
      </c>
      <c r="B2272" s="458">
        <v>4.3447888196365358E-2</v>
      </c>
      <c r="C2272" s="477">
        <v>8531583.7975885887</v>
      </c>
      <c r="D2272" s="458">
        <v>5.6877362850707769E-2</v>
      </c>
      <c r="E2272" s="477">
        <v>18731059.968497138</v>
      </c>
      <c r="F2272" s="458">
        <v>0.11711247249205692</v>
      </c>
      <c r="G2272" s="477">
        <v>89137822.142472506</v>
      </c>
      <c r="H2272" s="458">
        <v>0.26726258030621652</v>
      </c>
      <c r="I2272" s="468">
        <v>5.1141134314343804</v>
      </c>
    </row>
    <row r="2273" spans="1:9" ht="16.5" x14ac:dyDescent="0.3">
      <c r="A2273" s="477">
        <v>3600151.2775554503</v>
      </c>
      <c r="B2273" s="458">
        <v>2.7787955258770758E-2</v>
      </c>
      <c r="C2273" s="477">
        <v>3211072.5826965934</v>
      </c>
      <c r="D2273" s="458">
        <v>6.1543089600608836E-2</v>
      </c>
      <c r="E2273" s="477">
        <v>26084401.004454449</v>
      </c>
      <c r="F2273" s="458">
        <v>7.8319522150242848E-2</v>
      </c>
      <c r="G2273" s="477">
        <v>82885786.372489139</v>
      </c>
      <c r="H2273" s="458">
        <v>0.28350976630913594</v>
      </c>
      <c r="I2273" s="468">
        <v>6.5808044094718188</v>
      </c>
    </row>
    <row r="2274" spans="1:9" ht="16.5" x14ac:dyDescent="0.3">
      <c r="A2274" s="477">
        <v>4067580.2938762992</v>
      </c>
      <c r="B2274" s="458">
        <v>4.7809106149377723E-2</v>
      </c>
      <c r="C2274" s="477">
        <v>4483725.1640102686</v>
      </c>
      <c r="D2274" s="458">
        <v>6.4425295102276126E-2</v>
      </c>
      <c r="E2274" s="477">
        <v>24566181.444377121</v>
      </c>
      <c r="F2274" s="458">
        <v>0.10546510514463603</v>
      </c>
      <c r="G2274" s="477">
        <v>102475954.21484166</v>
      </c>
      <c r="H2274" s="458">
        <v>0.2812926713826871</v>
      </c>
      <c r="I2274" s="468">
        <v>2.3019967956898411</v>
      </c>
    </row>
    <row r="2275" spans="1:9" ht="16.5" x14ac:dyDescent="0.3">
      <c r="A2275" s="477">
        <v>4693678.5259933639</v>
      </c>
      <c r="B2275" s="458">
        <v>3.9095567440444956E-2</v>
      </c>
      <c r="C2275" s="477">
        <v>14115186.893140526</v>
      </c>
      <c r="D2275" s="458">
        <v>7.1727197831640277E-2</v>
      </c>
      <c r="E2275" s="477">
        <v>7941548.6740076775</v>
      </c>
      <c r="F2275" s="458">
        <v>9.3451633190676509E-2</v>
      </c>
      <c r="G2275" s="477">
        <v>84693527.25955382</v>
      </c>
      <c r="H2275" s="458">
        <v>0.25668093520063784</v>
      </c>
      <c r="I2275" s="468">
        <v>7.1870771150722916</v>
      </c>
    </row>
    <row r="2276" spans="1:9" ht="16.5" x14ac:dyDescent="0.3">
      <c r="A2276" s="477">
        <v>4352839.2166106887</v>
      </c>
      <c r="B2276" s="458">
        <v>5.2839418999589327E-2</v>
      </c>
      <c r="C2276" s="477">
        <v>11318079.103167256</v>
      </c>
      <c r="D2276" s="458">
        <v>5.9245442616691957E-2</v>
      </c>
      <c r="E2276" s="477">
        <v>12748307.351608451</v>
      </c>
      <c r="F2276" s="458">
        <v>0.11439651761626091</v>
      </c>
      <c r="G2276" s="477">
        <v>80332702.916033357</v>
      </c>
      <c r="H2276" s="458">
        <v>0.26223608216395067</v>
      </c>
      <c r="I2276" s="468">
        <v>8.7435226396186927</v>
      </c>
    </row>
    <row r="2277" spans="1:9" ht="16.5" x14ac:dyDescent="0.3">
      <c r="A2277" s="477">
        <v>5958986.1754876729</v>
      </c>
      <c r="B2277" s="458">
        <v>2.1502002500397577E-2</v>
      </c>
      <c r="C2277" s="477">
        <v>11763473.111951916</v>
      </c>
      <c r="D2277" s="458">
        <v>6.4412521004728829E-2</v>
      </c>
      <c r="E2277" s="477">
        <v>19887833.039182458</v>
      </c>
      <c r="F2277" s="458">
        <v>0.13676499707790857</v>
      </c>
      <c r="G2277" s="477">
        <v>86518377.328758687</v>
      </c>
      <c r="H2277" s="458">
        <v>0.25587669242970645</v>
      </c>
      <c r="I2277" s="468">
        <v>10.219639862103445</v>
      </c>
    </row>
    <row r="2278" spans="1:9" ht="16.5" x14ac:dyDescent="0.3">
      <c r="A2278" s="477">
        <v>1478474.4118108253</v>
      </c>
      <c r="B2278" s="458">
        <v>4.0943569810655944E-2</v>
      </c>
      <c r="C2278" s="477">
        <v>14229952.315909255</v>
      </c>
      <c r="D2278" s="458">
        <v>7.6572144600959735E-2</v>
      </c>
      <c r="E2278" s="477">
        <v>17749119.590945996</v>
      </c>
      <c r="F2278" s="458">
        <v>0.1103966659774962</v>
      </c>
      <c r="G2278" s="477">
        <v>97992617.902738407</v>
      </c>
      <c r="H2278" s="458">
        <v>0.25754469974808747</v>
      </c>
      <c r="I2278" s="468">
        <v>11.038843452599142</v>
      </c>
    </row>
    <row r="2279" spans="1:9" ht="16.5" x14ac:dyDescent="0.3">
      <c r="A2279" s="477">
        <v>6250258.3565417193</v>
      </c>
      <c r="B2279" s="458">
        <v>7.0431678386363661E-2</v>
      </c>
      <c r="C2279" s="477">
        <v>4582613.5376183828</v>
      </c>
      <c r="D2279" s="458">
        <v>8.0877280318697231E-2</v>
      </c>
      <c r="E2279" s="477">
        <v>7987257.3569572698</v>
      </c>
      <c r="F2279" s="458">
        <v>0.12029258674430632</v>
      </c>
      <c r="G2279" s="477">
        <v>81855838.971466586</v>
      </c>
      <c r="H2279" s="458">
        <v>0.27345143334336863</v>
      </c>
      <c r="I2279" s="468">
        <v>14.857786397681526</v>
      </c>
    </row>
    <row r="2280" spans="1:9" ht="16.5" x14ac:dyDescent="0.3">
      <c r="A2280" s="477">
        <v>7783654.8867012998</v>
      </c>
      <c r="B2280" s="458">
        <v>3.3379193751328362E-3</v>
      </c>
      <c r="C2280" s="477">
        <v>11107338.19689139</v>
      </c>
      <c r="D2280" s="458">
        <v>5.2695149843204003E-2</v>
      </c>
      <c r="E2280" s="477">
        <v>14878635.829208961</v>
      </c>
      <c r="F2280" s="458">
        <v>0.12530546859970748</v>
      </c>
      <c r="G2280" s="477">
        <v>105086543.44351876</v>
      </c>
      <c r="H2280" s="458">
        <v>0.26324101779897191</v>
      </c>
      <c r="I2280" s="468">
        <v>15.306283152974233</v>
      </c>
    </row>
    <row r="2281" spans="1:9" ht="16.5" x14ac:dyDescent="0.3">
      <c r="A2281" s="477">
        <v>6689905.8654246153</v>
      </c>
      <c r="B2281" s="458">
        <v>3.6641885362285631E-2</v>
      </c>
      <c r="C2281" s="477">
        <v>7411342.0180678973</v>
      </c>
      <c r="D2281" s="458">
        <v>7.5083432024064756E-2</v>
      </c>
      <c r="E2281" s="477">
        <v>11879695.780690202</v>
      </c>
      <c r="F2281" s="458">
        <v>9.2943560392976243E-2</v>
      </c>
      <c r="G2281" s="477">
        <v>96971886.442549035</v>
      </c>
      <c r="H2281" s="458">
        <v>0.28422434925850859</v>
      </c>
      <c r="I2281" s="468">
        <v>10.793751136940845</v>
      </c>
    </row>
    <row r="2282" spans="1:9" ht="16.5" x14ac:dyDescent="0.3">
      <c r="A2282" s="477">
        <v>5711663.1148122624</v>
      </c>
      <c r="B2282" s="458">
        <v>2.3501949847386738E-2</v>
      </c>
      <c r="C2282" s="477">
        <v>8306319.7032513842</v>
      </c>
      <c r="D2282" s="458">
        <v>4.364976437404855E-2</v>
      </c>
      <c r="E2282" s="477">
        <v>20355281.746703755</v>
      </c>
      <c r="F2282" s="458">
        <v>0.10415998303124163</v>
      </c>
      <c r="G2282" s="477">
        <v>93249781.282399327</v>
      </c>
      <c r="H2282" s="458">
        <v>0.27852353540031816</v>
      </c>
      <c r="I2282" s="468">
        <v>7.5712127535772638</v>
      </c>
    </row>
    <row r="2283" spans="1:9" ht="16.5" x14ac:dyDescent="0.3">
      <c r="A2283" s="477">
        <v>3327693.7145884018</v>
      </c>
      <c r="B2283" s="458">
        <v>4.0108734712641869E-2</v>
      </c>
      <c r="C2283" s="477">
        <v>11711983.459952436</v>
      </c>
      <c r="D2283" s="458">
        <v>4.0196915200479966E-2</v>
      </c>
      <c r="E2283" s="477">
        <v>16045911.898201371</v>
      </c>
      <c r="F2283" s="458">
        <v>0.11504784047121941</v>
      </c>
      <c r="G2283" s="477">
        <v>99233653.57294853</v>
      </c>
      <c r="H2283" s="458">
        <v>0.28960891748390249</v>
      </c>
      <c r="I2283" s="468">
        <v>3.0123750660620097</v>
      </c>
    </row>
    <row r="2284" spans="1:9" ht="16.5" x14ac:dyDescent="0.3">
      <c r="A2284" s="477">
        <v>4056418.806415604</v>
      </c>
      <c r="B2284" s="458">
        <v>4.0611932359815528E-2</v>
      </c>
      <c r="C2284" s="477">
        <v>9208147.6672044192</v>
      </c>
      <c r="D2284" s="458">
        <v>6.1448356836434348E-2</v>
      </c>
      <c r="E2284" s="477">
        <v>18617711.98504721</v>
      </c>
      <c r="F2284" s="458">
        <v>0.10120504270779263</v>
      </c>
      <c r="G2284" s="477">
        <v>85527019.127239972</v>
      </c>
      <c r="H2284" s="458">
        <v>0.27050335892022415</v>
      </c>
      <c r="I2284" s="468">
        <v>7.657535835634051</v>
      </c>
    </row>
    <row r="2285" spans="1:9" ht="16.5" x14ac:dyDescent="0.3">
      <c r="A2285" s="477">
        <v>5464679.4518439015</v>
      </c>
      <c r="B2285" s="458">
        <v>2.8655634778855132E-2</v>
      </c>
      <c r="C2285" s="477">
        <v>6855333.9150492009</v>
      </c>
      <c r="D2285" s="458">
        <v>7.4913947605399933E-2</v>
      </c>
      <c r="E2285" s="477">
        <v>17994070.085901774</v>
      </c>
      <c r="F2285" s="458">
        <v>0.10912617997993945</v>
      </c>
      <c r="G2285" s="477">
        <v>82225995.366556674</v>
      </c>
      <c r="H2285" s="458">
        <v>0.27868156805266486</v>
      </c>
      <c r="I2285" s="468">
        <v>11.191922595482225</v>
      </c>
    </row>
    <row r="2286" spans="1:9" ht="16.5" x14ac:dyDescent="0.3">
      <c r="A2286" s="477">
        <v>8252084.6585658407</v>
      </c>
      <c r="B2286" s="458">
        <v>3.0662190006840895E-2</v>
      </c>
      <c r="C2286" s="477">
        <v>14198053.830338269</v>
      </c>
      <c r="D2286" s="458">
        <v>6.8125580878172665E-2</v>
      </c>
      <c r="E2286" s="477">
        <v>17255430.619630713</v>
      </c>
      <c r="F2286" s="458">
        <v>0.1239742994345685</v>
      </c>
      <c r="G2286" s="477">
        <v>93531390.506849691</v>
      </c>
      <c r="H2286" s="458">
        <v>0.27616785801702859</v>
      </c>
      <c r="I2286" s="468">
        <v>4.722871866594847</v>
      </c>
    </row>
    <row r="2287" spans="1:9" ht="16.5" x14ac:dyDescent="0.3">
      <c r="A2287" s="477">
        <v>6168455.9935694495</v>
      </c>
      <c r="B2287" s="458">
        <v>3.2491440084159384E-2</v>
      </c>
      <c r="C2287" s="477">
        <v>13219736.05787484</v>
      </c>
      <c r="D2287" s="458">
        <v>7.14435099749966E-2</v>
      </c>
      <c r="E2287" s="477">
        <v>19338236.726817336</v>
      </c>
      <c r="F2287" s="458">
        <v>6.4321102370480832E-2</v>
      </c>
      <c r="G2287" s="477">
        <v>94716084.284693569</v>
      </c>
      <c r="H2287" s="458">
        <v>0.25657667661581396</v>
      </c>
      <c r="I2287" s="468">
        <v>10.253805114590921</v>
      </c>
    </row>
    <row r="2288" spans="1:9" ht="16.5" x14ac:dyDescent="0.3">
      <c r="A2288" s="477">
        <v>3656433.3758737133</v>
      </c>
      <c r="B2288" s="458">
        <v>1.9950747518222789E-2</v>
      </c>
      <c r="C2288" s="477">
        <v>8002372.1265796907</v>
      </c>
      <c r="D2288" s="458">
        <v>7.3437317268352897E-2</v>
      </c>
      <c r="E2288" s="477">
        <v>12777769.292004699</v>
      </c>
      <c r="F2288" s="458">
        <v>9.6698512085330757E-2</v>
      </c>
      <c r="G2288" s="477">
        <v>84902826.323671237</v>
      </c>
      <c r="H2288" s="458">
        <v>0.2680977188749909</v>
      </c>
      <c r="I2288" s="468">
        <v>10.456610152893788</v>
      </c>
    </row>
    <row r="2289" spans="1:9" ht="16.5" x14ac:dyDescent="0.3">
      <c r="A2289" s="477">
        <v>5074965.840863416</v>
      </c>
      <c r="B2289" s="458">
        <v>5.0712976757795847E-2</v>
      </c>
      <c r="C2289" s="477">
        <v>8891005.4541980363</v>
      </c>
      <c r="D2289" s="458">
        <v>5.0642797923638128E-2</v>
      </c>
      <c r="E2289" s="477">
        <v>12787522.018655216</v>
      </c>
      <c r="F2289" s="458">
        <v>9.6506914279832268E-2</v>
      </c>
      <c r="G2289" s="477">
        <v>88010562.972642303</v>
      </c>
      <c r="H2289" s="458">
        <v>0.26563694034859142</v>
      </c>
      <c r="I2289" s="468">
        <v>11.607803813250573</v>
      </c>
    </row>
    <row r="2290" spans="1:9" ht="16.5" x14ac:dyDescent="0.3">
      <c r="A2290" s="477">
        <v>6136820.891526645</v>
      </c>
      <c r="B2290" s="458">
        <v>7.9989272316983939E-2</v>
      </c>
      <c r="C2290" s="477">
        <v>13211306.63804947</v>
      </c>
      <c r="D2290" s="458">
        <v>9.9167288223776184E-2</v>
      </c>
      <c r="E2290" s="477">
        <v>18641796.47025755</v>
      </c>
      <c r="F2290" s="458">
        <v>9.9463786350800554E-2</v>
      </c>
      <c r="G2290" s="477">
        <v>93354248.753473982</v>
      </c>
      <c r="H2290" s="458">
        <v>0.27363179337783206</v>
      </c>
      <c r="I2290" s="468">
        <v>6.9539564912489826</v>
      </c>
    </row>
    <row r="2291" spans="1:9" ht="16.5" x14ac:dyDescent="0.3">
      <c r="A2291" s="477">
        <v>7842492.980567283</v>
      </c>
      <c r="B2291" s="458">
        <v>3.9501185923914051E-2</v>
      </c>
      <c r="C2291" s="477">
        <v>5110007.7054457795</v>
      </c>
      <c r="D2291" s="458">
        <v>7.964671636892251E-2</v>
      </c>
      <c r="E2291" s="477">
        <v>8863721.9549698159</v>
      </c>
      <c r="F2291" s="458">
        <v>9.7411951546987563E-2</v>
      </c>
      <c r="G2291" s="477">
        <v>81196040.566425696</v>
      </c>
      <c r="H2291" s="458">
        <v>0.29016855591771562</v>
      </c>
      <c r="I2291" s="468">
        <v>12.158754144796381</v>
      </c>
    </row>
    <row r="2292" spans="1:9" ht="16.5" x14ac:dyDescent="0.3">
      <c r="A2292" s="477">
        <v>5920391.7846380025</v>
      </c>
      <c r="B2292" s="458">
        <v>4.8087494686623433E-2</v>
      </c>
      <c r="C2292" s="477">
        <v>6076873.2096694652</v>
      </c>
      <c r="D2292" s="458">
        <v>7.213340590755446E-2</v>
      </c>
      <c r="E2292" s="477">
        <v>14144165.821807362</v>
      </c>
      <c r="F2292" s="458">
        <v>9.8540708659550891E-2</v>
      </c>
      <c r="G2292" s="477">
        <v>96490459.693118975</v>
      </c>
      <c r="H2292" s="458">
        <v>0.24989408190969042</v>
      </c>
      <c r="I2292" s="468">
        <v>4.7994287787324339</v>
      </c>
    </row>
    <row r="2293" spans="1:9" ht="16.5" x14ac:dyDescent="0.3">
      <c r="A2293" s="477">
        <v>6670879.3721391428</v>
      </c>
      <c r="B2293" s="458">
        <v>3.7418304389278179E-2</v>
      </c>
      <c r="C2293" s="477">
        <v>4474057.5177950813</v>
      </c>
      <c r="D2293" s="458">
        <v>5.0694966722853785E-2</v>
      </c>
      <c r="E2293" s="477">
        <v>16879342.567461714</v>
      </c>
      <c r="F2293" s="458">
        <v>0.12749282144565588</v>
      </c>
      <c r="G2293" s="477">
        <v>86015906.438033834</v>
      </c>
      <c r="H2293" s="458">
        <v>0.26620518325285092</v>
      </c>
      <c r="I2293" s="468">
        <v>7.7207377876758159</v>
      </c>
    </row>
    <row r="2294" spans="1:9" ht="16.5" x14ac:dyDescent="0.3">
      <c r="A2294" s="477">
        <v>5338822.4878886715</v>
      </c>
      <c r="B2294" s="458">
        <v>4.9237723135238998E-2</v>
      </c>
      <c r="C2294" s="477">
        <v>8592872.9939488452</v>
      </c>
      <c r="D2294" s="458">
        <v>4.4476243820249284E-2</v>
      </c>
      <c r="E2294" s="477">
        <v>10639714.690208346</v>
      </c>
      <c r="F2294" s="458">
        <v>9.8530424301205066E-2</v>
      </c>
      <c r="G2294" s="477">
        <v>78254271.077160627</v>
      </c>
      <c r="H2294" s="458">
        <v>0.25199910864534547</v>
      </c>
      <c r="I2294" s="468">
        <v>7.3927624772688052</v>
      </c>
    </row>
    <row r="2295" spans="1:9" ht="16.5" x14ac:dyDescent="0.3">
      <c r="A2295" s="477">
        <v>6555454.501403139</v>
      </c>
      <c r="B2295" s="458">
        <v>4.7963297199472121E-2</v>
      </c>
      <c r="C2295" s="477">
        <v>7105787.771330676</v>
      </c>
      <c r="D2295" s="458">
        <v>7.5939919570162218E-2</v>
      </c>
      <c r="E2295" s="477">
        <v>18366457.9704221</v>
      </c>
      <c r="F2295" s="458">
        <v>9.8008747738048907E-2</v>
      </c>
      <c r="G2295" s="477">
        <v>96931193.202821046</v>
      </c>
      <c r="H2295" s="458">
        <v>0.27756082677198313</v>
      </c>
      <c r="I2295" s="468">
        <v>8.456127874681858</v>
      </c>
    </row>
    <row r="2296" spans="1:9" ht="16.5" x14ac:dyDescent="0.3">
      <c r="A2296" s="477">
        <v>7214195.5953510888</v>
      </c>
      <c r="B2296" s="458">
        <v>4.152261480617625E-2</v>
      </c>
      <c r="C2296" s="477">
        <v>9445424.3163598981</v>
      </c>
      <c r="D2296" s="458">
        <v>9.092753343369564E-2</v>
      </c>
      <c r="E2296" s="477">
        <v>22634618.680980407</v>
      </c>
      <c r="F2296" s="458">
        <v>0.10667775997915729</v>
      </c>
      <c r="G2296" s="477">
        <v>99926318.483491659</v>
      </c>
      <c r="H2296" s="458">
        <v>0.26216834301279257</v>
      </c>
      <c r="I2296" s="468">
        <v>4.1955571650619063</v>
      </c>
    </row>
    <row r="2297" spans="1:9" ht="16.5" x14ac:dyDescent="0.3">
      <c r="A2297" s="477">
        <v>5326962.7440380715</v>
      </c>
      <c r="B2297" s="458">
        <v>3.2322843021493908E-2</v>
      </c>
      <c r="C2297" s="477">
        <v>14048291.086955745</v>
      </c>
      <c r="D2297" s="458">
        <v>7.1721773544769496E-2</v>
      </c>
      <c r="E2297" s="477">
        <v>12572793.488493856</v>
      </c>
      <c r="F2297" s="458">
        <v>0.12651148759074471</v>
      </c>
      <c r="G2297" s="477">
        <v>95388224.462939024</v>
      </c>
      <c r="H2297" s="458">
        <v>0.26647216637751359</v>
      </c>
      <c r="I2297" s="468">
        <v>11.267657611508218</v>
      </c>
    </row>
    <row r="2298" spans="1:9" ht="16.5" x14ac:dyDescent="0.3">
      <c r="A2298" s="477">
        <v>6767192.993681998</v>
      </c>
      <c r="B2298" s="458">
        <v>3.9945372168065374E-2</v>
      </c>
      <c r="C2298" s="477">
        <v>3418601.5255372347</v>
      </c>
      <c r="D2298" s="458">
        <v>4.8428998697953363E-2</v>
      </c>
      <c r="E2298" s="477">
        <v>27087141.745247286</v>
      </c>
      <c r="F2298" s="458">
        <v>0.11109523190705706</v>
      </c>
      <c r="G2298" s="477">
        <v>71871392.371626958</v>
      </c>
      <c r="H2298" s="458">
        <v>0.28114807728084457</v>
      </c>
      <c r="I2298" s="468">
        <v>6.6251179087174048</v>
      </c>
    </row>
    <row r="2299" spans="1:9" ht="16.5" x14ac:dyDescent="0.3">
      <c r="A2299" s="477">
        <v>3894824.0350663285</v>
      </c>
      <c r="B2299" s="458">
        <v>4.1063635734207793E-2</v>
      </c>
      <c r="C2299" s="477">
        <v>6219563.3070276706</v>
      </c>
      <c r="D2299" s="458">
        <v>5.4152900808917881E-2</v>
      </c>
      <c r="E2299" s="477">
        <v>13670545.460006146</v>
      </c>
      <c r="F2299" s="458">
        <v>0.1001998270166331</v>
      </c>
      <c r="G2299" s="477">
        <v>102051331.80271122</v>
      </c>
      <c r="H2299" s="458">
        <v>0.28644824323117124</v>
      </c>
      <c r="I2299" s="468">
        <v>0.47695463387199322</v>
      </c>
    </row>
    <row r="2300" spans="1:9" ht="16.5" x14ac:dyDescent="0.3">
      <c r="A2300" s="477">
        <v>10813816.586654728</v>
      </c>
      <c r="B2300" s="458">
        <v>3.96480748009993E-2</v>
      </c>
      <c r="C2300" s="477">
        <v>16128715.400447182</v>
      </c>
      <c r="D2300" s="458">
        <v>6.1379009385571948E-2</v>
      </c>
      <c r="E2300" s="477">
        <v>24218470.897078332</v>
      </c>
      <c r="F2300" s="458">
        <v>0.10496010709886638</v>
      </c>
      <c r="G2300" s="477">
        <v>88730923.548230484</v>
      </c>
      <c r="H2300" s="458">
        <v>0.30929186274796572</v>
      </c>
      <c r="I2300" s="468">
        <v>11.608777300413097</v>
      </c>
    </row>
    <row r="2301" spans="1:9" ht="16.5" x14ac:dyDescent="0.3">
      <c r="A2301" s="477">
        <v>4529544.9008498108</v>
      </c>
      <c r="B2301" s="458">
        <v>4.5377003403866745E-2</v>
      </c>
      <c r="C2301" s="477">
        <v>13624537.036495768</v>
      </c>
      <c r="D2301" s="458">
        <v>8.7003531778512944E-2</v>
      </c>
      <c r="E2301" s="477">
        <v>18574628.04781479</v>
      </c>
      <c r="F2301" s="458">
        <v>0.10840118806185517</v>
      </c>
      <c r="G2301" s="477">
        <v>92599870.236778885</v>
      </c>
      <c r="H2301" s="458">
        <v>0.27574321111911759</v>
      </c>
      <c r="I2301" s="468">
        <v>11.248075433784997</v>
      </c>
    </row>
    <row r="2302" spans="1:9" ht="16.5" x14ac:dyDescent="0.3">
      <c r="A2302" s="477">
        <v>7928725.5540246293</v>
      </c>
      <c r="B2302" s="458">
        <v>4.6323611060843151E-2</v>
      </c>
      <c r="C2302" s="477">
        <v>3818448.7299821968</v>
      </c>
      <c r="D2302" s="458">
        <v>5.4569993344661061E-2</v>
      </c>
      <c r="E2302" s="477">
        <v>15517650.088684479</v>
      </c>
      <c r="F2302" s="458">
        <v>0.1470349116649432</v>
      </c>
      <c r="G2302" s="477">
        <v>85899287.506790116</v>
      </c>
      <c r="H2302" s="458">
        <v>0.25264934476258882</v>
      </c>
      <c r="I2302" s="468">
        <v>10.352786495752573</v>
      </c>
    </row>
    <row r="2303" spans="1:9" ht="16.5" x14ac:dyDescent="0.3">
      <c r="A2303" s="477">
        <v>9585344.3947763573</v>
      </c>
      <c r="B2303" s="458">
        <v>3.7617971754915436E-2</v>
      </c>
      <c r="C2303" s="477">
        <v>4599388.3894823277</v>
      </c>
      <c r="D2303" s="458">
        <v>6.1535622913566845E-2</v>
      </c>
      <c r="E2303" s="477">
        <v>3912501.3954808316</v>
      </c>
      <c r="F2303" s="458">
        <v>9.6916476358767767E-2</v>
      </c>
      <c r="G2303" s="477">
        <v>83600527.970894381</v>
      </c>
      <c r="H2303" s="458">
        <v>0.26726914385313494</v>
      </c>
      <c r="I2303" s="468">
        <v>7.0867155430500439</v>
      </c>
    </row>
    <row r="2304" spans="1:9" ht="16.5" x14ac:dyDescent="0.3">
      <c r="A2304" s="477">
        <v>3936535.2183872648</v>
      </c>
      <c r="B2304" s="458">
        <v>2.081995901193201E-2</v>
      </c>
      <c r="C2304" s="477">
        <v>9106642.058739014</v>
      </c>
      <c r="D2304" s="458">
        <v>3.8155667805914062E-2</v>
      </c>
      <c r="E2304" s="477">
        <v>18975694.129151464</v>
      </c>
      <c r="F2304" s="458">
        <v>0.11388587575594156</v>
      </c>
      <c r="G2304" s="477">
        <v>85040065.416773319</v>
      </c>
      <c r="H2304" s="458">
        <v>0.27234922215593738</v>
      </c>
      <c r="I2304" s="468">
        <v>6.609971784581111</v>
      </c>
    </row>
    <row r="2305" spans="1:9" ht="16.5" x14ac:dyDescent="0.3">
      <c r="A2305" s="477">
        <v>5828024.21744911</v>
      </c>
      <c r="B2305" s="458">
        <v>2.7106064114501782E-2</v>
      </c>
      <c r="C2305" s="477">
        <v>10761269.792276856</v>
      </c>
      <c r="D2305" s="458">
        <v>8.4964974900197721E-2</v>
      </c>
      <c r="E2305" s="477">
        <v>22757454.088983212</v>
      </c>
      <c r="F2305" s="458">
        <v>0.12342585911008697</v>
      </c>
      <c r="G2305" s="477">
        <v>77063741.725588679</v>
      </c>
      <c r="H2305" s="458">
        <v>0.25432739839287266</v>
      </c>
      <c r="I2305" s="468">
        <v>7.1024098739478543</v>
      </c>
    </row>
    <row r="2306" spans="1:9" ht="16.5" x14ac:dyDescent="0.3">
      <c r="A2306" s="477">
        <v>5004035.6677549463</v>
      </c>
      <c r="B2306" s="458">
        <v>3.1666055751520927E-2</v>
      </c>
      <c r="C2306" s="477">
        <v>10314332.038277227</v>
      </c>
      <c r="D2306" s="458">
        <v>4.7851163815118891E-2</v>
      </c>
      <c r="E2306" s="477">
        <v>2774240.5934459227</v>
      </c>
      <c r="F2306" s="458">
        <v>0.13149767898225084</v>
      </c>
      <c r="G2306" s="477">
        <v>81980668.760872647</v>
      </c>
      <c r="H2306" s="458">
        <v>0.26812899378532684</v>
      </c>
      <c r="I2306" s="468">
        <v>15.718922949981636</v>
      </c>
    </row>
    <row r="2307" spans="1:9" ht="16.5" x14ac:dyDescent="0.3">
      <c r="A2307" s="477">
        <v>2950223.5933077056</v>
      </c>
      <c r="B2307" s="458">
        <v>4.5119036564643666E-2</v>
      </c>
      <c r="C2307" s="477">
        <v>9921321.0033883136</v>
      </c>
      <c r="D2307" s="458">
        <v>8.2033256654799436E-2</v>
      </c>
      <c r="E2307" s="477">
        <v>12769984.545517985</v>
      </c>
      <c r="F2307" s="458">
        <v>0.12316508701126772</v>
      </c>
      <c r="G2307" s="477">
        <v>85386757.226395175</v>
      </c>
      <c r="H2307" s="458">
        <v>0.2915234574711878</v>
      </c>
      <c r="I2307" s="468">
        <v>7.6581188953813637</v>
      </c>
    </row>
    <row r="2308" spans="1:9" ht="16.5" x14ac:dyDescent="0.3">
      <c r="A2308" s="477">
        <v>1610665.3507400323</v>
      </c>
      <c r="B2308" s="458">
        <v>3.849955323618981E-2</v>
      </c>
      <c r="C2308" s="477">
        <v>11731436.223375339</v>
      </c>
      <c r="D2308" s="458">
        <v>5.7026317417488537E-2</v>
      </c>
      <c r="E2308" s="477">
        <v>18545411.492089681</v>
      </c>
      <c r="F2308" s="458">
        <v>0.11436169600126123</v>
      </c>
      <c r="G2308" s="477">
        <v>88693836.042582393</v>
      </c>
      <c r="H2308" s="458">
        <v>0.26194313971418604</v>
      </c>
      <c r="I2308" s="468">
        <v>4.9494124834881825</v>
      </c>
    </row>
    <row r="2309" spans="1:9" ht="16.5" x14ac:dyDescent="0.3">
      <c r="A2309" s="477">
        <v>4378145.9978740225</v>
      </c>
      <c r="B2309" s="458">
        <v>5.0287601790589109E-2</v>
      </c>
      <c r="C2309" s="477">
        <v>16546586.16699037</v>
      </c>
      <c r="D2309" s="458">
        <v>8.4707489190097185E-2</v>
      </c>
      <c r="E2309" s="477">
        <v>14076929.870466132</v>
      </c>
      <c r="F2309" s="458">
        <v>0.11290357586197097</v>
      </c>
      <c r="G2309" s="477">
        <v>88188966.349429637</v>
      </c>
      <c r="H2309" s="458">
        <v>0.27695683477315414</v>
      </c>
      <c r="I2309" s="468">
        <v>9.4581554665091438</v>
      </c>
    </row>
    <row r="2310" spans="1:9" ht="16.5" x14ac:dyDescent="0.3">
      <c r="A2310" s="477">
        <v>6341330.4511234155</v>
      </c>
      <c r="B2310" s="458">
        <v>4.5247873896700153E-2</v>
      </c>
      <c r="C2310" s="477">
        <v>5528279.0486033484</v>
      </c>
      <c r="D2310" s="458">
        <v>7.0012356270866771E-2</v>
      </c>
      <c r="E2310" s="477">
        <v>13892940.334656091</v>
      </c>
      <c r="F2310" s="458">
        <v>0.11763931804278638</v>
      </c>
      <c r="G2310" s="477">
        <v>80176795.826840088</v>
      </c>
      <c r="H2310" s="458">
        <v>0.2660678416443234</v>
      </c>
      <c r="I2310" s="468">
        <v>13.660661821555941</v>
      </c>
    </row>
    <row r="2311" spans="1:9" ht="16.5" x14ac:dyDescent="0.3">
      <c r="A2311" s="477">
        <v>5133742.3221609732</v>
      </c>
      <c r="B2311" s="458">
        <v>4.7141843282340723E-2</v>
      </c>
      <c r="C2311" s="477">
        <v>10748190.237340294</v>
      </c>
      <c r="D2311" s="458">
        <v>6.0838476394520002E-2</v>
      </c>
      <c r="E2311" s="477">
        <v>19806277.973357122</v>
      </c>
      <c r="F2311" s="458">
        <v>0.10994111928634576</v>
      </c>
      <c r="G2311" s="477">
        <v>94356618.184036717</v>
      </c>
      <c r="H2311" s="458">
        <v>0.25004639632882353</v>
      </c>
      <c r="I2311" s="468">
        <v>12.659821588032415</v>
      </c>
    </row>
    <row r="2312" spans="1:9" ht="16.5" x14ac:dyDescent="0.3">
      <c r="A2312" s="477">
        <v>-796940.76225066185</v>
      </c>
      <c r="B2312" s="458">
        <v>4.8253479624728923E-2</v>
      </c>
      <c r="C2312" s="477">
        <v>685794.55255498271</v>
      </c>
      <c r="D2312" s="458">
        <v>5.1844577607824016E-2</v>
      </c>
      <c r="E2312" s="477">
        <v>17446328.449106604</v>
      </c>
      <c r="F2312" s="458">
        <v>0.11063258512710195</v>
      </c>
      <c r="G2312" s="477">
        <v>78250566.818577111</v>
      </c>
      <c r="H2312" s="458">
        <v>0.25721842383233695</v>
      </c>
      <c r="I2312" s="468">
        <v>13.082690097049449</v>
      </c>
    </row>
    <row r="2313" spans="1:9" ht="16.5" x14ac:dyDescent="0.3">
      <c r="A2313" s="477">
        <v>2763211.5084408182</v>
      </c>
      <c r="B2313" s="458">
        <v>4.7771849528609023E-2</v>
      </c>
      <c r="C2313" s="477">
        <v>7123125.6047332706</v>
      </c>
      <c r="D2313" s="458">
        <v>4.3241581319399147E-2</v>
      </c>
      <c r="E2313" s="477">
        <v>22230210.718419887</v>
      </c>
      <c r="F2313" s="458">
        <v>0.10393030609778386</v>
      </c>
      <c r="G2313" s="477">
        <v>89988270.578497425</v>
      </c>
      <c r="H2313" s="458">
        <v>0.27166321255571324</v>
      </c>
      <c r="I2313" s="468">
        <v>0.46644856167912963</v>
      </c>
    </row>
    <row r="2314" spans="1:9" ht="16.5" x14ac:dyDescent="0.3">
      <c r="A2314" s="477">
        <v>8100622.1278350027</v>
      </c>
      <c r="B2314" s="458">
        <v>2.9955123593671917E-2</v>
      </c>
      <c r="C2314" s="477">
        <v>7837161.2491945699</v>
      </c>
      <c r="D2314" s="458">
        <v>4.4419160183334361E-2</v>
      </c>
      <c r="E2314" s="477">
        <v>19440926.335058089</v>
      </c>
      <c r="F2314" s="458">
        <v>0.12105368734374489</v>
      </c>
      <c r="G2314" s="477">
        <v>80581485.786852136</v>
      </c>
      <c r="H2314" s="458">
        <v>0.27376958523243533</v>
      </c>
      <c r="I2314" s="468">
        <v>7.450418845039513</v>
      </c>
    </row>
    <row r="2315" spans="1:9" ht="16.5" x14ac:dyDescent="0.3">
      <c r="A2315" s="477">
        <v>5055798.3040706022</v>
      </c>
      <c r="B2315" s="458">
        <v>5.0298807276682789E-2</v>
      </c>
      <c r="C2315" s="477">
        <v>10353780.208787095</v>
      </c>
      <c r="D2315" s="458">
        <v>4.9441772172729159E-2</v>
      </c>
      <c r="E2315" s="477">
        <v>13294858.581884872</v>
      </c>
      <c r="F2315" s="458">
        <v>9.3866812528035082E-2</v>
      </c>
      <c r="G2315" s="477">
        <v>92209392.813057706</v>
      </c>
      <c r="H2315" s="458">
        <v>0.27397344355296949</v>
      </c>
      <c r="I2315" s="468">
        <v>4.6984096003684179</v>
      </c>
    </row>
    <row r="2316" spans="1:9" ht="16.5" x14ac:dyDescent="0.3">
      <c r="A2316" s="477">
        <v>10348683.897875162</v>
      </c>
      <c r="B2316" s="458">
        <v>4.7445931627442928E-2</v>
      </c>
      <c r="C2316" s="477">
        <v>11124318.414341321</v>
      </c>
      <c r="D2316" s="458">
        <v>7.0648422128162025E-2</v>
      </c>
      <c r="E2316" s="477">
        <v>16144156.365123415</v>
      </c>
      <c r="F2316" s="458">
        <v>0.10661946019455715</v>
      </c>
      <c r="G2316" s="477">
        <v>92694303.957074419</v>
      </c>
      <c r="H2316" s="458">
        <v>0.28286064209959516</v>
      </c>
      <c r="I2316" s="468">
        <v>11.268937612750875</v>
      </c>
    </row>
    <row r="2317" spans="1:9" ht="16.5" x14ac:dyDescent="0.3">
      <c r="A2317" s="477">
        <v>4599253.6358620608</v>
      </c>
      <c r="B2317" s="458">
        <v>3.5197542767704038E-2</v>
      </c>
      <c r="C2317" s="477">
        <v>12147663.956619043</v>
      </c>
      <c r="D2317" s="458">
        <v>6.5342566159362736E-2</v>
      </c>
      <c r="E2317" s="477">
        <v>18862381.841408376</v>
      </c>
      <c r="F2317" s="458">
        <v>0.10598520386858379</v>
      </c>
      <c r="G2317" s="477">
        <v>80487031.599753916</v>
      </c>
      <c r="H2317" s="458">
        <v>0.28123290380175758</v>
      </c>
      <c r="I2317" s="468">
        <v>9.6250360276279068</v>
      </c>
    </row>
    <row r="2318" spans="1:9" ht="16.5" x14ac:dyDescent="0.3">
      <c r="A2318" s="477">
        <v>9211884.0001476798</v>
      </c>
      <c r="B2318" s="458">
        <v>3.1690459197571963E-2</v>
      </c>
      <c r="C2318" s="477">
        <v>8402870.0662706755</v>
      </c>
      <c r="D2318" s="458">
        <v>5.6160267249987017E-2</v>
      </c>
      <c r="E2318" s="477">
        <v>16628511.717704512</v>
      </c>
      <c r="F2318" s="458">
        <v>0.11734575988560625</v>
      </c>
      <c r="G2318" s="477">
        <v>87802169.284417599</v>
      </c>
      <c r="H2318" s="458">
        <v>0.28351764066224705</v>
      </c>
      <c r="I2318" s="468">
        <v>8.1348446311839755</v>
      </c>
    </row>
    <row r="2319" spans="1:9" ht="16.5" x14ac:dyDescent="0.3">
      <c r="A2319" s="477">
        <v>1248126.9220929185</v>
      </c>
      <c r="B2319" s="458">
        <v>2.5181976887342472E-2</v>
      </c>
      <c r="C2319" s="477">
        <v>4434453.0440872563</v>
      </c>
      <c r="D2319" s="458">
        <v>4.8267828209021646E-2</v>
      </c>
      <c r="E2319" s="477">
        <v>13490203.980824584</v>
      </c>
      <c r="F2319" s="458">
        <v>8.1969977242707159E-2</v>
      </c>
      <c r="G2319" s="477">
        <v>93990780.165262654</v>
      </c>
      <c r="H2319" s="458">
        <v>0.26165032574083513</v>
      </c>
      <c r="I2319" s="468">
        <v>15.149252557404479</v>
      </c>
    </row>
    <row r="2320" spans="1:9" ht="16.5" x14ac:dyDescent="0.3">
      <c r="A2320" s="477">
        <v>2019255.1768992597</v>
      </c>
      <c r="B2320" s="458">
        <v>4.1800009275290151E-2</v>
      </c>
      <c r="C2320" s="477">
        <v>2928851.1451672344</v>
      </c>
      <c r="D2320" s="458">
        <v>6.0173669977245936E-2</v>
      </c>
      <c r="E2320" s="477">
        <v>16888376.67963874</v>
      </c>
      <c r="F2320" s="458">
        <v>7.5045076600236849E-2</v>
      </c>
      <c r="G2320" s="477">
        <v>79737637.723579183</v>
      </c>
      <c r="H2320" s="458">
        <v>0.26048757475510542</v>
      </c>
      <c r="I2320" s="468">
        <v>16.641282469699117</v>
      </c>
    </row>
    <row r="2321" spans="1:9" ht="16.5" x14ac:dyDescent="0.3">
      <c r="A2321" s="477">
        <v>1871297.6417921877</v>
      </c>
      <c r="B2321" s="458">
        <v>4.0601064110993068E-2</v>
      </c>
      <c r="C2321" s="477">
        <v>7708383.7944700299</v>
      </c>
      <c r="D2321" s="458">
        <v>8.7400486943737032E-2</v>
      </c>
      <c r="E2321" s="477">
        <v>12650086.802773511</v>
      </c>
      <c r="F2321" s="458">
        <v>0.12567332132441611</v>
      </c>
      <c r="G2321" s="477">
        <v>87665457.4829835</v>
      </c>
      <c r="H2321" s="458">
        <v>0.24955355674019075</v>
      </c>
      <c r="I2321" s="468">
        <v>13.586498020144489</v>
      </c>
    </row>
    <row r="2322" spans="1:9" ht="16.5" x14ac:dyDescent="0.3">
      <c r="A2322" s="477">
        <v>6397790.225724984</v>
      </c>
      <c r="B2322" s="458">
        <v>3.8005299622859701E-2</v>
      </c>
      <c r="C2322" s="477">
        <v>10324671.051616287</v>
      </c>
      <c r="D2322" s="458">
        <v>6.1525972826782738E-2</v>
      </c>
      <c r="E2322" s="477">
        <v>11872769.591082074</v>
      </c>
      <c r="F2322" s="458">
        <v>0.11156309553197885</v>
      </c>
      <c r="G2322" s="477">
        <v>93408195.479261369</v>
      </c>
      <c r="H2322" s="458">
        <v>0.26765543578543927</v>
      </c>
      <c r="I2322" s="468">
        <v>7.7180247240176953</v>
      </c>
    </row>
    <row r="2323" spans="1:9" ht="16.5" x14ac:dyDescent="0.3">
      <c r="A2323" s="477">
        <v>4054622.8768595913</v>
      </c>
      <c r="B2323" s="458">
        <v>3.1472093238967158E-2</v>
      </c>
      <c r="C2323" s="477">
        <v>10340083.380406193</v>
      </c>
      <c r="D2323" s="458">
        <v>9.5257220543394361E-2</v>
      </c>
      <c r="E2323" s="477">
        <v>16048835.51104652</v>
      </c>
      <c r="F2323" s="458">
        <v>0.11568317007517526</v>
      </c>
      <c r="G2323" s="477">
        <v>92064398.253855199</v>
      </c>
      <c r="H2323" s="458">
        <v>0.24516899109569468</v>
      </c>
      <c r="I2323" s="468">
        <v>12.676340043789089</v>
      </c>
    </row>
    <row r="2324" spans="1:9" ht="16.5" x14ac:dyDescent="0.3">
      <c r="A2324" s="477">
        <v>5257998.3931666613</v>
      </c>
      <c r="B2324" s="458">
        <v>4.6621684467768265E-2</v>
      </c>
      <c r="C2324" s="477">
        <v>6377251.5650046514</v>
      </c>
      <c r="D2324" s="458">
        <v>8.7195298264837628E-2</v>
      </c>
      <c r="E2324" s="477">
        <v>20494696.067549605</v>
      </c>
      <c r="F2324" s="458">
        <v>0.13328001030305603</v>
      </c>
      <c r="G2324" s="477">
        <v>86238763.30329594</v>
      </c>
      <c r="H2324" s="458">
        <v>0.26413716097385209</v>
      </c>
      <c r="I2324" s="468">
        <v>3.8989146522053861</v>
      </c>
    </row>
    <row r="2325" spans="1:9" ht="16.5" x14ac:dyDescent="0.3">
      <c r="A2325" s="477">
        <v>11205131.158376042</v>
      </c>
      <c r="B2325" s="458">
        <v>3.4411938528269737E-2</v>
      </c>
      <c r="C2325" s="477">
        <v>10190229.505141996</v>
      </c>
      <c r="D2325" s="458">
        <v>5.1527163407799836E-2</v>
      </c>
      <c r="E2325" s="477">
        <v>15382516.485268591</v>
      </c>
      <c r="F2325" s="458">
        <v>0.13877551197073168</v>
      </c>
      <c r="G2325" s="477">
        <v>87935999.222609073</v>
      </c>
      <c r="H2325" s="458">
        <v>0.26067647339045319</v>
      </c>
      <c r="I2325" s="468">
        <v>12.750987887391588</v>
      </c>
    </row>
    <row r="2326" spans="1:9" ht="16.5" x14ac:dyDescent="0.3">
      <c r="A2326" s="477">
        <v>3787690.1467418219</v>
      </c>
      <c r="B2326" s="458">
        <v>5.6310520535944208E-2</v>
      </c>
      <c r="C2326" s="477">
        <v>2085806.929287425</v>
      </c>
      <c r="D2326" s="458">
        <v>6.3035175858917381E-2</v>
      </c>
      <c r="E2326" s="477">
        <v>13030700.99450516</v>
      </c>
      <c r="F2326" s="458">
        <v>9.9816524265644802E-2</v>
      </c>
      <c r="G2326" s="477">
        <v>97995953.735575035</v>
      </c>
      <c r="H2326" s="458">
        <v>0.28675211294262248</v>
      </c>
      <c r="I2326" s="468">
        <v>13.772670955614315</v>
      </c>
    </row>
    <row r="2327" spans="1:9" ht="16.5" x14ac:dyDescent="0.3">
      <c r="A2327" s="477">
        <v>4534749.4305912247</v>
      </c>
      <c r="B2327" s="458">
        <v>5.8769231843919023E-2</v>
      </c>
      <c r="C2327" s="477">
        <v>5821080.7674161345</v>
      </c>
      <c r="D2327" s="458">
        <v>6.5349660462874937E-2</v>
      </c>
      <c r="E2327" s="477">
        <v>12732824.933033528</v>
      </c>
      <c r="F2327" s="458">
        <v>0.10019071691683679</v>
      </c>
      <c r="G2327" s="477">
        <v>92870816.859203622</v>
      </c>
      <c r="H2327" s="458">
        <v>0.28166617809529293</v>
      </c>
      <c r="I2327" s="468">
        <v>11.404193838589174</v>
      </c>
    </row>
    <row r="2328" spans="1:9" ht="16.5" x14ac:dyDescent="0.3">
      <c r="A2328" s="477">
        <v>3902370.2023947942</v>
      </c>
      <c r="B2328" s="458">
        <v>1.4391313486002977E-2</v>
      </c>
      <c r="C2328" s="477">
        <v>7336581.2205950161</v>
      </c>
      <c r="D2328" s="458">
        <v>6.2796211976701821E-2</v>
      </c>
      <c r="E2328" s="477">
        <v>15765077.582611648</v>
      </c>
      <c r="F2328" s="458">
        <v>0.11679657725634929</v>
      </c>
      <c r="G2328" s="477">
        <v>82977916.030372754</v>
      </c>
      <c r="H2328" s="458">
        <v>0.27786637481234622</v>
      </c>
      <c r="I2328" s="468">
        <v>11.125671793332996</v>
      </c>
    </row>
    <row r="2329" spans="1:9" ht="16.5" x14ac:dyDescent="0.3">
      <c r="A2329" s="477">
        <v>6943871.4399651121</v>
      </c>
      <c r="B2329" s="458">
        <v>3.4991161277527549E-2</v>
      </c>
      <c r="C2329" s="477">
        <v>10838609.394331755</v>
      </c>
      <c r="D2329" s="458">
        <v>8.5908229413645287E-2</v>
      </c>
      <c r="E2329" s="477">
        <v>16043180.25213379</v>
      </c>
      <c r="F2329" s="458">
        <v>9.7357655382813046E-2</v>
      </c>
      <c r="G2329" s="477">
        <v>103320145.25303899</v>
      </c>
      <c r="H2329" s="458">
        <v>0.25386451154124834</v>
      </c>
      <c r="I2329" s="468">
        <v>5.8519490088249935</v>
      </c>
    </row>
    <row r="2330" spans="1:9" ht="16.5" x14ac:dyDescent="0.3">
      <c r="A2330" s="477">
        <v>2468114.688317718</v>
      </c>
      <c r="B2330" s="458">
        <v>4.3206975240275725E-2</v>
      </c>
      <c r="C2330" s="477">
        <v>6383131.2172968881</v>
      </c>
      <c r="D2330" s="458">
        <v>6.4860926713800504E-2</v>
      </c>
      <c r="E2330" s="477">
        <v>12443287.974367118</v>
      </c>
      <c r="F2330" s="458">
        <v>0.12235661384076102</v>
      </c>
      <c r="G2330" s="477">
        <v>88830513.579771489</v>
      </c>
      <c r="H2330" s="458">
        <v>0.26497285286435335</v>
      </c>
      <c r="I2330" s="468">
        <v>7.8762849259382648</v>
      </c>
    </row>
    <row r="2331" spans="1:9" ht="16.5" x14ac:dyDescent="0.3">
      <c r="A2331" s="477">
        <v>6900659.9702070598</v>
      </c>
      <c r="B2331" s="458">
        <v>4.1467320398078655E-2</v>
      </c>
      <c r="C2331" s="477">
        <v>14169205.022969486</v>
      </c>
      <c r="D2331" s="458">
        <v>7.2924073779905951E-2</v>
      </c>
      <c r="E2331" s="477">
        <v>17069643.892630186</v>
      </c>
      <c r="F2331" s="458">
        <v>0.11822390487853851</v>
      </c>
      <c r="G2331" s="477">
        <v>93361524.256807625</v>
      </c>
      <c r="H2331" s="458">
        <v>0.26815022167821789</v>
      </c>
      <c r="I2331" s="468">
        <v>5.8793306036924573</v>
      </c>
    </row>
    <row r="2332" spans="1:9" ht="16.5" x14ac:dyDescent="0.3">
      <c r="A2332" s="477">
        <v>3335418.7751691458</v>
      </c>
      <c r="B2332" s="458">
        <v>3.518060791984623E-2</v>
      </c>
      <c r="C2332" s="477">
        <v>2474660.6607747739</v>
      </c>
      <c r="D2332" s="458">
        <v>0.10295220487771317</v>
      </c>
      <c r="E2332" s="477">
        <v>18462395.422295567</v>
      </c>
      <c r="F2332" s="458">
        <v>0.12359292261179755</v>
      </c>
      <c r="G2332" s="477">
        <v>91722828.886735708</v>
      </c>
      <c r="H2332" s="458">
        <v>0.28131786086684363</v>
      </c>
      <c r="I2332" s="468">
        <v>8.5361226882273442</v>
      </c>
    </row>
    <row r="2333" spans="1:9" ht="16.5" x14ac:dyDescent="0.3">
      <c r="A2333" s="477">
        <v>4134490.1371131311</v>
      </c>
      <c r="B2333" s="458">
        <v>4.0238928252679385E-2</v>
      </c>
      <c r="C2333" s="477">
        <v>9020052.0648719668</v>
      </c>
      <c r="D2333" s="458">
        <v>3.789497315147794E-2</v>
      </c>
      <c r="E2333" s="477">
        <v>22061872.623396721</v>
      </c>
      <c r="F2333" s="458">
        <v>0.12673290178128171</v>
      </c>
      <c r="G2333" s="477">
        <v>79273392.241858959</v>
      </c>
      <c r="H2333" s="458">
        <v>0.26252992085496385</v>
      </c>
      <c r="I2333" s="468">
        <v>13.054341234844081</v>
      </c>
    </row>
    <row r="2334" spans="1:9" ht="16.5" x14ac:dyDescent="0.3">
      <c r="A2334" s="477">
        <v>5955716.0164659945</v>
      </c>
      <c r="B2334" s="458">
        <v>2.532790609345259E-2</v>
      </c>
      <c r="C2334" s="477">
        <v>15200411.895278104</v>
      </c>
      <c r="D2334" s="458">
        <v>7.2775205714597391E-2</v>
      </c>
      <c r="E2334" s="477">
        <v>18045326.49076071</v>
      </c>
      <c r="F2334" s="458">
        <v>0.12021163928605305</v>
      </c>
      <c r="G2334" s="477">
        <v>82074727.933167264</v>
      </c>
      <c r="H2334" s="458">
        <v>0.26079488173482313</v>
      </c>
      <c r="I2334" s="468">
        <v>7.739032403754198</v>
      </c>
    </row>
    <row r="2335" spans="1:9" ht="16.5" x14ac:dyDescent="0.3">
      <c r="A2335" s="477">
        <v>3096722.1088065323</v>
      </c>
      <c r="B2335" s="458">
        <v>3.1323164353137534E-2</v>
      </c>
      <c r="C2335" s="477">
        <v>6770086.0368407797</v>
      </c>
      <c r="D2335" s="458">
        <v>8.3710462713040945E-2</v>
      </c>
      <c r="E2335" s="477">
        <v>11944863.755132591</v>
      </c>
      <c r="F2335" s="458">
        <v>0.11341397394388619</v>
      </c>
      <c r="G2335" s="477">
        <v>80136338.579054922</v>
      </c>
      <c r="H2335" s="458">
        <v>0.2649894855090682</v>
      </c>
      <c r="I2335" s="468">
        <v>10.599277023198463</v>
      </c>
    </row>
    <row r="2336" spans="1:9" ht="16.5" x14ac:dyDescent="0.3">
      <c r="A2336" s="477">
        <v>-291313.49270051526</v>
      </c>
      <c r="B2336" s="458">
        <v>5.3323025129442092E-2</v>
      </c>
      <c r="C2336" s="477">
        <v>11231190.843739666</v>
      </c>
      <c r="D2336" s="458">
        <v>8.0741504546840037E-2</v>
      </c>
      <c r="E2336" s="477">
        <v>18441041.721298188</v>
      </c>
      <c r="F2336" s="458">
        <v>0.122315960465049</v>
      </c>
      <c r="G2336" s="477">
        <v>100110019.88993928</v>
      </c>
      <c r="H2336" s="458">
        <v>0.25713775820945317</v>
      </c>
      <c r="I2336" s="468">
        <v>8.7760349824218444</v>
      </c>
    </row>
    <row r="2337" spans="1:9" ht="16.5" x14ac:dyDescent="0.3">
      <c r="A2337" s="477">
        <v>4941673.4896379495</v>
      </c>
      <c r="B2337" s="458">
        <v>4.5963679617971431E-2</v>
      </c>
      <c r="C2337" s="477">
        <v>12683074.945668068</v>
      </c>
      <c r="D2337" s="458">
        <v>8.141891080125041E-2</v>
      </c>
      <c r="E2337" s="477">
        <v>13272918.374492658</v>
      </c>
      <c r="F2337" s="458">
        <v>0.10110381427870263</v>
      </c>
      <c r="G2337" s="477">
        <v>94837159.679569557</v>
      </c>
      <c r="H2337" s="458">
        <v>0.25703094654313996</v>
      </c>
      <c r="I2337" s="468">
        <v>2.5003157794454784</v>
      </c>
    </row>
    <row r="2338" spans="1:9" ht="16.5" x14ac:dyDescent="0.3">
      <c r="A2338" s="477">
        <v>3022675.4009252964</v>
      </c>
      <c r="B2338" s="458">
        <v>2.9259817576526181E-2</v>
      </c>
      <c r="C2338" s="477">
        <v>11109434.413143277</v>
      </c>
      <c r="D2338" s="458">
        <v>6.1800201421404077E-2</v>
      </c>
      <c r="E2338" s="477">
        <v>15165665.220117327</v>
      </c>
      <c r="F2338" s="458">
        <v>0.11266241422595979</v>
      </c>
      <c r="G2338" s="477">
        <v>82299894.297189072</v>
      </c>
      <c r="H2338" s="458">
        <v>0.27878664032245681</v>
      </c>
      <c r="I2338" s="468">
        <v>3.7884154703462007</v>
      </c>
    </row>
    <row r="2339" spans="1:9" ht="16.5" x14ac:dyDescent="0.3">
      <c r="A2339" s="477">
        <v>5686008.1155762738</v>
      </c>
      <c r="B2339" s="458">
        <v>4.6859152468294418E-2</v>
      </c>
      <c r="C2339" s="477">
        <v>6608732.5624404699</v>
      </c>
      <c r="D2339" s="458">
        <v>6.5648108066440836E-2</v>
      </c>
      <c r="E2339" s="477">
        <v>19256988.955439087</v>
      </c>
      <c r="F2339" s="458">
        <v>0.10996860424202537</v>
      </c>
      <c r="G2339" s="477">
        <v>85527387.507992685</v>
      </c>
      <c r="H2339" s="458">
        <v>0.25108523642723024</v>
      </c>
      <c r="I2339" s="468">
        <v>17.226061749604014</v>
      </c>
    </row>
    <row r="2340" spans="1:9" ht="16.5" x14ac:dyDescent="0.3">
      <c r="A2340" s="477">
        <v>2258273.0060887779</v>
      </c>
      <c r="B2340" s="458">
        <v>3.5251328657212033E-2</v>
      </c>
      <c r="C2340" s="477">
        <v>11873649.00290446</v>
      </c>
      <c r="D2340" s="458">
        <v>5.2763460119526817E-2</v>
      </c>
      <c r="E2340" s="477">
        <v>16275421.46417072</v>
      </c>
      <c r="F2340" s="458">
        <v>0.19850716837384907</v>
      </c>
      <c r="G2340" s="477">
        <v>88461830.889886186</v>
      </c>
      <c r="H2340" s="458">
        <v>0.27743573423491519</v>
      </c>
      <c r="I2340" s="468">
        <v>9.3998691611392218</v>
      </c>
    </row>
    <row r="2341" spans="1:9" ht="16.5" x14ac:dyDescent="0.3">
      <c r="A2341" s="477">
        <v>6799689.4509085398</v>
      </c>
      <c r="B2341" s="458">
        <v>3.5906409505062742E-2</v>
      </c>
      <c r="C2341" s="477">
        <v>11182686.735559952</v>
      </c>
      <c r="D2341" s="458">
        <v>5.5791749644101163E-2</v>
      </c>
      <c r="E2341" s="477">
        <v>9675146.037744984</v>
      </c>
      <c r="F2341" s="458">
        <v>0.11529595151726268</v>
      </c>
      <c r="G2341" s="477">
        <v>101286417.00069623</v>
      </c>
      <c r="H2341" s="458">
        <v>0.27234658376845111</v>
      </c>
      <c r="I2341" s="468">
        <v>7.6423414888149157</v>
      </c>
    </row>
    <row r="2342" spans="1:9" ht="16.5" x14ac:dyDescent="0.3">
      <c r="A2342" s="477">
        <v>6082320.3209277038</v>
      </c>
      <c r="B2342" s="458">
        <v>4.5788292441245826E-2</v>
      </c>
      <c r="C2342" s="477">
        <v>6471288.3739910619</v>
      </c>
      <c r="D2342" s="458">
        <v>8.2056714485715387E-2</v>
      </c>
      <c r="E2342" s="477">
        <v>17293605.018407848</v>
      </c>
      <c r="F2342" s="458">
        <v>0.10543069909241365</v>
      </c>
      <c r="G2342" s="477">
        <v>104535502.09783268</v>
      </c>
      <c r="H2342" s="458">
        <v>0.2664303192376607</v>
      </c>
      <c r="I2342" s="468">
        <v>13.967629433061337</v>
      </c>
    </row>
    <row r="2343" spans="1:9" ht="16.5" x14ac:dyDescent="0.3">
      <c r="A2343" s="477">
        <v>6042369.9635669747</v>
      </c>
      <c r="B2343" s="458">
        <v>6.5208082640007881E-2</v>
      </c>
      <c r="C2343" s="477">
        <v>7620334.415014077</v>
      </c>
      <c r="D2343" s="458">
        <v>5.4076733311826164E-2</v>
      </c>
      <c r="E2343" s="477">
        <v>19412591.611065764</v>
      </c>
      <c r="F2343" s="458">
        <v>0.11899505640042118</v>
      </c>
      <c r="G2343" s="477">
        <v>70834536.075227767</v>
      </c>
      <c r="H2343" s="458">
        <v>0.2736442836262214</v>
      </c>
      <c r="I2343" s="468">
        <v>9.5935356986717064</v>
      </c>
    </row>
    <row r="2344" spans="1:9" ht="16.5" x14ac:dyDescent="0.3">
      <c r="A2344" s="477">
        <v>5159135.9762895862</v>
      </c>
      <c r="B2344" s="458">
        <v>7.7495545636021568E-2</v>
      </c>
      <c r="C2344" s="477">
        <v>8025595.2744826516</v>
      </c>
      <c r="D2344" s="458">
        <v>6.0510431147330568E-2</v>
      </c>
      <c r="E2344" s="477">
        <v>21949113.794846803</v>
      </c>
      <c r="F2344" s="458">
        <v>0.1146229330118016</v>
      </c>
      <c r="G2344" s="477">
        <v>88514296.286422178</v>
      </c>
      <c r="H2344" s="458">
        <v>0.26174822355719196</v>
      </c>
      <c r="I2344" s="468">
        <v>6.5602999522127083</v>
      </c>
    </row>
    <row r="2345" spans="1:9" ht="16.5" x14ac:dyDescent="0.3">
      <c r="A2345" s="477">
        <v>3334394.149397044</v>
      </c>
      <c r="B2345" s="458">
        <v>4.2380568199060553E-2</v>
      </c>
      <c r="C2345" s="477">
        <v>10367722.385952312</v>
      </c>
      <c r="D2345" s="458">
        <v>7.2552826336796494E-2</v>
      </c>
      <c r="E2345" s="477">
        <v>13565915.640198426</v>
      </c>
      <c r="F2345" s="458">
        <v>0.12175989685966804</v>
      </c>
      <c r="G2345" s="477">
        <v>95728720.629227161</v>
      </c>
      <c r="H2345" s="458">
        <v>0.29097359826740954</v>
      </c>
      <c r="I2345" s="468">
        <v>13.085568777655428</v>
      </c>
    </row>
    <row r="2346" spans="1:9" ht="16.5" x14ac:dyDescent="0.3">
      <c r="A2346" s="477">
        <v>4572869.5493052434</v>
      </c>
      <c r="B2346" s="458">
        <v>3.8791179945282916E-2</v>
      </c>
      <c r="C2346" s="477">
        <v>10581539.456487278</v>
      </c>
      <c r="D2346" s="458">
        <v>5.56598475794019E-2</v>
      </c>
      <c r="E2346" s="477">
        <v>9232530.0245398004</v>
      </c>
      <c r="F2346" s="458">
        <v>0.10701009288699748</v>
      </c>
      <c r="G2346" s="477">
        <v>81105967.751628608</v>
      </c>
      <c r="H2346" s="458">
        <v>0.26805092488482307</v>
      </c>
      <c r="I2346" s="468">
        <v>9.2086787104822676</v>
      </c>
    </row>
    <row r="2347" spans="1:9" ht="16.5" x14ac:dyDescent="0.3">
      <c r="A2347" s="477">
        <v>5795444.7701029126</v>
      </c>
      <c r="B2347" s="458">
        <v>4.364426585790504E-2</v>
      </c>
      <c r="C2347" s="477">
        <v>1108871.1210870601</v>
      </c>
      <c r="D2347" s="458">
        <v>3.7232832747048361E-2</v>
      </c>
      <c r="E2347" s="477">
        <v>18170574.412987974</v>
      </c>
      <c r="F2347" s="458">
        <v>0.10141691486877402</v>
      </c>
      <c r="G2347" s="477">
        <v>89836717.426965863</v>
      </c>
      <c r="H2347" s="458">
        <v>0.28938689133950013</v>
      </c>
      <c r="I2347" s="468">
        <v>7.2789932314411825</v>
      </c>
    </row>
    <row r="2348" spans="1:9" ht="16.5" x14ac:dyDescent="0.3">
      <c r="A2348" s="477">
        <v>4014669.1899664416</v>
      </c>
      <c r="B2348" s="458">
        <v>3.1123183585992198E-2</v>
      </c>
      <c r="C2348" s="477">
        <v>3589328.7519706693</v>
      </c>
      <c r="D2348" s="458">
        <v>8.4886134543133318E-2</v>
      </c>
      <c r="E2348" s="477">
        <v>22554470.096350338</v>
      </c>
      <c r="F2348" s="458">
        <v>6.681011301037465E-2</v>
      </c>
      <c r="G2348" s="477">
        <v>92798500.538240105</v>
      </c>
      <c r="H2348" s="458">
        <v>0.27947387058707629</v>
      </c>
      <c r="I2348" s="468">
        <v>3.8473727654137688</v>
      </c>
    </row>
    <row r="2349" spans="1:9" ht="16.5" x14ac:dyDescent="0.3">
      <c r="A2349" s="477">
        <v>6693737.5181636754</v>
      </c>
      <c r="B2349" s="458">
        <v>3.2648033257264064E-2</v>
      </c>
      <c r="C2349" s="477">
        <v>19749409.178628072</v>
      </c>
      <c r="D2349" s="458">
        <v>5.0910746725573608E-2</v>
      </c>
      <c r="E2349" s="477">
        <v>21374187.005263623</v>
      </c>
      <c r="F2349" s="458">
        <v>8.1409613662613678E-2</v>
      </c>
      <c r="G2349" s="477">
        <v>74230324.519260406</v>
      </c>
      <c r="H2349" s="458">
        <v>0.30032905162541823</v>
      </c>
      <c r="I2349" s="468">
        <v>-1.7535539035507934</v>
      </c>
    </row>
    <row r="2350" spans="1:9" ht="16.5" x14ac:dyDescent="0.3">
      <c r="A2350" s="477">
        <v>8283559.8548653629</v>
      </c>
      <c r="B2350" s="458">
        <v>4.0680295026706892E-2</v>
      </c>
      <c r="C2350" s="477">
        <v>5784643.3293602755</v>
      </c>
      <c r="D2350" s="458">
        <v>3.9600010796037477E-2</v>
      </c>
      <c r="E2350" s="477">
        <v>23582288.976417787</v>
      </c>
      <c r="F2350" s="458">
        <v>9.157563398600832E-2</v>
      </c>
      <c r="G2350" s="477">
        <v>80208424.793313339</v>
      </c>
      <c r="H2350" s="458">
        <v>0.25562852361995003</v>
      </c>
      <c r="I2350" s="468">
        <v>8.1212072095528729</v>
      </c>
    </row>
    <row r="2351" spans="1:9" ht="16.5" x14ac:dyDescent="0.3">
      <c r="A2351" s="477">
        <v>-39003.511007945817</v>
      </c>
      <c r="B2351" s="458">
        <v>3.110792222362635E-2</v>
      </c>
      <c r="C2351" s="477">
        <v>15300888.585581634</v>
      </c>
      <c r="D2351" s="458">
        <v>8.8437710311236151E-2</v>
      </c>
      <c r="E2351" s="477">
        <v>21682405.542089131</v>
      </c>
      <c r="F2351" s="458">
        <v>0.11538652078054645</v>
      </c>
      <c r="G2351" s="477">
        <v>98592489.225034863</v>
      </c>
      <c r="H2351" s="458">
        <v>0.27184704146669714</v>
      </c>
      <c r="I2351" s="468">
        <v>11.608946985300745</v>
      </c>
    </row>
    <row r="2352" spans="1:9" ht="16.5" x14ac:dyDescent="0.3">
      <c r="A2352" s="477">
        <v>3885709.964472068</v>
      </c>
      <c r="B2352" s="458">
        <v>5.1776321669731784E-2</v>
      </c>
      <c r="C2352" s="477">
        <v>8028317.2627684316</v>
      </c>
      <c r="D2352" s="458">
        <v>0.12897487543406072</v>
      </c>
      <c r="E2352" s="477">
        <v>21401785.336510289</v>
      </c>
      <c r="F2352" s="458">
        <v>0.11306707666123339</v>
      </c>
      <c r="G2352" s="477">
        <v>85733100.607603893</v>
      </c>
      <c r="H2352" s="458">
        <v>0.28743240078922372</v>
      </c>
      <c r="I2352" s="468">
        <v>7.9713641924928336</v>
      </c>
    </row>
    <row r="2353" spans="1:9" ht="16.5" x14ac:dyDescent="0.3">
      <c r="A2353" s="477">
        <v>5630502.8985973038</v>
      </c>
      <c r="B2353" s="458">
        <v>3.4754697793703437E-2</v>
      </c>
      <c r="C2353" s="477">
        <v>7905142.218385444</v>
      </c>
      <c r="D2353" s="458">
        <v>4.8021623362337174E-2</v>
      </c>
      <c r="E2353" s="477">
        <v>14339971.021108173</v>
      </c>
      <c r="F2353" s="458">
        <v>0.10073250735086781</v>
      </c>
      <c r="G2353" s="477">
        <v>89827826.167250842</v>
      </c>
      <c r="H2353" s="458">
        <v>0.2651473111124536</v>
      </c>
      <c r="I2353" s="468">
        <v>10.920786169903092</v>
      </c>
    </row>
    <row r="2354" spans="1:9" ht="16.5" x14ac:dyDescent="0.3">
      <c r="A2354" s="477">
        <v>6740574.7978281751</v>
      </c>
      <c r="B2354" s="458">
        <v>4.5136204028718874E-2</v>
      </c>
      <c r="C2354" s="477">
        <v>7084583.953533411</v>
      </c>
      <c r="D2354" s="458">
        <v>6.1387731340727392E-2</v>
      </c>
      <c r="E2354" s="477">
        <v>12047489.539964469</v>
      </c>
      <c r="F2354" s="458">
        <v>0.10989291855527239</v>
      </c>
      <c r="G2354" s="477">
        <v>87583481.414420038</v>
      </c>
      <c r="H2354" s="458">
        <v>0.29608557410892633</v>
      </c>
      <c r="I2354" s="468">
        <v>9.982845782764505</v>
      </c>
    </row>
    <row r="2355" spans="1:9" ht="16.5" x14ac:dyDescent="0.3">
      <c r="A2355" s="477">
        <v>4948309.6749158138</v>
      </c>
      <c r="B2355" s="458">
        <v>4.1265915664778774E-2</v>
      </c>
      <c r="C2355" s="477">
        <v>12687648.116600679</v>
      </c>
      <c r="D2355" s="458">
        <v>7.2563696464883476E-2</v>
      </c>
      <c r="E2355" s="477">
        <v>15756680.241087494</v>
      </c>
      <c r="F2355" s="458">
        <v>0.10481953276834055</v>
      </c>
      <c r="G2355" s="477">
        <v>80259097.5593068</v>
      </c>
      <c r="H2355" s="458">
        <v>0.27924451521056448</v>
      </c>
      <c r="I2355" s="468">
        <v>14.444187847880073</v>
      </c>
    </row>
    <row r="2356" spans="1:9" ht="16.5" x14ac:dyDescent="0.3">
      <c r="A2356" s="477">
        <v>463567.9001392271</v>
      </c>
      <c r="B2356" s="458">
        <v>5.0927053957411816E-2</v>
      </c>
      <c r="C2356" s="477">
        <v>12430048.677236872</v>
      </c>
      <c r="D2356" s="458">
        <v>5.1942015365565863E-2</v>
      </c>
      <c r="E2356" s="477">
        <v>14965623.587943221</v>
      </c>
      <c r="F2356" s="458">
        <v>0.11869626488971607</v>
      </c>
      <c r="G2356" s="477">
        <v>86967466.288910165</v>
      </c>
      <c r="H2356" s="458">
        <v>0.274019781723154</v>
      </c>
      <c r="I2356" s="468">
        <v>3.8586249392852112</v>
      </c>
    </row>
    <row r="2357" spans="1:9" ht="16.5" x14ac:dyDescent="0.3">
      <c r="A2357" s="477">
        <v>3006186.1104475898</v>
      </c>
      <c r="B2357" s="458">
        <v>3.0536611467517405E-2</v>
      </c>
      <c r="C2357" s="477">
        <v>19038638.273679677</v>
      </c>
      <c r="D2357" s="458">
        <v>5.3333672790237152E-2</v>
      </c>
      <c r="E2357" s="477">
        <v>17510730.628711548</v>
      </c>
      <c r="F2357" s="458">
        <v>0.1308700937059204</v>
      </c>
      <c r="G2357" s="477">
        <v>85110097.02037248</v>
      </c>
      <c r="H2357" s="458">
        <v>0.27188849939592008</v>
      </c>
      <c r="I2357" s="468">
        <v>9.6511300937575193</v>
      </c>
    </row>
    <row r="2358" spans="1:9" ht="16.5" x14ac:dyDescent="0.3">
      <c r="A2358" s="477">
        <v>2912811.6105772257</v>
      </c>
      <c r="B2358" s="458">
        <v>8.7393339429295613E-2</v>
      </c>
      <c r="C2358" s="477">
        <v>995349.52576787362</v>
      </c>
      <c r="D2358" s="458">
        <v>5.0328484928106265E-2</v>
      </c>
      <c r="E2358" s="477">
        <v>9722570.6440202016</v>
      </c>
      <c r="F2358" s="458">
        <v>9.1093918820183806E-2</v>
      </c>
      <c r="G2358" s="477">
        <v>85955722.657724142</v>
      </c>
      <c r="H2358" s="458">
        <v>0.27360577726372748</v>
      </c>
      <c r="I2358" s="468">
        <v>14.560686124176446</v>
      </c>
    </row>
    <row r="2359" spans="1:9" ht="16.5" x14ac:dyDescent="0.3">
      <c r="A2359" s="477">
        <v>5601810.8982996168</v>
      </c>
      <c r="B2359" s="458">
        <v>3.5333448007361712E-2</v>
      </c>
      <c r="C2359" s="477">
        <v>11771701.074161898</v>
      </c>
      <c r="D2359" s="458">
        <v>6.6594312565899205E-2</v>
      </c>
      <c r="E2359" s="477">
        <v>13464466.800897893</v>
      </c>
      <c r="F2359" s="458">
        <v>0.11384607198910812</v>
      </c>
      <c r="G2359" s="477">
        <v>96937324.229468703</v>
      </c>
      <c r="H2359" s="458">
        <v>0.27937297005311867</v>
      </c>
      <c r="I2359" s="468">
        <v>9.7822123337029403</v>
      </c>
    </row>
    <row r="2360" spans="1:9" ht="16.5" x14ac:dyDescent="0.3">
      <c r="A2360" s="477">
        <v>8500891.3830325603</v>
      </c>
      <c r="B2360" s="458">
        <v>4.7891544609398373E-2</v>
      </c>
      <c r="C2360" s="477">
        <v>10445890.937671864</v>
      </c>
      <c r="D2360" s="458">
        <v>6.6745045083616228E-2</v>
      </c>
      <c r="E2360" s="477">
        <v>15204873.357950883</v>
      </c>
      <c r="F2360" s="458">
        <v>0.11946147573665211</v>
      </c>
      <c r="G2360" s="477">
        <v>94563874.909110665</v>
      </c>
      <c r="H2360" s="458">
        <v>0.28209300675392535</v>
      </c>
      <c r="I2360" s="468">
        <v>11.135438906451743</v>
      </c>
    </row>
    <row r="2361" spans="1:9" ht="16.5" x14ac:dyDescent="0.3">
      <c r="A2361" s="477">
        <v>4412882.250758579</v>
      </c>
      <c r="B2361" s="458">
        <v>4.6543930110685361E-2</v>
      </c>
      <c r="C2361" s="477">
        <v>12662800.77388877</v>
      </c>
      <c r="D2361" s="458">
        <v>6.8323632550931102E-2</v>
      </c>
      <c r="E2361" s="477">
        <v>21522425.606480245</v>
      </c>
      <c r="F2361" s="458">
        <v>0.10200881568561004</v>
      </c>
      <c r="G2361" s="477">
        <v>90417370.574270934</v>
      </c>
      <c r="H2361" s="458">
        <v>0.25059742249102568</v>
      </c>
      <c r="I2361" s="468">
        <v>6.8293865901849404</v>
      </c>
    </row>
    <row r="2362" spans="1:9" ht="16.5" x14ac:dyDescent="0.3">
      <c r="A2362" s="477">
        <v>3555081.0038227504</v>
      </c>
      <c r="B2362" s="458">
        <v>4.1475871735539904E-2</v>
      </c>
      <c r="C2362" s="477">
        <v>1292265.1767217396</v>
      </c>
      <c r="D2362" s="458">
        <v>7.9208476283394225E-2</v>
      </c>
      <c r="E2362" s="477">
        <v>17440902.783271592</v>
      </c>
      <c r="F2362" s="458">
        <v>0.10415981210457681</v>
      </c>
      <c r="G2362" s="477">
        <v>84687417.16624245</v>
      </c>
      <c r="H2362" s="458">
        <v>0.27425498783830871</v>
      </c>
      <c r="I2362" s="468">
        <v>6.405713620350646</v>
      </c>
    </row>
    <row r="2363" spans="1:9" ht="16.5" x14ac:dyDescent="0.3">
      <c r="A2363" s="477">
        <v>6071927.7149865441</v>
      </c>
      <c r="B2363" s="458">
        <v>2.6342389626124563E-2</v>
      </c>
      <c r="C2363" s="477">
        <v>3502229.3001163146</v>
      </c>
      <c r="D2363" s="458">
        <v>4.6845288231584847E-2</v>
      </c>
      <c r="E2363" s="477">
        <v>19669940.030462846</v>
      </c>
      <c r="F2363" s="458">
        <v>0.12862518402562384</v>
      </c>
      <c r="G2363" s="477">
        <v>84939218.852282584</v>
      </c>
      <c r="H2363" s="458">
        <v>0.3263405006114426</v>
      </c>
      <c r="I2363" s="468">
        <v>8.4130291242612305</v>
      </c>
    </row>
    <row r="2364" spans="1:9" ht="16.5" x14ac:dyDescent="0.3">
      <c r="A2364" s="477">
        <v>-2151289.4965787991</v>
      </c>
      <c r="B2364" s="458">
        <v>3.3120975227144633E-2</v>
      </c>
      <c r="C2364" s="477">
        <v>7231766.7506453274</v>
      </c>
      <c r="D2364" s="458">
        <v>5.8540684693785705E-2</v>
      </c>
      <c r="E2364" s="477">
        <v>13712461.595886128</v>
      </c>
      <c r="F2364" s="458">
        <v>9.7236685761569186E-2</v>
      </c>
      <c r="G2364" s="477">
        <v>91289355.276548117</v>
      </c>
      <c r="H2364" s="458">
        <v>0.26200587459404212</v>
      </c>
      <c r="I2364" s="468">
        <v>6.4858431381699928</v>
      </c>
    </row>
    <row r="2365" spans="1:9" ht="16.5" x14ac:dyDescent="0.3">
      <c r="A2365" s="477">
        <v>1470018.2118249724</v>
      </c>
      <c r="B2365" s="458">
        <v>5.2144253814823571E-2</v>
      </c>
      <c r="C2365" s="477">
        <v>9237004.4022000153</v>
      </c>
      <c r="D2365" s="458">
        <v>4.1264135920416889E-2</v>
      </c>
      <c r="E2365" s="477">
        <v>13165850.431878595</v>
      </c>
      <c r="F2365" s="458">
        <v>0.10193698662147299</v>
      </c>
      <c r="G2365" s="477">
        <v>101009575.98640804</v>
      </c>
      <c r="H2365" s="458">
        <v>0.25259303683316903</v>
      </c>
      <c r="I2365" s="468">
        <v>6.2140233818333463</v>
      </c>
    </row>
    <row r="2366" spans="1:9" ht="16.5" x14ac:dyDescent="0.3">
      <c r="A2366" s="477">
        <v>2461110.4118804079</v>
      </c>
      <c r="B2366" s="458">
        <v>4.7784755716366645E-2</v>
      </c>
      <c r="C2366" s="477">
        <v>6842314.3374227453</v>
      </c>
      <c r="D2366" s="458">
        <v>6.2030026758191692E-2</v>
      </c>
      <c r="E2366" s="477">
        <v>15054188.629742349</v>
      </c>
      <c r="F2366" s="458">
        <v>0.15334662681781897</v>
      </c>
      <c r="G2366" s="477">
        <v>85475795.266338006</v>
      </c>
      <c r="H2366" s="458">
        <v>0.27265942388835684</v>
      </c>
      <c r="I2366" s="468">
        <v>7.0309771791989268</v>
      </c>
    </row>
    <row r="2367" spans="1:9" ht="16.5" x14ac:dyDescent="0.3">
      <c r="A2367" s="477">
        <v>8119751.6957559278</v>
      </c>
      <c r="B2367" s="458">
        <v>3.3423902591529053E-2</v>
      </c>
      <c r="C2367" s="477">
        <v>10230329.915820023</v>
      </c>
      <c r="D2367" s="458">
        <v>9.1542281838008499E-2</v>
      </c>
      <c r="E2367" s="477">
        <v>17337103.635138083</v>
      </c>
      <c r="F2367" s="458">
        <v>0.12078892124102247</v>
      </c>
      <c r="G2367" s="477">
        <v>83321103.863789454</v>
      </c>
      <c r="H2367" s="458">
        <v>0.27841912238543021</v>
      </c>
      <c r="I2367" s="468">
        <v>6.3296558946723742</v>
      </c>
    </row>
    <row r="2368" spans="1:9" ht="16.5" x14ac:dyDescent="0.3">
      <c r="A2368" s="477">
        <v>243253.42726360491</v>
      </c>
      <c r="B2368" s="458">
        <v>5.3872987034226494E-2</v>
      </c>
      <c r="C2368" s="477">
        <v>5801116.4082879936</v>
      </c>
      <c r="D2368" s="458">
        <v>7.3550470222318864E-2</v>
      </c>
      <c r="E2368" s="477">
        <v>25407088.974996366</v>
      </c>
      <c r="F2368" s="458">
        <v>0.12097883819499655</v>
      </c>
      <c r="G2368" s="477">
        <v>98590483.499320477</v>
      </c>
      <c r="H2368" s="458">
        <v>0.24946424976356663</v>
      </c>
      <c r="I2368" s="468">
        <v>2.7867283747280887</v>
      </c>
    </row>
    <row r="2369" spans="1:9" ht="16.5" x14ac:dyDescent="0.3">
      <c r="A2369" s="477">
        <v>5663575.3099291259</v>
      </c>
      <c r="B2369" s="458">
        <v>3.3379727581810403E-2</v>
      </c>
      <c r="C2369" s="477">
        <v>7461075.257995313</v>
      </c>
      <c r="D2369" s="458">
        <v>5.4854640367994367E-2</v>
      </c>
      <c r="E2369" s="477">
        <v>24762618.083211333</v>
      </c>
      <c r="F2369" s="458">
        <v>0.10531200047423273</v>
      </c>
      <c r="G2369" s="477">
        <v>98831788.730883405</v>
      </c>
      <c r="H2369" s="458">
        <v>0.25112290836696105</v>
      </c>
      <c r="I2369" s="468">
        <v>10.005036384287893</v>
      </c>
    </row>
    <row r="2370" spans="1:9" ht="16.5" x14ac:dyDescent="0.3">
      <c r="A2370" s="477">
        <v>4793012.1932155741</v>
      </c>
      <c r="B2370" s="458">
        <v>4.0361147138144648E-2</v>
      </c>
      <c r="C2370" s="477">
        <v>6178532.7768742181</v>
      </c>
      <c r="D2370" s="458">
        <v>7.3440380260926252E-2</v>
      </c>
      <c r="E2370" s="477">
        <v>5132650.644453465</v>
      </c>
      <c r="F2370" s="458">
        <v>9.382081662405084E-2</v>
      </c>
      <c r="G2370" s="477">
        <v>96219064.37506637</v>
      </c>
      <c r="H2370" s="458">
        <v>0.26431229988424865</v>
      </c>
      <c r="I2370" s="468">
        <v>6.396341051317858</v>
      </c>
    </row>
    <row r="2371" spans="1:9" ht="16.5" x14ac:dyDescent="0.3">
      <c r="A2371" s="477">
        <v>2949955.5462133517</v>
      </c>
      <c r="B2371" s="458">
        <v>4.6399929127297845E-2</v>
      </c>
      <c r="C2371" s="477">
        <v>11594219.089871738</v>
      </c>
      <c r="D2371" s="458">
        <v>9.0671574590389881E-2</v>
      </c>
      <c r="E2371" s="477">
        <v>5802788.9272018429</v>
      </c>
      <c r="F2371" s="458">
        <v>0.1253471671651174</v>
      </c>
      <c r="G2371" s="477">
        <v>100642374.92909439</v>
      </c>
      <c r="H2371" s="458">
        <v>0.2770134104188644</v>
      </c>
      <c r="I2371" s="468">
        <v>4.2705178200050238</v>
      </c>
    </row>
    <row r="2372" spans="1:9" ht="16.5" x14ac:dyDescent="0.3">
      <c r="A2372" s="477">
        <v>2704658.9252060819</v>
      </c>
      <c r="B2372" s="458">
        <v>2.0693589420297087E-2</v>
      </c>
      <c r="C2372" s="477">
        <v>5936805.8711272702</v>
      </c>
      <c r="D2372" s="458">
        <v>7.5889537140078733E-2</v>
      </c>
      <c r="E2372" s="477">
        <v>18131215.111999389</v>
      </c>
      <c r="F2372" s="458">
        <v>0.12153028007376809</v>
      </c>
      <c r="G2372" s="477">
        <v>102004703.73743084</v>
      </c>
      <c r="H2372" s="458">
        <v>0.27048190302538067</v>
      </c>
      <c r="I2372" s="468">
        <v>4.0650083938508761</v>
      </c>
    </row>
    <row r="2373" spans="1:9" ht="16.5" x14ac:dyDescent="0.3">
      <c r="A2373" s="477">
        <v>6615865.862598354</v>
      </c>
      <c r="B2373" s="458">
        <v>6.1851907559423269E-2</v>
      </c>
      <c r="C2373" s="477">
        <v>9568676.0410664529</v>
      </c>
      <c r="D2373" s="458">
        <v>8.9071893324368157E-2</v>
      </c>
      <c r="E2373" s="477">
        <v>15054279.586352607</v>
      </c>
      <c r="F2373" s="458">
        <v>9.8071356061878667E-2</v>
      </c>
      <c r="G2373" s="477">
        <v>89252493.091762081</v>
      </c>
      <c r="H2373" s="458">
        <v>0.25457975970967017</v>
      </c>
      <c r="I2373" s="468">
        <v>4.8765213143857427</v>
      </c>
    </row>
    <row r="2374" spans="1:9" ht="16.5" x14ac:dyDescent="0.3">
      <c r="A2374" s="477">
        <v>7111003.5352234486</v>
      </c>
      <c r="B2374" s="458">
        <v>2.086333271651708E-2</v>
      </c>
      <c r="C2374" s="477">
        <v>5706709.7138129938</v>
      </c>
      <c r="D2374" s="458">
        <v>5.151367605186552E-2</v>
      </c>
      <c r="E2374" s="477">
        <v>18853790.45377712</v>
      </c>
      <c r="F2374" s="458">
        <v>0.14698928282015511</v>
      </c>
      <c r="G2374" s="477">
        <v>88524881.240279019</v>
      </c>
      <c r="H2374" s="458">
        <v>0.26888411859480521</v>
      </c>
      <c r="I2374" s="468">
        <v>5.1233132429097745</v>
      </c>
    </row>
    <row r="2375" spans="1:9" ht="16.5" x14ac:dyDescent="0.3">
      <c r="A2375" s="477">
        <v>3738007.9240887435</v>
      </c>
      <c r="B2375" s="458">
        <v>3.0820215084525593E-2</v>
      </c>
      <c r="C2375" s="477">
        <v>5774903.1234707963</v>
      </c>
      <c r="D2375" s="458">
        <v>0.11481572809993357</v>
      </c>
      <c r="E2375" s="477">
        <v>17600697.864221971</v>
      </c>
      <c r="F2375" s="458">
        <v>0.10464927411094638</v>
      </c>
      <c r="G2375" s="477">
        <v>101248768.3933541</v>
      </c>
      <c r="H2375" s="458">
        <v>0.26844819169803458</v>
      </c>
      <c r="I2375" s="468">
        <v>6.7485153545466208</v>
      </c>
    </row>
    <row r="2376" spans="1:9" ht="16.5" x14ac:dyDescent="0.3">
      <c r="A2376" s="477">
        <v>6033301.2894473076</v>
      </c>
      <c r="B2376" s="458">
        <v>3.8725126256405451E-2</v>
      </c>
      <c r="C2376" s="477">
        <v>5923386.1288643107</v>
      </c>
      <c r="D2376" s="458">
        <v>9.0420708652867887E-2</v>
      </c>
      <c r="E2376" s="477">
        <v>15509409.722144876</v>
      </c>
      <c r="F2376" s="458">
        <v>9.8494767917398418E-2</v>
      </c>
      <c r="G2376" s="477">
        <v>89536101.146922261</v>
      </c>
      <c r="H2376" s="458">
        <v>0.26823340009281949</v>
      </c>
      <c r="I2376" s="468">
        <v>5.1988990733623908</v>
      </c>
    </row>
    <row r="2377" spans="1:9" ht="16.5" x14ac:dyDescent="0.3">
      <c r="A2377" s="477">
        <v>8249546.4535067277</v>
      </c>
      <c r="B2377" s="458">
        <v>3.4645203973175054E-2</v>
      </c>
      <c r="C2377" s="477">
        <v>6438648.3559408365</v>
      </c>
      <c r="D2377" s="458">
        <v>5.6937977730809219E-2</v>
      </c>
      <c r="E2377" s="477">
        <v>20265127.812239904</v>
      </c>
      <c r="F2377" s="458">
        <v>9.1718150713206104E-2</v>
      </c>
      <c r="G2377" s="477">
        <v>84984899.305736512</v>
      </c>
      <c r="H2377" s="458">
        <v>0.24699452101230412</v>
      </c>
      <c r="I2377" s="468">
        <v>4.7868742376121673</v>
      </c>
    </row>
    <row r="2378" spans="1:9" ht="16.5" x14ac:dyDescent="0.3">
      <c r="A2378" s="477">
        <v>6465200.5069722328</v>
      </c>
      <c r="B2378" s="458">
        <v>3.513828320156831E-2</v>
      </c>
      <c r="C2378" s="477">
        <v>5547391.8554352261</v>
      </c>
      <c r="D2378" s="458">
        <v>9.0061368751604531E-2</v>
      </c>
      <c r="E2378" s="477">
        <v>14540344.589377126</v>
      </c>
      <c r="F2378" s="458">
        <v>9.32476202220196E-2</v>
      </c>
      <c r="G2378" s="477">
        <v>92233664.825098783</v>
      </c>
      <c r="H2378" s="458">
        <v>0.28288541971051773</v>
      </c>
      <c r="I2378" s="468">
        <v>5.7934713426477806</v>
      </c>
    </row>
    <row r="2379" spans="1:9" ht="16.5" x14ac:dyDescent="0.3">
      <c r="A2379" s="477">
        <v>1548188.1871953143</v>
      </c>
      <c r="B2379" s="458">
        <v>3.3974271273604861E-2</v>
      </c>
      <c r="C2379" s="477">
        <v>7661446.6573939985</v>
      </c>
      <c r="D2379" s="458">
        <v>4.8414864133215163E-2</v>
      </c>
      <c r="E2379" s="477">
        <v>21242027.165586896</v>
      </c>
      <c r="F2379" s="458">
        <v>9.9993564631444265E-2</v>
      </c>
      <c r="G2379" s="477">
        <v>91331343.951024905</v>
      </c>
      <c r="H2379" s="458">
        <v>0.2763552279222512</v>
      </c>
      <c r="I2379" s="468">
        <v>2.3186889371565504</v>
      </c>
    </row>
    <row r="2380" spans="1:9" ht="16.5" x14ac:dyDescent="0.3">
      <c r="A2380" s="477">
        <v>971000.0743568053</v>
      </c>
      <c r="B2380" s="458">
        <v>5.0942710283898407E-2</v>
      </c>
      <c r="C2380" s="477">
        <v>6109228.0746954</v>
      </c>
      <c r="D2380" s="458">
        <v>8.9522427530591697E-2</v>
      </c>
      <c r="E2380" s="477">
        <v>15172146.169194639</v>
      </c>
      <c r="F2380" s="458">
        <v>0.11909313917872821</v>
      </c>
      <c r="G2380" s="477">
        <v>79098498.306488082</v>
      </c>
      <c r="H2380" s="458">
        <v>0.28088557866228214</v>
      </c>
      <c r="I2380" s="468">
        <v>9.5827375954822056</v>
      </c>
    </row>
    <row r="2381" spans="1:9" ht="16.5" x14ac:dyDescent="0.3">
      <c r="A2381" s="477">
        <v>3237320.1303398577</v>
      </c>
      <c r="B2381" s="458">
        <v>3.5858559639561305E-2</v>
      </c>
      <c r="C2381" s="477">
        <v>15243129.531921074</v>
      </c>
      <c r="D2381" s="458">
        <v>6.4871276179288895E-2</v>
      </c>
      <c r="E2381" s="477">
        <v>14544956.820692891</v>
      </c>
      <c r="F2381" s="458">
        <v>0.11348159054626983</v>
      </c>
      <c r="G2381" s="477">
        <v>98353563.179920882</v>
      </c>
      <c r="H2381" s="458">
        <v>0.28215398728495855</v>
      </c>
      <c r="I2381" s="468">
        <v>7.5458164706259812</v>
      </c>
    </row>
    <row r="2382" spans="1:9" ht="16.5" x14ac:dyDescent="0.3">
      <c r="A2382" s="477">
        <v>9997426.9700508881</v>
      </c>
      <c r="B2382" s="458">
        <v>3.0836731960732777E-2</v>
      </c>
      <c r="C2382" s="477">
        <v>7398659.644480532</v>
      </c>
      <c r="D2382" s="458">
        <v>4.3479612183169536E-2</v>
      </c>
      <c r="E2382" s="477">
        <v>11582407.036490301</v>
      </c>
      <c r="F2382" s="458">
        <v>0.12089774569100498</v>
      </c>
      <c r="G2382" s="477">
        <v>77777455.73784858</v>
      </c>
      <c r="H2382" s="458">
        <v>0.25752536427776529</v>
      </c>
      <c r="I2382" s="468">
        <v>6.4345673519056961</v>
      </c>
    </row>
    <row r="2383" spans="1:9" ht="16.5" x14ac:dyDescent="0.3">
      <c r="A2383" s="477">
        <v>7144276.012590819</v>
      </c>
      <c r="B2383" s="458">
        <v>4.4811285212397856E-2</v>
      </c>
      <c r="C2383" s="477">
        <v>6097531.490929924</v>
      </c>
      <c r="D2383" s="458">
        <v>7.2752989696500237E-2</v>
      </c>
      <c r="E2383" s="477">
        <v>19552047.382109016</v>
      </c>
      <c r="F2383" s="458">
        <v>0.1042076694846068</v>
      </c>
      <c r="G2383" s="477">
        <v>88148838.642280698</v>
      </c>
      <c r="H2383" s="458">
        <v>0.27933828578746978</v>
      </c>
      <c r="I2383" s="468">
        <v>8.0159873046090286</v>
      </c>
    </row>
    <row r="2384" spans="1:9" ht="16.5" x14ac:dyDescent="0.3">
      <c r="A2384" s="477">
        <v>7375800.9376518298</v>
      </c>
      <c r="B2384" s="458">
        <v>3.6060736081324762E-2</v>
      </c>
      <c r="C2384" s="477">
        <v>847885.06590539694</v>
      </c>
      <c r="D2384" s="458">
        <v>5.8837549458387262E-2</v>
      </c>
      <c r="E2384" s="477">
        <v>11465969.49547931</v>
      </c>
      <c r="F2384" s="458">
        <v>0.11801780628101199</v>
      </c>
      <c r="G2384" s="477">
        <v>98105089.89977327</v>
      </c>
      <c r="H2384" s="458">
        <v>0.27507528852597818</v>
      </c>
      <c r="I2384" s="468">
        <v>7.463268750950256</v>
      </c>
    </row>
    <row r="2385" spans="1:9" ht="16.5" x14ac:dyDescent="0.3">
      <c r="A2385" s="477">
        <v>3978011.403181477</v>
      </c>
      <c r="B2385" s="458">
        <v>3.6245027344979031E-2</v>
      </c>
      <c r="C2385" s="477">
        <v>7083984.5913561489</v>
      </c>
      <c r="D2385" s="458">
        <v>6.8317106510658032E-2</v>
      </c>
      <c r="E2385" s="477">
        <v>18914444.431859676</v>
      </c>
      <c r="F2385" s="458">
        <v>0.12721957953898544</v>
      </c>
      <c r="G2385" s="477">
        <v>87475991.127932951</v>
      </c>
      <c r="H2385" s="458">
        <v>0.29246339089979045</v>
      </c>
      <c r="I2385" s="468">
        <v>9.6903598192436551</v>
      </c>
    </row>
    <row r="2386" spans="1:9" ht="16.5" x14ac:dyDescent="0.3">
      <c r="A2386" s="477">
        <v>2611851.4726348678</v>
      </c>
      <c r="B2386" s="458">
        <v>3.2201775674856714E-2</v>
      </c>
      <c r="C2386" s="477">
        <v>2571868.044860418</v>
      </c>
      <c r="D2386" s="458">
        <v>2.9515703301141505E-2</v>
      </c>
      <c r="E2386" s="477">
        <v>19899144.293640632</v>
      </c>
      <c r="F2386" s="458">
        <v>0.11236686371885063</v>
      </c>
      <c r="G2386" s="477">
        <v>105883365.13932148</v>
      </c>
      <c r="H2386" s="458">
        <v>0.2618036330198068</v>
      </c>
      <c r="I2386" s="468">
        <v>5.8462383339311517</v>
      </c>
    </row>
    <row r="2387" spans="1:9" ht="16.5" x14ac:dyDescent="0.3">
      <c r="A2387" s="477">
        <v>4188607.7879075971</v>
      </c>
      <c r="B2387" s="458">
        <v>2.8069629026393095E-2</v>
      </c>
      <c r="C2387" s="477">
        <v>9466365.2326375172</v>
      </c>
      <c r="D2387" s="458">
        <v>6.4756995311899157E-2</v>
      </c>
      <c r="E2387" s="477">
        <v>22568735.685728505</v>
      </c>
      <c r="F2387" s="458">
        <v>0.10415576723461828</v>
      </c>
      <c r="G2387" s="477">
        <v>83890478.116801277</v>
      </c>
      <c r="H2387" s="458">
        <v>0.27872206651104836</v>
      </c>
      <c r="I2387" s="468">
        <v>5.0265326155850385</v>
      </c>
    </row>
    <row r="2388" spans="1:9" ht="16.5" x14ac:dyDescent="0.3">
      <c r="A2388" s="477">
        <v>5955483.2471924331</v>
      </c>
      <c r="B2388" s="458">
        <v>2.8624417672726832E-2</v>
      </c>
      <c r="C2388" s="477">
        <v>8984221.6380394641</v>
      </c>
      <c r="D2388" s="458">
        <v>7.6312655549294339E-2</v>
      </c>
      <c r="E2388" s="477">
        <v>19443263.274988517</v>
      </c>
      <c r="F2388" s="458">
        <v>0.1250592802669479</v>
      </c>
      <c r="G2388" s="477">
        <v>76580451.285812005</v>
      </c>
      <c r="H2388" s="458">
        <v>0.26943929342244211</v>
      </c>
      <c r="I2388" s="468">
        <v>7.521251508647957</v>
      </c>
    </row>
    <row r="2389" spans="1:9" ht="16.5" x14ac:dyDescent="0.3">
      <c r="A2389" s="477">
        <v>1819327.0895813368</v>
      </c>
      <c r="B2389" s="458">
        <v>5.1398079603465874E-2</v>
      </c>
      <c r="C2389" s="477">
        <v>9909501.4796832744</v>
      </c>
      <c r="D2389" s="458">
        <v>8.951153501571274E-2</v>
      </c>
      <c r="E2389" s="477">
        <v>25825490.353677955</v>
      </c>
      <c r="F2389" s="458">
        <v>0.12026366903268193</v>
      </c>
      <c r="G2389" s="477">
        <v>74650937.63735953</v>
      </c>
      <c r="H2389" s="458">
        <v>0.25708572869060786</v>
      </c>
      <c r="I2389" s="468">
        <v>2.9444478526869089</v>
      </c>
    </row>
    <row r="2390" spans="1:9" ht="16.5" x14ac:dyDescent="0.3">
      <c r="A2390" s="477">
        <v>1399661.7789577374</v>
      </c>
      <c r="B2390" s="458">
        <v>3.0057484685849012E-2</v>
      </c>
      <c r="C2390" s="477">
        <v>5932149.3073979989</v>
      </c>
      <c r="D2390" s="458">
        <v>4.4849472226071274E-2</v>
      </c>
      <c r="E2390" s="477">
        <v>26753522.956416439</v>
      </c>
      <c r="F2390" s="458">
        <v>0.10709368325465807</v>
      </c>
      <c r="G2390" s="477">
        <v>93678199.706565425</v>
      </c>
      <c r="H2390" s="458">
        <v>0.26718380398227537</v>
      </c>
      <c r="I2390" s="468">
        <v>11.803732678542032</v>
      </c>
    </row>
    <row r="2391" spans="1:9" ht="16.5" x14ac:dyDescent="0.3">
      <c r="A2391" s="477">
        <v>2141098.0137874261</v>
      </c>
      <c r="B2391" s="458">
        <v>6.4862117458118984E-2</v>
      </c>
      <c r="C2391" s="477">
        <v>7497538.5834718542</v>
      </c>
      <c r="D2391" s="458">
        <v>6.6732351001113299E-2</v>
      </c>
      <c r="E2391" s="477">
        <v>19596138.265932072</v>
      </c>
      <c r="F2391" s="458">
        <v>0.10720758960582</v>
      </c>
      <c r="G2391" s="477">
        <v>92864549.377530634</v>
      </c>
      <c r="H2391" s="458">
        <v>0.27583781414628961</v>
      </c>
      <c r="I2391" s="468">
        <v>9.7315209105146288</v>
      </c>
    </row>
    <row r="2392" spans="1:9" ht="16.5" x14ac:dyDescent="0.3">
      <c r="A2392" s="477">
        <v>4985351.5715917479</v>
      </c>
      <c r="B2392" s="458">
        <v>2.2662400836162666E-2</v>
      </c>
      <c r="C2392" s="477">
        <v>5401510.1980592478</v>
      </c>
      <c r="D2392" s="458">
        <v>6.9299552780982321E-2</v>
      </c>
      <c r="E2392" s="477">
        <v>21703907.587774593</v>
      </c>
      <c r="F2392" s="458">
        <v>9.378067892055153E-2</v>
      </c>
      <c r="G2392" s="477">
        <v>102535737.77844855</v>
      </c>
      <c r="H2392" s="458">
        <v>0.25938966635871519</v>
      </c>
      <c r="I2392" s="468">
        <v>3.4142490712989089</v>
      </c>
    </row>
    <row r="2393" spans="1:9" ht="16.5" x14ac:dyDescent="0.3">
      <c r="A2393" s="477">
        <v>7254031.1661796104</v>
      </c>
      <c r="B2393" s="458">
        <v>1.8784830588586932E-2</v>
      </c>
      <c r="C2393" s="477">
        <v>4857701.1146668382</v>
      </c>
      <c r="D2393" s="458">
        <v>6.5725570158513991E-2</v>
      </c>
      <c r="E2393" s="477">
        <v>20448712.405587602</v>
      </c>
      <c r="F2393" s="458">
        <v>0.11808469371221242</v>
      </c>
      <c r="G2393" s="477">
        <v>77157652.007897034</v>
      </c>
      <c r="H2393" s="458">
        <v>0.26371162061048281</v>
      </c>
      <c r="I2393" s="468">
        <v>5.1412449053544371</v>
      </c>
    </row>
    <row r="2394" spans="1:9" ht="16.5" x14ac:dyDescent="0.3">
      <c r="A2394" s="477">
        <v>4484378.1056608548</v>
      </c>
      <c r="B2394" s="458">
        <v>2.7926223547793283E-2</v>
      </c>
      <c r="C2394" s="477">
        <v>9995321.2812408544</v>
      </c>
      <c r="D2394" s="458">
        <v>5.5327699004500186E-2</v>
      </c>
      <c r="E2394" s="477">
        <v>15982578.268990893</v>
      </c>
      <c r="F2394" s="458">
        <v>9.7382499838768011E-2</v>
      </c>
      <c r="G2394" s="477">
        <v>85207623.867743254</v>
      </c>
      <c r="H2394" s="458">
        <v>0.25717919690277857</v>
      </c>
      <c r="I2394" s="468">
        <v>13.216751963178574</v>
      </c>
    </row>
    <row r="2395" spans="1:9" ht="16.5" x14ac:dyDescent="0.3">
      <c r="A2395" s="477">
        <v>3906905.4984161602</v>
      </c>
      <c r="B2395" s="458">
        <v>5.3264165628673865E-2</v>
      </c>
      <c r="C2395" s="477">
        <v>9482498.2618924435</v>
      </c>
      <c r="D2395" s="458">
        <v>5.6180554345778289E-2</v>
      </c>
      <c r="E2395" s="477">
        <v>15316633.402814094</v>
      </c>
      <c r="F2395" s="458">
        <v>0.12287335534768995</v>
      </c>
      <c r="G2395" s="477">
        <v>92054692.306220889</v>
      </c>
      <c r="H2395" s="458">
        <v>0.27326128835534025</v>
      </c>
      <c r="I2395" s="468">
        <v>11.420561586526487</v>
      </c>
    </row>
    <row r="2396" spans="1:9" ht="16.5" x14ac:dyDescent="0.3">
      <c r="A2396" s="477">
        <v>2359303.9887911351</v>
      </c>
      <c r="B2396" s="458">
        <v>4.136063213322605E-2</v>
      </c>
      <c r="C2396" s="477">
        <v>10967696.034702646</v>
      </c>
      <c r="D2396" s="458">
        <v>4.5773918754384635E-2</v>
      </c>
      <c r="E2396" s="477">
        <v>20980005.987084642</v>
      </c>
      <c r="F2396" s="458">
        <v>0.12195382119458742</v>
      </c>
      <c r="G2396" s="477">
        <v>82799872.600982308</v>
      </c>
      <c r="H2396" s="458">
        <v>0.26337970732402471</v>
      </c>
      <c r="I2396" s="468">
        <v>3.5081687097400165</v>
      </c>
    </row>
    <row r="2397" spans="1:9" ht="16.5" x14ac:dyDescent="0.3">
      <c r="A2397" s="477">
        <v>4173332.4449498542</v>
      </c>
      <c r="B2397" s="458">
        <v>5.1653130162529814E-2</v>
      </c>
      <c r="C2397" s="477">
        <v>-2349610.6680765087</v>
      </c>
      <c r="D2397" s="458">
        <v>7.7621868919875991E-2</v>
      </c>
      <c r="E2397" s="477">
        <v>17311094.303266853</v>
      </c>
      <c r="F2397" s="458">
        <v>0.10323793992213104</v>
      </c>
      <c r="G2397" s="477">
        <v>84444920.520441473</v>
      </c>
      <c r="H2397" s="458">
        <v>0.25981141507519445</v>
      </c>
      <c r="I2397" s="468">
        <v>6.7141600626488529</v>
      </c>
    </row>
    <row r="2398" spans="1:9" ht="16.5" x14ac:dyDescent="0.3">
      <c r="A2398" s="477">
        <v>6230985.2102164878</v>
      </c>
      <c r="B2398" s="458">
        <v>2.0021021069965839E-2</v>
      </c>
      <c r="C2398" s="477">
        <v>9137568.2198011614</v>
      </c>
      <c r="D2398" s="458">
        <v>7.5629503731968084E-2</v>
      </c>
      <c r="E2398" s="477">
        <v>15538377.817229154</v>
      </c>
      <c r="F2398" s="458">
        <v>0.11898093819872746</v>
      </c>
      <c r="G2398" s="477">
        <v>88331382.003002524</v>
      </c>
      <c r="H2398" s="458">
        <v>0.26085035084412689</v>
      </c>
      <c r="I2398" s="468">
        <v>10.669703725785032</v>
      </c>
    </row>
    <row r="2399" spans="1:9" ht="16.5" x14ac:dyDescent="0.3">
      <c r="A2399" s="477">
        <v>5480174.0442388896</v>
      </c>
      <c r="B2399" s="458">
        <v>1.6479147357198354E-2</v>
      </c>
      <c r="C2399" s="477">
        <v>9013990.9772272613</v>
      </c>
      <c r="D2399" s="458">
        <v>0.11323466667521731</v>
      </c>
      <c r="E2399" s="477">
        <v>21036918.002785824</v>
      </c>
      <c r="F2399" s="458">
        <v>0.12084221661871419</v>
      </c>
      <c r="G2399" s="477">
        <v>83023277.979695931</v>
      </c>
      <c r="H2399" s="458">
        <v>0.26352131646987154</v>
      </c>
      <c r="I2399" s="468">
        <v>14.332660467794124</v>
      </c>
    </row>
    <row r="2400" spans="1:9" ht="16.5" x14ac:dyDescent="0.3">
      <c r="A2400" s="477">
        <v>9044022.2745178435</v>
      </c>
      <c r="B2400" s="458">
        <v>4.0146846808761794E-2</v>
      </c>
      <c r="C2400" s="477">
        <v>10068378.470859634</v>
      </c>
      <c r="D2400" s="458">
        <v>5.0820580593380793E-2</v>
      </c>
      <c r="E2400" s="477">
        <v>1868936.5828881492</v>
      </c>
      <c r="F2400" s="458">
        <v>0.10711722404122281</v>
      </c>
      <c r="G2400" s="477">
        <v>94466849.413702205</v>
      </c>
      <c r="H2400" s="458">
        <v>0.26771518778254011</v>
      </c>
      <c r="I2400" s="468">
        <v>3.7927873220555766</v>
      </c>
    </row>
    <row r="2401" spans="1:9" ht="16.5" x14ac:dyDescent="0.3">
      <c r="A2401" s="477">
        <v>5835416.7060359214</v>
      </c>
      <c r="B2401" s="458">
        <v>2.0745657596047407E-2</v>
      </c>
      <c r="C2401" s="477">
        <v>1410312.2982113082</v>
      </c>
      <c r="D2401" s="458">
        <v>6.1783363187095652E-2</v>
      </c>
      <c r="E2401" s="477">
        <v>10858481.127217455</v>
      </c>
      <c r="F2401" s="458">
        <v>9.544444385516071E-2</v>
      </c>
      <c r="G2401" s="477">
        <v>94754569.468258798</v>
      </c>
      <c r="H2401" s="458">
        <v>0.29208746080616388</v>
      </c>
      <c r="I2401" s="468">
        <v>8.9560880349259193</v>
      </c>
    </row>
    <row r="2402" spans="1:9" ht="16.5" x14ac:dyDescent="0.3">
      <c r="A2402" s="477">
        <v>3590339.7102976069</v>
      </c>
      <c r="B2402" s="458">
        <v>4.0886683518556843E-2</v>
      </c>
      <c r="C2402" s="477">
        <v>4840259.2608221751</v>
      </c>
      <c r="D2402" s="458">
        <v>6.0831691163970802E-2</v>
      </c>
      <c r="E2402" s="477">
        <v>16492746.298259977</v>
      </c>
      <c r="F2402" s="458">
        <v>8.9386245490247873E-2</v>
      </c>
      <c r="G2402" s="477">
        <v>95121906.782653451</v>
      </c>
      <c r="H2402" s="458">
        <v>0.30500396339698477</v>
      </c>
      <c r="I2402" s="468">
        <v>7.1799695740359883</v>
      </c>
    </row>
    <row r="2403" spans="1:9" ht="16.5" x14ac:dyDescent="0.3">
      <c r="A2403" s="477">
        <v>2599568.7007211116</v>
      </c>
      <c r="B2403" s="458">
        <v>4.2654300259423961E-2</v>
      </c>
      <c r="C2403" s="477">
        <v>3709720.1501538963</v>
      </c>
      <c r="D2403" s="458">
        <v>6.5612928236692847E-2</v>
      </c>
      <c r="E2403" s="477">
        <v>18660067.521000706</v>
      </c>
      <c r="F2403" s="458">
        <v>0.10258301960485006</v>
      </c>
      <c r="G2403" s="477">
        <v>79884080.772578865</v>
      </c>
      <c r="H2403" s="458">
        <v>0.25315651528638528</v>
      </c>
      <c r="I2403" s="468">
        <v>4.9372717987155488</v>
      </c>
    </row>
    <row r="2404" spans="1:9" ht="16.5" x14ac:dyDescent="0.3">
      <c r="A2404" s="477">
        <v>3644296.5902737752</v>
      </c>
      <c r="B2404" s="458">
        <v>3.7359221161104683E-2</v>
      </c>
      <c r="C2404" s="477">
        <v>15134457.024782121</v>
      </c>
      <c r="D2404" s="458">
        <v>6.9335763173216991E-2</v>
      </c>
      <c r="E2404" s="477">
        <v>11888621.435331412</v>
      </c>
      <c r="F2404" s="458">
        <v>9.2150831726709903E-2</v>
      </c>
      <c r="G2404" s="477">
        <v>86989731.699534953</v>
      </c>
      <c r="H2404" s="458">
        <v>0.26229733726189242</v>
      </c>
      <c r="I2404" s="468">
        <v>11.647170057168932</v>
      </c>
    </row>
    <row r="2405" spans="1:9" ht="16.5" x14ac:dyDescent="0.3">
      <c r="A2405" s="477">
        <v>8726889.4167637099</v>
      </c>
      <c r="B2405" s="458">
        <v>5.4673924920957351E-2</v>
      </c>
      <c r="C2405" s="477">
        <v>2784888.7675980506</v>
      </c>
      <c r="D2405" s="458">
        <v>4.2891271168137513E-2</v>
      </c>
      <c r="E2405" s="477">
        <v>20602503.288131461</v>
      </c>
      <c r="F2405" s="458">
        <v>0.12100046961118549</v>
      </c>
      <c r="G2405" s="477">
        <v>93682252.75290741</v>
      </c>
      <c r="H2405" s="458">
        <v>0.2982277339087076</v>
      </c>
      <c r="I2405" s="468">
        <v>6.1945982988174704</v>
      </c>
    </row>
    <row r="2406" spans="1:9" ht="16.5" x14ac:dyDescent="0.3">
      <c r="A2406" s="477">
        <v>2841982.4155894686</v>
      </c>
      <c r="B2406" s="458">
        <v>5.6029045460218141E-2</v>
      </c>
      <c r="C2406" s="477">
        <v>8528981.3361624721</v>
      </c>
      <c r="D2406" s="458">
        <v>6.6642499142989031E-2</v>
      </c>
      <c r="E2406" s="477">
        <v>16333257.524598075</v>
      </c>
      <c r="F2406" s="458">
        <v>0.10480533553991878</v>
      </c>
      <c r="G2406" s="477">
        <v>90994574.449336827</v>
      </c>
      <c r="H2406" s="458">
        <v>0.27801612965981559</v>
      </c>
      <c r="I2406" s="468">
        <v>4.8869212714286636</v>
      </c>
    </row>
    <row r="2407" spans="1:9" ht="16.5" x14ac:dyDescent="0.3">
      <c r="A2407" s="477">
        <v>6343979.7475153813</v>
      </c>
      <c r="B2407" s="458">
        <v>2.7597088325159724E-2</v>
      </c>
      <c r="C2407" s="477">
        <v>2411775.7384315678</v>
      </c>
      <c r="D2407" s="458">
        <v>4.8890511430571104E-2</v>
      </c>
      <c r="E2407" s="477">
        <v>16363671.294049241</v>
      </c>
      <c r="F2407" s="458">
        <v>0.10295196890919067</v>
      </c>
      <c r="G2407" s="477">
        <v>84567508.262617767</v>
      </c>
      <c r="H2407" s="458">
        <v>0.26434292438234852</v>
      </c>
      <c r="I2407" s="468">
        <v>6.1547734673149836</v>
      </c>
    </row>
    <row r="2408" spans="1:9" ht="16.5" x14ac:dyDescent="0.3">
      <c r="A2408" s="477">
        <v>1147340.8658144092</v>
      </c>
      <c r="B2408" s="458">
        <v>4.1859422102776822E-2</v>
      </c>
      <c r="C2408" s="477">
        <v>11219357.934673633</v>
      </c>
      <c r="D2408" s="458">
        <v>5.8902784848787748E-2</v>
      </c>
      <c r="E2408" s="477">
        <v>20631341.774141643</v>
      </c>
      <c r="F2408" s="458">
        <v>9.4927439225900967E-2</v>
      </c>
      <c r="G2408" s="477">
        <v>87575481.655292049</v>
      </c>
      <c r="H2408" s="458">
        <v>0.28163553389293217</v>
      </c>
      <c r="I2408" s="468">
        <v>8.9131690859226467</v>
      </c>
    </row>
    <row r="2409" spans="1:9" ht="16.5" x14ac:dyDescent="0.3">
      <c r="A2409" s="477">
        <v>1210664.6263849856</v>
      </c>
      <c r="B2409" s="458">
        <v>1.3601391903192983E-2</v>
      </c>
      <c r="C2409" s="477">
        <v>4529127.1091584414</v>
      </c>
      <c r="D2409" s="458">
        <v>8.8181296472692683E-2</v>
      </c>
      <c r="E2409" s="477">
        <v>15608476.932925878</v>
      </c>
      <c r="F2409" s="458">
        <v>0.1366048279804164</v>
      </c>
      <c r="G2409" s="477">
        <v>92048503.120999858</v>
      </c>
      <c r="H2409" s="458">
        <v>0.26117877559728675</v>
      </c>
      <c r="I2409" s="468">
        <v>6.6669708743510832</v>
      </c>
    </row>
    <row r="2410" spans="1:9" ht="16.5" x14ac:dyDescent="0.3">
      <c r="A2410" s="477">
        <v>12635339.813264599</v>
      </c>
      <c r="B2410" s="458">
        <v>3.0721977515095089E-2</v>
      </c>
      <c r="C2410" s="477">
        <v>6554365.2181924684</v>
      </c>
      <c r="D2410" s="458">
        <v>6.5898781068298273E-2</v>
      </c>
      <c r="E2410" s="477">
        <v>15060132.860777259</v>
      </c>
      <c r="F2410" s="458">
        <v>0.10041825372528601</v>
      </c>
      <c r="G2410" s="477">
        <v>87355866.846135348</v>
      </c>
      <c r="H2410" s="458">
        <v>0.28751435806963244</v>
      </c>
      <c r="I2410" s="468">
        <v>6.4334700735600805</v>
      </c>
    </row>
    <row r="2411" spans="1:9" ht="16.5" x14ac:dyDescent="0.3">
      <c r="A2411" s="477">
        <v>5654137.861215679</v>
      </c>
      <c r="B2411" s="458">
        <v>3.923773810367237E-2</v>
      </c>
      <c r="C2411" s="477">
        <v>4778724.6455198154</v>
      </c>
      <c r="D2411" s="458">
        <v>3.7062647620442535E-2</v>
      </c>
      <c r="E2411" s="477">
        <v>10900879.590191299</v>
      </c>
      <c r="F2411" s="458">
        <v>0.11725264421769976</v>
      </c>
      <c r="G2411" s="477">
        <v>91704577.532611862</v>
      </c>
      <c r="H2411" s="458">
        <v>0.25432886605776606</v>
      </c>
      <c r="I2411" s="468">
        <v>8.1129086126881873</v>
      </c>
    </row>
    <row r="2412" spans="1:9" ht="16.5" x14ac:dyDescent="0.3">
      <c r="A2412" s="477">
        <v>3198336.4094075472</v>
      </c>
      <c r="B2412" s="458">
        <v>3.331204344692229E-2</v>
      </c>
      <c r="C2412" s="477">
        <v>3383755.7651141989</v>
      </c>
      <c r="D2412" s="458">
        <v>8.1474218492749939E-2</v>
      </c>
      <c r="E2412" s="477">
        <v>17872051.636999551</v>
      </c>
      <c r="F2412" s="458">
        <v>0.13122163996471792</v>
      </c>
      <c r="G2412" s="477">
        <v>80126779.28124465</v>
      </c>
      <c r="H2412" s="458">
        <v>0.27626912461297093</v>
      </c>
      <c r="I2412" s="468">
        <v>7.37694216684406</v>
      </c>
    </row>
    <row r="2413" spans="1:9" ht="16.5" x14ac:dyDescent="0.3">
      <c r="A2413" s="477">
        <v>8501760.3741349857</v>
      </c>
      <c r="B2413" s="458">
        <v>2.8735516322560439E-2</v>
      </c>
      <c r="C2413" s="477">
        <v>7556086.7181437649</v>
      </c>
      <c r="D2413" s="458">
        <v>5.4489422845198643E-2</v>
      </c>
      <c r="E2413" s="477">
        <v>17594396.461731821</v>
      </c>
      <c r="F2413" s="458">
        <v>8.5204702120753595E-2</v>
      </c>
      <c r="G2413" s="477">
        <v>86204440.747885883</v>
      </c>
      <c r="H2413" s="458">
        <v>0.27309211037711845</v>
      </c>
      <c r="I2413" s="468">
        <v>21.897593244537539</v>
      </c>
    </row>
    <row r="2414" spans="1:9" ht="16.5" x14ac:dyDescent="0.3">
      <c r="A2414" s="477">
        <v>5923107.4934495389</v>
      </c>
      <c r="B2414" s="458">
        <v>3.3634076908561239E-2</v>
      </c>
      <c r="C2414" s="477">
        <v>11219727.248943666</v>
      </c>
      <c r="D2414" s="458">
        <v>6.2724766481352168E-2</v>
      </c>
      <c r="E2414" s="477">
        <v>12086238.972485982</v>
      </c>
      <c r="F2414" s="458">
        <v>0.1239907511889955</v>
      </c>
      <c r="G2414" s="477">
        <v>88282454.075594008</v>
      </c>
      <c r="H2414" s="458">
        <v>0.25753362845727956</v>
      </c>
      <c r="I2414" s="468">
        <v>4.7384384026843049</v>
      </c>
    </row>
    <row r="2415" spans="1:9" ht="16.5" x14ac:dyDescent="0.3">
      <c r="A2415" s="477">
        <v>5320261.3941600202</v>
      </c>
      <c r="B2415" s="458">
        <v>2.9989531227652799E-2</v>
      </c>
      <c r="C2415" s="477">
        <v>16446118.546771109</v>
      </c>
      <c r="D2415" s="458">
        <v>5.6414808065454736E-2</v>
      </c>
      <c r="E2415" s="477">
        <v>17908557.104306743</v>
      </c>
      <c r="F2415" s="458">
        <v>0.11838015317133888</v>
      </c>
      <c r="G2415" s="477">
        <v>97625571.881696984</v>
      </c>
      <c r="H2415" s="458">
        <v>0.27796541133298946</v>
      </c>
      <c r="I2415" s="468">
        <v>13.746265676664757</v>
      </c>
    </row>
    <row r="2416" spans="1:9" ht="16.5" x14ac:dyDescent="0.3">
      <c r="A2416" s="477">
        <v>10222818.205212111</v>
      </c>
      <c r="B2416" s="458">
        <v>4.2547231325171353E-2</v>
      </c>
      <c r="C2416" s="477">
        <v>9021561.637700038</v>
      </c>
      <c r="D2416" s="458">
        <v>6.5793589451584422E-2</v>
      </c>
      <c r="E2416" s="477">
        <v>14149493.553918753</v>
      </c>
      <c r="F2416" s="458">
        <v>0.12713972719623223</v>
      </c>
      <c r="G2416" s="477">
        <v>96615369.075594634</v>
      </c>
      <c r="H2416" s="458">
        <v>0.27869275614005407</v>
      </c>
      <c r="I2416" s="468">
        <v>11.791126497292924</v>
      </c>
    </row>
    <row r="2417" spans="1:9" ht="16.5" x14ac:dyDescent="0.3">
      <c r="A2417" s="477">
        <v>-2835154.1438356279</v>
      </c>
      <c r="B2417" s="458">
        <v>3.3891123713885252E-2</v>
      </c>
      <c r="C2417" s="477">
        <v>7550108.4808757482</v>
      </c>
      <c r="D2417" s="458">
        <v>6.9562573889883073E-2</v>
      </c>
      <c r="E2417" s="477">
        <v>13639434.978245089</v>
      </c>
      <c r="F2417" s="458">
        <v>0.130380392551114</v>
      </c>
      <c r="G2417" s="477">
        <v>97236631.924700871</v>
      </c>
      <c r="H2417" s="458">
        <v>0.2879961097433319</v>
      </c>
      <c r="I2417" s="468">
        <v>6.2509429990627456</v>
      </c>
    </row>
    <row r="2418" spans="1:9" ht="16.5" x14ac:dyDescent="0.3">
      <c r="A2418" s="477">
        <v>4784586.796005914</v>
      </c>
      <c r="B2418" s="458">
        <v>4.1037948815143555E-2</v>
      </c>
      <c r="C2418" s="477">
        <v>7446896.9508742485</v>
      </c>
      <c r="D2418" s="458">
        <v>5.1210242785107773E-2</v>
      </c>
      <c r="E2418" s="477">
        <v>17823662.747790094</v>
      </c>
      <c r="F2418" s="458">
        <v>9.9882214458457241E-2</v>
      </c>
      <c r="G2418" s="477">
        <v>99613611.843126163</v>
      </c>
      <c r="H2418" s="458">
        <v>0.26651594042059346</v>
      </c>
      <c r="I2418" s="468">
        <v>1.2284651752780649</v>
      </c>
    </row>
    <row r="2419" spans="1:9" ht="16.5" x14ac:dyDescent="0.3">
      <c r="A2419" s="477">
        <v>4335493.4141190546</v>
      </c>
      <c r="B2419" s="458">
        <v>2.0899721545241334E-2</v>
      </c>
      <c r="C2419" s="477">
        <v>9148107.9986486193</v>
      </c>
      <c r="D2419" s="458">
        <v>7.7806280964809238E-2</v>
      </c>
      <c r="E2419" s="477">
        <v>16594799.854832506</v>
      </c>
      <c r="F2419" s="458">
        <v>0.11707385370651213</v>
      </c>
      <c r="G2419" s="477">
        <v>100606540.23108087</v>
      </c>
      <c r="H2419" s="458">
        <v>0.28310733627716789</v>
      </c>
      <c r="I2419" s="468">
        <v>6.1412142631231212</v>
      </c>
    </row>
    <row r="2420" spans="1:9" ht="16.5" x14ac:dyDescent="0.3">
      <c r="A2420" s="477">
        <v>4052420.743554241</v>
      </c>
      <c r="B2420" s="458">
        <v>4.5243943374356776E-2</v>
      </c>
      <c r="C2420" s="477">
        <v>15143271.232362164</v>
      </c>
      <c r="D2420" s="458">
        <v>3.2731014986734142E-2</v>
      </c>
      <c r="E2420" s="477">
        <v>14368616.126034418</v>
      </c>
      <c r="F2420" s="458">
        <v>0.10804298753487185</v>
      </c>
      <c r="G2420" s="477">
        <v>84389990.075014994</v>
      </c>
      <c r="H2420" s="458">
        <v>0.28222512443731618</v>
      </c>
      <c r="I2420" s="468">
        <v>6.557341058335652</v>
      </c>
    </row>
    <row r="2421" spans="1:9" ht="16.5" x14ac:dyDescent="0.3">
      <c r="A2421" s="477">
        <v>4419200.034453257</v>
      </c>
      <c r="B2421" s="458">
        <v>3.9247174286365816E-2</v>
      </c>
      <c r="C2421" s="477">
        <v>12192386.538093822</v>
      </c>
      <c r="D2421" s="458">
        <v>5.2081156457265854E-2</v>
      </c>
      <c r="E2421" s="477">
        <v>16885542.778396647</v>
      </c>
      <c r="F2421" s="458">
        <v>0.10330431839967802</v>
      </c>
      <c r="G2421" s="477">
        <v>83811957.326988056</v>
      </c>
      <c r="H2421" s="458">
        <v>0.26019655844930623</v>
      </c>
      <c r="I2421" s="468">
        <v>8.5226683436073376</v>
      </c>
    </row>
    <row r="2422" spans="1:9" ht="16.5" x14ac:dyDescent="0.3">
      <c r="A2422" s="477">
        <v>1781495.7426690389</v>
      </c>
      <c r="B2422" s="458">
        <v>6.315574581909611E-2</v>
      </c>
      <c r="C2422" s="477">
        <v>978442.95360604604</v>
      </c>
      <c r="D2422" s="458">
        <v>7.6849483072200853E-2</v>
      </c>
      <c r="E2422" s="477">
        <v>14074681.676023716</v>
      </c>
      <c r="F2422" s="458">
        <v>0.12734001476036805</v>
      </c>
      <c r="G2422" s="477">
        <v>82329526.443482265</v>
      </c>
      <c r="H2422" s="458">
        <v>0.28663447713221113</v>
      </c>
      <c r="I2422" s="468">
        <v>2.673896484271129</v>
      </c>
    </row>
    <row r="2423" spans="1:9" ht="16.5" x14ac:dyDescent="0.3">
      <c r="A2423" s="477">
        <v>5222407.3572182572</v>
      </c>
      <c r="B2423" s="458">
        <v>4.876590080862675E-2</v>
      </c>
      <c r="C2423" s="477">
        <v>5489301.1416599508</v>
      </c>
      <c r="D2423" s="458">
        <v>5.8104074357319124E-2</v>
      </c>
      <c r="E2423" s="477">
        <v>10826306.763711195</v>
      </c>
      <c r="F2423" s="458">
        <v>0.11121384617878416</v>
      </c>
      <c r="G2423" s="477">
        <v>90861605.540964305</v>
      </c>
      <c r="H2423" s="458">
        <v>0.25970850036711179</v>
      </c>
      <c r="I2423" s="468">
        <v>6.2941279836727571</v>
      </c>
    </row>
    <row r="2424" spans="1:9" ht="16.5" x14ac:dyDescent="0.3">
      <c r="A2424" s="477">
        <v>5575719.359436282</v>
      </c>
      <c r="B2424" s="458">
        <v>1.4641320891505494E-2</v>
      </c>
      <c r="C2424" s="477">
        <v>12679244.84444437</v>
      </c>
      <c r="D2424" s="458">
        <v>5.2063560994775937E-2</v>
      </c>
      <c r="E2424" s="477">
        <v>23275394.90856427</v>
      </c>
      <c r="F2424" s="458">
        <v>0.10400193005368386</v>
      </c>
      <c r="G2424" s="477">
        <v>93107809.445938379</v>
      </c>
      <c r="H2424" s="458">
        <v>0.27476948400004941</v>
      </c>
      <c r="I2424" s="468">
        <v>3.8019718303131764</v>
      </c>
    </row>
    <row r="2425" spans="1:9" ht="16.5" x14ac:dyDescent="0.3">
      <c r="A2425" s="477">
        <v>6752931.2228172636</v>
      </c>
      <c r="B2425" s="458">
        <v>4.5918428758868979E-2</v>
      </c>
      <c r="C2425" s="477">
        <v>4373230.7303186394</v>
      </c>
      <c r="D2425" s="458">
        <v>7.3869535352591775E-2</v>
      </c>
      <c r="E2425" s="477">
        <v>13879110.747970831</v>
      </c>
      <c r="F2425" s="458">
        <v>8.183615212016182E-2</v>
      </c>
      <c r="G2425" s="477">
        <v>115554689.98283865</v>
      </c>
      <c r="H2425" s="458">
        <v>0.2577138213798702</v>
      </c>
      <c r="I2425" s="468">
        <v>5.5303099981702282</v>
      </c>
    </row>
    <row r="2426" spans="1:9" ht="16.5" x14ac:dyDescent="0.3">
      <c r="A2426" s="477">
        <v>5998397.1346513247</v>
      </c>
      <c r="B2426" s="458">
        <v>2.7208524647894139E-2</v>
      </c>
      <c r="C2426" s="477">
        <v>10026168.058925895</v>
      </c>
      <c r="D2426" s="458">
        <v>8.7478708227312518E-2</v>
      </c>
      <c r="E2426" s="477">
        <v>17665448.579674806</v>
      </c>
      <c r="F2426" s="458">
        <v>0.11293707344116233</v>
      </c>
      <c r="G2426" s="477">
        <v>91841883.301324397</v>
      </c>
      <c r="H2426" s="458">
        <v>0.29513322430983324</v>
      </c>
      <c r="I2426" s="468">
        <v>7.3131234536423086</v>
      </c>
    </row>
    <row r="2427" spans="1:9" ht="16.5" x14ac:dyDescent="0.3">
      <c r="A2427" s="477">
        <v>6063061.1132275891</v>
      </c>
      <c r="B2427" s="458">
        <v>4.1869125517919326E-3</v>
      </c>
      <c r="C2427" s="477">
        <v>11590426.566454856</v>
      </c>
      <c r="D2427" s="458">
        <v>5.7619391416125598E-2</v>
      </c>
      <c r="E2427" s="477">
        <v>20917537.269162409</v>
      </c>
      <c r="F2427" s="458">
        <v>0.10320234166424669</v>
      </c>
      <c r="G2427" s="477">
        <v>103192144.35123542</v>
      </c>
      <c r="H2427" s="458">
        <v>0.27301465540425007</v>
      </c>
      <c r="I2427" s="468">
        <v>4.6843563612199235</v>
      </c>
    </row>
    <row r="2428" spans="1:9" ht="16.5" x14ac:dyDescent="0.3">
      <c r="A2428" s="477">
        <v>4453943.794449063</v>
      </c>
      <c r="B2428" s="458">
        <v>1.9190366201921938E-2</v>
      </c>
      <c r="C2428" s="477">
        <v>7860206.9116004817</v>
      </c>
      <c r="D2428" s="458">
        <v>8.2226151445312867E-2</v>
      </c>
      <c r="E2428" s="477">
        <v>8760689.0869528744</v>
      </c>
      <c r="F2428" s="458">
        <v>8.1837697053846137E-2</v>
      </c>
      <c r="G2428" s="477">
        <v>85567494.86683768</v>
      </c>
      <c r="H2428" s="458">
        <v>0.26347929252753954</v>
      </c>
      <c r="I2428" s="468">
        <v>8.7582682225124593</v>
      </c>
    </row>
    <row r="2429" spans="1:9" ht="16.5" x14ac:dyDescent="0.3">
      <c r="A2429" s="477">
        <v>2792467.2702243007</v>
      </c>
      <c r="B2429" s="458">
        <v>4.5014621135397892E-2</v>
      </c>
      <c r="C2429" s="477">
        <v>6375748.9262819719</v>
      </c>
      <c r="D2429" s="458">
        <v>6.5615376960264093E-2</v>
      </c>
      <c r="E2429" s="477">
        <v>24319868.08798049</v>
      </c>
      <c r="F2429" s="458">
        <v>9.8124146695266923E-2</v>
      </c>
      <c r="G2429" s="477">
        <v>87052926.912699908</v>
      </c>
      <c r="H2429" s="458">
        <v>0.26963907204542692</v>
      </c>
      <c r="I2429" s="468">
        <v>5.3877239561835495</v>
      </c>
    </row>
    <row r="2430" spans="1:9" ht="16.5" x14ac:dyDescent="0.3">
      <c r="A2430" s="477">
        <v>-1280008.6312203507</v>
      </c>
      <c r="B2430" s="458">
        <v>4.1089263964673828E-2</v>
      </c>
      <c r="C2430" s="477">
        <v>13335902.811748115</v>
      </c>
      <c r="D2430" s="458">
        <v>6.9521087884429678E-2</v>
      </c>
      <c r="E2430" s="477">
        <v>15156357.101418786</v>
      </c>
      <c r="F2430" s="458">
        <v>0.11093952984954214</v>
      </c>
      <c r="G2430" s="477">
        <v>90778066.332757264</v>
      </c>
      <c r="H2430" s="458">
        <v>0.26223505432216632</v>
      </c>
      <c r="I2430" s="468">
        <v>12.75092520080797</v>
      </c>
    </row>
    <row r="2431" spans="1:9" ht="16.5" x14ac:dyDescent="0.3">
      <c r="A2431" s="477">
        <v>4165092.8823810844</v>
      </c>
      <c r="B2431" s="458">
        <v>5.7304996886489601E-2</v>
      </c>
      <c r="C2431" s="477">
        <v>8617580.1013395768</v>
      </c>
      <c r="D2431" s="458">
        <v>5.6389780242816601E-2</v>
      </c>
      <c r="E2431" s="477">
        <v>24851003.315109413</v>
      </c>
      <c r="F2431" s="458">
        <v>0.11757045070266314</v>
      </c>
      <c r="G2431" s="477">
        <v>91589216.051370054</v>
      </c>
      <c r="H2431" s="458">
        <v>0.29282259653233056</v>
      </c>
      <c r="I2431" s="468">
        <v>13.021881902591563</v>
      </c>
    </row>
    <row r="2432" spans="1:9" ht="16.5" x14ac:dyDescent="0.3">
      <c r="A2432" s="477">
        <v>6927618.5690961005</v>
      </c>
      <c r="B2432" s="458">
        <v>4.6239488534236095E-2</v>
      </c>
      <c r="C2432" s="477">
        <v>8288987.6701376084</v>
      </c>
      <c r="D2432" s="458">
        <v>4.6303125078979823E-2</v>
      </c>
      <c r="E2432" s="477">
        <v>14553375.450800134</v>
      </c>
      <c r="F2432" s="458">
        <v>0.12341929865512591</v>
      </c>
      <c r="G2432" s="477">
        <v>82009836.242804334</v>
      </c>
      <c r="H2432" s="458">
        <v>0.25676449720160233</v>
      </c>
      <c r="I2432" s="468">
        <v>6.1482864807253934</v>
      </c>
    </row>
    <row r="2433" spans="1:9" ht="16.5" x14ac:dyDescent="0.3">
      <c r="A2433" s="477">
        <v>3249455.8793451553</v>
      </c>
      <c r="B2433" s="458">
        <v>3.4463279582341189E-2</v>
      </c>
      <c r="C2433" s="477">
        <v>10117095.112154171</v>
      </c>
      <c r="D2433" s="458">
        <v>7.1091329262155334E-2</v>
      </c>
      <c r="E2433" s="477">
        <v>20186811.965693962</v>
      </c>
      <c r="F2433" s="458">
        <v>0.11263029511072453</v>
      </c>
      <c r="G2433" s="477">
        <v>90620469.455267131</v>
      </c>
      <c r="H2433" s="458">
        <v>0.27309406808875791</v>
      </c>
      <c r="I2433" s="468">
        <v>10.171615648060047</v>
      </c>
    </row>
    <row r="2434" spans="1:9" ht="16.5" x14ac:dyDescent="0.3">
      <c r="A2434" s="477">
        <v>5529097.6859063106</v>
      </c>
      <c r="B2434" s="458">
        <v>4.3758989977944474E-2</v>
      </c>
      <c r="C2434" s="477">
        <v>10307810.460933533</v>
      </c>
      <c r="D2434" s="458">
        <v>7.4303208624707295E-2</v>
      </c>
      <c r="E2434" s="477">
        <v>16869158.629824933</v>
      </c>
      <c r="F2434" s="458">
        <v>0.1059009715797945</v>
      </c>
      <c r="G2434" s="477">
        <v>75928543.122676596</v>
      </c>
      <c r="H2434" s="458">
        <v>0.27608122188659157</v>
      </c>
      <c r="I2434" s="468">
        <v>10.973711136751584</v>
      </c>
    </row>
    <row r="2435" spans="1:9" ht="16.5" x14ac:dyDescent="0.3">
      <c r="A2435" s="477">
        <v>7245619.908232566</v>
      </c>
      <c r="B2435" s="458">
        <v>4.332133344769673E-2</v>
      </c>
      <c r="C2435" s="477">
        <v>5479717.0276320204</v>
      </c>
      <c r="D2435" s="458">
        <v>6.922370172797887E-2</v>
      </c>
      <c r="E2435" s="477">
        <v>15368647.307586798</v>
      </c>
      <c r="F2435" s="458">
        <v>9.2826995092645026E-2</v>
      </c>
      <c r="G2435" s="477">
        <v>77982160.249678493</v>
      </c>
      <c r="H2435" s="458">
        <v>0.27960661150080757</v>
      </c>
      <c r="I2435" s="468">
        <v>9.0429863707359335</v>
      </c>
    </row>
    <row r="2436" spans="1:9" ht="16.5" x14ac:dyDescent="0.3">
      <c r="A2436" s="477">
        <v>11313478.284763157</v>
      </c>
      <c r="B2436" s="458">
        <v>3.9254776272534375E-2</v>
      </c>
      <c r="C2436" s="477">
        <v>12141169.905993938</v>
      </c>
      <c r="D2436" s="458">
        <v>4.2242494342332293E-2</v>
      </c>
      <c r="E2436" s="477">
        <v>21538311.042868793</v>
      </c>
      <c r="F2436" s="458">
        <v>0.10698965543819372</v>
      </c>
      <c r="G2436" s="477">
        <v>104447147.2061716</v>
      </c>
      <c r="H2436" s="458">
        <v>0.2598331019754474</v>
      </c>
      <c r="I2436" s="468">
        <v>13.216670434508526</v>
      </c>
    </row>
    <row r="2437" spans="1:9" ht="16.5" x14ac:dyDescent="0.3">
      <c r="A2437" s="477">
        <v>4722712.3040094003</v>
      </c>
      <c r="B2437" s="458">
        <v>7.076766799877654E-2</v>
      </c>
      <c r="C2437" s="477">
        <v>8417189.5597399529</v>
      </c>
      <c r="D2437" s="458">
        <v>9.804612857494055E-2</v>
      </c>
      <c r="E2437" s="477">
        <v>14039617.058757514</v>
      </c>
      <c r="F2437" s="458">
        <v>0.14157521516489546</v>
      </c>
      <c r="G2437" s="477">
        <v>92468400.287093699</v>
      </c>
      <c r="H2437" s="458">
        <v>0.26315789342291884</v>
      </c>
      <c r="I2437" s="468">
        <v>13.071854489430031</v>
      </c>
    </row>
    <row r="2438" spans="1:9" ht="16.5" x14ac:dyDescent="0.3">
      <c r="A2438" s="477">
        <v>6109109.7195150759</v>
      </c>
      <c r="B2438" s="458">
        <v>5.6462636651006148E-2</v>
      </c>
      <c r="C2438" s="477">
        <v>4934544.6907031415</v>
      </c>
      <c r="D2438" s="458">
        <v>8.0738236471651792E-2</v>
      </c>
      <c r="E2438" s="477">
        <v>18087890.481116846</v>
      </c>
      <c r="F2438" s="458">
        <v>8.5253541822493339E-2</v>
      </c>
      <c r="G2438" s="477">
        <v>103137263.104223</v>
      </c>
      <c r="H2438" s="458">
        <v>0.28229581735983555</v>
      </c>
      <c r="I2438" s="468">
        <v>8.2468558334064497</v>
      </c>
    </row>
    <row r="2439" spans="1:9" ht="16.5" x14ac:dyDescent="0.3">
      <c r="A2439" s="477">
        <v>5496097.9463946372</v>
      </c>
      <c r="B2439" s="458">
        <v>1.2137911274513913E-2</v>
      </c>
      <c r="C2439" s="477">
        <v>16349359.854491007</v>
      </c>
      <c r="D2439" s="458">
        <v>7.006379156370901E-2</v>
      </c>
      <c r="E2439" s="477">
        <v>14792825.264606802</v>
      </c>
      <c r="F2439" s="458">
        <v>0.12704010119308551</v>
      </c>
      <c r="G2439" s="477">
        <v>96787040.979637235</v>
      </c>
      <c r="H2439" s="458">
        <v>0.26083246532923821</v>
      </c>
      <c r="I2439" s="468">
        <v>9.8704347996780637</v>
      </c>
    </row>
    <row r="2440" spans="1:9" ht="16.5" x14ac:dyDescent="0.3">
      <c r="A2440" s="477">
        <v>7360939.6664195927</v>
      </c>
      <c r="B2440" s="458">
        <v>4.5903507836861479E-2</v>
      </c>
      <c r="C2440" s="477">
        <v>2951881.8785369257</v>
      </c>
      <c r="D2440" s="458">
        <v>7.1465248615275145E-2</v>
      </c>
      <c r="E2440" s="477">
        <v>17893251.158687573</v>
      </c>
      <c r="F2440" s="458">
        <v>0.11390999192569473</v>
      </c>
      <c r="G2440" s="477">
        <v>82369397.397232652</v>
      </c>
      <c r="H2440" s="458">
        <v>0.27065015288696159</v>
      </c>
      <c r="I2440" s="468">
        <v>1.1753065285914754</v>
      </c>
    </row>
    <row r="2441" spans="1:9" ht="16.5" x14ac:dyDescent="0.3">
      <c r="A2441" s="477">
        <v>7702802.5188422278</v>
      </c>
      <c r="B2441" s="458">
        <v>2.9104711539246875E-2</v>
      </c>
      <c r="C2441" s="477">
        <v>15007695.127382357</v>
      </c>
      <c r="D2441" s="458">
        <v>6.8282973595334973E-2</v>
      </c>
      <c r="E2441" s="477">
        <v>17700336.34707085</v>
      </c>
      <c r="F2441" s="458">
        <v>0.13319962045190148</v>
      </c>
      <c r="G2441" s="477">
        <v>83622795.444062561</v>
      </c>
      <c r="H2441" s="458">
        <v>0.25235583053227262</v>
      </c>
      <c r="I2441" s="468">
        <v>2.214875553818854</v>
      </c>
    </row>
    <row r="2442" spans="1:9" ht="16.5" x14ac:dyDescent="0.3">
      <c r="A2442" s="477">
        <v>7369872.4429557519</v>
      </c>
      <c r="B2442" s="458">
        <v>4.6876891229389983E-2</v>
      </c>
      <c r="C2442" s="477">
        <v>2039728.6233883284</v>
      </c>
      <c r="D2442" s="458">
        <v>7.4552643996165013E-2</v>
      </c>
      <c r="E2442" s="477">
        <v>17421818.254235644</v>
      </c>
      <c r="F2442" s="458">
        <v>0.1024768661621549</v>
      </c>
      <c r="G2442" s="477">
        <v>87161822.918271482</v>
      </c>
      <c r="H2442" s="458">
        <v>0.27726535316593326</v>
      </c>
      <c r="I2442" s="468">
        <v>10.078867522020047</v>
      </c>
    </row>
    <row r="2443" spans="1:9" ht="16.5" x14ac:dyDescent="0.3">
      <c r="A2443" s="477">
        <v>4140712.2957776543</v>
      </c>
      <c r="B2443" s="458">
        <v>5.6000005995506141E-2</v>
      </c>
      <c r="C2443" s="477">
        <v>8777752.4954739269</v>
      </c>
      <c r="D2443" s="458">
        <v>6.471776026607845E-2</v>
      </c>
      <c r="E2443" s="477">
        <v>13514583.208397895</v>
      </c>
      <c r="F2443" s="458">
        <v>0.11277161684769288</v>
      </c>
      <c r="G2443" s="477">
        <v>100307603.31991921</v>
      </c>
      <c r="H2443" s="458">
        <v>0.26484452409083392</v>
      </c>
      <c r="I2443" s="468">
        <v>13.580363704514294</v>
      </c>
    </row>
    <row r="2444" spans="1:9" ht="16.5" x14ac:dyDescent="0.3">
      <c r="A2444" s="477">
        <v>3192323.6282816166</v>
      </c>
      <c r="B2444" s="458">
        <v>4.6345745390269144E-2</v>
      </c>
      <c r="C2444" s="477">
        <v>15887470.835032621</v>
      </c>
      <c r="D2444" s="458">
        <v>3.3064419951176038E-2</v>
      </c>
      <c r="E2444" s="477">
        <v>22803078.454227034</v>
      </c>
      <c r="F2444" s="458">
        <v>0.11098900778138665</v>
      </c>
      <c r="G2444" s="477">
        <v>97131712.536004782</v>
      </c>
      <c r="H2444" s="458">
        <v>0.27920372393842974</v>
      </c>
      <c r="I2444" s="468">
        <v>12.924374398864121</v>
      </c>
    </row>
    <row r="2445" spans="1:9" ht="16.5" x14ac:dyDescent="0.3">
      <c r="A2445" s="477">
        <v>3250447.4938730006</v>
      </c>
      <c r="B2445" s="458">
        <v>4.942105441240896E-2</v>
      </c>
      <c r="C2445" s="477">
        <v>8931332.423444625</v>
      </c>
      <c r="D2445" s="458">
        <v>6.6592850665560643E-2</v>
      </c>
      <c r="E2445" s="477">
        <v>21490636.659069791</v>
      </c>
      <c r="F2445" s="458">
        <v>8.3787199208781526E-2</v>
      </c>
      <c r="G2445" s="477">
        <v>102571435.00971608</v>
      </c>
      <c r="H2445" s="458">
        <v>0.322875568691535</v>
      </c>
      <c r="I2445" s="468">
        <v>6.4055847277071862</v>
      </c>
    </row>
    <row r="2446" spans="1:9" ht="16.5" x14ac:dyDescent="0.3">
      <c r="A2446" s="477">
        <v>2379499.8744229986</v>
      </c>
      <c r="B2446" s="458">
        <v>3.8422106249978771E-2</v>
      </c>
      <c r="C2446" s="477">
        <v>9573376.399699064</v>
      </c>
      <c r="D2446" s="458">
        <v>7.6237791725480397E-2</v>
      </c>
      <c r="E2446" s="477">
        <v>22394937.368234035</v>
      </c>
      <c r="F2446" s="458">
        <v>0.13093512424346887</v>
      </c>
      <c r="G2446" s="477">
        <v>78637767.899410158</v>
      </c>
      <c r="H2446" s="458">
        <v>0.28368858548882381</v>
      </c>
      <c r="I2446" s="468">
        <v>4.4308768640795639</v>
      </c>
    </row>
    <row r="2447" spans="1:9" ht="16.5" x14ac:dyDescent="0.3">
      <c r="A2447" s="477">
        <v>3976332.1010050797</v>
      </c>
      <c r="B2447" s="458">
        <v>5.1363159890060794E-2</v>
      </c>
      <c r="C2447" s="477">
        <v>6242743.5205276739</v>
      </c>
      <c r="D2447" s="458">
        <v>4.6003868028856365E-2</v>
      </c>
      <c r="E2447" s="477">
        <v>14045033.292232063</v>
      </c>
      <c r="F2447" s="458">
        <v>0.11426472994371606</v>
      </c>
      <c r="G2447" s="477">
        <v>82818006.654316083</v>
      </c>
      <c r="H2447" s="458">
        <v>0.28822474751605265</v>
      </c>
      <c r="I2447" s="468">
        <v>10.201749803959363</v>
      </c>
    </row>
    <row r="2448" spans="1:9" ht="16.5" x14ac:dyDescent="0.3">
      <c r="A2448" s="477">
        <v>6758949.3261115337</v>
      </c>
      <c r="B2448" s="458">
        <v>4.0075339309507019E-2</v>
      </c>
      <c r="C2448" s="477">
        <v>14597438.32596237</v>
      </c>
      <c r="D2448" s="458">
        <v>5.3841860088376992E-2</v>
      </c>
      <c r="E2448" s="477">
        <v>18088144.187869303</v>
      </c>
      <c r="F2448" s="458">
        <v>0.12688989401150197</v>
      </c>
      <c r="G2448" s="477">
        <v>88870106.351493105</v>
      </c>
      <c r="H2448" s="458">
        <v>0.26162856815636304</v>
      </c>
      <c r="I2448" s="468">
        <v>1.1043039331217077</v>
      </c>
    </row>
    <row r="2449" spans="1:9" ht="16.5" x14ac:dyDescent="0.3">
      <c r="A2449" s="477">
        <v>6554591.5781685608</v>
      </c>
      <c r="B2449" s="458">
        <v>4.5759836220311989E-2</v>
      </c>
      <c r="C2449" s="477">
        <v>12856237.275963748</v>
      </c>
      <c r="D2449" s="458">
        <v>8.8366507850943909E-2</v>
      </c>
      <c r="E2449" s="477">
        <v>17036071.710611403</v>
      </c>
      <c r="F2449" s="458">
        <v>9.540819505591891E-2</v>
      </c>
      <c r="G2449" s="477">
        <v>85994816.235063702</v>
      </c>
      <c r="H2449" s="458">
        <v>0.27116025201478466</v>
      </c>
      <c r="I2449" s="468">
        <v>8.1181964118290271</v>
      </c>
    </row>
    <row r="2450" spans="1:9" ht="16.5" x14ac:dyDescent="0.3">
      <c r="A2450" s="477">
        <v>4747454.1627008878</v>
      </c>
      <c r="B2450" s="458">
        <v>5.056818314177014E-2</v>
      </c>
      <c r="C2450" s="477">
        <v>9697641.8826398645</v>
      </c>
      <c r="D2450" s="458">
        <v>6.3964383615765064E-2</v>
      </c>
      <c r="E2450" s="477">
        <v>15079237.370121419</v>
      </c>
      <c r="F2450" s="458">
        <v>9.2368147614737994E-2</v>
      </c>
      <c r="G2450" s="477">
        <v>69917792.890229851</v>
      </c>
      <c r="H2450" s="458">
        <v>0.26901567878912758</v>
      </c>
      <c r="I2450" s="468">
        <v>9.2642231598340281</v>
      </c>
    </row>
    <row r="2451" spans="1:9" ht="16.5" x14ac:dyDescent="0.3">
      <c r="A2451" s="477">
        <v>971802.92082370527</v>
      </c>
      <c r="B2451" s="458">
        <v>3.3313603743466702E-2</v>
      </c>
      <c r="C2451" s="477">
        <v>8221005.5320947487</v>
      </c>
      <c r="D2451" s="458">
        <v>7.3922945904136395E-2</v>
      </c>
      <c r="E2451" s="477">
        <v>11263798.197374405</v>
      </c>
      <c r="F2451" s="458">
        <v>0.11076017098663216</v>
      </c>
      <c r="G2451" s="477">
        <v>90889776.526130274</v>
      </c>
      <c r="H2451" s="458">
        <v>0.26594582893097174</v>
      </c>
      <c r="I2451" s="468">
        <v>2.0511936496553291</v>
      </c>
    </row>
    <row r="2452" spans="1:9" ht="16.5" x14ac:dyDescent="0.3">
      <c r="A2452" s="477">
        <v>7117787.8749179244</v>
      </c>
      <c r="B2452" s="458">
        <v>2.770828877900855E-2</v>
      </c>
      <c r="C2452" s="477">
        <v>10573582.966061054</v>
      </c>
      <c r="D2452" s="458">
        <v>7.6569302597619293E-2</v>
      </c>
      <c r="E2452" s="477">
        <v>23170937.397579066</v>
      </c>
      <c r="F2452" s="458">
        <v>9.5579724984589998E-2</v>
      </c>
      <c r="G2452" s="477">
        <v>95064802.539880708</v>
      </c>
      <c r="H2452" s="458">
        <v>0.28283482466516796</v>
      </c>
      <c r="I2452" s="468">
        <v>10.857531238586379</v>
      </c>
    </row>
    <row r="2453" spans="1:9" ht="16.5" x14ac:dyDescent="0.3">
      <c r="A2453" s="477">
        <v>1693280.4376324806</v>
      </c>
      <c r="B2453" s="458">
        <v>3.9969166065022765E-2</v>
      </c>
      <c r="C2453" s="477">
        <v>12506416.376578525</v>
      </c>
      <c r="D2453" s="458">
        <v>6.5014451978022914E-2</v>
      </c>
      <c r="E2453" s="477">
        <v>16167163.510639217</v>
      </c>
      <c r="F2453" s="458">
        <v>0.11379899439540253</v>
      </c>
      <c r="G2453" s="477">
        <v>81311534.798881039</v>
      </c>
      <c r="H2453" s="458">
        <v>0.29871973599849055</v>
      </c>
      <c r="I2453" s="468">
        <v>6.4791342356896253</v>
      </c>
    </row>
    <row r="2454" spans="1:9" ht="16.5" x14ac:dyDescent="0.3">
      <c r="A2454" s="477">
        <v>5612313.5441367282</v>
      </c>
      <c r="B2454" s="458">
        <v>3.9442893654276334E-2</v>
      </c>
      <c r="C2454" s="477">
        <v>6756041.2220434267</v>
      </c>
      <c r="D2454" s="458">
        <v>7.9576612219680154E-2</v>
      </c>
      <c r="E2454" s="477">
        <v>19810500.143997688</v>
      </c>
      <c r="F2454" s="458">
        <v>9.172699638411963E-2</v>
      </c>
      <c r="G2454" s="477">
        <v>112634246.8703258</v>
      </c>
      <c r="H2454" s="458">
        <v>0.27902810136846967</v>
      </c>
      <c r="I2454" s="468">
        <v>9.5273442005036824</v>
      </c>
    </row>
    <row r="2455" spans="1:9" ht="16.5" x14ac:dyDescent="0.3">
      <c r="A2455" s="477">
        <v>7145593.9688672088</v>
      </c>
      <c r="B2455" s="458">
        <v>2.5684931769556885E-2</v>
      </c>
      <c r="C2455" s="477">
        <v>16290819.262188045</v>
      </c>
      <c r="D2455" s="458">
        <v>9.7466502606696759E-2</v>
      </c>
      <c r="E2455" s="477">
        <v>17585264.63000302</v>
      </c>
      <c r="F2455" s="458">
        <v>0.10669660598379904</v>
      </c>
      <c r="G2455" s="477">
        <v>89111736.760363638</v>
      </c>
      <c r="H2455" s="458">
        <v>0.26860006725222529</v>
      </c>
      <c r="I2455" s="468">
        <v>11.947157551260055</v>
      </c>
    </row>
    <row r="2456" spans="1:9" ht="16.5" x14ac:dyDescent="0.3">
      <c r="A2456" s="477">
        <v>7713701.4792132992</v>
      </c>
      <c r="B2456" s="458">
        <v>6.5123031823735245E-2</v>
      </c>
      <c r="C2456" s="477">
        <v>10777559.256728861</v>
      </c>
      <c r="D2456" s="458">
        <v>5.8747784360497102E-2</v>
      </c>
      <c r="E2456" s="477">
        <v>12877373.645488417</v>
      </c>
      <c r="F2456" s="458">
        <v>0.11091638004640192</v>
      </c>
      <c r="G2456" s="477">
        <v>68948262.362039253</v>
      </c>
      <c r="H2456" s="458">
        <v>0.25037767160674274</v>
      </c>
      <c r="I2456" s="468">
        <v>9.4178476521512557</v>
      </c>
    </row>
    <row r="2457" spans="1:9" ht="16.5" x14ac:dyDescent="0.3">
      <c r="A2457" s="477">
        <v>5625199.640571299</v>
      </c>
      <c r="B2457" s="458">
        <v>4.2818413337536443E-2</v>
      </c>
      <c r="C2457" s="477">
        <v>14400112.812920844</v>
      </c>
      <c r="D2457" s="458">
        <v>0.10024725259965406</v>
      </c>
      <c r="E2457" s="477">
        <v>15118504.583676817</v>
      </c>
      <c r="F2457" s="458">
        <v>0.11526419236611463</v>
      </c>
      <c r="G2457" s="477">
        <v>94271276.513608694</v>
      </c>
      <c r="H2457" s="458">
        <v>0.27563434455813818</v>
      </c>
      <c r="I2457" s="468">
        <v>3.7509782926170283</v>
      </c>
    </row>
    <row r="2458" spans="1:9" ht="16.5" x14ac:dyDescent="0.3">
      <c r="A2458" s="477">
        <v>4550644.2463525459</v>
      </c>
      <c r="B2458" s="458">
        <v>5.2740237873011298E-2</v>
      </c>
      <c r="C2458" s="477">
        <v>11494278.684807854</v>
      </c>
      <c r="D2458" s="458">
        <v>7.7976575842503282E-2</v>
      </c>
      <c r="E2458" s="477">
        <v>9286670.0095776096</v>
      </c>
      <c r="F2458" s="458">
        <v>8.1918712343493905E-2</v>
      </c>
      <c r="G2458" s="477">
        <v>89290662.190524578</v>
      </c>
      <c r="H2458" s="458">
        <v>0.26114384568364635</v>
      </c>
      <c r="I2458" s="468">
        <v>11.797791463830475</v>
      </c>
    </row>
    <row r="2459" spans="1:9" ht="16.5" x14ac:dyDescent="0.3">
      <c r="A2459" s="477">
        <v>8136083.9605028285</v>
      </c>
      <c r="B2459" s="458">
        <v>5.3307732033811783E-2</v>
      </c>
      <c r="C2459" s="477">
        <v>8419836.344943447</v>
      </c>
      <c r="D2459" s="458">
        <v>6.5873780492203382E-2</v>
      </c>
      <c r="E2459" s="477">
        <v>14834890.172827445</v>
      </c>
      <c r="F2459" s="458">
        <v>7.1534306027444483E-2</v>
      </c>
      <c r="G2459" s="477">
        <v>90959839.463443786</v>
      </c>
      <c r="H2459" s="458">
        <v>0.28294078294146408</v>
      </c>
      <c r="I2459" s="468">
        <v>6.2792498822634562</v>
      </c>
    </row>
    <row r="2460" spans="1:9" ht="16.5" x14ac:dyDescent="0.3">
      <c r="A2460" s="477">
        <v>6348751.3262017723</v>
      </c>
      <c r="B2460" s="458">
        <v>2.6243228482366376E-2</v>
      </c>
      <c r="C2460" s="477">
        <v>14801778.456970476</v>
      </c>
      <c r="D2460" s="458">
        <v>9.416119650256527E-2</v>
      </c>
      <c r="E2460" s="477">
        <v>12857876.104988752</v>
      </c>
      <c r="F2460" s="458">
        <v>0.13153628694562758</v>
      </c>
      <c r="G2460" s="477">
        <v>95179707.926920086</v>
      </c>
      <c r="H2460" s="458">
        <v>0.26894399220052612</v>
      </c>
      <c r="I2460" s="468">
        <v>9.663806171360692</v>
      </c>
    </row>
    <row r="2461" spans="1:9" ht="16.5" x14ac:dyDescent="0.3">
      <c r="A2461" s="477">
        <v>4583235.6386694554</v>
      </c>
      <c r="B2461" s="458">
        <v>3.4360129474768186E-2</v>
      </c>
      <c r="C2461" s="477">
        <v>16529297.801037937</v>
      </c>
      <c r="D2461" s="458">
        <v>6.712311504932944E-2</v>
      </c>
      <c r="E2461" s="477">
        <v>18010987.293193724</v>
      </c>
      <c r="F2461" s="458">
        <v>9.6618476699415146E-2</v>
      </c>
      <c r="G2461" s="477">
        <v>101796416.37628999</v>
      </c>
      <c r="H2461" s="458">
        <v>0.25722063614386292</v>
      </c>
      <c r="I2461" s="468">
        <v>8.4324246776864076</v>
      </c>
    </row>
    <row r="2462" spans="1:9" ht="16.5" x14ac:dyDescent="0.3">
      <c r="A2462" s="477">
        <v>937962.74436194624</v>
      </c>
      <c r="B2462" s="458">
        <v>3.8222158375724957E-2</v>
      </c>
      <c r="C2462" s="477">
        <v>7209338.4799201768</v>
      </c>
      <c r="D2462" s="458">
        <v>6.7149957757364875E-2</v>
      </c>
      <c r="E2462" s="477">
        <v>23552902.699166086</v>
      </c>
      <c r="F2462" s="458">
        <v>0.12883403760960199</v>
      </c>
      <c r="G2462" s="477">
        <v>84083418.353876904</v>
      </c>
      <c r="H2462" s="458">
        <v>0.25200798440623284</v>
      </c>
      <c r="I2462" s="468">
        <v>16.200072615309896</v>
      </c>
    </row>
    <row r="2463" spans="1:9" ht="16.5" x14ac:dyDescent="0.3">
      <c r="A2463" s="477">
        <v>3410999.9488741485</v>
      </c>
      <c r="B2463" s="458">
        <v>-1.0607599541200274E-3</v>
      </c>
      <c r="C2463" s="477">
        <v>6621951.8440131722</v>
      </c>
      <c r="D2463" s="458">
        <v>5.6803454104971784E-2</v>
      </c>
      <c r="E2463" s="477">
        <v>16517540.262049805</v>
      </c>
      <c r="F2463" s="458">
        <v>0.12877764656752122</v>
      </c>
      <c r="G2463" s="477">
        <v>93268638.704984099</v>
      </c>
      <c r="H2463" s="458">
        <v>0.26931776159138865</v>
      </c>
      <c r="I2463" s="468">
        <v>9.7703192418762015</v>
      </c>
    </row>
    <row r="2464" spans="1:9" ht="16.5" x14ac:dyDescent="0.3">
      <c r="A2464" s="477">
        <v>8352349.2452339577</v>
      </c>
      <c r="B2464" s="458">
        <v>3.347871919080192E-2</v>
      </c>
      <c r="C2464" s="477">
        <v>6362761.3949300805</v>
      </c>
      <c r="D2464" s="458">
        <v>8.0316341408904757E-2</v>
      </c>
      <c r="E2464" s="477">
        <v>13431459.943866024</v>
      </c>
      <c r="F2464" s="458">
        <v>0.13007843886976134</v>
      </c>
      <c r="G2464" s="477">
        <v>81663322.374171674</v>
      </c>
      <c r="H2464" s="458">
        <v>0.27363330822747689</v>
      </c>
      <c r="I2464" s="468">
        <v>8.623082145140371</v>
      </c>
    </row>
    <row r="2465" spans="1:9" ht="16.5" x14ac:dyDescent="0.3">
      <c r="A2465" s="477">
        <v>5005039.7500848146</v>
      </c>
      <c r="B2465" s="458">
        <v>4.809071512758889E-2</v>
      </c>
      <c r="C2465" s="477">
        <v>6356595.6289722659</v>
      </c>
      <c r="D2465" s="458">
        <v>5.8918658561591508E-2</v>
      </c>
      <c r="E2465" s="477">
        <v>20920870.643391218</v>
      </c>
      <c r="F2465" s="458">
        <v>0.11759594090276182</v>
      </c>
      <c r="G2465" s="477">
        <v>97867651.792381406</v>
      </c>
      <c r="H2465" s="458">
        <v>0.27244826656836696</v>
      </c>
      <c r="I2465" s="468">
        <v>8.4459168008423138</v>
      </c>
    </row>
    <row r="2466" spans="1:9" ht="16.5" x14ac:dyDescent="0.3">
      <c r="A2466" s="477">
        <v>6654058.2555483459</v>
      </c>
      <c r="B2466" s="458">
        <v>9.8590408844189348E-2</v>
      </c>
      <c r="C2466" s="477">
        <v>13175510.831628624</v>
      </c>
      <c r="D2466" s="458">
        <v>7.3085677048260633E-2</v>
      </c>
      <c r="E2466" s="477">
        <v>14071603.656079926</v>
      </c>
      <c r="F2466" s="458">
        <v>0.11915701292718328</v>
      </c>
      <c r="G2466" s="477">
        <v>98650619.004323438</v>
      </c>
      <c r="H2466" s="458">
        <v>0.26999511268405785</v>
      </c>
      <c r="I2466" s="468">
        <v>5.8286439268274517</v>
      </c>
    </row>
    <row r="2467" spans="1:9" ht="16.5" x14ac:dyDescent="0.3">
      <c r="A2467" s="477">
        <v>7296106.2327443305</v>
      </c>
      <c r="B2467" s="458">
        <v>6.6848921174804454E-2</v>
      </c>
      <c r="C2467" s="477">
        <v>9309831.8268737625</v>
      </c>
      <c r="D2467" s="458">
        <v>0.11946371179568605</v>
      </c>
      <c r="E2467" s="477">
        <v>21454074.114426263</v>
      </c>
      <c r="F2467" s="458">
        <v>0.1173177018730831</v>
      </c>
      <c r="G2467" s="477">
        <v>102511467.94219868</v>
      </c>
      <c r="H2467" s="458">
        <v>0.26260086999559551</v>
      </c>
      <c r="I2467" s="468">
        <v>8.5965994166252742</v>
      </c>
    </row>
    <row r="2468" spans="1:9" ht="16.5" x14ac:dyDescent="0.3">
      <c r="A2468" s="477">
        <v>5389477.6230568374</v>
      </c>
      <c r="B2468" s="458">
        <v>4.4586169690205013E-2</v>
      </c>
      <c r="C2468" s="477">
        <v>6519704.9832261493</v>
      </c>
      <c r="D2468" s="458">
        <v>9.3966940104113661E-2</v>
      </c>
      <c r="E2468" s="477">
        <v>13103364.92045835</v>
      </c>
      <c r="F2468" s="458">
        <v>0.10847441869537211</v>
      </c>
      <c r="G2468" s="477">
        <v>80336298.8621151</v>
      </c>
      <c r="H2468" s="458">
        <v>0.26291421009464777</v>
      </c>
      <c r="I2468" s="468">
        <v>16.268716982816997</v>
      </c>
    </row>
    <row r="2469" spans="1:9" ht="16.5" x14ac:dyDescent="0.3">
      <c r="A2469" s="477">
        <v>2912883.1370256324</v>
      </c>
      <c r="B2469" s="458">
        <v>2.2422077882752856E-2</v>
      </c>
      <c r="C2469" s="477">
        <v>3527005.8871187423</v>
      </c>
      <c r="D2469" s="458">
        <v>6.606243874017359E-2</v>
      </c>
      <c r="E2469" s="477">
        <v>18979289.928276457</v>
      </c>
      <c r="F2469" s="458">
        <v>0.13031122294482245</v>
      </c>
      <c r="G2469" s="477">
        <v>83220479.228086591</v>
      </c>
      <c r="H2469" s="458">
        <v>0.28344374583893472</v>
      </c>
      <c r="I2469" s="468">
        <v>7.4526147578436488</v>
      </c>
    </row>
    <row r="2470" spans="1:9" ht="16.5" x14ac:dyDescent="0.3">
      <c r="A2470" s="477">
        <v>5231624.3030129541</v>
      </c>
      <c r="B2470" s="458">
        <v>3.9494276931927086E-2</v>
      </c>
      <c r="C2470" s="477">
        <v>6316407.8436614955</v>
      </c>
      <c r="D2470" s="458">
        <v>7.3856652220346097E-2</v>
      </c>
      <c r="E2470" s="477">
        <v>13604738.064294407</v>
      </c>
      <c r="F2470" s="458">
        <v>0.1136656211693674</v>
      </c>
      <c r="G2470" s="477">
        <v>88024811.105686694</v>
      </c>
      <c r="H2470" s="458">
        <v>0.29243333643725022</v>
      </c>
      <c r="I2470" s="468">
        <v>5.7220558916755708</v>
      </c>
    </row>
    <row r="2471" spans="1:9" ht="16.5" x14ac:dyDescent="0.3">
      <c r="A2471" s="477">
        <v>5254332.0731372489</v>
      </c>
      <c r="B2471" s="458">
        <v>3.6851552638180074E-2</v>
      </c>
      <c r="C2471" s="477">
        <v>3224035.7933743522</v>
      </c>
      <c r="D2471" s="458">
        <v>5.8445183795513111E-2</v>
      </c>
      <c r="E2471" s="477">
        <v>23593006.274609249</v>
      </c>
      <c r="F2471" s="458">
        <v>0.11830504612969395</v>
      </c>
      <c r="G2471" s="477">
        <v>90563606.840801954</v>
      </c>
      <c r="H2471" s="458">
        <v>0.28444042358863397</v>
      </c>
      <c r="I2471" s="468">
        <v>7.0372130716382006</v>
      </c>
    </row>
    <row r="2472" spans="1:9" ht="16.5" x14ac:dyDescent="0.3">
      <c r="A2472" s="477">
        <v>5625741.0980282892</v>
      </c>
      <c r="B2472" s="458">
        <v>5.749978559369584E-2</v>
      </c>
      <c r="C2472" s="477">
        <v>7347500.6893242607</v>
      </c>
      <c r="D2472" s="458">
        <v>5.209825917611699E-2</v>
      </c>
      <c r="E2472" s="477">
        <v>14020677.925728483</v>
      </c>
      <c r="F2472" s="458">
        <v>0.1035193567539745</v>
      </c>
      <c r="G2472" s="477">
        <v>79634697.34964551</v>
      </c>
      <c r="H2472" s="458">
        <v>0.26216044508476588</v>
      </c>
      <c r="I2472" s="468">
        <v>4.329313594361297</v>
      </c>
    </row>
    <row r="2473" spans="1:9" ht="16.5" x14ac:dyDescent="0.3">
      <c r="A2473" s="477">
        <v>7104524.5028741769</v>
      </c>
      <c r="B2473" s="458">
        <v>3.3382277285449513E-2</v>
      </c>
      <c r="C2473" s="477">
        <v>12821930.376913762</v>
      </c>
      <c r="D2473" s="458">
        <v>3.8071882317988859E-2</v>
      </c>
      <c r="E2473" s="477">
        <v>18409790.618905846</v>
      </c>
      <c r="F2473" s="458">
        <v>8.4801090272330404E-2</v>
      </c>
      <c r="G2473" s="477">
        <v>76300093.399445623</v>
      </c>
      <c r="H2473" s="458">
        <v>0.28413313757345704</v>
      </c>
      <c r="I2473" s="468">
        <v>7.7432014000398617</v>
      </c>
    </row>
    <row r="2474" spans="1:9" ht="16.5" x14ac:dyDescent="0.3">
      <c r="A2474" s="477">
        <v>6339227.3355655316</v>
      </c>
      <c r="B2474" s="458">
        <v>5.048812294850169E-2</v>
      </c>
      <c r="C2474" s="477">
        <v>12566810.966430491</v>
      </c>
      <c r="D2474" s="458">
        <v>8.5632400437731349E-2</v>
      </c>
      <c r="E2474" s="477">
        <v>14863106.731976692</v>
      </c>
      <c r="F2474" s="458">
        <v>0.10576454478930586</v>
      </c>
      <c r="G2474" s="477">
        <v>97289739.682148084</v>
      </c>
      <c r="H2474" s="458">
        <v>0.29315489175515008</v>
      </c>
      <c r="I2474" s="468">
        <v>2.690473253376835</v>
      </c>
    </row>
    <row r="2475" spans="1:9" ht="16.5" x14ac:dyDescent="0.3">
      <c r="A2475" s="477">
        <v>5366317.1313686129</v>
      </c>
      <c r="B2475" s="458">
        <v>5.5627535476829193E-2</v>
      </c>
      <c r="C2475" s="477">
        <v>8341533.0000177892</v>
      </c>
      <c r="D2475" s="458">
        <v>5.6526509739647235E-2</v>
      </c>
      <c r="E2475" s="477">
        <v>9320631.1653078459</v>
      </c>
      <c r="F2475" s="458">
        <v>9.6656560397678559E-2</v>
      </c>
      <c r="G2475" s="477">
        <v>93262662.604329109</v>
      </c>
      <c r="H2475" s="458">
        <v>0.28266996884442186</v>
      </c>
      <c r="I2475" s="468">
        <v>4.287209380239851</v>
      </c>
    </row>
    <row r="2476" spans="1:9" ht="16.5" x14ac:dyDescent="0.3">
      <c r="A2476" s="477">
        <v>4612885.0435811607</v>
      </c>
      <c r="B2476" s="458">
        <v>2.9989659715347949E-2</v>
      </c>
      <c r="C2476" s="477">
        <v>14608547.088222051</v>
      </c>
      <c r="D2476" s="458">
        <v>7.9747438287614436E-2</v>
      </c>
      <c r="E2476" s="477">
        <v>23222177.669968523</v>
      </c>
      <c r="F2476" s="458">
        <v>0.14216161692807749</v>
      </c>
      <c r="G2476" s="477">
        <v>83403696.597323552</v>
      </c>
      <c r="H2476" s="458">
        <v>0.27995754087198588</v>
      </c>
      <c r="I2476" s="468">
        <v>8.9036193878577343</v>
      </c>
    </row>
    <row r="2477" spans="1:9" ht="16.5" x14ac:dyDescent="0.3">
      <c r="A2477" s="477">
        <v>6461112.6364187161</v>
      </c>
      <c r="B2477" s="458">
        <v>3.8774069218380447E-2</v>
      </c>
      <c r="C2477" s="477">
        <v>12579568.506362604</v>
      </c>
      <c r="D2477" s="458">
        <v>5.3024038767185422E-2</v>
      </c>
      <c r="E2477" s="477">
        <v>12106727.240229776</v>
      </c>
      <c r="F2477" s="458">
        <v>9.9229955962186311E-2</v>
      </c>
      <c r="G2477" s="477">
        <v>87086685.252561331</v>
      </c>
      <c r="H2477" s="458">
        <v>0.26057155914617613</v>
      </c>
      <c r="I2477" s="468">
        <v>11.040254872698929</v>
      </c>
    </row>
    <row r="2478" spans="1:9" ht="16.5" x14ac:dyDescent="0.3">
      <c r="A2478" s="477">
        <v>5580492.4853329975</v>
      </c>
      <c r="B2478" s="458">
        <v>2.6623604869240092E-2</v>
      </c>
      <c r="C2478" s="477">
        <v>9063103.5616875384</v>
      </c>
      <c r="D2478" s="458">
        <v>7.0524599541910815E-2</v>
      </c>
      <c r="E2478" s="477">
        <v>14799207.283546591</v>
      </c>
      <c r="F2478" s="458">
        <v>0.11748405368562698</v>
      </c>
      <c r="G2478" s="477">
        <v>96376654.192240566</v>
      </c>
      <c r="H2478" s="458">
        <v>0.27929998066106498</v>
      </c>
      <c r="I2478" s="468">
        <v>11.557641531351877</v>
      </c>
    </row>
    <row r="2479" spans="1:9" ht="16.5" x14ac:dyDescent="0.3">
      <c r="A2479" s="477">
        <v>3117464.8275533924</v>
      </c>
      <c r="B2479" s="458">
        <v>2.9052526745860785E-2</v>
      </c>
      <c r="C2479" s="477">
        <v>8933844.9027626608</v>
      </c>
      <c r="D2479" s="458">
        <v>7.6960977569924482E-2</v>
      </c>
      <c r="E2479" s="477">
        <v>21030653.288089804</v>
      </c>
      <c r="F2479" s="458">
        <v>0.11229311411366827</v>
      </c>
      <c r="G2479" s="477">
        <v>98880954.684722185</v>
      </c>
      <c r="H2479" s="458">
        <v>0.27302547483364537</v>
      </c>
      <c r="I2479" s="468">
        <v>3.4631008188736843</v>
      </c>
    </row>
    <row r="2480" spans="1:9" ht="16.5" x14ac:dyDescent="0.3">
      <c r="A2480" s="477">
        <v>8864651.6060452014</v>
      </c>
      <c r="B2480" s="458">
        <v>1.4944098722728949E-2</v>
      </c>
      <c r="C2480" s="477">
        <v>16536440.817539463</v>
      </c>
      <c r="D2480" s="458">
        <v>7.949084627996128E-2</v>
      </c>
      <c r="E2480" s="477">
        <v>19542510.273717672</v>
      </c>
      <c r="F2480" s="458">
        <v>0.11985646110962578</v>
      </c>
      <c r="G2480" s="477">
        <v>87080413.205535039</v>
      </c>
      <c r="H2480" s="458">
        <v>0.26556115649012946</v>
      </c>
      <c r="I2480" s="468">
        <v>7.2701265363867478</v>
      </c>
    </row>
    <row r="2481" spans="1:9" ht="16.5" x14ac:dyDescent="0.3">
      <c r="A2481" s="477">
        <v>3811475.1819825904</v>
      </c>
      <c r="B2481" s="458">
        <v>2.6740294647693785E-2</v>
      </c>
      <c r="C2481" s="477">
        <v>5625031.6091557397</v>
      </c>
      <c r="D2481" s="458">
        <v>8.0498266212829073E-2</v>
      </c>
      <c r="E2481" s="477">
        <v>12991895.749208888</v>
      </c>
      <c r="F2481" s="458">
        <v>0.10704026614864737</v>
      </c>
      <c r="G2481" s="477">
        <v>82581378.821179569</v>
      </c>
      <c r="H2481" s="458">
        <v>0.26201371870851831</v>
      </c>
      <c r="I2481" s="468">
        <v>6.5626175043989008</v>
      </c>
    </row>
    <row r="2482" spans="1:9" ht="16.5" x14ac:dyDescent="0.3">
      <c r="A2482" s="477">
        <v>8128503.0014395947</v>
      </c>
      <c r="B2482" s="458">
        <v>3.3772451260287939E-2</v>
      </c>
      <c r="C2482" s="477">
        <v>9650743.9509940743</v>
      </c>
      <c r="D2482" s="458">
        <v>7.6569190704723011E-2</v>
      </c>
      <c r="E2482" s="477">
        <v>19629427.285638157</v>
      </c>
      <c r="F2482" s="458">
        <v>0.12250118222451833</v>
      </c>
      <c r="G2482" s="477">
        <v>100665162.19333243</v>
      </c>
      <c r="H2482" s="458">
        <v>0.27310042963077419</v>
      </c>
      <c r="I2482" s="468">
        <v>3.3452953950497832</v>
      </c>
    </row>
    <row r="2483" spans="1:9" ht="16.5" x14ac:dyDescent="0.3">
      <c r="A2483" s="477">
        <v>4960153.461881768</v>
      </c>
      <c r="B2483" s="458">
        <v>5.0447425813298752E-2</v>
      </c>
      <c r="C2483" s="477">
        <v>10256066.44843401</v>
      </c>
      <c r="D2483" s="458">
        <v>9.0395781634072137E-2</v>
      </c>
      <c r="E2483" s="477">
        <v>16533224.748749113</v>
      </c>
      <c r="F2483" s="458">
        <v>9.4831618609108936E-2</v>
      </c>
      <c r="G2483" s="477">
        <v>98183423.451341674</v>
      </c>
      <c r="H2483" s="458">
        <v>0.25940048692596451</v>
      </c>
      <c r="I2483" s="468">
        <v>13.047752588500042</v>
      </c>
    </row>
    <row r="2484" spans="1:9" ht="16.5" x14ac:dyDescent="0.3">
      <c r="A2484" s="477">
        <v>-1508985.7204172937</v>
      </c>
      <c r="B2484" s="458">
        <v>3.708843485788238E-2</v>
      </c>
      <c r="C2484" s="477">
        <v>9041053.8057246748</v>
      </c>
      <c r="D2484" s="458">
        <v>7.3494699956424547E-2</v>
      </c>
      <c r="E2484" s="477">
        <v>11471893.493751872</v>
      </c>
      <c r="F2484" s="458">
        <v>0.11611002164556616</v>
      </c>
      <c r="G2484" s="477">
        <v>77233959.317726225</v>
      </c>
      <c r="H2484" s="458">
        <v>0.28019610077333823</v>
      </c>
      <c r="I2484" s="468">
        <v>9.7988702520619295</v>
      </c>
    </row>
    <row r="2485" spans="1:9" ht="16.5" x14ac:dyDescent="0.3">
      <c r="A2485" s="477">
        <v>6565617.3842768939</v>
      </c>
      <c r="B2485" s="458">
        <v>4.4650319100182578E-2</v>
      </c>
      <c r="C2485" s="477">
        <v>9993035.2435776293</v>
      </c>
      <c r="D2485" s="458">
        <v>4.0096185794342709E-2</v>
      </c>
      <c r="E2485" s="477">
        <v>23048672.133713063</v>
      </c>
      <c r="F2485" s="458">
        <v>0.10964254360907355</v>
      </c>
      <c r="G2485" s="477">
        <v>95044682.797726616</v>
      </c>
      <c r="H2485" s="458">
        <v>0.26073072213162241</v>
      </c>
      <c r="I2485" s="468">
        <v>6.5906316578498378</v>
      </c>
    </row>
    <row r="2486" spans="1:9" ht="16.5" x14ac:dyDescent="0.3">
      <c r="A2486" s="477">
        <v>3646011.894295211</v>
      </c>
      <c r="B2486" s="458">
        <v>5.1694003971551439E-2</v>
      </c>
      <c r="C2486" s="477">
        <v>12543192.833574193</v>
      </c>
      <c r="D2486" s="458">
        <v>6.4833729006507301E-2</v>
      </c>
      <c r="E2486" s="477">
        <v>9843212.8077744357</v>
      </c>
      <c r="F2486" s="458">
        <v>0.10037680031282337</v>
      </c>
      <c r="G2486" s="477">
        <v>90196285.22780779</v>
      </c>
      <c r="H2486" s="458">
        <v>0.28176408800223673</v>
      </c>
      <c r="I2486" s="468">
        <v>13.049306567713252</v>
      </c>
    </row>
    <row r="2487" spans="1:9" ht="16.5" x14ac:dyDescent="0.3">
      <c r="A2487" s="477">
        <v>4798917.0525630722</v>
      </c>
      <c r="B2487" s="458">
        <v>3.6180644354917968E-2</v>
      </c>
      <c r="C2487" s="477">
        <v>6836544.3889391152</v>
      </c>
      <c r="D2487" s="458">
        <v>7.1568449113260213E-2</v>
      </c>
      <c r="E2487" s="477">
        <v>21384007.781004138</v>
      </c>
      <c r="F2487" s="458">
        <v>0.11197454360197145</v>
      </c>
      <c r="G2487" s="477">
        <v>101092047.04600477</v>
      </c>
      <c r="H2487" s="458">
        <v>0.31351685531012419</v>
      </c>
      <c r="I2487" s="468">
        <v>7.6099128779675311</v>
      </c>
    </row>
    <row r="2488" spans="1:9" ht="16.5" x14ac:dyDescent="0.3">
      <c r="A2488" s="477">
        <v>5674926.0202579675</v>
      </c>
      <c r="B2488" s="458">
        <v>2.4627741589939411E-2</v>
      </c>
      <c r="C2488" s="477">
        <v>4484856.5653959857</v>
      </c>
      <c r="D2488" s="458">
        <v>5.0031697451842216E-2</v>
      </c>
      <c r="E2488" s="477">
        <v>13469719.41309185</v>
      </c>
      <c r="F2488" s="458">
        <v>0.1313363265640739</v>
      </c>
      <c r="G2488" s="477">
        <v>85417512.755361527</v>
      </c>
      <c r="H2488" s="458">
        <v>0.2868412474456421</v>
      </c>
      <c r="I2488" s="468">
        <v>0.78170794298834068</v>
      </c>
    </row>
    <row r="2489" spans="1:9" ht="16.5" x14ac:dyDescent="0.3">
      <c r="A2489" s="477">
        <v>5009471.9207513547</v>
      </c>
      <c r="B2489" s="458">
        <v>4.9929738981520533E-2</v>
      </c>
      <c r="C2489" s="477">
        <v>8388890.6319785397</v>
      </c>
      <c r="D2489" s="458">
        <v>5.7579640403208288E-2</v>
      </c>
      <c r="E2489" s="477">
        <v>18706891.605096042</v>
      </c>
      <c r="F2489" s="458">
        <v>9.7521769305012551E-2</v>
      </c>
      <c r="G2489" s="477">
        <v>98620439.539512694</v>
      </c>
      <c r="H2489" s="458">
        <v>0.25818506565784327</v>
      </c>
      <c r="I2489" s="468">
        <v>9.7829343070968253</v>
      </c>
    </row>
    <row r="2490" spans="1:9" ht="16.5" x14ac:dyDescent="0.3">
      <c r="A2490" s="477">
        <v>3253349.6900430378</v>
      </c>
      <c r="B2490" s="458">
        <v>5.4530511566694972E-2</v>
      </c>
      <c r="C2490" s="477">
        <v>3236030.6508439505</v>
      </c>
      <c r="D2490" s="458">
        <v>6.7132769155122229E-2</v>
      </c>
      <c r="E2490" s="477">
        <v>6251316.9632724514</v>
      </c>
      <c r="F2490" s="458">
        <v>0.11485133484182941</v>
      </c>
      <c r="G2490" s="477">
        <v>88684303.770498499</v>
      </c>
      <c r="H2490" s="458">
        <v>0.28288753825322854</v>
      </c>
      <c r="I2490" s="468">
        <v>6.0894512890292258</v>
      </c>
    </row>
    <row r="2491" spans="1:9" ht="16.5" x14ac:dyDescent="0.3">
      <c r="A2491" s="477">
        <v>9281436.7656808756</v>
      </c>
      <c r="B2491" s="458">
        <v>1.2419416417305706E-2</v>
      </c>
      <c r="C2491" s="477">
        <v>13262209.463010505</v>
      </c>
      <c r="D2491" s="458">
        <v>7.0313944664929684E-2</v>
      </c>
      <c r="E2491" s="477">
        <v>18933710.717481818</v>
      </c>
      <c r="F2491" s="458">
        <v>0.12141752521840954</v>
      </c>
      <c r="G2491" s="477">
        <v>87064779.458198488</v>
      </c>
      <c r="H2491" s="458">
        <v>0.2571038554179661</v>
      </c>
      <c r="I2491" s="468">
        <v>12.197813668206695</v>
      </c>
    </row>
    <row r="2492" spans="1:9" ht="16.5" x14ac:dyDescent="0.3">
      <c r="A2492" s="477">
        <v>1157318.5527416754</v>
      </c>
      <c r="B2492" s="458">
        <v>3.4063075307457558E-2</v>
      </c>
      <c r="C2492" s="477">
        <v>5971869.9705176773</v>
      </c>
      <c r="D2492" s="458">
        <v>9.2380870910202972E-2</v>
      </c>
      <c r="E2492" s="477">
        <v>12042662.733503979</v>
      </c>
      <c r="F2492" s="458">
        <v>9.771551616388785E-2</v>
      </c>
      <c r="G2492" s="477">
        <v>81227249.876266584</v>
      </c>
      <c r="H2492" s="458">
        <v>0.27444831736161768</v>
      </c>
      <c r="I2492" s="468">
        <v>3.1947303083349761</v>
      </c>
    </row>
    <row r="2493" spans="1:9" ht="16.5" x14ac:dyDescent="0.3">
      <c r="A2493" s="477">
        <v>2716626.7238812246</v>
      </c>
      <c r="B2493" s="458">
        <v>4.2478310036842659E-2</v>
      </c>
      <c r="C2493" s="477">
        <v>9867940.1700511593</v>
      </c>
      <c r="D2493" s="458">
        <v>5.6661699322995585E-2</v>
      </c>
      <c r="E2493" s="477">
        <v>14736280.755251374</v>
      </c>
      <c r="F2493" s="458">
        <v>0.13331009584061859</v>
      </c>
      <c r="G2493" s="477">
        <v>93942275.478137359</v>
      </c>
      <c r="H2493" s="458">
        <v>0.2638585926104966</v>
      </c>
      <c r="I2493" s="468">
        <v>9.2929999418796836</v>
      </c>
    </row>
    <row r="2494" spans="1:9" ht="16.5" x14ac:dyDescent="0.3">
      <c r="A2494" s="477">
        <v>12514149.353498941</v>
      </c>
      <c r="B2494" s="458">
        <v>4.0609262563692461E-2</v>
      </c>
      <c r="C2494" s="477">
        <v>11495949.206296394</v>
      </c>
      <c r="D2494" s="458">
        <v>6.5577127770332755E-2</v>
      </c>
      <c r="E2494" s="477">
        <v>17752135.678959433</v>
      </c>
      <c r="F2494" s="458">
        <v>0.11275905856156077</v>
      </c>
      <c r="G2494" s="477">
        <v>100903079.45848891</v>
      </c>
      <c r="H2494" s="458">
        <v>0.29875877009144802</v>
      </c>
      <c r="I2494" s="468">
        <v>9.5527326219611837</v>
      </c>
    </row>
    <row r="2495" spans="1:9" ht="16.5" x14ac:dyDescent="0.3">
      <c r="A2495" s="477">
        <v>3635600.8173686229</v>
      </c>
      <c r="B2495" s="458">
        <v>4.1082966152642619E-2</v>
      </c>
      <c r="C2495" s="477">
        <v>13164483.573284842</v>
      </c>
      <c r="D2495" s="458">
        <v>5.0118223979914722E-2</v>
      </c>
      <c r="E2495" s="477">
        <v>7255392.1589415595</v>
      </c>
      <c r="F2495" s="458">
        <v>0.11458209305266376</v>
      </c>
      <c r="G2495" s="477">
        <v>96665548.898092881</v>
      </c>
      <c r="H2495" s="458">
        <v>0.25486720182294342</v>
      </c>
      <c r="I2495" s="468">
        <v>15.747685774893364</v>
      </c>
    </row>
    <row r="2496" spans="1:9" ht="16.5" x14ac:dyDescent="0.3">
      <c r="A2496" s="477">
        <v>5666636.5886170445</v>
      </c>
      <c r="B2496" s="458">
        <v>4.1034435248617829E-2</v>
      </c>
      <c r="C2496" s="477">
        <v>11751400.301325167</v>
      </c>
      <c r="D2496" s="458">
        <v>7.6592974747941689E-2</v>
      </c>
      <c r="E2496" s="477">
        <v>21409284.379370008</v>
      </c>
      <c r="F2496" s="458">
        <v>0.12752717973126604</v>
      </c>
      <c r="G2496" s="477">
        <v>80364161.547222689</v>
      </c>
      <c r="H2496" s="458">
        <v>0.27822883621171424</v>
      </c>
      <c r="I2496" s="468">
        <v>3.7423203234418247</v>
      </c>
    </row>
    <row r="2497" spans="1:9" ht="16.5" x14ac:dyDescent="0.3">
      <c r="A2497" s="477">
        <v>5614920.6415454131</v>
      </c>
      <c r="B2497" s="458">
        <v>4.3073567208143704E-2</v>
      </c>
      <c r="C2497" s="477">
        <v>5726599.2046177294</v>
      </c>
      <c r="D2497" s="458">
        <v>6.8258953235515341E-2</v>
      </c>
      <c r="E2497" s="477">
        <v>19824915.965043917</v>
      </c>
      <c r="F2497" s="458">
        <v>0.10031752113497006</v>
      </c>
      <c r="G2497" s="477">
        <v>89481314.765656531</v>
      </c>
      <c r="H2497" s="458">
        <v>0.25741145018502198</v>
      </c>
      <c r="I2497" s="468">
        <v>1.0725377317750882</v>
      </c>
    </row>
    <row r="2498" spans="1:9" ht="16.5" x14ac:dyDescent="0.3">
      <c r="A2498" s="477">
        <v>8168543.7537952522</v>
      </c>
      <c r="B2498" s="458">
        <v>6.9247939640125988E-2</v>
      </c>
      <c r="C2498" s="477">
        <v>5151281.3647679249</v>
      </c>
      <c r="D2498" s="458">
        <v>6.745503412764875E-2</v>
      </c>
      <c r="E2498" s="477">
        <v>18062578.654981919</v>
      </c>
      <c r="F2498" s="458">
        <v>0.129213211509287</v>
      </c>
      <c r="G2498" s="477">
        <v>89266490.341915652</v>
      </c>
      <c r="H2498" s="458">
        <v>0.25575419113939213</v>
      </c>
      <c r="I2498" s="468">
        <v>3.1097350190617883</v>
      </c>
    </row>
    <row r="2499" spans="1:9" ht="16.5" x14ac:dyDescent="0.3">
      <c r="A2499" s="477">
        <v>2084693.1651881372</v>
      </c>
      <c r="B2499" s="458">
        <v>4.2562789401951129E-2</v>
      </c>
      <c r="C2499" s="477">
        <v>18370004.219252285</v>
      </c>
      <c r="D2499" s="458">
        <v>5.7081282806748401E-2</v>
      </c>
      <c r="E2499" s="477">
        <v>3706322.1974718007</v>
      </c>
      <c r="F2499" s="458">
        <v>0.10247938706748583</v>
      </c>
      <c r="G2499" s="477">
        <v>102557123.93373546</v>
      </c>
      <c r="H2499" s="458">
        <v>0.27394767100023465</v>
      </c>
      <c r="I2499" s="468">
        <v>5.2437258590276041</v>
      </c>
    </row>
    <row r="2500" spans="1:9" ht="16.5" x14ac:dyDescent="0.3">
      <c r="A2500" s="477">
        <v>9504219.6681275442</v>
      </c>
      <c r="B2500" s="458">
        <v>5.2225924473666474E-2</v>
      </c>
      <c r="C2500" s="477">
        <v>9175899.6128835455</v>
      </c>
      <c r="D2500" s="458">
        <v>8.8611501923693714E-2</v>
      </c>
      <c r="E2500" s="477">
        <v>16675130.501778914</v>
      </c>
      <c r="F2500" s="458">
        <v>0.10567899576715978</v>
      </c>
      <c r="G2500" s="477">
        <v>93397430.415056556</v>
      </c>
      <c r="H2500" s="458">
        <v>0.26834560708678934</v>
      </c>
      <c r="I2500" s="468">
        <v>11.071769041305402</v>
      </c>
    </row>
    <row r="2501" spans="1:9" ht="16.5" x14ac:dyDescent="0.3">
      <c r="A2501" s="477">
        <v>6789124.4713613885</v>
      </c>
      <c r="B2501" s="458">
        <v>7.1176206050121094E-2</v>
      </c>
      <c r="C2501" s="477">
        <v>3244760.4125731634</v>
      </c>
      <c r="D2501" s="458">
        <v>3.2623723742186694E-2</v>
      </c>
      <c r="E2501" s="477">
        <v>15870511.029622382</v>
      </c>
      <c r="F2501" s="458">
        <v>0.10005141873312251</v>
      </c>
      <c r="G2501" s="477">
        <v>81562115.217419162</v>
      </c>
      <c r="H2501" s="458">
        <v>0.2712750645867843</v>
      </c>
      <c r="I2501" s="468">
        <v>8.2940473202046441</v>
      </c>
    </row>
    <row r="2502" spans="1:9" ht="16.5" x14ac:dyDescent="0.3">
      <c r="A2502" s="477">
        <v>5649991.9069011044</v>
      </c>
      <c r="B2502" s="458">
        <v>6.3527859585048141E-2</v>
      </c>
      <c r="C2502" s="477">
        <v>9611121.3834654968</v>
      </c>
      <c r="D2502" s="458">
        <v>5.947465166079291E-2</v>
      </c>
      <c r="E2502" s="477">
        <v>17447786.961664937</v>
      </c>
      <c r="F2502" s="458">
        <v>0.10384191217201444</v>
      </c>
      <c r="G2502" s="477">
        <v>102058832.58326781</v>
      </c>
      <c r="H2502" s="458">
        <v>0.28116486514696959</v>
      </c>
      <c r="I2502" s="468">
        <v>4.9161200890371548</v>
      </c>
    </row>
    <row r="2503" spans="1:9" ht="16.5" x14ac:dyDescent="0.3">
      <c r="A2503" s="477">
        <v>4023101.7727347636</v>
      </c>
      <c r="B2503" s="458">
        <v>3.352709104499052E-2</v>
      </c>
      <c r="C2503" s="477">
        <v>4617139.5376172522</v>
      </c>
      <c r="D2503" s="458">
        <v>7.3321713454576942E-2</v>
      </c>
      <c r="E2503" s="477">
        <v>15339566.579297971</v>
      </c>
      <c r="F2503" s="458">
        <v>0.13351339206699397</v>
      </c>
      <c r="G2503" s="477">
        <v>91567976.887070179</v>
      </c>
      <c r="H2503" s="458">
        <v>0.28025810198844647</v>
      </c>
      <c r="I2503" s="468">
        <v>4.9651845075941932</v>
      </c>
    </row>
    <row r="2504" spans="1:9" ht="16.5" x14ac:dyDescent="0.3">
      <c r="A2504" s="477">
        <v>1112841.1105808618</v>
      </c>
      <c r="B2504" s="458">
        <v>4.3859582110404638E-2</v>
      </c>
      <c r="C2504" s="477">
        <v>10804539.926487446</v>
      </c>
      <c r="D2504" s="458">
        <v>5.7310280396481117E-2</v>
      </c>
      <c r="E2504" s="477">
        <v>16539050.098641273</v>
      </c>
      <c r="F2504" s="458">
        <v>9.6183836578487947E-2</v>
      </c>
      <c r="G2504" s="477">
        <v>106393488.56686705</v>
      </c>
      <c r="H2504" s="458">
        <v>0.29010576790842979</v>
      </c>
      <c r="I2504" s="468">
        <v>9.0242481707735536</v>
      </c>
    </row>
    <row r="2505" spans="1:9" ht="16.5" x14ac:dyDescent="0.3">
      <c r="A2505" s="477">
        <v>7003471.0542401001</v>
      </c>
      <c r="B2505" s="458">
        <v>3.7679938766837617E-2</v>
      </c>
      <c r="C2505" s="477">
        <v>14440774.758351808</v>
      </c>
      <c r="D2505" s="458">
        <v>7.8371765919095893E-2</v>
      </c>
      <c r="E2505" s="477">
        <v>10650183.821134539</v>
      </c>
      <c r="F2505" s="458">
        <v>0.13707984486322045</v>
      </c>
      <c r="G2505" s="477">
        <v>82687921.486760288</v>
      </c>
      <c r="H2505" s="458">
        <v>0.26054585590671864</v>
      </c>
      <c r="I2505" s="468">
        <v>1.6264121426908993</v>
      </c>
    </row>
    <row r="2506" spans="1:9" ht="16.5" x14ac:dyDescent="0.3">
      <c r="A2506" s="477">
        <v>1522486.733207287</v>
      </c>
      <c r="B2506" s="458">
        <v>6.0831639615549049E-2</v>
      </c>
      <c r="C2506" s="477">
        <v>8689027.7642555442</v>
      </c>
      <c r="D2506" s="458">
        <v>9.4899010486705793E-2</v>
      </c>
      <c r="E2506" s="477">
        <v>14099183.48331433</v>
      </c>
      <c r="F2506" s="458">
        <v>0.10225955372206341</v>
      </c>
      <c r="G2506" s="477">
        <v>95904052.988018841</v>
      </c>
      <c r="H2506" s="458">
        <v>0.28369870190032365</v>
      </c>
      <c r="I2506" s="468">
        <v>4.1140611998884582</v>
      </c>
    </row>
    <row r="2507" spans="1:9" ht="16.5" x14ac:dyDescent="0.3">
      <c r="A2507" s="477">
        <v>6579375.2807815764</v>
      </c>
      <c r="B2507" s="458">
        <v>4.0375222764615026E-2</v>
      </c>
      <c r="C2507" s="477">
        <v>3142007.0793290599</v>
      </c>
      <c r="D2507" s="458">
        <v>5.0881039503297698E-2</v>
      </c>
      <c r="E2507" s="477">
        <v>4021337.3081233692</v>
      </c>
      <c r="F2507" s="458">
        <v>0.10651761291097328</v>
      </c>
      <c r="G2507" s="477">
        <v>77535101.571288556</v>
      </c>
      <c r="H2507" s="458">
        <v>0.25206284399402867</v>
      </c>
      <c r="I2507" s="468">
        <v>9.5051188527766701</v>
      </c>
    </row>
    <row r="2508" spans="1:9" ht="16.5" x14ac:dyDescent="0.3">
      <c r="A2508" s="477">
        <v>5761869.5185626373</v>
      </c>
      <c r="B2508" s="458">
        <v>4.692959911536243E-2</v>
      </c>
      <c r="C2508" s="477">
        <v>11891791.383911435</v>
      </c>
      <c r="D2508" s="458">
        <v>8.8607147892412641E-2</v>
      </c>
      <c r="E2508" s="477">
        <v>15536775.574358609</v>
      </c>
      <c r="F2508" s="458">
        <v>0.1305978217169852</v>
      </c>
      <c r="G2508" s="477">
        <v>74197223.973767608</v>
      </c>
      <c r="H2508" s="458">
        <v>0.2805945729572823</v>
      </c>
      <c r="I2508" s="468">
        <v>10.718737057864017</v>
      </c>
    </row>
    <row r="2509" spans="1:9" ht="16.5" x14ac:dyDescent="0.3">
      <c r="A2509" s="477">
        <v>1596047.0388123731</v>
      </c>
      <c r="B2509" s="458">
        <v>8.2313608160052398E-2</v>
      </c>
      <c r="C2509" s="477">
        <v>13920201.530328264</v>
      </c>
      <c r="D2509" s="458">
        <v>7.2009378406293401E-2</v>
      </c>
      <c r="E2509" s="477">
        <v>26089283.783059917</v>
      </c>
      <c r="F2509" s="458">
        <v>8.339095199247315E-2</v>
      </c>
      <c r="G2509" s="477">
        <v>84306871.307932839</v>
      </c>
      <c r="H2509" s="458">
        <v>0.26002214452751793</v>
      </c>
      <c r="I2509" s="468">
        <v>5.5622493329401559</v>
      </c>
    </row>
    <row r="2510" spans="1:9" ht="16.5" x14ac:dyDescent="0.3">
      <c r="A2510" s="477">
        <v>8717220.8316804152</v>
      </c>
      <c r="B2510" s="458">
        <v>4.8675290095634871E-2</v>
      </c>
      <c r="C2510" s="477">
        <v>4842133.2543982109</v>
      </c>
      <c r="D2510" s="458">
        <v>7.078688705942171E-2</v>
      </c>
      <c r="E2510" s="477">
        <v>12904296.244518647</v>
      </c>
      <c r="F2510" s="458">
        <v>0.12443762089730126</v>
      </c>
      <c r="G2510" s="477">
        <v>90735144.956901819</v>
      </c>
      <c r="H2510" s="458">
        <v>0.27369692465247897</v>
      </c>
      <c r="I2510" s="468">
        <v>7.8068398719056837</v>
      </c>
    </row>
    <row r="2511" spans="1:9" ht="16.5" x14ac:dyDescent="0.3">
      <c r="A2511" s="477">
        <v>6766206.5116253607</v>
      </c>
      <c r="B2511" s="458">
        <v>3.0099320751015624E-2</v>
      </c>
      <c r="C2511" s="477">
        <v>5978377.8691092115</v>
      </c>
      <c r="D2511" s="458">
        <v>5.7823968121092584E-2</v>
      </c>
      <c r="E2511" s="477">
        <v>10207446.215384007</v>
      </c>
      <c r="F2511" s="458">
        <v>0.10275748570622301</v>
      </c>
      <c r="G2511" s="477">
        <v>84524252.875521407</v>
      </c>
      <c r="H2511" s="458">
        <v>0.2825828776333037</v>
      </c>
      <c r="I2511" s="468">
        <v>3.7818679212683026</v>
      </c>
    </row>
    <row r="2512" spans="1:9" ht="16.5" x14ac:dyDescent="0.3">
      <c r="A2512" s="477">
        <v>6749215.1564570805</v>
      </c>
      <c r="B2512" s="458">
        <v>5.576794442053612E-2</v>
      </c>
      <c r="C2512" s="477">
        <v>10745819.367560595</v>
      </c>
      <c r="D2512" s="458">
        <v>2.7763620003179446E-2</v>
      </c>
      <c r="E2512" s="477">
        <v>15867450.826780176</v>
      </c>
      <c r="F2512" s="458">
        <v>0.11711614738279907</v>
      </c>
      <c r="G2512" s="477">
        <v>94521971.493146896</v>
      </c>
      <c r="H2512" s="458">
        <v>0.24784766017186866</v>
      </c>
      <c r="I2512" s="468">
        <v>4.8624843691856752</v>
      </c>
    </row>
    <row r="2513" spans="1:9" ht="16.5" x14ac:dyDescent="0.3">
      <c r="A2513" s="477">
        <v>6148802.4479382969</v>
      </c>
      <c r="B2513" s="458">
        <v>3.2799168670670342E-2</v>
      </c>
      <c r="C2513" s="477">
        <v>6549727.6271715369</v>
      </c>
      <c r="D2513" s="458">
        <v>4.3263759420753667E-2</v>
      </c>
      <c r="E2513" s="477">
        <v>15581128.548121203</v>
      </c>
      <c r="F2513" s="458">
        <v>0.12090112053855684</v>
      </c>
      <c r="G2513" s="477">
        <v>86465499.819238722</v>
      </c>
      <c r="H2513" s="458">
        <v>0.25868075708572325</v>
      </c>
      <c r="I2513" s="468">
        <v>4.7699580879104388</v>
      </c>
    </row>
    <row r="2514" spans="1:9" ht="16.5" x14ac:dyDescent="0.3">
      <c r="A2514" s="477">
        <v>2105928.8503206698</v>
      </c>
      <c r="B2514" s="458">
        <v>3.4786082127346907E-2</v>
      </c>
      <c r="C2514" s="477">
        <v>10495005.187744802</v>
      </c>
      <c r="D2514" s="458">
        <v>6.426397198583067E-2</v>
      </c>
      <c r="E2514" s="477">
        <v>19151582.117065597</v>
      </c>
      <c r="F2514" s="458">
        <v>0.10968504929846312</v>
      </c>
      <c r="G2514" s="477">
        <v>98016412.740596697</v>
      </c>
      <c r="H2514" s="458">
        <v>0.27326723014746279</v>
      </c>
      <c r="I2514" s="468">
        <v>10.764490442054413</v>
      </c>
    </row>
    <row r="2515" spans="1:9" ht="16.5" x14ac:dyDescent="0.3">
      <c r="A2515" s="477">
        <v>11173946.72541246</v>
      </c>
      <c r="B2515" s="458">
        <v>4.2240180241570169E-2</v>
      </c>
      <c r="C2515" s="477">
        <v>3580425.3873230936</v>
      </c>
      <c r="D2515" s="458">
        <v>6.8113765346807575E-2</v>
      </c>
      <c r="E2515" s="477">
        <v>19584387.595856294</v>
      </c>
      <c r="F2515" s="458">
        <v>9.6477119028598013E-2</v>
      </c>
      <c r="G2515" s="477">
        <v>94334668.631746978</v>
      </c>
      <c r="H2515" s="458">
        <v>0.27110306085625413</v>
      </c>
      <c r="I2515" s="468">
        <v>3.3384166041698009</v>
      </c>
    </row>
    <row r="2516" spans="1:9" ht="16.5" x14ac:dyDescent="0.3">
      <c r="A2516" s="477">
        <v>2110145.4258452379</v>
      </c>
      <c r="B2516" s="458">
        <v>4.0663547536796463E-2</v>
      </c>
      <c r="C2516" s="477">
        <v>13624779.790340716</v>
      </c>
      <c r="D2516" s="458">
        <v>4.6564296742396483E-2</v>
      </c>
      <c r="E2516" s="477">
        <v>9995107.3907837644</v>
      </c>
      <c r="F2516" s="458">
        <v>8.2950759629773829E-2</v>
      </c>
      <c r="G2516" s="477">
        <v>83464668.465891987</v>
      </c>
      <c r="H2516" s="458">
        <v>0.26137197444096927</v>
      </c>
      <c r="I2516" s="468">
        <v>4.4717273202496957</v>
      </c>
    </row>
    <row r="2517" spans="1:9" ht="16.5" x14ac:dyDescent="0.3">
      <c r="A2517" s="477">
        <v>3043360.5536965369</v>
      </c>
      <c r="B2517" s="458">
        <v>3.4230627131421665E-2</v>
      </c>
      <c r="C2517" s="477">
        <v>9316097.5070258845</v>
      </c>
      <c r="D2517" s="458">
        <v>3.7621089675029751E-2</v>
      </c>
      <c r="E2517" s="477">
        <v>16831439.248095836</v>
      </c>
      <c r="F2517" s="458">
        <v>9.9945559343482371E-2</v>
      </c>
      <c r="G2517" s="477">
        <v>88127251.193694323</v>
      </c>
      <c r="H2517" s="458">
        <v>0.29255618987601228</v>
      </c>
      <c r="I2517" s="468">
        <v>8.1352651477140974</v>
      </c>
    </row>
    <row r="2518" spans="1:9" ht="16.5" x14ac:dyDescent="0.3">
      <c r="A2518" s="477">
        <v>5476360.9546608366</v>
      </c>
      <c r="B2518" s="458">
        <v>3.6356527040168896E-2</v>
      </c>
      <c r="C2518" s="477">
        <v>6713531.650084951</v>
      </c>
      <c r="D2518" s="458">
        <v>6.812837058861354E-2</v>
      </c>
      <c r="E2518" s="477">
        <v>22651866.563706089</v>
      </c>
      <c r="F2518" s="458">
        <v>0.10580183881360949</v>
      </c>
      <c r="G2518" s="477">
        <v>92435738.562794909</v>
      </c>
      <c r="H2518" s="458">
        <v>0.2521314693419916</v>
      </c>
      <c r="I2518" s="468">
        <v>9.4737804019095968</v>
      </c>
    </row>
    <row r="2519" spans="1:9" ht="16.5" x14ac:dyDescent="0.3">
      <c r="A2519" s="477">
        <v>2894662.104224741</v>
      </c>
      <c r="B2519" s="458">
        <v>3.3822516657298962E-2</v>
      </c>
      <c r="C2519" s="477">
        <v>8573922.3930754606</v>
      </c>
      <c r="D2519" s="458">
        <v>7.6801333024576035E-2</v>
      </c>
      <c r="E2519" s="477">
        <v>19398246.988844231</v>
      </c>
      <c r="F2519" s="458">
        <v>0.10719013744238648</v>
      </c>
      <c r="G2519" s="477">
        <v>92731152.654042751</v>
      </c>
      <c r="H2519" s="458">
        <v>0.26255708052875981</v>
      </c>
      <c r="I2519" s="468">
        <v>2.2316899940925117</v>
      </c>
    </row>
    <row r="2520" spans="1:9" ht="16.5" x14ac:dyDescent="0.3">
      <c r="A2520" s="477">
        <v>8885801.7827460431</v>
      </c>
      <c r="B2520" s="458">
        <v>2.1674381030819978E-2</v>
      </c>
      <c r="C2520" s="477">
        <v>8430075.2248413488</v>
      </c>
      <c r="D2520" s="458">
        <v>4.9222797049809142E-2</v>
      </c>
      <c r="E2520" s="477">
        <v>14788295.894760646</v>
      </c>
      <c r="F2520" s="458">
        <v>0.11306994192975073</v>
      </c>
      <c r="G2520" s="477">
        <v>95736216.096419737</v>
      </c>
      <c r="H2520" s="458">
        <v>0.27108816271520175</v>
      </c>
      <c r="I2520" s="468">
        <v>1.7261226733183506</v>
      </c>
    </row>
    <row r="2521" spans="1:9" ht="16.5" x14ac:dyDescent="0.3">
      <c r="A2521" s="477">
        <v>7532508.8622605223</v>
      </c>
      <c r="B2521" s="458">
        <v>8.342449400291585E-2</v>
      </c>
      <c r="C2521" s="477">
        <v>6587731.7185681015</v>
      </c>
      <c r="D2521" s="458">
        <v>4.9249276174443413E-2</v>
      </c>
      <c r="E2521" s="477">
        <v>12225595.514795398</v>
      </c>
      <c r="F2521" s="458">
        <v>0.1050671192884276</v>
      </c>
      <c r="G2521" s="477">
        <v>95838801.646847814</v>
      </c>
      <c r="H2521" s="458">
        <v>0.25576306773172597</v>
      </c>
      <c r="I2521" s="468">
        <v>3.8025919839853062</v>
      </c>
    </row>
    <row r="2522" spans="1:9" ht="16.5" x14ac:dyDescent="0.3">
      <c r="A2522" s="477">
        <v>4489779.0585407214</v>
      </c>
      <c r="B2522" s="458">
        <v>2.7842300846504964E-2</v>
      </c>
      <c r="C2522" s="477">
        <v>11440490.011397317</v>
      </c>
      <c r="D2522" s="458">
        <v>5.9663674477079098E-2</v>
      </c>
      <c r="E2522" s="477">
        <v>17006404.654203616</v>
      </c>
      <c r="F2522" s="458">
        <v>9.2104310686113688E-2</v>
      </c>
      <c r="G2522" s="477">
        <v>85327448.984419376</v>
      </c>
      <c r="H2522" s="458">
        <v>0.2532820169094312</v>
      </c>
      <c r="I2522" s="468">
        <v>5.9401163839704836</v>
      </c>
    </row>
    <row r="2523" spans="1:9" ht="16.5" x14ac:dyDescent="0.3">
      <c r="A2523" s="477">
        <v>7653637.2695445986</v>
      </c>
      <c r="B2523" s="458">
        <v>5.0763540119030948E-2</v>
      </c>
      <c r="C2523" s="477">
        <v>9514335.6951459162</v>
      </c>
      <c r="D2523" s="458">
        <v>5.6339392572652525E-2</v>
      </c>
      <c r="E2523" s="477">
        <v>19534146.363501258</v>
      </c>
      <c r="F2523" s="458">
        <v>9.4225274790830982E-2</v>
      </c>
      <c r="G2523" s="477">
        <v>98252221.421267197</v>
      </c>
      <c r="H2523" s="458">
        <v>0.2487693106263924</v>
      </c>
      <c r="I2523" s="468">
        <v>10.475782852248621</v>
      </c>
    </row>
    <row r="2524" spans="1:9" ht="16.5" x14ac:dyDescent="0.3">
      <c r="A2524" s="477">
        <v>4512434.8683676971</v>
      </c>
      <c r="B2524" s="458">
        <v>4.1959866403739943E-2</v>
      </c>
      <c r="C2524" s="477">
        <v>2835881.0989670721</v>
      </c>
      <c r="D2524" s="458">
        <v>6.8392426458938838E-2</v>
      </c>
      <c r="E2524" s="477">
        <v>18317948.114421934</v>
      </c>
      <c r="F2524" s="458">
        <v>0.13267100024351075</v>
      </c>
      <c r="G2524" s="477">
        <v>93712134.009315133</v>
      </c>
      <c r="H2524" s="458">
        <v>0.26569847167370986</v>
      </c>
      <c r="I2524" s="468">
        <v>2.9817735427934799</v>
      </c>
    </row>
    <row r="2525" spans="1:9" ht="16.5" x14ac:dyDescent="0.3">
      <c r="A2525" s="477">
        <v>3965988.4621115867</v>
      </c>
      <c r="B2525" s="458">
        <v>3.9889718516361805E-2</v>
      </c>
      <c r="C2525" s="477">
        <v>5770234.276755495</v>
      </c>
      <c r="D2525" s="458">
        <v>6.3763102530283833E-2</v>
      </c>
      <c r="E2525" s="477">
        <v>21851088.643825162</v>
      </c>
      <c r="F2525" s="458">
        <v>9.1897147790635181E-2</v>
      </c>
      <c r="G2525" s="477">
        <v>102282778.04767957</v>
      </c>
      <c r="H2525" s="458">
        <v>0.25734215838767893</v>
      </c>
      <c r="I2525" s="468">
        <v>5.1110709643925585</v>
      </c>
    </row>
    <row r="2526" spans="1:9" ht="16.5" x14ac:dyDescent="0.3">
      <c r="A2526" s="477">
        <v>5550383.6301942999</v>
      </c>
      <c r="B2526" s="458">
        <v>4.8482603617389097E-2</v>
      </c>
      <c r="C2526" s="477">
        <v>6715687.2150941798</v>
      </c>
      <c r="D2526" s="458">
        <v>5.2627439195563008E-2</v>
      </c>
      <c r="E2526" s="477">
        <v>20407165.336728182</v>
      </c>
      <c r="F2526" s="458">
        <v>0.13224112435090341</v>
      </c>
      <c r="G2526" s="477">
        <v>82438663.64945966</v>
      </c>
      <c r="H2526" s="458">
        <v>0.28738139416701669</v>
      </c>
      <c r="I2526" s="468">
        <v>13.916783536468667</v>
      </c>
    </row>
    <row r="2527" spans="1:9" ht="16.5" x14ac:dyDescent="0.3">
      <c r="A2527" s="477">
        <v>8454528.690187417</v>
      </c>
      <c r="B2527" s="458">
        <v>3.0000722889227172E-2</v>
      </c>
      <c r="C2527" s="477">
        <v>4565754.549348074</v>
      </c>
      <c r="D2527" s="458">
        <v>6.261466163496765E-2</v>
      </c>
      <c r="E2527" s="477">
        <v>23818685.108031426</v>
      </c>
      <c r="F2527" s="458">
        <v>0.12439329546392286</v>
      </c>
      <c r="G2527" s="477">
        <v>87170544.0037525</v>
      </c>
      <c r="H2527" s="458">
        <v>0.26100345190969554</v>
      </c>
      <c r="I2527" s="468">
        <v>8.7831315152904192</v>
      </c>
    </row>
    <row r="2528" spans="1:9" ht="16.5" x14ac:dyDescent="0.3">
      <c r="A2528" s="477">
        <v>6251756.208923283</v>
      </c>
      <c r="B2528" s="458">
        <v>5.2414306779889008E-2</v>
      </c>
      <c r="C2528" s="477">
        <v>7016469.288680044</v>
      </c>
      <c r="D2528" s="458">
        <v>4.8583812914934743E-2</v>
      </c>
      <c r="E2528" s="477">
        <v>19855406.317128751</v>
      </c>
      <c r="F2528" s="458">
        <v>0.10546050852507638</v>
      </c>
      <c r="G2528" s="477">
        <v>89941036.91758652</v>
      </c>
      <c r="H2528" s="458">
        <v>0.26611993565284187</v>
      </c>
      <c r="I2528" s="468">
        <v>7.9371222758513751</v>
      </c>
    </row>
    <row r="2529" spans="1:9" ht="16.5" x14ac:dyDescent="0.3">
      <c r="A2529" s="477">
        <v>6744327.9574691691</v>
      </c>
      <c r="B2529" s="458">
        <v>9.8817856974986462E-3</v>
      </c>
      <c r="C2529" s="477">
        <v>3446448.7424850464</v>
      </c>
      <c r="D2529" s="458">
        <v>4.4250839846616152E-2</v>
      </c>
      <c r="E2529" s="477">
        <v>11276275.692963708</v>
      </c>
      <c r="F2529" s="458">
        <v>0.13705219072666952</v>
      </c>
      <c r="G2529" s="477">
        <v>92884609.091408774</v>
      </c>
      <c r="H2529" s="458">
        <v>0.26250698380303539</v>
      </c>
      <c r="I2529" s="468">
        <v>4.6725335132555319</v>
      </c>
    </row>
    <row r="2530" spans="1:9" ht="16.5" x14ac:dyDescent="0.3">
      <c r="A2530" s="477">
        <v>9197341.9243125431</v>
      </c>
      <c r="B2530" s="458">
        <v>5.4808749016464153E-2</v>
      </c>
      <c r="C2530" s="477">
        <v>5433401.0977036282</v>
      </c>
      <c r="D2530" s="458">
        <v>9.7078996976290854E-2</v>
      </c>
      <c r="E2530" s="477">
        <v>14158980.968301829</v>
      </c>
      <c r="F2530" s="458">
        <v>0.12325361886189024</v>
      </c>
      <c r="G2530" s="477">
        <v>99931301.623041004</v>
      </c>
      <c r="H2530" s="458">
        <v>0.26121100835710953</v>
      </c>
      <c r="I2530" s="468">
        <v>7.9563933387162731</v>
      </c>
    </row>
    <row r="2531" spans="1:9" ht="16.5" x14ac:dyDescent="0.3">
      <c r="A2531" s="477">
        <v>4163624.9364667698</v>
      </c>
      <c r="B2531" s="458">
        <v>2.603621873780515E-2</v>
      </c>
      <c r="C2531" s="477">
        <v>11224955.288918942</v>
      </c>
      <c r="D2531" s="458">
        <v>6.1312583500675366E-2</v>
      </c>
      <c r="E2531" s="477">
        <v>12030117.011753401</v>
      </c>
      <c r="F2531" s="458">
        <v>0.10004222163450049</v>
      </c>
      <c r="G2531" s="477">
        <v>108426056.89600761</v>
      </c>
      <c r="H2531" s="458">
        <v>0.26154325084760965</v>
      </c>
      <c r="I2531" s="468">
        <v>9.0782202822821283</v>
      </c>
    </row>
    <row r="2532" spans="1:9" ht="16.5" x14ac:dyDescent="0.3">
      <c r="A2532" s="477">
        <v>5369623.2484813463</v>
      </c>
      <c r="B2532" s="458">
        <v>5.019928046825517E-2</v>
      </c>
      <c r="C2532" s="477">
        <v>11846436.963438313</v>
      </c>
      <c r="D2532" s="458">
        <v>6.4016414860638582E-2</v>
      </c>
      <c r="E2532" s="477">
        <v>15749744.46109191</v>
      </c>
      <c r="F2532" s="458">
        <v>0.10746646719087072</v>
      </c>
      <c r="G2532" s="477">
        <v>89459779.534185126</v>
      </c>
      <c r="H2532" s="458">
        <v>0.26494710018947742</v>
      </c>
      <c r="I2532" s="468">
        <v>9.5180121319884634</v>
      </c>
    </row>
    <row r="2533" spans="1:9" ht="16.5" x14ac:dyDescent="0.3">
      <c r="A2533" s="477">
        <v>5583296.4456206728</v>
      </c>
      <c r="B2533" s="458">
        <v>5.9461765414295042E-2</v>
      </c>
      <c r="C2533" s="477">
        <v>9400339.7796808518</v>
      </c>
      <c r="D2533" s="458">
        <v>5.5856489821148214E-2</v>
      </c>
      <c r="E2533" s="477">
        <v>10415431.913510393</v>
      </c>
      <c r="F2533" s="458">
        <v>0.10167701169392673</v>
      </c>
      <c r="G2533" s="477">
        <v>79552512.90859668</v>
      </c>
      <c r="H2533" s="458">
        <v>0.26730058900359266</v>
      </c>
      <c r="I2533" s="468">
        <v>5.1115992536954256</v>
      </c>
    </row>
    <row r="2534" spans="1:9" ht="16.5" x14ac:dyDescent="0.3">
      <c r="A2534" s="477">
        <v>5759456.0472764475</v>
      </c>
      <c r="B2534" s="458">
        <v>2.5866884489817998E-2</v>
      </c>
      <c r="C2534" s="477">
        <v>14043803.488282975</v>
      </c>
      <c r="D2534" s="458">
        <v>5.3456680293544778E-2</v>
      </c>
      <c r="E2534" s="477">
        <v>21394792.070060037</v>
      </c>
      <c r="F2534" s="458">
        <v>0.11094041667236798</v>
      </c>
      <c r="G2534" s="477">
        <v>87083386.110739231</v>
      </c>
      <c r="H2534" s="458">
        <v>0.26067705015764298</v>
      </c>
      <c r="I2534" s="468">
        <v>17.268147865536989</v>
      </c>
    </row>
    <row r="2535" spans="1:9" ht="16.5" x14ac:dyDescent="0.3">
      <c r="A2535" s="477">
        <v>4201136.5799461901</v>
      </c>
      <c r="B2535" s="458">
        <v>4.1920794704885855E-2</v>
      </c>
      <c r="C2535" s="477">
        <v>10974242.542298295</v>
      </c>
      <c r="D2535" s="458">
        <v>7.7096375020593966E-2</v>
      </c>
      <c r="E2535" s="477">
        <v>22358715.881119225</v>
      </c>
      <c r="F2535" s="458">
        <v>0.13531801521619191</v>
      </c>
      <c r="G2535" s="477">
        <v>97056769.462591052</v>
      </c>
      <c r="H2535" s="458">
        <v>0.25489907459999439</v>
      </c>
      <c r="I2535" s="468">
        <v>0.62611147313166349</v>
      </c>
    </row>
    <row r="2536" spans="1:9" ht="16.5" x14ac:dyDescent="0.3">
      <c r="A2536" s="477">
        <v>-778234.39580322779</v>
      </c>
      <c r="B2536" s="458">
        <v>4.7440528387059366E-2</v>
      </c>
      <c r="C2536" s="477">
        <v>2409666.1598465438</v>
      </c>
      <c r="D2536" s="458">
        <v>2.7253855818486716E-2</v>
      </c>
      <c r="E2536" s="477">
        <v>17086593.411176872</v>
      </c>
      <c r="F2536" s="458">
        <v>0.14500271649855878</v>
      </c>
      <c r="G2536" s="477">
        <v>102366432.91150281</v>
      </c>
      <c r="H2536" s="458">
        <v>0.25416482334693713</v>
      </c>
      <c r="I2536" s="468">
        <v>3.8229996564289754</v>
      </c>
    </row>
    <row r="2537" spans="1:9" ht="16.5" x14ac:dyDescent="0.3">
      <c r="A2537" s="477">
        <v>8178177.1011280417</v>
      </c>
      <c r="B2537" s="458">
        <v>3.6667691817080517E-2</v>
      </c>
      <c r="C2537" s="477">
        <v>1749878.0257933117</v>
      </c>
      <c r="D2537" s="458">
        <v>5.4894680333375634E-2</v>
      </c>
      <c r="E2537" s="477">
        <v>16027968.525313525</v>
      </c>
      <c r="F2537" s="458">
        <v>8.3534107896934273E-2</v>
      </c>
      <c r="G2537" s="477">
        <v>90067017.173451334</v>
      </c>
      <c r="H2537" s="458">
        <v>0.28307526944402817</v>
      </c>
      <c r="I2537" s="468">
        <v>6.8727915151863055</v>
      </c>
    </row>
    <row r="2538" spans="1:9" ht="16.5" x14ac:dyDescent="0.3">
      <c r="A2538" s="477">
        <v>3928744.4369590799</v>
      </c>
      <c r="B2538" s="458">
        <v>2.4837796568827786E-2</v>
      </c>
      <c r="C2538" s="477">
        <v>10358350.078475632</v>
      </c>
      <c r="D2538" s="458">
        <v>3.8079864208098613E-2</v>
      </c>
      <c r="E2538" s="477">
        <v>21490424.741515253</v>
      </c>
      <c r="F2538" s="458">
        <v>0.10293341381697663</v>
      </c>
      <c r="G2538" s="477">
        <v>88645036.138112694</v>
      </c>
      <c r="H2538" s="458">
        <v>0.27025321161026761</v>
      </c>
      <c r="I2538" s="468">
        <v>7.7865395201614662</v>
      </c>
    </row>
    <row r="2539" spans="1:9" ht="16.5" x14ac:dyDescent="0.3">
      <c r="A2539" s="477">
        <v>4552255.4602346653</v>
      </c>
      <c r="B2539" s="458">
        <v>2.5768621765309252E-2</v>
      </c>
      <c r="C2539" s="477">
        <v>8428670.4888290986</v>
      </c>
      <c r="D2539" s="458">
        <v>2.41705680383133E-2</v>
      </c>
      <c r="E2539" s="477">
        <v>5645963.4461303065</v>
      </c>
      <c r="F2539" s="458">
        <v>0.12350157965924158</v>
      </c>
      <c r="G2539" s="477">
        <v>78852741.529764593</v>
      </c>
      <c r="H2539" s="458">
        <v>0.26263844700055161</v>
      </c>
      <c r="I2539" s="468">
        <v>15.588557754881148</v>
      </c>
    </row>
    <row r="2540" spans="1:9" ht="16.5" x14ac:dyDescent="0.3">
      <c r="A2540" s="477">
        <v>5805609.2472342383</v>
      </c>
      <c r="B2540" s="458">
        <v>3.1741134722756081E-2</v>
      </c>
      <c r="C2540" s="477">
        <v>7788435.7722980687</v>
      </c>
      <c r="D2540" s="458">
        <v>6.9870375518692907E-2</v>
      </c>
      <c r="E2540" s="477">
        <v>13450887.523098228</v>
      </c>
      <c r="F2540" s="458">
        <v>0.1162074606996466</v>
      </c>
      <c r="G2540" s="477">
        <v>80180479.575615078</v>
      </c>
      <c r="H2540" s="458">
        <v>0.25259142447144689</v>
      </c>
      <c r="I2540" s="468">
        <v>11.41673143674681</v>
      </c>
    </row>
    <row r="2541" spans="1:9" ht="16.5" x14ac:dyDescent="0.3">
      <c r="A2541" s="477">
        <v>1756244.5324591044</v>
      </c>
      <c r="B2541" s="458">
        <v>3.1324616070989686E-2</v>
      </c>
      <c r="C2541" s="477">
        <v>8644456.9233255628</v>
      </c>
      <c r="D2541" s="458">
        <v>9.5206979558333904E-2</v>
      </c>
      <c r="E2541" s="477">
        <v>13587985.823909057</v>
      </c>
      <c r="F2541" s="458">
        <v>9.7174746276250668E-2</v>
      </c>
      <c r="G2541" s="477">
        <v>89805121.647253394</v>
      </c>
      <c r="H2541" s="458">
        <v>0.27566608520890146</v>
      </c>
      <c r="I2541" s="468">
        <v>-2.3111319701729265</v>
      </c>
    </row>
    <row r="2542" spans="1:9" ht="16.5" x14ac:dyDescent="0.3">
      <c r="A2542" s="477">
        <v>7138634.6464634826</v>
      </c>
      <c r="B2542" s="458">
        <v>2.8612942463421609E-2</v>
      </c>
      <c r="C2542" s="477">
        <v>6035755.7534570089</v>
      </c>
      <c r="D2542" s="458">
        <v>5.7926917984495452E-2</v>
      </c>
      <c r="E2542" s="477">
        <v>14216778.42371696</v>
      </c>
      <c r="F2542" s="458">
        <v>0.10254507772316312</v>
      </c>
      <c r="G2542" s="477">
        <v>103789446.03537782</v>
      </c>
      <c r="H2542" s="458">
        <v>0.27172250763305072</v>
      </c>
      <c r="I2542" s="468">
        <v>12.255998095188898</v>
      </c>
    </row>
    <row r="2543" spans="1:9" ht="16.5" x14ac:dyDescent="0.3">
      <c r="A2543" s="477">
        <v>7076892.0432814918</v>
      </c>
      <c r="B2543" s="458">
        <v>1.1698857672957086E-2</v>
      </c>
      <c r="C2543" s="477">
        <v>5784385.693046404</v>
      </c>
      <c r="D2543" s="458">
        <v>7.4786698205316915E-2</v>
      </c>
      <c r="E2543" s="477">
        <v>15469207.343199769</v>
      </c>
      <c r="F2543" s="458">
        <v>0.10925324806488801</v>
      </c>
      <c r="G2543" s="477">
        <v>83475792.338053614</v>
      </c>
      <c r="H2543" s="458">
        <v>0.26599480343794002</v>
      </c>
      <c r="I2543" s="468">
        <v>2.0127457906400501</v>
      </c>
    </row>
    <row r="2544" spans="1:9" ht="16.5" x14ac:dyDescent="0.3">
      <c r="A2544" s="477">
        <v>4563421.6091616238</v>
      </c>
      <c r="B2544" s="458">
        <v>3.4391217493930482E-2</v>
      </c>
      <c r="C2544" s="477">
        <v>8764308.3103819061</v>
      </c>
      <c r="D2544" s="458">
        <v>2.5318984203493766E-2</v>
      </c>
      <c r="E2544" s="477">
        <v>15965817.103508703</v>
      </c>
      <c r="F2544" s="458">
        <v>8.6902491208866506E-2</v>
      </c>
      <c r="G2544" s="477">
        <v>98869464.34831576</v>
      </c>
      <c r="H2544" s="458">
        <v>0.26482551054110282</v>
      </c>
      <c r="I2544" s="468">
        <v>4.4582979232169908</v>
      </c>
    </row>
    <row r="2545" spans="1:9" ht="16.5" x14ac:dyDescent="0.3">
      <c r="A2545" s="477">
        <v>5995629.9588709883</v>
      </c>
      <c r="B2545" s="458">
        <v>4.5148065849149432E-2</v>
      </c>
      <c r="C2545" s="477">
        <v>9714394.4688609969</v>
      </c>
      <c r="D2545" s="458">
        <v>6.7268368888596664E-2</v>
      </c>
      <c r="E2545" s="477">
        <v>23931511.685361143</v>
      </c>
      <c r="F2545" s="458">
        <v>0.11230964108191621</v>
      </c>
      <c r="G2545" s="477">
        <v>88320284.374710843</v>
      </c>
      <c r="H2545" s="458">
        <v>0.27656582981617794</v>
      </c>
      <c r="I2545" s="468">
        <v>6.6615499180408193</v>
      </c>
    </row>
    <row r="2546" spans="1:9" ht="16.5" x14ac:dyDescent="0.3">
      <c r="A2546" s="477">
        <v>3953278.4662089124</v>
      </c>
      <c r="B2546" s="458">
        <v>1.9824044074719049E-2</v>
      </c>
      <c r="C2546" s="477">
        <v>6319612.3201755229</v>
      </c>
      <c r="D2546" s="458">
        <v>6.7211621617284223E-2</v>
      </c>
      <c r="E2546" s="477">
        <v>14200538.604363276</v>
      </c>
      <c r="F2546" s="458">
        <v>0.12508391340648739</v>
      </c>
      <c r="G2546" s="477">
        <v>71938575.278564766</v>
      </c>
      <c r="H2546" s="458">
        <v>0.26736324993480465</v>
      </c>
      <c r="I2546" s="468">
        <v>16.521370509233677</v>
      </c>
    </row>
    <row r="2547" spans="1:9" ht="16.5" x14ac:dyDescent="0.3">
      <c r="A2547" s="477">
        <v>10925959.10801713</v>
      </c>
      <c r="B2547" s="458">
        <v>3.1822257254300546E-2</v>
      </c>
      <c r="C2547" s="477">
        <v>10871238.869145783</v>
      </c>
      <c r="D2547" s="458">
        <v>9.8188818914839882E-2</v>
      </c>
      <c r="E2547" s="477">
        <v>19112839.790280599</v>
      </c>
      <c r="F2547" s="458">
        <v>0.10635925951462877</v>
      </c>
      <c r="G2547" s="477">
        <v>84071442.819575846</v>
      </c>
      <c r="H2547" s="458">
        <v>0.26741918945753773</v>
      </c>
      <c r="I2547" s="468">
        <v>6.9335961553831096</v>
      </c>
    </row>
    <row r="2548" spans="1:9" ht="16.5" x14ac:dyDescent="0.3">
      <c r="A2548" s="477">
        <v>4888838.6440162733</v>
      </c>
      <c r="B2548" s="458">
        <v>2.2943445248401639E-2</v>
      </c>
      <c r="C2548" s="477">
        <v>15629320.608745199</v>
      </c>
      <c r="D2548" s="458">
        <v>5.0972613629891805E-2</v>
      </c>
      <c r="E2548" s="477">
        <v>8317400.6486585494</v>
      </c>
      <c r="F2548" s="458">
        <v>7.5664189077118804E-2</v>
      </c>
      <c r="G2548" s="477">
        <v>81723419.783976063</v>
      </c>
      <c r="H2548" s="458">
        <v>0.26711770905531362</v>
      </c>
      <c r="I2548" s="468">
        <v>9.4079048592238266</v>
      </c>
    </row>
    <row r="2549" spans="1:9" ht="16.5" x14ac:dyDescent="0.3">
      <c r="A2549" s="477">
        <v>4030693.5130239208</v>
      </c>
      <c r="B2549" s="458">
        <v>4.3859506291474171E-2</v>
      </c>
      <c r="C2549" s="477">
        <v>12632761.133287583</v>
      </c>
      <c r="D2549" s="458">
        <v>3.7738026492706966E-2</v>
      </c>
      <c r="E2549" s="477">
        <v>14142503.118121512</v>
      </c>
      <c r="F2549" s="458">
        <v>0.13515351319269908</v>
      </c>
      <c r="G2549" s="477">
        <v>94742243.761260182</v>
      </c>
      <c r="H2549" s="458">
        <v>0.29133128664002994</v>
      </c>
      <c r="I2549" s="468">
        <v>11.12333661804948</v>
      </c>
    </row>
    <row r="2550" spans="1:9" ht="16.5" x14ac:dyDescent="0.3">
      <c r="A2550" s="477">
        <v>5262856.4753704239</v>
      </c>
      <c r="B2550" s="458">
        <v>6.0155082488982492E-2</v>
      </c>
      <c r="C2550" s="477">
        <v>7491340.067851034</v>
      </c>
      <c r="D2550" s="458">
        <v>7.2950853738857235E-2</v>
      </c>
      <c r="E2550" s="477">
        <v>28723159.674710628</v>
      </c>
      <c r="F2550" s="458">
        <v>0.12449269582820466</v>
      </c>
      <c r="G2550" s="477">
        <v>97203398.004008189</v>
      </c>
      <c r="H2550" s="458">
        <v>0.25324626630536029</v>
      </c>
      <c r="I2550" s="468">
        <v>3.1931051296037909</v>
      </c>
    </row>
    <row r="2551" spans="1:9" ht="16.5" x14ac:dyDescent="0.3">
      <c r="A2551" s="477">
        <v>12519192.067908941</v>
      </c>
      <c r="B2551" s="458">
        <v>3.9136984239602768E-2</v>
      </c>
      <c r="C2551" s="477">
        <v>7088906.5354776205</v>
      </c>
      <c r="D2551" s="458">
        <v>8.3420584309126022E-2</v>
      </c>
      <c r="E2551" s="477">
        <v>10395150.444816304</v>
      </c>
      <c r="F2551" s="458">
        <v>9.962042996449183E-2</v>
      </c>
      <c r="G2551" s="477">
        <v>75610779.664011315</v>
      </c>
      <c r="H2551" s="458">
        <v>0.25924073421242322</v>
      </c>
      <c r="I2551" s="468">
        <v>6.3126667902707441</v>
      </c>
    </row>
    <row r="2552" spans="1:9" ht="16.5" x14ac:dyDescent="0.3">
      <c r="A2552" s="477">
        <v>8498629.3582835887</v>
      </c>
      <c r="B2552" s="458">
        <v>3.9972092830235173E-2</v>
      </c>
      <c r="C2552" s="477">
        <v>4840422.3636300052</v>
      </c>
      <c r="D2552" s="458">
        <v>5.8174772739680192E-2</v>
      </c>
      <c r="E2552" s="477">
        <v>22100908.208186034</v>
      </c>
      <c r="F2552" s="458">
        <v>0.10217170765329198</v>
      </c>
      <c r="G2552" s="477">
        <v>92249065.573938146</v>
      </c>
      <c r="H2552" s="458">
        <v>0.27657134440670927</v>
      </c>
      <c r="I2552" s="468">
        <v>8.4965538902848632</v>
      </c>
    </row>
    <row r="2553" spans="1:9" ht="16.5" x14ac:dyDescent="0.3">
      <c r="A2553" s="477">
        <v>8744014.3758162726</v>
      </c>
      <c r="B2553" s="458">
        <v>3.8825445413812831E-2</v>
      </c>
      <c r="C2553" s="477">
        <v>8802216.038780909</v>
      </c>
      <c r="D2553" s="458">
        <v>5.9280575398174218E-2</v>
      </c>
      <c r="E2553" s="477">
        <v>13378241.591769177</v>
      </c>
      <c r="F2553" s="458">
        <v>0.11785848900454732</v>
      </c>
      <c r="G2553" s="477">
        <v>95900348.429684043</v>
      </c>
      <c r="H2553" s="458">
        <v>0.26708236321893253</v>
      </c>
      <c r="I2553" s="468">
        <v>8.939410655111681</v>
      </c>
    </row>
    <row r="2554" spans="1:9" ht="16.5" x14ac:dyDescent="0.3">
      <c r="A2554" s="477">
        <v>7410494.1488799555</v>
      </c>
      <c r="B2554" s="458">
        <v>3.8498935677699464E-2</v>
      </c>
      <c r="C2554" s="477">
        <v>9724746.3093705326</v>
      </c>
      <c r="D2554" s="458">
        <v>4.0679288788052492E-2</v>
      </c>
      <c r="E2554" s="477">
        <v>23353472.517712548</v>
      </c>
      <c r="F2554" s="458">
        <v>0.13486445897772548</v>
      </c>
      <c r="G2554" s="477">
        <v>82757639.172056258</v>
      </c>
      <c r="H2554" s="458">
        <v>0.26587562602549331</v>
      </c>
      <c r="I2554" s="468">
        <v>5.3129817097290237</v>
      </c>
    </row>
    <row r="2555" spans="1:9" ht="16.5" x14ac:dyDescent="0.3">
      <c r="A2555" s="477">
        <v>10057544.121607615</v>
      </c>
      <c r="B2555" s="458">
        <v>4.9361824036829427E-2</v>
      </c>
      <c r="C2555" s="477">
        <v>6729531.3360033566</v>
      </c>
      <c r="D2555" s="458">
        <v>7.9899450498630786E-2</v>
      </c>
      <c r="E2555" s="477">
        <v>23104559.18013262</v>
      </c>
      <c r="F2555" s="458">
        <v>0.10236474229039905</v>
      </c>
      <c r="G2555" s="477">
        <v>94143756.101346865</v>
      </c>
      <c r="H2555" s="458">
        <v>0.28692038944255294</v>
      </c>
      <c r="I2555" s="468">
        <v>1.8910547099097617</v>
      </c>
    </row>
    <row r="2556" spans="1:9" ht="16.5" x14ac:dyDescent="0.3">
      <c r="A2556" s="477">
        <v>7469354.4901958732</v>
      </c>
      <c r="B2556" s="458">
        <v>1.6664799569234612E-2</v>
      </c>
      <c r="C2556" s="477">
        <v>7600065.6006186893</v>
      </c>
      <c r="D2556" s="458">
        <v>7.7668379991525205E-2</v>
      </c>
      <c r="E2556" s="477">
        <v>15087274.708463196</v>
      </c>
      <c r="F2556" s="458">
        <v>0.11406521404509062</v>
      </c>
      <c r="G2556" s="477">
        <v>99258950.472588688</v>
      </c>
      <c r="H2556" s="458">
        <v>0.25151238438537482</v>
      </c>
      <c r="I2556" s="468">
        <v>7.3363110061652987</v>
      </c>
    </row>
    <row r="2557" spans="1:9" ht="16.5" x14ac:dyDescent="0.3">
      <c r="A2557" s="477">
        <v>4928325.1642849948</v>
      </c>
      <c r="B2557" s="458">
        <v>3.4376668805436994E-2</v>
      </c>
      <c r="C2557" s="477">
        <v>10716709.198967788</v>
      </c>
      <c r="D2557" s="458">
        <v>8.2547919728240382E-2</v>
      </c>
      <c r="E2557" s="477">
        <v>12659791.545727728</v>
      </c>
      <c r="F2557" s="458">
        <v>0.11944451254649069</v>
      </c>
      <c r="G2557" s="477">
        <v>89920092.793789789</v>
      </c>
      <c r="H2557" s="458">
        <v>0.2502842116461288</v>
      </c>
      <c r="I2557" s="468">
        <v>12.14696815102816</v>
      </c>
    </row>
    <row r="2558" spans="1:9" ht="16.5" x14ac:dyDescent="0.3">
      <c r="A2558" s="477">
        <v>3904903.0415288243</v>
      </c>
      <c r="B2558" s="458">
        <v>4.3135437839562307E-2</v>
      </c>
      <c r="C2558" s="477">
        <v>12783452.02128794</v>
      </c>
      <c r="D2558" s="458">
        <v>6.2548318903293154E-2</v>
      </c>
      <c r="E2558" s="477">
        <v>21259268.774558138</v>
      </c>
      <c r="F2558" s="458">
        <v>0.10604455026476267</v>
      </c>
      <c r="G2558" s="477">
        <v>84950645.554666117</v>
      </c>
      <c r="H2558" s="458">
        <v>0.25985647407746693</v>
      </c>
      <c r="I2558" s="468">
        <v>6.901385250176407</v>
      </c>
    </row>
    <row r="2559" spans="1:9" ht="16.5" x14ac:dyDescent="0.3">
      <c r="A2559" s="477">
        <v>4096562.3264206904</v>
      </c>
      <c r="B2559" s="458">
        <v>5.6322788777602106E-2</v>
      </c>
      <c r="C2559" s="477">
        <v>12305103.219925066</v>
      </c>
      <c r="D2559" s="458">
        <v>5.2172627093635793E-2</v>
      </c>
      <c r="E2559" s="477">
        <v>10966254.908660391</v>
      </c>
      <c r="F2559" s="458">
        <v>9.3224214124486782E-2</v>
      </c>
      <c r="G2559" s="477">
        <v>85859586.006088376</v>
      </c>
      <c r="H2559" s="458">
        <v>0.27002100587598066</v>
      </c>
      <c r="I2559" s="468">
        <v>6.9766729129602254</v>
      </c>
    </row>
    <row r="2560" spans="1:9" ht="16.5" x14ac:dyDescent="0.3">
      <c r="A2560" s="477">
        <v>2340282.2239508317</v>
      </c>
      <c r="B2560" s="458">
        <v>3.7853691763789499E-2</v>
      </c>
      <c r="C2560" s="477">
        <v>8461897.3306885269</v>
      </c>
      <c r="D2560" s="458">
        <v>6.0511119202692809E-2</v>
      </c>
      <c r="E2560" s="477">
        <v>23893286.590023782</v>
      </c>
      <c r="F2560" s="458">
        <v>0.13742261031693626</v>
      </c>
      <c r="G2560" s="477">
        <v>91245443.536101818</v>
      </c>
      <c r="H2560" s="458">
        <v>0.27887995814953026</v>
      </c>
      <c r="I2560" s="468">
        <v>6.1365499067970939</v>
      </c>
    </row>
    <row r="2561" spans="1:9" ht="16.5" x14ac:dyDescent="0.3">
      <c r="A2561" s="477">
        <v>4835221.6880028332</v>
      </c>
      <c r="B2561" s="458">
        <v>3.6919383886897972E-2</v>
      </c>
      <c r="C2561" s="477">
        <v>4060645.5520285307</v>
      </c>
      <c r="D2561" s="458">
        <v>5.6247505179943591E-2</v>
      </c>
      <c r="E2561" s="477">
        <v>19268556.825769424</v>
      </c>
      <c r="F2561" s="458">
        <v>0.10479977324330969</v>
      </c>
      <c r="G2561" s="477">
        <v>88284275.09592548</v>
      </c>
      <c r="H2561" s="458">
        <v>0.27640767458174476</v>
      </c>
      <c r="I2561" s="468">
        <v>6.3699263490311155</v>
      </c>
    </row>
    <row r="2562" spans="1:9" ht="16.5" x14ac:dyDescent="0.3">
      <c r="A2562" s="477">
        <v>7575657.907614762</v>
      </c>
      <c r="B2562" s="458">
        <v>3.5456507749920707E-2</v>
      </c>
      <c r="C2562" s="477">
        <v>9920050.4724301323</v>
      </c>
      <c r="D2562" s="458">
        <v>5.9845074130098652E-2</v>
      </c>
      <c r="E2562" s="477">
        <v>21727552.511843398</v>
      </c>
      <c r="F2562" s="458">
        <v>0.10205616713626386</v>
      </c>
      <c r="G2562" s="477">
        <v>99444455.621986374</v>
      </c>
      <c r="H2562" s="458">
        <v>0.26593829039912187</v>
      </c>
      <c r="I2562" s="468">
        <v>2.5976031433851485</v>
      </c>
    </row>
    <row r="2563" spans="1:9" ht="16.5" x14ac:dyDescent="0.3">
      <c r="A2563" s="477">
        <v>3863119.7748402571</v>
      </c>
      <c r="B2563" s="458">
        <v>4.2460384161739029E-2</v>
      </c>
      <c r="C2563" s="477">
        <v>-2131257.0039359313</v>
      </c>
      <c r="D2563" s="458">
        <v>4.6542316713604537E-2</v>
      </c>
      <c r="E2563" s="477">
        <v>12894744.175200392</v>
      </c>
      <c r="F2563" s="458">
        <v>9.825893827695098E-2</v>
      </c>
      <c r="G2563" s="477">
        <v>79753877.017276928</v>
      </c>
      <c r="H2563" s="458">
        <v>0.28281240688554399</v>
      </c>
      <c r="I2563" s="468">
        <v>7.0678078809941507</v>
      </c>
    </row>
    <row r="2564" spans="1:9" ht="16.5" x14ac:dyDescent="0.3">
      <c r="A2564" s="477">
        <v>868929.00319412258</v>
      </c>
      <c r="B2564" s="458">
        <v>5.848485613663712E-2</v>
      </c>
      <c r="C2564" s="477">
        <v>10985862.29627616</v>
      </c>
      <c r="D2564" s="458">
        <v>7.5065782488729749E-2</v>
      </c>
      <c r="E2564" s="477">
        <v>16104783.731719535</v>
      </c>
      <c r="F2564" s="458">
        <v>0.10421712152193718</v>
      </c>
      <c r="G2564" s="477">
        <v>91742410.78164874</v>
      </c>
      <c r="H2564" s="458">
        <v>0.23760772000893216</v>
      </c>
      <c r="I2564" s="468">
        <v>13.531860923222311</v>
      </c>
    </row>
    <row r="2565" spans="1:9" ht="16.5" x14ac:dyDescent="0.3">
      <c r="A2565" s="477">
        <v>4251071.8053922206</v>
      </c>
      <c r="B2565" s="458">
        <v>5.84574313289421E-2</v>
      </c>
      <c r="C2565" s="477">
        <v>3851751.5107234302</v>
      </c>
      <c r="D2565" s="458">
        <v>5.6464099152218283E-2</v>
      </c>
      <c r="E2565" s="477">
        <v>21179482.273466215</v>
      </c>
      <c r="F2565" s="458">
        <v>0.15110339307402754</v>
      </c>
      <c r="G2565" s="477">
        <v>99406154.670047164</v>
      </c>
      <c r="H2565" s="458">
        <v>0.2746639277108609</v>
      </c>
      <c r="I2565" s="468">
        <v>11.465607337005441</v>
      </c>
    </row>
    <row r="2566" spans="1:9" ht="16.5" x14ac:dyDescent="0.3">
      <c r="A2566" s="477">
        <v>6566867.4979591481</v>
      </c>
      <c r="B2566" s="458">
        <v>2.1311874471627634E-2</v>
      </c>
      <c r="C2566" s="477">
        <v>6040739.9126390237</v>
      </c>
      <c r="D2566" s="458">
        <v>8.3687758993704175E-2</v>
      </c>
      <c r="E2566" s="477">
        <v>21933817.962214608</v>
      </c>
      <c r="F2566" s="458">
        <v>8.075566988661298E-2</v>
      </c>
      <c r="G2566" s="477">
        <v>97643872.221423894</v>
      </c>
      <c r="H2566" s="458">
        <v>0.25989522825087308</v>
      </c>
      <c r="I2566" s="468">
        <v>8.8476786957549365</v>
      </c>
    </row>
    <row r="2567" spans="1:9" ht="16.5" x14ac:dyDescent="0.3">
      <c r="A2567" s="477">
        <v>6969767.9340592381</v>
      </c>
      <c r="B2567" s="458">
        <v>3.3349942211150729E-2</v>
      </c>
      <c r="C2567" s="477">
        <v>8073298.0021337653</v>
      </c>
      <c r="D2567" s="458">
        <v>3.3011119056568505E-2</v>
      </c>
      <c r="E2567" s="477">
        <v>12187321.086892629</v>
      </c>
      <c r="F2567" s="458">
        <v>0.13209434042188173</v>
      </c>
      <c r="G2567" s="477">
        <v>100377434.57618119</v>
      </c>
      <c r="H2567" s="458">
        <v>0.27632453252079192</v>
      </c>
      <c r="I2567" s="468">
        <v>12.02722263912591</v>
      </c>
    </row>
    <row r="2568" spans="1:9" ht="16.5" x14ac:dyDescent="0.3">
      <c r="A2568" s="477">
        <v>9034681.3632183578</v>
      </c>
      <c r="B2568" s="458">
        <v>2.8859232662421741E-2</v>
      </c>
      <c r="C2568" s="477">
        <v>7403284.9799081814</v>
      </c>
      <c r="D2568" s="458">
        <v>4.1752801932494643E-2</v>
      </c>
      <c r="E2568" s="477">
        <v>17407261.720765017</v>
      </c>
      <c r="F2568" s="458">
        <v>0.11945341098337203</v>
      </c>
      <c r="G2568" s="477">
        <v>87635054.202236742</v>
      </c>
      <c r="H2568" s="458">
        <v>0.26150834265601408</v>
      </c>
      <c r="I2568" s="468">
        <v>10.258477514613375</v>
      </c>
    </row>
    <row r="2569" spans="1:9" ht="16.5" x14ac:dyDescent="0.3">
      <c r="A2569" s="477">
        <v>6447213.2315072995</v>
      </c>
      <c r="B2569" s="458">
        <v>4.6819547138545081E-2</v>
      </c>
      <c r="C2569" s="477">
        <v>7601351.1444369666</v>
      </c>
      <c r="D2569" s="458">
        <v>6.442207660276722E-2</v>
      </c>
      <c r="E2569" s="477">
        <v>24112603.941264149</v>
      </c>
      <c r="F2569" s="458">
        <v>0.12416703188093203</v>
      </c>
      <c r="G2569" s="477">
        <v>87920031.714910626</v>
      </c>
      <c r="H2569" s="458">
        <v>0.27194445984583826</v>
      </c>
      <c r="I2569" s="468">
        <v>9.6569833212004781</v>
      </c>
    </row>
    <row r="2570" spans="1:9" ht="16.5" x14ac:dyDescent="0.3">
      <c r="A2570" s="477">
        <v>1936099.4776741788</v>
      </c>
      <c r="B2570" s="458">
        <v>4.2938672319429161E-2</v>
      </c>
      <c r="C2570" s="477">
        <v>14815245.89884451</v>
      </c>
      <c r="D2570" s="458">
        <v>8.6521500050650291E-2</v>
      </c>
      <c r="E2570" s="477">
        <v>15495016.932699861</v>
      </c>
      <c r="F2570" s="458">
        <v>0.10014720392711496</v>
      </c>
      <c r="G2570" s="477">
        <v>81990953.455714285</v>
      </c>
      <c r="H2570" s="458">
        <v>0.27469832133436678</v>
      </c>
      <c r="I2570" s="468">
        <v>6.6627107407222663</v>
      </c>
    </row>
    <row r="2571" spans="1:9" ht="16.5" x14ac:dyDescent="0.3">
      <c r="A2571" s="477">
        <v>9043447.8780271877</v>
      </c>
      <c r="B2571" s="458">
        <v>2.6750752223355656E-2</v>
      </c>
      <c r="C2571" s="477">
        <v>10244832.690087272</v>
      </c>
      <c r="D2571" s="458">
        <v>6.6586080078399945E-2</v>
      </c>
      <c r="E2571" s="477">
        <v>15931878.205001606</v>
      </c>
      <c r="F2571" s="458">
        <v>8.833942390997751E-2</v>
      </c>
      <c r="G2571" s="477">
        <v>85050837.798144594</v>
      </c>
      <c r="H2571" s="458">
        <v>0.27921845828663994</v>
      </c>
      <c r="I2571" s="468">
        <v>4.7949802502561987</v>
      </c>
    </row>
    <row r="2572" spans="1:9" ht="16.5" x14ac:dyDescent="0.3">
      <c r="A2572" s="477">
        <v>-81338.952639195486</v>
      </c>
      <c r="B2572" s="458">
        <v>6.2033816250472107E-2</v>
      </c>
      <c r="C2572" s="477">
        <v>4397009.0448875669</v>
      </c>
      <c r="D2572" s="458">
        <v>7.0106051830518323E-2</v>
      </c>
      <c r="E2572" s="477">
        <v>27012632.308348339</v>
      </c>
      <c r="F2572" s="458">
        <v>0.11377878275643538</v>
      </c>
      <c r="G2572" s="477">
        <v>105523311.87046602</v>
      </c>
      <c r="H2572" s="458">
        <v>0.2756237140257447</v>
      </c>
      <c r="I2572" s="468">
        <v>9.5736872997252966</v>
      </c>
    </row>
    <row r="2573" spans="1:9" ht="16.5" x14ac:dyDescent="0.3">
      <c r="A2573" s="477">
        <v>5523437.5015736427</v>
      </c>
      <c r="B2573" s="458">
        <v>4.7819146613435448E-2</v>
      </c>
      <c r="C2573" s="477">
        <v>6586416.2375709657</v>
      </c>
      <c r="D2573" s="458">
        <v>5.0878863053110734E-2</v>
      </c>
      <c r="E2573" s="477">
        <v>19399365.548748184</v>
      </c>
      <c r="F2573" s="458">
        <v>0.10254888853599819</v>
      </c>
      <c r="G2573" s="477">
        <v>88141198.882178366</v>
      </c>
      <c r="H2573" s="458">
        <v>0.26318530862895417</v>
      </c>
      <c r="I2573" s="468">
        <v>9.7885221779206351</v>
      </c>
    </row>
    <row r="2574" spans="1:9" ht="16.5" x14ac:dyDescent="0.3">
      <c r="A2574" s="477">
        <v>7581433.6289606476</v>
      </c>
      <c r="B2574" s="458">
        <v>6.421856157338568E-2</v>
      </c>
      <c r="C2574" s="477">
        <v>6742952.4518023692</v>
      </c>
      <c r="D2574" s="458">
        <v>7.1989953762754633E-2</v>
      </c>
      <c r="E2574" s="477">
        <v>14024091.860353395</v>
      </c>
      <c r="F2574" s="458">
        <v>9.9940236339053135E-2</v>
      </c>
      <c r="G2574" s="477">
        <v>91064006.553923026</v>
      </c>
      <c r="H2574" s="458">
        <v>0.2695408739467593</v>
      </c>
      <c r="I2574" s="468">
        <v>6.5331368328963535</v>
      </c>
    </row>
    <row r="2575" spans="1:9" ht="16.5" x14ac:dyDescent="0.3">
      <c r="A2575" s="477">
        <v>7214481.1894996148</v>
      </c>
      <c r="B2575" s="458">
        <v>5.5134821034677151E-2</v>
      </c>
      <c r="C2575" s="477">
        <v>7160514.5813578609</v>
      </c>
      <c r="D2575" s="458">
        <v>7.0852346953119261E-2</v>
      </c>
      <c r="E2575" s="477">
        <v>19440529.636962257</v>
      </c>
      <c r="F2575" s="458">
        <v>0.1323766663400523</v>
      </c>
      <c r="G2575" s="477">
        <v>83442239.934180483</v>
      </c>
      <c r="H2575" s="458">
        <v>0.27129691818858825</v>
      </c>
      <c r="I2575" s="468">
        <v>12.118456719241568</v>
      </c>
    </row>
    <row r="2576" spans="1:9" ht="16.5" x14ac:dyDescent="0.3">
      <c r="A2576" s="477">
        <v>8218782.9271682482</v>
      </c>
      <c r="B2576" s="458">
        <v>3.1526824964213329E-2</v>
      </c>
      <c r="C2576" s="477">
        <v>9202200.961663045</v>
      </c>
      <c r="D2576" s="458">
        <v>4.9715802128162512E-2</v>
      </c>
      <c r="E2576" s="477">
        <v>20693942.298424695</v>
      </c>
      <c r="F2576" s="458">
        <v>0.10345027466693169</v>
      </c>
      <c r="G2576" s="477">
        <v>91763091.804915607</v>
      </c>
      <c r="H2576" s="458">
        <v>0.26126561522861569</v>
      </c>
      <c r="I2576" s="468">
        <v>12.196188647113271</v>
      </c>
    </row>
    <row r="2577" spans="1:9" ht="16.5" x14ac:dyDescent="0.3">
      <c r="A2577" s="477">
        <v>4344314.9412076799</v>
      </c>
      <c r="B2577" s="458">
        <v>4.0160892914366642E-2</v>
      </c>
      <c r="C2577" s="477">
        <v>7732292.4579487406</v>
      </c>
      <c r="D2577" s="458">
        <v>7.7657997666558787E-2</v>
      </c>
      <c r="E2577" s="477">
        <v>11994138.974904519</v>
      </c>
      <c r="F2577" s="458">
        <v>0.11430496564209225</v>
      </c>
      <c r="G2577" s="477">
        <v>87725353.225979775</v>
      </c>
      <c r="H2577" s="458">
        <v>0.2755272467711769</v>
      </c>
      <c r="I2577" s="468">
        <v>13.357338654997971</v>
      </c>
    </row>
    <row r="2578" spans="1:9" ht="16.5" x14ac:dyDescent="0.3">
      <c r="A2578" s="477">
        <v>4548024.5065742973</v>
      </c>
      <c r="B2578" s="458">
        <v>3.5100283582931935E-2</v>
      </c>
      <c r="C2578" s="477">
        <v>13139363.704342369</v>
      </c>
      <c r="D2578" s="458">
        <v>6.4882011401846462E-2</v>
      </c>
      <c r="E2578" s="477">
        <v>19124637.430847302</v>
      </c>
      <c r="F2578" s="458">
        <v>6.4413291087250801E-2</v>
      </c>
      <c r="G2578" s="477">
        <v>97811261.993392125</v>
      </c>
      <c r="H2578" s="458">
        <v>0.26337526727082783</v>
      </c>
      <c r="I2578" s="468">
        <v>9.1198807688916776</v>
      </c>
    </row>
    <row r="2579" spans="1:9" ht="16.5" x14ac:dyDescent="0.3">
      <c r="A2579" s="477">
        <v>7045590.532617867</v>
      </c>
      <c r="B2579" s="458">
        <v>7.3541303755806586E-2</v>
      </c>
      <c r="C2579" s="477">
        <v>3219576.4929324151</v>
      </c>
      <c r="D2579" s="458">
        <v>4.775641640897943E-2</v>
      </c>
      <c r="E2579" s="477">
        <v>10282032.802492987</v>
      </c>
      <c r="F2579" s="458">
        <v>0.10307446064865733</v>
      </c>
      <c r="G2579" s="477">
        <v>92464233.269360274</v>
      </c>
      <c r="H2579" s="458">
        <v>0.2852305467429177</v>
      </c>
      <c r="I2579" s="468">
        <v>5.5888565524232403</v>
      </c>
    </row>
    <row r="2580" spans="1:9" ht="16.5" x14ac:dyDescent="0.3">
      <c r="A2580" s="477">
        <v>4985502.600765679</v>
      </c>
      <c r="B2580" s="458">
        <v>5.5905349800383197E-2</v>
      </c>
      <c r="C2580" s="477">
        <v>9153259.7013080008</v>
      </c>
      <c r="D2580" s="458">
        <v>7.9949441436219848E-2</v>
      </c>
      <c r="E2580" s="477">
        <v>19231766.505159684</v>
      </c>
      <c r="F2580" s="458">
        <v>0.11683600054310439</v>
      </c>
      <c r="G2580" s="477">
        <v>81235330.422684819</v>
      </c>
      <c r="H2580" s="458">
        <v>0.28830270892605148</v>
      </c>
      <c r="I2580" s="468">
        <v>7.7482752984666199</v>
      </c>
    </row>
    <row r="2581" spans="1:9" ht="16.5" x14ac:dyDescent="0.3">
      <c r="A2581" s="477">
        <v>5649338.5179294189</v>
      </c>
      <c r="B2581" s="458">
        <v>3.5568840638006582E-2</v>
      </c>
      <c r="C2581" s="477">
        <v>8293105.8499689139</v>
      </c>
      <c r="D2581" s="458">
        <v>6.5369447443789142E-2</v>
      </c>
      <c r="E2581" s="477">
        <v>11311153.210356612</v>
      </c>
      <c r="F2581" s="458">
        <v>9.8579082918694771E-2</v>
      </c>
      <c r="G2581" s="477">
        <v>81407330.695558265</v>
      </c>
      <c r="H2581" s="458">
        <v>0.26239639741417009</v>
      </c>
      <c r="I2581" s="468">
        <v>10.258777432982001</v>
      </c>
    </row>
    <row r="2582" spans="1:9" ht="16.5" x14ac:dyDescent="0.3">
      <c r="A2582" s="477">
        <v>6044660.9362240545</v>
      </c>
      <c r="B2582" s="458">
        <v>-6.3315140514830226E-3</v>
      </c>
      <c r="C2582" s="477">
        <v>7834939.239430015</v>
      </c>
      <c r="D2582" s="458">
        <v>6.03449086836505E-2</v>
      </c>
      <c r="E2582" s="477">
        <v>19296380.158014342</v>
      </c>
      <c r="F2582" s="458">
        <v>0.11819906414073067</v>
      </c>
      <c r="G2582" s="477">
        <v>85968794.975386441</v>
      </c>
      <c r="H2582" s="458">
        <v>0.27058521910509414</v>
      </c>
      <c r="I2582" s="468">
        <v>9.3763838463707501</v>
      </c>
    </row>
    <row r="2583" spans="1:9" ht="16.5" x14ac:dyDescent="0.3">
      <c r="A2583" s="477">
        <v>5692924.9383688178</v>
      </c>
      <c r="B2583" s="458">
        <v>3.2600597504665929E-2</v>
      </c>
      <c r="C2583" s="477">
        <v>7489263.6189242918</v>
      </c>
      <c r="D2583" s="458">
        <v>5.0921693880692231E-2</v>
      </c>
      <c r="E2583" s="477">
        <v>17113719.711344078</v>
      </c>
      <c r="F2583" s="458">
        <v>0.11863651370694317</v>
      </c>
      <c r="G2583" s="477">
        <v>90631262.189861968</v>
      </c>
      <c r="H2583" s="458">
        <v>0.26371744099964634</v>
      </c>
      <c r="I2583" s="468">
        <v>7.2212272638563482</v>
      </c>
    </row>
    <row r="2584" spans="1:9" ht="16.5" x14ac:dyDescent="0.3">
      <c r="A2584" s="477">
        <v>6005810.9002490053</v>
      </c>
      <c r="B2584" s="458">
        <v>5.382233756892485E-2</v>
      </c>
      <c r="C2584" s="477">
        <v>5702056.0959775764</v>
      </c>
      <c r="D2584" s="458">
        <v>3.0276998136497646E-2</v>
      </c>
      <c r="E2584" s="477">
        <v>23948250.521466762</v>
      </c>
      <c r="F2584" s="458">
        <v>7.4812709711969738E-2</v>
      </c>
      <c r="G2584" s="477">
        <v>91980783.538368687</v>
      </c>
      <c r="H2584" s="458">
        <v>0.2604516949106086</v>
      </c>
      <c r="I2584" s="468">
        <v>3.0038300172297259</v>
      </c>
    </row>
    <row r="2585" spans="1:9" ht="16.5" x14ac:dyDescent="0.3">
      <c r="A2585" s="477">
        <v>3394138.8500863099</v>
      </c>
      <c r="B2585" s="458">
        <v>6.7713112553154264E-2</v>
      </c>
      <c r="C2585" s="477">
        <v>8065503.3840977969</v>
      </c>
      <c r="D2585" s="458">
        <v>6.4097089665729579E-2</v>
      </c>
      <c r="E2585" s="477">
        <v>16220709.066384481</v>
      </c>
      <c r="F2585" s="458">
        <v>0.12729384935274135</v>
      </c>
      <c r="G2585" s="477">
        <v>99660717.788394511</v>
      </c>
      <c r="H2585" s="458">
        <v>0.26706245819624663</v>
      </c>
      <c r="I2585" s="468">
        <v>9.2457641513375819</v>
      </c>
    </row>
    <row r="2586" spans="1:9" ht="16.5" x14ac:dyDescent="0.3">
      <c r="A2586" s="477">
        <v>5981502.3330287701</v>
      </c>
      <c r="B2586" s="458">
        <v>1.5771043928026973E-2</v>
      </c>
      <c r="C2586" s="477">
        <v>5318561.673139926</v>
      </c>
      <c r="D2586" s="458">
        <v>5.9845742226764198E-2</v>
      </c>
      <c r="E2586" s="477">
        <v>20001827.262636188</v>
      </c>
      <c r="F2586" s="458">
        <v>0.10595636987721591</v>
      </c>
      <c r="G2586" s="477">
        <v>87719524.241803229</v>
      </c>
      <c r="H2586" s="458">
        <v>0.26837443023176677</v>
      </c>
      <c r="I2586" s="468">
        <v>8.3704466424517499</v>
      </c>
    </row>
    <row r="2587" spans="1:9" ht="16.5" x14ac:dyDescent="0.3">
      <c r="A2587" s="477">
        <v>5599336.0651411843</v>
      </c>
      <c r="B2587" s="458">
        <v>8.1411057124865405E-2</v>
      </c>
      <c r="C2587" s="477">
        <v>12289619.403644361</v>
      </c>
      <c r="D2587" s="458">
        <v>4.936184598605009E-2</v>
      </c>
      <c r="E2587" s="477">
        <v>15007478.249822915</v>
      </c>
      <c r="F2587" s="458">
        <v>0.12623164251648022</v>
      </c>
      <c r="G2587" s="477">
        <v>92105405.731195629</v>
      </c>
      <c r="H2587" s="458">
        <v>0.25190410679188835</v>
      </c>
      <c r="I2587" s="468">
        <v>6.855337083283489</v>
      </c>
    </row>
    <row r="2588" spans="1:9" ht="16.5" x14ac:dyDescent="0.3">
      <c r="A2588" s="477">
        <v>8567506.1343754809</v>
      </c>
      <c r="B2588" s="458">
        <v>2.9953119916563242E-2</v>
      </c>
      <c r="C2588" s="477">
        <v>4867983.0312965643</v>
      </c>
      <c r="D2588" s="458">
        <v>4.8544889705156802E-2</v>
      </c>
      <c r="E2588" s="477">
        <v>20585377.460602224</v>
      </c>
      <c r="F2588" s="458">
        <v>0.15092113492715908</v>
      </c>
      <c r="G2588" s="477">
        <v>78709938.367187247</v>
      </c>
      <c r="H2588" s="458">
        <v>0.26340513805249288</v>
      </c>
      <c r="I2588" s="468">
        <v>8.3107270015209131</v>
      </c>
    </row>
    <row r="2589" spans="1:9" ht="16.5" x14ac:dyDescent="0.3">
      <c r="A2589" s="477">
        <v>2469817.3116775695</v>
      </c>
      <c r="B2589" s="458">
        <v>3.877479703085962E-2</v>
      </c>
      <c r="C2589" s="477">
        <v>9994374.8371594027</v>
      </c>
      <c r="D2589" s="458">
        <v>8.2264866998201347E-2</v>
      </c>
      <c r="E2589" s="477">
        <v>11371256.641203854</v>
      </c>
      <c r="F2589" s="458">
        <v>9.7194903155520151E-2</v>
      </c>
      <c r="G2589" s="477">
        <v>92409307.092539743</v>
      </c>
      <c r="H2589" s="458">
        <v>0.26582552290733119</v>
      </c>
      <c r="I2589" s="468">
        <v>7.5060821558102937</v>
      </c>
    </row>
    <row r="2590" spans="1:9" ht="16.5" x14ac:dyDescent="0.3">
      <c r="A2590" s="477">
        <v>9054046.5341862869</v>
      </c>
      <c r="B2590" s="458">
        <v>7.667539718585914E-3</v>
      </c>
      <c r="C2590" s="477">
        <v>8773470.4044179358</v>
      </c>
      <c r="D2590" s="458">
        <v>6.9768260248922687E-2</v>
      </c>
      <c r="E2590" s="477">
        <v>19999617.147972662</v>
      </c>
      <c r="F2590" s="458">
        <v>0.12121639578715393</v>
      </c>
      <c r="G2590" s="477">
        <v>118392108.1953577</v>
      </c>
      <c r="H2590" s="458">
        <v>0.26752227733770195</v>
      </c>
      <c r="I2590" s="468">
        <v>11.315419987158993</v>
      </c>
    </row>
    <row r="2591" spans="1:9" ht="16.5" x14ac:dyDescent="0.3">
      <c r="A2591" s="477">
        <v>4719258.318297524</v>
      </c>
      <c r="B2591" s="458">
        <v>5.5811789724445005E-2</v>
      </c>
      <c r="C2591" s="477">
        <v>9117354.8821142577</v>
      </c>
      <c r="D2591" s="458">
        <v>5.6283378576041265E-2</v>
      </c>
      <c r="E2591" s="477">
        <v>21007020.522240419</v>
      </c>
      <c r="F2591" s="458">
        <v>0.11257232129177575</v>
      </c>
      <c r="G2591" s="477">
        <v>104885528.71554185</v>
      </c>
      <c r="H2591" s="458">
        <v>0.28388406137263078</v>
      </c>
      <c r="I2591" s="468">
        <v>10.416497953729008</v>
      </c>
    </row>
    <row r="2592" spans="1:9" ht="16.5" x14ac:dyDescent="0.3">
      <c r="A2592" s="477">
        <v>5295101.2342987675</v>
      </c>
      <c r="B2592" s="458">
        <v>2.9351041556466173E-2</v>
      </c>
      <c r="C2592" s="477">
        <v>11345446.255339703</v>
      </c>
      <c r="D2592" s="458">
        <v>6.711535114343703E-2</v>
      </c>
      <c r="E2592" s="477">
        <v>18975455.442633353</v>
      </c>
      <c r="F2592" s="458">
        <v>0.11355282117847443</v>
      </c>
      <c r="G2592" s="477">
        <v>88425702.859200001</v>
      </c>
      <c r="H2592" s="458">
        <v>0.26646527246141094</v>
      </c>
      <c r="I2592" s="468">
        <v>5.4780530005811059</v>
      </c>
    </row>
    <row r="2593" spans="1:9" ht="16.5" x14ac:dyDescent="0.3">
      <c r="A2593" s="477">
        <v>7597559.7786248578</v>
      </c>
      <c r="B2593" s="458">
        <v>3.3807188749278128E-2</v>
      </c>
      <c r="C2593" s="477">
        <v>8649227.8413386494</v>
      </c>
      <c r="D2593" s="458">
        <v>7.9440624160725948E-2</v>
      </c>
      <c r="E2593" s="477">
        <v>7757590.5081804805</v>
      </c>
      <c r="F2593" s="458">
        <v>0.11357469692493938</v>
      </c>
      <c r="G2593" s="477">
        <v>92458335.522916019</v>
      </c>
      <c r="H2593" s="458">
        <v>0.24833197512497884</v>
      </c>
      <c r="I2593" s="468">
        <v>5.0615017556564847</v>
      </c>
    </row>
    <row r="2594" spans="1:9" ht="16.5" x14ac:dyDescent="0.3">
      <c r="A2594" s="477">
        <v>3262467.7057441245</v>
      </c>
      <c r="B2594" s="458">
        <v>7.2078832049525809E-2</v>
      </c>
      <c r="C2594" s="477">
        <v>8230021.7427630108</v>
      </c>
      <c r="D2594" s="458">
        <v>3.9443399613225738E-2</v>
      </c>
      <c r="E2594" s="477">
        <v>10089091.677579558</v>
      </c>
      <c r="F2594" s="458">
        <v>9.538829133030724E-2</v>
      </c>
      <c r="G2594" s="477">
        <v>86902510.41481179</v>
      </c>
      <c r="H2594" s="458">
        <v>0.25425409826985335</v>
      </c>
      <c r="I2594" s="468">
        <v>11.419200660833084</v>
      </c>
    </row>
    <row r="2595" spans="1:9" ht="16.5" x14ac:dyDescent="0.3">
      <c r="A2595" s="477">
        <v>5537581.6443469981</v>
      </c>
      <c r="B2595" s="458">
        <v>3.3310865320952843E-2</v>
      </c>
      <c r="C2595" s="477">
        <v>12589489.331565524</v>
      </c>
      <c r="D2595" s="458">
        <v>5.9021383300691399E-2</v>
      </c>
      <c r="E2595" s="477">
        <v>25083707.425739989</v>
      </c>
      <c r="F2595" s="458">
        <v>0.12037112734477451</v>
      </c>
      <c r="G2595" s="477">
        <v>98647085.245159909</v>
      </c>
      <c r="H2595" s="458">
        <v>0.25812239984854313</v>
      </c>
      <c r="I2595" s="468">
        <v>9.1570647748365754</v>
      </c>
    </row>
    <row r="2596" spans="1:9" ht="16.5" x14ac:dyDescent="0.3">
      <c r="A2596" s="477">
        <v>4269630.7138374094</v>
      </c>
      <c r="B2596" s="458">
        <v>2.6756163111508968E-2</v>
      </c>
      <c r="C2596" s="477">
        <v>6014884.4236893198</v>
      </c>
      <c r="D2596" s="458">
        <v>4.5911849399029148E-2</v>
      </c>
      <c r="E2596" s="477">
        <v>18008655.755423803</v>
      </c>
      <c r="F2596" s="458">
        <v>0.10000155813587996</v>
      </c>
      <c r="G2596" s="477">
        <v>110123002.39795358</v>
      </c>
      <c r="H2596" s="458">
        <v>0.28138528523408257</v>
      </c>
      <c r="I2596" s="468">
        <v>8.6325453508384768</v>
      </c>
    </row>
    <row r="2597" spans="1:9" ht="16.5" x14ac:dyDescent="0.3">
      <c r="A2597" s="477">
        <v>6368616.244728704</v>
      </c>
      <c r="B2597" s="458">
        <v>3.8249884826940139E-2</v>
      </c>
      <c r="C2597" s="477">
        <v>4948127.6726535996</v>
      </c>
      <c r="D2597" s="458">
        <v>6.6832164751558842E-2</v>
      </c>
      <c r="E2597" s="477">
        <v>18152040.733913761</v>
      </c>
      <c r="F2597" s="458">
        <v>9.6773733259410077E-2</v>
      </c>
      <c r="G2597" s="477">
        <v>86947215.065037951</v>
      </c>
      <c r="H2597" s="458">
        <v>0.25347312320520188</v>
      </c>
      <c r="I2597" s="468">
        <v>11.309976623065756</v>
      </c>
    </row>
    <row r="2598" spans="1:9" ht="16.5" x14ac:dyDescent="0.3">
      <c r="A2598" s="477">
        <v>5664870.6913799299</v>
      </c>
      <c r="B2598" s="458">
        <v>3.4283787263784227E-2</v>
      </c>
      <c r="C2598" s="477">
        <v>7169093.3318461347</v>
      </c>
      <c r="D2598" s="458">
        <v>5.7618073510903978E-2</v>
      </c>
      <c r="E2598" s="477">
        <v>18894972.148376219</v>
      </c>
      <c r="F2598" s="458">
        <v>8.9931196839151184E-2</v>
      </c>
      <c r="G2598" s="477">
        <v>99212609.536432579</v>
      </c>
      <c r="H2598" s="458">
        <v>0.26084849787907349</v>
      </c>
      <c r="I2598" s="468">
        <v>16.096953261428894</v>
      </c>
    </row>
    <row r="2599" spans="1:9" ht="16.5" x14ac:dyDescent="0.3">
      <c r="A2599" s="477">
        <v>3284500.1132723717</v>
      </c>
      <c r="B2599" s="458">
        <v>4.2885780210236035E-2</v>
      </c>
      <c r="C2599" s="477">
        <v>12404485.058366599</v>
      </c>
      <c r="D2599" s="458">
        <v>6.2377431413358497E-2</v>
      </c>
      <c r="E2599" s="477">
        <v>13636116.254589306</v>
      </c>
      <c r="F2599" s="458">
        <v>0.10243296513095723</v>
      </c>
      <c r="G2599" s="477">
        <v>85875691.748283058</v>
      </c>
      <c r="H2599" s="458">
        <v>0.28638600340552878</v>
      </c>
      <c r="I2599" s="468">
        <v>8.9085996939742795</v>
      </c>
    </row>
    <row r="2600" spans="1:9" ht="16.5" x14ac:dyDescent="0.3">
      <c r="A2600" s="477">
        <v>5165215.2558929315</v>
      </c>
      <c r="B2600" s="458">
        <v>4.7073900982427253E-2</v>
      </c>
      <c r="C2600" s="477">
        <v>8709937.4361860119</v>
      </c>
      <c r="D2600" s="458">
        <v>7.0289709570431569E-2</v>
      </c>
      <c r="E2600" s="477">
        <v>17924064.648284093</v>
      </c>
      <c r="F2600" s="458">
        <v>0.11770405915535798</v>
      </c>
      <c r="G2600" s="477">
        <v>93362425.7519539</v>
      </c>
      <c r="H2600" s="458">
        <v>0.27589567190304431</v>
      </c>
      <c r="I2600" s="468">
        <v>6.6949203092834129</v>
      </c>
    </row>
    <row r="2601" spans="1:9" ht="16.5" x14ac:dyDescent="0.3">
      <c r="A2601" s="477">
        <v>1461508.6066789746</v>
      </c>
      <c r="B2601" s="458">
        <v>2.6680249007839718E-2</v>
      </c>
      <c r="C2601" s="477">
        <v>13872294.409292651</v>
      </c>
      <c r="D2601" s="458">
        <v>7.846882334120453E-2</v>
      </c>
      <c r="E2601" s="477">
        <v>20144419.916864023</v>
      </c>
      <c r="F2601" s="458">
        <v>9.3120526522018077E-2</v>
      </c>
      <c r="G2601" s="477">
        <v>89274342.48074767</v>
      </c>
      <c r="H2601" s="458">
        <v>0.27277937290727317</v>
      </c>
      <c r="I2601" s="468">
        <v>10.200070749769646</v>
      </c>
    </row>
    <row r="2602" spans="1:9" ht="16.5" x14ac:dyDescent="0.3">
      <c r="A2602" s="477">
        <v>6128930.6436051065</v>
      </c>
      <c r="B2602" s="458">
        <v>7.3380735896506621E-3</v>
      </c>
      <c r="C2602" s="477">
        <v>6088761.6919015013</v>
      </c>
      <c r="D2602" s="458">
        <v>4.0248837563980677E-2</v>
      </c>
      <c r="E2602" s="477">
        <v>15875057.389721148</v>
      </c>
      <c r="F2602" s="458">
        <v>0.10821163016997448</v>
      </c>
      <c r="G2602" s="477">
        <v>101991362.00660546</v>
      </c>
      <c r="H2602" s="458">
        <v>0.26147757281334849</v>
      </c>
      <c r="I2602" s="468">
        <v>13.306582965253547</v>
      </c>
    </row>
    <row r="2603" spans="1:9" ht="16.5" x14ac:dyDescent="0.3">
      <c r="A2603" s="477">
        <v>4929632.0413306691</v>
      </c>
      <c r="B2603" s="458">
        <v>2.7735878640135825E-2</v>
      </c>
      <c r="C2603" s="477">
        <v>9912721.2346067689</v>
      </c>
      <c r="D2603" s="458">
        <v>6.6209288896032392E-2</v>
      </c>
      <c r="E2603" s="477">
        <v>11962096.449309178</v>
      </c>
      <c r="F2603" s="458">
        <v>9.8327887865439889E-2</v>
      </c>
      <c r="G2603" s="477">
        <v>81553372.745809928</v>
      </c>
      <c r="H2603" s="458">
        <v>0.26309464214338796</v>
      </c>
      <c r="I2603" s="468">
        <v>7.445999223905166</v>
      </c>
    </row>
    <row r="2604" spans="1:9" ht="16.5" x14ac:dyDescent="0.3">
      <c r="A2604" s="477">
        <v>9804829.4457976092</v>
      </c>
      <c r="B2604" s="458">
        <v>4.5097447971005566E-2</v>
      </c>
      <c r="C2604" s="477">
        <v>149019.67597525939</v>
      </c>
      <c r="D2604" s="458">
        <v>6.4122852119684159E-2</v>
      </c>
      <c r="E2604" s="477">
        <v>13882748.488486305</v>
      </c>
      <c r="F2604" s="458">
        <v>0.1158174816075106</v>
      </c>
      <c r="G2604" s="477">
        <v>82415268.789471805</v>
      </c>
      <c r="H2604" s="458">
        <v>0.25889626805517607</v>
      </c>
      <c r="I2604" s="468">
        <v>1.0468800891684822</v>
      </c>
    </row>
    <row r="2605" spans="1:9" ht="16.5" x14ac:dyDescent="0.3">
      <c r="A2605" s="477">
        <v>4527930.0021640006</v>
      </c>
      <c r="B2605" s="458">
        <v>2.3012915418871405E-2</v>
      </c>
      <c r="C2605" s="477">
        <v>132542.33491013994</v>
      </c>
      <c r="D2605" s="458">
        <v>7.688176316275297E-2</v>
      </c>
      <c r="E2605" s="477">
        <v>22015081.312869325</v>
      </c>
      <c r="F2605" s="458">
        <v>0.11658648106372937</v>
      </c>
      <c r="G2605" s="477">
        <v>105095821.87826106</v>
      </c>
      <c r="H2605" s="458">
        <v>0.26807948151124816</v>
      </c>
      <c r="I2605" s="468">
        <v>6.2310960494318923</v>
      </c>
    </row>
    <row r="2606" spans="1:9" ht="16.5" x14ac:dyDescent="0.3">
      <c r="A2606" s="477">
        <v>3217841.3332283096</v>
      </c>
      <c r="B2606" s="458">
        <v>4.9279785013401023E-2</v>
      </c>
      <c r="C2606" s="477">
        <v>10240346.390849328</v>
      </c>
      <c r="D2606" s="458">
        <v>6.0587921520066645E-2</v>
      </c>
      <c r="E2606" s="477">
        <v>14692008.675466953</v>
      </c>
      <c r="F2606" s="458">
        <v>7.9651753477543386E-2</v>
      </c>
      <c r="G2606" s="477">
        <v>94712517.081442967</v>
      </c>
      <c r="H2606" s="458">
        <v>0.27934958740991322</v>
      </c>
      <c r="I2606" s="468">
        <v>5.2352235511817504</v>
      </c>
    </row>
    <row r="2607" spans="1:9" ht="16.5" x14ac:dyDescent="0.3">
      <c r="A2607" s="477">
        <v>3811535.6650670958</v>
      </c>
      <c r="B2607" s="458">
        <v>4.1947939783671728E-2</v>
      </c>
      <c r="C2607" s="477">
        <v>11264036.432446282</v>
      </c>
      <c r="D2607" s="458">
        <v>6.493489873674485E-2</v>
      </c>
      <c r="E2607" s="477">
        <v>10337136.986631131</v>
      </c>
      <c r="F2607" s="458">
        <v>0.13146758185649898</v>
      </c>
      <c r="G2607" s="477">
        <v>96383831.493143693</v>
      </c>
      <c r="H2607" s="458">
        <v>0.27816790669864444</v>
      </c>
      <c r="I2607" s="468">
        <v>9.6381087115294264</v>
      </c>
    </row>
    <row r="2608" spans="1:9" ht="16.5" x14ac:dyDescent="0.3">
      <c r="A2608" s="477">
        <v>5189102.773558029</v>
      </c>
      <c r="B2608" s="458">
        <v>3.6401827638196549E-2</v>
      </c>
      <c r="C2608" s="477">
        <v>4766410.8136999588</v>
      </c>
      <c r="D2608" s="458">
        <v>6.8596652619373533E-2</v>
      </c>
      <c r="E2608" s="477">
        <v>19850061.02887477</v>
      </c>
      <c r="F2608" s="458">
        <v>7.0823406735142758E-2</v>
      </c>
      <c r="G2608" s="477">
        <v>98609312.080505699</v>
      </c>
      <c r="H2608" s="458">
        <v>0.28785263946268658</v>
      </c>
      <c r="I2608" s="468">
        <v>7.7863257880808678</v>
      </c>
    </row>
    <row r="2609" spans="1:9" ht="16.5" x14ac:dyDescent="0.3">
      <c r="A2609" s="477">
        <v>5539869.3443481103</v>
      </c>
      <c r="B2609" s="458">
        <v>6.3506530352539503E-2</v>
      </c>
      <c r="C2609" s="477">
        <v>7666093.7764958916</v>
      </c>
      <c r="D2609" s="458">
        <v>6.1042563370992564E-2</v>
      </c>
      <c r="E2609" s="477">
        <v>14967428.97346855</v>
      </c>
      <c r="F2609" s="458">
        <v>0.13762834499919618</v>
      </c>
      <c r="G2609" s="477">
        <v>92334994.033939555</v>
      </c>
      <c r="H2609" s="458">
        <v>0.2606396381838616</v>
      </c>
      <c r="I2609" s="468">
        <v>6.9348075553500639</v>
      </c>
    </row>
    <row r="2610" spans="1:9" ht="16.5" x14ac:dyDescent="0.3">
      <c r="A2610" s="477">
        <v>2149040.3505273405</v>
      </c>
      <c r="B2610" s="458">
        <v>2.3471041385827673E-2</v>
      </c>
      <c r="C2610" s="477">
        <v>8356593.5256987745</v>
      </c>
      <c r="D2610" s="458">
        <v>6.754633893655293E-2</v>
      </c>
      <c r="E2610" s="477">
        <v>15777315.480858244</v>
      </c>
      <c r="F2610" s="458">
        <v>0.10363828870189917</v>
      </c>
      <c r="G2610" s="477">
        <v>101677935.28217413</v>
      </c>
      <c r="H2610" s="458">
        <v>0.2842116465411737</v>
      </c>
      <c r="I2610" s="468">
        <v>9.1635664469772671</v>
      </c>
    </row>
    <row r="2611" spans="1:9" ht="16.5" x14ac:dyDescent="0.3">
      <c r="A2611" s="477">
        <v>6973984.246931647</v>
      </c>
      <c r="B2611" s="458">
        <v>2.756499241848509E-2</v>
      </c>
      <c r="C2611" s="477">
        <v>9298617.8368313126</v>
      </c>
      <c r="D2611" s="458">
        <v>5.483945365828391E-2</v>
      </c>
      <c r="E2611" s="477">
        <v>19515964.336301018</v>
      </c>
      <c r="F2611" s="458">
        <v>0.12635343526125098</v>
      </c>
      <c r="G2611" s="477">
        <v>87227915.639702231</v>
      </c>
      <c r="H2611" s="458">
        <v>0.29331710154271917</v>
      </c>
      <c r="I2611" s="468">
        <v>8.071602308332503</v>
      </c>
    </row>
    <row r="2612" spans="1:9" ht="16.5" x14ac:dyDescent="0.3">
      <c r="A2612" s="477">
        <v>11541291.194217784</v>
      </c>
      <c r="B2612" s="458">
        <v>4.6435095989322717E-2</v>
      </c>
      <c r="C2612" s="477">
        <v>8856636.6140150763</v>
      </c>
      <c r="D2612" s="458">
        <v>8.1212032869613537E-2</v>
      </c>
      <c r="E2612" s="477">
        <v>15544723.198508454</v>
      </c>
      <c r="F2612" s="458">
        <v>0.10257540531224008</v>
      </c>
      <c r="G2612" s="477">
        <v>89485889.078759417</v>
      </c>
      <c r="H2612" s="458">
        <v>0.2702207954090099</v>
      </c>
      <c r="I2612" s="468">
        <v>7.3911797983454983</v>
      </c>
    </row>
    <row r="2613" spans="1:9" ht="16.5" x14ac:dyDescent="0.3">
      <c r="A2613" s="477">
        <v>3337212.6941188672</v>
      </c>
      <c r="B2613" s="458">
        <v>2.2792427237655177E-2</v>
      </c>
      <c r="C2613" s="477">
        <v>10655532.060416026</v>
      </c>
      <c r="D2613" s="458">
        <v>6.8723133539849934E-2</v>
      </c>
      <c r="E2613" s="477">
        <v>22298976.454862639</v>
      </c>
      <c r="F2613" s="458">
        <v>0.11046295257648597</v>
      </c>
      <c r="G2613" s="477">
        <v>88914734.833891571</v>
      </c>
      <c r="H2613" s="458">
        <v>0.26930573581748329</v>
      </c>
      <c r="I2613" s="468">
        <v>9.172087143524891</v>
      </c>
    </row>
    <row r="2614" spans="1:9" ht="16.5" x14ac:dyDescent="0.3">
      <c r="A2614" s="477">
        <v>3004629.7590486729</v>
      </c>
      <c r="B2614" s="458">
        <v>3.084758144403188E-2</v>
      </c>
      <c r="C2614" s="477">
        <v>9733973.3272929695</v>
      </c>
      <c r="D2614" s="458">
        <v>6.3678202285296193E-2</v>
      </c>
      <c r="E2614" s="477">
        <v>13858703.214744026</v>
      </c>
      <c r="F2614" s="458">
        <v>9.7857414072202165E-2</v>
      </c>
      <c r="G2614" s="477">
        <v>63348567.843294695</v>
      </c>
      <c r="H2614" s="458">
        <v>0.26199365162155575</v>
      </c>
      <c r="I2614" s="468">
        <v>13.07494533027422</v>
      </c>
    </row>
    <row r="2615" spans="1:9" ht="16.5" x14ac:dyDescent="0.3">
      <c r="A2615" s="477">
        <v>4639395.3893709686</v>
      </c>
      <c r="B2615" s="458">
        <v>1.9998464893456358E-2</v>
      </c>
      <c r="C2615" s="477">
        <v>12246569.522794776</v>
      </c>
      <c r="D2615" s="458">
        <v>7.6557039965244433E-2</v>
      </c>
      <c r="E2615" s="477">
        <v>23233279.0742063</v>
      </c>
      <c r="F2615" s="458">
        <v>0.11377550111072887</v>
      </c>
      <c r="G2615" s="477">
        <v>76083024.811572343</v>
      </c>
      <c r="H2615" s="458">
        <v>0.29159533311520458</v>
      </c>
      <c r="I2615" s="468">
        <v>4.3335842484688545</v>
      </c>
    </row>
    <row r="2616" spans="1:9" ht="16.5" x14ac:dyDescent="0.3">
      <c r="A2616" s="477">
        <v>-366252.93360449647</v>
      </c>
      <c r="B2616" s="458">
        <v>3.6973820673976032E-2</v>
      </c>
      <c r="C2616" s="477">
        <v>13282431.043919241</v>
      </c>
      <c r="D2616" s="458">
        <v>6.4393647954944289E-2</v>
      </c>
      <c r="E2616" s="477">
        <v>19252306.864297189</v>
      </c>
      <c r="F2616" s="458">
        <v>0.11739513559825965</v>
      </c>
      <c r="G2616" s="477">
        <v>71672864.630384699</v>
      </c>
      <c r="H2616" s="458">
        <v>0.27655815593552791</v>
      </c>
      <c r="I2616" s="468">
        <v>11.398923768810246</v>
      </c>
    </row>
    <row r="2617" spans="1:9" ht="16.5" x14ac:dyDescent="0.3">
      <c r="A2617" s="477">
        <v>5513285.3133931085</v>
      </c>
      <c r="B2617" s="458">
        <v>3.8333825923442255E-2</v>
      </c>
      <c r="C2617" s="477">
        <v>10617136.679107439</v>
      </c>
      <c r="D2617" s="458">
        <v>7.9530785107555069E-2</v>
      </c>
      <c r="E2617" s="477">
        <v>13171556.982336964</v>
      </c>
      <c r="F2617" s="458">
        <v>8.9902225768113686E-2</v>
      </c>
      <c r="G2617" s="477">
        <v>90227925.97889623</v>
      </c>
      <c r="H2617" s="458">
        <v>0.29149327781504453</v>
      </c>
      <c r="I2617" s="468">
        <v>5.8519200701844802</v>
      </c>
    </row>
    <row r="2618" spans="1:9" ht="16.5" x14ac:dyDescent="0.3">
      <c r="A2618" s="477">
        <v>7426606.5108012203</v>
      </c>
      <c r="B2618" s="458">
        <v>2.7605384277220812E-2</v>
      </c>
      <c r="C2618" s="477">
        <v>9679867.0246477462</v>
      </c>
      <c r="D2618" s="458">
        <v>6.5622968561632744E-2</v>
      </c>
      <c r="E2618" s="477">
        <v>20726541.049079902</v>
      </c>
      <c r="F2618" s="458">
        <v>0.10480298514876063</v>
      </c>
      <c r="G2618" s="477">
        <v>85224781.35320951</v>
      </c>
      <c r="H2618" s="458">
        <v>0.27538404455367282</v>
      </c>
      <c r="I2618" s="468">
        <v>3.4577789453092285</v>
      </c>
    </row>
    <row r="2619" spans="1:9" ht="16.5" x14ac:dyDescent="0.3">
      <c r="A2619" s="477">
        <v>4018683.4269611118</v>
      </c>
      <c r="B2619" s="458">
        <v>2.774480883995678E-2</v>
      </c>
      <c r="C2619" s="477">
        <v>6718000.3290104028</v>
      </c>
      <c r="D2619" s="458">
        <v>6.0867143627242326E-2</v>
      </c>
      <c r="E2619" s="477">
        <v>13853852.788019467</v>
      </c>
      <c r="F2619" s="458">
        <v>7.4426111650510274E-2</v>
      </c>
      <c r="G2619" s="477">
        <v>94305409.107168764</v>
      </c>
      <c r="H2619" s="458">
        <v>0.26815926614329211</v>
      </c>
      <c r="I2619" s="468">
        <v>5.7604251437949436</v>
      </c>
    </row>
    <row r="2620" spans="1:9" ht="16.5" x14ac:dyDescent="0.3">
      <c r="A2620" s="477">
        <v>6125919.9961198783</v>
      </c>
      <c r="B2620" s="458">
        <v>2.7317072198759895E-2</v>
      </c>
      <c r="C2620" s="477">
        <v>7407620.9834514949</v>
      </c>
      <c r="D2620" s="458">
        <v>6.322425721770597E-2</v>
      </c>
      <c r="E2620" s="477">
        <v>14042899.748527694</v>
      </c>
      <c r="F2620" s="458">
        <v>9.2883304716424142E-2</v>
      </c>
      <c r="G2620" s="477">
        <v>88149789.129894689</v>
      </c>
      <c r="H2620" s="458">
        <v>0.28591473815568746</v>
      </c>
      <c r="I2620" s="468">
        <v>9.676150656754098</v>
      </c>
    </row>
    <row r="2621" spans="1:9" ht="16.5" x14ac:dyDescent="0.3">
      <c r="A2621" s="477">
        <v>757059.36279498169</v>
      </c>
      <c r="B2621" s="458">
        <v>5.6723231049513601E-2</v>
      </c>
      <c r="C2621" s="477">
        <v>2231899.3502229676</v>
      </c>
      <c r="D2621" s="458">
        <v>6.1301867702543866E-2</v>
      </c>
      <c r="E2621" s="477">
        <v>24870562.37299931</v>
      </c>
      <c r="F2621" s="458">
        <v>0.11958603105878707</v>
      </c>
      <c r="G2621" s="477">
        <v>76207959.65709278</v>
      </c>
      <c r="H2621" s="458">
        <v>0.28757558400256578</v>
      </c>
      <c r="I2621" s="468">
        <v>3.7182861414670878</v>
      </c>
    </row>
    <row r="2622" spans="1:9" ht="16.5" x14ac:dyDescent="0.3">
      <c r="A2622" s="477">
        <v>6402178.4227983495</v>
      </c>
      <c r="B2622" s="458">
        <v>4.2267186839945792E-2</v>
      </c>
      <c r="C2622" s="477">
        <v>13123327.422399653</v>
      </c>
      <c r="D2622" s="458">
        <v>8.3795230660564934E-2</v>
      </c>
      <c r="E2622" s="477">
        <v>20295092.445226528</v>
      </c>
      <c r="F2622" s="458">
        <v>0.1157760726412016</v>
      </c>
      <c r="G2622" s="477">
        <v>97784733.015904173</v>
      </c>
      <c r="H2622" s="458">
        <v>0.29017063680069222</v>
      </c>
      <c r="I2622" s="468">
        <v>4.8989317554503931</v>
      </c>
    </row>
    <row r="2623" spans="1:9" ht="16.5" x14ac:dyDescent="0.3">
      <c r="A2623" s="477">
        <v>2422513.5400568345</v>
      </c>
      <c r="B2623" s="458">
        <v>8.2691783688941367E-2</v>
      </c>
      <c r="C2623" s="477">
        <v>7952074.185235206</v>
      </c>
      <c r="D2623" s="458">
        <v>7.0003649753240804E-2</v>
      </c>
      <c r="E2623" s="477">
        <v>10454637.348211098</v>
      </c>
      <c r="F2623" s="458">
        <v>0.10960715733828708</v>
      </c>
      <c r="G2623" s="477">
        <v>91707023.521719202</v>
      </c>
      <c r="H2623" s="458">
        <v>0.2676348318884223</v>
      </c>
      <c r="I2623" s="468">
        <v>9.9362167001439961</v>
      </c>
    </row>
    <row r="2624" spans="1:9" ht="16.5" x14ac:dyDescent="0.3">
      <c r="A2624" s="477">
        <v>140384.26267720433</v>
      </c>
      <c r="B2624" s="458">
        <v>5.7426834982236885E-2</v>
      </c>
      <c r="C2624" s="477">
        <v>10145852.511060091</v>
      </c>
      <c r="D2624" s="458">
        <v>6.5773766455684335E-2</v>
      </c>
      <c r="E2624" s="477">
        <v>22843068.205540366</v>
      </c>
      <c r="F2624" s="458">
        <v>0.13593879134556142</v>
      </c>
      <c r="G2624" s="477">
        <v>93666142.272691935</v>
      </c>
      <c r="H2624" s="458">
        <v>0.28497143103028288</v>
      </c>
      <c r="I2624" s="468">
        <v>10.729393291750448</v>
      </c>
    </row>
    <row r="2625" spans="1:9" ht="16.5" x14ac:dyDescent="0.3">
      <c r="A2625" s="477">
        <v>7371537.9387434842</v>
      </c>
      <c r="B2625" s="458">
        <v>6.4046513149667472E-2</v>
      </c>
      <c r="C2625" s="477">
        <v>11968300.592587482</v>
      </c>
      <c r="D2625" s="458">
        <v>5.3276577220865429E-2</v>
      </c>
      <c r="E2625" s="477">
        <v>20231782.640609115</v>
      </c>
      <c r="F2625" s="458">
        <v>0.13284722683710459</v>
      </c>
      <c r="G2625" s="477">
        <v>89475309.143730462</v>
      </c>
      <c r="H2625" s="458">
        <v>0.28799992887684689</v>
      </c>
      <c r="I2625" s="468">
        <v>9.0033571363052793</v>
      </c>
    </row>
    <row r="2626" spans="1:9" ht="16.5" x14ac:dyDescent="0.3">
      <c r="A2626" s="477">
        <v>3120806.616474723</v>
      </c>
      <c r="B2626" s="458">
        <v>5.9705012831387627E-2</v>
      </c>
      <c r="C2626" s="477">
        <v>9409650.8742138389</v>
      </c>
      <c r="D2626" s="458">
        <v>5.5117642424370894E-2</v>
      </c>
      <c r="E2626" s="477">
        <v>19284027.360470597</v>
      </c>
      <c r="F2626" s="458">
        <v>0.11685507086355607</v>
      </c>
      <c r="G2626" s="477">
        <v>99392270.942198604</v>
      </c>
      <c r="H2626" s="458">
        <v>0.28172344951788086</v>
      </c>
      <c r="I2626" s="468">
        <v>10.576060355883881</v>
      </c>
    </row>
    <row r="2627" spans="1:9" ht="16.5" x14ac:dyDescent="0.3">
      <c r="A2627" s="477">
        <v>8881499.782385122</v>
      </c>
      <c r="B2627" s="458">
        <v>2.4714954834130332E-2</v>
      </c>
      <c r="C2627" s="477">
        <v>8653616.7754149847</v>
      </c>
      <c r="D2627" s="458">
        <v>6.4320459441901345E-2</v>
      </c>
      <c r="E2627" s="477">
        <v>12698515.940159578</v>
      </c>
      <c r="F2627" s="458">
        <v>0.10014942242691927</v>
      </c>
      <c r="G2627" s="477">
        <v>99924929.003687978</v>
      </c>
      <c r="H2627" s="458">
        <v>0.26455067228533813</v>
      </c>
      <c r="I2627" s="468">
        <v>5.8145971928929452</v>
      </c>
    </row>
    <row r="2628" spans="1:9" ht="16.5" x14ac:dyDescent="0.3">
      <c r="A2628" s="477">
        <v>666535.45071299036</v>
      </c>
      <c r="B2628" s="458">
        <v>4.1596712456855034E-2</v>
      </c>
      <c r="C2628" s="477">
        <v>10270859.495886488</v>
      </c>
      <c r="D2628" s="458">
        <v>7.3724579479935048E-2</v>
      </c>
      <c r="E2628" s="477">
        <v>15032930.591560425</v>
      </c>
      <c r="F2628" s="458">
        <v>0.10353075812493806</v>
      </c>
      <c r="G2628" s="477">
        <v>102108518.52541164</v>
      </c>
      <c r="H2628" s="458">
        <v>0.25917709272928913</v>
      </c>
      <c r="I2628" s="468">
        <v>3.5960446033920874</v>
      </c>
    </row>
    <row r="2629" spans="1:9" ht="16.5" x14ac:dyDescent="0.3">
      <c r="A2629" s="477">
        <v>9306007.1854384784</v>
      </c>
      <c r="B2629" s="458">
        <v>5.9456779003291604E-2</v>
      </c>
      <c r="C2629" s="477">
        <v>8944862.6174644101</v>
      </c>
      <c r="D2629" s="458">
        <v>6.4249827816164062E-2</v>
      </c>
      <c r="E2629" s="477">
        <v>12179941.028615536</v>
      </c>
      <c r="F2629" s="458">
        <v>0.10751492557935793</v>
      </c>
      <c r="G2629" s="477">
        <v>91813734.010449871</v>
      </c>
      <c r="H2629" s="458">
        <v>0.2807726492279834</v>
      </c>
      <c r="I2629" s="468">
        <v>4.4053207157303014</v>
      </c>
    </row>
    <row r="2630" spans="1:9" ht="16.5" x14ac:dyDescent="0.3">
      <c r="A2630" s="477">
        <v>448878.42912624916</v>
      </c>
      <c r="B2630" s="458">
        <v>5.7713111798036953E-2</v>
      </c>
      <c r="C2630" s="477">
        <v>10883859.168408828</v>
      </c>
      <c r="D2630" s="458">
        <v>5.2025366817770147E-2</v>
      </c>
      <c r="E2630" s="477">
        <v>8089850.6414632266</v>
      </c>
      <c r="F2630" s="458">
        <v>0.10383728892710198</v>
      </c>
      <c r="G2630" s="477">
        <v>91242897.833143249</v>
      </c>
      <c r="H2630" s="458">
        <v>0.25604694480149726</v>
      </c>
      <c r="I2630" s="468">
        <v>4.3723754923629485</v>
      </c>
    </row>
    <row r="2631" spans="1:9" ht="16.5" x14ac:dyDescent="0.3">
      <c r="A2631" s="477">
        <v>3478284.5061614225</v>
      </c>
      <c r="B2631" s="458">
        <v>2.7389269670255123E-2</v>
      </c>
      <c r="C2631" s="477">
        <v>3168187.452816823</v>
      </c>
      <c r="D2631" s="458">
        <v>0.11410495507080376</v>
      </c>
      <c r="E2631" s="477">
        <v>14237138.260582734</v>
      </c>
      <c r="F2631" s="458">
        <v>0.11940146558256015</v>
      </c>
      <c r="G2631" s="477">
        <v>85680937.675363079</v>
      </c>
      <c r="H2631" s="458">
        <v>0.25501492517685254</v>
      </c>
      <c r="I2631" s="468">
        <v>13.103981396054911</v>
      </c>
    </row>
    <row r="2632" spans="1:9" ht="16.5" x14ac:dyDescent="0.3">
      <c r="A2632" s="477">
        <v>2063996.2344635245</v>
      </c>
      <c r="B2632" s="458">
        <v>6.4405322435553414E-2</v>
      </c>
      <c r="C2632" s="477">
        <v>5537107.9367668713</v>
      </c>
      <c r="D2632" s="458">
        <v>7.5870951390391683E-2</v>
      </c>
      <c r="E2632" s="477">
        <v>18339463.66692096</v>
      </c>
      <c r="F2632" s="458">
        <v>0.13597697044597701</v>
      </c>
      <c r="G2632" s="477">
        <v>83480893.998271853</v>
      </c>
      <c r="H2632" s="458">
        <v>0.2524862476244325</v>
      </c>
      <c r="I2632" s="468">
        <v>10.706367887513236</v>
      </c>
    </row>
    <row r="2633" spans="1:9" ht="16.5" x14ac:dyDescent="0.3">
      <c r="A2633" s="477">
        <v>7007981.6925302213</v>
      </c>
      <c r="B2633" s="458">
        <v>3.4333857485734143E-2</v>
      </c>
      <c r="C2633" s="477">
        <v>7439264.7945442619</v>
      </c>
      <c r="D2633" s="458">
        <v>5.1239087004495198E-2</v>
      </c>
      <c r="E2633" s="477">
        <v>13626866.929953707</v>
      </c>
      <c r="F2633" s="458">
        <v>0.11705797737749712</v>
      </c>
      <c r="G2633" s="477">
        <v>81665568.8710673</v>
      </c>
      <c r="H2633" s="458">
        <v>0.26816656884285139</v>
      </c>
      <c r="I2633" s="468">
        <v>6.4052189735648533</v>
      </c>
    </row>
    <row r="2634" spans="1:9" ht="16.5" x14ac:dyDescent="0.3">
      <c r="A2634" s="477">
        <v>349657.8116747287</v>
      </c>
      <c r="B2634" s="458">
        <v>3.638727880857151E-2</v>
      </c>
      <c r="C2634" s="477">
        <v>11106077.678597011</v>
      </c>
      <c r="D2634" s="458">
        <v>6.8359492894751517E-2</v>
      </c>
      <c r="E2634" s="477">
        <v>23754832.415506631</v>
      </c>
      <c r="F2634" s="458">
        <v>8.4859894776818212E-2</v>
      </c>
      <c r="G2634" s="477">
        <v>99067629.173951417</v>
      </c>
      <c r="H2634" s="458">
        <v>0.3132325755270553</v>
      </c>
      <c r="I2634" s="468">
        <v>12.595881925282194</v>
      </c>
    </row>
    <row r="2635" spans="1:9" ht="16.5" x14ac:dyDescent="0.3">
      <c r="A2635" s="477">
        <v>4276505.4890899779</v>
      </c>
      <c r="B2635" s="458">
        <v>5.3650945022875929E-2</v>
      </c>
      <c r="C2635" s="477">
        <v>8068520.7230886463</v>
      </c>
      <c r="D2635" s="458">
        <v>7.2219216502706463E-2</v>
      </c>
      <c r="E2635" s="477">
        <v>18453419.356911298</v>
      </c>
      <c r="F2635" s="458">
        <v>0.10500361128301439</v>
      </c>
      <c r="G2635" s="477">
        <v>87190670.691350132</v>
      </c>
      <c r="H2635" s="458">
        <v>0.2653590308745899</v>
      </c>
      <c r="I2635" s="468">
        <v>4.7088430435012008</v>
      </c>
    </row>
    <row r="2636" spans="1:9" ht="16.5" x14ac:dyDescent="0.3">
      <c r="A2636" s="477">
        <v>8840911.95929184</v>
      </c>
      <c r="B2636" s="458">
        <v>3.8750621256584461E-2</v>
      </c>
      <c r="C2636" s="477">
        <v>10332652.996358117</v>
      </c>
      <c r="D2636" s="458">
        <v>7.4843740170740913E-2</v>
      </c>
      <c r="E2636" s="477">
        <v>8999259.510242926</v>
      </c>
      <c r="F2636" s="458">
        <v>0.13902294319798858</v>
      </c>
      <c r="G2636" s="477">
        <v>75112011.054908738</v>
      </c>
      <c r="H2636" s="458">
        <v>0.26034507549036734</v>
      </c>
      <c r="I2636" s="468">
        <v>8.7644108720054668</v>
      </c>
    </row>
    <row r="2637" spans="1:9" ht="16.5" x14ac:dyDescent="0.3">
      <c r="A2637" s="477">
        <v>9891813.0484522413</v>
      </c>
      <c r="B2637" s="458">
        <v>4.2411759793604675E-2</v>
      </c>
      <c r="C2637" s="477">
        <v>7950901.509758871</v>
      </c>
      <c r="D2637" s="458">
        <v>6.465674609870975E-2</v>
      </c>
      <c r="E2637" s="477">
        <v>15201460.50349587</v>
      </c>
      <c r="F2637" s="458">
        <v>9.7953341508520531E-2</v>
      </c>
      <c r="G2637" s="477">
        <v>86013058.972817302</v>
      </c>
      <c r="H2637" s="458">
        <v>0.2780275964387815</v>
      </c>
      <c r="I2637" s="468">
        <v>5.1863031508696373</v>
      </c>
    </row>
    <row r="2638" spans="1:9" ht="16.5" x14ac:dyDescent="0.3">
      <c r="A2638" s="477">
        <v>4630241.7169508599</v>
      </c>
      <c r="B2638" s="458">
        <v>1.3892598395450317E-2</v>
      </c>
      <c r="C2638" s="477">
        <v>6489965.4466337552</v>
      </c>
      <c r="D2638" s="458">
        <v>5.1199895212312274E-2</v>
      </c>
      <c r="E2638" s="477">
        <v>10662420.623329289</v>
      </c>
      <c r="F2638" s="458">
        <v>0.11495091452109918</v>
      </c>
      <c r="G2638" s="477">
        <v>88527112.684323862</v>
      </c>
      <c r="H2638" s="458">
        <v>0.29030604671086091</v>
      </c>
      <c r="I2638" s="468">
        <v>2.1294725047726111</v>
      </c>
    </row>
    <row r="2639" spans="1:9" ht="16.5" x14ac:dyDescent="0.3">
      <c r="A2639" s="477">
        <v>1343545.7441045954</v>
      </c>
      <c r="B2639" s="458">
        <v>5.6664135971207896E-2</v>
      </c>
      <c r="C2639" s="477">
        <v>7872055.923428298</v>
      </c>
      <c r="D2639" s="458">
        <v>9.51506389464436E-2</v>
      </c>
      <c r="E2639" s="477">
        <v>6446006.3605594058</v>
      </c>
      <c r="F2639" s="458">
        <v>0.10621541956121194</v>
      </c>
      <c r="G2639" s="477">
        <v>93207247.589990407</v>
      </c>
      <c r="H2639" s="458">
        <v>0.25298948648739361</v>
      </c>
      <c r="I2639" s="468">
        <v>15.059388670521315</v>
      </c>
    </row>
    <row r="2640" spans="1:9" ht="16.5" x14ac:dyDescent="0.3">
      <c r="A2640" s="477">
        <v>4194708.8184781251</v>
      </c>
      <c r="B2640" s="458">
        <v>4.9957686512198007E-2</v>
      </c>
      <c r="C2640" s="477">
        <v>12524768.319540022</v>
      </c>
      <c r="D2640" s="458">
        <v>7.2359007952118359E-2</v>
      </c>
      <c r="E2640" s="477">
        <v>18687968.99631888</v>
      </c>
      <c r="F2640" s="458">
        <v>0.12547919027448851</v>
      </c>
      <c r="G2640" s="477">
        <v>89608109.682984859</v>
      </c>
      <c r="H2640" s="458">
        <v>0.26789364569357277</v>
      </c>
      <c r="I2640" s="468">
        <v>10.994142961988803</v>
      </c>
    </row>
    <row r="2641" spans="1:9" ht="16.5" x14ac:dyDescent="0.3">
      <c r="A2641" s="477">
        <v>4766661.3734447528</v>
      </c>
      <c r="B2641" s="458">
        <v>2.8353646424301715E-2</v>
      </c>
      <c r="C2641" s="477">
        <v>7902943.2086272957</v>
      </c>
      <c r="D2641" s="458">
        <v>2.895457702351667E-2</v>
      </c>
      <c r="E2641" s="477">
        <v>17965932.747904621</v>
      </c>
      <c r="F2641" s="458">
        <v>0.11446384088799832</v>
      </c>
      <c r="G2641" s="477">
        <v>102979912.34916267</v>
      </c>
      <c r="H2641" s="458">
        <v>0.28331335089621468</v>
      </c>
      <c r="I2641" s="468">
        <v>9.8940278090427594</v>
      </c>
    </row>
    <row r="2642" spans="1:9" ht="16.5" x14ac:dyDescent="0.3">
      <c r="A2642" s="477">
        <v>5045010.9731156789</v>
      </c>
      <c r="B2642" s="458">
        <v>5.142765679000405E-2</v>
      </c>
      <c r="C2642" s="477">
        <v>5204421.8286053631</v>
      </c>
      <c r="D2642" s="458">
        <v>8.4602245197521686E-2</v>
      </c>
      <c r="E2642" s="477">
        <v>16379099.473668741</v>
      </c>
      <c r="F2642" s="458">
        <v>0.12211335275608382</v>
      </c>
      <c r="G2642" s="477">
        <v>91770368.260822475</v>
      </c>
      <c r="H2642" s="458">
        <v>0.26941916146074707</v>
      </c>
      <c r="I2642" s="468">
        <v>3.3735195111669913</v>
      </c>
    </row>
    <row r="2643" spans="1:9" ht="16.5" x14ac:dyDescent="0.3">
      <c r="A2643" s="477">
        <v>9861710.2793282848</v>
      </c>
      <c r="B2643" s="458">
        <v>2.9053486482507163E-2</v>
      </c>
      <c r="C2643" s="477">
        <v>15531533.946315622</v>
      </c>
      <c r="D2643" s="458">
        <v>8.8671952538297738E-2</v>
      </c>
      <c r="E2643" s="477">
        <v>19214254.182018645</v>
      </c>
      <c r="F2643" s="458">
        <v>0.12048726580891556</v>
      </c>
      <c r="G2643" s="477">
        <v>88703996.067411542</v>
      </c>
      <c r="H2643" s="458">
        <v>0.25535659250211307</v>
      </c>
      <c r="I2643" s="468">
        <v>3.8956530418361073</v>
      </c>
    </row>
    <row r="2644" spans="1:9" ht="16.5" x14ac:dyDescent="0.3">
      <c r="A2644" s="477">
        <v>7759966.5179938935</v>
      </c>
      <c r="B2644" s="458">
        <v>4.1592291633880452E-2</v>
      </c>
      <c r="C2644" s="477">
        <v>2986968.6232232223</v>
      </c>
      <c r="D2644" s="458">
        <v>7.0612792426592907E-2</v>
      </c>
      <c r="E2644" s="477">
        <v>22784644.783920392</v>
      </c>
      <c r="F2644" s="458">
        <v>9.8430116845065863E-2</v>
      </c>
      <c r="G2644" s="477">
        <v>79691203.927032173</v>
      </c>
      <c r="H2644" s="458">
        <v>0.2568627690344889</v>
      </c>
      <c r="I2644" s="468">
        <v>11.051420929607746</v>
      </c>
    </row>
    <row r="2645" spans="1:9" ht="16.5" x14ac:dyDescent="0.3">
      <c r="A2645" s="477">
        <v>4753623.6284591993</v>
      </c>
      <c r="B2645" s="458">
        <v>6.7008540042123421E-2</v>
      </c>
      <c r="C2645" s="477">
        <v>11731070.347079342</v>
      </c>
      <c r="D2645" s="458">
        <v>9.7046055722788127E-2</v>
      </c>
      <c r="E2645" s="477">
        <v>13248785.78730347</v>
      </c>
      <c r="F2645" s="458">
        <v>0.12621960960170475</v>
      </c>
      <c r="G2645" s="477">
        <v>106251104.34255233</v>
      </c>
      <c r="H2645" s="458">
        <v>0.26284713499038159</v>
      </c>
      <c r="I2645" s="468">
        <v>14.580687806927688</v>
      </c>
    </row>
    <row r="2646" spans="1:9" ht="16.5" x14ac:dyDescent="0.3">
      <c r="A2646" s="477">
        <v>6701015.2705741515</v>
      </c>
      <c r="B2646" s="458">
        <v>3.9519031145160533E-2</v>
      </c>
      <c r="C2646" s="477">
        <v>2648696.0747048021</v>
      </c>
      <c r="D2646" s="458">
        <v>6.5085726950368405E-2</v>
      </c>
      <c r="E2646" s="477">
        <v>19152917.707874909</v>
      </c>
      <c r="F2646" s="458">
        <v>0.14213815896941684</v>
      </c>
      <c r="G2646" s="477">
        <v>93681090.200667933</v>
      </c>
      <c r="H2646" s="458">
        <v>0.26609235403264164</v>
      </c>
      <c r="I2646" s="468">
        <v>8.4903383227042912</v>
      </c>
    </row>
    <row r="2647" spans="1:9" ht="16.5" x14ac:dyDescent="0.3">
      <c r="A2647" s="477">
        <v>4217419.1706134984</v>
      </c>
      <c r="B2647" s="458">
        <v>4.7857376829042231E-2</v>
      </c>
      <c r="C2647" s="477">
        <v>10292654.048213044</v>
      </c>
      <c r="D2647" s="458">
        <v>5.8522020313543477E-2</v>
      </c>
      <c r="E2647" s="477">
        <v>24132414.498425353</v>
      </c>
      <c r="F2647" s="458">
        <v>0.11393034341407748</v>
      </c>
      <c r="G2647" s="477">
        <v>82843445.824537635</v>
      </c>
      <c r="H2647" s="458">
        <v>0.25311057689732186</v>
      </c>
      <c r="I2647" s="468">
        <v>12.054797608533885</v>
      </c>
    </row>
    <row r="2648" spans="1:9" ht="16.5" x14ac:dyDescent="0.3">
      <c r="A2648" s="477">
        <v>8457252.6171143465</v>
      </c>
      <c r="B2648" s="458">
        <v>3.7469199530111297E-2</v>
      </c>
      <c r="C2648" s="477">
        <v>7269237.8343302961</v>
      </c>
      <c r="D2648" s="458">
        <v>5.4504161134186546E-2</v>
      </c>
      <c r="E2648" s="477">
        <v>17523225.333166882</v>
      </c>
      <c r="F2648" s="458">
        <v>0.10335084615229606</v>
      </c>
      <c r="G2648" s="477">
        <v>85176397.650778264</v>
      </c>
      <c r="H2648" s="458">
        <v>0.25945732491103013</v>
      </c>
      <c r="I2648" s="468">
        <v>10.871244940605841</v>
      </c>
    </row>
    <row r="2649" spans="1:9" ht="16.5" x14ac:dyDescent="0.3">
      <c r="A2649" s="477">
        <v>9145628.1998689249</v>
      </c>
      <c r="B2649" s="458">
        <v>2.7917253763262373E-2</v>
      </c>
      <c r="C2649" s="477">
        <v>4460892.5019070012</v>
      </c>
      <c r="D2649" s="458">
        <v>6.3305221649185617E-2</v>
      </c>
      <c r="E2649" s="477">
        <v>19614460.727194216</v>
      </c>
      <c r="F2649" s="458">
        <v>0.10884307690960227</v>
      </c>
      <c r="G2649" s="477">
        <v>83716286.808231652</v>
      </c>
      <c r="H2649" s="458">
        <v>0.25884995837632796</v>
      </c>
      <c r="I2649" s="468">
        <v>3.4382725149141837</v>
      </c>
    </row>
    <row r="2650" spans="1:9" ht="16.5" x14ac:dyDescent="0.3">
      <c r="A2650" s="477">
        <v>2266045.4310264401</v>
      </c>
      <c r="B2650" s="458">
        <v>3.7192058463975552E-2</v>
      </c>
      <c r="C2650" s="477">
        <v>6498691.0934219975</v>
      </c>
      <c r="D2650" s="458">
        <v>2.1264388466514017E-2</v>
      </c>
      <c r="E2650" s="477">
        <v>19380296.368994262</v>
      </c>
      <c r="F2650" s="458">
        <v>0.12605332715116457</v>
      </c>
      <c r="G2650" s="477">
        <v>95546114.890417263</v>
      </c>
      <c r="H2650" s="458">
        <v>0.25108785384502363</v>
      </c>
      <c r="I2650" s="468">
        <v>9.313644474331527</v>
      </c>
    </row>
    <row r="2651" spans="1:9" ht="16.5" x14ac:dyDescent="0.3">
      <c r="A2651" s="477">
        <v>5877273.0020315843</v>
      </c>
      <c r="B2651" s="458">
        <v>4.2586499058917537E-2</v>
      </c>
      <c r="C2651" s="477">
        <v>15969109.875606881</v>
      </c>
      <c r="D2651" s="458">
        <v>5.763899921045379E-2</v>
      </c>
      <c r="E2651" s="477">
        <v>24847916.283786152</v>
      </c>
      <c r="F2651" s="458">
        <v>0.1080136405109644</v>
      </c>
      <c r="G2651" s="477">
        <v>75773225.099569768</v>
      </c>
      <c r="H2651" s="458">
        <v>0.27772549514469991</v>
      </c>
      <c r="I2651" s="468">
        <v>4.2143348562165013</v>
      </c>
    </row>
    <row r="2652" spans="1:9" ht="16.5" x14ac:dyDescent="0.3">
      <c r="A2652" s="477">
        <v>3230142.4568924131</v>
      </c>
      <c r="B2652" s="458">
        <v>3.308866129008381E-2</v>
      </c>
      <c r="C2652" s="477">
        <v>13944579.848985059</v>
      </c>
      <c r="D2652" s="458">
        <v>7.2801165101015197E-2</v>
      </c>
      <c r="E2652" s="477">
        <v>20680977.540088907</v>
      </c>
      <c r="F2652" s="458">
        <v>0.11712150416939071</v>
      </c>
      <c r="G2652" s="477">
        <v>82044144.165453762</v>
      </c>
      <c r="H2652" s="458">
        <v>0.27099990867146539</v>
      </c>
      <c r="I2652" s="468">
        <v>9.8450187422230755</v>
      </c>
    </row>
    <row r="2653" spans="1:9" ht="16.5" x14ac:dyDescent="0.3">
      <c r="A2653" s="477">
        <v>2368559.7346068379</v>
      </c>
      <c r="B2653" s="458">
        <v>5.4314687904346348E-2</v>
      </c>
      <c r="C2653" s="477">
        <v>8675472.3069040384</v>
      </c>
      <c r="D2653" s="458">
        <v>7.2516330385255845E-2</v>
      </c>
      <c r="E2653" s="477">
        <v>15322960.726417834</v>
      </c>
      <c r="F2653" s="458">
        <v>0.11225058443590563</v>
      </c>
      <c r="G2653" s="477">
        <v>72611138.903851464</v>
      </c>
      <c r="H2653" s="458">
        <v>0.28111767018104628</v>
      </c>
      <c r="I2653" s="468">
        <v>11.445679272563433</v>
      </c>
    </row>
    <row r="2654" spans="1:9" ht="16.5" x14ac:dyDescent="0.3">
      <c r="A2654" s="477">
        <v>11374659.239176307</v>
      </c>
      <c r="B2654" s="458">
        <v>4.2238044385042084E-2</v>
      </c>
      <c r="C2654" s="477">
        <v>11917444.160129711</v>
      </c>
      <c r="D2654" s="458">
        <v>7.681678884367682E-2</v>
      </c>
      <c r="E2654" s="477">
        <v>17756872.569223534</v>
      </c>
      <c r="F2654" s="458">
        <v>0.14140530363237791</v>
      </c>
      <c r="G2654" s="477">
        <v>82828369.99659124</v>
      </c>
      <c r="H2654" s="458">
        <v>0.29062753884621095</v>
      </c>
      <c r="I2654" s="468">
        <v>10.250961507684041</v>
      </c>
    </row>
    <row r="2655" spans="1:9" ht="16.5" x14ac:dyDescent="0.3">
      <c r="A2655" s="477">
        <v>9002676.3164611757</v>
      </c>
      <c r="B2655" s="458">
        <v>3.3127056549995926E-2</v>
      </c>
      <c r="C2655" s="477">
        <v>6582114.2151765572</v>
      </c>
      <c r="D2655" s="458">
        <v>6.9528233936840156E-2</v>
      </c>
      <c r="E2655" s="477">
        <v>15015789.973739369</v>
      </c>
      <c r="F2655" s="458">
        <v>8.2145085958382991E-2</v>
      </c>
      <c r="G2655" s="477">
        <v>81146630.740332097</v>
      </c>
      <c r="H2655" s="458">
        <v>0.26364949689711992</v>
      </c>
      <c r="I2655" s="468">
        <v>4.2902491813141941</v>
      </c>
    </row>
    <row r="2656" spans="1:9" ht="16.5" x14ac:dyDescent="0.3">
      <c r="A2656" s="477">
        <v>5131452.459420478</v>
      </c>
      <c r="B2656" s="458">
        <v>4.5407942160590187E-2</v>
      </c>
      <c r="C2656" s="477">
        <v>4858402.3778800536</v>
      </c>
      <c r="D2656" s="458">
        <v>6.5102158118638176E-2</v>
      </c>
      <c r="E2656" s="477">
        <v>18862602.779817261</v>
      </c>
      <c r="F2656" s="458">
        <v>0.10049031652362195</v>
      </c>
      <c r="G2656" s="477">
        <v>83599015.399261415</v>
      </c>
      <c r="H2656" s="458">
        <v>0.26484420930973096</v>
      </c>
      <c r="I2656" s="468">
        <v>7.6704767572462167</v>
      </c>
    </row>
    <row r="2657" spans="1:9" ht="16.5" x14ac:dyDescent="0.3">
      <c r="A2657" s="477">
        <v>8291583.5915206103</v>
      </c>
      <c r="B2657" s="458">
        <v>3.9512195161175212E-2</v>
      </c>
      <c r="C2657" s="477">
        <v>3432541.4317963319</v>
      </c>
      <c r="D2657" s="458">
        <v>7.7835069445188365E-2</v>
      </c>
      <c r="E2657" s="477">
        <v>8937632.8267249484</v>
      </c>
      <c r="F2657" s="458">
        <v>0.1048469127044076</v>
      </c>
      <c r="G2657" s="477">
        <v>82121343.911914334</v>
      </c>
      <c r="H2657" s="458">
        <v>0.28853457104346036</v>
      </c>
      <c r="I2657" s="468">
        <v>10.555390681662761</v>
      </c>
    </row>
    <row r="2658" spans="1:9" ht="16.5" x14ac:dyDescent="0.3">
      <c r="A2658" s="477">
        <v>6597017.6843792656</v>
      </c>
      <c r="B2658" s="458">
        <v>2.5141131656926108E-2</v>
      </c>
      <c r="C2658" s="477">
        <v>7363167.2881085854</v>
      </c>
      <c r="D2658" s="458">
        <v>5.3970629872229336E-2</v>
      </c>
      <c r="E2658" s="477">
        <v>21890366.10252437</v>
      </c>
      <c r="F2658" s="458">
        <v>9.6027433421048691E-2</v>
      </c>
      <c r="G2658" s="477">
        <v>74669036.27937755</v>
      </c>
      <c r="H2658" s="458">
        <v>0.25548663706466002</v>
      </c>
      <c r="I2658" s="468">
        <v>12.5685722695476</v>
      </c>
    </row>
    <row r="2659" spans="1:9" ht="16.5" x14ac:dyDescent="0.3">
      <c r="A2659" s="477">
        <v>10836872.836102899</v>
      </c>
      <c r="B2659" s="458">
        <v>3.1359963198087426E-2</v>
      </c>
      <c r="C2659" s="477">
        <v>4903086.1178886406</v>
      </c>
      <c r="D2659" s="458">
        <v>7.0935880893026493E-2</v>
      </c>
      <c r="E2659" s="477">
        <v>15274107.964449812</v>
      </c>
      <c r="F2659" s="458">
        <v>0.10079779939679989</v>
      </c>
      <c r="G2659" s="477">
        <v>77361927.159912527</v>
      </c>
      <c r="H2659" s="458">
        <v>0.25914850846921667</v>
      </c>
      <c r="I2659" s="468">
        <v>11.462861317926029</v>
      </c>
    </row>
    <row r="2660" spans="1:9" ht="16.5" x14ac:dyDescent="0.3">
      <c r="A2660" s="477">
        <v>6772984.1422516685</v>
      </c>
      <c r="B2660" s="458">
        <v>4.6670585078471438E-2</v>
      </c>
      <c r="C2660" s="477">
        <v>4750296.7794554811</v>
      </c>
      <c r="D2660" s="458">
        <v>5.9964189606580343E-2</v>
      </c>
      <c r="E2660" s="477">
        <v>20681390.223479919</v>
      </c>
      <c r="F2660" s="458">
        <v>0.11063801189301992</v>
      </c>
      <c r="G2660" s="477">
        <v>83242268.737304032</v>
      </c>
      <c r="H2660" s="458">
        <v>0.2674856668480261</v>
      </c>
      <c r="I2660" s="468">
        <v>11.465236144431662</v>
      </c>
    </row>
    <row r="2661" spans="1:9" ht="16.5" x14ac:dyDescent="0.3">
      <c r="A2661" s="477">
        <v>5975117.7862874968</v>
      </c>
      <c r="B2661" s="458">
        <v>5.3988246568697162E-2</v>
      </c>
      <c r="C2661" s="477">
        <v>9486900.9665187821</v>
      </c>
      <c r="D2661" s="458">
        <v>6.249689947716619E-2</v>
      </c>
      <c r="E2661" s="477">
        <v>18700500.863255456</v>
      </c>
      <c r="F2661" s="458">
        <v>0.12709030266771704</v>
      </c>
      <c r="G2661" s="477">
        <v>94549040.349288031</v>
      </c>
      <c r="H2661" s="458">
        <v>0.2928648738140438</v>
      </c>
      <c r="I2661" s="468">
        <v>13.849638092099946</v>
      </c>
    </row>
    <row r="2662" spans="1:9" ht="16.5" x14ac:dyDescent="0.3">
      <c r="A2662" s="477">
        <v>5789806.6342471363</v>
      </c>
      <c r="B2662" s="458">
        <v>4.0634192204146213E-2</v>
      </c>
      <c r="C2662" s="477">
        <v>8234533.5996181397</v>
      </c>
      <c r="D2662" s="458">
        <v>7.0103524170516129E-2</v>
      </c>
      <c r="E2662" s="477">
        <v>16485068.948425744</v>
      </c>
      <c r="F2662" s="458">
        <v>8.6822486110881059E-2</v>
      </c>
      <c r="G2662" s="477">
        <v>84986161.337968364</v>
      </c>
      <c r="H2662" s="458">
        <v>0.27111401434076488</v>
      </c>
      <c r="I2662" s="468">
        <v>3.3861693082088875</v>
      </c>
    </row>
    <row r="2663" spans="1:9" ht="16.5" x14ac:dyDescent="0.3">
      <c r="A2663" s="477">
        <v>6567970.1561422944</v>
      </c>
      <c r="B2663" s="458">
        <v>5.522039283081237E-2</v>
      </c>
      <c r="C2663" s="477">
        <v>8105438.7543307496</v>
      </c>
      <c r="D2663" s="458">
        <v>9.4489249315570456E-2</v>
      </c>
      <c r="E2663" s="477">
        <v>16816642.144499443</v>
      </c>
      <c r="F2663" s="458">
        <v>0.12275130083170582</v>
      </c>
      <c r="G2663" s="477">
        <v>91003825.779603451</v>
      </c>
      <c r="H2663" s="458">
        <v>0.29553623468795842</v>
      </c>
      <c r="I2663" s="468">
        <v>11.129116546358967</v>
      </c>
    </row>
    <row r="2664" spans="1:9" ht="16.5" x14ac:dyDescent="0.3">
      <c r="A2664" s="477">
        <v>3448079.3774456736</v>
      </c>
      <c r="B2664" s="458">
        <v>4.9056923277455144E-2</v>
      </c>
      <c r="C2664" s="477">
        <v>12987724.568149095</v>
      </c>
      <c r="D2664" s="458">
        <v>7.8435332704199334E-2</v>
      </c>
      <c r="E2664" s="477">
        <v>16056326.094927199</v>
      </c>
      <c r="F2664" s="458">
        <v>0.10547611260996392</v>
      </c>
      <c r="G2664" s="477">
        <v>78863184.993372068</v>
      </c>
      <c r="H2664" s="458">
        <v>0.28148703260372598</v>
      </c>
      <c r="I2664" s="468">
        <v>10.865639888644527</v>
      </c>
    </row>
    <row r="2665" spans="1:9" ht="16.5" x14ac:dyDescent="0.3">
      <c r="A2665" s="477">
        <v>7225835.7282796251</v>
      </c>
      <c r="B2665" s="458">
        <v>4.5775025696176197E-2</v>
      </c>
      <c r="C2665" s="477">
        <v>7692194.2229090603</v>
      </c>
      <c r="D2665" s="458">
        <v>6.9083489886662575E-2</v>
      </c>
      <c r="E2665" s="477">
        <v>23688764.512268644</v>
      </c>
      <c r="F2665" s="458">
        <v>9.8652201781672666E-2</v>
      </c>
      <c r="G2665" s="477">
        <v>80433873.896772191</v>
      </c>
      <c r="H2665" s="458">
        <v>0.27228357204981379</v>
      </c>
      <c r="I2665" s="468">
        <v>4.7191003205874686</v>
      </c>
    </row>
    <row r="2666" spans="1:9" ht="16.5" x14ac:dyDescent="0.3">
      <c r="A2666" s="477">
        <v>5432317.8998637004</v>
      </c>
      <c r="B2666" s="458">
        <v>4.6757328464071879E-2</v>
      </c>
      <c r="C2666" s="477">
        <v>3354430.0064461716</v>
      </c>
      <c r="D2666" s="458">
        <v>3.9428753065922306E-2</v>
      </c>
      <c r="E2666" s="477">
        <v>18124390.698995475</v>
      </c>
      <c r="F2666" s="458">
        <v>0.12059349299669164</v>
      </c>
      <c r="G2666" s="477">
        <v>93941559.416371807</v>
      </c>
      <c r="H2666" s="458">
        <v>0.26454649584015932</v>
      </c>
      <c r="I2666" s="468">
        <v>5.4902760366139729</v>
      </c>
    </row>
    <row r="2667" spans="1:9" ht="16.5" x14ac:dyDescent="0.3">
      <c r="A2667" s="477">
        <v>3647952.410638012</v>
      </c>
      <c r="B2667" s="458">
        <v>3.8466060173805161E-2</v>
      </c>
      <c r="C2667" s="477">
        <v>9757842.0138912275</v>
      </c>
      <c r="D2667" s="458">
        <v>7.5461237757983968E-2</v>
      </c>
      <c r="E2667" s="477">
        <v>19302762.406929117</v>
      </c>
      <c r="F2667" s="458">
        <v>9.6529679885403175E-2</v>
      </c>
      <c r="G2667" s="477">
        <v>85287879.484337464</v>
      </c>
      <c r="H2667" s="458">
        <v>0.26006489093768259</v>
      </c>
      <c r="I2667" s="468">
        <v>9.7863594148656272</v>
      </c>
    </row>
    <row r="2668" spans="1:9" ht="16.5" x14ac:dyDescent="0.3">
      <c r="A2668" s="477">
        <v>3986280.448096727</v>
      </c>
      <c r="B2668" s="458">
        <v>1.9847185387859012E-2</v>
      </c>
      <c r="C2668" s="477">
        <v>13496416.094461761</v>
      </c>
      <c r="D2668" s="458">
        <v>6.7587701373370779E-2</v>
      </c>
      <c r="E2668" s="477">
        <v>9200896.4080806449</v>
      </c>
      <c r="F2668" s="458">
        <v>7.8575075655915816E-2</v>
      </c>
      <c r="G2668" s="477">
        <v>85043993.223190099</v>
      </c>
      <c r="H2668" s="458">
        <v>0.24370075431206306</v>
      </c>
      <c r="I2668" s="468">
        <v>7.2434823705570874</v>
      </c>
    </row>
    <row r="2669" spans="1:9" ht="16.5" x14ac:dyDescent="0.3">
      <c r="A2669" s="477">
        <v>9874291.0546282455</v>
      </c>
      <c r="B2669" s="458">
        <v>1.8807257680180323E-2</v>
      </c>
      <c r="C2669" s="477">
        <v>10449718.694813369</v>
      </c>
      <c r="D2669" s="458">
        <v>4.3727264118016196E-2</v>
      </c>
      <c r="E2669" s="477">
        <v>14420917.276250858</v>
      </c>
      <c r="F2669" s="458">
        <v>0.10995443802294447</v>
      </c>
      <c r="G2669" s="477">
        <v>90603293.830432624</v>
      </c>
      <c r="H2669" s="458">
        <v>0.27492968615519908</v>
      </c>
      <c r="I2669" s="468">
        <v>3.0130053348102939</v>
      </c>
    </row>
    <row r="2670" spans="1:9" ht="16.5" x14ac:dyDescent="0.3">
      <c r="A2670" s="477">
        <v>3394616.9078383874</v>
      </c>
      <c r="B2670" s="458">
        <v>3.5077370742951475E-2</v>
      </c>
      <c r="C2670" s="477">
        <v>2943959.6566769034</v>
      </c>
      <c r="D2670" s="458">
        <v>9.0124005788291717E-2</v>
      </c>
      <c r="E2670" s="477">
        <v>22138245.367007256</v>
      </c>
      <c r="F2670" s="458">
        <v>0.11350086447790919</v>
      </c>
      <c r="G2670" s="477">
        <v>86373343.681412771</v>
      </c>
      <c r="H2670" s="458">
        <v>0.27438574183482989</v>
      </c>
      <c r="I2670" s="468">
        <v>10.701284709635651</v>
      </c>
    </row>
    <row r="2671" spans="1:9" ht="16.5" x14ac:dyDescent="0.3">
      <c r="A2671" s="477">
        <v>7658893.1528606974</v>
      </c>
      <c r="B2671" s="458">
        <v>4.5154327584298715E-2</v>
      </c>
      <c r="C2671" s="477">
        <v>6536950.5920602921</v>
      </c>
      <c r="D2671" s="458">
        <v>5.9890515265738298E-2</v>
      </c>
      <c r="E2671" s="477">
        <v>17991480.819106113</v>
      </c>
      <c r="F2671" s="458">
        <v>0.12031608314398956</v>
      </c>
      <c r="G2671" s="477">
        <v>93039154.789176583</v>
      </c>
      <c r="H2671" s="458">
        <v>0.27340158930009428</v>
      </c>
      <c r="I2671" s="468">
        <v>4.1576416432854</v>
      </c>
    </row>
    <row r="2672" spans="1:9" ht="16.5" x14ac:dyDescent="0.3">
      <c r="A2672" s="477">
        <v>4255872.5351565611</v>
      </c>
      <c r="B2672" s="458">
        <v>3.4786656917438874E-2</v>
      </c>
      <c r="C2672" s="477">
        <v>5109103.1342657562</v>
      </c>
      <c r="D2672" s="458">
        <v>3.7321677390615982E-2</v>
      </c>
      <c r="E2672" s="477">
        <v>24197305.470637806</v>
      </c>
      <c r="F2672" s="458">
        <v>0.12244581887838057</v>
      </c>
      <c r="G2672" s="477">
        <v>102553654.05455209</v>
      </c>
      <c r="H2672" s="458">
        <v>0.24134864518700616</v>
      </c>
      <c r="I2672" s="468">
        <v>3.4383521425988945</v>
      </c>
    </row>
    <row r="2673" spans="1:9" ht="16.5" x14ac:dyDescent="0.3">
      <c r="A2673" s="477">
        <v>4812612.1839142162</v>
      </c>
      <c r="B2673" s="458">
        <v>4.3134973903053764E-2</v>
      </c>
      <c r="C2673" s="477">
        <v>10002620.321926935</v>
      </c>
      <c r="D2673" s="458">
        <v>9.2991926763164257E-2</v>
      </c>
      <c r="E2673" s="477">
        <v>15603616.144283846</v>
      </c>
      <c r="F2673" s="458">
        <v>0.10322464284303434</v>
      </c>
      <c r="G2673" s="477">
        <v>99083629.823222086</v>
      </c>
      <c r="H2673" s="458">
        <v>0.2551383573766095</v>
      </c>
      <c r="I2673" s="468">
        <v>13.1466371783133</v>
      </c>
    </row>
    <row r="2674" spans="1:9" ht="16.5" x14ac:dyDescent="0.3">
      <c r="A2674" s="477">
        <v>6302671.0956512429</v>
      </c>
      <c r="B2674" s="458">
        <v>3.1427630684333741E-2</v>
      </c>
      <c r="C2674" s="477">
        <v>6244893.4628851665</v>
      </c>
      <c r="D2674" s="458">
        <v>4.3861623226159052E-2</v>
      </c>
      <c r="E2674" s="477">
        <v>12845475.424147936</v>
      </c>
      <c r="F2674" s="458">
        <v>0.10836712177588836</v>
      </c>
      <c r="G2674" s="477">
        <v>88604645.24618496</v>
      </c>
      <c r="H2674" s="458">
        <v>0.26026135657934168</v>
      </c>
      <c r="I2674" s="468">
        <v>4.3648522998258512</v>
      </c>
    </row>
    <row r="2675" spans="1:9" ht="16.5" x14ac:dyDescent="0.3">
      <c r="A2675" s="477">
        <v>1788341.1853736895</v>
      </c>
      <c r="B2675" s="458">
        <v>3.508607378942119E-2</v>
      </c>
      <c r="C2675" s="477">
        <v>7830036.9596976619</v>
      </c>
      <c r="D2675" s="458">
        <v>8.6678826249785512E-2</v>
      </c>
      <c r="E2675" s="477">
        <v>23721193.971422356</v>
      </c>
      <c r="F2675" s="458">
        <v>0.11307975833470563</v>
      </c>
      <c r="G2675" s="477">
        <v>104341339.0104357</v>
      </c>
      <c r="H2675" s="458">
        <v>0.26163931200441248</v>
      </c>
      <c r="I2675" s="468">
        <v>15.358475186893102</v>
      </c>
    </row>
    <row r="2676" spans="1:9" ht="16.5" x14ac:dyDescent="0.3">
      <c r="A2676" s="477">
        <v>4968052.5884577027</v>
      </c>
      <c r="B2676" s="458">
        <v>5.9710269315107478E-2</v>
      </c>
      <c r="C2676" s="477">
        <v>7835546.9515372813</v>
      </c>
      <c r="D2676" s="458">
        <v>6.2868934898168582E-2</v>
      </c>
      <c r="E2676" s="477">
        <v>17514052.189783838</v>
      </c>
      <c r="F2676" s="458">
        <v>0.1112794677322686</v>
      </c>
      <c r="G2676" s="477">
        <v>89165855.080833435</v>
      </c>
      <c r="H2676" s="458">
        <v>0.27707144967912978</v>
      </c>
      <c r="I2676" s="468">
        <v>8.0473426175374971</v>
      </c>
    </row>
    <row r="2677" spans="1:9" ht="16.5" x14ac:dyDescent="0.3">
      <c r="A2677" s="477">
        <v>4670358.2503878511</v>
      </c>
      <c r="B2677" s="458">
        <v>3.1593723211046809E-2</v>
      </c>
      <c r="C2677" s="477">
        <v>6991630.6295943158</v>
      </c>
      <c r="D2677" s="458">
        <v>5.362508817403544E-2</v>
      </c>
      <c r="E2677" s="477">
        <v>16771648.549301116</v>
      </c>
      <c r="F2677" s="458">
        <v>0.11029932773561413</v>
      </c>
      <c r="G2677" s="477">
        <v>90376013.023454741</v>
      </c>
      <c r="H2677" s="458">
        <v>0.27055035721722942</v>
      </c>
      <c r="I2677" s="468">
        <v>9.9949689425172821</v>
      </c>
    </row>
    <row r="2678" spans="1:9" ht="16.5" x14ac:dyDescent="0.3">
      <c r="A2678" s="477">
        <v>6052964.9976401106</v>
      </c>
      <c r="B2678" s="458">
        <v>5.1987688001264409E-2</v>
      </c>
      <c r="C2678" s="477">
        <v>11970949.562975397</v>
      </c>
      <c r="D2678" s="458">
        <v>5.8806424909595645E-2</v>
      </c>
      <c r="E2678" s="477">
        <v>18183159.273208816</v>
      </c>
      <c r="F2678" s="458">
        <v>0.11181799780198443</v>
      </c>
      <c r="G2678" s="477">
        <v>87608543.760662705</v>
      </c>
      <c r="H2678" s="458">
        <v>0.28481296441652026</v>
      </c>
      <c r="I2678" s="468">
        <v>7.3819958436440194</v>
      </c>
    </row>
    <row r="2679" spans="1:9" ht="16.5" x14ac:dyDescent="0.3">
      <c r="A2679" s="477">
        <v>4568372.3662255425</v>
      </c>
      <c r="B2679" s="458">
        <v>3.1961724817097581E-2</v>
      </c>
      <c r="C2679" s="477">
        <v>7592830.9374610065</v>
      </c>
      <c r="D2679" s="458">
        <v>7.5415630433718128E-2</v>
      </c>
      <c r="E2679" s="477">
        <v>17784705.72082999</v>
      </c>
      <c r="F2679" s="458">
        <v>0.1129613992641143</v>
      </c>
      <c r="G2679" s="477">
        <v>86378133.302474886</v>
      </c>
      <c r="H2679" s="458">
        <v>0.24454124031333802</v>
      </c>
      <c r="I2679" s="468">
        <v>1.1432688652027894</v>
      </c>
    </row>
    <row r="2680" spans="1:9" ht="16.5" x14ac:dyDescent="0.3">
      <c r="A2680" s="477">
        <v>5564691.2103651632</v>
      </c>
      <c r="B2680" s="458">
        <v>4.0589795888940738E-2</v>
      </c>
      <c r="C2680" s="477">
        <v>5388045.5577600878</v>
      </c>
      <c r="D2680" s="458">
        <v>3.3700384839091546E-2</v>
      </c>
      <c r="E2680" s="477">
        <v>4326150.4136771085</v>
      </c>
      <c r="F2680" s="458">
        <v>0.1099823225545471</v>
      </c>
      <c r="G2680" s="477">
        <v>89905239.42447482</v>
      </c>
      <c r="H2680" s="458">
        <v>0.28364619648006206</v>
      </c>
      <c r="I2680" s="468">
        <v>6.5841518828920034</v>
      </c>
    </row>
    <row r="2681" spans="1:9" ht="16.5" x14ac:dyDescent="0.3">
      <c r="A2681" s="477">
        <v>7740772.73910785</v>
      </c>
      <c r="B2681" s="458">
        <v>2.0310453969262676E-2</v>
      </c>
      <c r="C2681" s="477">
        <v>3897023.7631355254</v>
      </c>
      <c r="D2681" s="458">
        <v>4.2879083419968156E-2</v>
      </c>
      <c r="E2681" s="477">
        <v>10694520.579342533</v>
      </c>
      <c r="F2681" s="458">
        <v>0.11524151056379117</v>
      </c>
      <c r="G2681" s="477">
        <v>83570769.120865792</v>
      </c>
      <c r="H2681" s="458">
        <v>0.27031713424059678</v>
      </c>
      <c r="I2681" s="468">
        <v>6.3615374255843502</v>
      </c>
    </row>
    <row r="2682" spans="1:9" ht="16.5" x14ac:dyDescent="0.3">
      <c r="A2682" s="477">
        <v>3037428.8148037987</v>
      </c>
      <c r="B2682" s="458">
        <v>3.134842098770374E-2</v>
      </c>
      <c r="C2682" s="477">
        <v>12373630.086959679</v>
      </c>
      <c r="D2682" s="458">
        <v>6.0538405788333138E-2</v>
      </c>
      <c r="E2682" s="477">
        <v>17505227.403766222</v>
      </c>
      <c r="F2682" s="458">
        <v>0.1026129687751336</v>
      </c>
      <c r="G2682" s="477">
        <v>87006269.092417523</v>
      </c>
      <c r="H2682" s="458">
        <v>0.25859795947458575</v>
      </c>
      <c r="I2682" s="468">
        <v>9.8133177758487893</v>
      </c>
    </row>
    <row r="2683" spans="1:9" ht="16.5" x14ac:dyDescent="0.3">
      <c r="A2683" s="477">
        <v>7091228.6399037922</v>
      </c>
      <c r="B2683" s="458">
        <v>3.7560886231177149E-2</v>
      </c>
      <c r="C2683" s="477">
        <v>8511995.3636442516</v>
      </c>
      <c r="D2683" s="458">
        <v>4.4018116574419119E-2</v>
      </c>
      <c r="E2683" s="477">
        <v>15894099.011590153</v>
      </c>
      <c r="F2683" s="458">
        <v>8.5983215897994514E-2</v>
      </c>
      <c r="G2683" s="477">
        <v>91121556.248729303</v>
      </c>
      <c r="H2683" s="458">
        <v>0.24930654475213965</v>
      </c>
      <c r="I2683" s="468">
        <v>10.482995697359936</v>
      </c>
    </row>
    <row r="2684" spans="1:9" ht="16.5" x14ac:dyDescent="0.3">
      <c r="A2684" s="477">
        <v>902009.87397360883</v>
      </c>
      <c r="B2684" s="458">
        <v>4.3324629106423984E-2</v>
      </c>
      <c r="C2684" s="477">
        <v>5881143.6253493344</v>
      </c>
      <c r="D2684" s="458">
        <v>9.1754089100304581E-2</v>
      </c>
      <c r="E2684" s="477">
        <v>12986508.283794561</v>
      </c>
      <c r="F2684" s="458">
        <v>0.11187703247796899</v>
      </c>
      <c r="G2684" s="477">
        <v>92091237.41281487</v>
      </c>
      <c r="H2684" s="458">
        <v>0.29670333444785046</v>
      </c>
      <c r="I2684" s="468">
        <v>2.7737104490273348</v>
      </c>
    </row>
    <row r="2685" spans="1:9" ht="16.5" x14ac:dyDescent="0.3">
      <c r="A2685" s="477">
        <v>5143941.9375171429</v>
      </c>
      <c r="B2685" s="458">
        <v>4.1858929254949606E-2</v>
      </c>
      <c r="C2685" s="477">
        <v>11021303.943312723</v>
      </c>
      <c r="D2685" s="458">
        <v>5.5599861645427406E-2</v>
      </c>
      <c r="E2685" s="477">
        <v>20637592.252181727</v>
      </c>
      <c r="F2685" s="458">
        <v>0.11543391024301153</v>
      </c>
      <c r="G2685" s="477">
        <v>97373435.625896916</v>
      </c>
      <c r="H2685" s="458">
        <v>0.2629853254393113</v>
      </c>
      <c r="I2685" s="468">
        <v>8.1677706366167993</v>
      </c>
    </row>
    <row r="2686" spans="1:9" ht="16.5" x14ac:dyDescent="0.3">
      <c r="A2686" s="477">
        <v>6219401.0628574872</v>
      </c>
      <c r="B2686" s="458">
        <v>5.7626479190391988E-2</v>
      </c>
      <c r="C2686" s="477">
        <v>5241972.208282656</v>
      </c>
      <c r="D2686" s="458">
        <v>-2.0814026163009647E-3</v>
      </c>
      <c r="E2686" s="477">
        <v>16268757.785625137</v>
      </c>
      <c r="F2686" s="458">
        <v>0.12129906478008134</v>
      </c>
      <c r="G2686" s="477">
        <v>82357174.282105073</v>
      </c>
      <c r="H2686" s="458">
        <v>0.28574955114850908</v>
      </c>
      <c r="I2686" s="468">
        <v>2.5650544250631482</v>
      </c>
    </row>
    <row r="2687" spans="1:9" ht="16.5" x14ac:dyDescent="0.3">
      <c r="A2687" s="477">
        <v>6518535.7048113327</v>
      </c>
      <c r="B2687" s="458">
        <v>4.5371218781509182E-2</v>
      </c>
      <c r="C2687" s="477">
        <v>11471907.987948559</v>
      </c>
      <c r="D2687" s="458">
        <v>5.7375706506474389E-2</v>
      </c>
      <c r="E2687" s="477">
        <v>15188182.511228897</v>
      </c>
      <c r="F2687" s="458">
        <v>0.12443762563864391</v>
      </c>
      <c r="G2687" s="477">
        <v>90496291.406258315</v>
      </c>
      <c r="H2687" s="458">
        <v>0.2658403980618822</v>
      </c>
      <c r="I2687" s="468">
        <v>10.802571368230488</v>
      </c>
    </row>
    <row r="2688" spans="1:9" ht="16.5" x14ac:dyDescent="0.3">
      <c r="A2688" s="477">
        <v>7505665.3323475476</v>
      </c>
      <c r="B2688" s="458">
        <v>5.2795185111189191E-2</v>
      </c>
      <c r="C2688" s="477">
        <v>13915895.336600574</v>
      </c>
      <c r="D2688" s="458">
        <v>7.8858095396539651E-2</v>
      </c>
      <c r="E2688" s="477">
        <v>5483429.7868564585</v>
      </c>
      <c r="F2688" s="458">
        <v>0.11689042921069159</v>
      </c>
      <c r="G2688" s="477">
        <v>69448990.787184462</v>
      </c>
      <c r="H2688" s="458">
        <v>0.25788421575365428</v>
      </c>
      <c r="I2688" s="468">
        <v>2.9276491804937779</v>
      </c>
    </row>
    <row r="2689" spans="1:9" ht="16.5" x14ac:dyDescent="0.3">
      <c r="A2689" s="477">
        <v>7458739.462410002</v>
      </c>
      <c r="B2689" s="458">
        <v>2.8758107509056829E-2</v>
      </c>
      <c r="C2689" s="477">
        <v>4662478.7444215575</v>
      </c>
      <c r="D2689" s="458">
        <v>6.7303807470775467E-2</v>
      </c>
      <c r="E2689" s="477">
        <v>19420681.518527623</v>
      </c>
      <c r="F2689" s="458">
        <v>8.7949834465709475E-2</v>
      </c>
      <c r="G2689" s="477">
        <v>100594663.66908291</v>
      </c>
      <c r="H2689" s="458">
        <v>0.26722902360073486</v>
      </c>
      <c r="I2689" s="468">
        <v>5.1407138984717751</v>
      </c>
    </row>
    <row r="2690" spans="1:9" ht="16.5" x14ac:dyDescent="0.3">
      <c r="A2690" s="477">
        <v>7231663.3191088298</v>
      </c>
      <c r="B2690" s="458">
        <v>3.0359103814732835E-2</v>
      </c>
      <c r="C2690" s="477">
        <v>-1126774.8550351185</v>
      </c>
      <c r="D2690" s="458">
        <v>8.2030181084730813E-2</v>
      </c>
      <c r="E2690" s="477">
        <v>16847124.653562747</v>
      </c>
      <c r="F2690" s="458">
        <v>8.3220189031388392E-2</v>
      </c>
      <c r="G2690" s="477">
        <v>97257841.892920449</v>
      </c>
      <c r="H2690" s="458">
        <v>0.26290785366115088</v>
      </c>
      <c r="I2690" s="468">
        <v>10.531065337623982</v>
      </c>
    </row>
    <row r="2691" spans="1:9" ht="16.5" x14ac:dyDescent="0.3">
      <c r="A2691" s="477">
        <v>9051906.3384050559</v>
      </c>
      <c r="B2691" s="458">
        <v>3.4502064056631143E-2</v>
      </c>
      <c r="C2691" s="477">
        <v>16470002.904352989</v>
      </c>
      <c r="D2691" s="458">
        <v>4.9539362237496665E-2</v>
      </c>
      <c r="E2691" s="477">
        <v>21048149.254774913</v>
      </c>
      <c r="F2691" s="458">
        <v>0.13537246347794873</v>
      </c>
      <c r="G2691" s="477">
        <v>114478853.27517077</v>
      </c>
      <c r="H2691" s="458">
        <v>0.28036118848609126</v>
      </c>
      <c r="I2691" s="468">
        <v>4.471160583942444</v>
      </c>
    </row>
    <row r="2692" spans="1:9" ht="16.5" x14ac:dyDescent="0.3">
      <c r="A2692" s="477">
        <v>3448136.2526733717</v>
      </c>
      <c r="B2692" s="458">
        <v>5.2883214683219437E-2</v>
      </c>
      <c r="C2692" s="477">
        <v>4665695.5390127208</v>
      </c>
      <c r="D2692" s="458">
        <v>3.619570420011331E-2</v>
      </c>
      <c r="E2692" s="477">
        <v>7261912.2784692468</v>
      </c>
      <c r="F2692" s="458">
        <v>9.2125571285347929E-2</v>
      </c>
      <c r="G2692" s="477">
        <v>95089078.925057217</v>
      </c>
      <c r="H2692" s="458">
        <v>0.29690200220392304</v>
      </c>
      <c r="I2692" s="468">
        <v>0.37949009063913408</v>
      </c>
    </row>
    <row r="2693" spans="1:9" ht="16.5" x14ac:dyDescent="0.3">
      <c r="A2693" s="477">
        <v>3270054.6418394689</v>
      </c>
      <c r="B2693" s="458">
        <v>4.1135823449318876E-2</v>
      </c>
      <c r="C2693" s="477">
        <v>5583282.6155995373</v>
      </c>
      <c r="D2693" s="458">
        <v>5.7660267892527095E-2</v>
      </c>
      <c r="E2693" s="477">
        <v>14878655.674303358</v>
      </c>
      <c r="F2693" s="458">
        <v>0.10856480744917385</v>
      </c>
      <c r="G2693" s="477">
        <v>84342450.739034951</v>
      </c>
      <c r="H2693" s="458">
        <v>0.26785448430577041</v>
      </c>
      <c r="I2693" s="468">
        <v>9.1402721754066452</v>
      </c>
    </row>
    <row r="2694" spans="1:9" ht="16.5" x14ac:dyDescent="0.3">
      <c r="A2694" s="477">
        <v>7103089.9402335128</v>
      </c>
      <c r="B2694" s="458">
        <v>3.5335115352332913E-2</v>
      </c>
      <c r="C2694" s="477">
        <v>8066963.9195227623</v>
      </c>
      <c r="D2694" s="458">
        <v>4.2615591170649392E-2</v>
      </c>
      <c r="E2694" s="477">
        <v>20938485.864703208</v>
      </c>
      <c r="F2694" s="458">
        <v>0.11200481830607001</v>
      </c>
      <c r="G2694" s="477">
        <v>75906804.710854083</v>
      </c>
      <c r="H2694" s="458">
        <v>0.25030188827912214</v>
      </c>
      <c r="I2694" s="468">
        <v>7.9094743909674605</v>
      </c>
    </row>
    <row r="2695" spans="1:9" ht="16.5" x14ac:dyDescent="0.3">
      <c r="A2695" s="477">
        <v>8273242.4788940372</v>
      </c>
      <c r="B2695" s="458">
        <v>3.0406517346835749E-2</v>
      </c>
      <c r="C2695" s="477">
        <v>7632115.1210451685</v>
      </c>
      <c r="D2695" s="458">
        <v>6.5477948579298006E-2</v>
      </c>
      <c r="E2695" s="477">
        <v>23425790.710359529</v>
      </c>
      <c r="F2695" s="458">
        <v>0.10873370146719719</v>
      </c>
      <c r="G2695" s="477">
        <v>79168788.369057685</v>
      </c>
      <c r="H2695" s="458">
        <v>0.24368164013429583</v>
      </c>
      <c r="I2695" s="468">
        <v>4.6595545648059851</v>
      </c>
    </row>
    <row r="2696" spans="1:9" ht="16.5" x14ac:dyDescent="0.3">
      <c r="A2696" s="477">
        <v>4903934.5824118368</v>
      </c>
      <c r="B2696" s="458">
        <v>3.4708758677137297E-2</v>
      </c>
      <c r="C2696" s="477">
        <v>13986328.651668504</v>
      </c>
      <c r="D2696" s="458">
        <v>5.6376027016106223E-2</v>
      </c>
      <c r="E2696" s="477">
        <v>12502065.178348547</v>
      </c>
      <c r="F2696" s="458">
        <v>0.12555516459923166</v>
      </c>
      <c r="G2696" s="477">
        <v>91643019.713598922</v>
      </c>
      <c r="H2696" s="458">
        <v>0.27398487465636356</v>
      </c>
      <c r="I2696" s="468">
        <v>8.5301210794516749</v>
      </c>
    </row>
    <row r="2697" spans="1:9" ht="16.5" x14ac:dyDescent="0.3">
      <c r="A2697" s="477">
        <v>4701983.4641145235</v>
      </c>
      <c r="B2697" s="458">
        <v>5.1763897875852782E-2</v>
      </c>
      <c r="C2697" s="477">
        <v>9527942.778195709</v>
      </c>
      <c r="D2697" s="458">
        <v>9.7181356396509599E-2</v>
      </c>
      <c r="E2697" s="477">
        <v>20255814.612537496</v>
      </c>
      <c r="F2697" s="458">
        <v>9.9308710658738697E-2</v>
      </c>
      <c r="G2697" s="477">
        <v>95107319.222700313</v>
      </c>
      <c r="H2697" s="458">
        <v>0.25631688287970777</v>
      </c>
      <c r="I2697" s="468">
        <v>15.922621603015715</v>
      </c>
    </row>
    <row r="2698" spans="1:9" ht="16.5" x14ac:dyDescent="0.3">
      <c r="A2698" s="477">
        <v>4444858.2863283176</v>
      </c>
      <c r="B2698" s="458">
        <v>3.9976316614365626E-2</v>
      </c>
      <c r="C2698" s="477">
        <v>17163369.551661912</v>
      </c>
      <c r="D2698" s="458">
        <v>6.0048324189873714E-2</v>
      </c>
      <c r="E2698" s="477">
        <v>18553696.363466445</v>
      </c>
      <c r="F2698" s="458">
        <v>0.11891393913720227</v>
      </c>
      <c r="G2698" s="477">
        <v>90895682.520181105</v>
      </c>
      <c r="H2698" s="458">
        <v>0.28676328694662945</v>
      </c>
      <c r="I2698" s="468">
        <v>5.8499725450690931</v>
      </c>
    </row>
    <row r="2699" spans="1:9" ht="16.5" x14ac:dyDescent="0.3">
      <c r="A2699" s="477">
        <v>2129745.431776009</v>
      </c>
      <c r="B2699" s="458">
        <v>4.9491409930703112E-2</v>
      </c>
      <c r="C2699" s="477">
        <v>10518900.354795428</v>
      </c>
      <c r="D2699" s="458">
        <v>4.9691366544651894E-2</v>
      </c>
      <c r="E2699" s="477">
        <v>26553000.56758938</v>
      </c>
      <c r="F2699" s="458">
        <v>0.12594123437821603</v>
      </c>
      <c r="G2699" s="477">
        <v>82787210.277859256</v>
      </c>
      <c r="H2699" s="458">
        <v>0.29570384446773956</v>
      </c>
      <c r="I2699" s="468">
        <v>11.069547034664392</v>
      </c>
    </row>
    <row r="2700" spans="1:9" ht="16.5" x14ac:dyDescent="0.3">
      <c r="A2700" s="477">
        <v>7642342.9595018728</v>
      </c>
      <c r="B2700" s="458">
        <v>4.9352050168929518E-2</v>
      </c>
      <c r="C2700" s="477">
        <v>6830592.1578614144</v>
      </c>
      <c r="D2700" s="458">
        <v>5.3297040165432241E-2</v>
      </c>
      <c r="E2700" s="477">
        <v>16606702.160096653</v>
      </c>
      <c r="F2700" s="458">
        <v>0.10599261298410201</v>
      </c>
      <c r="G2700" s="477">
        <v>89231223.209033132</v>
      </c>
      <c r="H2700" s="458">
        <v>0.26171027303114869</v>
      </c>
      <c r="I2700" s="468">
        <v>13.796887028095082</v>
      </c>
    </row>
    <row r="2701" spans="1:9" ht="16.5" x14ac:dyDescent="0.3">
      <c r="A2701" s="477">
        <v>5567448.6133663058</v>
      </c>
      <c r="B2701" s="458">
        <v>6.3947336769325736E-2</v>
      </c>
      <c r="C2701" s="477">
        <v>18402546.831570733</v>
      </c>
      <c r="D2701" s="458">
        <v>4.3100766701707593E-2</v>
      </c>
      <c r="E2701" s="477">
        <v>18254662.797986712</v>
      </c>
      <c r="F2701" s="458">
        <v>0.1175412193914509</v>
      </c>
      <c r="G2701" s="477">
        <v>86351898.36146833</v>
      </c>
      <c r="H2701" s="458">
        <v>0.25468812158885257</v>
      </c>
      <c r="I2701" s="468">
        <v>7.1149892249750168</v>
      </c>
    </row>
    <row r="2702" spans="1:9" ht="16.5" x14ac:dyDescent="0.3">
      <c r="A2702" s="477">
        <v>3072213.1485918234</v>
      </c>
      <c r="B2702" s="458">
        <v>4.9483917138069877E-2</v>
      </c>
      <c r="C2702" s="477">
        <v>11360390.391812626</v>
      </c>
      <c r="D2702" s="458">
        <v>5.8839368953286897E-2</v>
      </c>
      <c r="E2702" s="477">
        <v>20038250.186712977</v>
      </c>
      <c r="F2702" s="458">
        <v>0.11732383139524871</v>
      </c>
      <c r="G2702" s="477">
        <v>103517582.41391496</v>
      </c>
      <c r="H2702" s="458">
        <v>0.27841059647740796</v>
      </c>
      <c r="I2702" s="468">
        <v>6.3300248329499818</v>
      </c>
    </row>
    <row r="2703" spans="1:9" ht="16.5" x14ac:dyDescent="0.3">
      <c r="A2703" s="477">
        <v>5378240.0528957732</v>
      </c>
      <c r="B2703" s="458">
        <v>4.212165641450949E-2</v>
      </c>
      <c r="C2703" s="477">
        <v>4937555.3215769427</v>
      </c>
      <c r="D2703" s="458">
        <v>6.3057121362230184E-2</v>
      </c>
      <c r="E2703" s="477">
        <v>12882364.370653832</v>
      </c>
      <c r="F2703" s="458">
        <v>0.12991793565043719</v>
      </c>
      <c r="G2703" s="477">
        <v>103833678.05174291</v>
      </c>
      <c r="H2703" s="458">
        <v>0.28008646044194863</v>
      </c>
      <c r="I2703" s="468">
        <v>2.4884810844369456</v>
      </c>
    </row>
    <row r="2704" spans="1:9" ht="16.5" x14ac:dyDescent="0.3">
      <c r="A2704" s="477">
        <v>3644872.8647520873</v>
      </c>
      <c r="B2704" s="458">
        <v>5.1914964256041696E-2</v>
      </c>
      <c r="C2704" s="477">
        <v>15034079.901100077</v>
      </c>
      <c r="D2704" s="458">
        <v>7.6840692610497863E-2</v>
      </c>
      <c r="E2704" s="477">
        <v>14133566.663742596</v>
      </c>
      <c r="F2704" s="458">
        <v>0.11681764393823846</v>
      </c>
      <c r="G2704" s="477">
        <v>90533201.049367562</v>
      </c>
      <c r="H2704" s="458">
        <v>0.27612056743389135</v>
      </c>
      <c r="I2704" s="468">
        <v>11.968123618357778</v>
      </c>
    </row>
    <row r="2705" spans="1:9" ht="16.5" x14ac:dyDescent="0.3">
      <c r="A2705" s="477">
        <v>4282384.8147684885</v>
      </c>
      <c r="B2705" s="458">
        <v>6.6542081804937592E-2</v>
      </c>
      <c r="C2705" s="477">
        <v>14583506.936569601</v>
      </c>
      <c r="D2705" s="458">
        <v>4.6860512376218244E-2</v>
      </c>
      <c r="E2705" s="477">
        <v>17984467.844372202</v>
      </c>
      <c r="F2705" s="458">
        <v>0.10434836374532397</v>
      </c>
      <c r="G2705" s="477">
        <v>98514534.648559734</v>
      </c>
      <c r="H2705" s="458">
        <v>0.25647911787935129</v>
      </c>
      <c r="I2705" s="468">
        <v>7.3757530786231147</v>
      </c>
    </row>
    <row r="2706" spans="1:9" ht="16.5" x14ac:dyDescent="0.3">
      <c r="A2706" s="477">
        <v>247155.07855453141</v>
      </c>
      <c r="B2706" s="458">
        <v>1.7381119725387251E-2</v>
      </c>
      <c r="C2706" s="477">
        <v>5365128.9814834967</v>
      </c>
      <c r="D2706" s="458">
        <v>7.1355844007345626E-2</v>
      </c>
      <c r="E2706" s="477">
        <v>26309379.793202925</v>
      </c>
      <c r="F2706" s="458">
        <v>0.11574688649558307</v>
      </c>
      <c r="G2706" s="477">
        <v>91257213.895104945</v>
      </c>
      <c r="H2706" s="458">
        <v>0.28015329198058514</v>
      </c>
      <c r="I2706" s="468">
        <v>2.6576035832407676</v>
      </c>
    </row>
    <row r="2707" spans="1:9" ht="16.5" x14ac:dyDescent="0.3">
      <c r="A2707" s="477">
        <v>6330084.6869927933</v>
      </c>
      <c r="B2707" s="458">
        <v>3.775461014637771E-2</v>
      </c>
      <c r="C2707" s="477">
        <v>9637847.7703166474</v>
      </c>
      <c r="D2707" s="458">
        <v>7.2553399119968498E-2</v>
      </c>
      <c r="E2707" s="477">
        <v>13639879.484976711</v>
      </c>
      <c r="F2707" s="458">
        <v>0.11350126477787059</v>
      </c>
      <c r="G2707" s="477">
        <v>78055596.158607826</v>
      </c>
      <c r="H2707" s="458">
        <v>0.26195757422165333</v>
      </c>
      <c r="I2707" s="468">
        <v>12.377586568000719</v>
      </c>
    </row>
    <row r="2708" spans="1:9" ht="16.5" x14ac:dyDescent="0.3">
      <c r="A2708" s="477">
        <v>8877414.6381608713</v>
      </c>
      <c r="B2708" s="458">
        <v>3.0698417760288921E-2</v>
      </c>
      <c r="C2708" s="477">
        <v>10959196.114561591</v>
      </c>
      <c r="D2708" s="458">
        <v>6.3042635123857549E-2</v>
      </c>
      <c r="E2708" s="477">
        <v>15789270.757403264</v>
      </c>
      <c r="F2708" s="458">
        <v>0.11569717736569007</v>
      </c>
      <c r="G2708" s="477">
        <v>82215831.48438774</v>
      </c>
      <c r="H2708" s="458">
        <v>0.27427637260409954</v>
      </c>
      <c r="I2708" s="468">
        <v>13.71237429521651</v>
      </c>
    </row>
    <row r="2709" spans="1:9" ht="16.5" x14ac:dyDescent="0.3">
      <c r="A2709" s="477">
        <v>6142910.9415404797</v>
      </c>
      <c r="B2709" s="458">
        <v>3.9905832360910498E-2</v>
      </c>
      <c r="C2709" s="477">
        <v>7842537.9442451214</v>
      </c>
      <c r="D2709" s="458">
        <v>6.3826702064559759E-2</v>
      </c>
      <c r="E2709" s="477">
        <v>22438668.84827267</v>
      </c>
      <c r="F2709" s="458">
        <v>0.10867343975257415</v>
      </c>
      <c r="G2709" s="477">
        <v>85105660.521658599</v>
      </c>
      <c r="H2709" s="458">
        <v>0.26170348052412762</v>
      </c>
      <c r="I2709" s="468">
        <v>2.2590978736183214</v>
      </c>
    </row>
    <row r="2710" spans="1:9" ht="16.5" x14ac:dyDescent="0.3">
      <c r="A2710" s="477">
        <v>6522964.3892472116</v>
      </c>
      <c r="B2710" s="458">
        <v>2.9047400468204643E-2</v>
      </c>
      <c r="C2710" s="477">
        <v>11176228.638251321</v>
      </c>
      <c r="D2710" s="458">
        <v>7.3552496846869264E-2</v>
      </c>
      <c r="E2710" s="477">
        <v>23170665.353589192</v>
      </c>
      <c r="F2710" s="458">
        <v>9.1136497970560226E-2</v>
      </c>
      <c r="G2710" s="477">
        <v>95499299.957444906</v>
      </c>
      <c r="H2710" s="458">
        <v>0.25648167963274471</v>
      </c>
      <c r="I2710" s="468">
        <v>8.4364490459057606</v>
      </c>
    </row>
    <row r="2711" spans="1:9" ht="16.5" x14ac:dyDescent="0.3">
      <c r="A2711" s="477">
        <v>7415000.3331756489</v>
      </c>
      <c r="B2711" s="458">
        <v>5.1048066603689879E-2</v>
      </c>
      <c r="C2711" s="477">
        <v>11258522.102715844</v>
      </c>
      <c r="D2711" s="458">
        <v>5.5164068758303708E-2</v>
      </c>
      <c r="E2711" s="477">
        <v>13374452.747117423</v>
      </c>
      <c r="F2711" s="458">
        <v>0.13373232443785055</v>
      </c>
      <c r="G2711" s="477">
        <v>98251070.3364079</v>
      </c>
      <c r="H2711" s="458">
        <v>0.29462859857144075</v>
      </c>
      <c r="I2711" s="468">
        <v>5.0013873492629548</v>
      </c>
    </row>
    <row r="2712" spans="1:9" ht="16.5" x14ac:dyDescent="0.3">
      <c r="A2712" s="477">
        <v>8443505.8930259142</v>
      </c>
      <c r="B2712" s="458">
        <v>3.3671598755398158E-2</v>
      </c>
      <c r="C2712" s="477">
        <v>13829631.859805424</v>
      </c>
      <c r="D2712" s="458">
        <v>6.4823334725839343E-2</v>
      </c>
      <c r="E2712" s="477">
        <v>8173709.4226537673</v>
      </c>
      <c r="F2712" s="458">
        <v>9.7125169061161865E-2</v>
      </c>
      <c r="G2712" s="477">
        <v>104542529.9604778</v>
      </c>
      <c r="H2712" s="458">
        <v>0.26281865373156443</v>
      </c>
      <c r="I2712" s="468">
        <v>6.4604784449758048</v>
      </c>
    </row>
    <row r="2713" spans="1:9" ht="16.5" x14ac:dyDescent="0.3">
      <c r="A2713" s="477">
        <v>3734429.8132414101</v>
      </c>
      <c r="B2713" s="458">
        <v>5.1217923078834104E-2</v>
      </c>
      <c r="C2713" s="477">
        <v>6820727.5659284061</v>
      </c>
      <c r="D2713" s="458">
        <v>3.838290994236182E-2</v>
      </c>
      <c r="E2713" s="477">
        <v>17082118.293173451</v>
      </c>
      <c r="F2713" s="458">
        <v>0.11659141123467798</v>
      </c>
      <c r="G2713" s="477">
        <v>85716736.388010666</v>
      </c>
      <c r="H2713" s="458">
        <v>0.25604394666970376</v>
      </c>
      <c r="I2713" s="468">
        <v>4.5459351527173801</v>
      </c>
    </row>
    <row r="2714" spans="1:9" ht="16.5" x14ac:dyDescent="0.3">
      <c r="A2714" s="477">
        <v>5122753.6574991783</v>
      </c>
      <c r="B2714" s="458">
        <v>4.5175461962362773E-2</v>
      </c>
      <c r="C2714" s="477">
        <v>9470201.1645435859</v>
      </c>
      <c r="D2714" s="458">
        <v>7.7935886581545377E-2</v>
      </c>
      <c r="E2714" s="477">
        <v>15309963.843110187</v>
      </c>
      <c r="F2714" s="458">
        <v>9.9788840972675708E-2</v>
      </c>
      <c r="G2714" s="477">
        <v>79607113.459181577</v>
      </c>
      <c r="H2714" s="458">
        <v>0.2639381999487298</v>
      </c>
      <c r="I2714" s="468">
        <v>1.7189904311707789</v>
      </c>
    </row>
    <row r="2715" spans="1:9" ht="16.5" x14ac:dyDescent="0.3">
      <c r="A2715" s="477">
        <v>9535182.3537232168</v>
      </c>
      <c r="B2715" s="458">
        <v>4.0967132285379737E-2</v>
      </c>
      <c r="C2715" s="477">
        <v>2871267.8706200449</v>
      </c>
      <c r="D2715" s="458">
        <v>5.1454762871238735E-2</v>
      </c>
      <c r="E2715" s="477">
        <v>13279819.883856028</v>
      </c>
      <c r="F2715" s="458">
        <v>0.11437400516391905</v>
      </c>
      <c r="G2715" s="477">
        <v>95010187.585644692</v>
      </c>
      <c r="H2715" s="458">
        <v>0.26103514369064484</v>
      </c>
      <c r="I2715" s="468">
        <v>7.079118352628786</v>
      </c>
    </row>
    <row r="2716" spans="1:9" ht="16.5" x14ac:dyDescent="0.3">
      <c r="A2716" s="477">
        <v>3229808.932543098</v>
      </c>
      <c r="B2716" s="458">
        <v>3.0671193522602946E-2</v>
      </c>
      <c r="C2716" s="477">
        <v>8428420.3276972845</v>
      </c>
      <c r="D2716" s="458">
        <v>3.890525438696435E-2</v>
      </c>
      <c r="E2716" s="477">
        <v>23036137.012299452</v>
      </c>
      <c r="F2716" s="458">
        <v>0.10906197468276413</v>
      </c>
      <c r="G2716" s="477">
        <v>98157828.505968824</v>
      </c>
      <c r="H2716" s="458">
        <v>0.28365075466033929</v>
      </c>
      <c r="I2716" s="468">
        <v>13.663243907548075</v>
      </c>
    </row>
    <row r="2717" spans="1:9" ht="16.5" x14ac:dyDescent="0.3">
      <c r="A2717" s="477">
        <v>4113780.4689206993</v>
      </c>
      <c r="B2717" s="458">
        <v>4.8567795091922994E-2</v>
      </c>
      <c r="C2717" s="477">
        <v>9552825.4836950079</v>
      </c>
      <c r="D2717" s="458">
        <v>5.6904027352955744E-2</v>
      </c>
      <c r="E2717" s="477">
        <v>18006760.219901688</v>
      </c>
      <c r="F2717" s="458">
        <v>0.10570849274600436</v>
      </c>
      <c r="G2717" s="477">
        <v>102082963.03979301</v>
      </c>
      <c r="H2717" s="458">
        <v>0.30614427102530462</v>
      </c>
      <c r="I2717" s="468">
        <v>7.9906654998177213</v>
      </c>
    </row>
    <row r="2718" spans="1:9" ht="16.5" x14ac:dyDescent="0.3">
      <c r="A2718" s="477">
        <v>5865142.5797967631</v>
      </c>
      <c r="B2718" s="458">
        <v>5.4570409832173317E-2</v>
      </c>
      <c r="C2718" s="477">
        <v>18672987.827780183</v>
      </c>
      <c r="D2718" s="458">
        <v>7.4275161880622553E-2</v>
      </c>
      <c r="E2718" s="477">
        <v>23523883.242070891</v>
      </c>
      <c r="F2718" s="458">
        <v>0.10279657230681649</v>
      </c>
      <c r="G2718" s="477">
        <v>110889551.01074338</v>
      </c>
      <c r="H2718" s="458">
        <v>0.24049955614694785</v>
      </c>
      <c r="I2718" s="468">
        <v>3.1267785921885007</v>
      </c>
    </row>
    <row r="2719" spans="1:9" ht="16.5" x14ac:dyDescent="0.3">
      <c r="A2719" s="477">
        <v>4648645.5562702753</v>
      </c>
      <c r="B2719" s="458">
        <v>6.112151604936189E-2</v>
      </c>
      <c r="C2719" s="477">
        <v>10303480.453009857</v>
      </c>
      <c r="D2719" s="458">
        <v>6.1697072007666165E-2</v>
      </c>
      <c r="E2719" s="477">
        <v>17941935.918581359</v>
      </c>
      <c r="F2719" s="458">
        <v>0.11949165853491905</v>
      </c>
      <c r="G2719" s="477">
        <v>95815283.08223778</v>
      </c>
      <c r="H2719" s="458">
        <v>0.25609417352113462</v>
      </c>
      <c r="I2719" s="468">
        <v>9.6442867962026266</v>
      </c>
    </row>
    <row r="2720" spans="1:9" ht="16.5" x14ac:dyDescent="0.3">
      <c r="A2720" s="477">
        <v>5456501.4441930428</v>
      </c>
      <c r="B2720" s="458">
        <v>2.8671271876719251E-2</v>
      </c>
      <c r="C2720" s="477">
        <v>12484101.921939861</v>
      </c>
      <c r="D2720" s="458">
        <v>9.4348433199045401E-2</v>
      </c>
      <c r="E2720" s="477">
        <v>18312471.328194391</v>
      </c>
      <c r="F2720" s="458">
        <v>0.17101181239719732</v>
      </c>
      <c r="G2720" s="477">
        <v>89457969.336551979</v>
      </c>
      <c r="H2720" s="458">
        <v>0.27102952235271416</v>
      </c>
      <c r="I2720" s="468">
        <v>7.4943116329469976</v>
      </c>
    </row>
    <row r="2721" spans="1:9" ht="16.5" x14ac:dyDescent="0.3">
      <c r="A2721" s="477">
        <v>1777965.8352011903</v>
      </c>
      <c r="B2721" s="458">
        <v>3.5402943179746238E-2</v>
      </c>
      <c r="C2721" s="477">
        <v>7990389.905196636</v>
      </c>
      <c r="D2721" s="458">
        <v>6.3469141828559339E-2</v>
      </c>
      <c r="E2721" s="477">
        <v>16890591.954212334</v>
      </c>
      <c r="F2721" s="458">
        <v>0.12598458966464121</v>
      </c>
      <c r="G2721" s="477">
        <v>86820098.726723343</v>
      </c>
      <c r="H2721" s="458">
        <v>0.26503757170785747</v>
      </c>
      <c r="I2721" s="468">
        <v>11.663915948057053</v>
      </c>
    </row>
    <row r="2722" spans="1:9" ht="16.5" x14ac:dyDescent="0.3">
      <c r="A2722" s="477">
        <v>8113573.6167367641</v>
      </c>
      <c r="B2722" s="458">
        <v>2.7325794283569849E-2</v>
      </c>
      <c r="C2722" s="477">
        <v>5075609.2693398995</v>
      </c>
      <c r="D2722" s="458">
        <v>6.0707317375518599E-2</v>
      </c>
      <c r="E2722" s="477">
        <v>16785179.940833874</v>
      </c>
      <c r="F2722" s="458">
        <v>0.12832250695206615</v>
      </c>
      <c r="G2722" s="477">
        <v>80743849.254591331</v>
      </c>
      <c r="H2722" s="458">
        <v>0.26797958493570651</v>
      </c>
      <c r="I2722" s="468">
        <v>9.5729309944817054</v>
      </c>
    </row>
    <row r="2723" spans="1:9" ht="16.5" x14ac:dyDescent="0.3">
      <c r="A2723" s="477">
        <v>2739075.4791549132</v>
      </c>
      <c r="B2723" s="458">
        <v>3.8007375134743393E-2</v>
      </c>
      <c r="C2723" s="477">
        <v>13407896.15601852</v>
      </c>
      <c r="D2723" s="458">
        <v>7.5874868611890189E-2</v>
      </c>
      <c r="E2723" s="477">
        <v>24436867.021659318</v>
      </c>
      <c r="F2723" s="458">
        <v>9.3155379043157405E-2</v>
      </c>
      <c r="G2723" s="477">
        <v>94654522.010671914</v>
      </c>
      <c r="H2723" s="458">
        <v>0.26791686336926923</v>
      </c>
      <c r="I2723" s="468">
        <v>4.5832263432934042</v>
      </c>
    </row>
    <row r="2724" spans="1:9" ht="16.5" x14ac:dyDescent="0.3">
      <c r="A2724" s="477">
        <v>3791174.2203735472</v>
      </c>
      <c r="B2724" s="458">
        <v>1.9350041626152281E-2</v>
      </c>
      <c r="C2724" s="477">
        <v>5027836.1987449573</v>
      </c>
      <c r="D2724" s="458">
        <v>6.0489409435303676E-2</v>
      </c>
      <c r="E2724" s="477">
        <v>4239969.337239082</v>
      </c>
      <c r="F2724" s="458">
        <v>0.1096600224548141</v>
      </c>
      <c r="G2724" s="477">
        <v>91634901.679337025</v>
      </c>
      <c r="H2724" s="458">
        <v>0.26151578140655984</v>
      </c>
      <c r="I2724" s="468">
        <v>12.329309617809638</v>
      </c>
    </row>
    <row r="2725" spans="1:9" ht="16.5" x14ac:dyDescent="0.3">
      <c r="A2725" s="477">
        <v>7657062.728758797</v>
      </c>
      <c r="B2725" s="458">
        <v>2.4797874815277732E-2</v>
      </c>
      <c r="C2725" s="477">
        <v>8915772.6043732036</v>
      </c>
      <c r="D2725" s="458">
        <v>8.032228136109798E-2</v>
      </c>
      <c r="E2725" s="477">
        <v>16542805.572282733</v>
      </c>
      <c r="F2725" s="458">
        <v>0.11053830844145862</v>
      </c>
      <c r="G2725" s="477">
        <v>106517799.93603133</v>
      </c>
      <c r="H2725" s="458">
        <v>0.26581277565779904</v>
      </c>
      <c r="I2725" s="468">
        <v>8.5884350356678052</v>
      </c>
    </row>
    <row r="2726" spans="1:9" ht="16.5" x14ac:dyDescent="0.3">
      <c r="A2726" s="477">
        <v>8628890.8842198215</v>
      </c>
      <c r="B2726" s="458">
        <v>4.4667679784425429E-2</v>
      </c>
      <c r="C2726" s="477">
        <v>6902359.8683615904</v>
      </c>
      <c r="D2726" s="458">
        <v>7.2746488970403256E-2</v>
      </c>
      <c r="E2726" s="477">
        <v>18495407.563719403</v>
      </c>
      <c r="F2726" s="458">
        <v>0.10799693739227267</v>
      </c>
      <c r="G2726" s="477">
        <v>93501117.101653025</v>
      </c>
      <c r="H2726" s="458">
        <v>0.27095133595076715</v>
      </c>
      <c r="I2726" s="468">
        <v>7.8266968192304391</v>
      </c>
    </row>
    <row r="2727" spans="1:9" ht="16.5" x14ac:dyDescent="0.3">
      <c r="A2727" s="477">
        <v>3556750.2756385538</v>
      </c>
      <c r="B2727" s="458">
        <v>5.1819033805467152E-2</v>
      </c>
      <c r="C2727" s="477">
        <v>7085431.7891247096</v>
      </c>
      <c r="D2727" s="458">
        <v>6.6821056883807239E-2</v>
      </c>
      <c r="E2727" s="477">
        <v>27122915.685027435</v>
      </c>
      <c r="F2727" s="458">
        <v>0.11066729333835879</v>
      </c>
      <c r="G2727" s="477">
        <v>83724462.653903544</v>
      </c>
      <c r="H2727" s="458">
        <v>0.27017463986497625</v>
      </c>
      <c r="I2727" s="468">
        <v>8.9281267906177142</v>
      </c>
    </row>
    <row r="2728" spans="1:9" ht="16.5" x14ac:dyDescent="0.3">
      <c r="A2728" s="477">
        <v>8681506.7344360221</v>
      </c>
      <c r="B2728" s="458">
        <v>1.2957605284192431E-2</v>
      </c>
      <c r="C2728" s="477">
        <v>13730054.914006736</v>
      </c>
      <c r="D2728" s="458">
        <v>5.9135362591595353E-2</v>
      </c>
      <c r="E2728" s="477">
        <v>9383294.0368408617</v>
      </c>
      <c r="F2728" s="458">
        <v>0.10629177217308783</v>
      </c>
      <c r="G2728" s="477">
        <v>84864736.225664899</v>
      </c>
      <c r="H2728" s="458">
        <v>0.26323887094493115</v>
      </c>
      <c r="I2728" s="468">
        <v>6.9228019777618002</v>
      </c>
    </row>
    <row r="2729" spans="1:9" ht="16.5" x14ac:dyDescent="0.3">
      <c r="A2729" s="477">
        <v>9636767.5759304967</v>
      </c>
      <c r="B2729" s="458">
        <v>5.9000980409044113E-2</v>
      </c>
      <c r="C2729" s="477">
        <v>7145765.5398918614</v>
      </c>
      <c r="D2729" s="458">
        <v>6.4500733355363327E-2</v>
      </c>
      <c r="E2729" s="477">
        <v>18081590.821768414</v>
      </c>
      <c r="F2729" s="458">
        <v>0.1287946969688154</v>
      </c>
      <c r="G2729" s="477">
        <v>85073922.217588127</v>
      </c>
      <c r="H2729" s="458">
        <v>0.26659827413101933</v>
      </c>
      <c r="I2729" s="468">
        <v>9.8062213633629671</v>
      </c>
    </row>
    <row r="2730" spans="1:9" ht="16.5" x14ac:dyDescent="0.3">
      <c r="A2730" s="477">
        <v>1389768.6044679701</v>
      </c>
      <c r="B2730" s="458">
        <v>6.2560370009661748E-2</v>
      </c>
      <c r="C2730" s="477">
        <v>7502489.3096828246</v>
      </c>
      <c r="D2730" s="458">
        <v>0.12566295040311504</v>
      </c>
      <c r="E2730" s="477">
        <v>17212835.622537617</v>
      </c>
      <c r="F2730" s="458">
        <v>0.10553053341713725</v>
      </c>
      <c r="G2730" s="477">
        <v>91447561.28996186</v>
      </c>
      <c r="H2730" s="458">
        <v>0.25098953020208614</v>
      </c>
      <c r="I2730" s="468">
        <v>4.6759931367318455</v>
      </c>
    </row>
    <row r="2731" spans="1:9" ht="16.5" x14ac:dyDescent="0.3">
      <c r="A2731" s="477">
        <v>3426658.0099471742</v>
      </c>
      <c r="B2731" s="458">
        <v>1.9310698259014769E-2</v>
      </c>
      <c r="C2731" s="477">
        <v>13063504.412894916</v>
      </c>
      <c r="D2731" s="458">
        <v>4.1784003047144358E-2</v>
      </c>
      <c r="E2731" s="477">
        <v>16253711.393200539</v>
      </c>
      <c r="F2731" s="458">
        <v>0.13038210829543151</v>
      </c>
      <c r="G2731" s="477">
        <v>72569823.749326125</v>
      </c>
      <c r="H2731" s="458">
        <v>0.27294073026505128</v>
      </c>
      <c r="I2731" s="468">
        <v>14.149021380266333</v>
      </c>
    </row>
    <row r="2732" spans="1:9" ht="16.5" x14ac:dyDescent="0.3">
      <c r="A2732" s="477">
        <v>5711484.7497446686</v>
      </c>
      <c r="B2732" s="458">
        <v>1.4176290484338772E-2</v>
      </c>
      <c r="C2732" s="477">
        <v>7635555.8953111619</v>
      </c>
      <c r="D2732" s="458">
        <v>4.7697638238301199E-2</v>
      </c>
      <c r="E2732" s="477">
        <v>29622861.436336786</v>
      </c>
      <c r="F2732" s="458">
        <v>0.11446548976827953</v>
      </c>
      <c r="G2732" s="477">
        <v>93210346.291056082</v>
      </c>
      <c r="H2732" s="458">
        <v>0.25932938055479138</v>
      </c>
      <c r="I2732" s="468">
        <v>9.0322441989462128</v>
      </c>
    </row>
    <row r="2733" spans="1:9" ht="16.5" x14ac:dyDescent="0.3">
      <c r="A2733" s="477">
        <v>2883607.3485708456</v>
      </c>
      <c r="B2733" s="458">
        <v>2.8692837403375693E-2</v>
      </c>
      <c r="C2733" s="477">
        <v>11223206.983144239</v>
      </c>
      <c r="D2733" s="458">
        <v>6.3960813638734626E-2</v>
      </c>
      <c r="E2733" s="477">
        <v>18499992.293426052</v>
      </c>
      <c r="F2733" s="458">
        <v>0.1281828694509366</v>
      </c>
      <c r="G2733" s="477">
        <v>97503848.159208149</v>
      </c>
      <c r="H2733" s="458">
        <v>0.27180726793130727</v>
      </c>
      <c r="I2733" s="468">
        <v>2.693747205932298</v>
      </c>
    </row>
    <row r="2734" spans="1:9" ht="16.5" x14ac:dyDescent="0.3">
      <c r="A2734" s="477">
        <v>-1059314.1630267838</v>
      </c>
      <c r="B2734" s="458">
        <v>3.5171866678940455E-2</v>
      </c>
      <c r="C2734" s="477">
        <v>14646690.939352894</v>
      </c>
      <c r="D2734" s="458">
        <v>5.405931298496669E-2</v>
      </c>
      <c r="E2734" s="477">
        <v>17892058.944269348</v>
      </c>
      <c r="F2734" s="458">
        <v>9.9385654842317317E-2</v>
      </c>
      <c r="G2734" s="477">
        <v>83546542.250685826</v>
      </c>
      <c r="H2734" s="458">
        <v>0.25960683895697412</v>
      </c>
      <c r="I2734" s="468">
        <v>8.12144467580063</v>
      </c>
    </row>
    <row r="2735" spans="1:9" ht="16.5" x14ac:dyDescent="0.3">
      <c r="A2735" s="477">
        <v>5875902.7497178167</v>
      </c>
      <c r="B2735" s="458">
        <v>3.3924657467987895E-2</v>
      </c>
      <c r="C2735" s="477">
        <v>12770965.520352961</v>
      </c>
      <c r="D2735" s="458">
        <v>6.5328425596281603E-2</v>
      </c>
      <c r="E2735" s="477">
        <v>11027768.844298063</v>
      </c>
      <c r="F2735" s="458">
        <v>0.10745202639031182</v>
      </c>
      <c r="G2735" s="477">
        <v>84006223.504188702</v>
      </c>
      <c r="H2735" s="458">
        <v>0.26508447655102962</v>
      </c>
      <c r="I2735" s="468">
        <v>12.841170130861336</v>
      </c>
    </row>
    <row r="2736" spans="1:9" ht="16.5" x14ac:dyDescent="0.3">
      <c r="A2736" s="477">
        <v>2814909.4986324105</v>
      </c>
      <c r="B2736" s="458">
        <v>5.1860637640060991E-2</v>
      </c>
      <c r="C2736" s="477">
        <v>4759023.3454980552</v>
      </c>
      <c r="D2736" s="458">
        <v>7.5225387000593003E-2</v>
      </c>
      <c r="E2736" s="477">
        <v>16154583.902047692</v>
      </c>
      <c r="F2736" s="458">
        <v>0.11997752278204077</v>
      </c>
      <c r="G2736" s="477">
        <v>92870132.232654989</v>
      </c>
      <c r="H2736" s="458">
        <v>0.26386994176754075</v>
      </c>
      <c r="I2736" s="468">
        <v>6.4877539181453336</v>
      </c>
    </row>
    <row r="2737" spans="1:9" ht="16.5" x14ac:dyDescent="0.3">
      <c r="A2737" s="477">
        <v>5503295.7340387749</v>
      </c>
      <c r="B2737" s="458">
        <v>4.4533269565720346E-2</v>
      </c>
      <c r="C2737" s="477">
        <v>11795047.499023778</v>
      </c>
      <c r="D2737" s="458">
        <v>5.3340871327778094E-2</v>
      </c>
      <c r="E2737" s="477">
        <v>16473567.322704863</v>
      </c>
      <c r="F2737" s="458">
        <v>9.0443414922985799E-2</v>
      </c>
      <c r="G2737" s="477">
        <v>77934282.741538078</v>
      </c>
      <c r="H2737" s="458">
        <v>0.25837412780416957</v>
      </c>
      <c r="I2737" s="468">
        <v>8.3186704579765731</v>
      </c>
    </row>
    <row r="2738" spans="1:9" ht="16.5" x14ac:dyDescent="0.3">
      <c r="A2738" s="477">
        <v>3858545.9681700366</v>
      </c>
      <c r="B2738" s="458">
        <v>5.436487769589049E-2</v>
      </c>
      <c r="C2738" s="477">
        <v>4470360.5615018858</v>
      </c>
      <c r="D2738" s="458">
        <v>5.7467519736306372E-2</v>
      </c>
      <c r="E2738" s="477">
        <v>14119424.258966193</v>
      </c>
      <c r="F2738" s="458">
        <v>9.2067714314295168E-2</v>
      </c>
      <c r="G2738" s="477">
        <v>90439905.40231359</v>
      </c>
      <c r="H2738" s="458">
        <v>0.26192458213745562</v>
      </c>
      <c r="I2738" s="468">
        <v>8.580505797109133</v>
      </c>
    </row>
    <row r="2739" spans="1:9" ht="16.5" x14ac:dyDescent="0.3">
      <c r="A2739" s="477">
        <v>1896091.857614754</v>
      </c>
      <c r="B2739" s="458">
        <v>4.1145413588885793E-2</v>
      </c>
      <c r="C2739" s="477">
        <v>12384168.215796508</v>
      </c>
      <c r="D2739" s="458">
        <v>6.5020967613557357E-2</v>
      </c>
      <c r="E2739" s="477">
        <v>24427096.109094586</v>
      </c>
      <c r="F2739" s="458">
        <v>0.11481573433001979</v>
      </c>
      <c r="G2739" s="477">
        <v>105787606.16529231</v>
      </c>
      <c r="H2739" s="458">
        <v>0.25899952653400127</v>
      </c>
      <c r="I2739" s="468">
        <v>6.2120999368428311</v>
      </c>
    </row>
    <row r="2740" spans="1:9" ht="16.5" x14ac:dyDescent="0.3">
      <c r="A2740" s="477">
        <v>5415786.2924978305</v>
      </c>
      <c r="B2740" s="458">
        <v>1.6808951560383312E-2</v>
      </c>
      <c r="C2740" s="477">
        <v>9381825.8432932328</v>
      </c>
      <c r="D2740" s="458">
        <v>5.8153520753950971E-2</v>
      </c>
      <c r="E2740" s="477">
        <v>23238334.559440654</v>
      </c>
      <c r="F2740" s="458">
        <v>0.12536084887900811</v>
      </c>
      <c r="G2740" s="477">
        <v>81994842.044052526</v>
      </c>
      <c r="H2740" s="458">
        <v>0.26053001644480411</v>
      </c>
      <c r="I2740" s="468">
        <v>14.241763965863745</v>
      </c>
    </row>
    <row r="2741" spans="1:9" ht="16.5" x14ac:dyDescent="0.3">
      <c r="A2741" s="477">
        <v>6172956.5302264821</v>
      </c>
      <c r="B2741" s="458">
        <v>2.7455002198101486E-2</v>
      </c>
      <c r="C2741" s="477">
        <v>9619669.7894403078</v>
      </c>
      <c r="D2741" s="458">
        <v>4.1148875667321061E-2</v>
      </c>
      <c r="E2741" s="477">
        <v>12695569.994606314</v>
      </c>
      <c r="F2741" s="458">
        <v>9.3495636357846967E-2</v>
      </c>
      <c r="G2741" s="477">
        <v>92088186.250275329</v>
      </c>
      <c r="H2741" s="458">
        <v>0.26255613770269348</v>
      </c>
      <c r="I2741" s="468">
        <v>10.023861156158791</v>
      </c>
    </row>
    <row r="2742" spans="1:9" ht="16.5" x14ac:dyDescent="0.3">
      <c r="A2742" s="477">
        <v>4876063.8833052274</v>
      </c>
      <c r="B2742" s="458">
        <v>3.8049619458685013E-2</v>
      </c>
      <c r="C2742" s="477">
        <v>7253543.845505611</v>
      </c>
      <c r="D2742" s="458">
        <v>6.4020138876088595E-2</v>
      </c>
      <c r="E2742" s="477">
        <v>15834514.25569943</v>
      </c>
      <c r="F2742" s="458">
        <v>8.4438043792073092E-2</v>
      </c>
      <c r="G2742" s="477">
        <v>102224734.84422711</v>
      </c>
      <c r="H2742" s="458">
        <v>0.2665025159209593</v>
      </c>
      <c r="I2742" s="468">
        <v>5.5110965396624749</v>
      </c>
    </row>
    <row r="2743" spans="1:9" ht="16.5" x14ac:dyDescent="0.3">
      <c r="A2743" s="477">
        <v>2054343.9858831661</v>
      </c>
      <c r="B2743" s="458">
        <v>4.2459650808201577E-2</v>
      </c>
      <c r="C2743" s="477">
        <v>3764588.2367158616</v>
      </c>
      <c r="D2743" s="458">
        <v>7.1193121477547638E-2</v>
      </c>
      <c r="E2743" s="477">
        <v>14710070.251550322</v>
      </c>
      <c r="F2743" s="458">
        <v>0.11504519072445207</v>
      </c>
      <c r="G2743" s="477">
        <v>91187527.085321113</v>
      </c>
      <c r="H2743" s="458">
        <v>0.25064004838542497</v>
      </c>
      <c r="I2743" s="468">
        <v>15.05442567269068</v>
      </c>
    </row>
    <row r="2744" spans="1:9" ht="16.5" x14ac:dyDescent="0.3">
      <c r="A2744" s="477">
        <v>5960571.8843867294</v>
      </c>
      <c r="B2744" s="458">
        <v>3.4199821988595058E-2</v>
      </c>
      <c r="C2744" s="477">
        <v>-944451.51921831665</v>
      </c>
      <c r="D2744" s="458">
        <v>4.5471963006617155E-2</v>
      </c>
      <c r="E2744" s="477">
        <v>25357973.362544157</v>
      </c>
      <c r="F2744" s="458">
        <v>0.10199285190819096</v>
      </c>
      <c r="G2744" s="477">
        <v>81494142.380481333</v>
      </c>
      <c r="H2744" s="458">
        <v>0.26733360095813374</v>
      </c>
      <c r="I2744" s="468">
        <v>10.065734045598525</v>
      </c>
    </row>
    <row r="2745" spans="1:9" ht="16.5" x14ac:dyDescent="0.3">
      <c r="A2745" s="477">
        <v>4229429.6121075302</v>
      </c>
      <c r="B2745" s="458">
        <v>7.1739826670280671E-3</v>
      </c>
      <c r="C2745" s="477">
        <v>7308994.4273360884</v>
      </c>
      <c r="D2745" s="458">
        <v>6.4531940294627388E-2</v>
      </c>
      <c r="E2745" s="477">
        <v>17232547.476999741</v>
      </c>
      <c r="F2745" s="458">
        <v>9.8966335472936429E-2</v>
      </c>
      <c r="G2745" s="477">
        <v>99077885.477216095</v>
      </c>
      <c r="H2745" s="458">
        <v>0.27758839419240044</v>
      </c>
      <c r="I2745" s="468">
        <v>9.8705522877334104</v>
      </c>
    </row>
    <row r="2746" spans="1:9" ht="16.5" x14ac:dyDescent="0.3">
      <c r="A2746" s="477">
        <v>10000.410705170616</v>
      </c>
      <c r="B2746" s="458">
        <v>1.376878556286254E-2</v>
      </c>
      <c r="C2746" s="477">
        <v>6951920.4464129107</v>
      </c>
      <c r="D2746" s="458">
        <v>7.9915343977964293E-2</v>
      </c>
      <c r="E2746" s="477">
        <v>14610509.999850975</v>
      </c>
      <c r="F2746" s="458">
        <v>0.11359319666627177</v>
      </c>
      <c r="G2746" s="477">
        <v>99592832.277769908</v>
      </c>
      <c r="H2746" s="458">
        <v>0.27641221616529643</v>
      </c>
      <c r="I2746" s="468">
        <v>13.857766519114758</v>
      </c>
    </row>
    <row r="2747" spans="1:9" ht="16.5" x14ac:dyDescent="0.3">
      <c r="A2747" s="477">
        <v>5085602.6037919475</v>
      </c>
      <c r="B2747" s="458">
        <v>3.5222039680268713E-2</v>
      </c>
      <c r="C2747" s="477">
        <v>1923129.906407966</v>
      </c>
      <c r="D2747" s="458">
        <v>6.5527755790883546E-2</v>
      </c>
      <c r="E2747" s="477">
        <v>15286255.261595676</v>
      </c>
      <c r="F2747" s="458">
        <v>0.11704631131191601</v>
      </c>
      <c r="G2747" s="477">
        <v>98030729.442309305</v>
      </c>
      <c r="H2747" s="458">
        <v>0.27198086332732796</v>
      </c>
      <c r="I2747" s="468">
        <v>11.242768886202377</v>
      </c>
    </row>
    <row r="2748" spans="1:9" ht="16.5" x14ac:dyDescent="0.3">
      <c r="A2748" s="477">
        <v>624921.86080288619</v>
      </c>
      <c r="B2748" s="458">
        <v>2.413495550695699E-2</v>
      </c>
      <c r="C2748" s="477">
        <v>6482449.8946310962</v>
      </c>
      <c r="D2748" s="458">
        <v>8.0974141848612735E-2</v>
      </c>
      <c r="E2748" s="477">
        <v>23537201.20341507</v>
      </c>
      <c r="F2748" s="458">
        <v>0.12333826513615342</v>
      </c>
      <c r="G2748" s="477">
        <v>75666310.948747367</v>
      </c>
      <c r="H2748" s="458">
        <v>0.27380373818765968</v>
      </c>
      <c r="I2748" s="468">
        <v>8.9973276138993992</v>
      </c>
    </row>
    <row r="2749" spans="1:9" ht="16.5" x14ac:dyDescent="0.3">
      <c r="A2749" s="477">
        <v>1989818.0545327503</v>
      </c>
      <c r="B2749" s="458">
        <v>3.8901439526692672E-2</v>
      </c>
      <c r="C2749" s="477">
        <v>9284425.1974402312</v>
      </c>
      <c r="D2749" s="458">
        <v>6.4840905378705349E-2</v>
      </c>
      <c r="E2749" s="477">
        <v>15327613.30323196</v>
      </c>
      <c r="F2749" s="458">
        <v>9.9947640332789911E-2</v>
      </c>
      <c r="G2749" s="477">
        <v>92762266.117551789</v>
      </c>
      <c r="H2749" s="458">
        <v>0.27281374405177616</v>
      </c>
      <c r="I2749" s="468">
        <v>11.238124385161061</v>
      </c>
    </row>
    <row r="2750" spans="1:9" ht="16.5" x14ac:dyDescent="0.3">
      <c r="A2750" s="477">
        <v>6623695.2649860708</v>
      </c>
      <c r="B2750" s="458">
        <v>3.4835924627307335E-2</v>
      </c>
      <c r="C2750" s="477">
        <v>10893146.4300131</v>
      </c>
      <c r="D2750" s="458">
        <v>8.17828274923873E-2</v>
      </c>
      <c r="E2750" s="477">
        <v>10537941.162815118</v>
      </c>
      <c r="F2750" s="458">
        <v>0.1126281184657294</v>
      </c>
      <c r="G2750" s="477">
        <v>80509302.890355647</v>
      </c>
      <c r="H2750" s="458">
        <v>0.27501196230834846</v>
      </c>
      <c r="I2750" s="468">
        <v>7.3356998462167864</v>
      </c>
    </row>
    <row r="2751" spans="1:9" ht="16.5" x14ac:dyDescent="0.3">
      <c r="A2751" s="477">
        <v>7177672.7976875966</v>
      </c>
      <c r="B2751" s="458">
        <v>4.491331328445658E-2</v>
      </c>
      <c r="C2751" s="477">
        <v>3834514.1540821469</v>
      </c>
      <c r="D2751" s="458">
        <v>6.567822608169438E-2</v>
      </c>
      <c r="E2751" s="477">
        <v>23536035.09389795</v>
      </c>
      <c r="F2751" s="458">
        <v>0.10952918620622887</v>
      </c>
      <c r="G2751" s="477">
        <v>94198976.845905975</v>
      </c>
      <c r="H2751" s="458">
        <v>0.26781955966495352</v>
      </c>
      <c r="I2751" s="468">
        <v>4.5330477319926752</v>
      </c>
    </row>
    <row r="2752" spans="1:9" ht="16.5" x14ac:dyDescent="0.3">
      <c r="A2752" s="477">
        <v>7369926.0391585557</v>
      </c>
      <c r="B2752" s="458">
        <v>2.2783804662134033E-2</v>
      </c>
      <c r="C2752" s="477">
        <v>6728061.2022478366</v>
      </c>
      <c r="D2752" s="458">
        <v>6.5523472763937773E-2</v>
      </c>
      <c r="E2752" s="477">
        <v>23327533.246396374</v>
      </c>
      <c r="F2752" s="458">
        <v>0.11426742366551079</v>
      </c>
      <c r="G2752" s="477">
        <v>95338997.541911125</v>
      </c>
      <c r="H2752" s="458">
        <v>0.28515720213188245</v>
      </c>
      <c r="I2752" s="468">
        <v>14.840254905764514</v>
      </c>
    </row>
    <row r="2753" spans="1:9" ht="16.5" x14ac:dyDescent="0.3">
      <c r="A2753" s="477">
        <v>-5609828.1802980928</v>
      </c>
      <c r="B2753" s="458">
        <v>4.4022276023144791E-2</v>
      </c>
      <c r="C2753" s="477">
        <v>11179095.201370159</v>
      </c>
      <c r="D2753" s="458">
        <v>3.5832665544130338E-2</v>
      </c>
      <c r="E2753" s="477">
        <v>9718699.6316926293</v>
      </c>
      <c r="F2753" s="458">
        <v>0.11386669309453312</v>
      </c>
      <c r="G2753" s="477">
        <v>97733378.355183244</v>
      </c>
      <c r="H2753" s="458">
        <v>0.27879243230808282</v>
      </c>
      <c r="I2753" s="468">
        <v>11.029329794015304</v>
      </c>
    </row>
    <row r="2754" spans="1:9" ht="16.5" x14ac:dyDescent="0.3">
      <c r="A2754" s="477">
        <v>6535592.9490286913</v>
      </c>
      <c r="B2754" s="458">
        <v>6.9618687807378121E-2</v>
      </c>
      <c r="C2754" s="477">
        <v>6513700.8948127395</v>
      </c>
      <c r="D2754" s="458">
        <v>5.4350277665685454E-2</v>
      </c>
      <c r="E2754" s="477">
        <v>24315409.044580374</v>
      </c>
      <c r="F2754" s="458">
        <v>9.8938484183318742E-2</v>
      </c>
      <c r="G2754" s="477">
        <v>91359134.456314564</v>
      </c>
      <c r="H2754" s="458">
        <v>0.25864051620335249</v>
      </c>
      <c r="I2754" s="468">
        <v>14.349794271983638</v>
      </c>
    </row>
    <row r="2755" spans="1:9" ht="16.5" x14ac:dyDescent="0.3">
      <c r="A2755" s="477">
        <v>3585994.2295586979</v>
      </c>
      <c r="B2755" s="458">
        <v>1.6289095407689524E-2</v>
      </c>
      <c r="C2755" s="477">
        <v>8913504.3603544924</v>
      </c>
      <c r="D2755" s="458">
        <v>6.935856479375202E-2</v>
      </c>
      <c r="E2755" s="477">
        <v>17426190.239063472</v>
      </c>
      <c r="F2755" s="458">
        <v>0.10375110999152692</v>
      </c>
      <c r="G2755" s="477">
        <v>77547318.232146487</v>
      </c>
      <c r="H2755" s="458">
        <v>0.25810778577592952</v>
      </c>
      <c r="I2755" s="468">
        <v>6.0150257958828695</v>
      </c>
    </row>
    <row r="2756" spans="1:9" ht="16.5" x14ac:dyDescent="0.3">
      <c r="A2756" s="477">
        <v>5640891.709229812</v>
      </c>
      <c r="B2756" s="458">
        <v>0.10111521539701473</v>
      </c>
      <c r="C2756" s="477">
        <v>3982482.710379581</v>
      </c>
      <c r="D2756" s="458">
        <v>5.5693460942597639E-2</v>
      </c>
      <c r="E2756" s="477">
        <v>21027007.763226923</v>
      </c>
      <c r="F2756" s="458">
        <v>0.11984564656906072</v>
      </c>
      <c r="G2756" s="477">
        <v>75051910.771623805</v>
      </c>
      <c r="H2756" s="458">
        <v>0.27615710085401646</v>
      </c>
      <c r="I2756" s="468">
        <v>13.074425139519526</v>
      </c>
    </row>
    <row r="2757" spans="1:9" ht="16.5" x14ac:dyDescent="0.3">
      <c r="A2757" s="477">
        <v>7285241.2038581539</v>
      </c>
      <c r="B2757" s="458">
        <v>2.6621688597419757E-2</v>
      </c>
      <c r="C2757" s="477">
        <v>3764013.6546291932</v>
      </c>
      <c r="D2757" s="458">
        <v>7.9502898704121527E-2</v>
      </c>
      <c r="E2757" s="477">
        <v>3548989.7109955479</v>
      </c>
      <c r="F2757" s="458">
        <v>0.12228405253124697</v>
      </c>
      <c r="G2757" s="477">
        <v>91829724.127826676</v>
      </c>
      <c r="H2757" s="458">
        <v>0.28128187325734766</v>
      </c>
      <c r="I2757" s="468">
        <v>8.1875731266264964</v>
      </c>
    </row>
    <row r="2758" spans="1:9" ht="16.5" x14ac:dyDescent="0.3">
      <c r="A2758" s="477">
        <v>8492074.559066087</v>
      </c>
      <c r="B2758" s="458">
        <v>5.3185731045388929E-2</v>
      </c>
      <c r="C2758" s="477">
        <v>2847250.104950862</v>
      </c>
      <c r="D2758" s="458">
        <v>8.2959315105338938E-2</v>
      </c>
      <c r="E2758" s="477">
        <v>10438034.746381667</v>
      </c>
      <c r="F2758" s="458">
        <v>0.10273437600305901</v>
      </c>
      <c r="G2758" s="477">
        <v>97053209.096479923</v>
      </c>
      <c r="H2758" s="458">
        <v>0.27124782229063582</v>
      </c>
      <c r="I2758" s="468">
        <v>0.81758936043164265</v>
      </c>
    </row>
    <row r="2759" spans="1:9" ht="16.5" x14ac:dyDescent="0.3">
      <c r="A2759" s="477">
        <v>3084260.5935743283</v>
      </c>
      <c r="B2759" s="458">
        <v>4.7775182504514735E-2</v>
      </c>
      <c r="C2759" s="477">
        <v>2662922.6567285554</v>
      </c>
      <c r="D2759" s="458">
        <v>6.0745195078306891E-2</v>
      </c>
      <c r="E2759" s="477">
        <v>17523505.535198003</v>
      </c>
      <c r="F2759" s="458">
        <v>0.10396101300412641</v>
      </c>
      <c r="G2759" s="477">
        <v>86326281.938211665</v>
      </c>
      <c r="H2759" s="458">
        <v>0.26452252859127423</v>
      </c>
      <c r="I2759" s="468">
        <v>9.2961997529971043</v>
      </c>
    </row>
    <row r="2760" spans="1:9" ht="16.5" x14ac:dyDescent="0.3">
      <c r="A2760" s="477">
        <v>6271212.670366697</v>
      </c>
      <c r="B2760" s="458">
        <v>4.4232971465289372E-2</v>
      </c>
      <c r="C2760" s="477">
        <v>6629095.6340958625</v>
      </c>
      <c r="D2760" s="458">
        <v>8.3602614739946901E-2</v>
      </c>
      <c r="E2760" s="477">
        <v>19585477.965766501</v>
      </c>
      <c r="F2760" s="458">
        <v>0.10672465452710633</v>
      </c>
      <c r="G2760" s="477">
        <v>103002142.47549604</v>
      </c>
      <c r="H2760" s="458">
        <v>0.25908174253289906</v>
      </c>
      <c r="I2760" s="468">
        <v>8.2068130501245182</v>
      </c>
    </row>
    <row r="2761" spans="1:9" ht="16.5" x14ac:dyDescent="0.3">
      <c r="A2761" s="477">
        <v>5727951.1679118266</v>
      </c>
      <c r="B2761" s="458">
        <v>7.6680548324272735E-2</v>
      </c>
      <c r="C2761" s="477">
        <v>10932962.964768119</v>
      </c>
      <c r="D2761" s="458">
        <v>6.8416309012350185E-2</v>
      </c>
      <c r="E2761" s="477">
        <v>21803546.081034001</v>
      </c>
      <c r="F2761" s="458">
        <v>0.10071670563426438</v>
      </c>
      <c r="G2761" s="477">
        <v>90223650.620801091</v>
      </c>
      <c r="H2761" s="458">
        <v>0.25490345850308471</v>
      </c>
      <c r="I2761" s="468">
        <v>5.0689801915796124</v>
      </c>
    </row>
    <row r="2762" spans="1:9" ht="16.5" x14ac:dyDescent="0.3">
      <c r="A2762" s="477">
        <v>7667728.3561175037</v>
      </c>
      <c r="B2762" s="458">
        <v>1.7848597167396729E-2</v>
      </c>
      <c r="C2762" s="477">
        <v>10806023.707567809</v>
      </c>
      <c r="D2762" s="458">
        <v>9.136748683885676E-2</v>
      </c>
      <c r="E2762" s="477">
        <v>9312886.7295265067</v>
      </c>
      <c r="F2762" s="458">
        <v>0.15312472880603156</v>
      </c>
      <c r="G2762" s="477">
        <v>96858954.571615309</v>
      </c>
      <c r="H2762" s="458">
        <v>0.24465138967972977</v>
      </c>
      <c r="I2762" s="468">
        <v>10.501656358305043</v>
      </c>
    </row>
    <row r="2763" spans="1:9" ht="16.5" x14ac:dyDescent="0.3">
      <c r="A2763" s="477">
        <v>2284883.0002851337</v>
      </c>
      <c r="B2763" s="458">
        <v>3.2353666319182128E-2</v>
      </c>
      <c r="C2763" s="477">
        <v>7846846.6108599082</v>
      </c>
      <c r="D2763" s="458">
        <v>6.5055090029286777E-2</v>
      </c>
      <c r="E2763" s="477">
        <v>23310152.335997451</v>
      </c>
      <c r="F2763" s="458">
        <v>9.354033541501483E-2</v>
      </c>
      <c r="G2763" s="477">
        <v>90086030.403446108</v>
      </c>
      <c r="H2763" s="458">
        <v>0.30130666201589507</v>
      </c>
      <c r="I2763" s="468">
        <v>9.2371571344361705</v>
      </c>
    </row>
    <row r="2764" spans="1:9" ht="16.5" x14ac:dyDescent="0.3">
      <c r="A2764" s="477">
        <v>11030143.419260969</v>
      </c>
      <c r="B2764" s="458">
        <v>4.8395499916514817E-2</v>
      </c>
      <c r="C2764" s="477">
        <v>13057081.949178012</v>
      </c>
      <c r="D2764" s="458">
        <v>6.4030057870964052E-2</v>
      </c>
      <c r="E2764" s="477">
        <v>18623087.245404366</v>
      </c>
      <c r="F2764" s="458">
        <v>9.9399052059215398E-2</v>
      </c>
      <c r="G2764" s="477">
        <v>100183587.13260914</v>
      </c>
      <c r="H2764" s="458">
        <v>0.26958372471627201</v>
      </c>
      <c r="I2764" s="468">
        <v>5.0546367169187665</v>
      </c>
    </row>
    <row r="2765" spans="1:9" ht="16.5" x14ac:dyDescent="0.3">
      <c r="A2765" s="477">
        <v>6117916.713911036</v>
      </c>
      <c r="B2765" s="458">
        <v>4.284839605102686E-2</v>
      </c>
      <c r="C2765" s="477">
        <v>6300966.8757050335</v>
      </c>
      <c r="D2765" s="458">
        <v>7.4111515089790414E-2</v>
      </c>
      <c r="E2765" s="477">
        <v>13926282.475074252</v>
      </c>
      <c r="F2765" s="458">
        <v>9.3272572359077266E-2</v>
      </c>
      <c r="G2765" s="477">
        <v>104566111.84997508</v>
      </c>
      <c r="H2765" s="458">
        <v>0.25828485962078895</v>
      </c>
      <c r="I2765" s="468">
        <v>5.4706951243286284</v>
      </c>
    </row>
    <row r="2766" spans="1:9" ht="16.5" x14ac:dyDescent="0.3">
      <c r="A2766" s="477">
        <v>2712128.9203408142</v>
      </c>
      <c r="B2766" s="458">
        <v>2.3644966293174363E-2</v>
      </c>
      <c r="C2766" s="477">
        <v>9673583.0041972473</v>
      </c>
      <c r="D2766" s="458">
        <v>7.2206794101634664E-2</v>
      </c>
      <c r="E2766" s="477">
        <v>15526604.806112733</v>
      </c>
      <c r="F2766" s="458">
        <v>8.5660213628432791E-2</v>
      </c>
      <c r="G2766" s="477">
        <v>84471155.269223541</v>
      </c>
      <c r="H2766" s="458">
        <v>0.26231675477331673</v>
      </c>
      <c r="I2766" s="468">
        <v>4.6049711295324123</v>
      </c>
    </row>
    <row r="2767" spans="1:9" ht="16.5" x14ac:dyDescent="0.3">
      <c r="A2767" s="477">
        <v>6905587.1143478798</v>
      </c>
      <c r="B2767" s="458">
        <v>4.7902927994345479E-2</v>
      </c>
      <c r="C2767" s="477">
        <v>11948396.071492314</v>
      </c>
      <c r="D2767" s="458">
        <v>4.817732645161521E-2</v>
      </c>
      <c r="E2767" s="477">
        <v>16884376.467894267</v>
      </c>
      <c r="F2767" s="458">
        <v>0.10750287576671513</v>
      </c>
      <c r="G2767" s="477">
        <v>86711391.211042747</v>
      </c>
      <c r="H2767" s="458">
        <v>0.27845198857813247</v>
      </c>
      <c r="I2767" s="468">
        <v>6.3086937303228865</v>
      </c>
    </row>
    <row r="2768" spans="1:9" ht="16.5" x14ac:dyDescent="0.3">
      <c r="A2768" s="477">
        <v>1584505.3914214633</v>
      </c>
      <c r="B2768" s="458">
        <v>7.4574131702870972E-2</v>
      </c>
      <c r="C2768" s="477">
        <v>17543088.940867595</v>
      </c>
      <c r="D2768" s="458">
        <v>6.7473932544844795E-2</v>
      </c>
      <c r="E2768" s="477">
        <v>17887816.862112753</v>
      </c>
      <c r="F2768" s="458">
        <v>0.10253593471792732</v>
      </c>
      <c r="G2768" s="477">
        <v>83769572.798351303</v>
      </c>
      <c r="H2768" s="458">
        <v>0.26425120280640435</v>
      </c>
      <c r="I2768" s="468">
        <v>5.0539771382379524</v>
      </c>
    </row>
    <row r="2769" spans="1:9" ht="16.5" x14ac:dyDescent="0.3">
      <c r="A2769" s="477">
        <v>5211557.8571495106</v>
      </c>
      <c r="B2769" s="458">
        <v>3.5893560850211337E-2</v>
      </c>
      <c r="C2769" s="477">
        <v>7451929.1878706599</v>
      </c>
      <c r="D2769" s="458">
        <v>6.0764755764428413E-2</v>
      </c>
      <c r="E2769" s="477">
        <v>23510761.739404533</v>
      </c>
      <c r="F2769" s="458">
        <v>0.13142243596377878</v>
      </c>
      <c r="G2769" s="477">
        <v>92267239.232676521</v>
      </c>
      <c r="H2769" s="458">
        <v>0.29716370002498871</v>
      </c>
      <c r="I2769" s="468">
        <v>7.9782652752287762</v>
      </c>
    </row>
    <row r="2770" spans="1:9" ht="16.5" x14ac:dyDescent="0.3">
      <c r="A2770" s="477">
        <v>6204028.215591196</v>
      </c>
      <c r="B2770" s="458">
        <v>5.1284687060117795E-2</v>
      </c>
      <c r="C2770" s="477">
        <v>5596848.6081542587</v>
      </c>
      <c r="D2770" s="458">
        <v>7.2030546877627666E-2</v>
      </c>
      <c r="E2770" s="477">
        <v>16670241.585448684</v>
      </c>
      <c r="F2770" s="458">
        <v>0.11791506922663508</v>
      </c>
      <c r="G2770" s="477">
        <v>96988810.826193124</v>
      </c>
      <c r="H2770" s="458">
        <v>0.27793874294885645</v>
      </c>
      <c r="I2770" s="468">
        <v>6.6746373461974384</v>
      </c>
    </row>
    <row r="2771" spans="1:9" ht="16.5" x14ac:dyDescent="0.3">
      <c r="A2771" s="477">
        <v>6030285.6813915204</v>
      </c>
      <c r="B2771" s="458">
        <v>2.7320246413123694E-2</v>
      </c>
      <c r="C2771" s="477">
        <v>14507058.373447279</v>
      </c>
      <c r="D2771" s="458">
        <v>6.9849515874952139E-2</v>
      </c>
      <c r="E2771" s="477">
        <v>21368417.679809723</v>
      </c>
      <c r="F2771" s="458">
        <v>0.1378880927991819</v>
      </c>
      <c r="G2771" s="477">
        <v>89028344.59212178</v>
      </c>
      <c r="H2771" s="458">
        <v>0.26527848130521803</v>
      </c>
      <c r="I2771" s="468">
        <v>0.151787220626173</v>
      </c>
    </row>
    <row r="2772" spans="1:9" ht="16.5" x14ac:dyDescent="0.3">
      <c r="A2772" s="477">
        <v>4143838.8480516565</v>
      </c>
      <c r="B2772" s="458">
        <v>8.8152694157253908E-2</v>
      </c>
      <c r="C2772" s="477">
        <v>11693758.347523218</v>
      </c>
      <c r="D2772" s="458">
        <v>8.9124038549041273E-2</v>
      </c>
      <c r="E2772" s="477">
        <v>18229930.127538759</v>
      </c>
      <c r="F2772" s="458">
        <v>0.11050523479526109</v>
      </c>
      <c r="G2772" s="477">
        <v>99031398.905558705</v>
      </c>
      <c r="H2772" s="458">
        <v>0.28478574498202791</v>
      </c>
      <c r="I2772" s="468">
        <v>4.6143462182051067</v>
      </c>
    </row>
    <row r="2773" spans="1:9" ht="16.5" x14ac:dyDescent="0.3">
      <c r="A2773" s="477">
        <v>1722101.8864300672</v>
      </c>
      <c r="B2773" s="458">
        <v>5.030819865880054E-2</v>
      </c>
      <c r="C2773" s="477">
        <v>10451748.097322455</v>
      </c>
      <c r="D2773" s="458">
        <v>7.2193917766537608E-2</v>
      </c>
      <c r="E2773" s="477">
        <v>14576158.26168382</v>
      </c>
      <c r="F2773" s="458">
        <v>0.13507480481305079</v>
      </c>
      <c r="G2773" s="477">
        <v>81545509.554522827</v>
      </c>
      <c r="H2773" s="458">
        <v>0.24558917781724876</v>
      </c>
      <c r="I2773" s="468">
        <v>9.7906791253832299</v>
      </c>
    </row>
    <row r="2774" spans="1:9" ht="16.5" x14ac:dyDescent="0.3">
      <c r="A2774" s="477">
        <v>3126371.9554527993</v>
      </c>
      <c r="B2774" s="458">
        <v>2.7515825851109899E-2</v>
      </c>
      <c r="C2774" s="477">
        <v>9568138.5033852253</v>
      </c>
      <c r="D2774" s="458">
        <v>6.3297001138654663E-2</v>
      </c>
      <c r="E2774" s="477">
        <v>16828704.943898633</v>
      </c>
      <c r="F2774" s="458">
        <v>8.4847487169157576E-2</v>
      </c>
      <c r="G2774" s="477">
        <v>82416390.904379815</v>
      </c>
      <c r="H2774" s="458">
        <v>0.29480833630133585</v>
      </c>
      <c r="I2774" s="468">
        <v>5.9758264620754113</v>
      </c>
    </row>
    <row r="2775" spans="1:9" ht="16.5" x14ac:dyDescent="0.3">
      <c r="A2775" s="477">
        <v>5132711.1206855197</v>
      </c>
      <c r="B2775" s="458">
        <v>2.7435530991916757E-2</v>
      </c>
      <c r="C2775" s="477">
        <v>5459345.5826707147</v>
      </c>
      <c r="D2775" s="458">
        <v>3.9700966744236288E-2</v>
      </c>
      <c r="E2775" s="477">
        <v>15883594.354930008</v>
      </c>
      <c r="F2775" s="458">
        <v>9.4075050338151112E-2</v>
      </c>
      <c r="G2775" s="477">
        <v>85313708.690233633</v>
      </c>
      <c r="H2775" s="458">
        <v>0.25122246242034296</v>
      </c>
      <c r="I2775" s="468">
        <v>10.127431470042408</v>
      </c>
    </row>
    <row r="2776" spans="1:9" ht="16.5" x14ac:dyDescent="0.3">
      <c r="A2776" s="477">
        <v>4739703.1837015226</v>
      </c>
      <c r="B2776" s="458">
        <v>3.221550978645582E-2</v>
      </c>
      <c r="C2776" s="477">
        <v>10936009.149472246</v>
      </c>
      <c r="D2776" s="458">
        <v>5.2216962816853396E-2</v>
      </c>
      <c r="E2776" s="477">
        <v>12986584.875446111</v>
      </c>
      <c r="F2776" s="458">
        <v>0.11393212050124246</v>
      </c>
      <c r="G2776" s="477">
        <v>85246433.102249518</v>
      </c>
      <c r="H2776" s="458">
        <v>0.26205752602079979</v>
      </c>
      <c r="I2776" s="468">
        <v>10.682960161822908</v>
      </c>
    </row>
    <row r="2777" spans="1:9" ht="16.5" x14ac:dyDescent="0.3">
      <c r="A2777" s="477">
        <v>8675960.0144698843</v>
      </c>
      <c r="B2777" s="458">
        <v>3.1651149750654861E-2</v>
      </c>
      <c r="C2777" s="477">
        <v>14133079.519835459</v>
      </c>
      <c r="D2777" s="458">
        <v>5.4236889069951832E-2</v>
      </c>
      <c r="E2777" s="477">
        <v>16104525.916205939</v>
      </c>
      <c r="F2777" s="458">
        <v>0.10780735030572774</v>
      </c>
      <c r="G2777" s="477">
        <v>97390324.250871629</v>
      </c>
      <c r="H2777" s="458">
        <v>0.27102460614265111</v>
      </c>
      <c r="I2777" s="468">
        <v>13.02364796754382</v>
      </c>
    </row>
    <row r="2778" spans="1:9" ht="16.5" x14ac:dyDescent="0.3">
      <c r="A2778" s="477">
        <v>6669158.4417947149</v>
      </c>
      <c r="B2778" s="458">
        <v>4.5095152908966707E-2</v>
      </c>
      <c r="C2778" s="477">
        <v>12988075.560017828</v>
      </c>
      <c r="D2778" s="458">
        <v>6.2748015338166541E-2</v>
      </c>
      <c r="E2778" s="477">
        <v>15838907.030139895</v>
      </c>
      <c r="F2778" s="458">
        <v>0.12504755727601724</v>
      </c>
      <c r="G2778" s="477">
        <v>96238638.233256161</v>
      </c>
      <c r="H2778" s="458">
        <v>0.28116894153703509</v>
      </c>
      <c r="I2778" s="468">
        <v>9.6152361865106588</v>
      </c>
    </row>
    <row r="2779" spans="1:9" ht="16.5" x14ac:dyDescent="0.3">
      <c r="A2779" s="477">
        <v>3025002.5276754647</v>
      </c>
      <c r="B2779" s="458">
        <v>3.1006548836889802E-2</v>
      </c>
      <c r="C2779" s="477">
        <v>7801592.7037229007</v>
      </c>
      <c r="D2779" s="458">
        <v>7.9736437538733496E-2</v>
      </c>
      <c r="E2779" s="477">
        <v>10811558.071954569</v>
      </c>
      <c r="F2779" s="458">
        <v>0.12175450147945366</v>
      </c>
      <c r="G2779" s="477">
        <v>84731258.220805779</v>
      </c>
      <c r="H2779" s="458">
        <v>0.26916357320494444</v>
      </c>
      <c r="I2779" s="468">
        <v>6.4281179837762359</v>
      </c>
    </row>
    <row r="2780" spans="1:9" ht="16.5" x14ac:dyDescent="0.3">
      <c r="A2780" s="477">
        <v>3823386.1108536669</v>
      </c>
      <c r="B2780" s="458">
        <v>4.1773860730196954E-2</v>
      </c>
      <c r="C2780" s="477">
        <v>15570419.337086482</v>
      </c>
      <c r="D2780" s="458">
        <v>7.7098605725362646E-2</v>
      </c>
      <c r="E2780" s="477">
        <v>19911429.959379207</v>
      </c>
      <c r="F2780" s="458">
        <v>0.120391081083006</v>
      </c>
      <c r="G2780" s="477">
        <v>77995820.572092295</v>
      </c>
      <c r="H2780" s="458">
        <v>0.27636152036938877</v>
      </c>
      <c r="I2780" s="468">
        <v>6.7381210805850653</v>
      </c>
    </row>
    <row r="2781" spans="1:9" ht="16.5" x14ac:dyDescent="0.3">
      <c r="A2781" s="477">
        <v>3747477.164709779</v>
      </c>
      <c r="B2781" s="458">
        <v>3.5744469013694546E-2</v>
      </c>
      <c r="C2781" s="477">
        <v>12826253.783040451</v>
      </c>
      <c r="D2781" s="458">
        <v>4.6068329012335818E-2</v>
      </c>
      <c r="E2781" s="477">
        <v>13867832.279439159</v>
      </c>
      <c r="F2781" s="458">
        <v>0.11555842922311954</v>
      </c>
      <c r="G2781" s="477">
        <v>89348998.28134653</v>
      </c>
      <c r="H2781" s="458">
        <v>0.26962398736984405</v>
      </c>
      <c r="I2781" s="468">
        <v>6.8152912398035967</v>
      </c>
    </row>
    <row r="2782" spans="1:9" ht="16.5" x14ac:dyDescent="0.3">
      <c r="A2782" s="477">
        <v>5908613.325158827</v>
      </c>
      <c r="B2782" s="458">
        <v>3.6571365439497683E-2</v>
      </c>
      <c r="C2782" s="477">
        <v>6102280.0388080487</v>
      </c>
      <c r="D2782" s="458">
        <v>7.7211875208570202E-2</v>
      </c>
      <c r="E2782" s="477">
        <v>11671260.312774332</v>
      </c>
      <c r="F2782" s="458">
        <v>0.12544863516611682</v>
      </c>
      <c r="G2782" s="477">
        <v>94145911.652813643</v>
      </c>
      <c r="H2782" s="458">
        <v>0.26039048361768913</v>
      </c>
      <c r="I2782" s="468">
        <v>15.796624252304003</v>
      </c>
    </row>
    <row r="2783" spans="1:9" ht="16.5" x14ac:dyDescent="0.3">
      <c r="A2783" s="477">
        <v>1659869.5095253314</v>
      </c>
      <c r="B2783" s="458">
        <v>2.845546116671116E-2</v>
      </c>
      <c r="C2783" s="477">
        <v>5113225.827008849</v>
      </c>
      <c r="D2783" s="458">
        <v>5.0891572749460545E-2</v>
      </c>
      <c r="E2783" s="477">
        <v>16281746.495304232</v>
      </c>
      <c r="F2783" s="458">
        <v>0.11806923137075964</v>
      </c>
      <c r="G2783" s="477">
        <v>75292506.303833306</v>
      </c>
      <c r="H2783" s="458">
        <v>0.27855604695460778</v>
      </c>
      <c r="I2783" s="468">
        <v>5.5860365035075183</v>
      </c>
    </row>
    <row r="2784" spans="1:9" ht="16.5" x14ac:dyDescent="0.3">
      <c r="A2784" s="477">
        <v>2061729.0436012114</v>
      </c>
      <c r="B2784" s="458">
        <v>5.3284015494529546E-2</v>
      </c>
      <c r="C2784" s="477">
        <v>9114131.0110376552</v>
      </c>
      <c r="D2784" s="458">
        <v>4.4121458621622311E-2</v>
      </c>
      <c r="E2784" s="477">
        <v>18281263.495026063</v>
      </c>
      <c r="F2784" s="458">
        <v>9.3722354186721368E-2</v>
      </c>
      <c r="G2784" s="477">
        <v>67904438.256238356</v>
      </c>
      <c r="H2784" s="458">
        <v>0.25402910638744491</v>
      </c>
      <c r="I2784" s="468">
        <v>3.485277946674441</v>
      </c>
    </row>
    <row r="2785" spans="1:9" ht="16.5" x14ac:dyDescent="0.3">
      <c r="A2785" s="477">
        <v>7076114.1408817451</v>
      </c>
      <c r="B2785" s="458">
        <v>5.7458918808685588E-2</v>
      </c>
      <c r="C2785" s="477">
        <v>1873367.9834052001</v>
      </c>
      <c r="D2785" s="458">
        <v>3.0216369404653109E-2</v>
      </c>
      <c r="E2785" s="477">
        <v>10065557.842722412</v>
      </c>
      <c r="F2785" s="458">
        <v>0.11990619682961712</v>
      </c>
      <c r="G2785" s="477">
        <v>84378073.952149227</v>
      </c>
      <c r="H2785" s="458">
        <v>0.26370096517270691</v>
      </c>
      <c r="I2785" s="468">
        <v>10.729310913513313</v>
      </c>
    </row>
    <row r="2786" spans="1:9" ht="16.5" x14ac:dyDescent="0.3">
      <c r="A2786" s="477">
        <v>1533888.3862441706</v>
      </c>
      <c r="B2786" s="458">
        <v>5.2320096566892627E-2</v>
      </c>
      <c r="C2786" s="477">
        <v>9875349.2866633385</v>
      </c>
      <c r="D2786" s="458">
        <v>5.5073475821826756E-2</v>
      </c>
      <c r="E2786" s="477">
        <v>18562156.471484501</v>
      </c>
      <c r="F2786" s="458">
        <v>0.11480966070473619</v>
      </c>
      <c r="G2786" s="477">
        <v>97761330.085248888</v>
      </c>
      <c r="H2786" s="458">
        <v>0.2842613133365941</v>
      </c>
      <c r="I2786" s="468">
        <v>11.101239798903947</v>
      </c>
    </row>
    <row r="2787" spans="1:9" ht="16.5" x14ac:dyDescent="0.3">
      <c r="A2787" s="477">
        <v>6715040.1480802344</v>
      </c>
      <c r="B2787" s="458">
        <v>4.901697299115404E-2</v>
      </c>
      <c r="C2787" s="477">
        <v>8940124.291815605</v>
      </c>
      <c r="D2787" s="458">
        <v>8.724431856227155E-2</v>
      </c>
      <c r="E2787" s="477">
        <v>22272302.360168219</v>
      </c>
      <c r="F2787" s="458">
        <v>0.10781224571354642</v>
      </c>
      <c r="G2787" s="477">
        <v>96702926.511775672</v>
      </c>
      <c r="H2787" s="458">
        <v>0.31115360839594164</v>
      </c>
      <c r="I2787" s="468">
        <v>5.3318685181344865</v>
      </c>
    </row>
    <row r="2788" spans="1:9" ht="16.5" x14ac:dyDescent="0.3">
      <c r="A2788" s="477">
        <v>4386371.1417087922</v>
      </c>
      <c r="B2788" s="458">
        <v>3.5158101656547203E-2</v>
      </c>
      <c r="C2788" s="477">
        <v>5906998.4816788044</v>
      </c>
      <c r="D2788" s="458">
        <v>4.9073218963977316E-2</v>
      </c>
      <c r="E2788" s="477">
        <v>21925004.714977831</v>
      </c>
      <c r="F2788" s="458">
        <v>0.10137786308602625</v>
      </c>
      <c r="G2788" s="477">
        <v>80839185.909694359</v>
      </c>
      <c r="H2788" s="458">
        <v>0.27538389699288035</v>
      </c>
      <c r="I2788" s="468">
        <v>8.3794534539821051</v>
      </c>
    </row>
    <row r="2789" spans="1:9" ht="16.5" x14ac:dyDescent="0.3">
      <c r="A2789" s="477">
        <v>77465.345266701421</v>
      </c>
      <c r="B2789" s="458">
        <v>4.4710858318669278E-2</v>
      </c>
      <c r="C2789" s="477">
        <v>13067441.432982987</v>
      </c>
      <c r="D2789" s="458">
        <v>7.2205237155490876E-2</v>
      </c>
      <c r="E2789" s="477">
        <v>18278092.859937429</v>
      </c>
      <c r="F2789" s="458">
        <v>0.10501218723204842</v>
      </c>
      <c r="G2789" s="477">
        <v>86846778.25957492</v>
      </c>
      <c r="H2789" s="458">
        <v>0.26907245667344482</v>
      </c>
      <c r="I2789" s="468">
        <v>11.786833596808894</v>
      </c>
    </row>
    <row r="2790" spans="1:9" ht="16.5" x14ac:dyDescent="0.3">
      <c r="A2790" s="477">
        <v>3912276.2062919326</v>
      </c>
      <c r="B2790" s="458">
        <v>6.4144630226901977E-2</v>
      </c>
      <c r="C2790" s="477">
        <v>5400626.5896064881</v>
      </c>
      <c r="D2790" s="458">
        <v>5.71741426240433E-2</v>
      </c>
      <c r="E2790" s="477">
        <v>13957024.955669837</v>
      </c>
      <c r="F2790" s="458">
        <v>0.1266492644905044</v>
      </c>
      <c r="G2790" s="477">
        <v>88081420.294073537</v>
      </c>
      <c r="H2790" s="458">
        <v>0.27087488663142767</v>
      </c>
      <c r="I2790" s="468">
        <v>10.798265485945326</v>
      </c>
    </row>
    <row r="2791" spans="1:9" ht="16.5" x14ac:dyDescent="0.3">
      <c r="A2791" s="477">
        <v>4452482.4928937433</v>
      </c>
      <c r="B2791" s="458">
        <v>4.7586772789302456E-2</v>
      </c>
      <c r="C2791" s="477">
        <v>7997246.1055998039</v>
      </c>
      <c r="D2791" s="458">
        <v>6.1785853980420358E-2</v>
      </c>
      <c r="E2791" s="477">
        <v>24076137.646314919</v>
      </c>
      <c r="F2791" s="458">
        <v>8.3090383363894293E-2</v>
      </c>
      <c r="G2791" s="477">
        <v>86291487.242813975</v>
      </c>
      <c r="H2791" s="458">
        <v>0.27274908748924487</v>
      </c>
      <c r="I2791" s="468">
        <v>7.2047547665615221</v>
      </c>
    </row>
    <row r="2792" spans="1:9" ht="16.5" x14ac:dyDescent="0.3">
      <c r="A2792" s="477">
        <v>8851185.6480276026</v>
      </c>
      <c r="B2792" s="458">
        <v>4.2109110785183423E-2</v>
      </c>
      <c r="C2792" s="477">
        <v>7478503.1949818721</v>
      </c>
      <c r="D2792" s="458">
        <v>7.4334008220288572E-2</v>
      </c>
      <c r="E2792" s="477">
        <v>7811211.7244233293</v>
      </c>
      <c r="F2792" s="458">
        <v>0.12050495770509162</v>
      </c>
      <c r="G2792" s="477">
        <v>98871470.530990705</v>
      </c>
      <c r="H2792" s="458">
        <v>0.27190293625505602</v>
      </c>
      <c r="I2792" s="468">
        <v>8.6843796184331854</v>
      </c>
    </row>
    <row r="2793" spans="1:9" ht="16.5" x14ac:dyDescent="0.3">
      <c r="A2793" s="477">
        <v>4556065.6735394597</v>
      </c>
      <c r="B2793" s="458">
        <v>2.5499639471800561E-2</v>
      </c>
      <c r="C2793" s="477">
        <v>3597408.0860342351</v>
      </c>
      <c r="D2793" s="458">
        <v>4.7795302769662484E-2</v>
      </c>
      <c r="E2793" s="477">
        <v>20514118.077902775</v>
      </c>
      <c r="F2793" s="458">
        <v>0.11341738296274562</v>
      </c>
      <c r="G2793" s="477">
        <v>92437252.050049886</v>
      </c>
      <c r="H2793" s="458">
        <v>0.26187161659958624</v>
      </c>
      <c r="I2793" s="468">
        <v>6.7811154274995964</v>
      </c>
    </row>
    <row r="2794" spans="1:9" ht="16.5" x14ac:dyDescent="0.3">
      <c r="A2794" s="477">
        <v>6172196.0654890127</v>
      </c>
      <c r="B2794" s="458">
        <v>4.9328148034429198E-2</v>
      </c>
      <c r="C2794" s="477">
        <v>4123827.8070106246</v>
      </c>
      <c r="D2794" s="458">
        <v>3.9016795220331968E-2</v>
      </c>
      <c r="E2794" s="477">
        <v>13942932.142077947</v>
      </c>
      <c r="F2794" s="458">
        <v>0.11446128520951149</v>
      </c>
      <c r="G2794" s="477">
        <v>101009842.08225095</v>
      </c>
      <c r="H2794" s="458">
        <v>0.25782337823073709</v>
      </c>
      <c r="I2794" s="468">
        <v>8.500630777073475</v>
      </c>
    </row>
    <row r="2795" spans="1:9" ht="16.5" x14ac:dyDescent="0.3">
      <c r="A2795" s="477">
        <v>4284763.9496658687</v>
      </c>
      <c r="B2795" s="458">
        <v>2.7001040507016238E-2</v>
      </c>
      <c r="C2795" s="477">
        <v>14481168.024969667</v>
      </c>
      <c r="D2795" s="458">
        <v>5.500747785765836E-2</v>
      </c>
      <c r="E2795" s="477">
        <v>14961878.307086764</v>
      </c>
      <c r="F2795" s="458">
        <v>0.10385730638679469</v>
      </c>
      <c r="G2795" s="477">
        <v>101658519.42653485</v>
      </c>
      <c r="H2795" s="458">
        <v>0.28943646007189594</v>
      </c>
      <c r="I2795" s="468">
        <v>4.5127649279414479</v>
      </c>
    </row>
    <row r="2796" spans="1:9" ht="16.5" x14ac:dyDescent="0.3">
      <c r="A2796" s="477">
        <v>4069518.7749677533</v>
      </c>
      <c r="B2796" s="458">
        <v>4.8268375663889973E-2</v>
      </c>
      <c r="C2796" s="477">
        <v>11270150.058468003</v>
      </c>
      <c r="D2796" s="458">
        <v>7.2777067264045092E-2</v>
      </c>
      <c r="E2796" s="477">
        <v>18982401.796286557</v>
      </c>
      <c r="F2796" s="458">
        <v>0.10251091509236931</v>
      </c>
      <c r="G2796" s="477">
        <v>95343428.36888589</v>
      </c>
      <c r="H2796" s="458">
        <v>0.27290911591233802</v>
      </c>
      <c r="I2796" s="468">
        <v>3.8149077024668525</v>
      </c>
    </row>
    <row r="2797" spans="1:9" ht="16.5" x14ac:dyDescent="0.3">
      <c r="A2797" s="477">
        <v>1969501.4451282234</v>
      </c>
      <c r="B2797" s="458">
        <v>3.8489560753893093E-2</v>
      </c>
      <c r="C2797" s="477">
        <v>5718460.876209138</v>
      </c>
      <c r="D2797" s="458">
        <v>7.7694259227804263E-2</v>
      </c>
      <c r="E2797" s="477">
        <v>14842178.250807149</v>
      </c>
      <c r="F2797" s="458">
        <v>0.12010950939341791</v>
      </c>
      <c r="G2797" s="477">
        <v>86241225.199573293</v>
      </c>
      <c r="H2797" s="458">
        <v>0.29479723755221254</v>
      </c>
      <c r="I2797" s="468">
        <v>4.0148739498544366</v>
      </c>
    </row>
    <row r="2798" spans="1:9" ht="16.5" x14ac:dyDescent="0.3">
      <c r="A2798" s="477">
        <v>9784211.1324914061</v>
      </c>
      <c r="B2798" s="458">
        <v>3.9302703779395598E-2</v>
      </c>
      <c r="C2798" s="477">
        <v>6872202.5890533179</v>
      </c>
      <c r="D2798" s="458">
        <v>9.4283687127048932E-2</v>
      </c>
      <c r="E2798" s="477">
        <v>17767037.083357636</v>
      </c>
      <c r="F2798" s="458">
        <v>9.9022645384867936E-2</v>
      </c>
      <c r="G2798" s="477">
        <v>82415845.081575274</v>
      </c>
      <c r="H2798" s="458">
        <v>0.27271813249728294</v>
      </c>
      <c r="I2798" s="468">
        <v>8.9006803808229904</v>
      </c>
    </row>
    <row r="2799" spans="1:9" ht="16.5" x14ac:dyDescent="0.3">
      <c r="A2799" s="477">
        <v>-2629929.2255457924</v>
      </c>
      <c r="B2799" s="458">
        <v>2.3532029839610002E-2</v>
      </c>
      <c r="C2799" s="477">
        <v>8266262.5782592501</v>
      </c>
      <c r="D2799" s="458">
        <v>7.8277201630045923E-2</v>
      </c>
      <c r="E2799" s="477">
        <v>12794629.414677601</v>
      </c>
      <c r="F2799" s="458">
        <v>8.4145920383093209E-2</v>
      </c>
      <c r="G2799" s="477">
        <v>86191667.497290999</v>
      </c>
      <c r="H2799" s="458">
        <v>0.2716816393259085</v>
      </c>
      <c r="I2799" s="468">
        <v>13.655826681826644</v>
      </c>
    </row>
    <row r="2800" spans="1:9" ht="16.5" x14ac:dyDescent="0.3">
      <c r="A2800" s="477">
        <v>2398269.3681520796</v>
      </c>
      <c r="B2800" s="458">
        <v>7.4378043791495596E-2</v>
      </c>
      <c r="C2800" s="477">
        <v>8522784.1350602414</v>
      </c>
      <c r="D2800" s="458">
        <v>5.8773410969302775E-2</v>
      </c>
      <c r="E2800" s="477">
        <v>19414866.576908194</v>
      </c>
      <c r="F2800" s="458">
        <v>0.10762562425263811</v>
      </c>
      <c r="G2800" s="477">
        <v>93586210.970946297</v>
      </c>
      <c r="H2800" s="458">
        <v>0.2697140754205547</v>
      </c>
      <c r="I2800" s="468">
        <v>9.7274846503076695</v>
      </c>
    </row>
    <row r="2801" spans="1:9" ht="16.5" x14ac:dyDescent="0.3">
      <c r="A2801" s="477">
        <v>2621011.5292957341</v>
      </c>
      <c r="B2801" s="458">
        <v>3.1453638006474716E-2</v>
      </c>
      <c r="C2801" s="477">
        <v>4907385.5411865506</v>
      </c>
      <c r="D2801" s="458">
        <v>4.7968660186288981E-2</v>
      </c>
      <c r="E2801" s="477">
        <v>12274398.899887076</v>
      </c>
      <c r="F2801" s="458">
        <v>9.172614969533055E-2</v>
      </c>
      <c r="G2801" s="477">
        <v>87943017.261341617</v>
      </c>
      <c r="H2801" s="458">
        <v>0.27274111525299349</v>
      </c>
      <c r="I2801" s="468">
        <v>9.6328842237185643</v>
      </c>
    </row>
    <row r="2802" spans="1:9" ht="16.5" x14ac:dyDescent="0.3">
      <c r="A2802" s="477">
        <v>5027696.046827632</v>
      </c>
      <c r="B2802" s="458">
        <v>3.8680295867767001E-2</v>
      </c>
      <c r="C2802" s="477">
        <v>8788880.1429333426</v>
      </c>
      <c r="D2802" s="458">
        <v>7.7933339112880251E-2</v>
      </c>
      <c r="E2802" s="477">
        <v>18781627.797963839</v>
      </c>
      <c r="F2802" s="458">
        <v>0.11737064710706746</v>
      </c>
      <c r="G2802" s="477">
        <v>87517242.646695241</v>
      </c>
      <c r="H2802" s="458">
        <v>0.26142930932272268</v>
      </c>
      <c r="I2802" s="468">
        <v>4.5304919988451022</v>
      </c>
    </row>
    <row r="2803" spans="1:9" ht="16.5" x14ac:dyDescent="0.3">
      <c r="A2803" s="477">
        <v>6346762.1735104294</v>
      </c>
      <c r="B2803" s="458">
        <v>4.9343794459295376E-2</v>
      </c>
      <c r="C2803" s="477">
        <v>7640696.3242473463</v>
      </c>
      <c r="D2803" s="458">
        <v>8.1940305545005865E-2</v>
      </c>
      <c r="E2803" s="477">
        <v>9823597.8640585039</v>
      </c>
      <c r="F2803" s="458">
        <v>9.4970218228582093E-2</v>
      </c>
      <c r="G2803" s="477">
        <v>82854169.931224525</v>
      </c>
      <c r="H2803" s="458">
        <v>0.26072062469374946</v>
      </c>
      <c r="I2803" s="468">
        <v>12.844058712338446</v>
      </c>
    </row>
    <row r="2804" spans="1:9" ht="16.5" x14ac:dyDescent="0.3">
      <c r="A2804" s="477">
        <v>2135899.212664654</v>
      </c>
      <c r="B2804" s="458">
        <v>3.5253644128062422E-2</v>
      </c>
      <c r="C2804" s="477">
        <v>3230525.9073655638</v>
      </c>
      <c r="D2804" s="458">
        <v>7.507700085331126E-2</v>
      </c>
      <c r="E2804" s="477">
        <v>24152699.615078345</v>
      </c>
      <c r="F2804" s="458">
        <v>0.12419343328344445</v>
      </c>
      <c r="G2804" s="477">
        <v>88649552.941228643</v>
      </c>
      <c r="H2804" s="458">
        <v>0.28526671139125459</v>
      </c>
      <c r="I2804" s="468">
        <v>6.0763941763634737</v>
      </c>
    </row>
    <row r="2805" spans="1:9" ht="16.5" x14ac:dyDescent="0.3">
      <c r="A2805" s="477">
        <v>2759064.3564478736</v>
      </c>
      <c r="B2805" s="458">
        <v>3.7661869224214994E-2</v>
      </c>
      <c r="C2805" s="477">
        <v>9775213.5356910862</v>
      </c>
      <c r="D2805" s="458">
        <v>8.6727236096729499E-2</v>
      </c>
      <c r="E2805" s="477">
        <v>19527168.629627313</v>
      </c>
      <c r="F2805" s="458">
        <v>0.10019274145909929</v>
      </c>
      <c r="G2805" s="477">
        <v>80373661.742220268</v>
      </c>
      <c r="H2805" s="458">
        <v>0.25974275063116758</v>
      </c>
      <c r="I2805" s="468">
        <v>9.6091694934325282</v>
      </c>
    </row>
    <row r="2806" spans="1:9" ht="16.5" x14ac:dyDescent="0.3">
      <c r="A2806" s="477">
        <v>6096200.7094278336</v>
      </c>
      <c r="B2806" s="458">
        <v>4.6367605660545763E-2</v>
      </c>
      <c r="C2806" s="477">
        <v>12423137.116517127</v>
      </c>
      <c r="D2806" s="458">
        <v>7.9320847703496788E-2</v>
      </c>
      <c r="E2806" s="477">
        <v>16541802.051123874</v>
      </c>
      <c r="F2806" s="458">
        <v>9.9889904497830306E-2</v>
      </c>
      <c r="G2806" s="477">
        <v>101937062.58904171</v>
      </c>
      <c r="H2806" s="458">
        <v>0.27526547250539934</v>
      </c>
      <c r="I2806" s="468">
        <v>7.0844238423444148</v>
      </c>
    </row>
    <row r="2807" spans="1:9" ht="16.5" x14ac:dyDescent="0.3">
      <c r="A2807" s="477">
        <v>5628673.3918814063</v>
      </c>
      <c r="B2807" s="458">
        <v>2.5533057250163749E-2</v>
      </c>
      <c r="C2807" s="477">
        <v>10011180.74769925</v>
      </c>
      <c r="D2807" s="458">
        <v>7.268532685387985E-2</v>
      </c>
      <c r="E2807" s="477">
        <v>15319218.440147521</v>
      </c>
      <c r="F2807" s="458">
        <v>0.10755892732301975</v>
      </c>
      <c r="G2807" s="477">
        <v>95234414.400811419</v>
      </c>
      <c r="H2807" s="458">
        <v>0.25554518720576946</v>
      </c>
      <c r="I2807" s="468">
        <v>4.5018430503711313</v>
      </c>
    </row>
    <row r="2808" spans="1:9" ht="16.5" x14ac:dyDescent="0.3">
      <c r="A2808" s="477">
        <v>5863920.3043552032</v>
      </c>
      <c r="B2808" s="458">
        <v>4.1080476591061066E-2</v>
      </c>
      <c r="C2808" s="477">
        <v>9292255.5066136606</v>
      </c>
      <c r="D2808" s="458">
        <v>6.3869299423881198E-2</v>
      </c>
      <c r="E2808" s="477">
        <v>10223996.415606225</v>
      </c>
      <c r="F2808" s="458">
        <v>0.10549264538307779</v>
      </c>
      <c r="G2808" s="477">
        <v>81538757.410209879</v>
      </c>
      <c r="H2808" s="458">
        <v>0.25684156158303351</v>
      </c>
      <c r="I2808" s="468">
        <v>8.3643625071007932</v>
      </c>
    </row>
    <row r="2809" spans="1:9" ht="16.5" x14ac:dyDescent="0.3">
      <c r="A2809" s="477">
        <v>2672401.5519689335</v>
      </c>
      <c r="B2809" s="458">
        <v>4.5747085880473604E-2</v>
      </c>
      <c r="C2809" s="477">
        <v>1527439.5245818952</v>
      </c>
      <c r="D2809" s="458">
        <v>5.4689211940830651E-2</v>
      </c>
      <c r="E2809" s="477">
        <v>18007090.649928264</v>
      </c>
      <c r="F2809" s="458">
        <v>0.11987003028982435</v>
      </c>
      <c r="G2809" s="477">
        <v>82722370.037307829</v>
      </c>
      <c r="H2809" s="458">
        <v>0.26586716203907046</v>
      </c>
      <c r="I2809" s="468">
        <v>5.7964017763728997</v>
      </c>
    </row>
    <row r="2810" spans="1:9" ht="16.5" x14ac:dyDescent="0.3">
      <c r="A2810" s="477">
        <v>6626438.428569505</v>
      </c>
      <c r="B2810" s="458">
        <v>4.5079309131553114E-2</v>
      </c>
      <c r="C2810" s="477">
        <v>2059409.8460220061</v>
      </c>
      <c r="D2810" s="458">
        <v>6.9558441077771205E-2</v>
      </c>
      <c r="E2810" s="477">
        <v>14759612.881910998</v>
      </c>
      <c r="F2810" s="458">
        <v>0.10890001259661153</v>
      </c>
      <c r="G2810" s="477">
        <v>88883103.722988099</v>
      </c>
      <c r="H2810" s="458">
        <v>0.2538321882289214</v>
      </c>
      <c r="I2810" s="468">
        <v>10.915203900233983</v>
      </c>
    </row>
    <row r="2811" spans="1:9" ht="16.5" x14ac:dyDescent="0.3">
      <c r="A2811" s="477">
        <v>5164798.7894810848</v>
      </c>
      <c r="B2811" s="458">
        <v>3.575076296689006E-2</v>
      </c>
      <c r="C2811" s="477">
        <v>2605641.6264597522</v>
      </c>
      <c r="D2811" s="458">
        <v>1.0974779936054224E-2</v>
      </c>
      <c r="E2811" s="477">
        <v>15855992.464608407</v>
      </c>
      <c r="F2811" s="458">
        <v>0.10576533230982599</v>
      </c>
      <c r="G2811" s="477">
        <v>76152450.914254993</v>
      </c>
      <c r="H2811" s="458">
        <v>0.26183368346367786</v>
      </c>
      <c r="I2811" s="468">
        <v>12.733428576458614</v>
      </c>
    </row>
    <row r="2812" spans="1:9" ht="16.5" x14ac:dyDescent="0.3">
      <c r="A2812" s="477">
        <v>7378952.1529917773</v>
      </c>
      <c r="B2812" s="458">
        <v>3.9447228266300316E-2</v>
      </c>
      <c r="C2812" s="477">
        <v>12027050.255721549</v>
      </c>
      <c r="D2812" s="458">
        <v>5.8463127997040676E-2</v>
      </c>
      <c r="E2812" s="477">
        <v>19002467.585939348</v>
      </c>
      <c r="F2812" s="458">
        <v>0.11164243830273746</v>
      </c>
      <c r="G2812" s="477">
        <v>95893432.736427128</v>
      </c>
      <c r="H2812" s="458">
        <v>0.25721441281794699</v>
      </c>
      <c r="I2812" s="468">
        <v>11.643228086381212</v>
      </c>
    </row>
    <row r="2813" spans="1:9" ht="16.5" x14ac:dyDescent="0.3">
      <c r="A2813" s="477">
        <v>5534642.1102201883</v>
      </c>
      <c r="B2813" s="458">
        <v>3.5474333512956147E-2</v>
      </c>
      <c r="C2813" s="477">
        <v>10910719.040638939</v>
      </c>
      <c r="D2813" s="458">
        <v>5.4643733719359489E-2</v>
      </c>
      <c r="E2813" s="477">
        <v>18207455.295408186</v>
      </c>
      <c r="F2813" s="458">
        <v>0.11668636213247097</v>
      </c>
      <c r="G2813" s="477">
        <v>88794315.089255959</v>
      </c>
      <c r="H2813" s="458">
        <v>0.27253740363910683</v>
      </c>
      <c r="I2813" s="468">
        <v>9.993035102522061</v>
      </c>
    </row>
    <row r="2814" spans="1:9" ht="16.5" x14ac:dyDescent="0.3">
      <c r="A2814" s="477">
        <v>6721095.2719991012</v>
      </c>
      <c r="B2814" s="458">
        <v>5.4623005103054956E-2</v>
      </c>
      <c r="C2814" s="477">
        <v>8646769.2558608185</v>
      </c>
      <c r="D2814" s="458">
        <v>4.6382201322350047E-2</v>
      </c>
      <c r="E2814" s="477">
        <v>15908665.739626594</v>
      </c>
      <c r="F2814" s="458">
        <v>9.6907792227406198E-2</v>
      </c>
      <c r="G2814" s="477">
        <v>89215761.584707379</v>
      </c>
      <c r="H2814" s="458">
        <v>0.26982125025127535</v>
      </c>
      <c r="I2814" s="468">
        <v>9.6271400063359849</v>
      </c>
    </row>
    <row r="2815" spans="1:9" ht="16.5" x14ac:dyDescent="0.3">
      <c r="A2815" s="477">
        <v>1031686.126865596</v>
      </c>
      <c r="B2815" s="458">
        <v>4.4047837774532805E-2</v>
      </c>
      <c r="C2815" s="477">
        <v>9377863.4101776499</v>
      </c>
      <c r="D2815" s="458">
        <v>4.886157231774213E-2</v>
      </c>
      <c r="E2815" s="477">
        <v>7929849.831550451</v>
      </c>
      <c r="F2815" s="458">
        <v>0.12304033770830336</v>
      </c>
      <c r="G2815" s="477">
        <v>76611337.218925834</v>
      </c>
      <c r="H2815" s="458">
        <v>0.28516235883239727</v>
      </c>
      <c r="I2815" s="468">
        <v>8.3517393126242041</v>
      </c>
    </row>
    <row r="2816" spans="1:9" ht="16.5" x14ac:dyDescent="0.3">
      <c r="A2816" s="477">
        <v>6832181.9233925696</v>
      </c>
      <c r="B2816" s="458">
        <v>2.6263882173115816E-2</v>
      </c>
      <c r="C2816" s="477">
        <v>12256592.080661114</v>
      </c>
      <c r="D2816" s="458">
        <v>6.3316617003851494E-2</v>
      </c>
      <c r="E2816" s="477">
        <v>21667207.22934043</v>
      </c>
      <c r="F2816" s="458">
        <v>0.11636042961284065</v>
      </c>
      <c r="G2816" s="477">
        <v>85037410.598748997</v>
      </c>
      <c r="H2816" s="458">
        <v>0.27112257341807755</v>
      </c>
      <c r="I2816" s="468">
        <v>11.74671603503614</v>
      </c>
    </row>
    <row r="2817" spans="1:9" ht="16.5" x14ac:dyDescent="0.3">
      <c r="A2817" s="477">
        <v>4713037.9845214207</v>
      </c>
      <c r="B2817" s="458">
        <v>3.5213686917927811E-2</v>
      </c>
      <c r="C2817" s="477">
        <v>-1245634.132014262</v>
      </c>
      <c r="D2817" s="458">
        <v>7.6773883207051474E-2</v>
      </c>
      <c r="E2817" s="477">
        <v>17824064.448373348</v>
      </c>
      <c r="F2817" s="458">
        <v>0.12317141693039746</v>
      </c>
      <c r="G2817" s="477">
        <v>96750913.281133458</v>
      </c>
      <c r="H2817" s="458">
        <v>0.26474036921714728</v>
      </c>
      <c r="I2817" s="468">
        <v>12.000778090213139</v>
      </c>
    </row>
    <row r="2818" spans="1:9" ht="16.5" x14ac:dyDescent="0.3">
      <c r="A2818" s="477">
        <v>9880040.6007997636</v>
      </c>
      <c r="B2818" s="458">
        <v>4.2466484009879402E-2</v>
      </c>
      <c r="C2818" s="477">
        <v>2795456.5674568391</v>
      </c>
      <c r="D2818" s="458">
        <v>7.4350589652675714E-2</v>
      </c>
      <c r="E2818" s="477">
        <v>21282090.872182012</v>
      </c>
      <c r="F2818" s="458">
        <v>0.13943220135532775</v>
      </c>
      <c r="G2818" s="477">
        <v>87367157.492924362</v>
      </c>
      <c r="H2818" s="458">
        <v>0.27999093417497534</v>
      </c>
      <c r="I2818" s="468">
        <v>4.8375050019641757</v>
      </c>
    </row>
    <row r="2819" spans="1:9" ht="16.5" x14ac:dyDescent="0.3">
      <c r="A2819" s="477">
        <v>125359.55600124432</v>
      </c>
      <c r="B2819" s="458">
        <v>3.619823098067787E-2</v>
      </c>
      <c r="C2819" s="477">
        <v>11149429.408601888</v>
      </c>
      <c r="D2819" s="458">
        <v>7.1928740129048707E-2</v>
      </c>
      <c r="E2819" s="477">
        <v>16142154.028665422</v>
      </c>
      <c r="F2819" s="458">
        <v>9.4857254394331569E-2</v>
      </c>
      <c r="G2819" s="477">
        <v>88450231.986072659</v>
      </c>
      <c r="H2819" s="458">
        <v>0.26532428548227904</v>
      </c>
      <c r="I2819" s="468">
        <v>9.6318916856096095</v>
      </c>
    </row>
    <row r="2820" spans="1:9" ht="16.5" x14ac:dyDescent="0.3">
      <c r="A2820" s="477">
        <v>2141970.2940895385</v>
      </c>
      <c r="B2820" s="458">
        <v>2.1571836782405818E-2</v>
      </c>
      <c r="C2820" s="477">
        <v>7565427.6490346938</v>
      </c>
      <c r="D2820" s="458">
        <v>7.2053848554068045E-2</v>
      </c>
      <c r="E2820" s="477">
        <v>23632593.528689738</v>
      </c>
      <c r="F2820" s="458">
        <v>9.9491107200158302E-2</v>
      </c>
      <c r="G2820" s="477">
        <v>98522678.097051427</v>
      </c>
      <c r="H2820" s="458">
        <v>0.25627975081036269</v>
      </c>
      <c r="I2820" s="468">
        <v>9.7960112576260912</v>
      </c>
    </row>
    <row r="2821" spans="1:9" ht="16.5" x14ac:dyDescent="0.3">
      <c r="A2821" s="477">
        <v>2012782.5103747169</v>
      </c>
      <c r="B2821" s="458">
        <v>5.603052739888037E-2</v>
      </c>
      <c r="C2821" s="477">
        <v>3082000.2586663635</v>
      </c>
      <c r="D2821" s="458">
        <v>5.6797968521479891E-2</v>
      </c>
      <c r="E2821" s="477">
        <v>9157239.906966418</v>
      </c>
      <c r="F2821" s="458">
        <v>0.13774866321103296</v>
      </c>
      <c r="G2821" s="477">
        <v>94724586.930348471</v>
      </c>
      <c r="H2821" s="458">
        <v>0.29038273558970884</v>
      </c>
      <c r="I2821" s="468">
        <v>11.375340563815852</v>
      </c>
    </row>
    <row r="2822" spans="1:9" ht="16.5" x14ac:dyDescent="0.3">
      <c r="A2822" s="477">
        <v>7181487.9120581085</v>
      </c>
      <c r="B2822" s="458">
        <v>5.2245259320776727E-2</v>
      </c>
      <c r="C2822" s="477">
        <v>8398172.6921374388</v>
      </c>
      <c r="D2822" s="458">
        <v>8.9049328347720724E-2</v>
      </c>
      <c r="E2822" s="477">
        <v>15467565.925881529</v>
      </c>
      <c r="F2822" s="458">
        <v>0.11158503333380598</v>
      </c>
      <c r="G2822" s="477">
        <v>68354202.727005392</v>
      </c>
      <c r="H2822" s="458">
        <v>0.26400736010598336</v>
      </c>
      <c r="I2822" s="468">
        <v>10.128961842184914</v>
      </c>
    </row>
    <row r="2823" spans="1:9" ht="16.5" x14ac:dyDescent="0.3">
      <c r="A2823" s="477">
        <v>6915700.758043699</v>
      </c>
      <c r="B2823" s="458">
        <v>6.9396510100552922E-2</v>
      </c>
      <c r="C2823" s="477">
        <v>8057386.0577112371</v>
      </c>
      <c r="D2823" s="458">
        <v>7.0063410404537452E-2</v>
      </c>
      <c r="E2823" s="477">
        <v>17010699.284565553</v>
      </c>
      <c r="F2823" s="458">
        <v>8.1577662424858977E-2</v>
      </c>
      <c r="G2823" s="477">
        <v>98500827.512203097</v>
      </c>
      <c r="H2823" s="458">
        <v>0.27441822858794684</v>
      </c>
      <c r="I2823" s="468">
        <v>8.207660787456371</v>
      </c>
    </row>
    <row r="2824" spans="1:9" ht="16.5" x14ac:dyDescent="0.3">
      <c r="A2824" s="477">
        <v>1651672.566704731</v>
      </c>
      <c r="B2824" s="458">
        <v>2.7609589541734314E-2</v>
      </c>
      <c r="C2824" s="477">
        <v>4577659.3499041069</v>
      </c>
      <c r="D2824" s="458">
        <v>6.9282286664032355E-2</v>
      </c>
      <c r="E2824" s="477">
        <v>19668022.757286519</v>
      </c>
      <c r="F2824" s="458">
        <v>0.11173920185666941</v>
      </c>
      <c r="G2824" s="477">
        <v>95441964.389409781</v>
      </c>
      <c r="H2824" s="458">
        <v>0.27739912971433389</v>
      </c>
      <c r="I2824" s="468">
        <v>14.157538766153102</v>
      </c>
    </row>
    <row r="2825" spans="1:9" ht="16.5" x14ac:dyDescent="0.3">
      <c r="A2825" s="477">
        <v>2703162.1892729076</v>
      </c>
      <c r="B2825" s="458">
        <v>2.2689263599472653E-2</v>
      </c>
      <c r="C2825" s="477">
        <v>10664422.920006439</v>
      </c>
      <c r="D2825" s="458">
        <v>6.0245591426164813E-2</v>
      </c>
      <c r="E2825" s="477">
        <v>10985132.798164763</v>
      </c>
      <c r="F2825" s="458">
        <v>0.14591408888896495</v>
      </c>
      <c r="G2825" s="477">
        <v>90905565.427623823</v>
      </c>
      <c r="H2825" s="458">
        <v>0.25067863099798404</v>
      </c>
      <c r="I2825" s="468">
        <v>2.5825340447420357</v>
      </c>
    </row>
    <row r="2826" spans="1:9" ht="16.5" x14ac:dyDescent="0.3">
      <c r="A2826" s="477">
        <v>5318927.6795908427</v>
      </c>
      <c r="B2826" s="458">
        <v>3.5582746735188575E-2</v>
      </c>
      <c r="C2826" s="477">
        <v>11418518.333359675</v>
      </c>
      <c r="D2826" s="458">
        <v>7.7259956379551076E-2</v>
      </c>
      <c r="E2826" s="477">
        <v>12494895.30830358</v>
      </c>
      <c r="F2826" s="458">
        <v>0.1217662980400056</v>
      </c>
      <c r="G2826" s="477">
        <v>98011575.463496983</v>
      </c>
      <c r="H2826" s="458">
        <v>0.26602744393472055</v>
      </c>
      <c r="I2826" s="468">
        <v>10.895753364982703</v>
      </c>
    </row>
    <row r="2827" spans="1:9" ht="16.5" x14ac:dyDescent="0.3">
      <c r="A2827" s="477">
        <v>2640229.1787337675</v>
      </c>
      <c r="B2827" s="458">
        <v>2.3502511453752151E-2</v>
      </c>
      <c r="C2827" s="477">
        <v>4840808.6451203572</v>
      </c>
      <c r="D2827" s="458">
        <v>4.0899921666166517E-2</v>
      </c>
      <c r="E2827" s="477">
        <v>9681779.1575188376</v>
      </c>
      <c r="F2827" s="458">
        <v>0.11009786996392434</v>
      </c>
      <c r="G2827" s="477">
        <v>90314828.55955781</v>
      </c>
      <c r="H2827" s="458">
        <v>0.26118291728863618</v>
      </c>
      <c r="I2827" s="468">
        <v>7.602986358757331</v>
      </c>
    </row>
    <row r="2828" spans="1:9" ht="16.5" x14ac:dyDescent="0.3">
      <c r="A2828" s="477">
        <v>5317822.7396587823</v>
      </c>
      <c r="B2828" s="458">
        <v>3.0134719150734401E-2</v>
      </c>
      <c r="C2828" s="477">
        <v>6240731.8677884415</v>
      </c>
      <c r="D2828" s="458">
        <v>4.3209606355461228E-2</v>
      </c>
      <c r="E2828" s="477">
        <v>18647966.563871421</v>
      </c>
      <c r="F2828" s="458">
        <v>0.10564080203015869</v>
      </c>
      <c r="G2828" s="477">
        <v>87240442.268245161</v>
      </c>
      <c r="H2828" s="458">
        <v>0.35507471262062085</v>
      </c>
      <c r="I2828" s="468">
        <v>7.7986301150098196</v>
      </c>
    </row>
    <row r="2829" spans="1:9" ht="16.5" x14ac:dyDescent="0.3">
      <c r="A2829" s="477">
        <v>5240507.5880294442</v>
      </c>
      <c r="B2829" s="458">
        <v>3.2925142723712719E-2</v>
      </c>
      <c r="C2829" s="477">
        <v>9693618.0869128853</v>
      </c>
      <c r="D2829" s="458">
        <v>5.6764556381603493E-2</v>
      </c>
      <c r="E2829" s="477">
        <v>14779731.36587506</v>
      </c>
      <c r="F2829" s="458">
        <v>0.12978027026641836</v>
      </c>
      <c r="G2829" s="477">
        <v>85721586.457232401</v>
      </c>
      <c r="H2829" s="458">
        <v>0.27362115467491077</v>
      </c>
      <c r="I2829" s="468">
        <v>13.760839376256662</v>
      </c>
    </row>
    <row r="2830" spans="1:9" ht="16.5" x14ac:dyDescent="0.3">
      <c r="A2830" s="477">
        <v>8055944.5663839784</v>
      </c>
      <c r="B2830" s="458">
        <v>3.6194340449005047E-2</v>
      </c>
      <c r="C2830" s="477">
        <v>8028775.2531729983</v>
      </c>
      <c r="D2830" s="458">
        <v>7.8426877308100051E-2</v>
      </c>
      <c r="E2830" s="477">
        <v>15378026.957619529</v>
      </c>
      <c r="F2830" s="458">
        <v>8.3332877682891215E-2</v>
      </c>
      <c r="G2830" s="477">
        <v>78945539.473577201</v>
      </c>
      <c r="H2830" s="458">
        <v>0.26333995380273456</v>
      </c>
      <c r="I2830" s="468">
        <v>5.7064099460387467</v>
      </c>
    </row>
    <row r="2831" spans="1:9" ht="16.5" x14ac:dyDescent="0.3">
      <c r="A2831" s="477">
        <v>1807377.8603445007</v>
      </c>
      <c r="B2831" s="458">
        <v>2.0947079004959956E-2</v>
      </c>
      <c r="C2831" s="477">
        <v>12596815.95853884</v>
      </c>
      <c r="D2831" s="458">
        <v>6.8310418213340496E-2</v>
      </c>
      <c r="E2831" s="477">
        <v>8845424.466708418</v>
      </c>
      <c r="F2831" s="458">
        <v>8.0051558808569068E-2</v>
      </c>
      <c r="G2831" s="477">
        <v>74362708.910121933</v>
      </c>
      <c r="H2831" s="458">
        <v>0.28322961245143263</v>
      </c>
      <c r="I2831" s="468">
        <v>9.3394372119954561</v>
      </c>
    </row>
    <row r="2832" spans="1:9" ht="16.5" x14ac:dyDescent="0.3">
      <c r="A2832" s="477">
        <v>3719172.6015352323</v>
      </c>
      <c r="B2832" s="458">
        <v>9.5921141912200802E-3</v>
      </c>
      <c r="C2832" s="477">
        <v>8133330.3425873397</v>
      </c>
      <c r="D2832" s="458">
        <v>7.4422969296137564E-2</v>
      </c>
      <c r="E2832" s="477">
        <v>22613448.195815019</v>
      </c>
      <c r="F2832" s="458">
        <v>0.10317195760976627</v>
      </c>
      <c r="G2832" s="477">
        <v>77042537.224053979</v>
      </c>
      <c r="H2832" s="458">
        <v>0.27948311566050288</v>
      </c>
      <c r="I2832" s="468">
        <v>1.8268790041402907</v>
      </c>
    </row>
    <row r="2833" spans="1:9" ht="16.5" x14ac:dyDescent="0.3">
      <c r="A2833" s="477">
        <v>7600709.0094353873</v>
      </c>
      <c r="B2833" s="458">
        <v>4.0660129266221423E-2</v>
      </c>
      <c r="C2833" s="477">
        <v>9271655.9706891123</v>
      </c>
      <c r="D2833" s="458">
        <v>8.4392258595825886E-2</v>
      </c>
      <c r="E2833" s="477">
        <v>18352465.539708205</v>
      </c>
      <c r="F2833" s="458">
        <v>0.14878981500421484</v>
      </c>
      <c r="G2833" s="477">
        <v>88213050.594154984</v>
      </c>
      <c r="H2833" s="458">
        <v>0.25957863364160483</v>
      </c>
      <c r="I2833" s="468">
        <v>1.2716617450615333</v>
      </c>
    </row>
    <row r="2834" spans="1:9" ht="16.5" x14ac:dyDescent="0.3">
      <c r="A2834" s="477">
        <v>4916030.1035248376</v>
      </c>
      <c r="B2834" s="458">
        <v>4.4733866851705217E-2</v>
      </c>
      <c r="C2834" s="477">
        <v>2650650.1017185198</v>
      </c>
      <c r="D2834" s="458">
        <v>6.6004940190225847E-2</v>
      </c>
      <c r="E2834" s="477">
        <v>19515714.219869383</v>
      </c>
      <c r="F2834" s="458">
        <v>0.10636821521984641</v>
      </c>
      <c r="G2834" s="477">
        <v>80983621.889759317</v>
      </c>
      <c r="H2834" s="458">
        <v>0.27468467754658721</v>
      </c>
      <c r="I2834" s="468">
        <v>10.78279812629698</v>
      </c>
    </row>
    <row r="2835" spans="1:9" ht="16.5" x14ac:dyDescent="0.3">
      <c r="A2835" s="477">
        <v>4066121.8360154675</v>
      </c>
      <c r="B2835" s="458">
        <v>4.3478349693494289E-2</v>
      </c>
      <c r="C2835" s="477">
        <v>12605821.087901935</v>
      </c>
      <c r="D2835" s="458">
        <v>7.0739590338756875E-2</v>
      </c>
      <c r="E2835" s="477">
        <v>14581139.85828249</v>
      </c>
      <c r="F2835" s="458">
        <v>8.3825770846414516E-2</v>
      </c>
      <c r="G2835" s="477">
        <v>91325130.791431546</v>
      </c>
      <c r="H2835" s="458">
        <v>0.27081322981962308</v>
      </c>
      <c r="I2835" s="468">
        <v>1.9501955035935357</v>
      </c>
    </row>
    <row r="2836" spans="1:9" ht="16.5" x14ac:dyDescent="0.3">
      <c r="A2836" s="477">
        <v>6527185.6718023578</v>
      </c>
      <c r="B2836" s="458">
        <v>3.6788055052827895E-2</v>
      </c>
      <c r="C2836" s="477">
        <v>6848296.1662860401</v>
      </c>
      <c r="D2836" s="458">
        <v>8.215870046092455E-2</v>
      </c>
      <c r="E2836" s="477">
        <v>20166988.194108784</v>
      </c>
      <c r="F2836" s="458">
        <v>0.1095833651587188</v>
      </c>
      <c r="G2836" s="477">
        <v>103199438.80868262</v>
      </c>
      <c r="H2836" s="458">
        <v>0.26471728157483154</v>
      </c>
      <c r="I2836" s="468">
        <v>4.0848113602303773</v>
      </c>
    </row>
    <row r="2837" spans="1:9" ht="16.5" x14ac:dyDescent="0.3">
      <c r="A2837" s="477">
        <v>5919130.9006182663</v>
      </c>
      <c r="B2837" s="458">
        <v>3.0669046301286862E-2</v>
      </c>
      <c r="C2837" s="477">
        <v>2114218.3712136666</v>
      </c>
      <c r="D2837" s="458">
        <v>6.1825603839768428E-2</v>
      </c>
      <c r="E2837" s="477">
        <v>9002157.3284232207</v>
      </c>
      <c r="F2837" s="458">
        <v>0.10405313211672307</v>
      </c>
      <c r="G2837" s="477">
        <v>89514866.424204439</v>
      </c>
      <c r="H2837" s="458">
        <v>0.26932460147009962</v>
      </c>
      <c r="I2837" s="468">
        <v>4.4093012270584655</v>
      </c>
    </row>
    <row r="2838" spans="1:9" ht="16.5" x14ac:dyDescent="0.3">
      <c r="A2838" s="477">
        <v>8229470.1325816223</v>
      </c>
      <c r="B2838" s="458">
        <v>4.0074870011398644E-2</v>
      </c>
      <c r="C2838" s="477">
        <v>12240411.065832345</v>
      </c>
      <c r="D2838" s="458">
        <v>4.1169474607880563E-2</v>
      </c>
      <c r="E2838" s="477">
        <v>18889280.890182041</v>
      </c>
      <c r="F2838" s="458">
        <v>9.1021580676569513E-2</v>
      </c>
      <c r="G2838" s="477">
        <v>85608255.383696586</v>
      </c>
      <c r="H2838" s="458">
        <v>0.27391462592374993</v>
      </c>
      <c r="I2838" s="468">
        <v>3.3340572575696052</v>
      </c>
    </row>
    <row r="2839" spans="1:9" ht="16.5" x14ac:dyDescent="0.3">
      <c r="A2839" s="477">
        <v>533794.65983388526</v>
      </c>
      <c r="B2839" s="458">
        <v>3.7069951694905789E-2</v>
      </c>
      <c r="C2839" s="477">
        <v>6390439.0691275597</v>
      </c>
      <c r="D2839" s="458">
        <v>7.5350255833720015E-2</v>
      </c>
      <c r="E2839" s="477">
        <v>23640692.204620633</v>
      </c>
      <c r="F2839" s="458">
        <v>8.3804044926791388E-2</v>
      </c>
      <c r="G2839" s="477">
        <v>74667803.328358948</v>
      </c>
      <c r="H2839" s="458">
        <v>0.25307426544994738</v>
      </c>
      <c r="I2839" s="468">
        <v>7.9398309558551308</v>
      </c>
    </row>
    <row r="2840" spans="1:9" ht="16.5" x14ac:dyDescent="0.3">
      <c r="A2840" s="477">
        <v>6013265.6196823828</v>
      </c>
      <c r="B2840" s="458">
        <v>3.9721059533223357E-2</v>
      </c>
      <c r="C2840" s="477">
        <v>11221671.461402852</v>
      </c>
      <c r="D2840" s="458">
        <v>6.5644612414740067E-2</v>
      </c>
      <c r="E2840" s="477">
        <v>21806309.572069027</v>
      </c>
      <c r="F2840" s="458">
        <v>0.14255758517011308</v>
      </c>
      <c r="G2840" s="477">
        <v>94157783.163942784</v>
      </c>
      <c r="H2840" s="458">
        <v>0.30880884132930442</v>
      </c>
      <c r="I2840" s="468">
        <v>5.3951964467455866</v>
      </c>
    </row>
    <row r="2841" spans="1:9" ht="16.5" x14ac:dyDescent="0.3">
      <c r="A2841" s="477">
        <v>6255499.4199578101</v>
      </c>
      <c r="B2841" s="458">
        <v>5.9101140041053712E-2</v>
      </c>
      <c r="C2841" s="477">
        <v>4467677.0938253822</v>
      </c>
      <c r="D2841" s="458">
        <v>7.7258506834508189E-2</v>
      </c>
      <c r="E2841" s="477">
        <v>12338331.891542107</v>
      </c>
      <c r="F2841" s="458">
        <v>0.1046292861496334</v>
      </c>
      <c r="G2841" s="477">
        <v>99197889.93712984</v>
      </c>
      <c r="H2841" s="458">
        <v>0.2624469054881553</v>
      </c>
      <c r="I2841" s="468">
        <v>9.2984173481469199</v>
      </c>
    </row>
    <row r="2842" spans="1:9" ht="16.5" x14ac:dyDescent="0.3">
      <c r="A2842" s="477">
        <v>618426.38157403842</v>
      </c>
      <c r="B2842" s="458">
        <v>5.4968688562915924E-2</v>
      </c>
      <c r="C2842" s="477">
        <v>11876935.016433347</v>
      </c>
      <c r="D2842" s="458">
        <v>7.4417732021099026E-2</v>
      </c>
      <c r="E2842" s="477">
        <v>18740111.885103449</v>
      </c>
      <c r="F2842" s="458">
        <v>9.1434069326961076E-2</v>
      </c>
      <c r="G2842" s="477">
        <v>97847490.103817448</v>
      </c>
      <c r="H2842" s="458">
        <v>0.25977509074394911</v>
      </c>
      <c r="I2842" s="468">
        <v>9.2560993282540327</v>
      </c>
    </row>
    <row r="2843" spans="1:9" ht="16.5" x14ac:dyDescent="0.3">
      <c r="A2843" s="477">
        <v>1835426.3225191142</v>
      </c>
      <c r="B2843" s="458">
        <v>2.6273733351738437E-2</v>
      </c>
      <c r="C2843" s="477">
        <v>16289955.528970418</v>
      </c>
      <c r="D2843" s="458">
        <v>0.11572601333559529</v>
      </c>
      <c r="E2843" s="477">
        <v>25171065.507708155</v>
      </c>
      <c r="F2843" s="458">
        <v>0.11832193852618178</v>
      </c>
      <c r="G2843" s="477">
        <v>86818357.212969959</v>
      </c>
      <c r="H2843" s="458">
        <v>0.28762726229322477</v>
      </c>
      <c r="I2843" s="468">
        <v>11.591713872773491</v>
      </c>
    </row>
    <row r="2844" spans="1:9" ht="16.5" x14ac:dyDescent="0.3">
      <c r="A2844" s="477">
        <v>8443465.1243650392</v>
      </c>
      <c r="B2844" s="458">
        <v>5.1916544961629008E-2</v>
      </c>
      <c r="C2844" s="477">
        <v>9808415.1489268262</v>
      </c>
      <c r="D2844" s="458">
        <v>4.5135034243577232E-2</v>
      </c>
      <c r="E2844" s="477">
        <v>15423242.052174585</v>
      </c>
      <c r="F2844" s="458">
        <v>0.12204496847022983</v>
      </c>
      <c r="G2844" s="477">
        <v>99805856.895344362</v>
      </c>
      <c r="H2844" s="458">
        <v>0.26232764676262788</v>
      </c>
      <c r="I2844" s="468">
        <v>3.3075858880669147</v>
      </c>
    </row>
    <row r="2845" spans="1:9" ht="16.5" x14ac:dyDescent="0.3">
      <c r="A2845" s="477">
        <v>10691069.568458639</v>
      </c>
      <c r="B2845" s="458">
        <v>3.8958173397320328E-2</v>
      </c>
      <c r="C2845" s="477">
        <v>9820329.5887057148</v>
      </c>
      <c r="D2845" s="458">
        <v>9.0997217962086818E-2</v>
      </c>
      <c r="E2845" s="477">
        <v>23201533.82124681</v>
      </c>
      <c r="F2845" s="458">
        <v>0.107097803186051</v>
      </c>
      <c r="G2845" s="477">
        <v>81331765.073155716</v>
      </c>
      <c r="H2845" s="458">
        <v>0.26552169238153511</v>
      </c>
      <c r="I2845" s="468">
        <v>4.3429765771641113</v>
      </c>
    </row>
    <row r="2846" spans="1:9" ht="16.5" x14ac:dyDescent="0.3">
      <c r="A2846" s="477">
        <v>8479987.4217844866</v>
      </c>
      <c r="B2846" s="458">
        <v>6.1599020839402163E-2</v>
      </c>
      <c r="C2846" s="477">
        <v>9011834.0835804362</v>
      </c>
      <c r="D2846" s="458">
        <v>6.7437253087138993E-2</v>
      </c>
      <c r="E2846" s="477">
        <v>10754254.970180349</v>
      </c>
      <c r="F2846" s="458">
        <v>0.10550811113630054</v>
      </c>
      <c r="G2846" s="477">
        <v>87428471.187752098</v>
      </c>
      <c r="H2846" s="458">
        <v>0.28450669362450554</v>
      </c>
      <c r="I2846" s="468">
        <v>6.4913731004343651</v>
      </c>
    </row>
    <row r="2847" spans="1:9" ht="16.5" x14ac:dyDescent="0.3">
      <c r="A2847" s="477">
        <v>8080334.1065800237</v>
      </c>
      <c r="B2847" s="458">
        <v>3.4633543546984891E-2</v>
      </c>
      <c r="C2847" s="477">
        <v>9068016.5964607485</v>
      </c>
      <c r="D2847" s="458">
        <v>6.7455072695346008E-2</v>
      </c>
      <c r="E2847" s="477">
        <v>21046289.023388609</v>
      </c>
      <c r="F2847" s="458">
        <v>0.12777892183640605</v>
      </c>
      <c r="G2847" s="477">
        <v>86809554.518806845</v>
      </c>
      <c r="H2847" s="458">
        <v>0.28695327788493841</v>
      </c>
      <c r="I2847" s="468">
        <v>7.3166011608826942</v>
      </c>
    </row>
    <row r="2848" spans="1:9" ht="16.5" x14ac:dyDescent="0.3">
      <c r="A2848" s="477">
        <v>2612063.001753984</v>
      </c>
      <c r="B2848" s="458">
        <v>3.3312061066733012E-2</v>
      </c>
      <c r="C2848" s="477">
        <v>7066509.2006213581</v>
      </c>
      <c r="D2848" s="458">
        <v>5.4895628920875739E-2</v>
      </c>
      <c r="E2848" s="477">
        <v>16975608.545544557</v>
      </c>
      <c r="F2848" s="458">
        <v>0.12798817394590323</v>
      </c>
      <c r="G2848" s="477">
        <v>92307639.749683231</v>
      </c>
      <c r="H2848" s="458">
        <v>0.26375853056152931</v>
      </c>
      <c r="I2848" s="468">
        <v>7.1164050368313543</v>
      </c>
    </row>
    <row r="2849" spans="1:9" ht="16.5" x14ac:dyDescent="0.3">
      <c r="A2849" s="477">
        <v>4998409.1212589527</v>
      </c>
      <c r="B2849" s="458">
        <v>4.3074865713791599E-2</v>
      </c>
      <c r="C2849" s="477">
        <v>1402642.9706763315</v>
      </c>
      <c r="D2849" s="458">
        <v>5.4762565262832297E-2</v>
      </c>
      <c r="E2849" s="477">
        <v>11167038.526892768</v>
      </c>
      <c r="F2849" s="458">
        <v>0.11433046273746217</v>
      </c>
      <c r="G2849" s="477">
        <v>73973941.230894074</v>
      </c>
      <c r="H2849" s="458">
        <v>0.26847812517548353</v>
      </c>
      <c r="I2849" s="468">
        <v>8.3578948179427339</v>
      </c>
    </row>
    <row r="2850" spans="1:9" ht="16.5" x14ac:dyDescent="0.3">
      <c r="A2850" s="477">
        <v>3939961.1821429576</v>
      </c>
      <c r="B2850" s="458">
        <v>4.058550948745987E-2</v>
      </c>
      <c r="C2850" s="477">
        <v>5089410.117132375</v>
      </c>
      <c r="D2850" s="458">
        <v>5.6942565148378144E-2</v>
      </c>
      <c r="E2850" s="477">
        <v>18653526.975586105</v>
      </c>
      <c r="F2850" s="458">
        <v>0.11109269562630941</v>
      </c>
      <c r="G2850" s="477">
        <v>96499155.10457927</v>
      </c>
      <c r="H2850" s="458">
        <v>0.25738308125251996</v>
      </c>
      <c r="I2850" s="468">
        <v>6.0432382565915876</v>
      </c>
    </row>
    <row r="2851" spans="1:9" ht="16.5" x14ac:dyDescent="0.3">
      <c r="A2851" s="477">
        <v>2874137.6483134544</v>
      </c>
      <c r="B2851" s="458">
        <v>3.4884920684660203E-2</v>
      </c>
      <c r="C2851" s="477">
        <v>5540747.6821087357</v>
      </c>
      <c r="D2851" s="458">
        <v>7.1428167202718607E-2</v>
      </c>
      <c r="E2851" s="477">
        <v>19204612.777617075</v>
      </c>
      <c r="F2851" s="458">
        <v>0.13644556401702346</v>
      </c>
      <c r="G2851" s="477">
        <v>77799712.710159883</v>
      </c>
      <c r="H2851" s="458">
        <v>0.27221069413663623</v>
      </c>
      <c r="I2851" s="468">
        <v>7.8333445024036683</v>
      </c>
    </row>
    <row r="2852" spans="1:9" ht="16.5" x14ac:dyDescent="0.3">
      <c r="A2852" s="477">
        <v>7939994.8526388714</v>
      </c>
      <c r="B2852" s="458">
        <v>3.7021676738403508E-2</v>
      </c>
      <c r="C2852" s="477">
        <v>15970300.224275434</v>
      </c>
      <c r="D2852" s="458">
        <v>5.0251485069799484E-2</v>
      </c>
      <c r="E2852" s="477">
        <v>22900019.121499553</v>
      </c>
      <c r="F2852" s="458">
        <v>0.1104238389905341</v>
      </c>
      <c r="G2852" s="477">
        <v>91309277.797769129</v>
      </c>
      <c r="H2852" s="458">
        <v>0.27250820742742721</v>
      </c>
      <c r="I2852" s="468">
        <v>8.4582215870156361</v>
      </c>
    </row>
    <row r="2853" spans="1:9" ht="16.5" x14ac:dyDescent="0.3">
      <c r="A2853" s="477">
        <v>11677527.320355929</v>
      </c>
      <c r="B2853" s="458">
        <v>3.6462655053713489E-2</v>
      </c>
      <c r="C2853" s="477">
        <v>3531973.8618571651</v>
      </c>
      <c r="D2853" s="458">
        <v>6.5088436234365554E-2</v>
      </c>
      <c r="E2853" s="477">
        <v>10423482.825259708</v>
      </c>
      <c r="F2853" s="458">
        <v>9.8287292980949958E-2</v>
      </c>
      <c r="G2853" s="477">
        <v>103872179.42037904</v>
      </c>
      <c r="H2853" s="458">
        <v>0.2674020175464602</v>
      </c>
      <c r="I2853" s="468">
        <v>5.3803728348889548</v>
      </c>
    </row>
    <row r="2854" spans="1:9" ht="16.5" x14ac:dyDescent="0.3">
      <c r="A2854" s="477">
        <v>7160058.6381413033</v>
      </c>
      <c r="B2854" s="458">
        <v>4.3009657197557116E-2</v>
      </c>
      <c r="C2854" s="477">
        <v>16019313.528160732</v>
      </c>
      <c r="D2854" s="458">
        <v>3.7957310728287563E-2</v>
      </c>
      <c r="E2854" s="477">
        <v>17243188.449290302</v>
      </c>
      <c r="F2854" s="458">
        <v>9.986370888789442E-2</v>
      </c>
      <c r="G2854" s="477">
        <v>75830917.374317959</v>
      </c>
      <c r="H2854" s="458">
        <v>0.26125791948440069</v>
      </c>
      <c r="I2854" s="468">
        <v>7.0817881411210761</v>
      </c>
    </row>
    <row r="2855" spans="1:9" ht="16.5" x14ac:dyDescent="0.3">
      <c r="A2855" s="477">
        <v>5894019.4829581715</v>
      </c>
      <c r="B2855" s="458">
        <v>5.2856788923877795E-2</v>
      </c>
      <c r="C2855" s="477">
        <v>6759109.44015422</v>
      </c>
      <c r="D2855" s="458">
        <v>5.164334227258216E-2</v>
      </c>
      <c r="E2855" s="477">
        <v>20268656.447186857</v>
      </c>
      <c r="F2855" s="458">
        <v>8.6030791629461589E-2</v>
      </c>
      <c r="G2855" s="477">
        <v>93233469.210807025</v>
      </c>
      <c r="H2855" s="458">
        <v>0.26475429300617748</v>
      </c>
      <c r="I2855" s="468">
        <v>6.1144675827256076</v>
      </c>
    </row>
    <row r="2856" spans="1:9" ht="16.5" x14ac:dyDescent="0.3">
      <c r="A2856" s="477">
        <v>6212542.6719878493</v>
      </c>
      <c r="B2856" s="458">
        <v>4.7422923312970378E-2</v>
      </c>
      <c r="C2856" s="477">
        <v>10054744.130265031</v>
      </c>
      <c r="D2856" s="458">
        <v>5.5747394309842102E-2</v>
      </c>
      <c r="E2856" s="477">
        <v>11698223.601563793</v>
      </c>
      <c r="F2856" s="458">
        <v>0.10708533633156114</v>
      </c>
      <c r="G2856" s="477">
        <v>89858063.389672279</v>
      </c>
      <c r="H2856" s="458">
        <v>0.23568710941481141</v>
      </c>
      <c r="I2856" s="468">
        <v>11.029500351023733</v>
      </c>
    </row>
    <row r="2857" spans="1:9" ht="16.5" x14ac:dyDescent="0.3">
      <c r="A2857" s="477">
        <v>4762921.8986153379</v>
      </c>
      <c r="B2857" s="458">
        <v>3.7903663820035405E-2</v>
      </c>
      <c r="C2857" s="477">
        <v>7193578.5758581711</v>
      </c>
      <c r="D2857" s="458">
        <v>6.2116848614920617E-2</v>
      </c>
      <c r="E2857" s="477">
        <v>12190576.98434715</v>
      </c>
      <c r="F2857" s="458">
        <v>8.4772491219017532E-2</v>
      </c>
      <c r="G2857" s="477">
        <v>92484412.744506657</v>
      </c>
      <c r="H2857" s="458">
        <v>0.25442773192312296</v>
      </c>
      <c r="I2857" s="468">
        <v>11.456721129721451</v>
      </c>
    </row>
    <row r="2858" spans="1:9" ht="16.5" x14ac:dyDescent="0.3">
      <c r="A2858" s="477">
        <v>7055410.7853247272</v>
      </c>
      <c r="B2858" s="458">
        <v>5.2909193590628512E-2</v>
      </c>
      <c r="C2858" s="477">
        <v>7481391.6403985554</v>
      </c>
      <c r="D2858" s="458">
        <v>6.355377654307226E-2</v>
      </c>
      <c r="E2858" s="477">
        <v>20442745.222860515</v>
      </c>
      <c r="F2858" s="458">
        <v>0.11037909365116905</v>
      </c>
      <c r="G2858" s="477">
        <v>80105470.509683266</v>
      </c>
      <c r="H2858" s="458">
        <v>0.2818670024419121</v>
      </c>
      <c r="I2858" s="468">
        <v>0.2366828877298035</v>
      </c>
    </row>
    <row r="2859" spans="1:9" ht="16.5" x14ac:dyDescent="0.3">
      <c r="A2859" s="477">
        <v>5389845.8804534432</v>
      </c>
      <c r="B2859" s="458">
        <v>5.4403867181078258E-2</v>
      </c>
      <c r="C2859" s="477">
        <v>8556226.9873778168</v>
      </c>
      <c r="D2859" s="458">
        <v>6.5339278164774584E-2</v>
      </c>
      <c r="E2859" s="477">
        <v>17714737.754388575</v>
      </c>
      <c r="F2859" s="458">
        <v>0.1001234409771139</v>
      </c>
      <c r="G2859" s="477">
        <v>88855464.396402955</v>
      </c>
      <c r="H2859" s="458">
        <v>0.27667942175371985</v>
      </c>
      <c r="I2859" s="468">
        <v>2.7871120405014524</v>
      </c>
    </row>
    <row r="2860" spans="1:9" ht="16.5" x14ac:dyDescent="0.3">
      <c r="A2860" s="477">
        <v>1828488.2602291526</v>
      </c>
      <c r="B2860" s="458">
        <v>6.7424150893297563E-2</v>
      </c>
      <c r="C2860" s="477">
        <v>5172725.2596973404</v>
      </c>
      <c r="D2860" s="458">
        <v>7.8634842927506554E-2</v>
      </c>
      <c r="E2860" s="477">
        <v>13726745.999898911</v>
      </c>
      <c r="F2860" s="458">
        <v>0.11257994627022594</v>
      </c>
      <c r="G2860" s="477">
        <v>81859358.073247671</v>
      </c>
      <c r="H2860" s="458">
        <v>0.28422573727546663</v>
      </c>
      <c r="I2860" s="468">
        <v>10.208593772667223</v>
      </c>
    </row>
    <row r="2861" spans="1:9" ht="16.5" x14ac:dyDescent="0.3">
      <c r="A2861" s="477">
        <v>9243109.2454411648</v>
      </c>
      <c r="B2861" s="458">
        <v>3.5298679011980028E-2</v>
      </c>
      <c r="C2861" s="477">
        <v>13801230.904788498</v>
      </c>
      <c r="D2861" s="458">
        <v>7.4601823523693822E-2</v>
      </c>
      <c r="E2861" s="477">
        <v>17752591.610138554</v>
      </c>
      <c r="F2861" s="458">
        <v>0.10024026077946901</v>
      </c>
      <c r="G2861" s="477">
        <v>85050367.235541493</v>
      </c>
      <c r="H2861" s="458">
        <v>0.27778663265833914</v>
      </c>
      <c r="I2861" s="468">
        <v>10.084184013673715</v>
      </c>
    </row>
    <row r="2862" spans="1:9" ht="16.5" x14ac:dyDescent="0.3">
      <c r="A2862" s="477">
        <v>10597171.109439887</v>
      </c>
      <c r="B2862" s="458">
        <v>2.0872805477953005E-2</v>
      </c>
      <c r="C2862" s="477">
        <v>11876440.337833362</v>
      </c>
      <c r="D2862" s="458">
        <v>8.0252378092943832E-2</v>
      </c>
      <c r="E2862" s="477">
        <v>14538158.480091529</v>
      </c>
      <c r="F2862" s="458">
        <v>9.7594180929105878E-2</v>
      </c>
      <c r="G2862" s="477">
        <v>86288406.34854278</v>
      </c>
      <c r="H2862" s="458">
        <v>0.27054341181105301</v>
      </c>
      <c r="I2862" s="468">
        <v>9.5297682650392765</v>
      </c>
    </row>
    <row r="2863" spans="1:9" ht="16.5" x14ac:dyDescent="0.3">
      <c r="A2863" s="477">
        <v>4111049.5265149912</v>
      </c>
      <c r="B2863" s="458">
        <v>3.5888052494301714E-2</v>
      </c>
      <c r="C2863" s="477">
        <v>2117499.2270061583</v>
      </c>
      <c r="D2863" s="458">
        <v>8.0071726006190058E-2</v>
      </c>
      <c r="E2863" s="477">
        <v>24556043.385540083</v>
      </c>
      <c r="F2863" s="458">
        <v>0.12723605851780251</v>
      </c>
      <c r="G2863" s="477">
        <v>100962671.13292868</v>
      </c>
      <c r="H2863" s="458">
        <v>0.24922844691566404</v>
      </c>
      <c r="I2863" s="468">
        <v>10.958795544770831</v>
      </c>
    </row>
    <row r="2864" spans="1:9" ht="16.5" x14ac:dyDescent="0.3">
      <c r="A2864" s="477">
        <v>8724279.3773070797</v>
      </c>
      <c r="B2864" s="458">
        <v>1.979574230545289E-2</v>
      </c>
      <c r="C2864" s="477">
        <v>12924272.762513041</v>
      </c>
      <c r="D2864" s="458">
        <v>5.8503191799240684E-2</v>
      </c>
      <c r="E2864" s="477">
        <v>16293737.942319475</v>
      </c>
      <c r="F2864" s="458">
        <v>0.10244134913726533</v>
      </c>
      <c r="G2864" s="477">
        <v>95726171.807164013</v>
      </c>
      <c r="H2864" s="458">
        <v>0.27607817417306646</v>
      </c>
      <c r="I2864" s="468">
        <v>9.6690235804441613</v>
      </c>
    </row>
    <row r="2865" spans="1:9" ht="16.5" x14ac:dyDescent="0.3">
      <c r="A2865" s="477">
        <v>4409342.9990259055</v>
      </c>
      <c r="B2865" s="458">
        <v>5.5282415645961702E-2</v>
      </c>
      <c r="C2865" s="477">
        <v>10458378.306807224</v>
      </c>
      <c r="D2865" s="458">
        <v>8.4685929657366765E-2</v>
      </c>
      <c r="E2865" s="477">
        <v>13191548.363996342</v>
      </c>
      <c r="F2865" s="458">
        <v>8.1919377572285512E-2</v>
      </c>
      <c r="G2865" s="477">
        <v>80321922.089805931</v>
      </c>
      <c r="H2865" s="458">
        <v>0.28843243793012396</v>
      </c>
      <c r="I2865" s="468">
        <v>8.9743469632690474</v>
      </c>
    </row>
    <row r="2866" spans="1:9" ht="16.5" x14ac:dyDescent="0.3">
      <c r="A2866" s="477">
        <v>2955459.7204456772</v>
      </c>
      <c r="B2866" s="458">
        <v>4.230942129019355E-2</v>
      </c>
      <c r="C2866" s="477">
        <v>7378325.0203854665</v>
      </c>
      <c r="D2866" s="458">
        <v>7.8060109404886058E-2</v>
      </c>
      <c r="E2866" s="477">
        <v>24550820.71487442</v>
      </c>
      <c r="F2866" s="458">
        <v>0.12953064217406074</v>
      </c>
      <c r="G2866" s="477">
        <v>85429164.315221235</v>
      </c>
      <c r="H2866" s="458">
        <v>0.25590787348942357</v>
      </c>
      <c r="I2866" s="468">
        <v>7.2610619531319482</v>
      </c>
    </row>
    <row r="2867" spans="1:9" ht="16.5" x14ac:dyDescent="0.3">
      <c r="A2867" s="477">
        <v>4651857.8753202381</v>
      </c>
      <c r="B2867" s="458">
        <v>6.6817145144985934E-2</v>
      </c>
      <c r="C2867" s="477">
        <v>8416265.45618077</v>
      </c>
      <c r="D2867" s="458">
        <v>0.12193626190377316</v>
      </c>
      <c r="E2867" s="477">
        <v>7808369.0598473344</v>
      </c>
      <c r="F2867" s="458">
        <v>9.1798197025911854E-2</v>
      </c>
      <c r="G2867" s="477">
        <v>103942858.73266716</v>
      </c>
      <c r="H2867" s="458">
        <v>0.27225968354076313</v>
      </c>
      <c r="I2867" s="468">
        <v>11.002570768481274</v>
      </c>
    </row>
    <row r="2868" spans="1:9" ht="16.5" x14ac:dyDescent="0.3">
      <c r="A2868" s="477">
        <v>9992226.1165924091</v>
      </c>
      <c r="B2868" s="458">
        <v>3.0725104481888588E-2</v>
      </c>
      <c r="C2868" s="477">
        <v>13872597.502232198</v>
      </c>
      <c r="D2868" s="458">
        <v>5.4089909230668143E-2</v>
      </c>
      <c r="E2868" s="477">
        <v>23371742.893437341</v>
      </c>
      <c r="F2868" s="458">
        <v>0.11834181563282797</v>
      </c>
      <c r="G2868" s="477">
        <v>81151523.62342225</v>
      </c>
      <c r="H2868" s="458">
        <v>0.28591116020444174</v>
      </c>
      <c r="I2868" s="468">
        <v>7.4836483120021056</v>
      </c>
    </row>
    <row r="2869" spans="1:9" ht="16.5" x14ac:dyDescent="0.3">
      <c r="A2869" s="477">
        <v>5442841.2987229219</v>
      </c>
      <c r="B2869" s="458">
        <v>3.0876204214833392E-2</v>
      </c>
      <c r="C2869" s="477">
        <v>8135191.4681028342</v>
      </c>
      <c r="D2869" s="458">
        <v>6.5368558424948153E-2</v>
      </c>
      <c r="E2869" s="477">
        <v>12092732.632719776</v>
      </c>
      <c r="F2869" s="458">
        <v>0.13490010770561511</v>
      </c>
      <c r="G2869" s="477">
        <v>93749260.027710989</v>
      </c>
      <c r="H2869" s="458">
        <v>0.26366743840774265</v>
      </c>
      <c r="I2869" s="468">
        <v>4.4832509983869731</v>
      </c>
    </row>
    <row r="2870" spans="1:9" ht="16.5" x14ac:dyDescent="0.3">
      <c r="A2870" s="477">
        <v>8569993.9801296983</v>
      </c>
      <c r="B2870" s="458">
        <v>3.1367559449295035E-2</v>
      </c>
      <c r="C2870" s="477">
        <v>14285846.123656265</v>
      </c>
      <c r="D2870" s="458">
        <v>8.6106011518755965E-2</v>
      </c>
      <c r="E2870" s="477">
        <v>14976377.251547912</v>
      </c>
      <c r="F2870" s="458">
        <v>0.12497398627454825</v>
      </c>
      <c r="G2870" s="477">
        <v>94292945.94353044</v>
      </c>
      <c r="H2870" s="458">
        <v>0.26953482696759479</v>
      </c>
      <c r="I2870" s="468">
        <v>9.3996713600184609</v>
      </c>
    </row>
    <row r="2871" spans="1:9" ht="16.5" x14ac:dyDescent="0.3">
      <c r="A2871" s="477">
        <v>4163764.5040093455</v>
      </c>
      <c r="B2871" s="458">
        <v>2.3792887577804844E-2</v>
      </c>
      <c r="C2871" s="477">
        <v>11911360.745690785</v>
      </c>
      <c r="D2871" s="458">
        <v>5.0752007080175909E-2</v>
      </c>
      <c r="E2871" s="477">
        <v>13968258.714024816</v>
      </c>
      <c r="F2871" s="458">
        <v>0.11139673848386522</v>
      </c>
      <c r="G2871" s="477">
        <v>88370533.990008831</v>
      </c>
      <c r="H2871" s="458">
        <v>0.26875554151105696</v>
      </c>
      <c r="I2871" s="468">
        <v>17.671698129843911</v>
      </c>
    </row>
    <row r="2872" spans="1:9" ht="16.5" x14ac:dyDescent="0.3">
      <c r="A2872" s="477">
        <v>3608017.7738307817</v>
      </c>
      <c r="B2872" s="458">
        <v>3.4576120766215634E-2</v>
      </c>
      <c r="C2872" s="477">
        <v>7548220.8402490951</v>
      </c>
      <c r="D2872" s="458">
        <v>0.10107888030499868</v>
      </c>
      <c r="E2872" s="477">
        <v>22260134.470853917</v>
      </c>
      <c r="F2872" s="458">
        <v>0.11347371108333104</v>
      </c>
      <c r="G2872" s="477">
        <v>101530580.4998346</v>
      </c>
      <c r="H2872" s="458">
        <v>0.25527260792446915</v>
      </c>
      <c r="I2872" s="468">
        <v>5.6051792700771381</v>
      </c>
    </row>
    <row r="2873" spans="1:9" ht="16.5" x14ac:dyDescent="0.3">
      <c r="A2873" s="477">
        <v>7413145.8116668761</v>
      </c>
      <c r="B2873" s="458">
        <v>2.6603051483066631E-2</v>
      </c>
      <c r="C2873" s="477">
        <v>5468041.3487169398</v>
      </c>
      <c r="D2873" s="458">
        <v>6.6754459562309076E-2</v>
      </c>
      <c r="E2873" s="477">
        <v>20098706.798775278</v>
      </c>
      <c r="F2873" s="458">
        <v>0.10624361209085031</v>
      </c>
      <c r="G2873" s="477">
        <v>78196001.695433423</v>
      </c>
      <c r="H2873" s="458">
        <v>0.26618220812335558</v>
      </c>
      <c r="I2873" s="468">
        <v>8.0359441585441029</v>
      </c>
    </row>
    <row r="2874" spans="1:9" ht="16.5" x14ac:dyDescent="0.3">
      <c r="A2874" s="477">
        <v>4811611.8972373689</v>
      </c>
      <c r="B2874" s="458">
        <v>3.7224556656986207E-2</v>
      </c>
      <c r="C2874" s="477">
        <v>6673640.7159167677</v>
      </c>
      <c r="D2874" s="458">
        <v>3.9902631334844063E-2</v>
      </c>
      <c r="E2874" s="477">
        <v>13494537.885093372</v>
      </c>
      <c r="F2874" s="458">
        <v>0.14359151784155122</v>
      </c>
      <c r="G2874" s="477">
        <v>92609287.50090383</v>
      </c>
      <c r="H2874" s="458">
        <v>0.26835771325609348</v>
      </c>
      <c r="I2874" s="468">
        <v>3.9989615480022955</v>
      </c>
    </row>
    <row r="2875" spans="1:9" ht="16.5" x14ac:dyDescent="0.3">
      <c r="A2875" s="477">
        <v>3005857.894144862</v>
      </c>
      <c r="B2875" s="458">
        <v>2.6957573118876255E-2</v>
      </c>
      <c r="C2875" s="477">
        <v>9303736.5230066646</v>
      </c>
      <c r="D2875" s="458">
        <v>8.7434475995431749E-2</v>
      </c>
      <c r="E2875" s="477">
        <v>9222201.4754959755</v>
      </c>
      <c r="F2875" s="458">
        <v>0.10631071496442845</v>
      </c>
      <c r="G2875" s="477">
        <v>84928123.279056326</v>
      </c>
      <c r="H2875" s="458">
        <v>0.29188094771758299</v>
      </c>
      <c r="I2875" s="468">
        <v>9.8905800514544193</v>
      </c>
    </row>
    <row r="2876" spans="1:9" ht="16.5" x14ac:dyDescent="0.3">
      <c r="A2876" s="477">
        <v>-245386.34894805771</v>
      </c>
      <c r="B2876" s="458">
        <v>5.3643746320764185E-2</v>
      </c>
      <c r="C2876" s="477">
        <v>12684028.861605078</v>
      </c>
      <c r="D2876" s="458">
        <v>7.2160414425428643E-2</v>
      </c>
      <c r="E2876" s="477">
        <v>24384875.421024978</v>
      </c>
      <c r="F2876" s="458">
        <v>9.825958206799168E-2</v>
      </c>
      <c r="G2876" s="477">
        <v>85088666.982453287</v>
      </c>
      <c r="H2876" s="458">
        <v>0.29989776462506201</v>
      </c>
      <c r="I2876" s="468">
        <v>7.4391065391907158</v>
      </c>
    </row>
    <row r="2877" spans="1:9" ht="16.5" x14ac:dyDescent="0.3">
      <c r="A2877" s="477">
        <v>6329569.3184099654</v>
      </c>
      <c r="B2877" s="458">
        <v>4.7599056768124592E-2</v>
      </c>
      <c r="C2877" s="477">
        <v>14466998.787164608</v>
      </c>
      <c r="D2877" s="458">
        <v>7.0403808778855881E-2</v>
      </c>
      <c r="E2877" s="477">
        <v>17603717.254091199</v>
      </c>
      <c r="F2877" s="458">
        <v>0.13313403252914746</v>
      </c>
      <c r="G2877" s="477">
        <v>81779869.67456232</v>
      </c>
      <c r="H2877" s="458">
        <v>0.26861922449981956</v>
      </c>
      <c r="I2877" s="468">
        <v>5.2855296102111708</v>
      </c>
    </row>
    <row r="2878" spans="1:9" ht="16.5" x14ac:dyDescent="0.3">
      <c r="A2878" s="477">
        <v>10802739.924731869</v>
      </c>
      <c r="B2878" s="458">
        <v>4.846206414366927E-2</v>
      </c>
      <c r="C2878" s="477">
        <v>-20526.249926501067</v>
      </c>
      <c r="D2878" s="458">
        <v>6.8505493563931097E-2</v>
      </c>
      <c r="E2878" s="477">
        <v>20764736.583614003</v>
      </c>
      <c r="F2878" s="458">
        <v>0.11494993950498178</v>
      </c>
      <c r="G2878" s="477">
        <v>96359634.187568128</v>
      </c>
      <c r="H2878" s="458">
        <v>0.26136367710528918</v>
      </c>
      <c r="I2878" s="468">
        <v>16.170196082051483</v>
      </c>
    </row>
    <row r="2879" spans="1:9" ht="16.5" x14ac:dyDescent="0.3">
      <c r="A2879" s="477">
        <v>6511180.3884862829</v>
      </c>
      <c r="B2879" s="458">
        <v>4.9331473903734935E-2</v>
      </c>
      <c r="C2879" s="477">
        <v>8731051.4926960804</v>
      </c>
      <c r="D2879" s="458">
        <v>4.6941344149448838E-2</v>
      </c>
      <c r="E2879" s="477">
        <v>17825913.656383205</v>
      </c>
      <c r="F2879" s="458">
        <v>0.10357389206743473</v>
      </c>
      <c r="G2879" s="477">
        <v>106358845.70168594</v>
      </c>
      <c r="H2879" s="458">
        <v>0.26007777230710682</v>
      </c>
      <c r="I2879" s="468">
        <v>9.3699878760832576</v>
      </c>
    </row>
    <row r="2880" spans="1:9" ht="16.5" x14ac:dyDescent="0.3">
      <c r="A2880" s="477">
        <v>4580615.4939126465</v>
      </c>
      <c r="B2880" s="458">
        <v>2.5968990140958992E-2</v>
      </c>
      <c r="C2880" s="477">
        <v>9299254.127001239</v>
      </c>
      <c r="D2880" s="458">
        <v>7.5304198366192399E-2</v>
      </c>
      <c r="E2880" s="477">
        <v>31466675.394667309</v>
      </c>
      <c r="F2880" s="458">
        <v>0.11099556941297606</v>
      </c>
      <c r="G2880" s="477">
        <v>93493021.921526119</v>
      </c>
      <c r="H2880" s="458">
        <v>0.26594797844653839</v>
      </c>
      <c r="I2880" s="468">
        <v>12.953786766380549</v>
      </c>
    </row>
    <row r="2881" spans="1:9" ht="16.5" x14ac:dyDescent="0.3">
      <c r="A2881" s="477">
        <v>4929016.9390794681</v>
      </c>
      <c r="B2881" s="458">
        <v>4.228758632893248E-2</v>
      </c>
      <c r="C2881" s="477">
        <v>11812282.96800405</v>
      </c>
      <c r="D2881" s="458">
        <v>7.3639422682421074E-2</v>
      </c>
      <c r="E2881" s="477">
        <v>16057987.511650039</v>
      </c>
      <c r="F2881" s="458">
        <v>0.10816551000771124</v>
      </c>
      <c r="G2881" s="477">
        <v>75974976.572434738</v>
      </c>
      <c r="H2881" s="458">
        <v>0.26086047974992344</v>
      </c>
      <c r="I2881" s="468">
        <v>8.4054925473298567</v>
      </c>
    </row>
    <row r="2882" spans="1:9" ht="16.5" x14ac:dyDescent="0.3">
      <c r="A2882" s="477">
        <v>4893304.9650498377</v>
      </c>
      <c r="B2882" s="458">
        <v>4.8960852704809987E-2</v>
      </c>
      <c r="C2882" s="477">
        <v>8948986.373866085</v>
      </c>
      <c r="D2882" s="458">
        <v>5.9206852674566157E-2</v>
      </c>
      <c r="E2882" s="477">
        <v>21330140.498824198</v>
      </c>
      <c r="F2882" s="458">
        <v>0.10387131709057074</v>
      </c>
      <c r="G2882" s="477">
        <v>86137762.326408461</v>
      </c>
      <c r="H2882" s="458">
        <v>0.27057947012888883</v>
      </c>
      <c r="I2882" s="468">
        <v>10.558770270198558</v>
      </c>
    </row>
    <row r="2883" spans="1:9" ht="16.5" x14ac:dyDescent="0.3">
      <c r="A2883" s="477">
        <v>7491407.1523930188</v>
      </c>
      <c r="B2883" s="458">
        <v>5.1513425911581034E-2</v>
      </c>
      <c r="C2883" s="477">
        <v>11629466.172409877</v>
      </c>
      <c r="D2883" s="458">
        <v>5.9580294142897339E-2</v>
      </c>
      <c r="E2883" s="477">
        <v>20077155.964921713</v>
      </c>
      <c r="F2883" s="458">
        <v>0.10114197709133843</v>
      </c>
      <c r="G2883" s="477">
        <v>91330044.539147183</v>
      </c>
      <c r="H2883" s="458">
        <v>0.25896451411866295</v>
      </c>
      <c r="I2883" s="468">
        <v>12.17553583699025</v>
      </c>
    </row>
    <row r="2884" spans="1:9" ht="16.5" x14ac:dyDescent="0.3">
      <c r="A2884" s="477">
        <v>5291966.7654612642</v>
      </c>
      <c r="B2884" s="458">
        <v>3.9403419863016209E-2</v>
      </c>
      <c r="C2884" s="477">
        <v>12086914.567899706</v>
      </c>
      <c r="D2884" s="458">
        <v>7.0077476486525736E-2</v>
      </c>
      <c r="E2884" s="477">
        <v>11842831.934608776</v>
      </c>
      <c r="F2884" s="458">
        <v>0.10079221858464127</v>
      </c>
      <c r="G2884" s="477">
        <v>91979589.815206081</v>
      </c>
      <c r="H2884" s="458">
        <v>0.29440748372373737</v>
      </c>
      <c r="I2884" s="468">
        <v>7.6224000592180801</v>
      </c>
    </row>
    <row r="2885" spans="1:9" ht="16.5" x14ac:dyDescent="0.3">
      <c r="A2885" s="477">
        <v>7239477.0412798338</v>
      </c>
      <c r="B2885" s="458">
        <v>1.1340804961889495E-2</v>
      </c>
      <c r="C2885" s="477">
        <v>10361857.730715102</v>
      </c>
      <c r="D2885" s="458">
        <v>6.1053014714583576E-2</v>
      </c>
      <c r="E2885" s="477">
        <v>16426843.330356257</v>
      </c>
      <c r="F2885" s="458">
        <v>0.11348284693263988</v>
      </c>
      <c r="G2885" s="477">
        <v>94396604.571930721</v>
      </c>
      <c r="H2885" s="458">
        <v>0.27130562250173673</v>
      </c>
      <c r="I2885" s="468">
        <v>5.3844911061242282</v>
      </c>
    </row>
    <row r="2886" spans="1:9" ht="16.5" x14ac:dyDescent="0.3">
      <c r="A2886" s="477">
        <v>4637417.6543289414</v>
      </c>
      <c r="B2886" s="458">
        <v>4.3921844286291423E-2</v>
      </c>
      <c r="C2886" s="477">
        <v>11367252.225168042</v>
      </c>
      <c r="D2886" s="458">
        <v>7.5911502020119981E-2</v>
      </c>
      <c r="E2886" s="477">
        <v>12616183.854238322</v>
      </c>
      <c r="F2886" s="458">
        <v>0.10146532978226475</v>
      </c>
      <c r="G2886" s="477">
        <v>75541540.01188378</v>
      </c>
      <c r="H2886" s="458">
        <v>0.25318374554161927</v>
      </c>
      <c r="I2886" s="468">
        <v>10.935201324737479</v>
      </c>
    </row>
    <row r="2887" spans="1:9" ht="16.5" x14ac:dyDescent="0.3">
      <c r="A2887" s="477">
        <v>4294620.6966722189</v>
      </c>
      <c r="B2887" s="458">
        <v>4.3648985391764539E-2</v>
      </c>
      <c r="C2887" s="477">
        <v>9982232.0365832057</v>
      </c>
      <c r="D2887" s="458">
        <v>3.9426273548726298E-2</v>
      </c>
      <c r="E2887" s="477">
        <v>15379222.331952898</v>
      </c>
      <c r="F2887" s="458">
        <v>0.10736656759975038</v>
      </c>
      <c r="G2887" s="477">
        <v>89193389.666105524</v>
      </c>
      <c r="H2887" s="458">
        <v>0.26328756108581919</v>
      </c>
      <c r="I2887" s="468">
        <v>8.3789349279885244</v>
      </c>
    </row>
    <row r="2888" spans="1:9" ht="16.5" x14ac:dyDescent="0.3">
      <c r="A2888" s="477">
        <v>1862729.1092081054</v>
      </c>
      <c r="B2888" s="458">
        <v>2.8570183560266749E-2</v>
      </c>
      <c r="C2888" s="477">
        <v>7939548.8771512583</v>
      </c>
      <c r="D2888" s="458">
        <v>3.5552014435589863E-2</v>
      </c>
      <c r="E2888" s="477">
        <v>20720197.372550592</v>
      </c>
      <c r="F2888" s="458">
        <v>0.1088483724420628</v>
      </c>
      <c r="G2888" s="477">
        <v>96484456.152341723</v>
      </c>
      <c r="H2888" s="458">
        <v>0.26806404254317973</v>
      </c>
      <c r="I2888" s="468">
        <v>6.7161777738925208</v>
      </c>
    </row>
    <row r="2889" spans="1:9" ht="16.5" x14ac:dyDescent="0.3">
      <c r="A2889" s="477">
        <v>2063826.4461739552</v>
      </c>
      <c r="B2889" s="458">
        <v>3.7638369549706008E-2</v>
      </c>
      <c r="C2889" s="477">
        <v>8613674.6235595774</v>
      </c>
      <c r="D2889" s="458">
        <v>4.4297012975626604E-2</v>
      </c>
      <c r="E2889" s="477">
        <v>15799767.490182022</v>
      </c>
      <c r="F2889" s="458">
        <v>0.12452736262514597</v>
      </c>
      <c r="G2889" s="477">
        <v>76269063.090355158</v>
      </c>
      <c r="H2889" s="458">
        <v>0.27736996512945278</v>
      </c>
      <c r="I2889" s="468">
        <v>6.5853346451715993</v>
      </c>
    </row>
    <row r="2890" spans="1:9" ht="16.5" x14ac:dyDescent="0.3">
      <c r="A2890" s="477">
        <v>10202381.19408959</v>
      </c>
      <c r="B2890" s="458">
        <v>6.0671611132769199E-2</v>
      </c>
      <c r="C2890" s="477">
        <v>4107667.8008122589</v>
      </c>
      <c r="D2890" s="458">
        <v>8.1988046914874602E-2</v>
      </c>
      <c r="E2890" s="477">
        <v>19680616.274581853</v>
      </c>
      <c r="F2890" s="458">
        <v>8.6520469012928869E-2</v>
      </c>
      <c r="G2890" s="477">
        <v>87891550.115516737</v>
      </c>
      <c r="H2890" s="458">
        <v>0.27915037947620958</v>
      </c>
      <c r="I2890" s="468">
        <v>10.73034764210724</v>
      </c>
    </row>
    <row r="2891" spans="1:9" ht="16.5" x14ac:dyDescent="0.3">
      <c r="A2891" s="477">
        <v>5424728.9254714809</v>
      </c>
      <c r="B2891" s="458">
        <v>1.4577025496844254E-2</v>
      </c>
      <c r="C2891" s="477">
        <v>9381591.1527200174</v>
      </c>
      <c r="D2891" s="458">
        <v>7.316602164645003E-2</v>
      </c>
      <c r="E2891" s="477">
        <v>16924384.562165421</v>
      </c>
      <c r="F2891" s="458">
        <v>0.1130553222242503</v>
      </c>
      <c r="G2891" s="477">
        <v>95478334.880730867</v>
      </c>
      <c r="H2891" s="458">
        <v>0.25604246723783652</v>
      </c>
      <c r="I2891" s="468">
        <v>4.9583280947452257</v>
      </c>
    </row>
    <row r="2892" spans="1:9" ht="16.5" x14ac:dyDescent="0.3">
      <c r="A2892" s="477">
        <v>7013835.1670912197</v>
      </c>
      <c r="B2892" s="458">
        <v>3.8130081560299178E-2</v>
      </c>
      <c r="C2892" s="477">
        <v>10912968.221734431</v>
      </c>
      <c r="D2892" s="458">
        <v>7.0713259523597083E-2</v>
      </c>
      <c r="E2892" s="477">
        <v>8637889.2105771452</v>
      </c>
      <c r="F2892" s="458">
        <v>0.11877090180663497</v>
      </c>
      <c r="G2892" s="477">
        <v>82487461.673723206</v>
      </c>
      <c r="H2892" s="458">
        <v>0.24831433942420267</v>
      </c>
      <c r="I2892" s="468">
        <v>5.5943543865870105</v>
      </c>
    </row>
    <row r="2893" spans="1:9" ht="16.5" x14ac:dyDescent="0.3">
      <c r="A2893" s="477">
        <v>8007278.571307932</v>
      </c>
      <c r="B2893" s="458">
        <v>2.8550539763597671E-2</v>
      </c>
      <c r="C2893" s="477">
        <v>6801175.6587921111</v>
      </c>
      <c r="D2893" s="458">
        <v>6.261745104488825E-2</v>
      </c>
      <c r="E2893" s="477">
        <v>12380857.204980714</v>
      </c>
      <c r="F2893" s="458">
        <v>9.4884622598201407E-2</v>
      </c>
      <c r="G2893" s="477">
        <v>90082027.036659047</v>
      </c>
      <c r="H2893" s="458">
        <v>0.30591142530260207</v>
      </c>
      <c r="I2893" s="468">
        <v>2.1630856424760729</v>
      </c>
    </row>
    <row r="2894" spans="1:9" ht="16.5" x14ac:dyDescent="0.3">
      <c r="A2894" s="477">
        <v>2869175.1042846637</v>
      </c>
      <c r="B2894" s="458">
        <v>2.2191995486215088E-2</v>
      </c>
      <c r="C2894" s="477">
        <v>8448789.5017492063</v>
      </c>
      <c r="D2894" s="458">
        <v>4.8719982908164594E-2</v>
      </c>
      <c r="E2894" s="477">
        <v>18680769.78610396</v>
      </c>
      <c r="F2894" s="458">
        <v>9.2704580420710059E-2</v>
      </c>
      <c r="G2894" s="477">
        <v>88128336.206787646</v>
      </c>
      <c r="H2894" s="458">
        <v>0.26885777431523539</v>
      </c>
      <c r="I2894" s="468">
        <v>7.213868519076696</v>
      </c>
    </row>
    <row r="2895" spans="1:9" ht="16.5" x14ac:dyDescent="0.3">
      <c r="A2895" s="477">
        <v>7777722.1572448052</v>
      </c>
      <c r="B2895" s="458">
        <v>3.5807853332118889E-2</v>
      </c>
      <c r="C2895" s="477">
        <v>6095656.0778472908</v>
      </c>
      <c r="D2895" s="458">
        <v>8.2301278595397598E-2</v>
      </c>
      <c r="E2895" s="477">
        <v>11134002.087753529</v>
      </c>
      <c r="F2895" s="458">
        <v>9.8356867956912453E-2</v>
      </c>
      <c r="G2895" s="477">
        <v>81587560.043721497</v>
      </c>
      <c r="H2895" s="458">
        <v>0.26655350111918996</v>
      </c>
      <c r="I2895" s="468">
        <v>13.496555576100544</v>
      </c>
    </row>
    <row r="2896" spans="1:9" ht="16.5" x14ac:dyDescent="0.3">
      <c r="A2896" s="477">
        <v>4623533.0734908627</v>
      </c>
      <c r="B2896" s="458">
        <v>5.4342885762155957E-2</v>
      </c>
      <c r="C2896" s="477">
        <v>8640113.8493131232</v>
      </c>
      <c r="D2896" s="458">
        <v>6.4065581695386342E-2</v>
      </c>
      <c r="E2896" s="477">
        <v>14221536.310677728</v>
      </c>
      <c r="F2896" s="458">
        <v>0.10211313602974093</v>
      </c>
      <c r="G2896" s="477">
        <v>95797099.83404389</v>
      </c>
      <c r="H2896" s="458">
        <v>0.27902380224899859</v>
      </c>
      <c r="I2896" s="468">
        <v>7.0285060472187251</v>
      </c>
    </row>
    <row r="2897" spans="1:9" ht="16.5" x14ac:dyDescent="0.3">
      <c r="A2897" s="477">
        <v>5771596.5845709108</v>
      </c>
      <c r="B2897" s="458">
        <v>4.4903476427584854E-2</v>
      </c>
      <c r="C2897" s="477">
        <v>9151350.2252948862</v>
      </c>
      <c r="D2897" s="458">
        <v>5.2469306752642053E-2</v>
      </c>
      <c r="E2897" s="477">
        <v>13265695.238760864</v>
      </c>
      <c r="F2897" s="458">
        <v>0.12616664652511766</v>
      </c>
      <c r="G2897" s="477">
        <v>107060804.06043193</v>
      </c>
      <c r="H2897" s="458">
        <v>0.2747114710235774</v>
      </c>
      <c r="I2897" s="468">
        <v>9.6889051598028217</v>
      </c>
    </row>
    <row r="2898" spans="1:9" ht="16.5" x14ac:dyDescent="0.3">
      <c r="A2898" s="477">
        <v>8570475.4235510696</v>
      </c>
      <c r="B2898" s="458">
        <v>6.2062592940389294E-2</v>
      </c>
      <c r="C2898" s="477">
        <v>2949722.0362302233</v>
      </c>
      <c r="D2898" s="458">
        <v>6.1952797134092741E-2</v>
      </c>
      <c r="E2898" s="477">
        <v>20860591.460109334</v>
      </c>
      <c r="F2898" s="458">
        <v>0.12302743775525404</v>
      </c>
      <c r="G2898" s="477">
        <v>93772095.803659946</v>
      </c>
      <c r="H2898" s="458">
        <v>0.27884436824689018</v>
      </c>
      <c r="I2898" s="468">
        <v>10.035709515471725</v>
      </c>
    </row>
    <row r="2899" spans="1:9" ht="16.5" x14ac:dyDescent="0.3">
      <c r="A2899" s="477">
        <v>-132606.47727909294</v>
      </c>
      <c r="B2899" s="458">
        <v>1.539215893324819E-2</v>
      </c>
      <c r="C2899" s="477">
        <v>13572836.538364097</v>
      </c>
      <c r="D2899" s="458">
        <v>4.448027697711443E-2</v>
      </c>
      <c r="E2899" s="477">
        <v>18658342.595520448</v>
      </c>
      <c r="F2899" s="458">
        <v>0.10409033392341649</v>
      </c>
      <c r="G2899" s="477">
        <v>79618150.104336396</v>
      </c>
      <c r="H2899" s="458">
        <v>0.26452033789756935</v>
      </c>
      <c r="I2899" s="468">
        <v>6.3954483650576286</v>
      </c>
    </row>
    <row r="2900" spans="1:9" ht="16.5" x14ac:dyDescent="0.3">
      <c r="A2900" s="477">
        <v>5690837.0845761206</v>
      </c>
      <c r="B2900" s="458">
        <v>5.7132774204055714E-2</v>
      </c>
      <c r="C2900" s="477">
        <v>10533357.943262637</v>
      </c>
      <c r="D2900" s="458">
        <v>5.8654635204911321E-2</v>
      </c>
      <c r="E2900" s="477">
        <v>12677785.794120723</v>
      </c>
      <c r="F2900" s="458">
        <v>0.123495561574265</v>
      </c>
      <c r="G2900" s="477">
        <v>91901165.222338542</v>
      </c>
      <c r="H2900" s="458">
        <v>0.27350955184558234</v>
      </c>
      <c r="I2900" s="468">
        <v>9.1297611241711252</v>
      </c>
    </row>
    <row r="2901" spans="1:9" ht="16.5" x14ac:dyDescent="0.3">
      <c r="A2901" s="477">
        <v>3137998.8957916652</v>
      </c>
      <c r="B2901" s="458">
        <v>3.2703061164789604E-2</v>
      </c>
      <c r="C2901" s="477">
        <v>8000349.4616580186</v>
      </c>
      <c r="D2901" s="458">
        <v>6.1687338280737247E-2</v>
      </c>
      <c r="E2901" s="477">
        <v>8846191.8393152896</v>
      </c>
      <c r="F2901" s="458">
        <v>9.7680512945927056E-2</v>
      </c>
      <c r="G2901" s="477">
        <v>75479167.503673837</v>
      </c>
      <c r="H2901" s="458">
        <v>0.25123885227929921</v>
      </c>
      <c r="I2901" s="468">
        <v>8.0701701458649264</v>
      </c>
    </row>
    <row r="2902" spans="1:9" ht="16.5" x14ac:dyDescent="0.3">
      <c r="A2902" s="477">
        <v>540074.05939091113</v>
      </c>
      <c r="B2902" s="458">
        <v>4.261557642997249E-2</v>
      </c>
      <c r="C2902" s="477">
        <v>10651672.03754203</v>
      </c>
      <c r="D2902" s="458">
        <v>4.9116587913988097E-2</v>
      </c>
      <c r="E2902" s="477">
        <v>9718985.9624540433</v>
      </c>
      <c r="F2902" s="458">
        <v>0.12464989246324998</v>
      </c>
      <c r="G2902" s="477">
        <v>88554066.621121824</v>
      </c>
      <c r="H2902" s="458">
        <v>0.26590347889768284</v>
      </c>
      <c r="I2902" s="468">
        <v>1.5086783477570673</v>
      </c>
    </row>
    <row r="2903" spans="1:9" ht="16.5" x14ac:dyDescent="0.3">
      <c r="A2903" s="477">
        <v>3082706.8393105986</v>
      </c>
      <c r="B2903" s="458">
        <v>3.111471567887647E-2</v>
      </c>
      <c r="C2903" s="477">
        <v>454816.41020453192</v>
      </c>
      <c r="D2903" s="458">
        <v>2.4069339531659795E-2</v>
      </c>
      <c r="E2903" s="477">
        <v>9847243.2457743064</v>
      </c>
      <c r="F2903" s="458">
        <v>0.10596385652797102</v>
      </c>
      <c r="G2903" s="477">
        <v>84792246.78889367</v>
      </c>
      <c r="H2903" s="458">
        <v>0.24411691251645129</v>
      </c>
      <c r="I2903" s="468">
        <v>12.934018577028253</v>
      </c>
    </row>
    <row r="2904" spans="1:9" ht="16.5" x14ac:dyDescent="0.3">
      <c r="A2904" s="477">
        <v>4628021.1771415221</v>
      </c>
      <c r="B2904" s="458">
        <v>8.1909128710575541E-2</v>
      </c>
      <c r="C2904" s="477">
        <v>8738584.8337667976</v>
      </c>
      <c r="D2904" s="458">
        <v>4.8894691085329178E-2</v>
      </c>
      <c r="E2904" s="477">
        <v>18852835.891930584</v>
      </c>
      <c r="F2904" s="458">
        <v>8.7626006026640502E-2</v>
      </c>
      <c r="G2904" s="477">
        <v>87152039.684800103</v>
      </c>
      <c r="H2904" s="458">
        <v>0.25595313220023885</v>
      </c>
      <c r="I2904" s="468">
        <v>1.3761989949022047</v>
      </c>
    </row>
    <row r="2905" spans="1:9" ht="16.5" x14ac:dyDescent="0.3">
      <c r="A2905" s="477">
        <v>7705534.8845370784</v>
      </c>
      <c r="B2905" s="458">
        <v>1.3999512304889494E-2</v>
      </c>
      <c r="C2905" s="477">
        <v>13199285.887168787</v>
      </c>
      <c r="D2905" s="458">
        <v>5.062438984046036E-2</v>
      </c>
      <c r="E2905" s="477">
        <v>10774596.434659155</v>
      </c>
      <c r="F2905" s="458">
        <v>0.10132114275173998</v>
      </c>
      <c r="G2905" s="477">
        <v>91523959.448750094</v>
      </c>
      <c r="H2905" s="458">
        <v>0.27820026726592628</v>
      </c>
      <c r="I2905" s="468">
        <v>6.7781791524064294</v>
      </c>
    </row>
    <row r="2906" spans="1:9" ht="16.5" x14ac:dyDescent="0.3">
      <c r="A2906" s="477">
        <v>5382197.044378561</v>
      </c>
      <c r="B2906" s="458">
        <v>3.7866499601411308E-2</v>
      </c>
      <c r="C2906" s="477">
        <v>10717650.374436473</v>
      </c>
      <c r="D2906" s="458">
        <v>4.8900080233961862E-2</v>
      </c>
      <c r="E2906" s="477">
        <v>25359758.54652717</v>
      </c>
      <c r="F2906" s="458">
        <v>9.2010881874941886E-2</v>
      </c>
      <c r="G2906" s="477">
        <v>97744924.954975978</v>
      </c>
      <c r="H2906" s="458">
        <v>0.26741992995243291</v>
      </c>
      <c r="I2906" s="468">
        <v>1.142236103799779</v>
      </c>
    </row>
    <row r="2907" spans="1:9" ht="16.5" x14ac:dyDescent="0.3">
      <c r="A2907" s="477">
        <v>3389728.7868665671</v>
      </c>
      <c r="B2907" s="458">
        <v>2.9384618253012418E-2</v>
      </c>
      <c r="C2907" s="477">
        <v>10214346.101228699</v>
      </c>
      <c r="D2907" s="458">
        <v>8.0772377928335581E-2</v>
      </c>
      <c r="E2907" s="477">
        <v>14149969.175004398</v>
      </c>
      <c r="F2907" s="458">
        <v>0.10565653759320703</v>
      </c>
      <c r="G2907" s="477">
        <v>101470191.7422538</v>
      </c>
      <c r="H2907" s="458">
        <v>0.27060884355719184</v>
      </c>
      <c r="I2907" s="468">
        <v>5.0291689467575216</v>
      </c>
    </row>
    <row r="2908" spans="1:9" ht="16.5" x14ac:dyDescent="0.3">
      <c r="A2908" s="477">
        <v>4821552.727567859</v>
      </c>
      <c r="B2908" s="458">
        <v>5.1426867804054144E-2</v>
      </c>
      <c r="C2908" s="477">
        <v>10348351.427544134</v>
      </c>
      <c r="D2908" s="458">
        <v>9.0235295870673582E-2</v>
      </c>
      <c r="E2908" s="477">
        <v>16458615.5910233</v>
      </c>
      <c r="F2908" s="458">
        <v>0.11490800584458194</v>
      </c>
      <c r="G2908" s="477">
        <v>90435422.52224654</v>
      </c>
      <c r="H2908" s="458">
        <v>0.26953620645290388</v>
      </c>
      <c r="I2908" s="468">
        <v>13.809334954490392</v>
      </c>
    </row>
    <row r="2909" spans="1:9" ht="16.5" x14ac:dyDescent="0.3">
      <c r="A2909" s="477">
        <v>6324214.8133719219</v>
      </c>
      <c r="B2909" s="458">
        <v>2.3986179573783462E-2</v>
      </c>
      <c r="C2909" s="477">
        <v>11198769.320541248</v>
      </c>
      <c r="D2909" s="458">
        <v>6.8199427812081215E-2</v>
      </c>
      <c r="E2909" s="477">
        <v>15082264.439387826</v>
      </c>
      <c r="F2909" s="458">
        <v>9.4641315033755058E-2</v>
      </c>
      <c r="G2909" s="477">
        <v>85432208.161207944</v>
      </c>
      <c r="H2909" s="458">
        <v>0.25594542226312655</v>
      </c>
      <c r="I2909" s="468">
        <v>9.2488705051060176</v>
      </c>
    </row>
    <row r="2910" spans="1:9" ht="16.5" x14ac:dyDescent="0.3">
      <c r="A2910" s="477">
        <v>5586301.744161237</v>
      </c>
      <c r="B2910" s="458">
        <v>4.3629865337914575E-2</v>
      </c>
      <c r="C2910" s="477">
        <v>12257082.880802058</v>
      </c>
      <c r="D2910" s="458">
        <v>3.5108300956075311E-2</v>
      </c>
      <c r="E2910" s="477">
        <v>22247474.168125864</v>
      </c>
      <c r="F2910" s="458">
        <v>0.1237427670277047</v>
      </c>
      <c r="G2910" s="477">
        <v>85508524.999429047</v>
      </c>
      <c r="H2910" s="458">
        <v>0.26248790949096135</v>
      </c>
      <c r="I2910" s="468">
        <v>1.7404610559205089</v>
      </c>
    </row>
    <row r="2911" spans="1:9" ht="16.5" x14ac:dyDescent="0.3">
      <c r="A2911" s="477">
        <v>9225266.241824219</v>
      </c>
      <c r="B2911" s="458">
        <v>9.9102088910681951E-2</v>
      </c>
      <c r="C2911" s="477">
        <v>7629112.1956971558</v>
      </c>
      <c r="D2911" s="458">
        <v>5.723552667216536E-2</v>
      </c>
      <c r="E2911" s="477">
        <v>14190585.147629982</v>
      </c>
      <c r="F2911" s="458">
        <v>6.8916065551438255E-2</v>
      </c>
      <c r="G2911" s="477">
        <v>81777945.447369531</v>
      </c>
      <c r="H2911" s="458">
        <v>0.27310706678296826</v>
      </c>
      <c r="I2911" s="468">
        <v>6.3582233993317949</v>
      </c>
    </row>
    <row r="2912" spans="1:9" ht="16.5" x14ac:dyDescent="0.3">
      <c r="A2912" s="477">
        <v>1785019.5865711654</v>
      </c>
      <c r="B2912" s="458">
        <v>5.052233101968695E-2</v>
      </c>
      <c r="C2912" s="477">
        <v>11298540.729507744</v>
      </c>
      <c r="D2912" s="458">
        <v>4.0120441605245416E-2</v>
      </c>
      <c r="E2912" s="477">
        <v>23079791.011496186</v>
      </c>
      <c r="F2912" s="458">
        <v>9.8210836314040373E-2</v>
      </c>
      <c r="G2912" s="477">
        <v>89295329.274716318</v>
      </c>
      <c r="H2912" s="458">
        <v>0.26856065016122899</v>
      </c>
      <c r="I2912" s="468">
        <v>10.139118298395147</v>
      </c>
    </row>
    <row r="2913" spans="1:9" ht="16.5" x14ac:dyDescent="0.3">
      <c r="A2913" s="477">
        <v>4636820.0493225921</v>
      </c>
      <c r="B2913" s="458">
        <v>3.8235058672713151E-2</v>
      </c>
      <c r="C2913" s="477">
        <v>3466082.5861806078</v>
      </c>
      <c r="D2913" s="458">
        <v>7.1664345341731162E-2</v>
      </c>
      <c r="E2913" s="477">
        <v>16305551.299302982</v>
      </c>
      <c r="F2913" s="458">
        <v>9.7629007239772747E-2</v>
      </c>
      <c r="G2913" s="477">
        <v>83965131.540953681</v>
      </c>
      <c r="H2913" s="458">
        <v>0.28043528122589589</v>
      </c>
      <c r="I2913" s="468">
        <v>4.1390057970605136</v>
      </c>
    </row>
    <row r="2914" spans="1:9" ht="16.5" x14ac:dyDescent="0.3">
      <c r="A2914" s="477">
        <v>6410275.4703208571</v>
      </c>
      <c r="B2914" s="458">
        <v>4.2871934618183616E-2</v>
      </c>
      <c r="C2914" s="477">
        <v>8155482.1087742522</v>
      </c>
      <c r="D2914" s="458">
        <v>8.1877706840622011E-2</v>
      </c>
      <c r="E2914" s="477">
        <v>21274270.39681752</v>
      </c>
      <c r="F2914" s="458">
        <v>0.12147707182070655</v>
      </c>
      <c r="G2914" s="477">
        <v>96521111.716864288</v>
      </c>
      <c r="H2914" s="458">
        <v>0.30350722307857536</v>
      </c>
      <c r="I2914" s="468">
        <v>11.19176100392462</v>
      </c>
    </row>
    <row r="2915" spans="1:9" ht="16.5" x14ac:dyDescent="0.3">
      <c r="A2915" s="477">
        <v>4198604.4583744397</v>
      </c>
      <c r="B2915" s="458">
        <v>3.3403784016029503E-2</v>
      </c>
      <c r="C2915" s="477">
        <v>9121216.707886355</v>
      </c>
      <c r="D2915" s="458">
        <v>8.6488613906605227E-2</v>
      </c>
      <c r="E2915" s="477">
        <v>22681089.965579446</v>
      </c>
      <c r="F2915" s="458">
        <v>0.10359835256118255</v>
      </c>
      <c r="G2915" s="477">
        <v>95604692.780369833</v>
      </c>
      <c r="H2915" s="458">
        <v>0.27741085065913396</v>
      </c>
      <c r="I2915" s="468">
        <v>13.943453969709001</v>
      </c>
    </row>
    <row r="2916" spans="1:9" ht="16.5" x14ac:dyDescent="0.3">
      <c r="A2916" s="477">
        <v>3480819.129792179</v>
      </c>
      <c r="B2916" s="458">
        <v>3.8394616441544294E-2</v>
      </c>
      <c r="C2916" s="477">
        <v>13004218.776471769</v>
      </c>
      <c r="D2916" s="458">
        <v>6.943586360152687E-2</v>
      </c>
      <c r="E2916" s="477">
        <v>5417277.0740720881</v>
      </c>
      <c r="F2916" s="458">
        <v>0.11559998768788371</v>
      </c>
      <c r="G2916" s="477">
        <v>90364427.082316324</v>
      </c>
      <c r="H2916" s="458">
        <v>0.28536943316450758</v>
      </c>
      <c r="I2916" s="468">
        <v>9.6120723029883237</v>
      </c>
    </row>
    <row r="2917" spans="1:9" ht="16.5" x14ac:dyDescent="0.3">
      <c r="A2917" s="477">
        <v>4259311.2018446373</v>
      </c>
      <c r="B2917" s="458">
        <v>6.0283446240780192E-2</v>
      </c>
      <c r="C2917" s="477">
        <v>6438521.7151837731</v>
      </c>
      <c r="D2917" s="458">
        <v>6.6415486371209198E-2</v>
      </c>
      <c r="E2917" s="477">
        <v>20584627.658137981</v>
      </c>
      <c r="F2917" s="458">
        <v>0.11983331781935025</v>
      </c>
      <c r="G2917" s="477">
        <v>99311000.817111</v>
      </c>
      <c r="H2917" s="458">
        <v>0.27164185296164822</v>
      </c>
      <c r="I2917" s="468">
        <v>6.2139764223691838</v>
      </c>
    </row>
    <row r="2918" spans="1:9" ht="16.5" x14ac:dyDescent="0.3">
      <c r="A2918" s="477">
        <v>4052813.7556372462</v>
      </c>
      <c r="B2918" s="458">
        <v>2.2724930684798972E-2</v>
      </c>
      <c r="C2918" s="477">
        <v>12956453.208368465</v>
      </c>
      <c r="D2918" s="458">
        <v>4.4217159138485007E-2</v>
      </c>
      <c r="E2918" s="477">
        <v>16614309.895739347</v>
      </c>
      <c r="F2918" s="458">
        <v>7.1954561136313266E-2</v>
      </c>
      <c r="G2918" s="477">
        <v>79671542.3637968</v>
      </c>
      <c r="H2918" s="458">
        <v>0.26762285785496576</v>
      </c>
      <c r="I2918" s="468">
        <v>10.760210222772608</v>
      </c>
    </row>
    <row r="2919" spans="1:9" ht="16.5" x14ac:dyDescent="0.3">
      <c r="A2919" s="477">
        <v>5902304.1121601984</v>
      </c>
      <c r="B2919" s="458">
        <v>3.6036291173910273E-2</v>
      </c>
      <c r="C2919" s="477">
        <v>-2002133.3423097136</v>
      </c>
      <c r="D2919" s="458">
        <v>4.9322638342528702E-2</v>
      </c>
      <c r="E2919" s="477">
        <v>17242610.919152398</v>
      </c>
      <c r="F2919" s="458">
        <v>9.3595746710626537E-2</v>
      </c>
      <c r="G2919" s="477">
        <v>95866003.336487085</v>
      </c>
      <c r="H2919" s="458">
        <v>0.27495743407110962</v>
      </c>
      <c r="I2919" s="468">
        <v>4.8816539093735205</v>
      </c>
    </row>
    <row r="2920" spans="1:9" ht="16.5" x14ac:dyDescent="0.3">
      <c r="A2920" s="477">
        <v>5908251.1347456267</v>
      </c>
      <c r="B2920" s="458">
        <v>2.3916421461785964E-2</v>
      </c>
      <c r="C2920" s="477">
        <v>6018077.3412052086</v>
      </c>
      <c r="D2920" s="458">
        <v>4.0423631924913606E-2</v>
      </c>
      <c r="E2920" s="477">
        <v>17782517.186016191</v>
      </c>
      <c r="F2920" s="458">
        <v>0.10853716450750861</v>
      </c>
      <c r="G2920" s="477">
        <v>91394056.377686203</v>
      </c>
      <c r="H2920" s="458">
        <v>0.27637403340017386</v>
      </c>
      <c r="I2920" s="468">
        <v>4.8054991174385826</v>
      </c>
    </row>
    <row r="2921" spans="1:9" ht="16.5" x14ac:dyDescent="0.3">
      <c r="A2921" s="477">
        <v>10116622.276581306</v>
      </c>
      <c r="B2921" s="458">
        <v>3.8909313899239573E-2</v>
      </c>
      <c r="C2921" s="477">
        <v>10185121.439774338</v>
      </c>
      <c r="D2921" s="458">
        <v>8.6823057993675512E-2</v>
      </c>
      <c r="E2921" s="477">
        <v>18701915.796555653</v>
      </c>
      <c r="F2921" s="458">
        <v>0.11733820455377164</v>
      </c>
      <c r="G2921" s="477">
        <v>73616591.680632383</v>
      </c>
      <c r="H2921" s="458">
        <v>0.26082430337284856</v>
      </c>
      <c r="I2921" s="468">
        <v>7.6757034697505206</v>
      </c>
    </row>
    <row r="2922" spans="1:9" ht="16.5" x14ac:dyDescent="0.3">
      <c r="A2922" s="477">
        <v>7105557.2844697749</v>
      </c>
      <c r="B2922" s="458">
        <v>5.5646131038846081E-2</v>
      </c>
      <c r="C2922" s="477">
        <v>4418554.7420561882</v>
      </c>
      <c r="D2922" s="458">
        <v>5.5546753273395533E-2</v>
      </c>
      <c r="E2922" s="477">
        <v>22174453.251202598</v>
      </c>
      <c r="F2922" s="458">
        <v>9.6688309554256335E-2</v>
      </c>
      <c r="G2922" s="477">
        <v>88249014.751631439</v>
      </c>
      <c r="H2922" s="458">
        <v>0.28708000195322692</v>
      </c>
      <c r="I2922" s="468">
        <v>10.676101209993075</v>
      </c>
    </row>
    <row r="2923" spans="1:9" ht="16.5" x14ac:dyDescent="0.3">
      <c r="A2923" s="477">
        <v>1573389.3166881034</v>
      </c>
      <c r="B2923" s="458">
        <v>4.405697768088257E-2</v>
      </c>
      <c r="C2923" s="477">
        <v>11527656.573877329</v>
      </c>
      <c r="D2923" s="458">
        <v>8.427899218816215E-2</v>
      </c>
      <c r="E2923" s="477">
        <v>18349689.019015513</v>
      </c>
      <c r="F2923" s="458">
        <v>0.11665237698027209</v>
      </c>
      <c r="G2923" s="477">
        <v>82818822.165679708</v>
      </c>
      <c r="H2923" s="458">
        <v>0.27779299104245947</v>
      </c>
      <c r="I2923" s="468">
        <v>5.1084954991727169</v>
      </c>
    </row>
    <row r="2924" spans="1:9" ht="16.5" x14ac:dyDescent="0.3">
      <c r="A2924" s="477">
        <v>1785393.7335064744</v>
      </c>
      <c r="B2924" s="458">
        <v>2.4217755942709696E-2</v>
      </c>
      <c r="C2924" s="477">
        <v>3220755.5892310827</v>
      </c>
      <c r="D2924" s="458">
        <v>8.2017031620654768E-2</v>
      </c>
      <c r="E2924" s="477">
        <v>16814018.711601965</v>
      </c>
      <c r="F2924" s="458">
        <v>0.12003435835976406</v>
      </c>
      <c r="G2924" s="477">
        <v>89833221.159369841</v>
      </c>
      <c r="H2924" s="458">
        <v>0.27404084714762877</v>
      </c>
      <c r="I2924" s="468">
        <v>10.014865899432857</v>
      </c>
    </row>
    <row r="2925" spans="1:9" ht="16.5" x14ac:dyDescent="0.3">
      <c r="A2925" s="477">
        <v>-1479914.4501623893</v>
      </c>
      <c r="B2925" s="458">
        <v>4.7044966403543276E-2</v>
      </c>
      <c r="C2925" s="477">
        <v>11112786.355300644</v>
      </c>
      <c r="D2925" s="458">
        <v>5.5265040769511886E-2</v>
      </c>
      <c r="E2925" s="477">
        <v>13893801.266267279</v>
      </c>
      <c r="F2925" s="458">
        <v>0.12556349821750046</v>
      </c>
      <c r="G2925" s="477">
        <v>93104117.848135829</v>
      </c>
      <c r="H2925" s="458">
        <v>0.25466336261707689</v>
      </c>
      <c r="I2925" s="468">
        <v>7.7625287745582838</v>
      </c>
    </row>
    <row r="2926" spans="1:9" ht="16.5" x14ac:dyDescent="0.3">
      <c r="A2926" s="477">
        <v>1559919.9705244761</v>
      </c>
      <c r="B2926" s="458">
        <v>2.9722583985189122E-2</v>
      </c>
      <c r="C2926" s="477">
        <v>3740723.2323659249</v>
      </c>
      <c r="D2926" s="458">
        <v>6.2375441353758498E-2</v>
      </c>
      <c r="E2926" s="477">
        <v>17200134.664108317</v>
      </c>
      <c r="F2926" s="458">
        <v>0.10428138412392185</v>
      </c>
      <c r="G2926" s="477">
        <v>90531712.720966771</v>
      </c>
      <c r="H2926" s="458">
        <v>0.32480735191930754</v>
      </c>
      <c r="I2926" s="468">
        <v>10.570472105499762</v>
      </c>
    </row>
    <row r="2927" spans="1:9" ht="16.5" x14ac:dyDescent="0.3">
      <c r="A2927" s="477">
        <v>3006098.91158034</v>
      </c>
      <c r="B2927" s="458">
        <v>4.2933418008133772E-2</v>
      </c>
      <c r="C2927" s="477">
        <v>6631886.1054961085</v>
      </c>
      <c r="D2927" s="458">
        <v>6.0569777958667581E-2</v>
      </c>
      <c r="E2927" s="477">
        <v>17568641.723809484</v>
      </c>
      <c r="F2927" s="458">
        <v>0.12574365942694765</v>
      </c>
      <c r="G2927" s="477">
        <v>78125905.221852869</v>
      </c>
      <c r="H2927" s="458">
        <v>0.31109412194897801</v>
      </c>
      <c r="I2927" s="468">
        <v>-0.50842175601530393</v>
      </c>
    </row>
    <row r="2928" spans="1:9" ht="16.5" x14ac:dyDescent="0.3">
      <c r="A2928" s="477">
        <v>10018070.22039054</v>
      </c>
      <c r="B2928" s="458">
        <v>3.8870549385747521E-2</v>
      </c>
      <c r="C2928" s="477">
        <v>9078151.7629132271</v>
      </c>
      <c r="D2928" s="458">
        <v>4.5863271006657991E-2</v>
      </c>
      <c r="E2928" s="477">
        <v>14812127.048258403</v>
      </c>
      <c r="F2928" s="458">
        <v>9.4029319368778452E-2</v>
      </c>
      <c r="G2928" s="477">
        <v>91384701.231841519</v>
      </c>
      <c r="H2928" s="458">
        <v>0.25165428026704295</v>
      </c>
      <c r="I2928" s="468">
        <v>3.8628648527034084</v>
      </c>
    </row>
    <row r="2929" spans="1:9" ht="16.5" x14ac:dyDescent="0.3">
      <c r="A2929" s="477">
        <v>7317035.5908492208</v>
      </c>
      <c r="B2929" s="458">
        <v>6.1935950288834807E-2</v>
      </c>
      <c r="C2929" s="477">
        <v>2604192.7448951495</v>
      </c>
      <c r="D2929" s="458">
        <v>5.7099757477480528E-2</v>
      </c>
      <c r="E2929" s="477">
        <v>20793771.746525656</v>
      </c>
      <c r="F2929" s="458">
        <v>0.11622715353649138</v>
      </c>
      <c r="G2929" s="477">
        <v>92040496.587297246</v>
      </c>
      <c r="H2929" s="458">
        <v>0.26206859146142936</v>
      </c>
      <c r="I2929" s="468">
        <v>8.4070926604618261</v>
      </c>
    </row>
    <row r="2930" spans="1:9" ht="16.5" x14ac:dyDescent="0.3">
      <c r="A2930" s="477">
        <v>423681.00092250656</v>
      </c>
      <c r="B2930" s="458">
        <v>4.5110916782253652E-2</v>
      </c>
      <c r="C2930" s="477">
        <v>6558793.1788403867</v>
      </c>
      <c r="D2930" s="458">
        <v>7.8460165861611308E-2</v>
      </c>
      <c r="E2930" s="477">
        <v>18724682.947559159</v>
      </c>
      <c r="F2930" s="458">
        <v>0.13278832317693867</v>
      </c>
      <c r="G2930" s="477">
        <v>104702011.96108697</v>
      </c>
      <c r="H2930" s="458">
        <v>0.26197949402253773</v>
      </c>
      <c r="I2930" s="468">
        <v>4.3317432088892707</v>
      </c>
    </row>
    <row r="2931" spans="1:9" ht="16.5" x14ac:dyDescent="0.3">
      <c r="A2931" s="477">
        <v>6007159.6804882428</v>
      </c>
      <c r="B2931" s="458">
        <v>3.146579323835752E-2</v>
      </c>
      <c r="C2931" s="477">
        <v>7839638.4074016865</v>
      </c>
      <c r="D2931" s="458">
        <v>4.6326591782948512E-2</v>
      </c>
      <c r="E2931" s="477">
        <v>19333517.579879589</v>
      </c>
      <c r="F2931" s="458">
        <v>9.8233884614381095E-2</v>
      </c>
      <c r="G2931" s="477">
        <v>91039144.150110558</v>
      </c>
      <c r="H2931" s="458">
        <v>0.29286667129680355</v>
      </c>
      <c r="I2931" s="468">
        <v>7.9695822512757912</v>
      </c>
    </row>
    <row r="2932" spans="1:9" ht="16.5" x14ac:dyDescent="0.3">
      <c r="A2932" s="477">
        <v>3618113.3775619003</v>
      </c>
      <c r="B2932" s="458">
        <v>3.6170645901276055E-2</v>
      </c>
      <c r="C2932" s="477">
        <v>11842267.294555128</v>
      </c>
      <c r="D2932" s="458">
        <v>9.0832832167475841E-2</v>
      </c>
      <c r="E2932" s="477">
        <v>16694773.847897546</v>
      </c>
      <c r="F2932" s="458">
        <v>0.10245293527895249</v>
      </c>
      <c r="G2932" s="477">
        <v>80607098.095221132</v>
      </c>
      <c r="H2932" s="458">
        <v>0.27262285624492733</v>
      </c>
      <c r="I2932" s="468">
        <v>11.721112598965977</v>
      </c>
    </row>
    <row r="2933" spans="1:9" ht="16.5" x14ac:dyDescent="0.3">
      <c r="A2933" s="477">
        <v>8786975.6480160914</v>
      </c>
      <c r="B2933" s="458">
        <v>3.4361232179425105E-2</v>
      </c>
      <c r="C2933" s="477">
        <v>8801053.1932155751</v>
      </c>
      <c r="D2933" s="458">
        <v>7.7369256537719755E-2</v>
      </c>
      <c r="E2933" s="477">
        <v>13137674.032418748</v>
      </c>
      <c r="F2933" s="458">
        <v>9.6037050251337686E-2</v>
      </c>
      <c r="G2933" s="477">
        <v>107022827.34243222</v>
      </c>
      <c r="H2933" s="458">
        <v>0.28529664048613146</v>
      </c>
      <c r="I2933" s="468">
        <v>13.744667897296045</v>
      </c>
    </row>
    <row r="2934" spans="1:9" ht="16.5" x14ac:dyDescent="0.3">
      <c r="A2934" s="477">
        <v>4043169.76901804</v>
      </c>
      <c r="B2934" s="458">
        <v>2.5501171826510349E-2</v>
      </c>
      <c r="C2934" s="477">
        <v>1908954.3312608546</v>
      </c>
      <c r="D2934" s="458">
        <v>5.534151864677006E-2</v>
      </c>
      <c r="E2934" s="477">
        <v>19372632.426834576</v>
      </c>
      <c r="F2934" s="458">
        <v>0.11214512450257308</v>
      </c>
      <c r="G2934" s="477">
        <v>104853708.31714748</v>
      </c>
      <c r="H2934" s="458">
        <v>0.26297560822751653</v>
      </c>
      <c r="I2934" s="468">
        <v>11.118087044863815</v>
      </c>
    </row>
    <row r="2935" spans="1:9" ht="16.5" x14ac:dyDescent="0.3">
      <c r="A2935" s="477">
        <v>2009881.9458028504</v>
      </c>
      <c r="B2935" s="458">
        <v>4.8774632186269429E-2</v>
      </c>
      <c r="C2935" s="477">
        <v>13299650.509085765</v>
      </c>
      <c r="D2935" s="458">
        <v>5.0783570192052707E-2</v>
      </c>
      <c r="E2935" s="477">
        <v>17118399.657117955</v>
      </c>
      <c r="F2935" s="458">
        <v>0.10272193597716783</v>
      </c>
      <c r="G2935" s="477">
        <v>90858860.120722473</v>
      </c>
      <c r="H2935" s="458">
        <v>0.26802131880857272</v>
      </c>
      <c r="I2935" s="468">
        <v>6.1119629839338243</v>
      </c>
    </row>
    <row r="2936" spans="1:9" ht="16.5" x14ac:dyDescent="0.3">
      <c r="A2936" s="477">
        <v>2375907.2887388477</v>
      </c>
      <c r="B2936" s="458">
        <v>3.0207111513801843E-2</v>
      </c>
      <c r="C2936" s="477">
        <v>1179504.9335106737</v>
      </c>
      <c r="D2936" s="458">
        <v>3.2947080674429197E-2</v>
      </c>
      <c r="E2936" s="477">
        <v>21250594.164149672</v>
      </c>
      <c r="F2936" s="458">
        <v>0.12406001628889363</v>
      </c>
      <c r="G2936" s="477">
        <v>86677193.775775462</v>
      </c>
      <c r="H2936" s="458">
        <v>0.25678041583461542</v>
      </c>
      <c r="I2936" s="468">
        <v>11.611215303100233</v>
      </c>
    </row>
    <row r="2937" spans="1:9" ht="16.5" x14ac:dyDescent="0.3">
      <c r="A2937" s="477">
        <v>4349486.4728771755</v>
      </c>
      <c r="B2937" s="458">
        <v>5.4862691012824039E-2</v>
      </c>
      <c r="C2937" s="477">
        <v>8720762.6402905174</v>
      </c>
      <c r="D2937" s="458">
        <v>5.6964802985448149E-2</v>
      </c>
      <c r="E2937" s="477">
        <v>16381436.929760797</v>
      </c>
      <c r="F2937" s="458">
        <v>0.12251302260569186</v>
      </c>
      <c r="G2937" s="477">
        <v>95665340.041612804</v>
      </c>
      <c r="H2937" s="458">
        <v>0.28547020651196076</v>
      </c>
      <c r="I2937" s="468">
        <v>7.4179883455616231</v>
      </c>
    </row>
    <row r="2938" spans="1:9" ht="16.5" x14ac:dyDescent="0.3">
      <c r="A2938" s="477">
        <v>3795501.1312701218</v>
      </c>
      <c r="B2938" s="458">
        <v>3.2202605825651931E-2</v>
      </c>
      <c r="C2938" s="477">
        <v>3461625.4827262219</v>
      </c>
      <c r="D2938" s="458">
        <v>6.638676165630919E-2</v>
      </c>
      <c r="E2938" s="477">
        <v>30499899.400404267</v>
      </c>
      <c r="F2938" s="458">
        <v>0.12359837613323066</v>
      </c>
      <c r="G2938" s="477">
        <v>97852204.223574579</v>
      </c>
      <c r="H2938" s="458">
        <v>0.26273824062819751</v>
      </c>
      <c r="I2938" s="468">
        <v>5.3425218964557732</v>
      </c>
    </row>
    <row r="2939" spans="1:9" ht="16.5" x14ac:dyDescent="0.3">
      <c r="A2939" s="477">
        <v>5584712.2988240402</v>
      </c>
      <c r="B2939" s="458">
        <v>3.3691398588565846E-2</v>
      </c>
      <c r="C2939" s="477">
        <v>11483355.985603135</v>
      </c>
      <c r="D2939" s="458">
        <v>8.7518853799447571E-2</v>
      </c>
      <c r="E2939" s="477">
        <v>22232240.239909485</v>
      </c>
      <c r="F2939" s="458">
        <v>0.15364289022005151</v>
      </c>
      <c r="G2939" s="477">
        <v>83561870.745055988</v>
      </c>
      <c r="H2939" s="458">
        <v>0.27007976675690459</v>
      </c>
      <c r="I2939" s="468">
        <v>9.7627212812693909</v>
      </c>
    </row>
    <row r="2940" spans="1:9" ht="16.5" x14ac:dyDescent="0.3">
      <c r="A2940" s="477">
        <v>5265284.3661969742</v>
      </c>
      <c r="B2940" s="458">
        <v>4.094214944380159E-2</v>
      </c>
      <c r="C2940" s="477">
        <v>12143983.371523097</v>
      </c>
      <c r="D2940" s="458">
        <v>6.7984587299245502E-2</v>
      </c>
      <c r="E2940" s="477">
        <v>22423220.594320908</v>
      </c>
      <c r="F2940" s="458">
        <v>0.13108707464374869</v>
      </c>
      <c r="G2940" s="477">
        <v>84264838.47174491</v>
      </c>
      <c r="H2940" s="458">
        <v>0.26974151354617293</v>
      </c>
      <c r="I2940" s="468">
        <v>7.554196588704901</v>
      </c>
    </row>
    <row r="2941" spans="1:9" ht="16.5" x14ac:dyDescent="0.3">
      <c r="A2941" s="477">
        <v>7801316.0127847381</v>
      </c>
      <c r="B2941" s="458">
        <v>5.7083477031228069E-2</v>
      </c>
      <c r="C2941" s="477">
        <v>4729711.2046330776</v>
      </c>
      <c r="D2941" s="458">
        <v>5.6940933102488822E-2</v>
      </c>
      <c r="E2941" s="477">
        <v>20225050.739245918</v>
      </c>
      <c r="F2941" s="458">
        <v>0.10760017602758976</v>
      </c>
      <c r="G2941" s="477">
        <v>106541371.66591685</v>
      </c>
      <c r="H2941" s="458">
        <v>0.27506486881186287</v>
      </c>
      <c r="I2941" s="468">
        <v>10.616972924179141</v>
      </c>
    </row>
    <row r="2942" spans="1:9" ht="16.5" x14ac:dyDescent="0.3">
      <c r="A2942" s="477">
        <v>6335555.1645126296</v>
      </c>
      <c r="B2942" s="458">
        <v>7.0736295626034229E-2</v>
      </c>
      <c r="C2942" s="477">
        <v>9694353.2372042444</v>
      </c>
      <c r="D2942" s="458">
        <v>5.3909141852830134E-2</v>
      </c>
      <c r="E2942" s="477">
        <v>13196391.315839414</v>
      </c>
      <c r="F2942" s="458">
        <v>0.11903908640696081</v>
      </c>
      <c r="G2942" s="477">
        <v>98917121.689748123</v>
      </c>
      <c r="H2942" s="458">
        <v>0.26514472600226013</v>
      </c>
      <c r="I2942" s="468">
        <v>11.860721359835749</v>
      </c>
    </row>
    <row r="2943" spans="1:9" ht="16.5" x14ac:dyDescent="0.3">
      <c r="A2943" s="477">
        <v>1273610.8533761958</v>
      </c>
      <c r="B2943" s="458">
        <v>4.1723345048002791E-2</v>
      </c>
      <c r="C2943" s="477">
        <v>11070129.17598602</v>
      </c>
      <c r="D2943" s="458">
        <v>1.8230938056602142E-2</v>
      </c>
      <c r="E2943" s="477">
        <v>13482259.427892212</v>
      </c>
      <c r="F2943" s="458">
        <v>0.10968605823440214</v>
      </c>
      <c r="G2943" s="477">
        <v>91360572.12669304</v>
      </c>
      <c r="H2943" s="458">
        <v>0.26003136229854773</v>
      </c>
      <c r="I2943" s="468">
        <v>7.776112514665777</v>
      </c>
    </row>
    <row r="2944" spans="1:9" ht="16.5" x14ac:dyDescent="0.3">
      <c r="A2944" s="477">
        <v>4431971.4607558697</v>
      </c>
      <c r="B2944" s="458">
        <v>5.7958579982175795E-2</v>
      </c>
      <c r="C2944" s="477">
        <v>11678485.599060124</v>
      </c>
      <c r="D2944" s="458">
        <v>7.1468880392126843E-2</v>
      </c>
      <c r="E2944" s="477">
        <v>21831368.526620109</v>
      </c>
      <c r="F2944" s="458">
        <v>0.11177143115906985</v>
      </c>
      <c r="G2944" s="477">
        <v>84953022.045725271</v>
      </c>
      <c r="H2944" s="458">
        <v>0.25827768975440701</v>
      </c>
      <c r="I2944" s="468">
        <v>9.6919028489985219</v>
      </c>
    </row>
    <row r="2945" spans="1:9" ht="16.5" x14ac:dyDescent="0.3">
      <c r="A2945" s="477">
        <v>7240389.3299976597</v>
      </c>
      <c r="B2945" s="458">
        <v>2.5444696878051287E-2</v>
      </c>
      <c r="C2945" s="477">
        <v>4751675.634226759</v>
      </c>
      <c r="D2945" s="458">
        <v>7.5011094777745813E-2</v>
      </c>
      <c r="E2945" s="477">
        <v>11873487.095854212</v>
      </c>
      <c r="F2945" s="458">
        <v>9.5998477132765991E-2</v>
      </c>
      <c r="G2945" s="477">
        <v>89152492.170354962</v>
      </c>
      <c r="H2945" s="458">
        <v>0.26890199031170381</v>
      </c>
      <c r="I2945" s="468">
        <v>8.3633539370912082</v>
      </c>
    </row>
    <row r="2946" spans="1:9" ht="16.5" x14ac:dyDescent="0.3">
      <c r="A2946" s="477">
        <v>5880195.1675704224</v>
      </c>
      <c r="B2946" s="458">
        <v>4.14451172745538E-2</v>
      </c>
      <c r="C2946" s="477">
        <v>1444081.7606632954</v>
      </c>
      <c r="D2946" s="458">
        <v>5.5192471687181222E-2</v>
      </c>
      <c r="E2946" s="477">
        <v>15951952.667930057</v>
      </c>
      <c r="F2946" s="458">
        <v>0.1009396985881752</v>
      </c>
      <c r="G2946" s="477">
        <v>112202646.63631828</v>
      </c>
      <c r="H2946" s="458">
        <v>0.26513812748695842</v>
      </c>
      <c r="I2946" s="468">
        <v>9.2949197782901525</v>
      </c>
    </row>
    <row r="2947" spans="1:9" ht="16.5" x14ac:dyDescent="0.3">
      <c r="A2947" s="477">
        <v>4546779.1896666428</v>
      </c>
      <c r="B2947" s="458">
        <v>1.9975584864118323E-2</v>
      </c>
      <c r="C2947" s="477">
        <v>7828039.5535628693</v>
      </c>
      <c r="D2947" s="458">
        <v>7.1023324116223252E-2</v>
      </c>
      <c r="E2947" s="477">
        <v>18879867.638039157</v>
      </c>
      <c r="F2947" s="458">
        <v>0.10208406359017497</v>
      </c>
      <c r="G2947" s="477">
        <v>86332549.136438847</v>
      </c>
      <c r="H2947" s="458">
        <v>0.25671346718061816</v>
      </c>
      <c r="I2947" s="468">
        <v>5.9218201318150445</v>
      </c>
    </row>
    <row r="2948" spans="1:9" ht="16.5" x14ac:dyDescent="0.3">
      <c r="A2948" s="477">
        <v>8937737.469530452</v>
      </c>
      <c r="B2948" s="458">
        <v>8.2824934936543304E-2</v>
      </c>
      <c r="C2948" s="477">
        <v>18156778.225990221</v>
      </c>
      <c r="D2948" s="458">
        <v>7.9803705372348821E-2</v>
      </c>
      <c r="E2948" s="477">
        <v>21173760.748060804</v>
      </c>
      <c r="F2948" s="458">
        <v>0.10913557974296673</v>
      </c>
      <c r="G2948" s="477">
        <v>93220479.55208531</v>
      </c>
      <c r="H2948" s="458">
        <v>0.27676038614332721</v>
      </c>
      <c r="I2948" s="468">
        <v>6.7687198528344945</v>
      </c>
    </row>
    <row r="2949" spans="1:9" ht="16.5" x14ac:dyDescent="0.3">
      <c r="A2949" s="477">
        <v>10230388.576931747</v>
      </c>
      <c r="B2949" s="458">
        <v>2.856229043346592E-2</v>
      </c>
      <c r="C2949" s="477">
        <v>7537822.0705239298</v>
      </c>
      <c r="D2949" s="458">
        <v>5.3169030315742827E-2</v>
      </c>
      <c r="E2949" s="477">
        <v>13643850.79155837</v>
      </c>
      <c r="F2949" s="458">
        <v>0.10623908488260581</v>
      </c>
      <c r="G2949" s="477">
        <v>102846108.44575383</v>
      </c>
      <c r="H2949" s="458">
        <v>0.26101570863244983</v>
      </c>
      <c r="I2949" s="468">
        <v>8.3375255735618108</v>
      </c>
    </row>
    <row r="2950" spans="1:9" ht="16.5" x14ac:dyDescent="0.3">
      <c r="A2950" s="477">
        <v>7735986.4133350383</v>
      </c>
      <c r="B2950" s="458">
        <v>5.2160164573103351E-2</v>
      </c>
      <c r="C2950" s="477">
        <v>8231550.0106005315</v>
      </c>
      <c r="D2950" s="458">
        <v>7.6186318871682035E-2</v>
      </c>
      <c r="E2950" s="477">
        <v>12401497.06544452</v>
      </c>
      <c r="F2950" s="458">
        <v>0.1191512014090752</v>
      </c>
      <c r="G2950" s="477">
        <v>96775637.69920966</v>
      </c>
      <c r="H2950" s="458">
        <v>0.27745811988165126</v>
      </c>
      <c r="I2950" s="468">
        <v>9.5329317542106953</v>
      </c>
    </row>
    <row r="2951" spans="1:9" ht="16.5" x14ac:dyDescent="0.3">
      <c r="A2951" s="477">
        <v>4700446.8862391924</v>
      </c>
      <c r="B2951" s="458">
        <v>5.6369173759112101E-2</v>
      </c>
      <c r="C2951" s="477">
        <v>3757311.8196897693</v>
      </c>
      <c r="D2951" s="458">
        <v>6.2603195299981262E-2</v>
      </c>
      <c r="E2951" s="477">
        <v>18770892.618950509</v>
      </c>
      <c r="F2951" s="458">
        <v>0.1186563786832211</v>
      </c>
      <c r="G2951" s="477">
        <v>97724924.384585917</v>
      </c>
      <c r="H2951" s="458">
        <v>0.25833059626963673</v>
      </c>
      <c r="I2951" s="468">
        <v>7.4717460769768511</v>
      </c>
    </row>
    <row r="2952" spans="1:9" ht="16.5" x14ac:dyDescent="0.3">
      <c r="A2952" s="477">
        <v>2407720.5511919917</v>
      </c>
      <c r="B2952" s="458">
        <v>3.7195850190759883E-2</v>
      </c>
      <c r="C2952" s="477">
        <v>6305677.2317493921</v>
      </c>
      <c r="D2952" s="458">
        <v>6.2658006571357561E-2</v>
      </c>
      <c r="E2952" s="477">
        <v>23008242.148799226</v>
      </c>
      <c r="F2952" s="458">
        <v>0.13154552079330117</v>
      </c>
      <c r="G2952" s="477">
        <v>85559651.091254115</v>
      </c>
      <c r="H2952" s="458">
        <v>0.26401197756107875</v>
      </c>
      <c r="I2952" s="468">
        <v>12.92173992745793</v>
      </c>
    </row>
    <row r="2953" spans="1:9" ht="16.5" x14ac:dyDescent="0.3">
      <c r="A2953" s="477">
        <v>758817.63978870003</v>
      </c>
      <c r="B2953" s="458">
        <v>3.8667827504101027E-2</v>
      </c>
      <c r="C2953" s="477">
        <v>4178276.348303908</v>
      </c>
      <c r="D2953" s="458">
        <v>0.1207335829308247</v>
      </c>
      <c r="E2953" s="477">
        <v>18534323.822645344</v>
      </c>
      <c r="F2953" s="458">
        <v>9.6582926901277011E-2</v>
      </c>
      <c r="G2953" s="477">
        <v>86543608.341291487</v>
      </c>
      <c r="H2953" s="458">
        <v>0.27967122883817686</v>
      </c>
      <c r="I2953" s="468">
        <v>-0.18974730875653911</v>
      </c>
    </row>
    <row r="2954" spans="1:9" ht="16.5" x14ac:dyDescent="0.3">
      <c r="A2954" s="477">
        <v>8098417.8349455697</v>
      </c>
      <c r="B2954" s="458">
        <v>3.883531893742731E-2</v>
      </c>
      <c r="C2954" s="477">
        <v>7857865.5648523616</v>
      </c>
      <c r="D2954" s="458">
        <v>3.8513825960505788E-2</v>
      </c>
      <c r="E2954" s="477">
        <v>16462128.468817344</v>
      </c>
      <c r="F2954" s="458">
        <v>0.11843960255307184</v>
      </c>
      <c r="G2954" s="477">
        <v>97627564.892328992</v>
      </c>
      <c r="H2954" s="458">
        <v>0.25381299262626422</v>
      </c>
      <c r="I2954" s="468">
        <v>9.8439889929085993</v>
      </c>
    </row>
    <row r="2955" spans="1:9" ht="16.5" x14ac:dyDescent="0.3">
      <c r="A2955" s="477">
        <v>11136652.811154742</v>
      </c>
      <c r="B2955" s="458">
        <v>3.099224579479154E-2</v>
      </c>
      <c r="C2955" s="477">
        <v>6396001.0307713337</v>
      </c>
      <c r="D2955" s="458">
        <v>8.9883020899946375E-2</v>
      </c>
      <c r="E2955" s="477">
        <v>16957793.602854308</v>
      </c>
      <c r="F2955" s="458">
        <v>7.0910948157344E-2</v>
      </c>
      <c r="G2955" s="477">
        <v>77888103.793865412</v>
      </c>
      <c r="H2955" s="458">
        <v>0.29954710804185791</v>
      </c>
      <c r="I2955" s="468">
        <v>8.680123480244843</v>
      </c>
    </row>
    <row r="2956" spans="1:9" ht="16.5" x14ac:dyDescent="0.3">
      <c r="A2956" s="477">
        <v>6365136.5827792529</v>
      </c>
      <c r="B2956" s="458">
        <v>4.6244585608770761E-2</v>
      </c>
      <c r="C2956" s="477">
        <v>5131810.7945859479</v>
      </c>
      <c r="D2956" s="458">
        <v>5.4373713616358677E-2</v>
      </c>
      <c r="E2956" s="477">
        <v>16520519.815137485</v>
      </c>
      <c r="F2956" s="458">
        <v>0.10619886640141862</v>
      </c>
      <c r="G2956" s="477">
        <v>82750456.451423779</v>
      </c>
      <c r="H2956" s="458">
        <v>0.26335404386491224</v>
      </c>
      <c r="I2956" s="468">
        <v>7.6115735839582577</v>
      </c>
    </row>
    <row r="2957" spans="1:9" ht="16.5" x14ac:dyDescent="0.3">
      <c r="A2957" s="477">
        <v>3280888.6631580382</v>
      </c>
      <c r="B2957" s="458">
        <v>4.9603651985208108E-2</v>
      </c>
      <c r="C2957" s="477">
        <v>7952677.1740991157</v>
      </c>
      <c r="D2957" s="458">
        <v>9.6879529357707828E-2</v>
      </c>
      <c r="E2957" s="477">
        <v>12341332.332098275</v>
      </c>
      <c r="F2957" s="458">
        <v>0.10093920024652947</v>
      </c>
      <c r="G2957" s="477">
        <v>97217623.985105827</v>
      </c>
      <c r="H2957" s="458">
        <v>0.2771188590343574</v>
      </c>
      <c r="I2957" s="468">
        <v>7.2946115852934792</v>
      </c>
    </row>
    <row r="2958" spans="1:9" ht="16.5" x14ac:dyDescent="0.3">
      <c r="A2958" s="477">
        <v>5704919.6857819203</v>
      </c>
      <c r="B2958" s="458">
        <v>3.0610807072505963E-2</v>
      </c>
      <c r="C2958" s="477">
        <v>10157822.038843201</v>
      </c>
      <c r="D2958" s="458">
        <v>6.7880431104561323E-2</v>
      </c>
      <c r="E2958" s="477">
        <v>17342556.899860956</v>
      </c>
      <c r="F2958" s="458">
        <v>0.10346603134288546</v>
      </c>
      <c r="G2958" s="477">
        <v>97531130.56074509</v>
      </c>
      <c r="H2958" s="458">
        <v>0.25932481027652643</v>
      </c>
      <c r="I2958" s="468">
        <v>9.2988237150124267</v>
      </c>
    </row>
    <row r="2959" spans="1:9" ht="16.5" x14ac:dyDescent="0.3">
      <c r="A2959" s="477">
        <v>4323986.3617607541</v>
      </c>
      <c r="B2959" s="458">
        <v>4.9778730675845484E-2</v>
      </c>
      <c r="C2959" s="477">
        <v>10230316.71395606</v>
      </c>
      <c r="D2959" s="458">
        <v>5.7166163117465141E-2</v>
      </c>
      <c r="E2959" s="477">
        <v>14870783.367008233</v>
      </c>
      <c r="F2959" s="458">
        <v>0.10824204280269245</v>
      </c>
      <c r="G2959" s="477">
        <v>100240554.01739873</v>
      </c>
      <c r="H2959" s="458">
        <v>0.26183632975505189</v>
      </c>
      <c r="I2959" s="468">
        <v>4.4143388449809375</v>
      </c>
    </row>
    <row r="2960" spans="1:9" ht="16.5" x14ac:dyDescent="0.3">
      <c r="A2960" s="477">
        <v>7701399.4958757851</v>
      </c>
      <c r="B2960" s="458">
        <v>2.7702570147555505E-2</v>
      </c>
      <c r="C2960" s="477">
        <v>7688275.5643967781</v>
      </c>
      <c r="D2960" s="458">
        <v>5.5126306567550687E-2</v>
      </c>
      <c r="E2960" s="477">
        <v>23147137.47237334</v>
      </c>
      <c r="F2960" s="458">
        <v>0.10644319866669427</v>
      </c>
      <c r="G2960" s="477">
        <v>88708712.182595417</v>
      </c>
      <c r="H2960" s="458">
        <v>0.26027482040401928</v>
      </c>
      <c r="I2960" s="468">
        <v>9.4185215364623005</v>
      </c>
    </row>
    <row r="2961" spans="1:9" ht="16.5" x14ac:dyDescent="0.3">
      <c r="A2961" s="477">
        <v>4939705.7895295601</v>
      </c>
      <c r="B2961" s="458">
        <v>3.2950983552664015E-2</v>
      </c>
      <c r="C2961" s="477">
        <v>11022358.195852235</v>
      </c>
      <c r="D2961" s="458">
        <v>3.7053700798688194E-2</v>
      </c>
      <c r="E2961" s="477">
        <v>10151190.28079153</v>
      </c>
      <c r="F2961" s="458">
        <v>0.12974513892187267</v>
      </c>
      <c r="G2961" s="477">
        <v>75112849.228317395</v>
      </c>
      <c r="H2961" s="458">
        <v>0.26618907625445409</v>
      </c>
      <c r="I2961" s="468">
        <v>12.085388459774126</v>
      </c>
    </row>
    <row r="2962" spans="1:9" ht="16.5" x14ac:dyDescent="0.3">
      <c r="A2962" s="477">
        <v>1563112.9693547897</v>
      </c>
      <c r="B2962" s="458">
        <v>3.9263644421032362E-2</v>
      </c>
      <c r="C2962" s="477">
        <v>16252517.113991022</v>
      </c>
      <c r="D2962" s="458">
        <v>7.3750191583833002E-2</v>
      </c>
      <c r="E2962" s="477">
        <v>21153869.358564083</v>
      </c>
      <c r="F2962" s="458">
        <v>0.11863168811282354</v>
      </c>
      <c r="G2962" s="477">
        <v>87888806.137458473</v>
      </c>
      <c r="H2962" s="458">
        <v>0.26308671432205877</v>
      </c>
      <c r="I2962" s="468">
        <v>5.3729488542672232</v>
      </c>
    </row>
    <row r="2963" spans="1:9" ht="16.5" x14ac:dyDescent="0.3">
      <c r="A2963" s="477">
        <v>5278141.0915429844</v>
      </c>
      <c r="B2963" s="458">
        <v>3.1959534724008032E-2</v>
      </c>
      <c r="C2963" s="477">
        <v>9258142.9962825943</v>
      </c>
      <c r="D2963" s="458">
        <v>6.5102962562870736E-2</v>
      </c>
      <c r="E2963" s="477">
        <v>15693347.35204507</v>
      </c>
      <c r="F2963" s="458">
        <v>0.10643379153588528</v>
      </c>
      <c r="G2963" s="477">
        <v>93025360.042998508</v>
      </c>
      <c r="H2963" s="458">
        <v>0.27313952212355108</v>
      </c>
      <c r="I2963" s="468">
        <v>7.3363808102969204</v>
      </c>
    </row>
    <row r="2964" spans="1:9" ht="16.5" x14ac:dyDescent="0.3">
      <c r="A2964" s="477">
        <v>5512256.1582219303</v>
      </c>
      <c r="B2964" s="458">
        <v>2.6637044105422669E-2</v>
      </c>
      <c r="C2964" s="477">
        <v>-1578240.8100353652</v>
      </c>
      <c r="D2964" s="458">
        <v>8.9972281467995519E-2</v>
      </c>
      <c r="E2964" s="477">
        <v>23111590.707688313</v>
      </c>
      <c r="F2964" s="458">
        <v>0.12461177419123737</v>
      </c>
      <c r="G2964" s="477">
        <v>80611649.157224864</v>
      </c>
      <c r="H2964" s="458">
        <v>0.26883793880557216</v>
      </c>
      <c r="I2964" s="468">
        <v>7.2605055036664927</v>
      </c>
    </row>
    <row r="2965" spans="1:9" ht="16.5" x14ac:dyDescent="0.3">
      <c r="A2965" s="477">
        <v>5783217.3924552184</v>
      </c>
      <c r="B2965" s="458">
        <v>2.85772894800016E-2</v>
      </c>
      <c r="C2965" s="477">
        <v>8518033.8756533302</v>
      </c>
      <c r="D2965" s="458">
        <v>5.6663451683579558E-2</v>
      </c>
      <c r="E2965" s="477">
        <v>18162972.400418714</v>
      </c>
      <c r="F2965" s="458">
        <v>9.3869401568137611E-2</v>
      </c>
      <c r="G2965" s="477">
        <v>90623797.891939551</v>
      </c>
      <c r="H2965" s="458">
        <v>0.25704106180563091</v>
      </c>
      <c r="I2965" s="468">
        <v>3.5564027855949458</v>
      </c>
    </row>
    <row r="2966" spans="1:9" ht="16.5" x14ac:dyDescent="0.3">
      <c r="A2966" s="477">
        <v>8559081.109747313</v>
      </c>
      <c r="B2966" s="458">
        <v>4.4404377919930793E-2</v>
      </c>
      <c r="C2966" s="477">
        <v>5677535.5973664662</v>
      </c>
      <c r="D2966" s="458">
        <v>8.9165471953089659E-2</v>
      </c>
      <c r="E2966" s="477">
        <v>20234699.819121845</v>
      </c>
      <c r="F2966" s="458">
        <v>9.5853690561387594E-2</v>
      </c>
      <c r="G2966" s="477">
        <v>95332714.669492349</v>
      </c>
      <c r="H2966" s="458">
        <v>0.29849106812447856</v>
      </c>
      <c r="I2966" s="468">
        <v>15.627304290307602</v>
      </c>
    </row>
    <row r="2967" spans="1:9" ht="16.5" x14ac:dyDescent="0.3">
      <c r="A2967" s="477">
        <v>1524952.3267558285</v>
      </c>
      <c r="B2967" s="458">
        <v>4.1916410230590673E-2</v>
      </c>
      <c r="C2967" s="477">
        <v>7355086.3702033898</v>
      </c>
      <c r="D2967" s="458">
        <v>5.030964347202227E-2</v>
      </c>
      <c r="E2967" s="477">
        <v>16983976.1080072</v>
      </c>
      <c r="F2967" s="458">
        <v>0.12105902927180456</v>
      </c>
      <c r="G2967" s="477">
        <v>90434390.403773621</v>
      </c>
      <c r="H2967" s="458">
        <v>0.28135042781846198</v>
      </c>
      <c r="I2967" s="468">
        <v>3.1621515155183495</v>
      </c>
    </row>
    <row r="2968" spans="1:9" ht="16.5" x14ac:dyDescent="0.3">
      <c r="A2968" s="477">
        <v>5956785.8150738385</v>
      </c>
      <c r="B2968" s="458">
        <v>9.5466451041760436E-2</v>
      </c>
      <c r="C2968" s="477">
        <v>3083014.0673225983</v>
      </c>
      <c r="D2968" s="458">
        <v>5.6460245472179871E-2</v>
      </c>
      <c r="E2968" s="477">
        <v>15428139.026391538</v>
      </c>
      <c r="F2968" s="458">
        <v>9.250460256080606E-2</v>
      </c>
      <c r="G2968" s="477">
        <v>89142596.934658378</v>
      </c>
      <c r="H2968" s="458">
        <v>0.26749494225613235</v>
      </c>
      <c r="I2968" s="468">
        <v>12.486197312817469</v>
      </c>
    </row>
    <row r="2969" spans="1:9" ht="16.5" x14ac:dyDescent="0.3">
      <c r="A2969" s="477">
        <v>5829627.7968677999</v>
      </c>
      <c r="B2969" s="458">
        <v>3.6313308200063066E-2</v>
      </c>
      <c r="C2969" s="477">
        <v>8873664.3194685373</v>
      </c>
      <c r="D2969" s="458">
        <v>6.347532244028331E-2</v>
      </c>
      <c r="E2969" s="477">
        <v>15263251.522307295</v>
      </c>
      <c r="F2969" s="458">
        <v>0.11555844927362258</v>
      </c>
      <c r="G2969" s="477">
        <v>91275176.137401149</v>
      </c>
      <c r="H2969" s="458">
        <v>0.27683433897979759</v>
      </c>
      <c r="I2969" s="468">
        <v>0.92988663444991904</v>
      </c>
    </row>
    <row r="2970" spans="1:9" ht="16.5" x14ac:dyDescent="0.3">
      <c r="A2970" s="477">
        <v>7204845.7527822768</v>
      </c>
      <c r="B2970" s="458">
        <v>5.812715939780011E-2</v>
      </c>
      <c r="C2970" s="477">
        <v>5720255.7391456114</v>
      </c>
      <c r="D2970" s="458">
        <v>4.2710961978995376E-2</v>
      </c>
      <c r="E2970" s="477">
        <v>14928051.77029825</v>
      </c>
      <c r="F2970" s="458">
        <v>8.2303861060586403E-2</v>
      </c>
      <c r="G2970" s="477">
        <v>86143782.895530745</v>
      </c>
      <c r="H2970" s="458">
        <v>0.27458390495349638</v>
      </c>
      <c r="I2970" s="468">
        <v>8.848601146798849</v>
      </c>
    </row>
    <row r="2971" spans="1:9" ht="16.5" x14ac:dyDescent="0.3">
      <c r="A2971" s="477">
        <v>9478006.1173530687</v>
      </c>
      <c r="B2971" s="458">
        <v>2.8478727695020023E-2</v>
      </c>
      <c r="C2971" s="477">
        <v>2520989.9720078479</v>
      </c>
      <c r="D2971" s="458">
        <v>4.5190191352895148E-2</v>
      </c>
      <c r="E2971" s="477">
        <v>9952778.5842682421</v>
      </c>
      <c r="F2971" s="458">
        <v>0.12633467574052659</v>
      </c>
      <c r="G2971" s="477">
        <v>89618191.1944765</v>
      </c>
      <c r="H2971" s="458">
        <v>0.26961514473287695</v>
      </c>
      <c r="I2971" s="468">
        <v>9.5661314231059684</v>
      </c>
    </row>
    <row r="2972" spans="1:9" ht="16.5" x14ac:dyDescent="0.3">
      <c r="A2972" s="477">
        <v>5219391.4945458267</v>
      </c>
      <c r="B2972" s="458">
        <v>4.7271841258324843E-2</v>
      </c>
      <c r="C2972" s="477">
        <v>12387480.792821782</v>
      </c>
      <c r="D2972" s="458">
        <v>5.7940800611849586E-2</v>
      </c>
      <c r="E2972" s="477">
        <v>19530798.515152153</v>
      </c>
      <c r="F2972" s="458">
        <v>0.1140181717132851</v>
      </c>
      <c r="G2972" s="477">
        <v>86937377.191741139</v>
      </c>
      <c r="H2972" s="458">
        <v>0.27510442317067829</v>
      </c>
      <c r="I2972" s="468">
        <v>9.8317914665128701</v>
      </c>
    </row>
    <row r="2973" spans="1:9" ht="16.5" x14ac:dyDescent="0.3">
      <c r="A2973" s="477">
        <v>8319485.8130024746</v>
      </c>
      <c r="B2973" s="458">
        <v>4.3144807147004416E-2</v>
      </c>
      <c r="C2973" s="477">
        <v>9217914.429396024</v>
      </c>
      <c r="D2973" s="458">
        <v>5.2802431479662459E-2</v>
      </c>
      <c r="E2973" s="477">
        <v>15203552.904002646</v>
      </c>
      <c r="F2973" s="458">
        <v>0.15799626969897673</v>
      </c>
      <c r="G2973" s="477">
        <v>98224874.027951285</v>
      </c>
      <c r="H2973" s="458">
        <v>0.28498676390934508</v>
      </c>
      <c r="I2973" s="468">
        <v>-1.3920151043694631</v>
      </c>
    </row>
    <row r="2974" spans="1:9" ht="16.5" x14ac:dyDescent="0.3">
      <c r="A2974" s="477">
        <v>4186015.1849231273</v>
      </c>
      <c r="B2974" s="458">
        <v>2.1902606883639208E-3</v>
      </c>
      <c r="C2974" s="477">
        <v>4658674.3304052353</v>
      </c>
      <c r="D2974" s="458">
        <v>9.0761799537796728E-2</v>
      </c>
      <c r="E2974" s="477">
        <v>21423204.751868632</v>
      </c>
      <c r="F2974" s="458">
        <v>0.12647976051864873</v>
      </c>
      <c r="G2974" s="477">
        <v>79994062.454431862</v>
      </c>
      <c r="H2974" s="458">
        <v>0.26711253360796605</v>
      </c>
      <c r="I2974" s="468">
        <v>2.8370872775547618</v>
      </c>
    </row>
    <row r="2975" spans="1:9" ht="16.5" x14ac:dyDescent="0.3">
      <c r="A2975" s="477">
        <v>5062483.245822208</v>
      </c>
      <c r="B2975" s="458">
        <v>4.2450878774143108E-2</v>
      </c>
      <c r="C2975" s="477">
        <v>3294446.0081759985</v>
      </c>
      <c r="D2975" s="458">
        <v>6.3383466594814974E-2</v>
      </c>
      <c r="E2975" s="477">
        <v>20393134.197813105</v>
      </c>
      <c r="F2975" s="458">
        <v>0.12477179826144758</v>
      </c>
      <c r="G2975" s="477">
        <v>92215346.300832823</v>
      </c>
      <c r="H2975" s="458">
        <v>0.26052591531401159</v>
      </c>
      <c r="I2975" s="468">
        <v>1.525824406387831</v>
      </c>
    </row>
    <row r="2976" spans="1:9" ht="16.5" x14ac:dyDescent="0.3">
      <c r="A2976" s="477">
        <v>6257837.0658958964</v>
      </c>
      <c r="B2976" s="458">
        <v>6.7212663022209851E-2</v>
      </c>
      <c r="C2976" s="477">
        <v>8125585.8129632939</v>
      </c>
      <c r="D2976" s="458">
        <v>5.387736746239602E-2</v>
      </c>
      <c r="E2976" s="477">
        <v>7192825.2599409726</v>
      </c>
      <c r="F2976" s="458">
        <v>0.10424844771222563</v>
      </c>
      <c r="G2976" s="477">
        <v>84798294.556761831</v>
      </c>
      <c r="H2976" s="458">
        <v>0.25218101788197878</v>
      </c>
      <c r="I2976" s="468">
        <v>6.4447133047832228</v>
      </c>
    </row>
    <row r="2977" spans="1:9" ht="16.5" x14ac:dyDescent="0.3">
      <c r="A2977" s="477">
        <v>6417666.2740514036</v>
      </c>
      <c r="B2977" s="458">
        <v>4.7983023838484851E-2</v>
      </c>
      <c r="C2977" s="477">
        <v>12452885.637903195</v>
      </c>
      <c r="D2977" s="458">
        <v>4.6382387186433949E-2</v>
      </c>
      <c r="E2977" s="477">
        <v>23374837.411102735</v>
      </c>
      <c r="F2977" s="458">
        <v>0.143086150482995</v>
      </c>
      <c r="G2977" s="477">
        <v>79885454.874654949</v>
      </c>
      <c r="H2977" s="458">
        <v>0.2722308382675771</v>
      </c>
      <c r="I2977" s="468">
        <v>8.5207840002212087</v>
      </c>
    </row>
    <row r="2978" spans="1:9" ht="16.5" x14ac:dyDescent="0.3">
      <c r="A2978" s="477">
        <v>4965208.5354662091</v>
      </c>
      <c r="B2978" s="458">
        <v>2.8640726001331274E-2</v>
      </c>
      <c r="C2978" s="477">
        <v>9677864.2091764864</v>
      </c>
      <c r="D2978" s="458">
        <v>6.8493858894377757E-2</v>
      </c>
      <c r="E2978" s="477">
        <v>10259294.90580414</v>
      </c>
      <c r="F2978" s="458">
        <v>0.10762110895411214</v>
      </c>
      <c r="G2978" s="477">
        <v>86381834.906691581</v>
      </c>
      <c r="H2978" s="458">
        <v>0.26827177800948721</v>
      </c>
      <c r="I2978" s="468">
        <v>7.7959417362692243</v>
      </c>
    </row>
    <row r="2979" spans="1:9" ht="16.5" x14ac:dyDescent="0.3">
      <c r="A2979" s="477">
        <v>3803123.7939185286</v>
      </c>
      <c r="B2979" s="458">
        <v>2.7849899355513186E-2</v>
      </c>
      <c r="C2979" s="477">
        <v>14387320.519670203</v>
      </c>
      <c r="D2979" s="458">
        <v>6.2297861886815076E-2</v>
      </c>
      <c r="E2979" s="477">
        <v>17907846.377619792</v>
      </c>
      <c r="F2979" s="458">
        <v>0.10652490525245106</v>
      </c>
      <c r="G2979" s="477">
        <v>82297132.584350079</v>
      </c>
      <c r="H2979" s="458">
        <v>0.27644762845293314</v>
      </c>
      <c r="I2979" s="468">
        <v>17.322867581832583</v>
      </c>
    </row>
    <row r="2980" spans="1:9" ht="16.5" x14ac:dyDescent="0.3">
      <c r="A2980" s="477">
        <v>4004841.8850823734</v>
      </c>
      <c r="B2980" s="458">
        <v>7.0664950795751524E-2</v>
      </c>
      <c r="C2980" s="477">
        <v>8789747.1606329307</v>
      </c>
      <c r="D2980" s="458">
        <v>5.123821237826065E-2</v>
      </c>
      <c r="E2980" s="477">
        <v>21608545.241904493</v>
      </c>
      <c r="F2980" s="458">
        <v>0.10630263519128547</v>
      </c>
      <c r="G2980" s="477">
        <v>92431757.000339866</v>
      </c>
      <c r="H2980" s="458">
        <v>0.27573337031581291</v>
      </c>
      <c r="I2980" s="468">
        <v>6.0138841603094431</v>
      </c>
    </row>
    <row r="2981" spans="1:9" ht="16.5" x14ac:dyDescent="0.3">
      <c r="A2981" s="477">
        <v>3652222.316061636</v>
      </c>
      <c r="B2981" s="458">
        <v>7.0810390260446221E-2</v>
      </c>
      <c r="C2981" s="477">
        <v>11348046.486337552</v>
      </c>
      <c r="D2981" s="458">
        <v>6.9797462350760231E-2</v>
      </c>
      <c r="E2981" s="477">
        <v>20742178.807749547</v>
      </c>
      <c r="F2981" s="458">
        <v>8.8121991651912923E-2</v>
      </c>
      <c r="G2981" s="477">
        <v>103728918.97537926</v>
      </c>
      <c r="H2981" s="458">
        <v>0.26498587323105816</v>
      </c>
      <c r="I2981" s="468">
        <v>9.5272213092177171</v>
      </c>
    </row>
    <row r="2982" spans="1:9" ht="16.5" x14ac:dyDescent="0.3">
      <c r="A2982" s="477">
        <v>3246892.4938091123</v>
      </c>
      <c r="B2982" s="458">
        <v>3.5015159806440543E-2</v>
      </c>
      <c r="C2982" s="477">
        <v>11270141.82445747</v>
      </c>
      <c r="D2982" s="458">
        <v>6.7373351224587541E-2</v>
      </c>
      <c r="E2982" s="477">
        <v>22799054.384377994</v>
      </c>
      <c r="F2982" s="458">
        <v>8.4258011302933644E-2</v>
      </c>
      <c r="G2982" s="477">
        <v>93590498.187684178</v>
      </c>
      <c r="H2982" s="458">
        <v>0.26434092422317956</v>
      </c>
      <c r="I2982" s="468">
        <v>16.444010539447095</v>
      </c>
    </row>
    <row r="2983" spans="1:9" ht="16.5" x14ac:dyDescent="0.3">
      <c r="A2983" s="477">
        <v>2725732.4765929002</v>
      </c>
      <c r="B2983" s="458">
        <v>6.4678198379964025E-2</v>
      </c>
      <c r="C2983" s="477">
        <v>14801031.154813688</v>
      </c>
      <c r="D2983" s="458">
        <v>5.5325654789306622E-2</v>
      </c>
      <c r="E2983" s="477">
        <v>16882482.418331422</v>
      </c>
      <c r="F2983" s="458">
        <v>0.13306285154766129</v>
      </c>
      <c r="G2983" s="477">
        <v>88321421.870364934</v>
      </c>
      <c r="H2983" s="458">
        <v>0.26979865692259164</v>
      </c>
      <c r="I2983" s="468">
        <v>11.806330187675359</v>
      </c>
    </row>
    <row r="2984" spans="1:9" ht="16.5" x14ac:dyDescent="0.3">
      <c r="A2984" s="477">
        <v>2978790.0977203585</v>
      </c>
      <c r="B2984" s="458">
        <v>5.090847081802452E-2</v>
      </c>
      <c r="C2984" s="477">
        <v>10095887.530208061</v>
      </c>
      <c r="D2984" s="458">
        <v>6.9266020023180053E-2</v>
      </c>
      <c r="E2984" s="477">
        <v>12659192.647312721</v>
      </c>
      <c r="F2984" s="458">
        <v>0.11392267236407094</v>
      </c>
      <c r="G2984" s="477">
        <v>86034021.64374356</v>
      </c>
      <c r="H2984" s="458">
        <v>0.27787534190368368</v>
      </c>
      <c r="I2984" s="468">
        <v>10.636285671068178</v>
      </c>
    </row>
    <row r="2985" spans="1:9" ht="16.5" x14ac:dyDescent="0.3">
      <c r="A2985" s="477">
        <v>1487168.5124711688</v>
      </c>
      <c r="B2985" s="458">
        <v>4.6641076745568499E-2</v>
      </c>
      <c r="C2985" s="477">
        <v>9730673.3265988287</v>
      </c>
      <c r="D2985" s="458">
        <v>7.0051727954538068E-2</v>
      </c>
      <c r="E2985" s="477">
        <v>13649533.42795673</v>
      </c>
      <c r="F2985" s="458">
        <v>0.13939556614973614</v>
      </c>
      <c r="G2985" s="477">
        <v>84839819.875766113</v>
      </c>
      <c r="H2985" s="458">
        <v>0.2830908458468544</v>
      </c>
      <c r="I2985" s="468">
        <v>5.7506030536390718</v>
      </c>
    </row>
    <row r="2986" spans="1:9" ht="16.5" x14ac:dyDescent="0.3">
      <c r="A2986" s="477">
        <v>7188752.92271169</v>
      </c>
      <c r="B2986" s="458">
        <v>4.8384661999806067E-2</v>
      </c>
      <c r="C2986" s="477">
        <v>10068658.439089002</v>
      </c>
      <c r="D2986" s="458">
        <v>7.5505043918533854E-2</v>
      </c>
      <c r="E2986" s="477">
        <v>10681127.204006972</v>
      </c>
      <c r="F2986" s="458">
        <v>7.8610825768498982E-2</v>
      </c>
      <c r="G2986" s="477">
        <v>86103002.521685347</v>
      </c>
      <c r="H2986" s="458">
        <v>0.27595238908950881</v>
      </c>
      <c r="I2986" s="468">
        <v>10.012904704431335</v>
      </c>
    </row>
    <row r="2987" spans="1:9" ht="16.5" x14ac:dyDescent="0.3">
      <c r="A2987" s="477">
        <v>6541296.2562874118</v>
      </c>
      <c r="B2987" s="458">
        <v>2.7808009930607724E-2</v>
      </c>
      <c r="C2987" s="477">
        <v>10129347.587733211</v>
      </c>
      <c r="D2987" s="458">
        <v>6.0214276979123849E-2</v>
      </c>
      <c r="E2987" s="477">
        <v>13547397.326651748</v>
      </c>
      <c r="F2987" s="458">
        <v>7.5557477946379015E-2</v>
      </c>
      <c r="G2987" s="477">
        <v>101260058.32813388</v>
      </c>
      <c r="H2987" s="458">
        <v>0.26094806001135118</v>
      </c>
      <c r="I2987" s="468">
        <v>3.7269660036511283</v>
      </c>
    </row>
    <row r="2988" spans="1:9" ht="16.5" x14ac:dyDescent="0.3">
      <c r="A2988" s="477">
        <v>3162487.4987037643</v>
      </c>
      <c r="B2988" s="458">
        <v>2.5660990568984188E-2</v>
      </c>
      <c r="C2988" s="477">
        <v>12838009.910989203</v>
      </c>
      <c r="D2988" s="458">
        <v>5.8854842332373813E-2</v>
      </c>
      <c r="E2988" s="477">
        <v>16451147.69028239</v>
      </c>
      <c r="F2988" s="458">
        <v>0.12069978951329174</v>
      </c>
      <c r="G2988" s="477">
        <v>89147553.641499281</v>
      </c>
      <c r="H2988" s="458">
        <v>0.27365781536615241</v>
      </c>
      <c r="I2988" s="468">
        <v>14.301395653376259</v>
      </c>
    </row>
    <row r="2989" spans="1:9" ht="16.5" x14ac:dyDescent="0.3">
      <c r="A2989" s="477">
        <v>8295031.8318608021</v>
      </c>
      <c r="B2989" s="458">
        <v>3.1852063159185651E-2</v>
      </c>
      <c r="C2989" s="477">
        <v>15300550.420515217</v>
      </c>
      <c r="D2989" s="458">
        <v>8.227536750557829E-2</v>
      </c>
      <c r="E2989" s="477">
        <v>13494506.625694828</v>
      </c>
      <c r="F2989" s="458">
        <v>0.10717193296616356</v>
      </c>
      <c r="G2989" s="477">
        <v>86599312.077211037</v>
      </c>
      <c r="H2989" s="458">
        <v>0.26709537170380715</v>
      </c>
      <c r="I2989" s="468">
        <v>1.801461818430754</v>
      </c>
    </row>
    <row r="2990" spans="1:9" ht="16.5" x14ac:dyDescent="0.3">
      <c r="A2990" s="477">
        <v>7375157.216691372</v>
      </c>
      <c r="B2990" s="458">
        <v>2.8398604241360426E-2</v>
      </c>
      <c r="C2990" s="477">
        <v>1100251.3437774091</v>
      </c>
      <c r="D2990" s="458">
        <v>8.3705466271386086E-2</v>
      </c>
      <c r="E2990" s="477">
        <v>4652910.523266118</v>
      </c>
      <c r="F2990" s="458">
        <v>0.13466158310194443</v>
      </c>
      <c r="G2990" s="477">
        <v>88815917.738935724</v>
      </c>
      <c r="H2990" s="458">
        <v>0.28436035715641639</v>
      </c>
      <c r="I2990" s="468">
        <v>3.1741231508491925</v>
      </c>
    </row>
    <row r="2991" spans="1:9" ht="16.5" x14ac:dyDescent="0.3">
      <c r="A2991" s="477">
        <v>6839851.9191569686</v>
      </c>
      <c r="B2991" s="458">
        <v>5.3010538292161513E-2</v>
      </c>
      <c r="C2991" s="477">
        <v>14801649.535506733</v>
      </c>
      <c r="D2991" s="458">
        <v>7.2671380147116604E-2</v>
      </c>
      <c r="E2991" s="477">
        <v>18688323.710211854</v>
      </c>
      <c r="F2991" s="458">
        <v>0.11568324941970842</v>
      </c>
      <c r="G2991" s="477">
        <v>78182355.274291515</v>
      </c>
      <c r="H2991" s="458">
        <v>0.24572720767419254</v>
      </c>
      <c r="I2991" s="468">
        <v>3.4270708322714407</v>
      </c>
    </row>
    <row r="2992" spans="1:9" ht="16.5" x14ac:dyDescent="0.3">
      <c r="A2992" s="477">
        <v>385832.6222924398</v>
      </c>
      <c r="B2992" s="458">
        <v>4.9008678507611148E-2</v>
      </c>
      <c r="C2992" s="477">
        <v>8893210.9061582647</v>
      </c>
      <c r="D2992" s="458">
        <v>5.7938696996534755E-2</v>
      </c>
      <c r="E2992" s="477">
        <v>18189713.248646215</v>
      </c>
      <c r="F2992" s="458">
        <v>0.12330941483222801</v>
      </c>
      <c r="G2992" s="477">
        <v>85910784.303511724</v>
      </c>
      <c r="H2992" s="458">
        <v>0.25090666818522744</v>
      </c>
      <c r="I2992" s="468">
        <v>12.3870979627027</v>
      </c>
    </row>
    <row r="2993" spans="1:9" ht="16.5" x14ac:dyDescent="0.3">
      <c r="A2993" s="477">
        <v>4496030.2764339643</v>
      </c>
      <c r="B2993" s="458">
        <v>2.9954309181627892E-2</v>
      </c>
      <c r="C2993" s="477">
        <v>4483374.7765763262</v>
      </c>
      <c r="D2993" s="458">
        <v>8.5878635190228758E-2</v>
      </c>
      <c r="E2993" s="477">
        <v>15858945.185182173</v>
      </c>
      <c r="F2993" s="458">
        <v>8.4808530418576833E-2</v>
      </c>
      <c r="G2993" s="477">
        <v>85521038.684656978</v>
      </c>
      <c r="H2993" s="458">
        <v>0.25087683457694787</v>
      </c>
      <c r="I2993" s="468">
        <v>3.8650706576036393</v>
      </c>
    </row>
    <row r="2994" spans="1:9" ht="16.5" x14ac:dyDescent="0.3">
      <c r="A2994" s="477">
        <v>2209565.9533707667</v>
      </c>
      <c r="B2994" s="458">
        <v>4.2698445219891523E-2</v>
      </c>
      <c r="C2994" s="477">
        <v>9554924.2649217695</v>
      </c>
      <c r="D2994" s="458">
        <v>4.6450644647412442E-2</v>
      </c>
      <c r="E2994" s="477">
        <v>10919813.680841882</v>
      </c>
      <c r="F2994" s="458">
        <v>0.11152921085032319</v>
      </c>
      <c r="G2994" s="477">
        <v>66372170.603935204</v>
      </c>
      <c r="H2994" s="458">
        <v>0.25984220680118475</v>
      </c>
      <c r="I2994" s="468">
        <v>5.0719734312349463</v>
      </c>
    </row>
    <row r="2995" spans="1:9" ht="16.5" x14ac:dyDescent="0.3">
      <c r="A2995" s="477">
        <v>6380156.9197065942</v>
      </c>
      <c r="B2995" s="458">
        <v>2.8471522440466801E-2</v>
      </c>
      <c r="C2995" s="477">
        <v>4687717.0058686687</v>
      </c>
      <c r="D2995" s="458">
        <v>4.7745928034021778E-2</v>
      </c>
      <c r="E2995" s="477">
        <v>18334484.615168042</v>
      </c>
      <c r="F2995" s="458">
        <v>9.6853942188063868E-2</v>
      </c>
      <c r="G2995" s="477">
        <v>94570861.215865657</v>
      </c>
      <c r="H2995" s="458">
        <v>0.27210595969830087</v>
      </c>
      <c r="I2995" s="468">
        <v>13.023726804220592</v>
      </c>
    </row>
    <row r="2996" spans="1:9" ht="16.5" x14ac:dyDescent="0.3">
      <c r="A2996" s="477">
        <v>7804785.4850367876</v>
      </c>
      <c r="B2996" s="458">
        <v>3.2263580299497274E-2</v>
      </c>
      <c r="C2996" s="477">
        <v>8282156.6758216564</v>
      </c>
      <c r="D2996" s="458">
        <v>9.8807229411583597E-2</v>
      </c>
      <c r="E2996" s="477">
        <v>15806245.619821928</v>
      </c>
      <c r="F2996" s="458">
        <v>6.4849490547418842E-2</v>
      </c>
      <c r="G2996" s="477">
        <v>83035350.798051506</v>
      </c>
      <c r="H2996" s="458">
        <v>0.25857512211982181</v>
      </c>
      <c r="I2996" s="468">
        <v>6.7239877898758671</v>
      </c>
    </row>
    <row r="2997" spans="1:9" ht="16.5" x14ac:dyDescent="0.3">
      <c r="A2997" s="477">
        <v>5980342.4740577824</v>
      </c>
      <c r="B2997" s="458">
        <v>3.3446362167655508E-2</v>
      </c>
      <c r="C2997" s="477">
        <v>10284817.121944852</v>
      </c>
      <c r="D2997" s="458">
        <v>4.2477253338538468E-2</v>
      </c>
      <c r="E2997" s="477">
        <v>14230808.868819389</v>
      </c>
      <c r="F2997" s="458">
        <v>9.6577499487811025E-2</v>
      </c>
      <c r="G2997" s="477">
        <v>80704289.059504494</v>
      </c>
      <c r="H2997" s="458">
        <v>0.28130067070229714</v>
      </c>
      <c r="I2997" s="468">
        <v>7.7159943293127551</v>
      </c>
    </row>
    <row r="2998" spans="1:9" ht="16.5" x14ac:dyDescent="0.3">
      <c r="A2998" s="477">
        <v>5525901.2428461211</v>
      </c>
      <c r="B2998" s="458">
        <v>3.2794754641027213E-2</v>
      </c>
      <c r="C2998" s="477">
        <v>10318851.095634902</v>
      </c>
      <c r="D2998" s="458">
        <v>5.6810287204521082E-2</v>
      </c>
      <c r="E2998" s="477">
        <v>18790178.290582731</v>
      </c>
      <c r="F2998" s="458">
        <v>0.10764285310525912</v>
      </c>
      <c r="G2998" s="477">
        <v>90355707.106340617</v>
      </c>
      <c r="H2998" s="458">
        <v>0.27885037668592494</v>
      </c>
      <c r="I2998" s="468">
        <v>5.917263558428532</v>
      </c>
    </row>
    <row r="2999" spans="1:9" ht="16.5" x14ac:dyDescent="0.3">
      <c r="A2999" s="477">
        <v>10444047.187842464</v>
      </c>
      <c r="B2999" s="458">
        <v>5.5591525474792514E-2</v>
      </c>
      <c r="C2999" s="477">
        <v>7828508.0029482674</v>
      </c>
      <c r="D2999" s="458">
        <v>8.5038860012085715E-2</v>
      </c>
      <c r="E2999" s="477">
        <v>14316195.814713627</v>
      </c>
      <c r="F2999" s="458">
        <v>0.10162482157331709</v>
      </c>
      <c r="G2999" s="477">
        <v>81614545.142843261</v>
      </c>
      <c r="H2999" s="458">
        <v>0.26569408556738705</v>
      </c>
      <c r="I2999" s="468">
        <v>11.123830894052794</v>
      </c>
    </row>
    <row r="3000" spans="1:9" ht="16.5" x14ac:dyDescent="0.3">
      <c r="A3000" s="477">
        <v>7645823.0913465526</v>
      </c>
      <c r="B3000" s="458">
        <v>2.4535743272059429E-2</v>
      </c>
      <c r="C3000" s="477">
        <v>12382037.315955997</v>
      </c>
      <c r="D3000" s="458">
        <v>6.9120076322505275E-2</v>
      </c>
      <c r="E3000" s="477">
        <v>18357721.396588467</v>
      </c>
      <c r="F3000" s="458">
        <v>0.11714866764273202</v>
      </c>
      <c r="G3000" s="477">
        <v>105987691.17957813</v>
      </c>
      <c r="H3000" s="458">
        <v>0.26107084837670635</v>
      </c>
      <c r="I3000" s="468">
        <v>9.5120852370765832</v>
      </c>
    </row>
    <row r="3001" spans="1:9" ht="16.5" x14ac:dyDescent="0.3">
      <c r="A3001" s="477">
        <v>3370208.1105989721</v>
      </c>
      <c r="B3001" s="458">
        <v>5.8491093221088475E-2</v>
      </c>
      <c r="C3001" s="477">
        <v>1178776.3937218492</v>
      </c>
      <c r="D3001" s="458">
        <v>6.8225676044966654E-2</v>
      </c>
      <c r="E3001" s="477">
        <v>20195563.804255385</v>
      </c>
      <c r="F3001" s="458">
        <v>0.11044609861721022</v>
      </c>
      <c r="G3001" s="477">
        <v>87853846.142727613</v>
      </c>
      <c r="H3001" s="458">
        <v>0.28216763523412491</v>
      </c>
      <c r="I3001" s="468">
        <v>3.4524212962252712</v>
      </c>
    </row>
    <row r="3002" spans="1:9" ht="16.5" x14ac:dyDescent="0.3">
      <c r="A3002" s="477">
        <v>4752711.3978218129</v>
      </c>
      <c r="B3002" s="458">
        <v>2.8862337480737299E-2</v>
      </c>
      <c r="C3002" s="477">
        <v>14205607.795364875</v>
      </c>
      <c r="D3002" s="458">
        <v>3.8184565091981648E-2</v>
      </c>
      <c r="E3002" s="477">
        <v>17825249.014677133</v>
      </c>
      <c r="F3002" s="458">
        <v>0.12036464290726423</v>
      </c>
      <c r="G3002" s="477">
        <v>87822997.167683139</v>
      </c>
      <c r="H3002" s="458">
        <v>0.26384336628015048</v>
      </c>
      <c r="I3002" s="468">
        <v>6.6905263827177874</v>
      </c>
    </row>
    <row r="3003" spans="1:9" ht="16.5" x14ac:dyDescent="0.3">
      <c r="A3003" s="477">
        <v>6540384.6010492081</v>
      </c>
      <c r="B3003" s="458">
        <v>3.3250160167942244E-2</v>
      </c>
      <c r="C3003" s="477">
        <v>1866854.5931938614</v>
      </c>
      <c r="D3003" s="458">
        <v>4.3993380171909457E-2</v>
      </c>
      <c r="E3003" s="477">
        <v>18121770.418125898</v>
      </c>
      <c r="F3003" s="458">
        <v>0.11402824321875293</v>
      </c>
      <c r="G3003" s="477">
        <v>80500018.801671609</v>
      </c>
      <c r="H3003" s="458">
        <v>0.28419912573255135</v>
      </c>
      <c r="I3003" s="468">
        <v>7.2221251482176516</v>
      </c>
    </row>
    <row r="3004" spans="1:9" ht="16.5" x14ac:dyDescent="0.3">
      <c r="A3004" s="477">
        <v>944347.76976265665</v>
      </c>
      <c r="B3004" s="458">
        <v>4.0128134799718662E-2</v>
      </c>
      <c r="C3004" s="477">
        <v>9100355.0100786332</v>
      </c>
      <c r="D3004" s="458">
        <v>6.7054395667146105E-2</v>
      </c>
      <c r="E3004" s="477">
        <v>19766926.643483125</v>
      </c>
      <c r="F3004" s="458">
        <v>9.8164331840045138E-2</v>
      </c>
      <c r="G3004" s="477">
        <v>93394100.734855562</v>
      </c>
      <c r="H3004" s="458">
        <v>0.27595129762538262</v>
      </c>
      <c r="I3004" s="468">
        <v>9.7758492032111555</v>
      </c>
    </row>
    <row r="3005" spans="1:9" ht="16.5" x14ac:dyDescent="0.3">
      <c r="A3005" s="477">
        <v>5820238.0375002129</v>
      </c>
      <c r="B3005" s="458">
        <v>5.1908435497328265E-2</v>
      </c>
      <c r="C3005" s="477">
        <v>6375612.6015043659</v>
      </c>
      <c r="D3005" s="458">
        <v>6.2302708511566163E-2</v>
      </c>
      <c r="E3005" s="477">
        <v>22121090.480171766</v>
      </c>
      <c r="F3005" s="458">
        <v>0.12456495611926255</v>
      </c>
      <c r="G3005" s="477">
        <v>81749002.442977026</v>
      </c>
      <c r="H3005" s="458">
        <v>0.31232267835214866</v>
      </c>
      <c r="I3005" s="468">
        <v>7.2061548431385463</v>
      </c>
    </row>
    <row r="3006" spans="1:9" ht="16.5" x14ac:dyDescent="0.3">
      <c r="A3006" s="477">
        <v>8698197.3459725771</v>
      </c>
      <c r="B3006" s="458">
        <v>4.8497578116608819E-2</v>
      </c>
      <c r="C3006" s="477">
        <v>11687695.269006286</v>
      </c>
      <c r="D3006" s="458">
        <v>4.5146859875996537E-2</v>
      </c>
      <c r="E3006" s="477">
        <v>16248310.400762796</v>
      </c>
      <c r="F3006" s="458">
        <v>9.3087661008774081E-2</v>
      </c>
      <c r="G3006" s="477">
        <v>103018964.56890184</v>
      </c>
      <c r="H3006" s="458">
        <v>0.25552000684499832</v>
      </c>
      <c r="I3006" s="468">
        <v>8.1786071417728596</v>
      </c>
    </row>
    <row r="3007" spans="1:9" ht="16.5" x14ac:dyDescent="0.3">
      <c r="A3007" s="477">
        <v>4326704.9037115639</v>
      </c>
      <c r="B3007" s="458">
        <v>2.3302390253539196E-2</v>
      </c>
      <c r="C3007" s="477">
        <v>10179898.633904029</v>
      </c>
      <c r="D3007" s="458">
        <v>5.5692054847046979E-2</v>
      </c>
      <c r="E3007" s="477">
        <v>10323103.851961728</v>
      </c>
      <c r="F3007" s="458">
        <v>9.67686615683232E-2</v>
      </c>
      <c r="G3007" s="477">
        <v>101479139.22547008</v>
      </c>
      <c r="H3007" s="458">
        <v>0.28252420946611467</v>
      </c>
      <c r="I3007" s="468">
        <v>14.17600306481077</v>
      </c>
    </row>
    <row r="3008" spans="1:9" ht="16.5" x14ac:dyDescent="0.3">
      <c r="A3008" s="477">
        <v>1006448.979064909</v>
      </c>
      <c r="B3008" s="458">
        <v>5.2288544381877022E-2</v>
      </c>
      <c r="C3008" s="477">
        <v>11546966.599635519</v>
      </c>
      <c r="D3008" s="458">
        <v>8.248655393727411E-2</v>
      </c>
      <c r="E3008" s="477">
        <v>16170102.538482364</v>
      </c>
      <c r="F3008" s="458">
        <v>9.458600394143124E-2</v>
      </c>
      <c r="G3008" s="477">
        <v>96980136.763406172</v>
      </c>
      <c r="H3008" s="458">
        <v>0.29665921782586513</v>
      </c>
      <c r="I3008" s="468">
        <v>10.513819907960961</v>
      </c>
    </row>
    <row r="3009" spans="1:9" ht="16.5" x14ac:dyDescent="0.3">
      <c r="A3009" s="477">
        <v>7387988.3073231224</v>
      </c>
      <c r="B3009" s="458">
        <v>2.6046147702346367E-2</v>
      </c>
      <c r="C3009" s="477">
        <v>7894841.2510856185</v>
      </c>
      <c r="D3009" s="458">
        <v>7.6647670326599915E-2</v>
      </c>
      <c r="E3009" s="477">
        <v>24479384.158861548</v>
      </c>
      <c r="F3009" s="458">
        <v>9.886576268461944E-2</v>
      </c>
      <c r="G3009" s="477">
        <v>85674037.44764626</v>
      </c>
      <c r="H3009" s="458">
        <v>0.27053104497495228</v>
      </c>
      <c r="I3009" s="468">
        <v>10.026445296820322</v>
      </c>
    </row>
    <row r="3010" spans="1:9" ht="16.5" x14ac:dyDescent="0.3">
      <c r="A3010" s="477">
        <v>4714471.2178632719</v>
      </c>
      <c r="B3010" s="458">
        <v>4.7051539452677815E-2</v>
      </c>
      <c r="C3010" s="477">
        <v>10365167.489866825</v>
      </c>
      <c r="D3010" s="458">
        <v>6.4893652603648322E-2</v>
      </c>
      <c r="E3010" s="477">
        <v>16936491.015411966</v>
      </c>
      <c r="F3010" s="458">
        <v>0.12745135141872721</v>
      </c>
      <c r="G3010" s="477">
        <v>89915554.912303388</v>
      </c>
      <c r="H3010" s="458">
        <v>0.26341788812094413</v>
      </c>
      <c r="I3010" s="468">
        <v>10.379328541310111</v>
      </c>
    </row>
    <row r="3011" spans="1:9" ht="16.5" x14ac:dyDescent="0.3">
      <c r="A3011" s="477">
        <v>4345550.7533459468</v>
      </c>
      <c r="B3011" s="458">
        <v>4.1457516033409858E-2</v>
      </c>
      <c r="C3011" s="477">
        <v>3477285.4762302074</v>
      </c>
      <c r="D3011" s="458">
        <v>7.4460751732783548E-2</v>
      </c>
      <c r="E3011" s="477">
        <v>14176359.527218407</v>
      </c>
      <c r="F3011" s="458">
        <v>0.1050441587842077</v>
      </c>
      <c r="G3011" s="477">
        <v>89650053.289128378</v>
      </c>
      <c r="H3011" s="458">
        <v>0.26544817653228403</v>
      </c>
      <c r="I3011" s="468">
        <v>8.0999944267409969</v>
      </c>
    </row>
    <row r="3012" spans="1:9" ht="16.5" x14ac:dyDescent="0.3">
      <c r="A3012" s="477">
        <v>7633957.966832771</v>
      </c>
      <c r="B3012" s="458">
        <v>1.6926030113022517E-2</v>
      </c>
      <c r="C3012" s="477">
        <v>2897192.4701573425</v>
      </c>
      <c r="D3012" s="458">
        <v>7.8737346606943648E-2</v>
      </c>
      <c r="E3012" s="477">
        <v>13355500.256390778</v>
      </c>
      <c r="F3012" s="458">
        <v>0.11428317749221484</v>
      </c>
      <c r="G3012" s="477">
        <v>85486314.146894142</v>
      </c>
      <c r="H3012" s="458">
        <v>0.28158344628676124</v>
      </c>
      <c r="I3012" s="468">
        <v>0.36395220280565077</v>
      </c>
    </row>
    <row r="3013" spans="1:9" ht="16.5" x14ac:dyDescent="0.3">
      <c r="A3013" s="477">
        <v>6279146.8208313538</v>
      </c>
      <c r="B3013" s="458">
        <v>1.4209943846462902E-2</v>
      </c>
      <c r="C3013" s="477">
        <v>7564205.6790185627</v>
      </c>
      <c r="D3013" s="458">
        <v>7.5179909961222036E-2</v>
      </c>
      <c r="E3013" s="477">
        <v>10546374.516262494</v>
      </c>
      <c r="F3013" s="458">
        <v>9.6210293328791607E-2</v>
      </c>
      <c r="G3013" s="477">
        <v>106145022.45872331</v>
      </c>
      <c r="H3013" s="458">
        <v>0.25707356217183652</v>
      </c>
      <c r="I3013" s="468">
        <v>8.062132455824548</v>
      </c>
    </row>
    <row r="3014" spans="1:9" ht="16.5" x14ac:dyDescent="0.3">
      <c r="A3014" s="477">
        <v>4961499.0167198433</v>
      </c>
      <c r="B3014" s="458">
        <v>6.4002202613095083E-2</v>
      </c>
      <c r="C3014" s="477">
        <v>3959483.3705130531</v>
      </c>
      <c r="D3014" s="458">
        <v>5.5336356473024706E-2</v>
      </c>
      <c r="E3014" s="477">
        <v>11310165.318568822</v>
      </c>
      <c r="F3014" s="458">
        <v>0.1023679651468874</v>
      </c>
      <c r="G3014" s="477">
        <v>98835352.870146021</v>
      </c>
      <c r="H3014" s="458">
        <v>0.25623450128611913</v>
      </c>
      <c r="I3014" s="468">
        <v>8.4348407735177435</v>
      </c>
    </row>
    <row r="3015" spans="1:9" ht="16.5" x14ac:dyDescent="0.3">
      <c r="A3015" s="477">
        <v>554182.33402146306</v>
      </c>
      <c r="B3015" s="458">
        <v>4.8014970650318567E-2</v>
      </c>
      <c r="C3015" s="477">
        <v>11324770.781949328</v>
      </c>
      <c r="D3015" s="458">
        <v>7.2614950167066317E-2</v>
      </c>
      <c r="E3015" s="477">
        <v>22839272.823761683</v>
      </c>
      <c r="F3015" s="458">
        <v>8.7168769967212123E-2</v>
      </c>
      <c r="G3015" s="477">
        <v>93639325.957040042</v>
      </c>
      <c r="H3015" s="458">
        <v>0.27034070873942806</v>
      </c>
      <c r="I3015" s="468">
        <v>10.394741789757248</v>
      </c>
    </row>
    <row r="3016" spans="1:9" ht="16.5" x14ac:dyDescent="0.3">
      <c r="A3016" s="477">
        <v>4120332.6969053275</v>
      </c>
      <c r="B3016" s="458">
        <v>2.2221707953565151E-2</v>
      </c>
      <c r="C3016" s="477">
        <v>9582882.735141011</v>
      </c>
      <c r="D3016" s="458">
        <v>7.2277015145438384E-2</v>
      </c>
      <c r="E3016" s="477">
        <v>5718493.1949872375</v>
      </c>
      <c r="F3016" s="458">
        <v>0.11741672544819703</v>
      </c>
      <c r="G3016" s="477">
        <v>86340949.619703576</v>
      </c>
      <c r="H3016" s="458">
        <v>0.26596197726827842</v>
      </c>
      <c r="I3016" s="468">
        <v>11.769351072840367</v>
      </c>
    </row>
    <row r="3017" spans="1:9" ht="16.5" x14ac:dyDescent="0.3">
      <c r="A3017" s="477">
        <v>120396.42433023429</v>
      </c>
      <c r="B3017" s="458">
        <v>2.3741589921433048E-2</v>
      </c>
      <c r="C3017" s="477">
        <v>6973605.7287331242</v>
      </c>
      <c r="D3017" s="458">
        <v>7.2269351276232907E-2</v>
      </c>
      <c r="E3017" s="477">
        <v>19406647.565310057</v>
      </c>
      <c r="F3017" s="458">
        <v>0.10007140155997507</v>
      </c>
      <c r="G3017" s="477">
        <v>92288373.630965099</v>
      </c>
      <c r="H3017" s="458">
        <v>0.26168729933396584</v>
      </c>
      <c r="I3017" s="468">
        <v>0.67937941325621676</v>
      </c>
    </row>
    <row r="3018" spans="1:9" ht="16.5" x14ac:dyDescent="0.3">
      <c r="A3018" s="477">
        <v>11527854.214700677</v>
      </c>
      <c r="B3018" s="458">
        <v>3.2480317020563421E-2</v>
      </c>
      <c r="C3018" s="477">
        <v>7451944.1582635092</v>
      </c>
      <c r="D3018" s="458">
        <v>8.8757503983304842E-2</v>
      </c>
      <c r="E3018" s="477">
        <v>17925280.594011661</v>
      </c>
      <c r="F3018" s="458">
        <v>0.1116453815915246</v>
      </c>
      <c r="G3018" s="477">
        <v>81630289.858181477</v>
      </c>
      <c r="H3018" s="458">
        <v>0.27211428377181157</v>
      </c>
      <c r="I3018" s="468">
        <v>1.7963504329325639</v>
      </c>
    </row>
    <row r="3019" spans="1:9" ht="16.5" x14ac:dyDescent="0.3">
      <c r="A3019" s="477">
        <v>-210856.05196649968</v>
      </c>
      <c r="B3019" s="458">
        <v>3.1902693101394153E-2</v>
      </c>
      <c r="C3019" s="477">
        <v>7101521.5432231221</v>
      </c>
      <c r="D3019" s="458">
        <v>7.7456675797852981E-2</v>
      </c>
      <c r="E3019" s="477">
        <v>17333032.832284443</v>
      </c>
      <c r="F3019" s="458">
        <v>9.1366022090871635E-2</v>
      </c>
      <c r="G3019" s="477">
        <v>92317987.267523289</v>
      </c>
      <c r="H3019" s="458">
        <v>0.28604784666661032</v>
      </c>
      <c r="I3019" s="468">
        <v>5.0475074907523458</v>
      </c>
    </row>
    <row r="3020" spans="1:9" ht="16.5" x14ac:dyDescent="0.3">
      <c r="A3020" s="477">
        <v>7509979.6137791798</v>
      </c>
      <c r="B3020" s="458">
        <v>5.751913976771772E-2</v>
      </c>
      <c r="C3020" s="477">
        <v>10998221.301949719</v>
      </c>
      <c r="D3020" s="458">
        <v>5.4191333105567008E-2</v>
      </c>
      <c r="E3020" s="477">
        <v>16353464.365109054</v>
      </c>
      <c r="F3020" s="458">
        <v>0.12054778830652246</v>
      </c>
      <c r="G3020" s="477">
        <v>95694949.682364672</v>
      </c>
      <c r="H3020" s="458">
        <v>0.25685181793754008</v>
      </c>
      <c r="I3020" s="468">
        <v>11.003692504771934</v>
      </c>
    </row>
    <row r="3021" spans="1:9" ht="16.5" x14ac:dyDescent="0.3">
      <c r="A3021" s="477">
        <v>3565961.376422924</v>
      </c>
      <c r="B3021" s="458">
        <v>3.715953022356433E-2</v>
      </c>
      <c r="C3021" s="477">
        <v>11318063.358143883</v>
      </c>
      <c r="D3021" s="458">
        <v>9.5966593253132171E-2</v>
      </c>
      <c r="E3021" s="477">
        <v>16083953.733804073</v>
      </c>
      <c r="F3021" s="458">
        <v>0.10606319236514472</v>
      </c>
      <c r="G3021" s="477">
        <v>83963597.680614099</v>
      </c>
      <c r="H3021" s="458">
        <v>0.30222917202440325</v>
      </c>
      <c r="I3021" s="468">
        <v>7.0170573991542593</v>
      </c>
    </row>
    <row r="3022" spans="1:9" ht="16.5" x14ac:dyDescent="0.3">
      <c r="A3022" s="477">
        <v>7157932.6683666417</v>
      </c>
      <c r="B3022" s="458">
        <v>3.9075577572043718E-2</v>
      </c>
      <c r="C3022" s="477">
        <v>10280724.447174763</v>
      </c>
      <c r="D3022" s="458">
        <v>8.1178978217784969E-2</v>
      </c>
      <c r="E3022" s="477">
        <v>23751920.521819267</v>
      </c>
      <c r="F3022" s="458">
        <v>9.64606425313288E-2</v>
      </c>
      <c r="G3022" s="477">
        <v>97340135.058580965</v>
      </c>
      <c r="H3022" s="458">
        <v>0.28886427166740414</v>
      </c>
      <c r="I3022" s="468">
        <v>7.8235825670136379</v>
      </c>
    </row>
    <row r="3023" spans="1:9" ht="16.5" x14ac:dyDescent="0.3">
      <c r="A3023" s="477">
        <v>4816987.2951276964</v>
      </c>
      <c r="B3023" s="458">
        <v>4.7843865268722086E-2</v>
      </c>
      <c r="C3023" s="477">
        <v>10271460.686979841</v>
      </c>
      <c r="D3023" s="458">
        <v>2.329064767898581E-2</v>
      </c>
      <c r="E3023" s="477">
        <v>21121218.937984411</v>
      </c>
      <c r="F3023" s="458">
        <v>0.10004152379661879</v>
      </c>
      <c r="G3023" s="477">
        <v>93996434.220247447</v>
      </c>
      <c r="H3023" s="458">
        <v>0.31148853271472077</v>
      </c>
      <c r="I3023" s="468">
        <v>6.9614450432825956</v>
      </c>
    </row>
    <row r="3024" spans="1:9" ht="16.5" x14ac:dyDescent="0.3">
      <c r="A3024" s="477">
        <v>7842405.0873726355</v>
      </c>
      <c r="B3024" s="458">
        <v>4.4063661124432052E-2</v>
      </c>
      <c r="C3024" s="477">
        <v>11295284.121182524</v>
      </c>
      <c r="D3024" s="458">
        <v>4.9573780531379397E-2</v>
      </c>
      <c r="E3024" s="477">
        <v>8901969.7025921568</v>
      </c>
      <c r="F3024" s="458">
        <v>9.5070003627569122E-2</v>
      </c>
      <c r="G3024" s="477">
        <v>98245197.726568565</v>
      </c>
      <c r="H3024" s="458">
        <v>0.25210471438262139</v>
      </c>
      <c r="I3024" s="468">
        <v>7.2030527138118101</v>
      </c>
    </row>
    <row r="3025" spans="1:9" ht="16.5" x14ac:dyDescent="0.3">
      <c r="A3025" s="477">
        <v>5345649.7072975729</v>
      </c>
      <c r="B3025" s="458">
        <v>2.7966793353006558E-2</v>
      </c>
      <c r="C3025" s="477">
        <v>14691593.502538217</v>
      </c>
      <c r="D3025" s="458">
        <v>6.9623390606312174E-2</v>
      </c>
      <c r="E3025" s="477">
        <v>16744560.977665205</v>
      </c>
      <c r="F3025" s="458">
        <v>0.13202076090776238</v>
      </c>
      <c r="G3025" s="477">
        <v>102931404.12016015</v>
      </c>
      <c r="H3025" s="458">
        <v>0.28069894349578139</v>
      </c>
      <c r="I3025" s="468">
        <v>0.54158624027237501</v>
      </c>
    </row>
    <row r="3026" spans="1:9" ht="16.5" x14ac:dyDescent="0.3">
      <c r="A3026" s="477">
        <v>9317766.3250711262</v>
      </c>
      <c r="B3026" s="458">
        <v>3.322488089001463E-2</v>
      </c>
      <c r="C3026" s="477">
        <v>6480345.1709769629</v>
      </c>
      <c r="D3026" s="458">
        <v>5.3645682003551798E-2</v>
      </c>
      <c r="E3026" s="477">
        <v>12906216.6616691</v>
      </c>
      <c r="F3026" s="458">
        <v>0.10744552553653564</v>
      </c>
      <c r="G3026" s="477">
        <v>93727510.01713267</v>
      </c>
      <c r="H3026" s="458">
        <v>0.27978581803873981</v>
      </c>
      <c r="I3026" s="468">
        <v>9.0507446930534563</v>
      </c>
    </row>
    <row r="3027" spans="1:9" ht="16.5" x14ac:dyDescent="0.3">
      <c r="A3027" s="477">
        <v>6199392.3789766682</v>
      </c>
      <c r="B3027" s="458">
        <v>5.4436016384645125E-2</v>
      </c>
      <c r="C3027" s="477">
        <v>8614213.7174811698</v>
      </c>
      <c r="D3027" s="458">
        <v>0.11162025514558493</v>
      </c>
      <c r="E3027" s="477">
        <v>16099574.45254069</v>
      </c>
      <c r="F3027" s="458">
        <v>0.10679689976051954</v>
      </c>
      <c r="G3027" s="477">
        <v>78375356.6554849</v>
      </c>
      <c r="H3027" s="458">
        <v>0.27738721081058459</v>
      </c>
      <c r="I3027" s="468">
        <v>10.787655199521367</v>
      </c>
    </row>
    <row r="3028" spans="1:9" ht="16.5" x14ac:dyDescent="0.3">
      <c r="A3028" s="477">
        <v>8144474.9757242762</v>
      </c>
      <c r="B3028" s="458">
        <v>3.1992744703579934E-2</v>
      </c>
      <c r="C3028" s="477">
        <v>10897305.259753618</v>
      </c>
      <c r="D3028" s="458">
        <v>4.9646925595881575E-2</v>
      </c>
      <c r="E3028" s="477">
        <v>16547500.787703997</v>
      </c>
      <c r="F3028" s="458">
        <v>0.11405983573005329</v>
      </c>
      <c r="G3028" s="477">
        <v>86828860.289724305</v>
      </c>
      <c r="H3028" s="458">
        <v>0.29714496960707848</v>
      </c>
      <c r="I3028" s="468">
        <v>12.222762255775834</v>
      </c>
    </row>
    <row r="3029" spans="1:9" ht="16.5" x14ac:dyDescent="0.3">
      <c r="A3029" s="477">
        <v>8755260.6908728741</v>
      </c>
      <c r="B3029" s="458">
        <v>5.7781607660236878E-2</v>
      </c>
      <c r="C3029" s="477">
        <v>10052644.597493587</v>
      </c>
      <c r="D3029" s="458">
        <v>6.2945869649111863E-2</v>
      </c>
      <c r="E3029" s="477">
        <v>19822950.096862633</v>
      </c>
      <c r="F3029" s="458">
        <v>0.11099349369036271</v>
      </c>
      <c r="G3029" s="477">
        <v>79326450.170166865</v>
      </c>
      <c r="H3029" s="458">
        <v>0.3014980510283376</v>
      </c>
      <c r="I3029" s="468">
        <v>4.0263457837431949</v>
      </c>
    </row>
    <row r="3030" spans="1:9" ht="16.5" x14ac:dyDescent="0.3">
      <c r="A3030" s="477">
        <v>6334859.5829214482</v>
      </c>
      <c r="B3030" s="458">
        <v>5.8196867432493971E-2</v>
      </c>
      <c r="C3030" s="477">
        <v>11291336.83736161</v>
      </c>
      <c r="D3030" s="458">
        <v>6.0797521079715366E-2</v>
      </c>
      <c r="E3030" s="477">
        <v>15588425.732368823</v>
      </c>
      <c r="F3030" s="458">
        <v>9.3008280643172236E-2</v>
      </c>
      <c r="G3030" s="477">
        <v>81067903.655403867</v>
      </c>
      <c r="H3030" s="458">
        <v>0.27566751914648879</v>
      </c>
      <c r="I3030" s="468">
        <v>6.3812796288474578</v>
      </c>
    </row>
    <row r="3031" spans="1:9" ht="16.5" x14ac:dyDescent="0.3">
      <c r="A3031" s="477">
        <v>5718368.8125038119</v>
      </c>
      <c r="B3031" s="458">
        <v>4.987308331478113E-2</v>
      </c>
      <c r="C3031" s="477">
        <v>8815329.1286525894</v>
      </c>
      <c r="D3031" s="458">
        <v>6.9278807696476097E-2</v>
      </c>
      <c r="E3031" s="477">
        <v>21451796.431604993</v>
      </c>
      <c r="F3031" s="458">
        <v>0.11768440755144405</v>
      </c>
      <c r="G3031" s="477">
        <v>90222851.7538822</v>
      </c>
      <c r="H3031" s="458">
        <v>0.27417336361311051</v>
      </c>
      <c r="I3031" s="468">
        <v>10.839945728878266</v>
      </c>
    </row>
    <row r="3032" spans="1:9" ht="16.5" x14ac:dyDescent="0.3">
      <c r="A3032" s="477">
        <v>9304754.2472414821</v>
      </c>
      <c r="B3032" s="458">
        <v>5.5950081696926279E-2</v>
      </c>
      <c r="C3032" s="477">
        <v>7716313.1252630306</v>
      </c>
      <c r="D3032" s="458">
        <v>4.8268979866114226E-2</v>
      </c>
      <c r="E3032" s="477">
        <v>16793220.433416862</v>
      </c>
      <c r="F3032" s="458">
        <v>0.1143059006650462</v>
      </c>
      <c r="G3032" s="477">
        <v>94097961.889399156</v>
      </c>
      <c r="H3032" s="458">
        <v>0.25215439393836503</v>
      </c>
      <c r="I3032" s="468">
        <v>6.8635892144665291</v>
      </c>
    </row>
    <row r="3033" spans="1:9" ht="16.5" x14ac:dyDescent="0.3">
      <c r="A3033" s="477">
        <v>1875256.4497941285</v>
      </c>
      <c r="B3033" s="458">
        <v>2.6637907026791696E-2</v>
      </c>
      <c r="C3033" s="477">
        <v>4799853.4199327417</v>
      </c>
      <c r="D3033" s="458">
        <v>6.1690812724903843E-2</v>
      </c>
      <c r="E3033" s="477">
        <v>7538989.4058337184</v>
      </c>
      <c r="F3033" s="458">
        <v>0.11912985558063749</v>
      </c>
      <c r="G3033" s="477">
        <v>85885487.978029862</v>
      </c>
      <c r="H3033" s="458">
        <v>0.26665207014495684</v>
      </c>
      <c r="I3033" s="468">
        <v>9.3185983642538357</v>
      </c>
    </row>
    <row r="3034" spans="1:9" ht="16.5" x14ac:dyDescent="0.3">
      <c r="A3034" s="477">
        <v>3285350.0440552756</v>
      </c>
      <c r="B3034" s="458">
        <v>2.6238982707287084E-2</v>
      </c>
      <c r="C3034" s="477">
        <v>7553746.6743799848</v>
      </c>
      <c r="D3034" s="458">
        <v>4.780475354335878E-2</v>
      </c>
      <c r="E3034" s="477">
        <v>18895585.594060529</v>
      </c>
      <c r="F3034" s="458">
        <v>0.1216438005053424</v>
      </c>
      <c r="G3034" s="477">
        <v>89526233.445589513</v>
      </c>
      <c r="H3034" s="458">
        <v>0.27655476194500528</v>
      </c>
      <c r="I3034" s="468">
        <v>8.5502298329533719</v>
      </c>
    </row>
    <row r="3035" spans="1:9" ht="16.5" x14ac:dyDescent="0.3">
      <c r="A3035" s="477">
        <v>2800998.5394587624</v>
      </c>
      <c r="B3035" s="458">
        <v>3.40820517516085E-2</v>
      </c>
      <c r="C3035" s="477">
        <v>-3143848.346786717</v>
      </c>
      <c r="D3035" s="458">
        <v>7.7990168537033E-2</v>
      </c>
      <c r="E3035" s="477">
        <v>12576055.174801655</v>
      </c>
      <c r="F3035" s="458">
        <v>0.10346015419217247</v>
      </c>
      <c r="G3035" s="477">
        <v>92774204.880038306</v>
      </c>
      <c r="H3035" s="458">
        <v>0.24722651666912387</v>
      </c>
      <c r="I3035" s="468">
        <v>6.7383806419493117</v>
      </c>
    </row>
    <row r="3036" spans="1:9" ht="16.5" x14ac:dyDescent="0.3">
      <c r="A3036" s="477">
        <v>-1550385.6565263022</v>
      </c>
      <c r="B3036" s="458">
        <v>4.5025556447434445E-2</v>
      </c>
      <c r="C3036" s="477">
        <v>10417201.070907369</v>
      </c>
      <c r="D3036" s="458">
        <v>5.5345005798488334E-2</v>
      </c>
      <c r="E3036" s="477">
        <v>14957553.860595345</v>
      </c>
      <c r="F3036" s="458">
        <v>8.4077074572744159E-2</v>
      </c>
      <c r="G3036" s="477">
        <v>84116626.277491048</v>
      </c>
      <c r="H3036" s="458">
        <v>0.28842869520889503</v>
      </c>
      <c r="I3036" s="468">
        <v>17.168061351087026</v>
      </c>
    </row>
    <row r="3037" spans="1:9" ht="16.5" x14ac:dyDescent="0.3">
      <c r="A3037" s="477">
        <v>5003165.3996739844</v>
      </c>
      <c r="B3037" s="458">
        <v>5.1097714055373666E-2</v>
      </c>
      <c r="C3037" s="477">
        <v>14097099.702684602</v>
      </c>
      <c r="D3037" s="458">
        <v>0.10099393286281866</v>
      </c>
      <c r="E3037" s="477">
        <v>17528830.338291552</v>
      </c>
      <c r="F3037" s="458">
        <v>0.12725897833488831</v>
      </c>
      <c r="G3037" s="477">
        <v>88850261.217252955</v>
      </c>
      <c r="H3037" s="458">
        <v>0.28584145507883241</v>
      </c>
      <c r="I3037" s="468">
        <v>11.611925607251806</v>
      </c>
    </row>
    <row r="3038" spans="1:9" ht="16.5" x14ac:dyDescent="0.3">
      <c r="A3038" s="477">
        <v>2395647.701362608</v>
      </c>
      <c r="B3038" s="458">
        <v>6.7423311113078421E-2</v>
      </c>
      <c r="C3038" s="477">
        <v>13083695.06697816</v>
      </c>
      <c r="D3038" s="458">
        <v>6.158740539018992E-2</v>
      </c>
      <c r="E3038" s="477">
        <v>19652953.608367298</v>
      </c>
      <c r="F3038" s="458">
        <v>7.8241084776080605E-2</v>
      </c>
      <c r="G3038" s="477">
        <v>98407353.954906613</v>
      </c>
      <c r="H3038" s="458">
        <v>0.25684967221021826</v>
      </c>
      <c r="I3038" s="468">
        <v>5.1040221448660024</v>
      </c>
    </row>
    <row r="3039" spans="1:9" ht="16.5" x14ac:dyDescent="0.3">
      <c r="A3039" s="477">
        <v>8384086.7848122818</v>
      </c>
      <c r="B3039" s="458">
        <v>3.8454668727599284E-2</v>
      </c>
      <c r="C3039" s="477">
        <v>4871629.4075580891</v>
      </c>
      <c r="D3039" s="458">
        <v>9.1939048053158112E-2</v>
      </c>
      <c r="E3039" s="477">
        <v>22609909.282923583</v>
      </c>
      <c r="F3039" s="458">
        <v>0.12904981686816863</v>
      </c>
      <c r="G3039" s="477">
        <v>90618069.749620572</v>
      </c>
      <c r="H3039" s="458">
        <v>0.25731437365586296</v>
      </c>
      <c r="I3039" s="468">
        <v>8.0078731063578719</v>
      </c>
    </row>
    <row r="3040" spans="1:9" ht="16.5" x14ac:dyDescent="0.3">
      <c r="A3040" s="477">
        <v>5646849.3838341963</v>
      </c>
      <c r="B3040" s="458">
        <v>3.7249581514632979E-2</v>
      </c>
      <c r="C3040" s="477">
        <v>8655456.4479642175</v>
      </c>
      <c r="D3040" s="458">
        <v>5.6291648095037283E-2</v>
      </c>
      <c r="E3040" s="477">
        <v>16874411.629786838</v>
      </c>
      <c r="F3040" s="458">
        <v>9.6647332678521991E-2</v>
      </c>
      <c r="G3040" s="477">
        <v>96316538.866513968</v>
      </c>
      <c r="H3040" s="458">
        <v>0.27864179002874878</v>
      </c>
      <c r="I3040" s="468">
        <v>6.1428164973654233</v>
      </c>
    </row>
    <row r="3041" spans="1:9" ht="16.5" x14ac:dyDescent="0.3">
      <c r="A3041" s="477">
        <v>10612451.568361597</v>
      </c>
      <c r="B3041" s="458">
        <v>3.2970342814714781E-2</v>
      </c>
      <c r="C3041" s="477">
        <v>6128724.6902308809</v>
      </c>
      <c r="D3041" s="458">
        <v>6.5104390626416597E-2</v>
      </c>
      <c r="E3041" s="477">
        <v>17266742.068259284</v>
      </c>
      <c r="F3041" s="458">
        <v>0.11331922243363568</v>
      </c>
      <c r="G3041" s="477">
        <v>77988197.60255748</v>
      </c>
      <c r="H3041" s="458">
        <v>0.28325705857061378</v>
      </c>
      <c r="I3041" s="468">
        <v>1.5973911739784041</v>
      </c>
    </row>
    <row r="3042" spans="1:9" ht="16.5" x14ac:dyDescent="0.3">
      <c r="A3042" s="477">
        <v>3198084.1459010867</v>
      </c>
      <c r="B3042" s="458">
        <v>6.7510138606265535E-2</v>
      </c>
      <c r="C3042" s="477">
        <v>12154191.862713533</v>
      </c>
      <c r="D3042" s="458">
        <v>6.8013705840625605E-2</v>
      </c>
      <c r="E3042" s="477">
        <v>20639943.853957433</v>
      </c>
      <c r="F3042" s="458">
        <v>8.6189886688182948E-2</v>
      </c>
      <c r="G3042" s="477">
        <v>80114174.603113934</v>
      </c>
      <c r="H3042" s="458">
        <v>0.26418434450982753</v>
      </c>
      <c r="I3042" s="468">
        <v>6.0025714101991721</v>
      </c>
    </row>
    <row r="3043" spans="1:9" ht="16.5" x14ac:dyDescent="0.3">
      <c r="A3043" s="477">
        <v>5997848.0507915178</v>
      </c>
      <c r="B3043" s="458">
        <v>2.4681494015150518E-2</v>
      </c>
      <c r="C3043" s="477">
        <v>5023376.8582670745</v>
      </c>
      <c r="D3043" s="458">
        <v>6.180117669934293E-2</v>
      </c>
      <c r="E3043" s="477">
        <v>12805248.945051443</v>
      </c>
      <c r="F3043" s="458">
        <v>9.4412721243258169E-2</v>
      </c>
      <c r="G3043" s="477">
        <v>92878740.251097932</v>
      </c>
      <c r="H3043" s="458">
        <v>0.26460839978736028</v>
      </c>
      <c r="I3043" s="468">
        <v>11.332223772405724</v>
      </c>
    </row>
    <row r="3044" spans="1:9" ht="16.5" x14ac:dyDescent="0.3">
      <c r="A3044" s="477">
        <v>8259166.9475671798</v>
      </c>
      <c r="B3044" s="458">
        <v>3.0411326387411286E-2</v>
      </c>
      <c r="C3044" s="477">
        <v>8508217.5927670412</v>
      </c>
      <c r="D3044" s="458">
        <v>6.6435037921817264E-2</v>
      </c>
      <c r="E3044" s="477">
        <v>15848199.518510705</v>
      </c>
      <c r="F3044" s="458">
        <v>0.11041790152303621</v>
      </c>
      <c r="G3044" s="477">
        <v>91632233.379271597</v>
      </c>
      <c r="H3044" s="458">
        <v>0.25385372423573971</v>
      </c>
      <c r="I3044" s="468">
        <v>9.1602653576608226</v>
      </c>
    </row>
    <row r="3045" spans="1:9" ht="16.5" x14ac:dyDescent="0.3">
      <c r="A3045" s="477">
        <v>4265729.1986243799</v>
      </c>
      <c r="B3045" s="458">
        <v>4.2229644547736589E-2</v>
      </c>
      <c r="C3045" s="477">
        <v>10668430.354639223</v>
      </c>
      <c r="D3045" s="458">
        <v>6.7029136405721168E-2</v>
      </c>
      <c r="E3045" s="477">
        <v>21241853.975082085</v>
      </c>
      <c r="F3045" s="458">
        <v>0.13785163099417619</v>
      </c>
      <c r="G3045" s="477">
        <v>92416989.449120015</v>
      </c>
      <c r="H3045" s="458">
        <v>0.2880285038110193</v>
      </c>
      <c r="I3045" s="468">
        <v>6.6245150617096922</v>
      </c>
    </row>
    <row r="3046" spans="1:9" ht="16.5" x14ac:dyDescent="0.3">
      <c r="A3046" s="477">
        <v>4717521.6631305898</v>
      </c>
      <c r="B3046" s="458">
        <v>2.6352746350440048E-2</v>
      </c>
      <c r="C3046" s="477">
        <v>12910656.679146469</v>
      </c>
      <c r="D3046" s="458">
        <v>6.9209580428482687E-2</v>
      </c>
      <c r="E3046" s="477">
        <v>17290348.773369607</v>
      </c>
      <c r="F3046" s="458">
        <v>9.6259712978703504E-2</v>
      </c>
      <c r="G3046" s="477">
        <v>80046249.025064096</v>
      </c>
      <c r="H3046" s="458">
        <v>0.26580739291571764</v>
      </c>
      <c r="I3046" s="468">
        <v>10.034841446094084</v>
      </c>
    </row>
    <row r="3047" spans="1:9" ht="16.5" x14ac:dyDescent="0.3">
      <c r="A3047" s="477">
        <v>5437303.609849466</v>
      </c>
      <c r="B3047" s="458">
        <v>3.0710260674302825E-2</v>
      </c>
      <c r="C3047" s="477">
        <v>13894307.469102537</v>
      </c>
      <c r="D3047" s="458">
        <v>8.1351467087045437E-2</v>
      </c>
      <c r="E3047" s="477">
        <v>16362987.642340241</v>
      </c>
      <c r="F3047" s="458">
        <v>0.11477118752816473</v>
      </c>
      <c r="G3047" s="477">
        <v>83492320.430656865</v>
      </c>
      <c r="H3047" s="458">
        <v>0.26777866836985531</v>
      </c>
      <c r="I3047" s="468">
        <v>10.128855177075142</v>
      </c>
    </row>
    <row r="3048" spans="1:9" ht="16.5" x14ac:dyDescent="0.3">
      <c r="A3048" s="477">
        <v>3132304.7092648163</v>
      </c>
      <c r="B3048" s="458">
        <v>4.5004678243299789E-2</v>
      </c>
      <c r="C3048" s="477">
        <v>18272884.688851379</v>
      </c>
      <c r="D3048" s="458">
        <v>7.0116951447788178E-2</v>
      </c>
      <c r="E3048" s="477">
        <v>15281645.568969712</v>
      </c>
      <c r="F3048" s="458">
        <v>0.10399929759318205</v>
      </c>
      <c r="G3048" s="477">
        <v>93430955.462032005</v>
      </c>
      <c r="H3048" s="458">
        <v>0.2931124733023649</v>
      </c>
      <c r="I3048" s="468">
        <v>6.7959008226766846</v>
      </c>
    </row>
    <row r="3049" spans="1:9" ht="16.5" x14ac:dyDescent="0.3">
      <c r="A3049" s="477">
        <v>2842345.5904126619</v>
      </c>
      <c r="B3049" s="458">
        <v>2.8373182156756327E-2</v>
      </c>
      <c r="C3049" s="477">
        <v>2957574.4605822037</v>
      </c>
      <c r="D3049" s="458">
        <v>7.6769006792094974E-2</v>
      </c>
      <c r="E3049" s="477">
        <v>21617917.337352917</v>
      </c>
      <c r="F3049" s="458">
        <v>0.1137549572610308</v>
      </c>
      <c r="G3049" s="477">
        <v>91139855.846208811</v>
      </c>
      <c r="H3049" s="458">
        <v>0.28105621652814494</v>
      </c>
      <c r="I3049" s="468">
        <v>6.9201047596069065</v>
      </c>
    </row>
    <row r="3050" spans="1:9" ht="16.5" x14ac:dyDescent="0.3">
      <c r="A3050" s="477">
        <v>6733652.4857578222</v>
      </c>
      <c r="B3050" s="458">
        <v>4.6918862180236331E-2</v>
      </c>
      <c r="C3050" s="477">
        <v>11672361.60961543</v>
      </c>
      <c r="D3050" s="458">
        <v>4.3583129902806661E-2</v>
      </c>
      <c r="E3050" s="477">
        <v>21199325.252013791</v>
      </c>
      <c r="F3050" s="458">
        <v>0.11731336033762818</v>
      </c>
      <c r="G3050" s="477">
        <v>99378263.064001217</v>
      </c>
      <c r="H3050" s="458">
        <v>0.28872643163864131</v>
      </c>
      <c r="I3050" s="468">
        <v>10.485506202624586</v>
      </c>
    </row>
    <row r="3051" spans="1:9" ht="16.5" x14ac:dyDescent="0.3">
      <c r="A3051" s="477">
        <v>3766325.1699023456</v>
      </c>
      <c r="B3051" s="458">
        <v>1.2380310459719546E-2</v>
      </c>
      <c r="C3051" s="477">
        <v>11569480.220770977</v>
      </c>
      <c r="D3051" s="458">
        <v>6.2355753150267201E-2</v>
      </c>
      <c r="E3051" s="477">
        <v>5482091.703930134</v>
      </c>
      <c r="F3051" s="458">
        <v>0.10674680243794676</v>
      </c>
      <c r="G3051" s="477">
        <v>97465571.586583197</v>
      </c>
      <c r="H3051" s="458">
        <v>0.2621360408396376</v>
      </c>
      <c r="I3051" s="468">
        <v>6.8855724167280581</v>
      </c>
    </row>
    <row r="3052" spans="1:9" ht="16.5" x14ac:dyDescent="0.3">
      <c r="A3052" s="477">
        <v>7597722.3526283428</v>
      </c>
      <c r="B3052" s="458">
        <v>4.2051687562454587E-2</v>
      </c>
      <c r="C3052" s="477">
        <v>10840540.121228717</v>
      </c>
      <c r="D3052" s="458">
        <v>8.5522065916987744E-2</v>
      </c>
      <c r="E3052" s="477">
        <v>24421795.828338761</v>
      </c>
      <c r="F3052" s="458">
        <v>0.10112547569838926</v>
      </c>
      <c r="G3052" s="477">
        <v>93237732.513508096</v>
      </c>
      <c r="H3052" s="458">
        <v>0.25718518394260181</v>
      </c>
      <c r="I3052" s="468">
        <v>1.9516922752932473</v>
      </c>
    </row>
    <row r="3053" spans="1:9" ht="16.5" x14ac:dyDescent="0.3">
      <c r="A3053" s="477">
        <v>6906426.1601140508</v>
      </c>
      <c r="B3053" s="458">
        <v>4.9785417307286473E-2</v>
      </c>
      <c r="C3053" s="477">
        <v>5432807.7056174986</v>
      </c>
      <c r="D3053" s="458">
        <v>7.0154619118911299E-2</v>
      </c>
      <c r="E3053" s="477">
        <v>8302463.9498861078</v>
      </c>
      <c r="F3053" s="458">
        <v>0.11626819463212068</v>
      </c>
      <c r="G3053" s="477">
        <v>101008975.30599859</v>
      </c>
      <c r="H3053" s="458">
        <v>0.25339949212186208</v>
      </c>
      <c r="I3053" s="468">
        <v>14.237381518120305</v>
      </c>
    </row>
    <row r="3054" spans="1:9" ht="16.5" x14ac:dyDescent="0.3">
      <c r="A3054" s="477">
        <v>4826043.0359420348</v>
      </c>
      <c r="B3054" s="458">
        <v>1.9858325389372711E-2</v>
      </c>
      <c r="C3054" s="477">
        <v>6275935.6730606435</v>
      </c>
      <c r="D3054" s="458">
        <v>5.2726003663162491E-2</v>
      </c>
      <c r="E3054" s="477">
        <v>14145532.574050596</v>
      </c>
      <c r="F3054" s="458">
        <v>0.12070912006157908</v>
      </c>
      <c r="G3054" s="477">
        <v>82132844.130607471</v>
      </c>
      <c r="H3054" s="458">
        <v>0.26777189445661453</v>
      </c>
      <c r="I3054" s="468">
        <v>9.3007560540271736</v>
      </c>
    </row>
    <row r="3055" spans="1:9" ht="16.5" x14ac:dyDescent="0.3">
      <c r="A3055" s="477">
        <v>5563547.5243822401</v>
      </c>
      <c r="B3055" s="458">
        <v>4.6933541726319916E-2</v>
      </c>
      <c r="C3055" s="477">
        <v>6449627.4836045364</v>
      </c>
      <c r="D3055" s="458">
        <v>8.2902356972048397E-2</v>
      </c>
      <c r="E3055" s="477">
        <v>18890451.970210407</v>
      </c>
      <c r="F3055" s="458">
        <v>0.10685718236571762</v>
      </c>
      <c r="G3055" s="477">
        <v>89181358.520442218</v>
      </c>
      <c r="H3055" s="458">
        <v>0.25380212194802731</v>
      </c>
      <c r="I3055" s="468">
        <v>4.3294881702943986</v>
      </c>
    </row>
    <row r="3056" spans="1:9" ht="16.5" x14ac:dyDescent="0.3">
      <c r="A3056" s="477">
        <v>4308969.1116356784</v>
      </c>
      <c r="B3056" s="458">
        <v>4.5280891440836468E-2</v>
      </c>
      <c r="C3056" s="477">
        <v>8225309.383267371</v>
      </c>
      <c r="D3056" s="458">
        <v>7.2962813725335751E-2</v>
      </c>
      <c r="E3056" s="477">
        <v>14459646.719153406</v>
      </c>
      <c r="F3056" s="458">
        <v>8.8018512899025847E-2</v>
      </c>
      <c r="G3056" s="477">
        <v>85098886.558644578</v>
      </c>
      <c r="H3056" s="458">
        <v>0.27990045958653842</v>
      </c>
      <c r="I3056" s="468">
        <v>10.281486865014744</v>
      </c>
    </row>
    <row r="3057" spans="1:9" ht="16.5" x14ac:dyDescent="0.3">
      <c r="A3057" s="477">
        <v>8107283.7836998599</v>
      </c>
      <c r="B3057" s="458">
        <v>5.9755813732113916E-2</v>
      </c>
      <c r="C3057" s="477">
        <v>10351989.354468986</v>
      </c>
      <c r="D3057" s="458">
        <v>9.635144667284723E-2</v>
      </c>
      <c r="E3057" s="477">
        <v>16835617.07284433</v>
      </c>
      <c r="F3057" s="458">
        <v>0.12845750827517821</v>
      </c>
      <c r="G3057" s="477">
        <v>98644099.849789798</v>
      </c>
      <c r="H3057" s="458">
        <v>0.26544958190535528</v>
      </c>
      <c r="I3057" s="468">
        <v>7.4535992072551478</v>
      </c>
    </row>
    <row r="3058" spans="1:9" ht="16.5" x14ac:dyDescent="0.3">
      <c r="A3058" s="477">
        <v>7737952.9288046909</v>
      </c>
      <c r="B3058" s="458">
        <v>5.2824758417110873E-2</v>
      </c>
      <c r="C3058" s="477">
        <v>6858621.7854779204</v>
      </c>
      <c r="D3058" s="458">
        <v>6.5455675108198275E-2</v>
      </c>
      <c r="E3058" s="477">
        <v>17072998.886844657</v>
      </c>
      <c r="F3058" s="458">
        <v>9.8138985937699097E-2</v>
      </c>
      <c r="G3058" s="477">
        <v>105099742.83754717</v>
      </c>
      <c r="H3058" s="458">
        <v>0.29173891165962362</v>
      </c>
      <c r="I3058" s="468">
        <v>2.5400023297383134</v>
      </c>
    </row>
    <row r="3059" spans="1:9" ht="16.5" x14ac:dyDescent="0.3">
      <c r="A3059" s="477">
        <v>3463315.5520366398</v>
      </c>
      <c r="B3059" s="458">
        <v>5.045486102779817E-2</v>
      </c>
      <c r="C3059" s="477">
        <v>9364764.1806878373</v>
      </c>
      <c r="D3059" s="458">
        <v>7.9217217337846257E-2</v>
      </c>
      <c r="E3059" s="477">
        <v>13562152.03315904</v>
      </c>
      <c r="F3059" s="458">
        <v>0.1208903987679224</v>
      </c>
      <c r="G3059" s="477">
        <v>89473126.533295333</v>
      </c>
      <c r="H3059" s="458">
        <v>0.26573547733379455</v>
      </c>
      <c r="I3059" s="468">
        <v>9.0658958696079335</v>
      </c>
    </row>
    <row r="3060" spans="1:9" ht="16.5" x14ac:dyDescent="0.3">
      <c r="A3060" s="477">
        <v>6594232.1655046316</v>
      </c>
      <c r="B3060" s="458">
        <v>6.1594896862290582E-2</v>
      </c>
      <c r="C3060" s="477">
        <v>9807778.5449849647</v>
      </c>
      <c r="D3060" s="458">
        <v>7.4190116457308664E-2</v>
      </c>
      <c r="E3060" s="477">
        <v>25175888.121913552</v>
      </c>
      <c r="F3060" s="458">
        <v>0.10582938521379059</v>
      </c>
      <c r="G3060" s="477">
        <v>96733648.835445389</v>
      </c>
      <c r="H3060" s="458">
        <v>0.28745843679552108</v>
      </c>
      <c r="I3060" s="468">
        <v>16.415080260386684</v>
      </c>
    </row>
    <row r="3061" spans="1:9" ht="16.5" x14ac:dyDescent="0.3">
      <c r="A3061" s="477">
        <v>5627707.8381935777</v>
      </c>
      <c r="B3061" s="458">
        <v>2.8706128574033318E-2</v>
      </c>
      <c r="C3061" s="477">
        <v>12788202.529236181</v>
      </c>
      <c r="D3061" s="458">
        <v>5.0204880460782197E-2</v>
      </c>
      <c r="E3061" s="477">
        <v>19367436.415746938</v>
      </c>
      <c r="F3061" s="458">
        <v>0.13672825968736602</v>
      </c>
      <c r="G3061" s="477">
        <v>91060077.98708725</v>
      </c>
      <c r="H3061" s="458">
        <v>0.28510325071027065</v>
      </c>
      <c r="I3061" s="468">
        <v>6.9209855350553067</v>
      </c>
    </row>
    <row r="3062" spans="1:9" ht="16.5" x14ac:dyDescent="0.3">
      <c r="A3062" s="477">
        <v>5283977.7776515754</v>
      </c>
      <c r="B3062" s="458">
        <v>4.2967802135447153E-2</v>
      </c>
      <c r="C3062" s="477">
        <v>2311323.0485834279</v>
      </c>
      <c r="D3062" s="458">
        <v>3.7334330674844152E-2</v>
      </c>
      <c r="E3062" s="477">
        <v>18270614.93485783</v>
      </c>
      <c r="F3062" s="458">
        <v>8.885017748769819E-2</v>
      </c>
      <c r="G3062" s="477">
        <v>79405838.045200393</v>
      </c>
      <c r="H3062" s="458">
        <v>0.25527035530854891</v>
      </c>
      <c r="I3062" s="468">
        <v>9.9842810372627415</v>
      </c>
    </row>
    <row r="3063" spans="1:9" ht="16.5" x14ac:dyDescent="0.3">
      <c r="A3063" s="477">
        <v>7121647.2188904919</v>
      </c>
      <c r="B3063" s="458">
        <v>4.518234655022213E-2</v>
      </c>
      <c r="C3063" s="477">
        <v>14874719.785305467</v>
      </c>
      <c r="D3063" s="458">
        <v>6.6402921037681084E-2</v>
      </c>
      <c r="E3063" s="477">
        <v>13091860.475317255</v>
      </c>
      <c r="F3063" s="458">
        <v>0.1085171848424642</v>
      </c>
      <c r="G3063" s="477">
        <v>93304010.908186898</v>
      </c>
      <c r="H3063" s="458">
        <v>0.28449510480427231</v>
      </c>
      <c r="I3063" s="468">
        <v>-1.292071508998248</v>
      </c>
    </row>
    <row r="3064" spans="1:9" ht="16.5" x14ac:dyDescent="0.3">
      <c r="A3064" s="477">
        <v>-2369250.1236953074</v>
      </c>
      <c r="B3064" s="458">
        <v>3.1949993150725886E-2</v>
      </c>
      <c r="C3064" s="477">
        <v>13915116.745226581</v>
      </c>
      <c r="D3064" s="458">
        <v>5.1290558199565961E-2</v>
      </c>
      <c r="E3064" s="477">
        <v>20253877.275312409</v>
      </c>
      <c r="F3064" s="458">
        <v>0.11345842913478132</v>
      </c>
      <c r="G3064" s="477">
        <v>79414020.983739436</v>
      </c>
      <c r="H3064" s="458">
        <v>0.29314200637048238</v>
      </c>
      <c r="I3064" s="468">
        <v>4.0914151639170164</v>
      </c>
    </row>
    <row r="3065" spans="1:9" ht="16.5" x14ac:dyDescent="0.3">
      <c r="A3065" s="477">
        <v>5636132.7845561299</v>
      </c>
      <c r="B3065" s="458">
        <v>2.4321162027530763E-2</v>
      </c>
      <c r="C3065" s="477">
        <v>12844894.6088227</v>
      </c>
      <c r="D3065" s="458">
        <v>6.6488476629378068E-2</v>
      </c>
      <c r="E3065" s="477">
        <v>20330563.872289147</v>
      </c>
      <c r="F3065" s="458">
        <v>0.13215582621441047</v>
      </c>
      <c r="G3065" s="477">
        <v>94628799.186955214</v>
      </c>
      <c r="H3065" s="458">
        <v>0.27083649058515569</v>
      </c>
      <c r="I3065" s="468">
        <v>3.1195125569372539</v>
      </c>
    </row>
    <row r="3066" spans="1:9" ht="16.5" x14ac:dyDescent="0.3">
      <c r="A3066" s="477">
        <v>6199076.5026661279</v>
      </c>
      <c r="B3066" s="458">
        <v>2.4700093234083731E-2</v>
      </c>
      <c r="C3066" s="477">
        <v>9415587.6561598349</v>
      </c>
      <c r="D3066" s="458">
        <v>8.3454007974659961E-2</v>
      </c>
      <c r="E3066" s="477">
        <v>16192068.312859477</v>
      </c>
      <c r="F3066" s="458">
        <v>0.12797489518338101</v>
      </c>
      <c r="G3066" s="477">
        <v>75189542.492178023</v>
      </c>
      <c r="H3066" s="458">
        <v>0.26175956392464106</v>
      </c>
      <c r="I3066" s="468">
        <v>16.317133015759666</v>
      </c>
    </row>
    <row r="3067" spans="1:9" ht="16.5" x14ac:dyDescent="0.3">
      <c r="A3067" s="477">
        <v>8518768.4827550929</v>
      </c>
      <c r="B3067" s="458">
        <v>6.3252948124739916E-2</v>
      </c>
      <c r="C3067" s="477">
        <v>-459742.92092685873</v>
      </c>
      <c r="D3067" s="458">
        <v>7.7349962229366964E-2</v>
      </c>
      <c r="E3067" s="477">
        <v>13257472.87580155</v>
      </c>
      <c r="F3067" s="458">
        <v>8.4809826981790515E-2</v>
      </c>
      <c r="G3067" s="477">
        <v>102894903.26968269</v>
      </c>
      <c r="H3067" s="458">
        <v>0.27595505642078155</v>
      </c>
      <c r="I3067" s="468">
        <v>2.8851579851903004</v>
      </c>
    </row>
    <row r="3068" spans="1:9" ht="16.5" x14ac:dyDescent="0.3">
      <c r="A3068" s="477">
        <v>8513629.4089682959</v>
      </c>
      <c r="B3068" s="458">
        <v>4.5343196842621225E-2</v>
      </c>
      <c r="C3068" s="477">
        <v>3493751.9290123838</v>
      </c>
      <c r="D3068" s="458">
        <v>7.6721439084646903E-2</v>
      </c>
      <c r="E3068" s="477">
        <v>9165519.6356533784</v>
      </c>
      <c r="F3068" s="458">
        <v>9.371206220104833E-2</v>
      </c>
      <c r="G3068" s="477">
        <v>85530835.340680182</v>
      </c>
      <c r="H3068" s="458">
        <v>0.2821487852396023</v>
      </c>
      <c r="I3068" s="468">
        <v>11.542772107669769</v>
      </c>
    </row>
    <row r="3069" spans="1:9" ht="16.5" x14ac:dyDescent="0.3">
      <c r="A3069" s="477">
        <v>6075053.2588554816</v>
      </c>
      <c r="B3069" s="458">
        <v>5.950361968782647E-2</v>
      </c>
      <c r="C3069" s="477">
        <v>10437394.650797138</v>
      </c>
      <c r="D3069" s="458">
        <v>6.4073964846511178E-2</v>
      </c>
      <c r="E3069" s="477">
        <v>13469839.646493535</v>
      </c>
      <c r="F3069" s="458">
        <v>9.6390833973262646E-2</v>
      </c>
      <c r="G3069" s="477">
        <v>80216548.591876045</v>
      </c>
      <c r="H3069" s="458">
        <v>0.27202456710448808</v>
      </c>
      <c r="I3069" s="468">
        <v>2.1420147117522808</v>
      </c>
    </row>
    <row r="3070" spans="1:9" ht="16.5" x14ac:dyDescent="0.3">
      <c r="A3070" s="477">
        <v>5263471.3306594491</v>
      </c>
      <c r="B3070" s="458">
        <v>3.2016410743637369E-2</v>
      </c>
      <c r="C3070" s="477">
        <v>9182123.1763311159</v>
      </c>
      <c r="D3070" s="458">
        <v>7.0763297425535887E-2</v>
      </c>
      <c r="E3070" s="477">
        <v>13372157.703668812</v>
      </c>
      <c r="F3070" s="458">
        <v>0.13480839922575583</v>
      </c>
      <c r="G3070" s="477">
        <v>110487541.17878366</v>
      </c>
      <c r="H3070" s="458">
        <v>0.2958208845679664</v>
      </c>
      <c r="I3070" s="468">
        <v>9.0262030650486622</v>
      </c>
    </row>
    <row r="3071" spans="1:9" ht="16.5" x14ac:dyDescent="0.3">
      <c r="A3071" s="477">
        <v>4107172.7976323827</v>
      </c>
      <c r="B3071" s="458">
        <v>3.2296258564088465E-2</v>
      </c>
      <c r="C3071" s="477">
        <v>6461893.5612258017</v>
      </c>
      <c r="D3071" s="458">
        <v>6.5103414515519376E-2</v>
      </c>
      <c r="E3071" s="477">
        <v>16462169.330336461</v>
      </c>
      <c r="F3071" s="458">
        <v>0.1019233410295326</v>
      </c>
      <c r="G3071" s="477">
        <v>87561782.854638666</v>
      </c>
      <c r="H3071" s="458">
        <v>0.28604549047768435</v>
      </c>
      <c r="I3071" s="468">
        <v>11.261178951370034</v>
      </c>
    </row>
    <row r="3072" spans="1:9" ht="16.5" x14ac:dyDescent="0.3">
      <c r="A3072" s="477">
        <v>4665469.5200973256</v>
      </c>
      <c r="B3072" s="458">
        <v>4.1931488561761654E-2</v>
      </c>
      <c r="C3072" s="477">
        <v>10361581.426602839</v>
      </c>
      <c r="D3072" s="458">
        <v>5.2296298694058274E-2</v>
      </c>
      <c r="E3072" s="477">
        <v>15428683.399569364</v>
      </c>
      <c r="F3072" s="458">
        <v>9.6133456915803439E-2</v>
      </c>
      <c r="G3072" s="477">
        <v>89520320.949223846</v>
      </c>
      <c r="H3072" s="458">
        <v>0.26655122488513072</v>
      </c>
      <c r="I3072" s="468">
        <v>4.6887906145487008</v>
      </c>
    </row>
    <row r="3073" spans="1:9" ht="16.5" x14ac:dyDescent="0.3">
      <c r="A3073" s="477">
        <v>7310697.2459526947</v>
      </c>
      <c r="B3073" s="458">
        <v>5.6160174942506913E-2</v>
      </c>
      <c r="C3073" s="477">
        <v>2282000.5218456215</v>
      </c>
      <c r="D3073" s="458">
        <v>6.7572342834163024E-2</v>
      </c>
      <c r="E3073" s="477">
        <v>20032898.912899908</v>
      </c>
      <c r="F3073" s="458">
        <v>0.11244729639377549</v>
      </c>
      <c r="G3073" s="477">
        <v>87686195.582239032</v>
      </c>
      <c r="H3073" s="458">
        <v>0.2778388960811895</v>
      </c>
      <c r="I3073" s="468">
        <v>5.5706717163707991</v>
      </c>
    </row>
    <row r="3074" spans="1:9" ht="16.5" x14ac:dyDescent="0.3">
      <c r="A3074" s="477">
        <v>12518246.927906945</v>
      </c>
      <c r="B3074" s="458">
        <v>3.943850867185783E-2</v>
      </c>
      <c r="C3074" s="477">
        <v>11383744.34483001</v>
      </c>
      <c r="D3074" s="458">
        <v>7.6210592801152055E-2</v>
      </c>
      <c r="E3074" s="477">
        <v>18555545.614258457</v>
      </c>
      <c r="F3074" s="458">
        <v>0.12425888861268541</v>
      </c>
      <c r="G3074" s="477">
        <v>96891099.361124009</v>
      </c>
      <c r="H3074" s="458">
        <v>0.26451284475734749</v>
      </c>
      <c r="I3074" s="468">
        <v>4.2699256657942932</v>
      </c>
    </row>
    <row r="3075" spans="1:9" ht="16.5" x14ac:dyDescent="0.3">
      <c r="A3075" s="477">
        <v>7358079.4350369656</v>
      </c>
      <c r="B3075" s="458">
        <v>3.2745523979168967E-2</v>
      </c>
      <c r="C3075" s="477">
        <v>11227277.692458391</v>
      </c>
      <c r="D3075" s="458">
        <v>5.3227187032827805E-2</v>
      </c>
      <c r="E3075" s="477">
        <v>11974008.719160831</v>
      </c>
      <c r="F3075" s="458">
        <v>0.10996124641581306</v>
      </c>
      <c r="G3075" s="477">
        <v>73968005.103172749</v>
      </c>
      <c r="H3075" s="458">
        <v>0.2772401613638058</v>
      </c>
      <c r="I3075" s="468">
        <v>10.32485693031321</v>
      </c>
    </row>
    <row r="3076" spans="1:9" ht="16.5" x14ac:dyDescent="0.3">
      <c r="A3076" s="477">
        <v>3726285.606430165</v>
      </c>
      <c r="B3076" s="458">
        <v>3.6743099171619331E-2</v>
      </c>
      <c r="C3076" s="477">
        <v>12204603.073535603</v>
      </c>
      <c r="D3076" s="458">
        <v>8.1219397609245458E-2</v>
      </c>
      <c r="E3076" s="477">
        <v>14610288.382943124</v>
      </c>
      <c r="F3076" s="458">
        <v>0.11434127720909704</v>
      </c>
      <c r="G3076" s="477">
        <v>94526289.170530632</v>
      </c>
      <c r="H3076" s="458">
        <v>0.28523481578488319</v>
      </c>
      <c r="I3076" s="468">
        <v>2.7010140380590366</v>
      </c>
    </row>
    <row r="3077" spans="1:9" ht="16.5" x14ac:dyDescent="0.3">
      <c r="A3077" s="477">
        <v>6799055.214796802</v>
      </c>
      <c r="B3077" s="458">
        <v>2.5834892534142506E-2</v>
      </c>
      <c r="C3077" s="477">
        <v>4704223.2749763448</v>
      </c>
      <c r="D3077" s="458">
        <v>6.6374865972376851E-2</v>
      </c>
      <c r="E3077" s="477">
        <v>9220623.9964197334</v>
      </c>
      <c r="F3077" s="458">
        <v>0.11892307248069334</v>
      </c>
      <c r="G3077" s="477">
        <v>88048324.656280667</v>
      </c>
      <c r="H3077" s="458">
        <v>0.27454698535383604</v>
      </c>
      <c r="I3077" s="468">
        <v>4.120294196889442</v>
      </c>
    </row>
    <row r="3078" spans="1:9" ht="16.5" x14ac:dyDescent="0.3">
      <c r="A3078" s="477">
        <v>2958486.8339658878</v>
      </c>
      <c r="B3078" s="458">
        <v>2.7527083022881538E-2</v>
      </c>
      <c r="C3078" s="477">
        <v>5570726.1170862531</v>
      </c>
      <c r="D3078" s="458">
        <v>7.0729084307176615E-2</v>
      </c>
      <c r="E3078" s="477">
        <v>21659439.123240083</v>
      </c>
      <c r="F3078" s="458">
        <v>0.10119524108320577</v>
      </c>
      <c r="G3078" s="477">
        <v>72986643.11659041</v>
      </c>
      <c r="H3078" s="458">
        <v>0.26696692313766079</v>
      </c>
      <c r="I3078" s="468">
        <v>6.7883485305736952</v>
      </c>
    </row>
    <row r="3079" spans="1:9" ht="16.5" x14ac:dyDescent="0.3">
      <c r="A3079" s="477">
        <v>1992788.5197782812</v>
      </c>
      <c r="B3079" s="458">
        <v>2.6661038166374107E-2</v>
      </c>
      <c r="C3079" s="477">
        <v>9380128.7110060342</v>
      </c>
      <c r="D3079" s="458">
        <v>8.3354474131871914E-2</v>
      </c>
      <c r="E3079" s="477">
        <v>19353614.628861278</v>
      </c>
      <c r="F3079" s="458">
        <v>9.7494175645784331E-2</v>
      </c>
      <c r="G3079" s="477">
        <v>96495605.988911346</v>
      </c>
      <c r="H3079" s="458">
        <v>0.29826269470513656</v>
      </c>
      <c r="I3079" s="468">
        <v>12.646269396046355</v>
      </c>
    </row>
    <row r="3080" spans="1:9" ht="16.5" x14ac:dyDescent="0.3">
      <c r="A3080" s="477">
        <v>6775919.6234241948</v>
      </c>
      <c r="B3080" s="458">
        <v>3.6618879830072615E-2</v>
      </c>
      <c r="C3080" s="477">
        <v>10396906.141410939</v>
      </c>
      <c r="D3080" s="458">
        <v>5.8192287741605675E-2</v>
      </c>
      <c r="E3080" s="477">
        <v>6890019.8534872727</v>
      </c>
      <c r="F3080" s="458">
        <v>0.12719524694967799</v>
      </c>
      <c r="G3080" s="477">
        <v>102109277.87245955</v>
      </c>
      <c r="H3080" s="458">
        <v>0.25042089324522165</v>
      </c>
      <c r="I3080" s="468">
        <v>9.6330888085609097</v>
      </c>
    </row>
    <row r="3081" spans="1:9" ht="16.5" x14ac:dyDescent="0.3">
      <c r="A3081" s="477">
        <v>1662203.8969837883</v>
      </c>
      <c r="B3081" s="458">
        <v>4.7404291366915929E-2</v>
      </c>
      <c r="C3081" s="477">
        <v>14127155.57854257</v>
      </c>
      <c r="D3081" s="458">
        <v>6.7716554788973093E-2</v>
      </c>
      <c r="E3081" s="477">
        <v>20770721.855806269</v>
      </c>
      <c r="F3081" s="458">
        <v>0.11324388918205841</v>
      </c>
      <c r="G3081" s="477">
        <v>88798544.582167909</v>
      </c>
      <c r="H3081" s="458">
        <v>0.2709450074321107</v>
      </c>
      <c r="I3081" s="468">
        <v>12.518040065196757</v>
      </c>
    </row>
    <row r="3082" spans="1:9" ht="16.5" x14ac:dyDescent="0.3">
      <c r="A3082" s="477">
        <v>7493716.130856297</v>
      </c>
      <c r="B3082" s="458">
        <v>4.1715337141311037E-2</v>
      </c>
      <c r="C3082" s="477">
        <v>13606086.011411304</v>
      </c>
      <c r="D3082" s="458">
        <v>4.9491324108885459E-2</v>
      </c>
      <c r="E3082" s="477">
        <v>10832912.419312255</v>
      </c>
      <c r="F3082" s="458">
        <v>9.8083885824135519E-2</v>
      </c>
      <c r="G3082" s="477">
        <v>88015172.719656959</v>
      </c>
      <c r="H3082" s="458">
        <v>0.27350704498069445</v>
      </c>
      <c r="I3082" s="468">
        <v>9.0355542579805199</v>
      </c>
    </row>
    <row r="3083" spans="1:9" ht="16.5" x14ac:dyDescent="0.3">
      <c r="A3083" s="477">
        <v>6362612.5137001937</v>
      </c>
      <c r="B3083" s="458">
        <v>4.4735028000602917E-2</v>
      </c>
      <c r="C3083" s="477">
        <v>2732072.9464668073</v>
      </c>
      <c r="D3083" s="458">
        <v>6.7928207712464328E-2</v>
      </c>
      <c r="E3083" s="477">
        <v>14432950.686452486</v>
      </c>
      <c r="F3083" s="458">
        <v>0.11181526463711999</v>
      </c>
      <c r="G3083" s="477">
        <v>101050134.35778424</v>
      </c>
      <c r="H3083" s="458">
        <v>0.28652090184366474</v>
      </c>
      <c r="I3083" s="468">
        <v>12.453543414261201</v>
      </c>
    </row>
    <row r="3084" spans="1:9" ht="16.5" x14ac:dyDescent="0.3">
      <c r="A3084" s="477">
        <v>2215847.0097616892</v>
      </c>
      <c r="B3084" s="458">
        <v>3.4559008239387845E-2</v>
      </c>
      <c r="C3084" s="477">
        <v>10491892.191840259</v>
      </c>
      <c r="D3084" s="458">
        <v>4.8851855760835949E-2</v>
      </c>
      <c r="E3084" s="477">
        <v>13600279.460523473</v>
      </c>
      <c r="F3084" s="458">
        <v>0.10551059623279535</v>
      </c>
      <c r="G3084" s="477">
        <v>81313898.778885677</v>
      </c>
      <c r="H3084" s="458">
        <v>0.27587849289153654</v>
      </c>
      <c r="I3084" s="468">
        <v>11.808460823152759</v>
      </c>
    </row>
    <row r="3085" spans="1:9" ht="16.5" x14ac:dyDescent="0.3">
      <c r="A3085" s="477">
        <v>5755232.4629460955</v>
      </c>
      <c r="B3085" s="458">
        <v>3.7391411017956067E-2</v>
      </c>
      <c r="C3085" s="477">
        <v>10475909.473487463</v>
      </c>
      <c r="D3085" s="458">
        <v>8.3328486335934482E-2</v>
      </c>
      <c r="E3085" s="477">
        <v>22160573.599003401</v>
      </c>
      <c r="F3085" s="458">
        <v>0.10580752502196544</v>
      </c>
      <c r="G3085" s="477">
        <v>81661837.920044586</v>
      </c>
      <c r="H3085" s="458">
        <v>0.27302336343466505</v>
      </c>
      <c r="I3085" s="468">
        <v>8.6345219312799024</v>
      </c>
    </row>
    <row r="3086" spans="1:9" ht="16.5" x14ac:dyDescent="0.3">
      <c r="A3086" s="477">
        <v>1883060.1756300449</v>
      </c>
      <c r="B3086" s="458">
        <v>4.1005444445121997E-2</v>
      </c>
      <c r="C3086" s="477">
        <v>-448517.77471595269</v>
      </c>
      <c r="D3086" s="458">
        <v>6.7515094009301002E-2</v>
      </c>
      <c r="E3086" s="477">
        <v>17596696.980306439</v>
      </c>
      <c r="F3086" s="458">
        <v>0.11008380273014762</v>
      </c>
      <c r="G3086" s="477">
        <v>82101645.147543132</v>
      </c>
      <c r="H3086" s="458">
        <v>0.27125748095351065</v>
      </c>
      <c r="I3086" s="468">
        <v>5.0940433354984087</v>
      </c>
    </row>
    <row r="3087" spans="1:9" ht="16.5" x14ac:dyDescent="0.3">
      <c r="A3087" s="477">
        <v>7054096.9082985846</v>
      </c>
      <c r="B3087" s="458">
        <v>3.3132006714665874E-2</v>
      </c>
      <c r="C3087" s="477">
        <v>6411085.6885707257</v>
      </c>
      <c r="D3087" s="458">
        <v>5.9312223324603286E-2</v>
      </c>
      <c r="E3087" s="477">
        <v>17545952.450758282</v>
      </c>
      <c r="F3087" s="458">
        <v>0.11249121152294328</v>
      </c>
      <c r="G3087" s="477">
        <v>88685969.941257641</v>
      </c>
      <c r="H3087" s="458">
        <v>0.26507651318989622</v>
      </c>
      <c r="I3087" s="468">
        <v>7.6309417253970704</v>
      </c>
    </row>
    <row r="3088" spans="1:9" ht="16.5" x14ac:dyDescent="0.3">
      <c r="A3088" s="477">
        <v>5562994.0923022525</v>
      </c>
      <c r="B3088" s="458">
        <v>2.8927689693877712E-2</v>
      </c>
      <c r="C3088" s="477">
        <v>2963478.5271121059</v>
      </c>
      <c r="D3088" s="458">
        <v>7.7697856486155237E-2</v>
      </c>
      <c r="E3088" s="477">
        <v>20262115.301017653</v>
      </c>
      <c r="F3088" s="458">
        <v>0.13932314092898612</v>
      </c>
      <c r="G3088" s="477">
        <v>96444078.032873586</v>
      </c>
      <c r="H3088" s="458">
        <v>0.25521630767381476</v>
      </c>
      <c r="I3088" s="468">
        <v>8.882715562176541</v>
      </c>
    </row>
    <row r="3089" spans="1:9" ht="16.5" x14ac:dyDescent="0.3">
      <c r="A3089" s="477">
        <v>5924964.5001326259</v>
      </c>
      <c r="B3089" s="458">
        <v>4.7620861189100916E-2</v>
      </c>
      <c r="C3089" s="477">
        <v>11430474.636249682</v>
      </c>
      <c r="D3089" s="458">
        <v>9.1419201887144919E-2</v>
      </c>
      <c r="E3089" s="477">
        <v>22625809.176941469</v>
      </c>
      <c r="F3089" s="458">
        <v>8.9001644291023974E-2</v>
      </c>
      <c r="G3089" s="477">
        <v>97666497.190701798</v>
      </c>
      <c r="H3089" s="458">
        <v>0.26946297722878487</v>
      </c>
      <c r="I3089" s="468">
        <v>12.780136460282517</v>
      </c>
    </row>
    <row r="3090" spans="1:9" ht="16.5" x14ac:dyDescent="0.3">
      <c r="A3090" s="477">
        <v>507066.08914029924</v>
      </c>
      <c r="B3090" s="458">
        <v>7.2292327372589282E-2</v>
      </c>
      <c r="C3090" s="477">
        <v>8871330.1090853047</v>
      </c>
      <c r="D3090" s="458">
        <v>7.5977789712954769E-2</v>
      </c>
      <c r="E3090" s="477">
        <v>16729340.617788434</v>
      </c>
      <c r="F3090" s="458">
        <v>0.13721427358710314</v>
      </c>
      <c r="G3090" s="477">
        <v>81906808.484908968</v>
      </c>
      <c r="H3090" s="458">
        <v>0.26404548135968642</v>
      </c>
      <c r="I3090" s="468">
        <v>5.6742161732284586</v>
      </c>
    </row>
    <row r="3091" spans="1:9" ht="16.5" x14ac:dyDescent="0.3">
      <c r="A3091" s="477">
        <v>3884365.7925484222</v>
      </c>
      <c r="B3091" s="458">
        <v>2.2245145590263915E-2</v>
      </c>
      <c r="C3091" s="477">
        <v>8442834.5854041595</v>
      </c>
      <c r="D3091" s="458">
        <v>6.5652021469413402E-2</v>
      </c>
      <c r="E3091" s="477">
        <v>24865900.529332295</v>
      </c>
      <c r="F3091" s="458">
        <v>0.12005454143668248</v>
      </c>
      <c r="G3091" s="477">
        <v>81270306.844362929</v>
      </c>
      <c r="H3091" s="458">
        <v>0.29733901792916484</v>
      </c>
      <c r="I3091" s="468">
        <v>5.7549799772827059</v>
      </c>
    </row>
    <row r="3092" spans="1:9" ht="16.5" x14ac:dyDescent="0.3">
      <c r="A3092" s="477">
        <v>3426739.001542178</v>
      </c>
      <c r="B3092" s="458">
        <v>3.7014578943326049E-2</v>
      </c>
      <c r="C3092" s="477">
        <v>10406045.668672966</v>
      </c>
      <c r="D3092" s="458">
        <v>5.1260337122288391E-2</v>
      </c>
      <c r="E3092" s="477">
        <v>15184208.940591957</v>
      </c>
      <c r="F3092" s="458">
        <v>0.13951601738071706</v>
      </c>
      <c r="G3092" s="477">
        <v>90532632.355976641</v>
      </c>
      <c r="H3092" s="458">
        <v>0.2654577413253747</v>
      </c>
      <c r="I3092" s="468">
        <v>14.739729628139663</v>
      </c>
    </row>
    <row r="3093" spans="1:9" ht="16.5" x14ac:dyDescent="0.3">
      <c r="A3093" s="477">
        <v>5589582.2554993117</v>
      </c>
      <c r="B3093" s="458">
        <v>4.7080080690817594E-2</v>
      </c>
      <c r="C3093" s="477">
        <v>2975422.2986138859</v>
      </c>
      <c r="D3093" s="458">
        <v>8.343270901828892E-2</v>
      </c>
      <c r="E3093" s="477">
        <v>14583829.605040357</v>
      </c>
      <c r="F3093" s="458">
        <v>0.12705188097650666</v>
      </c>
      <c r="G3093" s="477">
        <v>83482848.588415906</v>
      </c>
      <c r="H3093" s="458">
        <v>0.27417522742569966</v>
      </c>
      <c r="I3093" s="468">
        <v>11.644930384035172</v>
      </c>
    </row>
    <row r="3094" spans="1:9" ht="16.5" x14ac:dyDescent="0.3">
      <c r="A3094" s="477">
        <v>8900106.2350069731</v>
      </c>
      <c r="B3094" s="458">
        <v>3.8665177740849987E-2</v>
      </c>
      <c r="C3094" s="477">
        <v>4836915.1347236494</v>
      </c>
      <c r="D3094" s="458">
        <v>6.1134395137076414E-2</v>
      </c>
      <c r="E3094" s="477">
        <v>12213774.764727427</v>
      </c>
      <c r="F3094" s="458">
        <v>0.12305997088235432</v>
      </c>
      <c r="G3094" s="477">
        <v>87810666.523798078</v>
      </c>
      <c r="H3094" s="458">
        <v>0.27787703193623048</v>
      </c>
      <c r="I3094" s="468">
        <v>10.472216108747821</v>
      </c>
    </row>
    <row r="3095" spans="1:9" ht="16.5" x14ac:dyDescent="0.3">
      <c r="A3095" s="477">
        <v>7475302.1904091937</v>
      </c>
      <c r="B3095" s="458">
        <v>3.7038526886673973E-2</v>
      </c>
      <c r="C3095" s="477">
        <v>8306724.6659898162</v>
      </c>
      <c r="D3095" s="458">
        <v>5.3214658093461598E-2</v>
      </c>
      <c r="E3095" s="477">
        <v>20011982.472014658</v>
      </c>
      <c r="F3095" s="458">
        <v>0.12137253198601439</v>
      </c>
      <c r="G3095" s="477">
        <v>96113106.65548864</v>
      </c>
      <c r="H3095" s="458">
        <v>0.26816816298446211</v>
      </c>
      <c r="I3095" s="468">
        <v>8.4398847901667047</v>
      </c>
    </row>
    <row r="3096" spans="1:9" ht="16.5" x14ac:dyDescent="0.3">
      <c r="A3096" s="477">
        <v>6422202.6127780154</v>
      </c>
      <c r="B3096" s="458">
        <v>3.1448670606756712E-2</v>
      </c>
      <c r="C3096" s="477">
        <v>10666197.729841933</v>
      </c>
      <c r="D3096" s="458">
        <v>9.7098309549777717E-2</v>
      </c>
      <c r="E3096" s="477">
        <v>20731292.498896807</v>
      </c>
      <c r="F3096" s="458">
        <v>0.14581059670114338</v>
      </c>
      <c r="G3096" s="477">
        <v>80339898.624743253</v>
      </c>
      <c r="H3096" s="458">
        <v>0.28280135643465965</v>
      </c>
      <c r="I3096" s="468">
        <v>12.507506201579435</v>
      </c>
    </row>
    <row r="3097" spans="1:9" ht="16.5" x14ac:dyDescent="0.3">
      <c r="A3097" s="477">
        <v>9433322.2376381345</v>
      </c>
      <c r="B3097" s="458">
        <v>4.4521089405324954E-2</v>
      </c>
      <c r="C3097" s="477">
        <v>15372879.502098145</v>
      </c>
      <c r="D3097" s="458">
        <v>7.2054467766391017E-2</v>
      </c>
      <c r="E3097" s="477">
        <v>16986074.378394958</v>
      </c>
      <c r="F3097" s="458">
        <v>0.12272982442655223</v>
      </c>
      <c r="G3097" s="477">
        <v>82374369.91598174</v>
      </c>
      <c r="H3097" s="458">
        <v>0.26201556234518142</v>
      </c>
      <c r="I3097" s="468">
        <v>6.3252042259396823</v>
      </c>
    </row>
    <row r="3098" spans="1:9" ht="16.5" x14ac:dyDescent="0.3">
      <c r="A3098" s="477">
        <v>1872729.8418799057</v>
      </c>
      <c r="B3098" s="458">
        <v>3.6182664814165877E-2</v>
      </c>
      <c r="C3098" s="477">
        <v>11259605.136376698</v>
      </c>
      <c r="D3098" s="458">
        <v>5.3456474392836073E-2</v>
      </c>
      <c r="E3098" s="477">
        <v>16339112.121798571</v>
      </c>
      <c r="F3098" s="458">
        <v>0.10822963510108163</v>
      </c>
      <c r="G3098" s="477">
        <v>93686300.626375601</v>
      </c>
      <c r="H3098" s="458">
        <v>0.27580610287581275</v>
      </c>
      <c r="I3098" s="468">
        <v>4.033581348031241</v>
      </c>
    </row>
    <row r="3099" spans="1:9" ht="16.5" x14ac:dyDescent="0.3">
      <c r="A3099" s="477">
        <v>4984847.053157296</v>
      </c>
      <c r="B3099" s="458">
        <v>4.2184003817948845E-2</v>
      </c>
      <c r="C3099" s="477">
        <v>4162555.5195639594</v>
      </c>
      <c r="D3099" s="458">
        <v>5.3545220087681367E-2</v>
      </c>
      <c r="E3099" s="477">
        <v>6157921.296508099</v>
      </c>
      <c r="F3099" s="458">
        <v>0.10381585638885737</v>
      </c>
      <c r="G3099" s="477">
        <v>76959075.937126055</v>
      </c>
      <c r="H3099" s="458">
        <v>0.27431877491470957</v>
      </c>
      <c r="I3099" s="468">
        <v>12.230696131326772</v>
      </c>
    </row>
    <row r="3100" spans="1:9" ht="16.5" x14ac:dyDescent="0.3">
      <c r="A3100" s="477">
        <v>993465.30792114395</v>
      </c>
      <c r="B3100" s="458">
        <v>3.0340716227726494E-2</v>
      </c>
      <c r="C3100" s="477">
        <v>7797701.6286646817</v>
      </c>
      <c r="D3100" s="458">
        <v>5.7199076925982473E-2</v>
      </c>
      <c r="E3100" s="477">
        <v>23871519.351657011</v>
      </c>
      <c r="F3100" s="458">
        <v>0.11111786690149716</v>
      </c>
      <c r="G3100" s="477">
        <v>82732329.582225338</v>
      </c>
      <c r="H3100" s="458">
        <v>0.2608135369782858</v>
      </c>
      <c r="I3100" s="468">
        <v>6.8099442493034577</v>
      </c>
    </row>
    <row r="3101" spans="1:9" ht="16.5" x14ac:dyDescent="0.3">
      <c r="A3101" s="477">
        <v>-918884.23573545623</v>
      </c>
      <c r="B3101" s="458">
        <v>2.7758757413829827E-2</v>
      </c>
      <c r="C3101" s="477">
        <v>8199320.9720303332</v>
      </c>
      <c r="D3101" s="458">
        <v>8.1702317914501332E-2</v>
      </c>
      <c r="E3101" s="477">
        <v>2945740.9258389603</v>
      </c>
      <c r="F3101" s="458">
        <v>8.733036331422972E-2</v>
      </c>
      <c r="G3101" s="477">
        <v>90916900.523001909</v>
      </c>
      <c r="H3101" s="458">
        <v>0.26045251777178113</v>
      </c>
      <c r="I3101" s="468">
        <v>9.1411198155441795</v>
      </c>
    </row>
    <row r="3102" spans="1:9" ht="16.5" x14ac:dyDescent="0.3">
      <c r="A3102" s="477">
        <v>5782226.0808141883</v>
      </c>
      <c r="B3102" s="458">
        <v>4.7448651292521404E-2</v>
      </c>
      <c r="C3102" s="477">
        <v>6414638.4531408846</v>
      </c>
      <c r="D3102" s="458">
        <v>0.10320700226106982</v>
      </c>
      <c r="E3102" s="477">
        <v>15693930.732261904</v>
      </c>
      <c r="F3102" s="458">
        <v>0.12277853901498936</v>
      </c>
      <c r="G3102" s="477">
        <v>95492013.798689052</v>
      </c>
      <c r="H3102" s="458">
        <v>0.25783321114956914</v>
      </c>
      <c r="I3102" s="468">
        <v>13.265468831749448</v>
      </c>
    </row>
    <row r="3103" spans="1:9" ht="16.5" x14ac:dyDescent="0.3">
      <c r="A3103" s="477">
        <v>4612389.6317821499</v>
      </c>
      <c r="B3103" s="458">
        <v>4.3132674034052743E-2</v>
      </c>
      <c r="C3103" s="477">
        <v>8186195.4656665791</v>
      </c>
      <c r="D3103" s="458">
        <v>4.842894146908705E-2</v>
      </c>
      <c r="E3103" s="477">
        <v>9254173.476969149</v>
      </c>
      <c r="F3103" s="458">
        <v>0.10708204670111665</v>
      </c>
      <c r="G3103" s="477">
        <v>86220657.077892423</v>
      </c>
      <c r="H3103" s="458">
        <v>0.26827067449155617</v>
      </c>
      <c r="I3103" s="468">
        <v>10.726302557361421</v>
      </c>
    </row>
    <row r="3104" spans="1:9" ht="16.5" x14ac:dyDescent="0.3">
      <c r="A3104" s="477">
        <v>861959.42797014141</v>
      </c>
      <c r="B3104" s="458">
        <v>3.8380783198297852E-2</v>
      </c>
      <c r="C3104" s="477">
        <v>14593288.936255902</v>
      </c>
      <c r="D3104" s="458">
        <v>1.9715093632957092E-2</v>
      </c>
      <c r="E3104" s="477">
        <v>14342219.77038658</v>
      </c>
      <c r="F3104" s="458">
        <v>9.0735378419839918E-2</v>
      </c>
      <c r="G3104" s="477">
        <v>88352433.231881946</v>
      </c>
      <c r="H3104" s="458">
        <v>0.27480504654307425</v>
      </c>
      <c r="I3104" s="468">
        <v>3.5133521491590551</v>
      </c>
    </row>
    <row r="3105" spans="1:9" ht="16.5" x14ac:dyDescent="0.3">
      <c r="A3105" s="477">
        <v>2531185.495046251</v>
      </c>
      <c r="B3105" s="458">
        <v>1.8482568886272643E-2</v>
      </c>
      <c r="C3105" s="477">
        <v>3761881.3737288648</v>
      </c>
      <c r="D3105" s="458">
        <v>8.0466228049854482E-2</v>
      </c>
      <c r="E3105" s="477">
        <v>20356328.696175244</v>
      </c>
      <c r="F3105" s="458">
        <v>0.1175264694538527</v>
      </c>
      <c r="G3105" s="477">
        <v>75236618.228851557</v>
      </c>
      <c r="H3105" s="458">
        <v>0.26773075980375616</v>
      </c>
      <c r="I3105" s="468">
        <v>10.243131136554402</v>
      </c>
    </row>
    <row r="3106" spans="1:9" ht="16.5" x14ac:dyDescent="0.3">
      <c r="A3106" s="477">
        <v>4692662.6898996504</v>
      </c>
      <c r="B3106" s="458">
        <v>5.3428770170403039E-2</v>
      </c>
      <c r="C3106" s="477">
        <v>12058570.9134549</v>
      </c>
      <c r="D3106" s="458">
        <v>5.8729003850958694E-2</v>
      </c>
      <c r="E3106" s="477">
        <v>10387016.712195233</v>
      </c>
      <c r="F3106" s="458">
        <v>0.11737352897095765</v>
      </c>
      <c r="G3106" s="477">
        <v>94140417.974283472</v>
      </c>
      <c r="H3106" s="458">
        <v>0.29365132305760899</v>
      </c>
      <c r="I3106" s="468">
        <v>6.6760807927356085</v>
      </c>
    </row>
    <row r="3107" spans="1:9" ht="16.5" x14ac:dyDescent="0.3">
      <c r="A3107" s="477">
        <v>7748217.2096215533</v>
      </c>
      <c r="B3107" s="458">
        <v>3.9219563865948048E-2</v>
      </c>
      <c r="C3107" s="477">
        <v>7234477.9807646107</v>
      </c>
      <c r="D3107" s="458">
        <v>5.3083110396785482E-2</v>
      </c>
      <c r="E3107" s="477">
        <v>16940263.784388945</v>
      </c>
      <c r="F3107" s="458">
        <v>0.10011573947854857</v>
      </c>
      <c r="G3107" s="477">
        <v>98898780.285196245</v>
      </c>
      <c r="H3107" s="458">
        <v>0.2928378497266948</v>
      </c>
      <c r="I3107" s="468">
        <v>9.473448658648433</v>
      </c>
    </row>
    <row r="3108" spans="1:9" ht="16.5" x14ac:dyDescent="0.3">
      <c r="A3108" s="477">
        <v>7176048.5636239629</v>
      </c>
      <c r="B3108" s="458">
        <v>2.4409378788097236E-2</v>
      </c>
      <c r="C3108" s="477">
        <v>7159361.8649340626</v>
      </c>
      <c r="D3108" s="458">
        <v>6.0197209666805973E-2</v>
      </c>
      <c r="E3108" s="477">
        <v>20631357.609055318</v>
      </c>
      <c r="F3108" s="458">
        <v>9.5414948916644038E-2</v>
      </c>
      <c r="G3108" s="477">
        <v>98403480.805836335</v>
      </c>
      <c r="H3108" s="458">
        <v>0.27460681851407309</v>
      </c>
      <c r="I3108" s="468">
        <v>9.1016093573611929</v>
      </c>
    </row>
    <row r="3109" spans="1:9" ht="16.5" x14ac:dyDescent="0.3">
      <c r="A3109" s="477">
        <v>8037139.9493626645</v>
      </c>
      <c r="B3109" s="458">
        <v>3.0070661474477012E-2</v>
      </c>
      <c r="C3109" s="477">
        <v>10974094.798848094</v>
      </c>
      <c r="D3109" s="458">
        <v>4.8956011905308072E-2</v>
      </c>
      <c r="E3109" s="477">
        <v>17348554.479824025</v>
      </c>
      <c r="F3109" s="458">
        <v>0.11153942602161315</v>
      </c>
      <c r="G3109" s="477">
        <v>84082690.60796541</v>
      </c>
      <c r="H3109" s="458">
        <v>0.2598133514186991</v>
      </c>
      <c r="I3109" s="468">
        <v>9.0595022004568317</v>
      </c>
    </row>
    <row r="3110" spans="1:9" ht="16.5" x14ac:dyDescent="0.3">
      <c r="A3110" s="477">
        <v>-178217.20944346482</v>
      </c>
      <c r="B3110" s="458">
        <v>5.8971763832702528E-2</v>
      </c>
      <c r="C3110" s="477">
        <v>13955484.587050403</v>
      </c>
      <c r="D3110" s="458">
        <v>5.4246490221919075E-2</v>
      </c>
      <c r="E3110" s="477">
        <v>20132279.93885893</v>
      </c>
      <c r="F3110" s="458">
        <v>9.733457778537602E-2</v>
      </c>
      <c r="G3110" s="477">
        <v>92532204.871356964</v>
      </c>
      <c r="H3110" s="458">
        <v>0.24520266440042593</v>
      </c>
      <c r="I3110" s="468">
        <v>6.3812913080737514</v>
      </c>
    </row>
    <row r="3111" spans="1:9" ht="16.5" x14ac:dyDescent="0.3">
      <c r="A3111" s="477">
        <v>4426817.3787358897</v>
      </c>
      <c r="B3111" s="458">
        <v>4.1244241003278059E-2</v>
      </c>
      <c r="C3111" s="477">
        <v>9453067.3656370919</v>
      </c>
      <c r="D3111" s="458">
        <v>7.8510516521370644E-2</v>
      </c>
      <c r="E3111" s="477">
        <v>18069855.09926879</v>
      </c>
      <c r="F3111" s="458">
        <v>0.10997414971332176</v>
      </c>
      <c r="G3111" s="477">
        <v>103084523.25531811</v>
      </c>
      <c r="H3111" s="458">
        <v>0.27596890376447547</v>
      </c>
      <c r="I3111" s="468">
        <v>0.13794664916912502</v>
      </c>
    </row>
    <row r="3112" spans="1:9" ht="16.5" x14ac:dyDescent="0.3">
      <c r="A3112" s="477">
        <v>8181016.9600274451</v>
      </c>
      <c r="B3112" s="458">
        <v>2.5607417816714051E-2</v>
      </c>
      <c r="C3112" s="477">
        <v>10976636.097564807</v>
      </c>
      <c r="D3112" s="458">
        <v>4.7834000565597279E-2</v>
      </c>
      <c r="E3112" s="477">
        <v>2895078.0225798511</v>
      </c>
      <c r="F3112" s="458">
        <v>0.10319877602527017</v>
      </c>
      <c r="G3112" s="477">
        <v>77706300.784057409</v>
      </c>
      <c r="H3112" s="458">
        <v>0.26347021389162295</v>
      </c>
      <c r="I3112" s="468">
        <v>14.31247599302371</v>
      </c>
    </row>
    <row r="3113" spans="1:9" ht="16.5" x14ac:dyDescent="0.3">
      <c r="A3113" s="477">
        <v>5471268.5036023343</v>
      </c>
      <c r="B3113" s="458">
        <v>5.6254991652255448E-2</v>
      </c>
      <c r="C3113" s="477">
        <v>12860731.05247736</v>
      </c>
      <c r="D3113" s="458">
        <v>5.0234327279099933E-2</v>
      </c>
      <c r="E3113" s="477">
        <v>18733032.229496349</v>
      </c>
      <c r="F3113" s="458">
        <v>0.11947646533503642</v>
      </c>
      <c r="G3113" s="477">
        <v>84606004.196764559</v>
      </c>
      <c r="H3113" s="458">
        <v>0.27185382377283274</v>
      </c>
      <c r="I3113" s="468">
        <v>13.814720905042996</v>
      </c>
    </row>
    <row r="3114" spans="1:9" ht="16.5" x14ac:dyDescent="0.3">
      <c r="A3114" s="477">
        <v>6671223.5555612855</v>
      </c>
      <c r="B3114" s="458">
        <v>6.2790305569276894E-2</v>
      </c>
      <c r="C3114" s="477">
        <v>11250289.620746944</v>
      </c>
      <c r="D3114" s="458">
        <v>8.0129323145610387E-2</v>
      </c>
      <c r="E3114" s="477">
        <v>20306515.179937232</v>
      </c>
      <c r="F3114" s="458">
        <v>9.2939510974799022E-2</v>
      </c>
      <c r="G3114" s="477">
        <v>87238809.791559815</v>
      </c>
      <c r="H3114" s="458">
        <v>0.27563287646184609</v>
      </c>
      <c r="I3114" s="468">
        <v>8.8828875202625976</v>
      </c>
    </row>
    <row r="3115" spans="1:9" ht="16.5" x14ac:dyDescent="0.3">
      <c r="A3115" s="477">
        <v>3576353.1597885066</v>
      </c>
      <c r="B3115" s="458">
        <v>3.1338941712355295E-2</v>
      </c>
      <c r="C3115" s="477">
        <v>14052591.307733405</v>
      </c>
      <c r="D3115" s="458">
        <v>3.62075127361281E-2</v>
      </c>
      <c r="E3115" s="477">
        <v>21128263.089709565</v>
      </c>
      <c r="F3115" s="458">
        <v>0.11531897942900238</v>
      </c>
      <c r="G3115" s="477">
        <v>81019948.636906013</v>
      </c>
      <c r="H3115" s="458">
        <v>0.27462015529159478</v>
      </c>
      <c r="I3115" s="468">
        <v>8.2068286089499551</v>
      </c>
    </row>
    <row r="3116" spans="1:9" ht="16.5" x14ac:dyDescent="0.3">
      <c r="A3116" s="477">
        <v>5666099.302143164</v>
      </c>
      <c r="B3116" s="458">
        <v>3.3910461966602856E-2</v>
      </c>
      <c r="C3116" s="477">
        <v>12199569.042359889</v>
      </c>
      <c r="D3116" s="458">
        <v>5.6868885312668205E-2</v>
      </c>
      <c r="E3116" s="477">
        <v>20885402.508523591</v>
      </c>
      <c r="F3116" s="458">
        <v>0.12279806192893483</v>
      </c>
      <c r="G3116" s="477">
        <v>94979088.847893685</v>
      </c>
      <c r="H3116" s="458">
        <v>0.26834958150507715</v>
      </c>
      <c r="I3116" s="468">
        <v>11.572478291857477</v>
      </c>
    </row>
    <row r="3117" spans="1:9" ht="16.5" x14ac:dyDescent="0.3">
      <c r="A3117" s="477">
        <v>8663222.2942282762</v>
      </c>
      <c r="B3117" s="458">
        <v>4.9731192319960593E-2</v>
      </c>
      <c r="C3117" s="477">
        <v>11218018.457667388</v>
      </c>
      <c r="D3117" s="458">
        <v>5.1073240532754749E-2</v>
      </c>
      <c r="E3117" s="477">
        <v>14874617.121768722</v>
      </c>
      <c r="F3117" s="458">
        <v>0.1162323708377857</v>
      </c>
      <c r="G3117" s="477">
        <v>107662676.15568872</v>
      </c>
      <c r="H3117" s="458">
        <v>0.27991390333839927</v>
      </c>
      <c r="I3117" s="468">
        <v>9.8504522069372218</v>
      </c>
    </row>
    <row r="3118" spans="1:9" ht="16.5" x14ac:dyDescent="0.3">
      <c r="A3118" s="477">
        <v>7206668.5933997538</v>
      </c>
      <c r="B3118" s="458">
        <v>3.9019915267061389E-2</v>
      </c>
      <c r="C3118" s="477">
        <v>6803516.888123665</v>
      </c>
      <c r="D3118" s="458">
        <v>6.8352903600265247E-2</v>
      </c>
      <c r="E3118" s="477">
        <v>11539209.565250536</v>
      </c>
      <c r="F3118" s="458">
        <v>8.6466370457004782E-2</v>
      </c>
      <c r="G3118" s="477">
        <v>93114402.890639693</v>
      </c>
      <c r="H3118" s="458">
        <v>0.2969132714446856</v>
      </c>
      <c r="I3118" s="468">
        <v>12.839002053880332</v>
      </c>
    </row>
    <row r="3119" spans="1:9" ht="16.5" x14ac:dyDescent="0.3">
      <c r="A3119" s="477">
        <v>932845.10058270337</v>
      </c>
      <c r="B3119" s="458">
        <v>5.0391378635484152E-2</v>
      </c>
      <c r="C3119" s="477">
        <v>9163072.3481267132</v>
      </c>
      <c r="D3119" s="458">
        <v>9.1367150782777573E-2</v>
      </c>
      <c r="E3119" s="477">
        <v>13256739.648519119</v>
      </c>
      <c r="F3119" s="458">
        <v>0.11306399892391172</v>
      </c>
      <c r="G3119" s="477">
        <v>106896613.74635197</v>
      </c>
      <c r="H3119" s="458">
        <v>0.27335663463096482</v>
      </c>
      <c r="I3119" s="468">
        <v>10.620751098556511</v>
      </c>
    </row>
    <row r="3120" spans="1:9" ht="16.5" x14ac:dyDescent="0.3">
      <c r="A3120" s="477">
        <v>7301763.5376874069</v>
      </c>
      <c r="B3120" s="458">
        <v>3.493556361113126E-2</v>
      </c>
      <c r="C3120" s="477">
        <v>5685895.1163422717</v>
      </c>
      <c r="D3120" s="458">
        <v>5.5364512271796507E-2</v>
      </c>
      <c r="E3120" s="477">
        <v>24440385.923295554</v>
      </c>
      <c r="F3120" s="458">
        <v>9.9872260499650922E-2</v>
      </c>
      <c r="G3120" s="477">
        <v>87832398.840000391</v>
      </c>
      <c r="H3120" s="458">
        <v>0.26912018453813236</v>
      </c>
      <c r="I3120" s="468">
        <v>9.1192966982266128</v>
      </c>
    </row>
    <row r="3121" spans="1:9" ht="16.5" x14ac:dyDescent="0.3">
      <c r="A3121" s="477">
        <v>2649489.5605710731</v>
      </c>
      <c r="B3121" s="458">
        <v>4.0121476610687212E-2</v>
      </c>
      <c r="C3121" s="477">
        <v>5342529.3768785829</v>
      </c>
      <c r="D3121" s="458">
        <v>7.5773757629973071E-2</v>
      </c>
      <c r="E3121" s="477">
        <v>17109832.670749214</v>
      </c>
      <c r="F3121" s="458">
        <v>0.1101209725378558</v>
      </c>
      <c r="G3121" s="477">
        <v>93482964.079570815</v>
      </c>
      <c r="H3121" s="458">
        <v>0.27150606581053971</v>
      </c>
      <c r="I3121" s="468">
        <v>10.520381797911472</v>
      </c>
    </row>
    <row r="3122" spans="1:9" ht="16.5" x14ac:dyDescent="0.3">
      <c r="A3122" s="477">
        <v>6985460.4016886493</v>
      </c>
      <c r="B3122" s="458">
        <v>4.6668481151547647E-2</v>
      </c>
      <c r="C3122" s="477">
        <v>5686868.7898396403</v>
      </c>
      <c r="D3122" s="458">
        <v>3.7556271105862571E-2</v>
      </c>
      <c r="E3122" s="477">
        <v>15294680.674739415</v>
      </c>
      <c r="F3122" s="458">
        <v>0.12260623878376409</v>
      </c>
      <c r="G3122" s="477">
        <v>101172224.60718201</v>
      </c>
      <c r="H3122" s="458">
        <v>0.27507474918120112</v>
      </c>
      <c r="I3122" s="468">
        <v>8.0267845529497297</v>
      </c>
    </row>
    <row r="3123" spans="1:9" ht="16.5" x14ac:dyDescent="0.3">
      <c r="A3123" s="477">
        <v>4119871.4016557308</v>
      </c>
      <c r="B3123" s="458">
        <v>4.8333661510912673E-2</v>
      </c>
      <c r="C3123" s="477">
        <v>10186929.177037397</v>
      </c>
      <c r="D3123" s="458">
        <v>6.1639155981570104E-2</v>
      </c>
      <c r="E3123" s="477">
        <v>14088645.746973699</v>
      </c>
      <c r="F3123" s="458">
        <v>9.6170550348435357E-2</v>
      </c>
      <c r="G3123" s="477">
        <v>81071824.977545634</v>
      </c>
      <c r="H3123" s="458">
        <v>0.25316788404584489</v>
      </c>
      <c r="I3123" s="468">
        <v>12.988824341022049</v>
      </c>
    </row>
    <row r="3124" spans="1:9" ht="16.5" x14ac:dyDescent="0.3">
      <c r="A3124" s="477">
        <v>5542880.8637768161</v>
      </c>
      <c r="B3124" s="458">
        <v>5.2079981460116498E-2</v>
      </c>
      <c r="C3124" s="477">
        <v>6393830.9479750702</v>
      </c>
      <c r="D3124" s="458">
        <v>8.4122969079595711E-2</v>
      </c>
      <c r="E3124" s="477">
        <v>16410107.928231101</v>
      </c>
      <c r="F3124" s="458">
        <v>0.10354888101702997</v>
      </c>
      <c r="G3124" s="477">
        <v>85205476.450682387</v>
      </c>
      <c r="H3124" s="458">
        <v>0.26931536371419562</v>
      </c>
      <c r="I3124" s="468">
        <v>1.0373461364131176</v>
      </c>
    </row>
    <row r="3125" spans="1:9" ht="16.5" x14ac:dyDescent="0.3">
      <c r="A3125" s="477">
        <v>4486653.5539479516</v>
      </c>
      <c r="B3125" s="458">
        <v>4.7453089932343095E-2</v>
      </c>
      <c r="C3125" s="477">
        <v>7533884.5847788034</v>
      </c>
      <c r="D3125" s="458">
        <v>7.1644105870289465E-2</v>
      </c>
      <c r="E3125" s="477">
        <v>21238030.842312302</v>
      </c>
      <c r="F3125" s="458">
        <v>8.8977696364187508E-2</v>
      </c>
      <c r="G3125" s="477">
        <v>94470087.093187734</v>
      </c>
      <c r="H3125" s="458">
        <v>0.26728599980477807</v>
      </c>
      <c r="I3125" s="468">
        <v>5.8160909605264255</v>
      </c>
    </row>
    <row r="3126" spans="1:9" ht="16.5" x14ac:dyDescent="0.3">
      <c r="A3126" s="477">
        <v>6402086.7755440995</v>
      </c>
      <c r="B3126" s="458">
        <v>4.6392523499655169E-2</v>
      </c>
      <c r="C3126" s="477">
        <v>7385308.7986084996</v>
      </c>
      <c r="D3126" s="458">
        <v>5.1130138262015734E-2</v>
      </c>
      <c r="E3126" s="477">
        <v>16102479.863501064</v>
      </c>
      <c r="F3126" s="458">
        <v>0.12325468788548921</v>
      </c>
      <c r="G3126" s="477">
        <v>104344014.32825625</v>
      </c>
      <c r="H3126" s="458">
        <v>0.26625689165788868</v>
      </c>
      <c r="I3126" s="468">
        <v>10.633632061113385</v>
      </c>
    </row>
    <row r="3127" spans="1:9" ht="16.5" x14ac:dyDescent="0.3">
      <c r="A3127" s="477">
        <v>3285481.6105230991</v>
      </c>
      <c r="B3127" s="458">
        <v>1.6983843042335911E-2</v>
      </c>
      <c r="C3127" s="477">
        <v>4559794.1078324998</v>
      </c>
      <c r="D3127" s="458">
        <v>6.7919276800561867E-2</v>
      </c>
      <c r="E3127" s="477">
        <v>15161351.176541982</v>
      </c>
      <c r="F3127" s="458">
        <v>0.10872201266085257</v>
      </c>
      <c r="G3127" s="477">
        <v>81439977.938110292</v>
      </c>
      <c r="H3127" s="458">
        <v>0.27020671479126035</v>
      </c>
      <c r="I3127" s="468">
        <v>16.238934494580015</v>
      </c>
    </row>
    <row r="3128" spans="1:9" ht="16.5" x14ac:dyDescent="0.3">
      <c r="A3128" s="477">
        <v>6161558.9311716976</v>
      </c>
      <c r="B3128" s="458">
        <v>3.9518287568713228E-2</v>
      </c>
      <c r="C3128" s="477">
        <v>10338442.875244608</v>
      </c>
      <c r="D3128" s="458">
        <v>6.5272820564374667E-2</v>
      </c>
      <c r="E3128" s="477">
        <v>15589499.932922395</v>
      </c>
      <c r="F3128" s="458">
        <v>9.205217143001132E-2</v>
      </c>
      <c r="G3128" s="477">
        <v>93378944.103343055</v>
      </c>
      <c r="H3128" s="458">
        <v>0.26307395488943475</v>
      </c>
      <c r="I3128" s="468">
        <v>3.1557417086590247</v>
      </c>
    </row>
    <row r="3129" spans="1:9" ht="16.5" x14ac:dyDescent="0.3">
      <c r="A3129" s="477">
        <v>2929581.2809945149</v>
      </c>
      <c r="B3129" s="458">
        <v>4.2192295942245384E-2</v>
      </c>
      <c r="C3129" s="477">
        <v>11859184.903934646</v>
      </c>
      <c r="D3129" s="458">
        <v>6.0180763771715329E-2</v>
      </c>
      <c r="E3129" s="477">
        <v>19509375.087269381</v>
      </c>
      <c r="F3129" s="458">
        <v>8.8453958154371515E-2</v>
      </c>
      <c r="G3129" s="477">
        <v>83361089.867736593</v>
      </c>
      <c r="H3129" s="458">
        <v>0.25678920012759066</v>
      </c>
      <c r="I3129" s="468">
        <v>13.115799170108593</v>
      </c>
    </row>
    <row r="3130" spans="1:9" ht="16.5" x14ac:dyDescent="0.3">
      <c r="A3130" s="477">
        <v>7203956.0878724884</v>
      </c>
      <c r="B3130" s="458">
        <v>4.5522942025617352E-2</v>
      </c>
      <c r="C3130" s="477">
        <v>2877054.8518633288</v>
      </c>
      <c r="D3130" s="458">
        <v>8.2544376063352631E-2</v>
      </c>
      <c r="E3130" s="477">
        <v>8669100.4305689931</v>
      </c>
      <c r="F3130" s="458">
        <v>0.100730403163652</v>
      </c>
      <c r="G3130" s="477">
        <v>84806297.538711056</v>
      </c>
      <c r="H3130" s="458">
        <v>0.27316369580949784</v>
      </c>
      <c r="I3130" s="468">
        <v>4.7050027017421048</v>
      </c>
    </row>
    <row r="3131" spans="1:9" ht="16.5" x14ac:dyDescent="0.3">
      <c r="A3131" s="477">
        <v>2557086.3172102715</v>
      </c>
      <c r="B3131" s="458">
        <v>5.6476651695893887E-2</v>
      </c>
      <c r="C3131" s="477">
        <v>241108.94082255155</v>
      </c>
      <c r="D3131" s="458">
        <v>7.8957459756920922E-2</v>
      </c>
      <c r="E3131" s="477">
        <v>8255827.9368589213</v>
      </c>
      <c r="F3131" s="458">
        <v>0.11743124180210152</v>
      </c>
      <c r="G3131" s="477">
        <v>93514618.224293545</v>
      </c>
      <c r="H3131" s="458">
        <v>0.26484498916750643</v>
      </c>
      <c r="I3131" s="468">
        <v>7.6287883548609203</v>
      </c>
    </row>
    <row r="3132" spans="1:9" ht="16.5" x14ac:dyDescent="0.3">
      <c r="A3132" s="477">
        <v>8272399.909166432</v>
      </c>
      <c r="B3132" s="458">
        <v>4.0645482232123387E-2</v>
      </c>
      <c r="C3132" s="477">
        <v>9773896.8320098501</v>
      </c>
      <c r="D3132" s="458">
        <v>6.6611064513787621E-2</v>
      </c>
      <c r="E3132" s="477">
        <v>19636729.360131219</v>
      </c>
      <c r="F3132" s="458">
        <v>0.11520886996396462</v>
      </c>
      <c r="G3132" s="477">
        <v>85489441.819771051</v>
      </c>
      <c r="H3132" s="458">
        <v>0.30111231951246276</v>
      </c>
      <c r="I3132" s="468">
        <v>9.2780066328663455</v>
      </c>
    </row>
    <row r="3133" spans="1:9" ht="16.5" x14ac:dyDescent="0.3">
      <c r="A3133" s="477">
        <v>8014841.7236740049</v>
      </c>
      <c r="B3133" s="458">
        <v>6.1520469551741952E-2</v>
      </c>
      <c r="C3133" s="477">
        <v>13066714.823045176</v>
      </c>
      <c r="D3133" s="458">
        <v>9.9445712104918815E-2</v>
      </c>
      <c r="E3133" s="477">
        <v>22397690.234608106</v>
      </c>
      <c r="F3133" s="458">
        <v>0.10938380613457976</v>
      </c>
      <c r="G3133" s="477">
        <v>88519724.21775724</v>
      </c>
      <c r="H3133" s="458">
        <v>0.26963128928553948</v>
      </c>
      <c r="I3133" s="468">
        <v>5.6267175099767135</v>
      </c>
    </row>
    <row r="3134" spans="1:9" ht="16.5" x14ac:dyDescent="0.3">
      <c r="A3134" s="477">
        <v>2985874.9220425133</v>
      </c>
      <c r="B3134" s="458">
        <v>3.5248811513274081E-2</v>
      </c>
      <c r="C3134" s="477">
        <v>-386329.01659905061</v>
      </c>
      <c r="D3134" s="458">
        <v>6.5380189809519651E-2</v>
      </c>
      <c r="E3134" s="477">
        <v>17041556.897105943</v>
      </c>
      <c r="F3134" s="458">
        <v>0.108935984988759</v>
      </c>
      <c r="G3134" s="477">
        <v>89263404.260239884</v>
      </c>
      <c r="H3134" s="458">
        <v>0.27961693092764994</v>
      </c>
      <c r="I3134" s="468">
        <v>4.1354388572344671</v>
      </c>
    </row>
    <row r="3135" spans="1:9" ht="16.5" x14ac:dyDescent="0.3">
      <c r="A3135" s="477">
        <v>5478715.2529778183</v>
      </c>
      <c r="B3135" s="458">
        <v>8.4680124301358628E-2</v>
      </c>
      <c r="C3135" s="477">
        <v>3512069.4519838579</v>
      </c>
      <c r="D3135" s="458">
        <v>6.8744736099236148E-2</v>
      </c>
      <c r="E3135" s="477">
        <v>26514698.650320083</v>
      </c>
      <c r="F3135" s="458">
        <v>0.11658325075205633</v>
      </c>
      <c r="G3135" s="477">
        <v>82357671.295139253</v>
      </c>
      <c r="H3135" s="458">
        <v>0.2931471895847102</v>
      </c>
      <c r="I3135" s="468">
        <v>6.7977258778595768</v>
      </c>
    </row>
    <row r="3136" spans="1:9" ht="16.5" x14ac:dyDescent="0.3">
      <c r="A3136" s="477">
        <v>5904797.7440737691</v>
      </c>
      <c r="B3136" s="458">
        <v>4.6091152268946445E-2</v>
      </c>
      <c r="C3136" s="477">
        <v>9979010.4165386073</v>
      </c>
      <c r="D3136" s="458">
        <v>8.6577801778856323E-2</v>
      </c>
      <c r="E3136" s="477">
        <v>24884646.980744999</v>
      </c>
      <c r="F3136" s="458">
        <v>0.12340088833244378</v>
      </c>
      <c r="G3136" s="477">
        <v>79591092.56701383</v>
      </c>
      <c r="H3136" s="458">
        <v>0.27964723244401957</v>
      </c>
      <c r="I3136" s="468">
        <v>9.7045549793727943</v>
      </c>
    </row>
    <row r="3137" spans="1:9" ht="16.5" x14ac:dyDescent="0.3">
      <c r="A3137" s="477">
        <v>2272292.3795558843</v>
      </c>
      <c r="B3137" s="458">
        <v>2.6108087191741847E-2</v>
      </c>
      <c r="C3137" s="477">
        <v>5738466.2557614557</v>
      </c>
      <c r="D3137" s="458">
        <v>4.9220909782949018E-2</v>
      </c>
      <c r="E3137" s="477">
        <v>9189459.5016743802</v>
      </c>
      <c r="F3137" s="458">
        <v>0.15040016666763889</v>
      </c>
      <c r="G3137" s="477">
        <v>76520147.148755029</v>
      </c>
      <c r="H3137" s="458">
        <v>0.28254541929812427</v>
      </c>
      <c r="I3137" s="468">
        <v>12.433508379799722</v>
      </c>
    </row>
    <row r="3138" spans="1:9" ht="16.5" x14ac:dyDescent="0.3">
      <c r="A3138" s="477">
        <v>-1541863.7444189442</v>
      </c>
      <c r="B3138" s="458">
        <v>3.9672721852259674E-2</v>
      </c>
      <c r="C3138" s="477">
        <v>10674210.431639511</v>
      </c>
      <c r="D3138" s="458">
        <v>4.8126612600751351E-2</v>
      </c>
      <c r="E3138" s="477">
        <v>10372519.699649647</v>
      </c>
      <c r="F3138" s="458">
        <v>0.13008681885150031</v>
      </c>
      <c r="G3138" s="477">
        <v>78099542.125851467</v>
      </c>
      <c r="H3138" s="458">
        <v>0.26183008316461565</v>
      </c>
      <c r="I3138" s="468">
        <v>5.4434159969943936</v>
      </c>
    </row>
    <row r="3139" spans="1:9" ht="16.5" x14ac:dyDescent="0.3">
      <c r="A3139" s="477">
        <v>4476127.9865659345</v>
      </c>
      <c r="B3139" s="458">
        <v>3.0261783088988858E-2</v>
      </c>
      <c r="C3139" s="477">
        <v>6670098.8582720142</v>
      </c>
      <c r="D3139" s="458">
        <v>7.8607275204487292E-2</v>
      </c>
      <c r="E3139" s="477">
        <v>21587658.475796342</v>
      </c>
      <c r="F3139" s="458">
        <v>9.2394423094299682E-2</v>
      </c>
      <c r="G3139" s="477">
        <v>96410930.683434799</v>
      </c>
      <c r="H3139" s="458">
        <v>0.26732885274585239</v>
      </c>
      <c r="I3139" s="468">
        <v>3.9166338064451036</v>
      </c>
    </row>
    <row r="3140" spans="1:9" ht="16.5" x14ac:dyDescent="0.3">
      <c r="A3140" s="477">
        <v>9020653.82163582</v>
      </c>
      <c r="B3140" s="458">
        <v>3.9942270458243501E-2</v>
      </c>
      <c r="C3140" s="477">
        <v>8736630.7318241615</v>
      </c>
      <c r="D3140" s="458">
        <v>5.3965339205729324E-2</v>
      </c>
      <c r="E3140" s="477">
        <v>20910763.516242817</v>
      </c>
      <c r="F3140" s="458">
        <v>0.10824912444361345</v>
      </c>
      <c r="G3140" s="477">
        <v>83186073.650272191</v>
      </c>
      <c r="H3140" s="458">
        <v>0.25938991488225493</v>
      </c>
      <c r="I3140" s="468">
        <v>13.521062342994423</v>
      </c>
    </row>
    <row r="3141" spans="1:9" ht="16.5" x14ac:dyDescent="0.3">
      <c r="A3141" s="477">
        <v>6192232.3476480534</v>
      </c>
      <c r="B3141" s="458">
        <v>5.1647332211198549E-2</v>
      </c>
      <c r="C3141" s="477">
        <v>17947542.513426285</v>
      </c>
      <c r="D3141" s="458">
        <v>6.4173978639783247E-2</v>
      </c>
      <c r="E3141" s="477">
        <v>8889442.9034892693</v>
      </c>
      <c r="F3141" s="458">
        <v>8.7347151650047028E-2</v>
      </c>
      <c r="G3141" s="477">
        <v>77813349.631068856</v>
      </c>
      <c r="H3141" s="458">
        <v>0.2839855837116132</v>
      </c>
      <c r="I3141" s="468">
        <v>14.06538097278843</v>
      </c>
    </row>
    <row r="3142" spans="1:9" ht="16.5" x14ac:dyDescent="0.3">
      <c r="A3142" s="477">
        <v>4653304.4114294956</v>
      </c>
      <c r="B3142" s="458">
        <v>4.3084739954480034E-2</v>
      </c>
      <c r="C3142" s="477">
        <v>9881720.8621802125</v>
      </c>
      <c r="D3142" s="458">
        <v>5.9258356138291335E-2</v>
      </c>
      <c r="E3142" s="477">
        <v>14743019.00625468</v>
      </c>
      <c r="F3142" s="458">
        <v>0.10883921518538209</v>
      </c>
      <c r="G3142" s="477">
        <v>89202465.696896806</v>
      </c>
      <c r="H3142" s="458">
        <v>0.26277055670924376</v>
      </c>
      <c r="I3142" s="468">
        <v>8.0567641867670989</v>
      </c>
    </row>
    <row r="3143" spans="1:9" ht="16.5" x14ac:dyDescent="0.3">
      <c r="A3143" s="477">
        <v>4801245.3720546877</v>
      </c>
      <c r="B3143" s="458">
        <v>8.1106679393364134E-2</v>
      </c>
      <c r="C3143" s="477">
        <v>11482134.67237624</v>
      </c>
      <c r="D3143" s="458">
        <v>6.772935533952773E-2</v>
      </c>
      <c r="E3143" s="477">
        <v>14887919.179996161</v>
      </c>
      <c r="F3143" s="458">
        <v>8.1230510037663795E-2</v>
      </c>
      <c r="G3143" s="477">
        <v>89980548.653526679</v>
      </c>
      <c r="H3143" s="458">
        <v>0.2751928649561457</v>
      </c>
      <c r="I3143" s="468">
        <v>12.889614052954943</v>
      </c>
    </row>
    <row r="3144" spans="1:9" ht="16.5" x14ac:dyDescent="0.3">
      <c r="A3144" s="477">
        <v>5776268.3867151225</v>
      </c>
      <c r="B3144" s="458">
        <v>3.5988410152613337E-2</v>
      </c>
      <c r="C3144" s="477">
        <v>10175731.912115155</v>
      </c>
      <c r="D3144" s="458">
        <v>6.7192318310655974E-2</v>
      </c>
      <c r="E3144" s="477">
        <v>17203975.80533829</v>
      </c>
      <c r="F3144" s="458">
        <v>0.10956355782617355</v>
      </c>
      <c r="G3144" s="477">
        <v>96196845.767493352</v>
      </c>
      <c r="H3144" s="458">
        <v>0.26221160748011085</v>
      </c>
      <c r="I3144" s="468">
        <v>10.2370063401446</v>
      </c>
    </row>
    <row r="3145" spans="1:9" ht="16.5" x14ac:dyDescent="0.3">
      <c r="A3145" s="477">
        <v>2254462.6446766607</v>
      </c>
      <c r="B3145" s="458">
        <v>6.0279079162946614E-2</v>
      </c>
      <c r="C3145" s="477">
        <v>8315389.9476739345</v>
      </c>
      <c r="D3145" s="458">
        <v>6.4128448325844412E-2</v>
      </c>
      <c r="E3145" s="477">
        <v>16026368.014463363</v>
      </c>
      <c r="F3145" s="458">
        <v>0.10461309667075858</v>
      </c>
      <c r="G3145" s="477">
        <v>90593469.78621681</v>
      </c>
      <c r="H3145" s="458">
        <v>0.27594411027767496</v>
      </c>
      <c r="I3145" s="468">
        <v>7.5262714159057209</v>
      </c>
    </row>
    <row r="3146" spans="1:9" ht="16.5" x14ac:dyDescent="0.3">
      <c r="A3146" s="477">
        <v>3263317.8833014281</v>
      </c>
      <c r="B3146" s="458">
        <v>4.6377639019121952E-2</v>
      </c>
      <c r="C3146" s="477">
        <v>8122419.6916551786</v>
      </c>
      <c r="D3146" s="458">
        <v>8.1123890639739793E-2</v>
      </c>
      <c r="E3146" s="477">
        <v>16084022.375328192</v>
      </c>
      <c r="F3146" s="458">
        <v>0.13251233650053806</v>
      </c>
      <c r="G3146" s="477">
        <v>83392584.322199255</v>
      </c>
      <c r="H3146" s="458">
        <v>0.29104903071150834</v>
      </c>
      <c r="I3146" s="468">
        <v>2.2723956007932946</v>
      </c>
    </row>
    <row r="3147" spans="1:9" ht="16.5" x14ac:dyDescent="0.3">
      <c r="A3147" s="477">
        <v>6341454.1348416228</v>
      </c>
      <c r="B3147" s="458">
        <v>2.6427464165482473E-2</v>
      </c>
      <c r="C3147" s="477">
        <v>7417903.0277086701</v>
      </c>
      <c r="D3147" s="458">
        <v>4.955722749626168E-2</v>
      </c>
      <c r="E3147" s="477">
        <v>17430159.208838981</v>
      </c>
      <c r="F3147" s="458">
        <v>0.10694773998407237</v>
      </c>
      <c r="G3147" s="477">
        <v>93826789.921315342</v>
      </c>
      <c r="H3147" s="458">
        <v>0.27262042345864868</v>
      </c>
      <c r="I3147" s="468">
        <v>5.8261041543343346</v>
      </c>
    </row>
    <row r="3148" spans="1:9" ht="16.5" x14ac:dyDescent="0.3">
      <c r="A3148" s="477">
        <v>5419115.6705359733</v>
      </c>
      <c r="B3148" s="458">
        <v>3.1316479474900794E-2</v>
      </c>
      <c r="C3148" s="477">
        <v>10346905.613418274</v>
      </c>
      <c r="D3148" s="458">
        <v>4.3929759855954709E-2</v>
      </c>
      <c r="E3148" s="477">
        <v>14764010.460926792</v>
      </c>
      <c r="F3148" s="458">
        <v>0.10920368305759842</v>
      </c>
      <c r="G3148" s="477">
        <v>86788628.201490223</v>
      </c>
      <c r="H3148" s="458">
        <v>0.2972575296070461</v>
      </c>
      <c r="I3148" s="468">
        <v>10.18434753867194</v>
      </c>
    </row>
    <row r="3149" spans="1:9" ht="16.5" x14ac:dyDescent="0.3">
      <c r="A3149" s="477">
        <v>6296429.2127286196</v>
      </c>
      <c r="B3149" s="458">
        <v>4.0499996955132955E-2</v>
      </c>
      <c r="C3149" s="477">
        <v>7336696.9671987612</v>
      </c>
      <c r="D3149" s="458">
        <v>6.1422657705465733E-2</v>
      </c>
      <c r="E3149" s="477">
        <v>13075461.126348533</v>
      </c>
      <c r="F3149" s="458">
        <v>9.7442442419743092E-2</v>
      </c>
      <c r="G3149" s="477">
        <v>93805832.253277987</v>
      </c>
      <c r="H3149" s="458">
        <v>0.25837226554424397</v>
      </c>
      <c r="I3149" s="468">
        <v>-0.1969604521368602</v>
      </c>
    </row>
    <row r="3150" spans="1:9" ht="16.5" x14ac:dyDescent="0.3">
      <c r="A3150" s="477">
        <v>3190845.2991691926</v>
      </c>
      <c r="B3150" s="458">
        <v>1.1075355486992233E-2</v>
      </c>
      <c r="C3150" s="477">
        <v>8354609.4757838948</v>
      </c>
      <c r="D3150" s="458">
        <v>6.6460946693725376E-2</v>
      </c>
      <c r="E3150" s="477">
        <v>11177217.848819677</v>
      </c>
      <c r="F3150" s="458">
        <v>0.12820814130480307</v>
      </c>
      <c r="G3150" s="477">
        <v>87461700.757752955</v>
      </c>
      <c r="H3150" s="458">
        <v>0.27593965956447852</v>
      </c>
      <c r="I3150" s="468">
        <v>7.4586870060582617</v>
      </c>
    </row>
    <row r="3151" spans="1:9" ht="16.5" x14ac:dyDescent="0.3">
      <c r="A3151" s="477">
        <v>2064990.9826168187</v>
      </c>
      <c r="B3151" s="458">
        <v>3.7154018120471921E-2</v>
      </c>
      <c r="C3151" s="477">
        <v>7702239.5812351499</v>
      </c>
      <c r="D3151" s="458">
        <v>3.6666431184037451E-2</v>
      </c>
      <c r="E3151" s="477">
        <v>18307445.928806625</v>
      </c>
      <c r="F3151" s="458">
        <v>9.5797208834041303E-2</v>
      </c>
      <c r="G3151" s="477">
        <v>85360476.196966872</v>
      </c>
      <c r="H3151" s="458">
        <v>0.25513333200199506</v>
      </c>
      <c r="I3151" s="468">
        <v>10.895647518455503</v>
      </c>
    </row>
    <row r="3152" spans="1:9" ht="16.5" x14ac:dyDescent="0.3">
      <c r="A3152" s="477">
        <v>6343220.9859085325</v>
      </c>
      <c r="B3152" s="458">
        <v>5.1301901009030981E-2</v>
      </c>
      <c r="C3152" s="477">
        <v>2203692.807735099</v>
      </c>
      <c r="D3152" s="458">
        <v>4.4189990116841882E-2</v>
      </c>
      <c r="E3152" s="477">
        <v>7858636.5808745809</v>
      </c>
      <c r="F3152" s="458">
        <v>9.5419307958830357E-2</v>
      </c>
      <c r="G3152" s="477">
        <v>109092321.66970429</v>
      </c>
      <c r="H3152" s="458">
        <v>0.25723314583615053</v>
      </c>
      <c r="I3152" s="468">
        <v>8.6092295556528118</v>
      </c>
    </row>
    <row r="3153" spans="1:9" ht="16.5" x14ac:dyDescent="0.3">
      <c r="A3153" s="477">
        <v>12011230.499808617</v>
      </c>
      <c r="B3153" s="458">
        <v>3.2631320474510339E-2</v>
      </c>
      <c r="C3153" s="477">
        <v>9218722.0651148688</v>
      </c>
      <c r="D3153" s="458">
        <v>6.9721559738745054E-2</v>
      </c>
      <c r="E3153" s="477">
        <v>25572046.992222644</v>
      </c>
      <c r="F3153" s="458">
        <v>0.11326116230167971</v>
      </c>
      <c r="G3153" s="477">
        <v>96609897.821997896</v>
      </c>
      <c r="H3153" s="458">
        <v>0.27609150877927058</v>
      </c>
      <c r="I3153" s="468">
        <v>0.99933592876758137</v>
      </c>
    </row>
    <row r="3154" spans="1:9" ht="16.5" x14ac:dyDescent="0.3">
      <c r="A3154" s="477">
        <v>7027437.3270109566</v>
      </c>
      <c r="B3154" s="458">
        <v>8.4721524676132143E-2</v>
      </c>
      <c r="C3154" s="477">
        <v>13039355.614771431</v>
      </c>
      <c r="D3154" s="458">
        <v>4.2235458377575252E-2</v>
      </c>
      <c r="E3154" s="477">
        <v>13200135.693680039</v>
      </c>
      <c r="F3154" s="458">
        <v>0.12760334098924497</v>
      </c>
      <c r="G3154" s="477">
        <v>73127337.189203337</v>
      </c>
      <c r="H3154" s="458">
        <v>0.25756724050345636</v>
      </c>
      <c r="I3154" s="468">
        <v>9.8753493083311117</v>
      </c>
    </row>
    <row r="3155" spans="1:9" ht="16.5" x14ac:dyDescent="0.3">
      <c r="A3155" s="477">
        <v>3669146.4391916902</v>
      </c>
      <c r="B3155" s="458">
        <v>4.1797295879174579E-2</v>
      </c>
      <c r="C3155" s="477">
        <v>7056172.1484652311</v>
      </c>
      <c r="D3155" s="458">
        <v>4.02697073456324E-2</v>
      </c>
      <c r="E3155" s="477">
        <v>12273488.836789483</v>
      </c>
      <c r="F3155" s="458">
        <v>0.12357688799116784</v>
      </c>
      <c r="G3155" s="477">
        <v>87462153.69443123</v>
      </c>
      <c r="H3155" s="458">
        <v>0.26328173320047532</v>
      </c>
      <c r="I3155" s="468">
        <v>8.0540216911189884</v>
      </c>
    </row>
    <row r="3156" spans="1:9" ht="16.5" x14ac:dyDescent="0.3">
      <c r="A3156" s="477">
        <v>4696304.6383530963</v>
      </c>
      <c r="B3156" s="458">
        <v>3.5352357846642812E-2</v>
      </c>
      <c r="C3156" s="477">
        <v>11621938.964542946</v>
      </c>
      <c r="D3156" s="458">
        <v>5.5820684633274276E-2</v>
      </c>
      <c r="E3156" s="477">
        <v>10070277.738235019</v>
      </c>
      <c r="F3156" s="458">
        <v>0.10137301039151336</v>
      </c>
      <c r="G3156" s="477">
        <v>82841255.205931932</v>
      </c>
      <c r="H3156" s="458">
        <v>0.265368028680673</v>
      </c>
      <c r="I3156" s="468">
        <v>14.183947363114051</v>
      </c>
    </row>
    <row r="3157" spans="1:9" ht="16.5" x14ac:dyDescent="0.3">
      <c r="A3157" s="477">
        <v>466015.56501634163</v>
      </c>
      <c r="B3157" s="458">
        <v>3.5587865086771142E-2</v>
      </c>
      <c r="C3157" s="477">
        <v>8128669.1259354195</v>
      </c>
      <c r="D3157" s="458">
        <v>6.4469616451924727E-2</v>
      </c>
      <c r="E3157" s="477">
        <v>13214687.805659683</v>
      </c>
      <c r="F3157" s="458">
        <v>0.14075080434644538</v>
      </c>
      <c r="G3157" s="477">
        <v>97387438.805213958</v>
      </c>
      <c r="H3157" s="458">
        <v>0.27038555063438863</v>
      </c>
      <c r="I3157" s="468">
        <v>14.952877907334202</v>
      </c>
    </row>
    <row r="3158" spans="1:9" ht="16.5" x14ac:dyDescent="0.3">
      <c r="A3158" s="477">
        <v>5961742.4509324953</v>
      </c>
      <c r="B3158" s="458">
        <v>2.3986727639369043E-2</v>
      </c>
      <c r="C3158" s="477">
        <v>12914522.464252869</v>
      </c>
      <c r="D3158" s="458">
        <v>6.7515574130263101E-2</v>
      </c>
      <c r="E3158" s="477">
        <v>10238011.479986615</v>
      </c>
      <c r="F3158" s="458">
        <v>9.8119549014560103E-2</v>
      </c>
      <c r="G3158" s="477">
        <v>104197921.1667721</v>
      </c>
      <c r="H3158" s="458">
        <v>0.2667848805029871</v>
      </c>
      <c r="I3158" s="468">
        <v>2.6098764786450008</v>
      </c>
    </row>
    <row r="3159" spans="1:9" ht="16.5" x14ac:dyDescent="0.3">
      <c r="A3159" s="477">
        <v>9287605.4035761319</v>
      </c>
      <c r="B3159" s="458">
        <v>4.6085022498465245E-2</v>
      </c>
      <c r="C3159" s="477">
        <v>5625485.652909969</v>
      </c>
      <c r="D3159" s="458">
        <v>7.6815888630983542E-2</v>
      </c>
      <c r="E3159" s="477">
        <v>13674034.838141475</v>
      </c>
      <c r="F3159" s="458">
        <v>0.10102158308778053</v>
      </c>
      <c r="G3159" s="477">
        <v>79982919.341888294</v>
      </c>
      <c r="H3159" s="458">
        <v>0.27599620120914459</v>
      </c>
      <c r="I3159" s="468">
        <v>10.188440437808305</v>
      </c>
    </row>
    <row r="3160" spans="1:9" ht="16.5" x14ac:dyDescent="0.3">
      <c r="A3160" s="477">
        <v>4687994.1329171583</v>
      </c>
      <c r="B3160" s="458">
        <v>5.4729017162331806E-2</v>
      </c>
      <c r="C3160" s="477">
        <v>11045152.729033176</v>
      </c>
      <c r="D3160" s="458">
        <v>2.8386171410974548E-2</v>
      </c>
      <c r="E3160" s="477">
        <v>12704153.997042943</v>
      </c>
      <c r="F3160" s="458">
        <v>0.11201037895026023</v>
      </c>
      <c r="G3160" s="477">
        <v>96297112.974409223</v>
      </c>
      <c r="H3160" s="458">
        <v>0.27008244627365507</v>
      </c>
      <c r="I3160" s="468">
        <v>4.3070080758868352</v>
      </c>
    </row>
    <row r="3161" spans="1:9" ht="16.5" x14ac:dyDescent="0.3">
      <c r="A3161" s="477">
        <v>467857.84627009113</v>
      </c>
      <c r="B3161" s="458">
        <v>4.4053026477657076E-2</v>
      </c>
      <c r="C3161" s="477">
        <v>11055298.867795026</v>
      </c>
      <c r="D3161" s="458">
        <v>5.5203765825222462E-2</v>
      </c>
      <c r="E3161" s="477">
        <v>18176569.959014826</v>
      </c>
      <c r="F3161" s="458">
        <v>6.6309289122075343E-2</v>
      </c>
      <c r="G3161" s="477">
        <v>97395567.681125119</v>
      </c>
      <c r="H3161" s="458">
        <v>0.27201329900480054</v>
      </c>
      <c r="I3161" s="468">
        <v>3.5837126075165848</v>
      </c>
    </row>
    <row r="3162" spans="1:9" ht="16.5" x14ac:dyDescent="0.3">
      <c r="A3162" s="477">
        <v>5133080.9697291451</v>
      </c>
      <c r="B3162" s="458">
        <v>4.8307487231554536E-2</v>
      </c>
      <c r="C3162" s="477">
        <v>17013774.405593228</v>
      </c>
      <c r="D3162" s="458">
        <v>4.1974691432246969E-2</v>
      </c>
      <c r="E3162" s="477">
        <v>17198015.110628001</v>
      </c>
      <c r="F3162" s="458">
        <v>0.1013894637179078</v>
      </c>
      <c r="G3162" s="477">
        <v>99543127.104524314</v>
      </c>
      <c r="H3162" s="458">
        <v>0.2628052148715263</v>
      </c>
      <c r="I3162" s="468">
        <v>9.7243141995763196</v>
      </c>
    </row>
    <row r="3163" spans="1:9" ht="16.5" x14ac:dyDescent="0.3">
      <c r="A3163" s="477">
        <v>8370525.3336768486</v>
      </c>
      <c r="B3163" s="458">
        <v>6.020006112853804E-2</v>
      </c>
      <c r="C3163" s="477">
        <v>10809897.874914575</v>
      </c>
      <c r="D3163" s="458">
        <v>8.772129949746077E-2</v>
      </c>
      <c r="E3163" s="477">
        <v>13448177.790181758</v>
      </c>
      <c r="F3163" s="458">
        <v>8.3865424246133413E-2</v>
      </c>
      <c r="G3163" s="477">
        <v>91768560.14138113</v>
      </c>
      <c r="H3163" s="458">
        <v>0.27842625763846796</v>
      </c>
      <c r="I3163" s="468">
        <v>10.296573038234405</v>
      </c>
    </row>
    <row r="3164" spans="1:9" ht="16.5" x14ac:dyDescent="0.3">
      <c r="A3164" s="477">
        <v>8915281.4571545776</v>
      </c>
      <c r="B3164" s="458">
        <v>4.5036843900817303E-2</v>
      </c>
      <c r="C3164" s="477">
        <v>8014464.2737336615</v>
      </c>
      <c r="D3164" s="458">
        <v>5.9420419667301605E-2</v>
      </c>
      <c r="E3164" s="477">
        <v>11964599.996560331</v>
      </c>
      <c r="F3164" s="458">
        <v>0.11435656669419147</v>
      </c>
      <c r="G3164" s="477">
        <v>103451128.97962928</v>
      </c>
      <c r="H3164" s="458">
        <v>0.26979268220856412</v>
      </c>
      <c r="I3164" s="468">
        <v>5.638211966553615</v>
      </c>
    </row>
    <row r="3165" spans="1:9" ht="16.5" x14ac:dyDescent="0.3">
      <c r="A3165" s="477">
        <v>5746386.1675725766</v>
      </c>
      <c r="B3165" s="458">
        <v>3.1872648939979875E-2</v>
      </c>
      <c r="C3165" s="477">
        <v>11955916.532040603</v>
      </c>
      <c r="D3165" s="458">
        <v>4.2434369789930315E-2</v>
      </c>
      <c r="E3165" s="477">
        <v>17236143.218613487</v>
      </c>
      <c r="F3165" s="458">
        <v>9.1904809345734639E-2</v>
      </c>
      <c r="G3165" s="477">
        <v>108052182.0081767</v>
      </c>
      <c r="H3165" s="458">
        <v>0.27483044917164534</v>
      </c>
      <c r="I3165" s="468">
        <v>7.8669896099545138</v>
      </c>
    </row>
    <row r="3166" spans="1:9" ht="16.5" x14ac:dyDescent="0.3">
      <c r="A3166" s="477">
        <v>1789197.5815325757</v>
      </c>
      <c r="B3166" s="458">
        <v>7.4456608285227821E-2</v>
      </c>
      <c r="C3166" s="477">
        <v>7525723.6553651923</v>
      </c>
      <c r="D3166" s="458">
        <v>6.5148001794967936E-2</v>
      </c>
      <c r="E3166" s="477">
        <v>24940489.269621082</v>
      </c>
      <c r="F3166" s="458">
        <v>0.11250411990164522</v>
      </c>
      <c r="G3166" s="477">
        <v>98123427.52171196</v>
      </c>
      <c r="H3166" s="458">
        <v>0.28443797225055634</v>
      </c>
      <c r="I3166" s="468">
        <v>3.684381499925018</v>
      </c>
    </row>
    <row r="3167" spans="1:9" ht="16.5" x14ac:dyDescent="0.3">
      <c r="A3167" s="477">
        <v>5162958.3040387798</v>
      </c>
      <c r="B3167" s="458">
        <v>5.8590731540355323E-2</v>
      </c>
      <c r="C3167" s="477">
        <v>11587983.865318304</v>
      </c>
      <c r="D3167" s="458">
        <v>3.541109562181477E-2</v>
      </c>
      <c r="E3167" s="477">
        <v>6089117.8705069125</v>
      </c>
      <c r="F3167" s="458">
        <v>9.7951649736019553E-2</v>
      </c>
      <c r="G3167" s="477">
        <v>97188616.835798576</v>
      </c>
      <c r="H3167" s="458">
        <v>0.25360221614189138</v>
      </c>
      <c r="I3167" s="468">
        <v>5.9029380029740368</v>
      </c>
    </row>
    <row r="3168" spans="1:9" ht="16.5" x14ac:dyDescent="0.3">
      <c r="A3168" s="477">
        <v>-323258.50799799443</v>
      </c>
      <c r="B3168" s="458">
        <v>3.7334749510069765E-2</v>
      </c>
      <c r="C3168" s="477">
        <v>13921119.933529038</v>
      </c>
      <c r="D3168" s="458">
        <v>7.9996334277051329E-2</v>
      </c>
      <c r="E3168" s="477">
        <v>13251505.329488032</v>
      </c>
      <c r="F3168" s="458">
        <v>9.7643237685432815E-2</v>
      </c>
      <c r="G3168" s="477">
        <v>88750553.968934163</v>
      </c>
      <c r="H3168" s="458">
        <v>0.26820795343877357</v>
      </c>
      <c r="I3168" s="468">
        <v>2.7510862299853498</v>
      </c>
    </row>
    <row r="3169" spans="1:9" ht="16.5" x14ac:dyDescent="0.3">
      <c r="A3169" s="477">
        <v>2324550.6505384762</v>
      </c>
      <c r="B3169" s="458">
        <v>4.8284316284739726E-2</v>
      </c>
      <c r="C3169" s="477">
        <v>8480148.9659934901</v>
      </c>
      <c r="D3169" s="458">
        <v>7.9770600392346402E-2</v>
      </c>
      <c r="E3169" s="477">
        <v>11033726.150284238</v>
      </c>
      <c r="F3169" s="458">
        <v>9.8583658106645489E-2</v>
      </c>
      <c r="G3169" s="477">
        <v>102314961.91643867</v>
      </c>
      <c r="H3169" s="458">
        <v>0.25692845731138125</v>
      </c>
      <c r="I3169" s="468">
        <v>6.7250367198257841</v>
      </c>
    </row>
    <row r="3170" spans="1:9" ht="16.5" x14ac:dyDescent="0.3">
      <c r="A3170" s="477">
        <v>7029271.682760735</v>
      </c>
      <c r="B3170" s="458">
        <v>4.3703271835746849E-2</v>
      </c>
      <c r="C3170" s="477">
        <v>4206781.8167821337</v>
      </c>
      <c r="D3170" s="458">
        <v>6.3866421832781128E-2</v>
      </c>
      <c r="E3170" s="477">
        <v>12138680.703166967</v>
      </c>
      <c r="F3170" s="458">
        <v>0.1144940594723951</v>
      </c>
      <c r="G3170" s="477">
        <v>94977725.295018092</v>
      </c>
      <c r="H3170" s="458">
        <v>0.26191437367078896</v>
      </c>
      <c r="I3170" s="468">
        <v>5.5789548629758201</v>
      </c>
    </row>
    <row r="3171" spans="1:9" ht="16.5" x14ac:dyDescent="0.3">
      <c r="A3171" s="477">
        <v>5675159.3265041411</v>
      </c>
      <c r="B3171" s="458">
        <v>2.4579710209303052E-2</v>
      </c>
      <c r="C3171" s="477">
        <v>10848985.478875587</v>
      </c>
      <c r="D3171" s="458">
        <v>6.7443678002590435E-2</v>
      </c>
      <c r="E3171" s="477">
        <v>17122790.648850165</v>
      </c>
      <c r="F3171" s="458">
        <v>0.11533574741393116</v>
      </c>
      <c r="G3171" s="477">
        <v>81525233.244153678</v>
      </c>
      <c r="H3171" s="458">
        <v>0.27443627292399997</v>
      </c>
      <c r="I3171" s="468">
        <v>7.4471422914317467</v>
      </c>
    </row>
    <row r="3172" spans="1:9" ht="16.5" x14ac:dyDescent="0.3">
      <c r="A3172" s="477">
        <v>6128553.3328736648</v>
      </c>
      <c r="B3172" s="458">
        <v>3.0102492086168553E-2</v>
      </c>
      <c r="C3172" s="477">
        <v>5133890.4401317853</v>
      </c>
      <c r="D3172" s="458">
        <v>0.11203330355757846</v>
      </c>
      <c r="E3172" s="477">
        <v>15709191.289266307</v>
      </c>
      <c r="F3172" s="458">
        <v>0.11584962276471922</v>
      </c>
      <c r="G3172" s="477">
        <v>75113307.946675733</v>
      </c>
      <c r="H3172" s="458">
        <v>0.27743173637626573</v>
      </c>
      <c r="I3172" s="468">
        <v>8.8137789770640715</v>
      </c>
    </row>
    <row r="3173" spans="1:9" ht="16.5" x14ac:dyDescent="0.3">
      <c r="A3173" s="477">
        <v>6499386.0219006203</v>
      </c>
      <c r="B3173" s="458">
        <v>2.465953100994378E-2</v>
      </c>
      <c r="C3173" s="477">
        <v>7129298.470829404</v>
      </c>
      <c r="D3173" s="458">
        <v>3.157529928475844E-2</v>
      </c>
      <c r="E3173" s="477">
        <v>7882878.6443402944</v>
      </c>
      <c r="F3173" s="458">
        <v>0.13016272292541342</v>
      </c>
      <c r="G3173" s="477">
        <v>90230494.321183056</v>
      </c>
      <c r="H3173" s="458">
        <v>0.27389154084170797</v>
      </c>
      <c r="I3173" s="468">
        <v>2.1056429275371187</v>
      </c>
    </row>
    <row r="3174" spans="1:9" ht="16.5" x14ac:dyDescent="0.3">
      <c r="A3174" s="477">
        <v>5219965.6047703438</v>
      </c>
      <c r="B3174" s="458">
        <v>3.9530945738741607E-2</v>
      </c>
      <c r="C3174" s="477">
        <v>8232842.740339282</v>
      </c>
      <c r="D3174" s="458">
        <v>4.4158798563684654E-2</v>
      </c>
      <c r="E3174" s="477">
        <v>8146646.4120517038</v>
      </c>
      <c r="F3174" s="458">
        <v>0.10468038503655808</v>
      </c>
      <c r="G3174" s="477">
        <v>99673485.649186313</v>
      </c>
      <c r="H3174" s="458">
        <v>0.25547979327794956</v>
      </c>
      <c r="I3174" s="468">
        <v>5.6786587910342607</v>
      </c>
    </row>
    <row r="3175" spans="1:9" ht="16.5" x14ac:dyDescent="0.3">
      <c r="A3175" s="477">
        <v>4225699.0750969965</v>
      </c>
      <c r="B3175" s="458">
        <v>2.9519528159183794E-2</v>
      </c>
      <c r="C3175" s="477">
        <v>11488721.053261345</v>
      </c>
      <c r="D3175" s="458">
        <v>7.9265785208181949E-2</v>
      </c>
      <c r="E3175" s="477">
        <v>15328802.916720176</v>
      </c>
      <c r="F3175" s="458">
        <v>0.11534212268600741</v>
      </c>
      <c r="G3175" s="477">
        <v>82086140.375225425</v>
      </c>
      <c r="H3175" s="458">
        <v>0.26744289872438842</v>
      </c>
      <c r="I3175" s="468">
        <v>9.1090967867869921</v>
      </c>
    </row>
    <row r="3176" spans="1:9" ht="16.5" x14ac:dyDescent="0.3">
      <c r="A3176" s="477">
        <v>10713433.336092051</v>
      </c>
      <c r="B3176" s="458">
        <v>3.421886946708308E-2</v>
      </c>
      <c r="C3176" s="477">
        <v>8993798.6684339494</v>
      </c>
      <c r="D3176" s="458">
        <v>4.5609409371048404E-2</v>
      </c>
      <c r="E3176" s="477">
        <v>18619613.272626374</v>
      </c>
      <c r="F3176" s="458">
        <v>9.5425995581094769E-2</v>
      </c>
      <c r="G3176" s="477">
        <v>83188981.405682176</v>
      </c>
      <c r="H3176" s="458">
        <v>0.30571256405434122</v>
      </c>
      <c r="I3176" s="468">
        <v>10.969391126233882</v>
      </c>
    </row>
    <row r="3177" spans="1:9" ht="16.5" x14ac:dyDescent="0.3">
      <c r="A3177" s="477">
        <v>1305805.9633882449</v>
      </c>
      <c r="B3177" s="458">
        <v>3.0426407139777067E-2</v>
      </c>
      <c r="C3177" s="477">
        <v>8096346.431895853</v>
      </c>
      <c r="D3177" s="458">
        <v>6.6619588493377346E-2</v>
      </c>
      <c r="E3177" s="477">
        <v>21938020.625957672</v>
      </c>
      <c r="F3177" s="458">
        <v>9.6492557740731844E-2</v>
      </c>
      <c r="G3177" s="477">
        <v>92357176.36782068</v>
      </c>
      <c r="H3177" s="458">
        <v>0.25836783332053548</v>
      </c>
      <c r="I3177" s="468">
        <v>6.6121569944497027</v>
      </c>
    </row>
    <row r="3178" spans="1:9" ht="16.5" x14ac:dyDescent="0.3">
      <c r="A3178" s="477">
        <v>4688527.4606876485</v>
      </c>
      <c r="B3178" s="458">
        <v>4.313801293797237E-2</v>
      </c>
      <c r="C3178" s="477">
        <v>11949310.708657248</v>
      </c>
      <c r="D3178" s="458">
        <v>3.4598571640221065E-2</v>
      </c>
      <c r="E3178" s="477">
        <v>6802949.3819295159</v>
      </c>
      <c r="F3178" s="458">
        <v>0.11308846573199527</v>
      </c>
      <c r="G3178" s="477">
        <v>82482784.335305825</v>
      </c>
      <c r="H3178" s="458">
        <v>0.27138209992339712</v>
      </c>
      <c r="I3178" s="468">
        <v>9.5978021377198299</v>
      </c>
    </row>
    <row r="3179" spans="1:9" ht="16.5" x14ac:dyDescent="0.3">
      <c r="A3179" s="477">
        <v>4211215.0343365492</v>
      </c>
      <c r="B3179" s="458">
        <v>2.9750071957533653E-2</v>
      </c>
      <c r="C3179" s="477">
        <v>11759339.432881322</v>
      </c>
      <c r="D3179" s="458">
        <v>7.6323738965829557E-2</v>
      </c>
      <c r="E3179" s="477">
        <v>14697661.10021962</v>
      </c>
      <c r="F3179" s="458">
        <v>9.2800755158478632E-2</v>
      </c>
      <c r="G3179" s="477">
        <v>86444426.176608205</v>
      </c>
      <c r="H3179" s="458">
        <v>0.25433532148140658</v>
      </c>
      <c r="I3179" s="468">
        <v>8.8156928468516238</v>
      </c>
    </row>
    <row r="3180" spans="1:9" ht="16.5" x14ac:dyDescent="0.3">
      <c r="A3180" s="477">
        <v>2565360.9835629435</v>
      </c>
      <c r="B3180" s="458">
        <v>3.023131759057951E-2</v>
      </c>
      <c r="C3180" s="477">
        <v>7972888.5159090171</v>
      </c>
      <c r="D3180" s="458">
        <v>5.9984539106653356E-2</v>
      </c>
      <c r="E3180" s="477">
        <v>26824881.163634699</v>
      </c>
      <c r="F3180" s="458">
        <v>0.13533422465116174</v>
      </c>
      <c r="G3180" s="477">
        <v>93772098.43640554</v>
      </c>
      <c r="H3180" s="458">
        <v>0.27109858004030696</v>
      </c>
      <c r="I3180" s="468">
        <v>10.165937235349945</v>
      </c>
    </row>
    <row r="3181" spans="1:9" ht="16.5" x14ac:dyDescent="0.3">
      <c r="A3181" s="477">
        <v>5519992.5268742573</v>
      </c>
      <c r="B3181" s="458">
        <v>5.3308078080758436E-2</v>
      </c>
      <c r="C3181" s="477">
        <v>7766082.073395269</v>
      </c>
      <c r="D3181" s="458">
        <v>8.3294095227315124E-2</v>
      </c>
      <c r="E3181" s="477">
        <v>8874356.6871694457</v>
      </c>
      <c r="F3181" s="458">
        <v>0.10080546963581782</v>
      </c>
      <c r="G3181" s="477">
        <v>93988347.585542083</v>
      </c>
      <c r="H3181" s="458">
        <v>0.27487890376461199</v>
      </c>
      <c r="I3181" s="468">
        <v>2.9767870168690909</v>
      </c>
    </row>
    <row r="3182" spans="1:9" ht="16.5" x14ac:dyDescent="0.3">
      <c r="A3182" s="477">
        <v>3318428.219260185</v>
      </c>
      <c r="B3182" s="458">
        <v>3.9842610469720263E-2</v>
      </c>
      <c r="C3182" s="477">
        <v>12343555.766224613</v>
      </c>
      <c r="D3182" s="458">
        <v>6.2103230234801465E-2</v>
      </c>
      <c r="E3182" s="477">
        <v>15368018.972373443</v>
      </c>
      <c r="F3182" s="458">
        <v>0.11327606484148722</v>
      </c>
      <c r="G3182" s="477">
        <v>92803288.359823376</v>
      </c>
      <c r="H3182" s="458">
        <v>0.26610237996642305</v>
      </c>
      <c r="I3182" s="468">
        <v>7.9862556709740504</v>
      </c>
    </row>
    <row r="3183" spans="1:9" ht="16.5" x14ac:dyDescent="0.3">
      <c r="A3183" s="477">
        <v>3267892.6427505049</v>
      </c>
      <c r="B3183" s="458">
        <v>2.3484280196161667E-2</v>
      </c>
      <c r="C3183" s="477">
        <v>6466450.601230504</v>
      </c>
      <c r="D3183" s="458">
        <v>5.4769222132745154E-2</v>
      </c>
      <c r="E3183" s="477">
        <v>21891958.442967795</v>
      </c>
      <c r="F3183" s="458">
        <v>8.7496118833459757E-2</v>
      </c>
      <c r="G3183" s="477">
        <v>96399676.609713674</v>
      </c>
      <c r="H3183" s="458">
        <v>0.27251357203911719</v>
      </c>
      <c r="I3183" s="468">
        <v>11.54834991551756</v>
      </c>
    </row>
    <row r="3184" spans="1:9" ht="16.5" x14ac:dyDescent="0.3">
      <c r="A3184" s="477">
        <v>7313906.6801822148</v>
      </c>
      <c r="B3184" s="458">
        <v>3.1507063659039325E-2</v>
      </c>
      <c r="C3184" s="477">
        <v>5815069.8979121493</v>
      </c>
      <c r="D3184" s="458">
        <v>3.8107769849423434E-2</v>
      </c>
      <c r="E3184" s="477">
        <v>17675820.195852604</v>
      </c>
      <c r="F3184" s="458">
        <v>0.12355046048904406</v>
      </c>
      <c r="G3184" s="477">
        <v>76103950.43133232</v>
      </c>
      <c r="H3184" s="458">
        <v>0.29008835895540641</v>
      </c>
      <c r="I3184" s="468">
        <v>1.7676606077685335</v>
      </c>
    </row>
    <row r="3185" spans="1:9" ht="16.5" x14ac:dyDescent="0.3">
      <c r="A3185" s="477">
        <v>6276897.2959390674</v>
      </c>
      <c r="B3185" s="458">
        <v>2.9108641712923378E-2</v>
      </c>
      <c r="C3185" s="477">
        <v>16147206.373567056</v>
      </c>
      <c r="D3185" s="458">
        <v>5.5292646779891097E-2</v>
      </c>
      <c r="E3185" s="477">
        <v>13635117.042918228</v>
      </c>
      <c r="F3185" s="458">
        <v>0.11427463973581387</v>
      </c>
      <c r="G3185" s="477">
        <v>84841046.562900856</v>
      </c>
      <c r="H3185" s="458">
        <v>0.26593882984115136</v>
      </c>
      <c r="I3185" s="468">
        <v>11.491303612373576</v>
      </c>
    </row>
    <row r="3186" spans="1:9" ht="16.5" x14ac:dyDescent="0.3">
      <c r="A3186" s="477">
        <v>10890359.384597491</v>
      </c>
      <c r="B3186" s="458">
        <v>4.6666906317625045E-2</v>
      </c>
      <c r="C3186" s="477">
        <v>10903758.970021615</v>
      </c>
      <c r="D3186" s="458">
        <v>6.9580066372393778E-2</v>
      </c>
      <c r="E3186" s="477">
        <v>16728882.531022809</v>
      </c>
      <c r="F3186" s="458">
        <v>0.11845623896426849</v>
      </c>
      <c r="G3186" s="477">
        <v>84936444.364966929</v>
      </c>
      <c r="H3186" s="458">
        <v>0.2488046784258533</v>
      </c>
      <c r="I3186" s="468">
        <v>12.41237746925631</v>
      </c>
    </row>
    <row r="3187" spans="1:9" ht="16.5" x14ac:dyDescent="0.3">
      <c r="A3187" s="477">
        <v>7301111.4647061983</v>
      </c>
      <c r="B3187" s="458">
        <v>1.8391066309156656E-2</v>
      </c>
      <c r="C3187" s="477">
        <v>11545139.565265603</v>
      </c>
      <c r="D3187" s="458">
        <v>2.8815728676958585E-2</v>
      </c>
      <c r="E3187" s="477">
        <v>21255929.305049058</v>
      </c>
      <c r="F3187" s="458">
        <v>9.836821814250496E-2</v>
      </c>
      <c r="G3187" s="477">
        <v>101019101.17552534</v>
      </c>
      <c r="H3187" s="458">
        <v>0.26404234771813506</v>
      </c>
      <c r="I3187" s="468">
        <v>10.853945167970675</v>
      </c>
    </row>
    <row r="3188" spans="1:9" ht="16.5" x14ac:dyDescent="0.3">
      <c r="A3188" s="477">
        <v>4189399.6159944371</v>
      </c>
      <c r="B3188" s="458">
        <v>5.0873255474882972E-2</v>
      </c>
      <c r="C3188" s="477">
        <v>6460855.3203474246</v>
      </c>
      <c r="D3188" s="458">
        <v>3.4550018710323593E-2</v>
      </c>
      <c r="E3188" s="477">
        <v>10235089.810993236</v>
      </c>
      <c r="F3188" s="458">
        <v>0.11278753780333894</v>
      </c>
      <c r="G3188" s="477">
        <v>82245323.437834874</v>
      </c>
      <c r="H3188" s="458">
        <v>0.26170404091073363</v>
      </c>
      <c r="I3188" s="468">
        <v>7.1905260937014113</v>
      </c>
    </row>
    <row r="3189" spans="1:9" ht="16.5" x14ac:dyDescent="0.3">
      <c r="A3189" s="477">
        <v>3680433.3119899561</v>
      </c>
      <c r="B3189" s="458">
        <v>2.8765666049792582E-2</v>
      </c>
      <c r="C3189" s="477">
        <v>5828438.5742314672</v>
      </c>
      <c r="D3189" s="458">
        <v>7.7561153701012353E-2</v>
      </c>
      <c r="E3189" s="477">
        <v>21612969.673745435</v>
      </c>
      <c r="F3189" s="458">
        <v>0.13823261754296001</v>
      </c>
      <c r="G3189" s="477">
        <v>94174653.422681674</v>
      </c>
      <c r="H3189" s="458">
        <v>0.25910405575272044</v>
      </c>
      <c r="I3189" s="468">
        <v>11.141634922909496</v>
      </c>
    </row>
    <row r="3190" spans="1:9" ht="16.5" x14ac:dyDescent="0.3">
      <c r="A3190" s="477">
        <v>4614579.3830294032</v>
      </c>
      <c r="B3190" s="458">
        <v>2.2375735497140559E-2</v>
      </c>
      <c r="C3190" s="477">
        <v>5301639.5734113408</v>
      </c>
      <c r="D3190" s="458">
        <v>6.4741681332124879E-2</v>
      </c>
      <c r="E3190" s="477">
        <v>20576487.062082969</v>
      </c>
      <c r="F3190" s="458">
        <v>9.1995243362860801E-2</v>
      </c>
      <c r="G3190" s="477">
        <v>87435740.334932119</v>
      </c>
      <c r="H3190" s="458">
        <v>0.25109849875530355</v>
      </c>
      <c r="I3190" s="468">
        <v>11.370836618077448</v>
      </c>
    </row>
    <row r="3191" spans="1:9" ht="16.5" x14ac:dyDescent="0.3">
      <c r="A3191" s="477">
        <v>9739969.5309486166</v>
      </c>
      <c r="B3191" s="458">
        <v>1.5731362476840483E-2</v>
      </c>
      <c r="C3191" s="477">
        <v>9202588.804720208</v>
      </c>
      <c r="D3191" s="458">
        <v>5.8935617177007682E-2</v>
      </c>
      <c r="E3191" s="477">
        <v>9385201.6677458603</v>
      </c>
      <c r="F3191" s="458">
        <v>0.12911108374292057</v>
      </c>
      <c r="G3191" s="477">
        <v>101013139.97934499</v>
      </c>
      <c r="H3191" s="458">
        <v>0.25296095104662797</v>
      </c>
      <c r="I3191" s="468">
        <v>9.9448091424393184</v>
      </c>
    </row>
    <row r="3192" spans="1:9" ht="16.5" x14ac:dyDescent="0.3">
      <c r="A3192" s="477">
        <v>8717249.5831187498</v>
      </c>
      <c r="B3192" s="458">
        <v>4.3804940144940296E-2</v>
      </c>
      <c r="C3192" s="477">
        <v>9430375.066960562</v>
      </c>
      <c r="D3192" s="458">
        <v>5.1718311488542001E-2</v>
      </c>
      <c r="E3192" s="477">
        <v>21011419.034228124</v>
      </c>
      <c r="F3192" s="458">
        <v>0.10441595532116121</v>
      </c>
      <c r="G3192" s="477">
        <v>81319463.762689367</v>
      </c>
      <c r="H3192" s="458">
        <v>0.2690013483936915</v>
      </c>
      <c r="I3192" s="468">
        <v>5.1733815007791755</v>
      </c>
    </row>
    <row r="3193" spans="1:9" ht="16.5" x14ac:dyDescent="0.3">
      <c r="A3193" s="477">
        <v>3473826.396048584</v>
      </c>
      <c r="B3193" s="458">
        <v>4.3505448966410176E-2</v>
      </c>
      <c r="C3193" s="477">
        <v>12706060.242009034</v>
      </c>
      <c r="D3193" s="458">
        <v>7.0215657411086374E-2</v>
      </c>
      <c r="E3193" s="477">
        <v>16730586.124262139</v>
      </c>
      <c r="F3193" s="458">
        <v>0.14687244283035339</v>
      </c>
      <c r="G3193" s="477">
        <v>101331253.74285723</v>
      </c>
      <c r="H3193" s="458">
        <v>0.28523975673605206</v>
      </c>
      <c r="I3193" s="468">
        <v>9.6421216086728769</v>
      </c>
    </row>
    <row r="3194" spans="1:9" ht="16.5" x14ac:dyDescent="0.3">
      <c r="A3194" s="477">
        <v>7470412.2642181199</v>
      </c>
      <c r="B3194" s="458">
        <v>2.6631375688093595E-2</v>
      </c>
      <c r="C3194" s="477">
        <v>5776603.6405074336</v>
      </c>
      <c r="D3194" s="458">
        <v>7.0955926625276167E-2</v>
      </c>
      <c r="E3194" s="477">
        <v>16663272.322581071</v>
      </c>
      <c r="F3194" s="458">
        <v>0.10337612032804411</v>
      </c>
      <c r="G3194" s="477">
        <v>87174078.788541585</v>
      </c>
      <c r="H3194" s="458">
        <v>0.28700722220302199</v>
      </c>
      <c r="I3194" s="468">
        <v>-2.54943211204567</v>
      </c>
    </row>
    <row r="3195" spans="1:9" ht="16.5" x14ac:dyDescent="0.3">
      <c r="A3195" s="477">
        <v>5325690.0135611501</v>
      </c>
      <c r="B3195" s="458">
        <v>5.8281912177126749E-2</v>
      </c>
      <c r="C3195" s="477">
        <v>6078787.5699389782</v>
      </c>
      <c r="D3195" s="458">
        <v>6.8830917404714365E-2</v>
      </c>
      <c r="E3195" s="477">
        <v>9378008.2565787733</v>
      </c>
      <c r="F3195" s="458">
        <v>0.10532487872161633</v>
      </c>
      <c r="G3195" s="477">
        <v>86920273.477395236</v>
      </c>
      <c r="H3195" s="458">
        <v>0.28572245428005005</v>
      </c>
      <c r="I3195" s="468">
        <v>4.3312602476032289</v>
      </c>
    </row>
    <row r="3196" spans="1:9" ht="16.5" x14ac:dyDescent="0.3">
      <c r="A3196" s="477">
        <v>4370397.3589404142</v>
      </c>
      <c r="B3196" s="458">
        <v>5.7450891740013832E-2</v>
      </c>
      <c r="C3196" s="477">
        <v>9000808.2601996474</v>
      </c>
      <c r="D3196" s="458">
        <v>6.7321026175847898E-2</v>
      </c>
      <c r="E3196" s="477">
        <v>13874927.161287116</v>
      </c>
      <c r="F3196" s="458">
        <v>0.11475471000046666</v>
      </c>
      <c r="G3196" s="477">
        <v>98582217.095650151</v>
      </c>
      <c r="H3196" s="458">
        <v>0.28046326713470826</v>
      </c>
      <c r="I3196" s="468">
        <v>3.4127512601445638</v>
      </c>
    </row>
    <row r="3197" spans="1:9" ht="16.5" x14ac:dyDescent="0.3">
      <c r="A3197" s="477">
        <v>7193456.5562543273</v>
      </c>
      <c r="B3197" s="458">
        <v>4.9465671976767212E-2</v>
      </c>
      <c r="C3197" s="477">
        <v>5201510.3680739645</v>
      </c>
      <c r="D3197" s="458">
        <v>5.7627206469362147E-2</v>
      </c>
      <c r="E3197" s="477">
        <v>22536543.541845184</v>
      </c>
      <c r="F3197" s="458">
        <v>0.101195777673319</v>
      </c>
      <c r="G3197" s="477">
        <v>97201912.251147687</v>
      </c>
      <c r="H3197" s="458">
        <v>0.28028471786528586</v>
      </c>
      <c r="I3197" s="468">
        <v>6.7379976447749499</v>
      </c>
    </row>
    <row r="3198" spans="1:9" ht="16.5" x14ac:dyDescent="0.3">
      <c r="A3198" s="477">
        <v>4075747.2076554461</v>
      </c>
      <c r="B3198" s="458">
        <v>2.3805919191901781E-2</v>
      </c>
      <c r="C3198" s="477">
        <v>10184313.013499781</v>
      </c>
      <c r="D3198" s="458">
        <v>6.5560938133791602E-2</v>
      </c>
      <c r="E3198" s="477">
        <v>20516671.157606769</v>
      </c>
      <c r="F3198" s="458">
        <v>0.12316350092496942</v>
      </c>
      <c r="G3198" s="477">
        <v>93772399.631392375</v>
      </c>
      <c r="H3198" s="458">
        <v>0.27515318385125753</v>
      </c>
      <c r="I3198" s="468">
        <v>10.222814037389792</v>
      </c>
    </row>
    <row r="3199" spans="1:9" ht="16.5" x14ac:dyDescent="0.3">
      <c r="A3199" s="477">
        <v>4108987.1518368991</v>
      </c>
      <c r="B3199" s="458">
        <v>1.767748716844264E-2</v>
      </c>
      <c r="C3199" s="477">
        <v>8256097.6588657275</v>
      </c>
      <c r="D3199" s="458">
        <v>8.0811852550604968E-2</v>
      </c>
      <c r="E3199" s="477">
        <v>12548196.122165263</v>
      </c>
      <c r="F3199" s="458">
        <v>0.13217088441745495</v>
      </c>
      <c r="G3199" s="477">
        <v>74248339.356161565</v>
      </c>
      <c r="H3199" s="458">
        <v>0.2668486162720094</v>
      </c>
      <c r="I3199" s="468">
        <v>7.9316849634548108</v>
      </c>
    </row>
    <row r="3200" spans="1:9" ht="16.5" x14ac:dyDescent="0.3">
      <c r="A3200" s="477">
        <v>9141847.775316447</v>
      </c>
      <c r="B3200" s="458">
        <v>7.9049706716144197E-2</v>
      </c>
      <c r="C3200" s="477">
        <v>7518090.0909944493</v>
      </c>
      <c r="D3200" s="458">
        <v>9.3013910719216053E-2</v>
      </c>
      <c r="E3200" s="477">
        <v>15796339.834777381</v>
      </c>
      <c r="F3200" s="458">
        <v>0.12197820723544139</v>
      </c>
      <c r="G3200" s="477">
        <v>98072045.440485671</v>
      </c>
      <c r="H3200" s="458">
        <v>0.27377258209785293</v>
      </c>
      <c r="I3200" s="468">
        <v>6.6038202852951953</v>
      </c>
    </row>
    <row r="3201" spans="1:9" ht="16.5" x14ac:dyDescent="0.3">
      <c r="A3201" s="477">
        <v>7251358.2340209056</v>
      </c>
      <c r="B3201" s="458">
        <v>4.3578881629491972E-2</v>
      </c>
      <c r="C3201" s="477">
        <v>4135413.4319719486</v>
      </c>
      <c r="D3201" s="458">
        <v>6.4154854888322177E-2</v>
      </c>
      <c r="E3201" s="477">
        <v>14449252.096031522</v>
      </c>
      <c r="F3201" s="458">
        <v>9.5082103869904566E-2</v>
      </c>
      <c r="G3201" s="477">
        <v>102059476.40372151</v>
      </c>
      <c r="H3201" s="458">
        <v>0.28183097431046633</v>
      </c>
      <c r="I3201" s="468">
        <v>1.2465248913474944</v>
      </c>
    </row>
    <row r="3202" spans="1:9" ht="16.5" x14ac:dyDescent="0.3">
      <c r="A3202" s="477">
        <v>6374711.9905978078</v>
      </c>
      <c r="B3202" s="458">
        <v>3.9769340574544954E-2</v>
      </c>
      <c r="C3202" s="477">
        <v>7334803.6461746981</v>
      </c>
      <c r="D3202" s="458">
        <v>6.0030977216686709E-2</v>
      </c>
      <c r="E3202" s="477">
        <v>13235118.981897181</v>
      </c>
      <c r="F3202" s="458">
        <v>0.10543931926044414</v>
      </c>
      <c r="G3202" s="477">
        <v>86636266.02931419</v>
      </c>
      <c r="H3202" s="458">
        <v>0.26136712930536521</v>
      </c>
      <c r="I3202" s="468">
        <v>7.6621870732594761</v>
      </c>
    </row>
    <row r="3203" spans="1:9" ht="16.5" x14ac:dyDescent="0.3">
      <c r="A3203" s="477">
        <v>4163699.0653216573</v>
      </c>
      <c r="B3203" s="458">
        <v>4.3947140805087326E-2</v>
      </c>
      <c r="C3203" s="477">
        <v>8611165.7398477588</v>
      </c>
      <c r="D3203" s="458">
        <v>7.7910726320994161E-2</v>
      </c>
      <c r="E3203" s="477">
        <v>14905675.647525316</v>
      </c>
      <c r="F3203" s="458">
        <v>0.12153436499154746</v>
      </c>
      <c r="G3203" s="477">
        <v>97647418.291731536</v>
      </c>
      <c r="H3203" s="458">
        <v>0.2851468356670126</v>
      </c>
      <c r="I3203" s="468">
        <v>7.7638224471050092</v>
      </c>
    </row>
    <row r="3204" spans="1:9" ht="16.5" x14ac:dyDescent="0.3">
      <c r="A3204" s="477">
        <v>7493118.6639409382</v>
      </c>
      <c r="B3204" s="458">
        <v>2.7284956489132428E-2</v>
      </c>
      <c r="C3204" s="477">
        <v>8182913.9087324142</v>
      </c>
      <c r="D3204" s="458">
        <v>3.6765345231791979E-2</v>
      </c>
      <c r="E3204" s="477">
        <v>20361929.486611035</v>
      </c>
      <c r="F3204" s="458">
        <v>0.11512606737889319</v>
      </c>
      <c r="G3204" s="477">
        <v>87038369.320086196</v>
      </c>
      <c r="H3204" s="458">
        <v>0.28995307955286176</v>
      </c>
      <c r="I3204" s="468">
        <v>10.824560182255114</v>
      </c>
    </row>
    <row r="3205" spans="1:9" ht="16.5" x14ac:dyDescent="0.3">
      <c r="A3205" s="477">
        <v>6930738.1264051562</v>
      </c>
      <c r="B3205" s="458">
        <v>4.0666923597588278E-2</v>
      </c>
      <c r="C3205" s="477">
        <v>6188686.1606502999</v>
      </c>
      <c r="D3205" s="458">
        <v>8.9837967501713356E-2</v>
      </c>
      <c r="E3205" s="477">
        <v>14929368.758069595</v>
      </c>
      <c r="F3205" s="458">
        <v>0.11446574902169648</v>
      </c>
      <c r="G3205" s="477">
        <v>98688630.766476393</v>
      </c>
      <c r="H3205" s="458">
        <v>0.26921226941899956</v>
      </c>
      <c r="I3205" s="468">
        <v>11.707045971331503</v>
      </c>
    </row>
    <row r="3206" spans="1:9" ht="16.5" x14ac:dyDescent="0.3">
      <c r="A3206" s="477">
        <v>2039149.5213410072</v>
      </c>
      <c r="B3206" s="458">
        <v>9.4080616906371262E-3</v>
      </c>
      <c r="C3206" s="477">
        <v>1304385.9446216784</v>
      </c>
      <c r="D3206" s="458">
        <v>3.7863570867487484E-2</v>
      </c>
      <c r="E3206" s="477">
        <v>20367971.739262335</v>
      </c>
      <c r="F3206" s="458">
        <v>9.9352402838081666E-2</v>
      </c>
      <c r="G3206" s="477">
        <v>97847305.989570707</v>
      </c>
      <c r="H3206" s="458">
        <v>0.28962813818409816</v>
      </c>
      <c r="I3206" s="468">
        <v>4.4041495345047705</v>
      </c>
    </row>
    <row r="3207" spans="1:9" ht="16.5" x14ac:dyDescent="0.3">
      <c r="A3207" s="477">
        <v>7692866.9654603889</v>
      </c>
      <c r="B3207" s="458">
        <v>3.7787947727364601E-2</v>
      </c>
      <c r="C3207" s="477">
        <v>11090781.95811772</v>
      </c>
      <c r="D3207" s="458">
        <v>5.38350629815052E-2</v>
      </c>
      <c r="E3207" s="477">
        <v>13557148.726314213</v>
      </c>
      <c r="F3207" s="458">
        <v>0.10661290016031555</v>
      </c>
      <c r="G3207" s="477">
        <v>89058184.502414167</v>
      </c>
      <c r="H3207" s="458">
        <v>0.2517678103668648</v>
      </c>
      <c r="I3207" s="468">
        <v>2.8374110568858475</v>
      </c>
    </row>
    <row r="3208" spans="1:9" ht="16.5" x14ac:dyDescent="0.3">
      <c r="A3208" s="477">
        <v>5820617.1365354527</v>
      </c>
      <c r="B3208" s="458">
        <v>3.9458975144337716E-2</v>
      </c>
      <c r="C3208" s="477">
        <v>14837673.854094759</v>
      </c>
      <c r="D3208" s="458">
        <v>6.3773735525826769E-2</v>
      </c>
      <c r="E3208" s="477">
        <v>21758370.327558555</v>
      </c>
      <c r="F3208" s="458">
        <v>0.10699166412932271</v>
      </c>
      <c r="G3208" s="477">
        <v>97383296.939941078</v>
      </c>
      <c r="H3208" s="458">
        <v>0.2891553489430696</v>
      </c>
      <c r="I3208" s="468">
        <v>7.5116583224298941</v>
      </c>
    </row>
    <row r="3209" spans="1:9" ht="16.5" x14ac:dyDescent="0.3">
      <c r="A3209" s="477">
        <v>5276026.3166047167</v>
      </c>
      <c r="B3209" s="458">
        <v>5.333631465556965E-2</v>
      </c>
      <c r="C3209" s="477">
        <v>10351081.897773761</v>
      </c>
      <c r="D3209" s="458">
        <v>6.4661313724080793E-2</v>
      </c>
      <c r="E3209" s="477">
        <v>24893532.968559805</v>
      </c>
      <c r="F3209" s="458">
        <v>0.1168788262267253</v>
      </c>
      <c r="G3209" s="477">
        <v>93221939.013478458</v>
      </c>
      <c r="H3209" s="458">
        <v>0.25643803401491994</v>
      </c>
      <c r="I3209" s="468">
        <v>8.5087554208194334</v>
      </c>
    </row>
    <row r="3210" spans="1:9" ht="16.5" x14ac:dyDescent="0.3">
      <c r="A3210" s="477">
        <v>5916245.2878984222</v>
      </c>
      <c r="B3210" s="458">
        <v>3.4594224805644336E-2</v>
      </c>
      <c r="C3210" s="477">
        <v>13282303.386375008</v>
      </c>
      <c r="D3210" s="458">
        <v>4.2166156008881739E-2</v>
      </c>
      <c r="E3210" s="477">
        <v>12675267.741787894</v>
      </c>
      <c r="F3210" s="458">
        <v>0.10097484756193431</v>
      </c>
      <c r="G3210" s="477">
        <v>75566736.261938497</v>
      </c>
      <c r="H3210" s="458">
        <v>0.28274300529616192</v>
      </c>
      <c r="I3210" s="468">
        <v>3.7839864287787668</v>
      </c>
    </row>
    <row r="3211" spans="1:9" ht="16.5" x14ac:dyDescent="0.3">
      <c r="A3211" s="477">
        <v>1854202.3844665769</v>
      </c>
      <c r="B3211" s="458">
        <v>6.6944884264799054E-2</v>
      </c>
      <c r="C3211" s="477">
        <v>11284350.996446712</v>
      </c>
      <c r="D3211" s="458">
        <v>5.2369135141901113E-2</v>
      </c>
      <c r="E3211" s="477">
        <v>14655281.131080512</v>
      </c>
      <c r="F3211" s="458">
        <v>0.10909430713059209</v>
      </c>
      <c r="G3211" s="477">
        <v>100095187.36747198</v>
      </c>
      <c r="H3211" s="458">
        <v>0.2659493400327575</v>
      </c>
      <c r="I3211" s="468">
        <v>11.288446674101444</v>
      </c>
    </row>
    <row r="3212" spans="1:9" ht="16.5" x14ac:dyDescent="0.3">
      <c r="A3212" s="477">
        <v>9231593.9483359382</v>
      </c>
      <c r="B3212" s="458">
        <v>2.8466800739924691E-2</v>
      </c>
      <c r="C3212" s="477">
        <v>6760478.1635599807</v>
      </c>
      <c r="D3212" s="458">
        <v>4.9960571381073127E-2</v>
      </c>
      <c r="E3212" s="477">
        <v>17347153.07682021</v>
      </c>
      <c r="F3212" s="458">
        <v>0.11913515572521516</v>
      </c>
      <c r="G3212" s="477">
        <v>96750574.833714813</v>
      </c>
      <c r="H3212" s="458">
        <v>0.30100884302366948</v>
      </c>
      <c r="I3212" s="468">
        <v>6.8314932506579122</v>
      </c>
    </row>
    <row r="3213" spans="1:9" ht="16.5" x14ac:dyDescent="0.3">
      <c r="A3213" s="477">
        <v>5473679.3889706135</v>
      </c>
      <c r="B3213" s="458">
        <v>2.5750654194547584E-2</v>
      </c>
      <c r="C3213" s="477">
        <v>10948912.520186227</v>
      </c>
      <c r="D3213" s="458">
        <v>6.9711956516065321E-2</v>
      </c>
      <c r="E3213" s="477">
        <v>12225451.989652406</v>
      </c>
      <c r="F3213" s="458">
        <v>6.5386378822653635E-2</v>
      </c>
      <c r="G3213" s="477">
        <v>96604163.338521451</v>
      </c>
      <c r="H3213" s="458">
        <v>0.26202247411479451</v>
      </c>
      <c r="I3213" s="468">
        <v>8.0540670047863454</v>
      </c>
    </row>
    <row r="3214" spans="1:9" ht="16.5" x14ac:dyDescent="0.3">
      <c r="A3214" s="477">
        <v>4968737.0580329048</v>
      </c>
      <c r="B3214" s="458">
        <v>9.9294034552350752E-3</v>
      </c>
      <c r="C3214" s="477">
        <v>15556403.086911865</v>
      </c>
      <c r="D3214" s="458">
        <v>5.1254965099518657E-2</v>
      </c>
      <c r="E3214" s="477">
        <v>17748372.977320999</v>
      </c>
      <c r="F3214" s="458">
        <v>0.11071631144125704</v>
      </c>
      <c r="G3214" s="477">
        <v>84807174.124379277</v>
      </c>
      <c r="H3214" s="458">
        <v>0.27498687067629168</v>
      </c>
      <c r="I3214" s="468">
        <v>5.098568973854487</v>
      </c>
    </row>
    <row r="3215" spans="1:9" ht="16.5" x14ac:dyDescent="0.3">
      <c r="A3215" s="477">
        <v>6553666.2955535613</v>
      </c>
      <c r="B3215" s="458">
        <v>4.0791874039462606E-2</v>
      </c>
      <c r="C3215" s="477">
        <v>11817954.782123065</v>
      </c>
      <c r="D3215" s="458">
        <v>7.0416809956355131E-2</v>
      </c>
      <c r="E3215" s="477">
        <v>19276364.366547119</v>
      </c>
      <c r="F3215" s="458">
        <v>0.12151999353749932</v>
      </c>
      <c r="G3215" s="477">
        <v>84686019.705784902</v>
      </c>
      <c r="H3215" s="458">
        <v>0.25897517715082641</v>
      </c>
      <c r="I3215" s="468">
        <v>2.4352907274129567</v>
      </c>
    </row>
    <row r="3216" spans="1:9" ht="16.5" x14ac:dyDescent="0.3">
      <c r="A3216" s="477">
        <v>4667380.9975035656</v>
      </c>
      <c r="B3216" s="458">
        <v>2.8233886127793983E-2</v>
      </c>
      <c r="C3216" s="477">
        <v>6447233.7922101719</v>
      </c>
      <c r="D3216" s="458">
        <v>6.0517819148987684E-2</v>
      </c>
      <c r="E3216" s="477">
        <v>17953168.197134167</v>
      </c>
      <c r="F3216" s="458">
        <v>0.1021731533589092</v>
      </c>
      <c r="G3216" s="477">
        <v>83012663.125932187</v>
      </c>
      <c r="H3216" s="458">
        <v>0.26131138080585559</v>
      </c>
      <c r="I3216" s="468">
        <v>13.559651465789932</v>
      </c>
    </row>
    <row r="3217" spans="1:9" ht="16.5" x14ac:dyDescent="0.3">
      <c r="A3217" s="477">
        <v>6454942.8745011343</v>
      </c>
      <c r="B3217" s="458">
        <v>5.0986945001860073E-2</v>
      </c>
      <c r="C3217" s="477">
        <v>8381802.3685801374</v>
      </c>
      <c r="D3217" s="458">
        <v>5.7147584948119112E-2</v>
      </c>
      <c r="E3217" s="477">
        <v>10885546.230530091</v>
      </c>
      <c r="F3217" s="458">
        <v>8.199378955961345E-2</v>
      </c>
      <c r="G3217" s="477">
        <v>100951914.83565545</v>
      </c>
      <c r="H3217" s="458">
        <v>0.25954353494692084</v>
      </c>
      <c r="I3217" s="468">
        <v>5.0290096803681621</v>
      </c>
    </row>
    <row r="3218" spans="1:9" ht="16.5" x14ac:dyDescent="0.3">
      <c r="A3218" s="477">
        <v>5769535.827458512</v>
      </c>
      <c r="B3218" s="458">
        <v>4.6596454316385261E-2</v>
      </c>
      <c r="C3218" s="477">
        <v>10902719.129978048</v>
      </c>
      <c r="D3218" s="458">
        <v>8.7657627469693411E-2</v>
      </c>
      <c r="E3218" s="477">
        <v>18134317.309992123</v>
      </c>
      <c r="F3218" s="458">
        <v>0.10363160073146727</v>
      </c>
      <c r="G3218" s="477">
        <v>91206629.745833084</v>
      </c>
      <c r="H3218" s="458">
        <v>0.2620019816846233</v>
      </c>
      <c r="I3218" s="468">
        <v>13.200638184832865</v>
      </c>
    </row>
    <row r="3219" spans="1:9" ht="16.5" x14ac:dyDescent="0.3">
      <c r="A3219" s="477">
        <v>4908453.9703639438</v>
      </c>
      <c r="B3219" s="458">
        <v>2.636301788490969E-2</v>
      </c>
      <c r="C3219" s="477">
        <v>13854247.241462609</v>
      </c>
      <c r="D3219" s="458">
        <v>8.9299107243322462E-2</v>
      </c>
      <c r="E3219" s="477">
        <v>19155109.269392613</v>
      </c>
      <c r="F3219" s="458">
        <v>9.430536687156188E-2</v>
      </c>
      <c r="G3219" s="477">
        <v>83546830.816245437</v>
      </c>
      <c r="H3219" s="458">
        <v>0.27298089672616288</v>
      </c>
      <c r="I3219" s="468">
        <v>3.3224581171259828</v>
      </c>
    </row>
    <row r="3220" spans="1:9" ht="16.5" x14ac:dyDescent="0.3">
      <c r="A3220" s="477">
        <v>3541218.7436920237</v>
      </c>
      <c r="B3220" s="458">
        <v>5.0341430555222777E-2</v>
      </c>
      <c r="C3220" s="477">
        <v>4072321.5049245176</v>
      </c>
      <c r="D3220" s="458">
        <v>8.1263359753655395E-2</v>
      </c>
      <c r="E3220" s="477">
        <v>18035120.076769587</v>
      </c>
      <c r="F3220" s="458">
        <v>0.13200515102214427</v>
      </c>
      <c r="G3220" s="477">
        <v>103579290.22245093</v>
      </c>
      <c r="H3220" s="458">
        <v>0.27649422302648219</v>
      </c>
      <c r="I3220" s="468">
        <v>9.2766191801505862</v>
      </c>
    </row>
    <row r="3221" spans="1:9" ht="16.5" x14ac:dyDescent="0.3">
      <c r="A3221" s="477">
        <v>2175487.7794874366</v>
      </c>
      <c r="B3221" s="458">
        <v>4.7500825419423132E-2</v>
      </c>
      <c r="C3221" s="477">
        <v>7470128.6099464139</v>
      </c>
      <c r="D3221" s="458">
        <v>5.5067253888367862E-2</v>
      </c>
      <c r="E3221" s="477">
        <v>18200253.084750958</v>
      </c>
      <c r="F3221" s="458">
        <v>0.10800968051589854</v>
      </c>
      <c r="G3221" s="477">
        <v>93601310.172522813</v>
      </c>
      <c r="H3221" s="458">
        <v>0.25393925735659217</v>
      </c>
      <c r="I3221" s="468">
        <v>6.6406782118567316</v>
      </c>
    </row>
    <row r="3222" spans="1:9" ht="16.5" x14ac:dyDescent="0.3">
      <c r="A3222" s="477">
        <v>2307113.8627357678</v>
      </c>
      <c r="B3222" s="458">
        <v>4.6847899226262868E-2</v>
      </c>
      <c r="C3222" s="477">
        <v>9474278.5441573486</v>
      </c>
      <c r="D3222" s="458">
        <v>6.4015931596269171E-2</v>
      </c>
      <c r="E3222" s="477">
        <v>10818364.615159266</v>
      </c>
      <c r="F3222" s="458">
        <v>0.12377590762669688</v>
      </c>
      <c r="G3222" s="477">
        <v>85900578.955311969</v>
      </c>
      <c r="H3222" s="458">
        <v>0.28413477659896014</v>
      </c>
      <c r="I3222" s="468">
        <v>8.2317664164637492</v>
      </c>
    </row>
    <row r="3223" spans="1:9" ht="16.5" x14ac:dyDescent="0.3">
      <c r="A3223" s="477">
        <v>8094048.2484402293</v>
      </c>
      <c r="B3223" s="458">
        <v>5.1999523899221023E-2</v>
      </c>
      <c r="C3223" s="477">
        <v>10090117.798435593</v>
      </c>
      <c r="D3223" s="458">
        <v>5.3547032256292093E-2</v>
      </c>
      <c r="E3223" s="477">
        <v>16960585.258292936</v>
      </c>
      <c r="F3223" s="458">
        <v>0.11564967386728364</v>
      </c>
      <c r="G3223" s="477">
        <v>87014779.266715944</v>
      </c>
      <c r="H3223" s="458">
        <v>0.25910335627843217</v>
      </c>
      <c r="I3223" s="468">
        <v>3.7032068265497466</v>
      </c>
    </row>
    <row r="3224" spans="1:9" ht="16.5" x14ac:dyDescent="0.3">
      <c r="A3224" s="477">
        <v>9568418.544507565</v>
      </c>
      <c r="B3224" s="458">
        <v>3.1474502035877316E-2</v>
      </c>
      <c r="C3224" s="477">
        <v>9370810.2728168704</v>
      </c>
      <c r="D3224" s="458">
        <v>4.7590260166216369E-2</v>
      </c>
      <c r="E3224" s="477">
        <v>19359752.528551899</v>
      </c>
      <c r="F3224" s="458">
        <v>0.11951430652120187</v>
      </c>
      <c r="G3224" s="477">
        <v>84030796.901147768</v>
      </c>
      <c r="H3224" s="458">
        <v>0.27998682197551616</v>
      </c>
      <c r="I3224" s="468">
        <v>12.806983733175166</v>
      </c>
    </row>
    <row r="3225" spans="1:9" ht="16.5" x14ac:dyDescent="0.3">
      <c r="A3225" s="477">
        <v>4368005.9156823354</v>
      </c>
      <c r="B3225" s="458">
        <v>4.5770365906765642E-2</v>
      </c>
      <c r="C3225" s="477">
        <v>6327374.7492227312</v>
      </c>
      <c r="D3225" s="458">
        <v>4.667433941826693E-2</v>
      </c>
      <c r="E3225" s="477">
        <v>9349497.373414401</v>
      </c>
      <c r="F3225" s="458">
        <v>0.10462226954892206</v>
      </c>
      <c r="G3225" s="477">
        <v>93723924.303305775</v>
      </c>
      <c r="H3225" s="458">
        <v>0.25981507186083475</v>
      </c>
      <c r="I3225" s="468">
        <v>8.2245154057728804</v>
      </c>
    </row>
    <row r="3226" spans="1:9" ht="16.5" x14ac:dyDescent="0.3">
      <c r="A3226" s="477">
        <v>6826227.06828875</v>
      </c>
      <c r="B3226" s="458">
        <v>4.0145246638197296E-2</v>
      </c>
      <c r="C3226" s="477">
        <v>5223713.2582947072</v>
      </c>
      <c r="D3226" s="458">
        <v>8.5710292736046245E-2</v>
      </c>
      <c r="E3226" s="477">
        <v>7745030.5204653991</v>
      </c>
      <c r="F3226" s="458">
        <v>8.7384497351628898E-2</v>
      </c>
      <c r="G3226" s="477">
        <v>96083547.187635511</v>
      </c>
      <c r="H3226" s="458">
        <v>0.29033163209339352</v>
      </c>
      <c r="I3226" s="468">
        <v>6.9835368057698215</v>
      </c>
    </row>
    <row r="3227" spans="1:9" ht="16.5" x14ac:dyDescent="0.3">
      <c r="A3227" s="477">
        <v>1625931.1926815882</v>
      </c>
      <c r="B3227" s="458">
        <v>4.0446555325551969E-2</v>
      </c>
      <c r="C3227" s="477">
        <v>7668691.469351002</v>
      </c>
      <c r="D3227" s="458">
        <v>5.6487013583482737E-2</v>
      </c>
      <c r="E3227" s="477">
        <v>17013328.965378027</v>
      </c>
      <c r="F3227" s="458">
        <v>0.12583154600664548</v>
      </c>
      <c r="G3227" s="477">
        <v>91889336.853069067</v>
      </c>
      <c r="H3227" s="458">
        <v>0.26588312464999042</v>
      </c>
      <c r="I3227" s="468">
        <v>6.4728251495735289</v>
      </c>
    </row>
    <row r="3228" spans="1:9" ht="16.5" x14ac:dyDescent="0.3">
      <c r="A3228" s="477">
        <v>9478709.7124118768</v>
      </c>
      <c r="B3228" s="458">
        <v>5.8304203257110387E-2</v>
      </c>
      <c r="C3228" s="477">
        <v>11533273.067182858</v>
      </c>
      <c r="D3228" s="458">
        <v>6.8228915749536378E-2</v>
      </c>
      <c r="E3228" s="477">
        <v>18412001.705674198</v>
      </c>
      <c r="F3228" s="458">
        <v>0.12971017258912054</v>
      </c>
      <c r="G3228" s="477">
        <v>98041674.135143042</v>
      </c>
      <c r="H3228" s="458">
        <v>0.2678402133897535</v>
      </c>
      <c r="I3228" s="468">
        <v>9.5235073067401679</v>
      </c>
    </row>
    <row r="3229" spans="1:9" ht="16.5" x14ac:dyDescent="0.3">
      <c r="A3229" s="477">
        <v>2654724.4846060118</v>
      </c>
      <c r="B3229" s="458">
        <v>5.611214385608454E-2</v>
      </c>
      <c r="C3229" s="477">
        <v>9167971.4094279837</v>
      </c>
      <c r="D3229" s="458">
        <v>5.8388288275571965E-2</v>
      </c>
      <c r="E3229" s="477">
        <v>13137658.015962154</v>
      </c>
      <c r="F3229" s="458">
        <v>0.1039556603006746</v>
      </c>
      <c r="G3229" s="477">
        <v>83957610.048043624</v>
      </c>
      <c r="H3229" s="458">
        <v>0.27404467318273462</v>
      </c>
      <c r="I3229" s="468">
        <v>9.4879101017561887</v>
      </c>
    </row>
    <row r="3230" spans="1:9" ht="16.5" x14ac:dyDescent="0.3">
      <c r="A3230" s="477">
        <v>7924373.455398093</v>
      </c>
      <c r="B3230" s="458">
        <v>3.2334570316349787E-2</v>
      </c>
      <c r="C3230" s="477">
        <v>13264521.62487</v>
      </c>
      <c r="D3230" s="458">
        <v>5.3943969265526803E-2</v>
      </c>
      <c r="E3230" s="477">
        <v>13259187.562413037</v>
      </c>
      <c r="F3230" s="458">
        <v>0.1139875471539924</v>
      </c>
      <c r="G3230" s="477">
        <v>78916217.36953944</v>
      </c>
      <c r="H3230" s="458">
        <v>0.29808463311824829</v>
      </c>
      <c r="I3230" s="468">
        <v>8.395270318251276</v>
      </c>
    </row>
    <row r="3231" spans="1:9" ht="16.5" x14ac:dyDescent="0.3">
      <c r="A3231" s="477">
        <v>5125784.2828853261</v>
      </c>
      <c r="B3231" s="458">
        <v>3.5159239886015881E-2</v>
      </c>
      <c r="C3231" s="477">
        <v>8739166.652149668</v>
      </c>
      <c r="D3231" s="458">
        <v>6.5955034418373915E-2</v>
      </c>
      <c r="E3231" s="477">
        <v>18846294.382620916</v>
      </c>
      <c r="F3231" s="458">
        <v>0.10933985474202923</v>
      </c>
      <c r="G3231" s="477">
        <v>98482506.063865393</v>
      </c>
      <c r="H3231" s="458">
        <v>0.25082916797528965</v>
      </c>
      <c r="I3231" s="468">
        <v>6.35905579821301</v>
      </c>
    </row>
    <row r="3232" spans="1:9" ht="16.5" x14ac:dyDescent="0.3">
      <c r="A3232" s="477">
        <v>4121010.2864628849</v>
      </c>
      <c r="B3232" s="458">
        <v>3.101192345153625E-2</v>
      </c>
      <c r="C3232" s="477">
        <v>14003302.360858224</v>
      </c>
      <c r="D3232" s="458">
        <v>2.2367481960765323E-2</v>
      </c>
      <c r="E3232" s="477">
        <v>14659562.539202739</v>
      </c>
      <c r="F3232" s="458">
        <v>0.10456699687140802</v>
      </c>
      <c r="G3232" s="477">
        <v>90262104.529794544</v>
      </c>
      <c r="H3232" s="458">
        <v>0.29562791589529458</v>
      </c>
      <c r="I3232" s="468">
        <v>4.6179823927864492</v>
      </c>
    </row>
    <row r="3233" spans="1:9" ht="16.5" x14ac:dyDescent="0.3">
      <c r="A3233" s="477">
        <v>6095432.6974646701</v>
      </c>
      <c r="B3233" s="458">
        <v>6.0263812232089986E-2</v>
      </c>
      <c r="C3233" s="477">
        <v>4832274.9786593681</v>
      </c>
      <c r="D3233" s="458">
        <v>6.9363520074391616E-2</v>
      </c>
      <c r="E3233" s="477">
        <v>24603160.435020056</v>
      </c>
      <c r="F3233" s="458">
        <v>0.1005387970926519</v>
      </c>
      <c r="G3233" s="477">
        <v>86100653.029343218</v>
      </c>
      <c r="H3233" s="458">
        <v>0.27667607071469114</v>
      </c>
      <c r="I3233" s="468">
        <v>4.4872516552012778</v>
      </c>
    </row>
    <row r="3234" spans="1:9" ht="16.5" x14ac:dyDescent="0.3">
      <c r="A3234" s="477">
        <v>6143981.1455169627</v>
      </c>
      <c r="B3234" s="458">
        <v>1.3859271210174828E-2</v>
      </c>
      <c r="C3234" s="477">
        <v>9949839.8963723537</v>
      </c>
      <c r="D3234" s="458">
        <v>6.8594201830486146E-2</v>
      </c>
      <c r="E3234" s="477">
        <v>12668047.373661349</v>
      </c>
      <c r="F3234" s="458">
        <v>0.11522204911971645</v>
      </c>
      <c r="G3234" s="477">
        <v>83211968.277825505</v>
      </c>
      <c r="H3234" s="458">
        <v>0.27249716087742204</v>
      </c>
      <c r="I3234" s="468">
        <v>8.0244487191469194</v>
      </c>
    </row>
    <row r="3235" spans="1:9" ht="16.5" x14ac:dyDescent="0.3">
      <c r="A3235" s="477">
        <v>5440784.7106262324</v>
      </c>
      <c r="B3235" s="458">
        <v>6.6816973269886226E-2</v>
      </c>
      <c r="C3235" s="477">
        <v>9779217.6792609431</v>
      </c>
      <c r="D3235" s="458">
        <v>7.7793515434657179E-2</v>
      </c>
      <c r="E3235" s="477">
        <v>10574690.682315947</v>
      </c>
      <c r="F3235" s="458">
        <v>8.0019511531194576E-2</v>
      </c>
      <c r="G3235" s="477">
        <v>92126735.892326683</v>
      </c>
      <c r="H3235" s="458">
        <v>0.30317424908173063</v>
      </c>
      <c r="I3235" s="468">
        <v>10.215113937831777</v>
      </c>
    </row>
    <row r="3236" spans="1:9" ht="16.5" x14ac:dyDescent="0.3">
      <c r="A3236" s="477">
        <v>3097563.6200006469</v>
      </c>
      <c r="B3236" s="458">
        <v>6.5543907940786683E-2</v>
      </c>
      <c r="C3236" s="477">
        <v>12534092.092510395</v>
      </c>
      <c r="D3236" s="458">
        <v>6.187406182514521E-2</v>
      </c>
      <c r="E3236" s="477">
        <v>19465448.368800212</v>
      </c>
      <c r="F3236" s="458">
        <v>0.10495477453995039</v>
      </c>
      <c r="G3236" s="477">
        <v>82302795.654909402</v>
      </c>
      <c r="H3236" s="458">
        <v>0.26789122905612173</v>
      </c>
      <c r="I3236" s="468">
        <v>8.8191488997811724</v>
      </c>
    </row>
    <row r="3237" spans="1:9" ht="16.5" x14ac:dyDescent="0.3">
      <c r="A3237" s="477">
        <v>4258612.3478444768</v>
      </c>
      <c r="B3237" s="458">
        <v>3.1356769232778747E-2</v>
      </c>
      <c r="C3237" s="477">
        <v>10610000.876983188</v>
      </c>
      <c r="D3237" s="458">
        <v>3.8068135502087763E-2</v>
      </c>
      <c r="E3237" s="477">
        <v>26392264.086389847</v>
      </c>
      <c r="F3237" s="458">
        <v>0.11084684922411681</v>
      </c>
      <c r="G3237" s="477">
        <v>98652985.869452596</v>
      </c>
      <c r="H3237" s="458">
        <v>0.26706053576291655</v>
      </c>
      <c r="I3237" s="468">
        <v>9.6161691361636024</v>
      </c>
    </row>
    <row r="3238" spans="1:9" ht="16.5" x14ac:dyDescent="0.3">
      <c r="A3238" s="477">
        <v>4468416.9847994968</v>
      </c>
      <c r="B3238" s="458">
        <v>2.5755248815714893E-2</v>
      </c>
      <c r="C3238" s="477">
        <v>8522431.5690185968</v>
      </c>
      <c r="D3238" s="458">
        <v>5.6371278728935659E-2</v>
      </c>
      <c r="E3238" s="477">
        <v>20025332.674069677</v>
      </c>
      <c r="F3238" s="458">
        <v>0.1054351823973585</v>
      </c>
      <c r="G3238" s="477">
        <v>95203583.052200064</v>
      </c>
      <c r="H3238" s="458">
        <v>0.25097454387606066</v>
      </c>
      <c r="I3238" s="468">
        <v>6.8720366338820851</v>
      </c>
    </row>
    <row r="3239" spans="1:9" ht="16.5" x14ac:dyDescent="0.3">
      <c r="A3239" s="477">
        <v>5785231.9962655567</v>
      </c>
      <c r="B3239" s="458">
        <v>4.0754227068670712E-2</v>
      </c>
      <c r="C3239" s="477">
        <v>8803810.0862041321</v>
      </c>
      <c r="D3239" s="458">
        <v>6.4840514675964744E-2</v>
      </c>
      <c r="E3239" s="477">
        <v>22385100.010625459</v>
      </c>
      <c r="F3239" s="458">
        <v>0.14143784706598073</v>
      </c>
      <c r="G3239" s="477">
        <v>102151045.27871533</v>
      </c>
      <c r="H3239" s="458">
        <v>0.26438040015898978</v>
      </c>
      <c r="I3239" s="468">
        <v>3.6351525260169595</v>
      </c>
    </row>
    <row r="3240" spans="1:9" ht="16.5" x14ac:dyDescent="0.3">
      <c r="A3240" s="477">
        <v>-1183285.7205121962</v>
      </c>
      <c r="B3240" s="458">
        <v>4.0322384517520238E-2</v>
      </c>
      <c r="C3240" s="477">
        <v>4836900.1017220104</v>
      </c>
      <c r="D3240" s="458">
        <v>6.5967478458712536E-2</v>
      </c>
      <c r="E3240" s="477">
        <v>21689200.935794275</v>
      </c>
      <c r="F3240" s="458">
        <v>9.2506033510430852E-2</v>
      </c>
      <c r="G3240" s="477">
        <v>92282657.622230068</v>
      </c>
      <c r="H3240" s="458">
        <v>0.26854749013152923</v>
      </c>
      <c r="I3240" s="468">
        <v>6.0824936430016496</v>
      </c>
    </row>
    <row r="3241" spans="1:9" ht="16.5" x14ac:dyDescent="0.3">
      <c r="A3241" s="477">
        <v>9062636.35322503</v>
      </c>
      <c r="B3241" s="458">
        <v>5.6901001945490304E-2</v>
      </c>
      <c r="C3241" s="477">
        <v>10974531.82029633</v>
      </c>
      <c r="D3241" s="458">
        <v>6.9751858375409981E-2</v>
      </c>
      <c r="E3241" s="477">
        <v>14267202.274480805</v>
      </c>
      <c r="F3241" s="458">
        <v>9.189207683436651E-2</v>
      </c>
      <c r="G3241" s="477">
        <v>80843112.693936095</v>
      </c>
      <c r="H3241" s="458">
        <v>0.26137062692226487</v>
      </c>
      <c r="I3241" s="468">
        <v>3.4909405945828507</v>
      </c>
    </row>
    <row r="3242" spans="1:9" ht="16.5" x14ac:dyDescent="0.3">
      <c r="A3242" s="477">
        <v>5022637.9013978094</v>
      </c>
      <c r="B3242" s="458">
        <v>5.2383236337236516E-2</v>
      </c>
      <c r="C3242" s="477">
        <v>7335696.7865941497</v>
      </c>
      <c r="D3242" s="458">
        <v>7.5993215383960644E-2</v>
      </c>
      <c r="E3242" s="477">
        <v>10627475.914866852</v>
      </c>
      <c r="F3242" s="458">
        <v>0.12875116386944763</v>
      </c>
      <c r="G3242" s="477">
        <v>86853828.460034817</v>
      </c>
      <c r="H3242" s="458">
        <v>0.27392286227861251</v>
      </c>
      <c r="I3242" s="468">
        <v>15.5443790565112</v>
      </c>
    </row>
    <row r="3243" spans="1:9" ht="16.5" x14ac:dyDescent="0.3">
      <c r="A3243" s="477">
        <v>4655113.0169341872</v>
      </c>
      <c r="B3243" s="458">
        <v>2.9345604237134948E-2</v>
      </c>
      <c r="C3243" s="477">
        <v>13533169.387961837</v>
      </c>
      <c r="D3243" s="458">
        <v>5.5779768567832066E-2</v>
      </c>
      <c r="E3243" s="477">
        <v>18201043.694349546</v>
      </c>
      <c r="F3243" s="458">
        <v>0.10639793145990284</v>
      </c>
      <c r="G3243" s="477">
        <v>100086849.94732633</v>
      </c>
      <c r="H3243" s="458">
        <v>0.2716631763274977</v>
      </c>
      <c r="I3243" s="468">
        <v>9.8526446875441032</v>
      </c>
    </row>
    <row r="3244" spans="1:9" ht="16.5" x14ac:dyDescent="0.3">
      <c r="A3244" s="477">
        <v>7832420.9728621775</v>
      </c>
      <c r="B3244" s="458">
        <v>4.4087347814340649E-2</v>
      </c>
      <c r="C3244" s="477">
        <v>10010594.534113765</v>
      </c>
      <c r="D3244" s="458">
        <v>6.5140502310512272E-2</v>
      </c>
      <c r="E3244" s="477">
        <v>11219495.547694881</v>
      </c>
      <c r="F3244" s="458">
        <v>0.1089174254290064</v>
      </c>
      <c r="G3244" s="477">
        <v>97253022.368922174</v>
      </c>
      <c r="H3244" s="458">
        <v>0.26253036691980514</v>
      </c>
      <c r="I3244" s="468">
        <v>11.693146088038681</v>
      </c>
    </row>
    <row r="3245" spans="1:9" ht="16.5" x14ac:dyDescent="0.3">
      <c r="A3245" s="477">
        <v>5113604.6522479514</v>
      </c>
      <c r="B3245" s="458">
        <v>6.0856269109706984E-2</v>
      </c>
      <c r="C3245" s="477">
        <v>7726515.5775980055</v>
      </c>
      <c r="D3245" s="458">
        <v>4.913313954520393E-2</v>
      </c>
      <c r="E3245" s="477">
        <v>11826948.212199477</v>
      </c>
      <c r="F3245" s="458">
        <v>0.11746926223048093</v>
      </c>
      <c r="G3245" s="477">
        <v>89083955.440917164</v>
      </c>
      <c r="H3245" s="458">
        <v>0.25267593452197512</v>
      </c>
      <c r="I3245" s="468">
        <v>8.8651665223387326</v>
      </c>
    </row>
    <row r="3246" spans="1:9" ht="16.5" x14ac:dyDescent="0.3">
      <c r="A3246" s="477">
        <v>4346012.7409676146</v>
      </c>
      <c r="B3246" s="458">
        <v>2.5783569720734034E-2</v>
      </c>
      <c r="C3246" s="477">
        <v>15462135.229117207</v>
      </c>
      <c r="D3246" s="458">
        <v>6.2494648265581709E-2</v>
      </c>
      <c r="E3246" s="477">
        <v>15189767.785003139</v>
      </c>
      <c r="F3246" s="458">
        <v>0.10324852065023027</v>
      </c>
      <c r="G3246" s="477">
        <v>107266567.51370113</v>
      </c>
      <c r="H3246" s="458">
        <v>0.28185935849475974</v>
      </c>
      <c r="I3246" s="468">
        <v>4.7626931625737363</v>
      </c>
    </row>
    <row r="3247" spans="1:9" ht="16.5" x14ac:dyDescent="0.3">
      <c r="A3247" s="477">
        <v>8891530.2219259925</v>
      </c>
      <c r="B3247" s="458">
        <v>1.8493486269575587E-2</v>
      </c>
      <c r="C3247" s="477">
        <v>10896795.360752439</v>
      </c>
      <c r="D3247" s="458">
        <v>7.8772912402032436E-2</v>
      </c>
      <c r="E3247" s="477">
        <v>11478341.056218415</v>
      </c>
      <c r="F3247" s="458">
        <v>0.12951962185278743</v>
      </c>
      <c r="G3247" s="477">
        <v>81011283.386963576</v>
      </c>
      <c r="H3247" s="458">
        <v>0.28479992825705525</v>
      </c>
      <c r="I3247" s="468">
        <v>8.8710210035997186</v>
      </c>
    </row>
    <row r="3248" spans="1:9" ht="16.5" x14ac:dyDescent="0.3">
      <c r="A3248" s="477">
        <v>5897076.1396499937</v>
      </c>
      <c r="B3248" s="458">
        <v>4.342213269593298E-2</v>
      </c>
      <c r="C3248" s="477">
        <v>6430593.3317995239</v>
      </c>
      <c r="D3248" s="458">
        <v>6.5472000230092586E-2</v>
      </c>
      <c r="E3248" s="477">
        <v>20724015.34109718</v>
      </c>
      <c r="F3248" s="458">
        <v>9.1336992851755117E-2</v>
      </c>
      <c r="G3248" s="477">
        <v>93930659.686257452</v>
      </c>
      <c r="H3248" s="458">
        <v>0.26336088359483556</v>
      </c>
      <c r="I3248" s="468">
        <v>8.2523781711297524</v>
      </c>
    </row>
    <row r="3249" spans="1:9" ht="16.5" x14ac:dyDescent="0.3">
      <c r="A3249" s="477">
        <v>6376099.8542273305</v>
      </c>
      <c r="B3249" s="458">
        <v>4.7951770268871652E-2</v>
      </c>
      <c r="C3249" s="477">
        <v>2352592.665659707</v>
      </c>
      <c r="D3249" s="458">
        <v>5.3599858441450765E-2</v>
      </c>
      <c r="E3249" s="477">
        <v>14894582.077360239</v>
      </c>
      <c r="F3249" s="458">
        <v>0.10845117879576849</v>
      </c>
      <c r="G3249" s="477">
        <v>88404433.763578951</v>
      </c>
      <c r="H3249" s="458">
        <v>0.25840258317644937</v>
      </c>
      <c r="I3249" s="468">
        <v>7.9709612722130991</v>
      </c>
    </row>
    <row r="3250" spans="1:9" ht="16.5" x14ac:dyDescent="0.3">
      <c r="A3250" s="477">
        <v>8129377.1685000081</v>
      </c>
      <c r="B3250" s="458">
        <v>4.1174680686735687E-2</v>
      </c>
      <c r="C3250" s="477">
        <v>5756202.6040363899</v>
      </c>
      <c r="D3250" s="458">
        <v>7.3060661850913533E-2</v>
      </c>
      <c r="E3250" s="477">
        <v>12032492.583730904</v>
      </c>
      <c r="F3250" s="458">
        <v>9.9010766319018728E-2</v>
      </c>
      <c r="G3250" s="477">
        <v>83395903.572721511</v>
      </c>
      <c r="H3250" s="458">
        <v>0.25563723701552354</v>
      </c>
      <c r="I3250" s="468">
        <v>7.6716870471190353</v>
      </c>
    </row>
    <row r="3251" spans="1:9" ht="16.5" x14ac:dyDescent="0.3">
      <c r="A3251" s="477">
        <v>4394606.8056588955</v>
      </c>
      <c r="B3251" s="458">
        <v>3.6856305378021093E-2</v>
      </c>
      <c r="C3251" s="477">
        <v>1588282.5469322477</v>
      </c>
      <c r="D3251" s="458">
        <v>5.0022973151450101E-2</v>
      </c>
      <c r="E3251" s="477">
        <v>15357399.763715938</v>
      </c>
      <c r="F3251" s="458">
        <v>0.10134954811242003</v>
      </c>
      <c r="G3251" s="477">
        <v>99598697.713734984</v>
      </c>
      <c r="H3251" s="458">
        <v>0.25234331379175501</v>
      </c>
      <c r="I3251" s="468">
        <v>5.316328850647416</v>
      </c>
    </row>
    <row r="3252" spans="1:9" ht="16.5" x14ac:dyDescent="0.3">
      <c r="A3252" s="477">
        <v>769449.38373232039</v>
      </c>
      <c r="B3252" s="458">
        <v>2.9583856990827551E-2</v>
      </c>
      <c r="C3252" s="477">
        <v>3612135.2829823289</v>
      </c>
      <c r="D3252" s="458">
        <v>8.0190928519195515E-2</v>
      </c>
      <c r="E3252" s="477">
        <v>25663756.330534082</v>
      </c>
      <c r="F3252" s="458">
        <v>9.3129262428585768E-2</v>
      </c>
      <c r="G3252" s="477">
        <v>92846169.848599315</v>
      </c>
      <c r="H3252" s="458">
        <v>0.26842835648245322</v>
      </c>
      <c r="I3252" s="468">
        <v>14.310165558999579</v>
      </c>
    </row>
    <row r="3253" spans="1:9" ht="16.5" x14ac:dyDescent="0.3">
      <c r="A3253" s="477">
        <v>8042415.7825373327</v>
      </c>
      <c r="B3253" s="458">
        <v>2.1769227971240479E-2</v>
      </c>
      <c r="C3253" s="477">
        <v>8537339.1798230484</v>
      </c>
      <c r="D3253" s="458">
        <v>0.10609923629570917</v>
      </c>
      <c r="E3253" s="477">
        <v>15812396.798861131</v>
      </c>
      <c r="F3253" s="458">
        <v>0.11685638234299245</v>
      </c>
      <c r="G3253" s="477">
        <v>90981690.221133769</v>
      </c>
      <c r="H3253" s="458">
        <v>0.29664767371696166</v>
      </c>
      <c r="I3253" s="468">
        <v>10.236564924303085</v>
      </c>
    </row>
    <row r="3254" spans="1:9" ht="16.5" x14ac:dyDescent="0.3">
      <c r="A3254" s="477">
        <v>2699626.454506706</v>
      </c>
      <c r="B3254" s="458">
        <v>3.9682776069805525E-2</v>
      </c>
      <c r="C3254" s="477">
        <v>4791639.4914588574</v>
      </c>
      <c r="D3254" s="458">
        <v>6.4890366480996997E-2</v>
      </c>
      <c r="E3254" s="477">
        <v>21152219.195725359</v>
      </c>
      <c r="F3254" s="458">
        <v>0.12109854122766617</v>
      </c>
      <c r="G3254" s="477">
        <v>90110963.980221033</v>
      </c>
      <c r="H3254" s="458">
        <v>0.27667561855371914</v>
      </c>
      <c r="I3254" s="468">
        <v>5.7168076397307503</v>
      </c>
    </row>
    <row r="3255" spans="1:9" ht="16.5" x14ac:dyDescent="0.3">
      <c r="A3255" s="477">
        <v>5686304.5049821474</v>
      </c>
      <c r="B3255" s="458">
        <v>5.5177068864256329E-2</v>
      </c>
      <c r="C3255" s="477">
        <v>8021055.7466913275</v>
      </c>
      <c r="D3255" s="458">
        <v>7.7795663010219673E-2</v>
      </c>
      <c r="E3255" s="477">
        <v>11027605.054635795</v>
      </c>
      <c r="F3255" s="458">
        <v>8.8454026483245629E-2</v>
      </c>
      <c r="G3255" s="477">
        <v>94968316.662024572</v>
      </c>
      <c r="H3255" s="458">
        <v>0.29781799475352821</v>
      </c>
      <c r="I3255" s="468">
        <v>11.917845846847621</v>
      </c>
    </row>
    <row r="3256" spans="1:9" ht="16.5" x14ac:dyDescent="0.3">
      <c r="A3256" s="477">
        <v>6664213.0076791337</v>
      </c>
      <c r="B3256" s="458">
        <v>4.0703852644332184E-2</v>
      </c>
      <c r="C3256" s="477">
        <v>11829918.46659437</v>
      </c>
      <c r="D3256" s="458">
        <v>6.8960205597788704E-2</v>
      </c>
      <c r="E3256" s="477">
        <v>16458654.740221504</v>
      </c>
      <c r="F3256" s="458">
        <v>9.6977271763038608E-2</v>
      </c>
      <c r="G3256" s="477">
        <v>95273928.50528875</v>
      </c>
      <c r="H3256" s="458">
        <v>0.25692428011287505</v>
      </c>
      <c r="I3256" s="468">
        <v>8.0843720144357043</v>
      </c>
    </row>
    <row r="3257" spans="1:9" ht="16.5" x14ac:dyDescent="0.3">
      <c r="A3257" s="477">
        <v>307874.68301864638</v>
      </c>
      <c r="B3257" s="458">
        <v>8.7087879605030061E-3</v>
      </c>
      <c r="C3257" s="477">
        <v>8487548.004166415</v>
      </c>
      <c r="D3257" s="458">
        <v>8.3721657496289792E-2</v>
      </c>
      <c r="E3257" s="477">
        <v>18549476.728580195</v>
      </c>
      <c r="F3257" s="458">
        <v>0.10582391355283338</v>
      </c>
      <c r="G3257" s="477">
        <v>86335580.079457179</v>
      </c>
      <c r="H3257" s="458">
        <v>0.28132770501084314</v>
      </c>
      <c r="I3257" s="468">
        <v>3.5695445435055362</v>
      </c>
    </row>
    <row r="3258" spans="1:9" ht="16.5" x14ac:dyDescent="0.3">
      <c r="A3258" s="477">
        <v>4113719.5071485173</v>
      </c>
      <c r="B3258" s="458">
        <v>6.467323062664132E-2</v>
      </c>
      <c r="C3258" s="477">
        <v>8844405.0848149527</v>
      </c>
      <c r="D3258" s="458">
        <v>8.2503520713814726E-2</v>
      </c>
      <c r="E3258" s="477">
        <v>12855462.214044418</v>
      </c>
      <c r="F3258" s="458">
        <v>0.11227250926657062</v>
      </c>
      <c r="G3258" s="477">
        <v>87841253.560296714</v>
      </c>
      <c r="H3258" s="458">
        <v>0.27765639694602751</v>
      </c>
      <c r="I3258" s="468">
        <v>5.9744612072158372</v>
      </c>
    </row>
    <row r="3259" spans="1:9" ht="16.5" x14ac:dyDescent="0.3">
      <c r="A3259" s="477">
        <v>6654115.8719096323</v>
      </c>
      <c r="B3259" s="458">
        <v>5.2642017565910804E-2</v>
      </c>
      <c r="C3259" s="477">
        <v>7858251.6239732634</v>
      </c>
      <c r="D3259" s="458">
        <v>7.1281096590254833E-2</v>
      </c>
      <c r="E3259" s="477">
        <v>10742064.728934556</v>
      </c>
      <c r="F3259" s="458">
        <v>9.8750725594114463E-2</v>
      </c>
      <c r="G3259" s="477">
        <v>87485971.33543542</v>
      </c>
      <c r="H3259" s="458">
        <v>0.26004986511840023</v>
      </c>
      <c r="I3259" s="468">
        <v>10.377435123338373</v>
      </c>
    </row>
    <row r="3260" spans="1:9" ht="16.5" x14ac:dyDescent="0.3">
      <c r="A3260" s="477">
        <v>6381900.7854293492</v>
      </c>
      <c r="B3260" s="458">
        <v>3.0231933304597502E-2</v>
      </c>
      <c r="C3260" s="477">
        <v>6051921.7315935846</v>
      </c>
      <c r="D3260" s="458">
        <v>5.8855044766388698E-2</v>
      </c>
      <c r="E3260" s="477">
        <v>18959587.731658027</v>
      </c>
      <c r="F3260" s="458">
        <v>9.8979073108011795E-2</v>
      </c>
      <c r="G3260" s="477">
        <v>89643556.732933134</v>
      </c>
      <c r="H3260" s="458">
        <v>0.26578873094037303</v>
      </c>
      <c r="I3260" s="468">
        <v>5.4780223240051411</v>
      </c>
    </row>
    <row r="3261" spans="1:9" ht="16.5" x14ac:dyDescent="0.3">
      <c r="A3261" s="477">
        <v>2606167.0444112299</v>
      </c>
      <c r="B3261" s="458">
        <v>3.404309685245388E-2</v>
      </c>
      <c r="C3261" s="477">
        <v>2613675.0469790655</v>
      </c>
      <c r="D3261" s="458">
        <v>6.7400435570885042E-2</v>
      </c>
      <c r="E3261" s="477">
        <v>24812196.760177732</v>
      </c>
      <c r="F3261" s="458">
        <v>9.6843698187210947E-2</v>
      </c>
      <c r="G3261" s="477">
        <v>87222562.89390029</v>
      </c>
      <c r="H3261" s="458">
        <v>0.25841611587762259</v>
      </c>
      <c r="I3261" s="468">
        <v>9.9124931146887896</v>
      </c>
    </row>
    <row r="3262" spans="1:9" ht="16.5" x14ac:dyDescent="0.3">
      <c r="A3262" s="477">
        <v>4169949.4092573859</v>
      </c>
      <c r="B3262" s="458">
        <v>4.1059821214218362E-2</v>
      </c>
      <c r="C3262" s="477">
        <v>8933156.8600518461</v>
      </c>
      <c r="D3262" s="458">
        <v>5.547009880182463E-2</v>
      </c>
      <c r="E3262" s="477">
        <v>25711747.65024659</v>
      </c>
      <c r="F3262" s="458">
        <v>8.8719291654205445E-2</v>
      </c>
      <c r="G3262" s="477">
        <v>107146258.50948252</v>
      </c>
      <c r="H3262" s="458">
        <v>0.26034877067573148</v>
      </c>
      <c r="I3262" s="468">
        <v>13.302933608011461</v>
      </c>
    </row>
    <row r="3263" spans="1:9" ht="16.5" x14ac:dyDescent="0.3">
      <c r="A3263" s="477">
        <v>3205552.5681678196</v>
      </c>
      <c r="B3263" s="458">
        <v>4.0997055768671631E-2</v>
      </c>
      <c r="C3263" s="477">
        <v>10008546.099333446</v>
      </c>
      <c r="D3263" s="458">
        <v>6.4281992761959561E-2</v>
      </c>
      <c r="E3263" s="477">
        <v>14984539.987413332</v>
      </c>
      <c r="F3263" s="458">
        <v>0.1045721659473986</v>
      </c>
      <c r="G3263" s="477">
        <v>91886763.354680389</v>
      </c>
      <c r="H3263" s="458">
        <v>0.27868506341364618</v>
      </c>
      <c r="I3263" s="468">
        <v>5.815908356145564</v>
      </c>
    </row>
    <row r="3264" spans="1:9" ht="16.5" x14ac:dyDescent="0.3">
      <c r="A3264" s="477">
        <v>3454068.4922937565</v>
      </c>
      <c r="B3264" s="458">
        <v>3.2783738300962151E-2</v>
      </c>
      <c r="C3264" s="477">
        <v>14120173.090866975</v>
      </c>
      <c r="D3264" s="458">
        <v>8.0164005945948968E-2</v>
      </c>
      <c r="E3264" s="477">
        <v>16012059.617751393</v>
      </c>
      <c r="F3264" s="458">
        <v>6.946441892919375E-2</v>
      </c>
      <c r="G3264" s="477">
        <v>90857052.976234198</v>
      </c>
      <c r="H3264" s="458">
        <v>0.28789649055119648</v>
      </c>
      <c r="I3264" s="468">
        <v>4.5649911358010407</v>
      </c>
    </row>
    <row r="3265" spans="1:9" ht="16.5" x14ac:dyDescent="0.3">
      <c r="A3265" s="477">
        <v>2581795.0867699119</v>
      </c>
      <c r="B3265" s="458">
        <v>3.9503452162455766E-2</v>
      </c>
      <c r="C3265" s="477">
        <v>11342854.912992878</v>
      </c>
      <c r="D3265" s="458">
        <v>8.3215104764667203E-2</v>
      </c>
      <c r="E3265" s="477">
        <v>8661832.4900665972</v>
      </c>
      <c r="F3265" s="458">
        <v>0.12743133403074314</v>
      </c>
      <c r="G3265" s="477">
        <v>92645948.561326876</v>
      </c>
      <c r="H3265" s="458">
        <v>0.27233878288241575</v>
      </c>
      <c r="I3265" s="468">
        <v>5.7495202860096111</v>
      </c>
    </row>
    <row r="3266" spans="1:9" ht="16.5" x14ac:dyDescent="0.3">
      <c r="A3266" s="477">
        <v>2098353.2542549991</v>
      </c>
      <c r="B3266" s="458">
        <v>3.5475691825682665E-2</v>
      </c>
      <c r="C3266" s="477">
        <v>10608350.943625821</v>
      </c>
      <c r="D3266" s="458">
        <v>7.6628897746255697E-2</v>
      </c>
      <c r="E3266" s="477">
        <v>16765954.584145484</v>
      </c>
      <c r="F3266" s="458">
        <v>0.14357317254479374</v>
      </c>
      <c r="G3266" s="477">
        <v>90604132.625428617</v>
      </c>
      <c r="H3266" s="458">
        <v>0.2862660583237413</v>
      </c>
      <c r="I3266" s="468">
        <v>6.1648612138101937</v>
      </c>
    </row>
    <row r="3267" spans="1:9" ht="16.5" x14ac:dyDescent="0.3">
      <c r="A3267" s="477">
        <v>6455162.9931685301</v>
      </c>
      <c r="B3267" s="458">
        <v>3.6051769116572485E-2</v>
      </c>
      <c r="C3267" s="477">
        <v>8939078.6370167658</v>
      </c>
      <c r="D3267" s="458">
        <v>4.8794126822304884E-2</v>
      </c>
      <c r="E3267" s="477">
        <v>20437186.069410168</v>
      </c>
      <c r="F3267" s="458">
        <v>9.2510955988511556E-2</v>
      </c>
      <c r="G3267" s="477">
        <v>86052001.146449208</v>
      </c>
      <c r="H3267" s="458">
        <v>0.25527552181019764</v>
      </c>
      <c r="I3267" s="468">
        <v>8.5691531224612199</v>
      </c>
    </row>
    <row r="3268" spans="1:9" ht="16.5" x14ac:dyDescent="0.3">
      <c r="A3268" s="477">
        <v>6017630.0661657788</v>
      </c>
      <c r="B3268" s="458">
        <v>1.0433777706708947E-2</v>
      </c>
      <c r="C3268" s="477">
        <v>9845468.6895999182</v>
      </c>
      <c r="D3268" s="458">
        <v>7.9190883238140053E-2</v>
      </c>
      <c r="E3268" s="477">
        <v>17734863.974547535</v>
      </c>
      <c r="F3268" s="458">
        <v>0.11683153561572834</v>
      </c>
      <c r="G3268" s="477">
        <v>94479982.045901731</v>
      </c>
      <c r="H3268" s="458">
        <v>0.27514534696923487</v>
      </c>
      <c r="I3268" s="468">
        <v>12.150382102988551</v>
      </c>
    </row>
    <row r="3269" spans="1:9" ht="16.5" x14ac:dyDescent="0.3">
      <c r="A3269" s="477">
        <v>4121179.1106294207</v>
      </c>
      <c r="B3269" s="458">
        <v>3.6651264538023698E-2</v>
      </c>
      <c r="C3269" s="477">
        <v>7299175.3503041267</v>
      </c>
      <c r="D3269" s="458">
        <v>7.2989499906158439E-2</v>
      </c>
      <c r="E3269" s="477">
        <v>15878931.106019394</v>
      </c>
      <c r="F3269" s="458">
        <v>0.10732430158388162</v>
      </c>
      <c r="G3269" s="477">
        <v>87898076.509120375</v>
      </c>
      <c r="H3269" s="458">
        <v>0.28405972226620091</v>
      </c>
      <c r="I3269" s="468">
        <v>15.97182968902441</v>
      </c>
    </row>
    <row r="3270" spans="1:9" ht="16.5" x14ac:dyDescent="0.3">
      <c r="A3270" s="477">
        <v>3363059.682983988</v>
      </c>
      <c r="B3270" s="458">
        <v>4.1014170157819274E-2</v>
      </c>
      <c r="C3270" s="477">
        <v>6812197.60959512</v>
      </c>
      <c r="D3270" s="458">
        <v>8.2765600607631162E-2</v>
      </c>
      <c r="E3270" s="477">
        <v>19195926.293047473</v>
      </c>
      <c r="F3270" s="458">
        <v>0.10974470948189197</v>
      </c>
      <c r="G3270" s="477">
        <v>94157326.401448488</v>
      </c>
      <c r="H3270" s="458">
        <v>0.2622626214708812</v>
      </c>
      <c r="I3270" s="468">
        <v>9.2135339716516054</v>
      </c>
    </row>
    <row r="3271" spans="1:9" ht="16.5" x14ac:dyDescent="0.3">
      <c r="A3271" s="477">
        <v>2155613.7764961827</v>
      </c>
      <c r="B3271" s="458">
        <v>3.5265239837239948E-2</v>
      </c>
      <c r="C3271" s="477">
        <v>11683856.289882056</v>
      </c>
      <c r="D3271" s="458">
        <v>4.965893658006082E-2</v>
      </c>
      <c r="E3271" s="477">
        <v>14401112.414156007</v>
      </c>
      <c r="F3271" s="458">
        <v>0.11841016470170551</v>
      </c>
      <c r="G3271" s="477">
        <v>92380636.468592808</v>
      </c>
      <c r="H3271" s="458">
        <v>0.26944773315313042</v>
      </c>
      <c r="I3271" s="468">
        <v>8.4532577678906229</v>
      </c>
    </row>
    <row r="3272" spans="1:9" ht="16.5" x14ac:dyDescent="0.3">
      <c r="A3272" s="477">
        <v>11239117.959823554</v>
      </c>
      <c r="B3272" s="458">
        <v>3.260145306529294E-2</v>
      </c>
      <c r="C3272" s="477">
        <v>8632367.1143195946</v>
      </c>
      <c r="D3272" s="458">
        <v>9.191856402563725E-2</v>
      </c>
      <c r="E3272" s="477">
        <v>16751328.401869586</v>
      </c>
      <c r="F3272" s="458">
        <v>8.8581668391752633E-2</v>
      </c>
      <c r="G3272" s="477">
        <v>98907763.256177381</v>
      </c>
      <c r="H3272" s="458">
        <v>0.2581710703427873</v>
      </c>
      <c r="I3272" s="468">
        <v>14.519976454943306</v>
      </c>
    </row>
    <row r="3273" spans="1:9" ht="16.5" x14ac:dyDescent="0.3">
      <c r="A3273" s="477">
        <v>9480252.1569766849</v>
      </c>
      <c r="B3273" s="458">
        <v>7.0149476009368161E-2</v>
      </c>
      <c r="C3273" s="477">
        <v>-3052629.7195458408</v>
      </c>
      <c r="D3273" s="458">
        <v>5.5041446607446254E-2</v>
      </c>
      <c r="E3273" s="477">
        <v>14529533.051627478</v>
      </c>
      <c r="F3273" s="458">
        <v>0.1204901840324959</v>
      </c>
      <c r="G3273" s="477">
        <v>97010960.836037204</v>
      </c>
      <c r="H3273" s="458">
        <v>0.26222545460239499</v>
      </c>
      <c r="I3273" s="468">
        <v>6.4749239792670945</v>
      </c>
    </row>
    <row r="3274" spans="1:9" ht="16.5" x14ac:dyDescent="0.3">
      <c r="A3274" s="477">
        <v>6721771.3525998918</v>
      </c>
      <c r="B3274" s="458">
        <v>4.9657894984340922E-2</v>
      </c>
      <c r="C3274" s="477">
        <v>3187689.6994867064</v>
      </c>
      <c r="D3274" s="458">
        <v>4.3369519851127025E-2</v>
      </c>
      <c r="E3274" s="477">
        <v>20990926.163432464</v>
      </c>
      <c r="F3274" s="458">
        <v>9.1769865106346327E-2</v>
      </c>
      <c r="G3274" s="477">
        <v>78456015.870500758</v>
      </c>
      <c r="H3274" s="458">
        <v>0.25809187652183696</v>
      </c>
      <c r="I3274" s="468">
        <v>9.4062809389643824</v>
      </c>
    </row>
    <row r="3275" spans="1:9" ht="16.5" x14ac:dyDescent="0.3">
      <c r="A3275" s="477">
        <v>3873368.0238236128</v>
      </c>
      <c r="B3275" s="458">
        <v>2.6286701649387068E-2</v>
      </c>
      <c r="C3275" s="477">
        <v>6167295.8241212899</v>
      </c>
      <c r="D3275" s="458">
        <v>4.1675935145365273E-2</v>
      </c>
      <c r="E3275" s="477">
        <v>20475831.651736498</v>
      </c>
      <c r="F3275" s="458">
        <v>0.11538727780952573</v>
      </c>
      <c r="G3275" s="477">
        <v>89444655.299665555</v>
      </c>
      <c r="H3275" s="458">
        <v>0.26737963038133983</v>
      </c>
      <c r="I3275" s="468">
        <v>4.2743473482620091</v>
      </c>
    </row>
    <row r="3276" spans="1:9" ht="16.5" x14ac:dyDescent="0.3">
      <c r="A3276" s="477">
        <v>47835.997571818785</v>
      </c>
      <c r="B3276" s="458">
        <v>5.9794107191551982E-2</v>
      </c>
      <c r="C3276" s="477">
        <v>12727036.453077387</v>
      </c>
      <c r="D3276" s="458">
        <v>6.0751287484740679E-2</v>
      </c>
      <c r="E3276" s="477">
        <v>16033682.882237965</v>
      </c>
      <c r="F3276" s="458">
        <v>0.11128036246761375</v>
      </c>
      <c r="G3276" s="477">
        <v>103632392.06326199</v>
      </c>
      <c r="H3276" s="458">
        <v>0.26069710206771979</v>
      </c>
      <c r="I3276" s="468">
        <v>10.428646527238495</v>
      </c>
    </row>
    <row r="3277" spans="1:9" ht="16.5" x14ac:dyDescent="0.3">
      <c r="A3277" s="477">
        <v>-184202.56450518966</v>
      </c>
      <c r="B3277" s="458">
        <v>3.860273625777455E-2</v>
      </c>
      <c r="C3277" s="477">
        <v>9666280.5301526021</v>
      </c>
      <c r="D3277" s="458">
        <v>5.9431951149029105E-2</v>
      </c>
      <c r="E3277" s="477">
        <v>14612867.84726106</v>
      </c>
      <c r="F3277" s="458">
        <v>0.13045242264844159</v>
      </c>
      <c r="G3277" s="477">
        <v>95523232.164511845</v>
      </c>
      <c r="H3277" s="458">
        <v>0.2812610637877071</v>
      </c>
      <c r="I3277" s="468">
        <v>6.9802545425520703</v>
      </c>
    </row>
    <row r="3278" spans="1:9" ht="16.5" x14ac:dyDescent="0.3">
      <c r="A3278" s="477">
        <v>6136085.8512442308</v>
      </c>
      <c r="B3278" s="458">
        <v>4.0799382021605046E-2</v>
      </c>
      <c r="C3278" s="477">
        <v>16081766.845176632</v>
      </c>
      <c r="D3278" s="458">
        <v>6.8770129655874479E-2</v>
      </c>
      <c r="E3278" s="477">
        <v>16971046.766408358</v>
      </c>
      <c r="F3278" s="458">
        <v>8.4602771084994588E-2</v>
      </c>
      <c r="G3278" s="477">
        <v>94152019.933115631</v>
      </c>
      <c r="H3278" s="458">
        <v>0.28643988424539013</v>
      </c>
      <c r="I3278" s="468">
        <v>6.7436259136598569</v>
      </c>
    </row>
    <row r="3279" spans="1:9" ht="16.5" x14ac:dyDescent="0.3">
      <c r="A3279" s="477">
        <v>6607518.9012677381</v>
      </c>
      <c r="B3279" s="458">
        <v>3.4108795117398172E-2</v>
      </c>
      <c r="C3279" s="477">
        <v>8080584.305804871</v>
      </c>
      <c r="D3279" s="458">
        <v>5.9740100442786437E-2</v>
      </c>
      <c r="E3279" s="477">
        <v>23577857.257899851</v>
      </c>
      <c r="F3279" s="458">
        <v>0.10703036974971103</v>
      </c>
      <c r="G3279" s="477">
        <v>71442587.226943821</v>
      </c>
      <c r="H3279" s="458">
        <v>0.25545914923686253</v>
      </c>
      <c r="I3279" s="468">
        <v>7.8741755501948099</v>
      </c>
    </row>
    <row r="3280" spans="1:9" ht="16.5" x14ac:dyDescent="0.3">
      <c r="A3280" s="477">
        <v>2112087.8914130875</v>
      </c>
      <c r="B3280" s="458">
        <v>4.6079046263575396E-2</v>
      </c>
      <c r="C3280" s="477">
        <v>2783545.4035196383</v>
      </c>
      <c r="D3280" s="458">
        <v>7.403837885001141E-2</v>
      </c>
      <c r="E3280" s="477">
        <v>24542014.884437844</v>
      </c>
      <c r="F3280" s="458">
        <v>0.11270226408982253</v>
      </c>
      <c r="G3280" s="477">
        <v>76926520.011826798</v>
      </c>
      <c r="H3280" s="458">
        <v>0.27093349077460749</v>
      </c>
      <c r="I3280" s="468">
        <v>11.163611228892881</v>
      </c>
    </row>
    <row r="3281" spans="1:9" ht="16.5" x14ac:dyDescent="0.3">
      <c r="A3281" s="477">
        <v>7427879.5013606064</v>
      </c>
      <c r="B3281" s="458">
        <v>3.7854410601277699E-2</v>
      </c>
      <c r="C3281" s="477">
        <v>8371081.2915700777</v>
      </c>
      <c r="D3281" s="458">
        <v>6.4183468233216523E-2</v>
      </c>
      <c r="E3281" s="477">
        <v>11585093.858986452</v>
      </c>
      <c r="F3281" s="458">
        <v>0.12381879983806399</v>
      </c>
      <c r="G3281" s="477">
        <v>101528282.06259823</v>
      </c>
      <c r="H3281" s="458">
        <v>0.28255601053054202</v>
      </c>
      <c r="I3281" s="468">
        <v>9.1298379870269351</v>
      </c>
    </row>
    <row r="3282" spans="1:9" ht="16.5" x14ac:dyDescent="0.3">
      <c r="A3282" s="477">
        <v>5870827.5341562526</v>
      </c>
      <c r="B3282" s="458">
        <v>3.5783365772761311E-2</v>
      </c>
      <c r="C3282" s="477">
        <v>9065938.9922099374</v>
      </c>
      <c r="D3282" s="458">
        <v>0.12142326426714112</v>
      </c>
      <c r="E3282" s="477">
        <v>11193825.286758812</v>
      </c>
      <c r="F3282" s="458">
        <v>0.10680945831470212</v>
      </c>
      <c r="G3282" s="477">
        <v>82777985.167990685</v>
      </c>
      <c r="H3282" s="458">
        <v>0.25751659301693741</v>
      </c>
      <c r="I3282" s="468">
        <v>9.1961549483475107</v>
      </c>
    </row>
    <row r="3283" spans="1:9" ht="16.5" x14ac:dyDescent="0.3">
      <c r="A3283" s="477">
        <v>7775979.4595588613</v>
      </c>
      <c r="B3283" s="458">
        <v>3.8035835672240559E-2</v>
      </c>
      <c r="C3283" s="477">
        <v>7238298.3437280301</v>
      </c>
      <c r="D3283" s="458">
        <v>6.2391276953187802E-2</v>
      </c>
      <c r="E3283" s="477">
        <v>18633339.871423572</v>
      </c>
      <c r="F3283" s="458">
        <v>0.11067669685530901</v>
      </c>
      <c r="G3283" s="477">
        <v>87855636.538283482</v>
      </c>
      <c r="H3283" s="458">
        <v>0.26588149503528635</v>
      </c>
      <c r="I3283" s="468">
        <v>1.4016674332283943</v>
      </c>
    </row>
    <row r="3284" spans="1:9" ht="16.5" x14ac:dyDescent="0.3">
      <c r="A3284" s="477">
        <v>5074862.8456024919</v>
      </c>
      <c r="B3284" s="458">
        <v>2.5043829545953411E-2</v>
      </c>
      <c r="C3284" s="477">
        <v>11256579.032540973</v>
      </c>
      <c r="D3284" s="458">
        <v>5.8291471239521497E-2</v>
      </c>
      <c r="E3284" s="477">
        <v>21543213.48175621</v>
      </c>
      <c r="F3284" s="458">
        <v>0.11659364081842227</v>
      </c>
      <c r="G3284" s="477">
        <v>102200451.92814606</v>
      </c>
      <c r="H3284" s="458">
        <v>0.24877187487194563</v>
      </c>
      <c r="I3284" s="468">
        <v>1.7234697273814854</v>
      </c>
    </row>
    <row r="3285" spans="1:9" ht="16.5" x14ac:dyDescent="0.3">
      <c r="A3285" s="477">
        <v>2653023.6913590841</v>
      </c>
      <c r="B3285" s="458">
        <v>3.9533659645604624E-2</v>
      </c>
      <c r="C3285" s="477">
        <v>15403375.291454071</v>
      </c>
      <c r="D3285" s="458">
        <v>5.1885649812418722E-2</v>
      </c>
      <c r="E3285" s="477">
        <v>9249387.4761986844</v>
      </c>
      <c r="F3285" s="458">
        <v>0.11630784555621432</v>
      </c>
      <c r="G3285" s="477">
        <v>87090218.660807207</v>
      </c>
      <c r="H3285" s="458">
        <v>0.27778164858774446</v>
      </c>
      <c r="I3285" s="468">
        <v>2.8586485368654939</v>
      </c>
    </row>
    <row r="3286" spans="1:9" ht="16.5" x14ac:dyDescent="0.3">
      <c r="A3286" s="477">
        <v>9357137.0812121574</v>
      </c>
      <c r="B3286" s="458">
        <v>2.6255447003594501E-2</v>
      </c>
      <c r="C3286" s="477">
        <v>8535746.1813730523</v>
      </c>
      <c r="D3286" s="458">
        <v>5.8764763216725191E-2</v>
      </c>
      <c r="E3286" s="477">
        <v>14968445.97353196</v>
      </c>
      <c r="F3286" s="458">
        <v>0.11120240323272101</v>
      </c>
      <c r="G3286" s="477">
        <v>107224304.62116949</v>
      </c>
      <c r="H3286" s="458">
        <v>0.27365000535632578</v>
      </c>
      <c r="I3286" s="468">
        <v>7.2212883516662894</v>
      </c>
    </row>
    <row r="3287" spans="1:9" ht="16.5" x14ac:dyDescent="0.3">
      <c r="A3287" s="477">
        <v>7721402.5788866878</v>
      </c>
      <c r="B3287" s="458">
        <v>4.8155515750488265E-2</v>
      </c>
      <c r="C3287" s="477">
        <v>13637486.792166263</v>
      </c>
      <c r="D3287" s="458">
        <v>5.2389623086617654E-2</v>
      </c>
      <c r="E3287" s="477">
        <v>15216304.943026291</v>
      </c>
      <c r="F3287" s="458">
        <v>9.4432082360773162E-2</v>
      </c>
      <c r="G3287" s="477">
        <v>96154510.04490371</v>
      </c>
      <c r="H3287" s="458">
        <v>0.25637054027268547</v>
      </c>
      <c r="I3287" s="468">
        <v>6.1465328226472531</v>
      </c>
    </row>
    <row r="3288" spans="1:9" ht="16.5" x14ac:dyDescent="0.3">
      <c r="A3288" s="477">
        <v>5850677.158106884</v>
      </c>
      <c r="B3288" s="458">
        <v>4.4097041008349436E-2</v>
      </c>
      <c r="C3288" s="477">
        <v>11067932.302135484</v>
      </c>
      <c r="D3288" s="458">
        <v>6.7824907958910385E-2</v>
      </c>
      <c r="E3288" s="477">
        <v>13406196.348775474</v>
      </c>
      <c r="F3288" s="458">
        <v>9.6487841667131979E-2</v>
      </c>
      <c r="G3288" s="477">
        <v>103819853.29186647</v>
      </c>
      <c r="H3288" s="458">
        <v>0.26160955164496169</v>
      </c>
      <c r="I3288" s="468">
        <v>4.1471091370754634</v>
      </c>
    </row>
    <row r="3289" spans="1:9" ht="16.5" x14ac:dyDescent="0.3">
      <c r="A3289" s="477">
        <v>1783392.6442910156</v>
      </c>
      <c r="B3289" s="458">
        <v>4.6871631085803944E-2</v>
      </c>
      <c r="C3289" s="477">
        <v>12419377.599435519</v>
      </c>
      <c r="D3289" s="458">
        <v>6.8828756039911454E-2</v>
      </c>
      <c r="E3289" s="477">
        <v>20792689.963271786</v>
      </c>
      <c r="F3289" s="458">
        <v>0.10560572944617697</v>
      </c>
      <c r="G3289" s="477">
        <v>82701895.04289107</v>
      </c>
      <c r="H3289" s="458">
        <v>0.27199031394955298</v>
      </c>
      <c r="I3289" s="468">
        <v>11.766367432999882</v>
      </c>
    </row>
    <row r="3290" spans="1:9" ht="16.5" x14ac:dyDescent="0.3">
      <c r="A3290" s="477">
        <v>6642473.6455328465</v>
      </c>
      <c r="B3290" s="458">
        <v>3.1775656609631442E-2</v>
      </c>
      <c r="C3290" s="477">
        <v>13697475.449954316</v>
      </c>
      <c r="D3290" s="458">
        <v>8.3654625198791299E-2</v>
      </c>
      <c r="E3290" s="477">
        <v>9242809.556852283</v>
      </c>
      <c r="F3290" s="458">
        <v>0.10892160760687086</v>
      </c>
      <c r="G3290" s="477">
        <v>83336584.627673358</v>
      </c>
      <c r="H3290" s="458">
        <v>0.25605535703262228</v>
      </c>
      <c r="I3290" s="468">
        <v>10.235249661978722</v>
      </c>
    </row>
    <row r="3291" spans="1:9" ht="16.5" x14ac:dyDescent="0.3">
      <c r="A3291" s="477">
        <v>6839202.8834119393</v>
      </c>
      <c r="B3291" s="458">
        <v>3.3423735617098327E-2</v>
      </c>
      <c r="C3291" s="477">
        <v>6240741.7213479551</v>
      </c>
      <c r="D3291" s="458">
        <v>5.5737171857963341E-2</v>
      </c>
      <c r="E3291" s="477">
        <v>25380395.608691331</v>
      </c>
      <c r="F3291" s="458">
        <v>0.12328250872407365</v>
      </c>
      <c r="G3291" s="477">
        <v>87993325.698386461</v>
      </c>
      <c r="H3291" s="458">
        <v>0.26075037253374544</v>
      </c>
      <c r="I3291" s="468">
        <v>15.95385147294235</v>
      </c>
    </row>
    <row r="3292" spans="1:9" ht="16.5" x14ac:dyDescent="0.3">
      <c r="A3292" s="477">
        <v>3246095.2178036557</v>
      </c>
      <c r="B3292" s="458">
        <v>2.4806570086879365E-2</v>
      </c>
      <c r="C3292" s="477">
        <v>9362552.8600187413</v>
      </c>
      <c r="D3292" s="458">
        <v>7.9241308659537379E-2</v>
      </c>
      <c r="E3292" s="477">
        <v>14055985.107338738</v>
      </c>
      <c r="F3292" s="458">
        <v>9.7503772590952664E-2</v>
      </c>
      <c r="G3292" s="477">
        <v>92392107.800696194</v>
      </c>
      <c r="H3292" s="458">
        <v>0.30296613629344482</v>
      </c>
      <c r="I3292" s="468">
        <v>14.230803995466495</v>
      </c>
    </row>
    <row r="3293" spans="1:9" ht="16.5" x14ac:dyDescent="0.3">
      <c r="A3293" s="477">
        <v>6778245.909980719</v>
      </c>
      <c r="B3293" s="458">
        <v>4.8158943119822606E-2</v>
      </c>
      <c r="C3293" s="477">
        <v>8357359.321829428</v>
      </c>
      <c r="D3293" s="458">
        <v>6.3616024109413249E-2</v>
      </c>
      <c r="E3293" s="477">
        <v>18572044.942336518</v>
      </c>
      <c r="F3293" s="458">
        <v>0.1028367597762847</v>
      </c>
      <c r="G3293" s="477">
        <v>92009625.184814811</v>
      </c>
      <c r="H3293" s="458">
        <v>0.26825854421521744</v>
      </c>
      <c r="I3293" s="468">
        <v>12.403043851528828</v>
      </c>
    </row>
    <row r="3294" spans="1:9" ht="16.5" x14ac:dyDescent="0.3">
      <c r="A3294" s="477">
        <v>6127240.5814129934</v>
      </c>
      <c r="B3294" s="458">
        <v>3.5247805320235637E-2</v>
      </c>
      <c r="C3294" s="477">
        <v>9487799.296137739</v>
      </c>
      <c r="D3294" s="458">
        <v>4.6227495237693761E-2</v>
      </c>
      <c r="E3294" s="477">
        <v>19273819.980339549</v>
      </c>
      <c r="F3294" s="458">
        <v>0.10602825935704963</v>
      </c>
      <c r="G3294" s="477">
        <v>111361956.37012506</v>
      </c>
      <c r="H3294" s="458">
        <v>0.25602639455374288</v>
      </c>
      <c r="I3294" s="468">
        <v>4.4918819695748287</v>
      </c>
    </row>
    <row r="3295" spans="1:9" ht="16.5" x14ac:dyDescent="0.3">
      <c r="A3295" s="477">
        <v>7690662.6804476473</v>
      </c>
      <c r="B3295" s="458">
        <v>4.2289475979668367E-2</v>
      </c>
      <c r="C3295" s="477">
        <v>8687412.6230121814</v>
      </c>
      <c r="D3295" s="458">
        <v>6.7209380664112084E-2</v>
      </c>
      <c r="E3295" s="477">
        <v>17602980.515724625</v>
      </c>
      <c r="F3295" s="458">
        <v>0.10165555484617017</v>
      </c>
      <c r="G3295" s="477">
        <v>109137007.83230922</v>
      </c>
      <c r="H3295" s="458">
        <v>0.27524520864505608</v>
      </c>
      <c r="I3295" s="468">
        <v>10.975809311356098</v>
      </c>
    </row>
    <row r="3296" spans="1:9" ht="16.5" x14ac:dyDescent="0.3">
      <c r="A3296" s="477">
        <v>6964761.4722324824</v>
      </c>
      <c r="B3296" s="458">
        <v>5.3085504921354998E-2</v>
      </c>
      <c r="C3296" s="477">
        <v>12329552.342543541</v>
      </c>
      <c r="D3296" s="458">
        <v>7.7025852051656907E-2</v>
      </c>
      <c r="E3296" s="477">
        <v>13334544.402537649</v>
      </c>
      <c r="F3296" s="458">
        <v>0.11352136588374928</v>
      </c>
      <c r="G3296" s="477">
        <v>98498684.35820581</v>
      </c>
      <c r="H3296" s="458">
        <v>0.28644569339250836</v>
      </c>
      <c r="I3296" s="468">
        <v>7.5330145405640847</v>
      </c>
    </row>
    <row r="3297" spans="1:9" ht="16.5" x14ac:dyDescent="0.3">
      <c r="A3297" s="477">
        <v>686425.68263332266</v>
      </c>
      <c r="B3297" s="458">
        <v>3.9457738740312776E-2</v>
      </c>
      <c r="C3297" s="477">
        <v>10640430.806945955</v>
      </c>
      <c r="D3297" s="458">
        <v>6.4411813980004951E-2</v>
      </c>
      <c r="E3297" s="477">
        <v>15799877.241939081</v>
      </c>
      <c r="F3297" s="458">
        <v>9.563772149933758E-2</v>
      </c>
      <c r="G3297" s="477">
        <v>98722456.179963723</v>
      </c>
      <c r="H3297" s="458">
        <v>0.26115375812655528</v>
      </c>
      <c r="I3297" s="468">
        <v>11.435988331492226</v>
      </c>
    </row>
    <row r="3298" spans="1:9" ht="16.5" x14ac:dyDescent="0.3">
      <c r="A3298" s="477">
        <v>6912420.5771264397</v>
      </c>
      <c r="B3298" s="458">
        <v>2.9675356825693999E-2</v>
      </c>
      <c r="C3298" s="477">
        <v>8755829.6353377663</v>
      </c>
      <c r="D3298" s="458">
        <v>8.0451176263187651E-2</v>
      </c>
      <c r="E3298" s="477">
        <v>15828276.567381777</v>
      </c>
      <c r="F3298" s="458">
        <v>0.12156873200465879</v>
      </c>
      <c r="G3298" s="477">
        <v>83223164.919685364</v>
      </c>
      <c r="H3298" s="458">
        <v>0.26345053803452645</v>
      </c>
      <c r="I3298" s="468">
        <v>10.543952053942096</v>
      </c>
    </row>
    <row r="3299" spans="1:9" ht="16.5" x14ac:dyDescent="0.3">
      <c r="A3299" s="477">
        <v>7760146.0433425214</v>
      </c>
      <c r="B3299" s="458">
        <v>2.3185615961078376E-2</v>
      </c>
      <c r="C3299" s="477">
        <v>1186259.63267241</v>
      </c>
      <c r="D3299" s="458">
        <v>4.9306841345231556E-2</v>
      </c>
      <c r="E3299" s="477">
        <v>15439273.046493687</v>
      </c>
      <c r="F3299" s="458">
        <v>0.11808209664070857</v>
      </c>
      <c r="G3299" s="477">
        <v>76773636.583750486</v>
      </c>
      <c r="H3299" s="458">
        <v>0.27017957536535731</v>
      </c>
      <c r="I3299" s="468">
        <v>12.118602502378366</v>
      </c>
    </row>
    <row r="3300" spans="1:9" ht="16.5" x14ac:dyDescent="0.3">
      <c r="A3300" s="477">
        <v>5367374.7919353815</v>
      </c>
      <c r="B3300" s="458">
        <v>5.0242255848855555E-2</v>
      </c>
      <c r="C3300" s="477">
        <v>6209500.6774548795</v>
      </c>
      <c r="D3300" s="458">
        <v>6.8760852849008014E-2</v>
      </c>
      <c r="E3300" s="477">
        <v>24582298.563194558</v>
      </c>
      <c r="F3300" s="458">
        <v>9.5880652037992231E-2</v>
      </c>
      <c r="G3300" s="477">
        <v>91113726.053453982</v>
      </c>
      <c r="H3300" s="458">
        <v>0.27862989542861949</v>
      </c>
      <c r="I3300" s="468">
        <v>5.3975707314338344</v>
      </c>
    </row>
    <row r="3301" spans="1:9" ht="16.5" x14ac:dyDescent="0.3">
      <c r="A3301" s="477">
        <v>5529791.6225847509</v>
      </c>
      <c r="B3301" s="458">
        <v>3.9428561656275507E-2</v>
      </c>
      <c r="C3301" s="477">
        <v>7011241.9178925278</v>
      </c>
      <c r="D3301" s="458">
        <v>6.4216134193363361E-2</v>
      </c>
      <c r="E3301" s="477">
        <v>10740367.698843969</v>
      </c>
      <c r="F3301" s="458">
        <v>7.0323543905487451E-2</v>
      </c>
      <c r="G3301" s="477">
        <v>88247925.821779564</v>
      </c>
      <c r="H3301" s="458">
        <v>0.26021126602369815</v>
      </c>
      <c r="I3301" s="468">
        <v>6.8645160770457698</v>
      </c>
    </row>
    <row r="3302" spans="1:9" ht="16.5" x14ac:dyDescent="0.3">
      <c r="A3302" s="477">
        <v>2678524.4346208503</v>
      </c>
      <c r="B3302" s="458">
        <v>4.2822778645505988E-2</v>
      </c>
      <c r="C3302" s="477">
        <v>7327547.3694246579</v>
      </c>
      <c r="D3302" s="458">
        <v>4.9896227304572438E-2</v>
      </c>
      <c r="E3302" s="477">
        <v>13713792.555966286</v>
      </c>
      <c r="F3302" s="458">
        <v>0.14737649296663879</v>
      </c>
      <c r="G3302" s="477">
        <v>91122216.915765643</v>
      </c>
      <c r="H3302" s="458">
        <v>0.26692246229106464</v>
      </c>
      <c r="I3302" s="468">
        <v>8.568339479910847</v>
      </c>
    </row>
    <row r="3303" spans="1:9" ht="16.5" x14ac:dyDescent="0.3">
      <c r="A3303" s="477">
        <v>10915429.540357558</v>
      </c>
      <c r="B3303" s="458">
        <v>3.6017049361431797E-2</v>
      </c>
      <c r="C3303" s="477">
        <v>7205566.1129006175</v>
      </c>
      <c r="D3303" s="458">
        <v>8.2406874986368228E-2</v>
      </c>
      <c r="E3303" s="477">
        <v>16576779.61134232</v>
      </c>
      <c r="F3303" s="458">
        <v>0.12707806718707459</v>
      </c>
      <c r="G3303" s="477">
        <v>85324377.922072873</v>
      </c>
      <c r="H3303" s="458">
        <v>0.26897702348732966</v>
      </c>
      <c r="I3303" s="468">
        <v>2.388252010710727</v>
      </c>
    </row>
    <row r="3304" spans="1:9" ht="16.5" x14ac:dyDescent="0.3">
      <c r="A3304" s="477">
        <v>5234291.1114150211</v>
      </c>
      <c r="B3304" s="458">
        <v>4.1215747580411577E-2</v>
      </c>
      <c r="C3304" s="477">
        <v>12329336.051885853</v>
      </c>
      <c r="D3304" s="458">
        <v>4.4361786575934259E-2</v>
      </c>
      <c r="E3304" s="477">
        <v>14932393.052812086</v>
      </c>
      <c r="F3304" s="458">
        <v>0.10880043926152161</v>
      </c>
      <c r="G3304" s="477">
        <v>86543280.149301887</v>
      </c>
      <c r="H3304" s="458">
        <v>0.28052034589322572</v>
      </c>
      <c r="I3304" s="468">
        <v>8.605985114328714</v>
      </c>
    </row>
    <row r="3305" spans="1:9" ht="16.5" x14ac:dyDescent="0.3">
      <c r="A3305" s="477">
        <v>3632233.4197884449</v>
      </c>
      <c r="B3305" s="458">
        <v>5.2846879135093561E-2</v>
      </c>
      <c r="C3305" s="477">
        <v>13629781.289400704</v>
      </c>
      <c r="D3305" s="458">
        <v>8.3190295289865546E-2</v>
      </c>
      <c r="E3305" s="477">
        <v>13692076.594686154</v>
      </c>
      <c r="F3305" s="458">
        <v>0.1225828687043351</v>
      </c>
      <c r="G3305" s="477">
        <v>98320571.067695022</v>
      </c>
      <c r="H3305" s="458">
        <v>0.25313541233553316</v>
      </c>
      <c r="I3305" s="468">
        <v>11.396081759251317</v>
      </c>
    </row>
    <row r="3306" spans="1:9" ht="16.5" x14ac:dyDescent="0.3">
      <c r="A3306" s="477">
        <v>1712865.2485779675</v>
      </c>
      <c r="B3306" s="458">
        <v>4.44418708812786E-2</v>
      </c>
      <c r="C3306" s="477">
        <v>6555777.5467494717</v>
      </c>
      <c r="D3306" s="458">
        <v>9.981688293036628E-2</v>
      </c>
      <c r="E3306" s="477">
        <v>17703921.08578179</v>
      </c>
      <c r="F3306" s="458">
        <v>0.12135365110197882</v>
      </c>
      <c r="G3306" s="477">
        <v>84628241.48689279</v>
      </c>
      <c r="H3306" s="458">
        <v>0.25405097094942897</v>
      </c>
      <c r="I3306" s="468">
        <v>7.721597700848509</v>
      </c>
    </row>
    <row r="3307" spans="1:9" ht="16.5" x14ac:dyDescent="0.3">
      <c r="A3307" s="477">
        <v>9151907.5848612245</v>
      </c>
      <c r="B3307" s="458">
        <v>4.4974192802480717E-2</v>
      </c>
      <c r="C3307" s="477">
        <v>6775381.7924123034</v>
      </c>
      <c r="D3307" s="458">
        <v>8.0556173627101879E-2</v>
      </c>
      <c r="E3307" s="477">
        <v>11624309.118721344</v>
      </c>
      <c r="F3307" s="458">
        <v>0.15571666598657163</v>
      </c>
      <c r="G3307" s="477">
        <v>86882112.325291812</v>
      </c>
      <c r="H3307" s="458">
        <v>0.26466926179633865</v>
      </c>
      <c r="I3307" s="468">
        <v>9.4602150651417638</v>
      </c>
    </row>
    <row r="3308" spans="1:9" ht="16.5" x14ac:dyDescent="0.3">
      <c r="A3308" s="477">
        <v>3512657.8605872551</v>
      </c>
      <c r="B3308" s="458">
        <v>5.4436090307697249E-2</v>
      </c>
      <c r="C3308" s="477">
        <v>5377282.623727168</v>
      </c>
      <c r="D3308" s="458">
        <v>6.2062996882249921E-2</v>
      </c>
      <c r="E3308" s="477">
        <v>17776281.558184419</v>
      </c>
      <c r="F3308" s="458">
        <v>0.10800870176742738</v>
      </c>
      <c r="G3308" s="477">
        <v>98463835.50894396</v>
      </c>
      <c r="H3308" s="458">
        <v>0.27241638808833568</v>
      </c>
      <c r="I3308" s="468">
        <v>10.851370629022657</v>
      </c>
    </row>
    <row r="3309" spans="1:9" ht="16.5" x14ac:dyDescent="0.3">
      <c r="A3309" s="477">
        <v>3641965.580130972</v>
      </c>
      <c r="B3309" s="458">
        <v>3.2120263937269078E-2</v>
      </c>
      <c r="C3309" s="477">
        <v>7865016.9957548697</v>
      </c>
      <c r="D3309" s="458">
        <v>5.227660536073242E-2</v>
      </c>
      <c r="E3309" s="477">
        <v>15774116.065196104</v>
      </c>
      <c r="F3309" s="458">
        <v>0.15561593315084843</v>
      </c>
      <c r="G3309" s="477">
        <v>81361411.567055151</v>
      </c>
      <c r="H3309" s="458">
        <v>0.27223928497231697</v>
      </c>
      <c r="I3309" s="468">
        <v>8.8221698297942144</v>
      </c>
    </row>
    <row r="3310" spans="1:9" ht="16.5" x14ac:dyDescent="0.3">
      <c r="A3310" s="477">
        <v>5086249.4744699309</v>
      </c>
      <c r="B3310" s="458">
        <v>5.4662616732339631E-2</v>
      </c>
      <c r="C3310" s="477">
        <v>6107111.9296716712</v>
      </c>
      <c r="D3310" s="458">
        <v>0.10371363547976764</v>
      </c>
      <c r="E3310" s="477">
        <v>15911152.776595</v>
      </c>
      <c r="F3310" s="458">
        <v>0.1184451228160508</v>
      </c>
      <c r="G3310" s="477">
        <v>103471933.62314878</v>
      </c>
      <c r="H3310" s="458">
        <v>0.2592127883574411</v>
      </c>
      <c r="I3310" s="468">
        <v>2.0132749104556433</v>
      </c>
    </row>
    <row r="3311" spans="1:9" ht="16.5" x14ac:dyDescent="0.3">
      <c r="A3311" s="477">
        <v>6181045.6092925845</v>
      </c>
      <c r="B3311" s="458">
        <v>5.2656073531109904E-2</v>
      </c>
      <c r="C3311" s="477">
        <v>13482752.847250422</v>
      </c>
      <c r="D3311" s="458">
        <v>6.7852894310881151E-2</v>
      </c>
      <c r="E3311" s="477">
        <v>16568191.858669262</v>
      </c>
      <c r="F3311" s="458">
        <v>0.11189676682806615</v>
      </c>
      <c r="G3311" s="477">
        <v>84195308.636572838</v>
      </c>
      <c r="H3311" s="458">
        <v>0.26152743292907865</v>
      </c>
      <c r="I3311" s="468">
        <v>5.2331801770273882</v>
      </c>
    </row>
    <row r="3312" spans="1:9" ht="16.5" x14ac:dyDescent="0.3">
      <c r="A3312" s="477">
        <v>1084944.8974732039</v>
      </c>
      <c r="B3312" s="458">
        <v>8.1401674057440365E-2</v>
      </c>
      <c r="C3312" s="477">
        <v>7149593.4490537765</v>
      </c>
      <c r="D3312" s="458">
        <v>7.554221081166812E-2</v>
      </c>
      <c r="E3312" s="477">
        <v>14192310.777932135</v>
      </c>
      <c r="F3312" s="458">
        <v>0.11197107609762225</v>
      </c>
      <c r="G3312" s="477">
        <v>98123724.468939543</v>
      </c>
      <c r="H3312" s="458">
        <v>0.2655670436572295</v>
      </c>
      <c r="I3312" s="468">
        <v>9.7369347408956699</v>
      </c>
    </row>
    <row r="3313" spans="1:9" ht="16.5" x14ac:dyDescent="0.3">
      <c r="A3313" s="477">
        <v>4575207.3635281716</v>
      </c>
      <c r="B3313" s="458">
        <v>4.5773627191800559E-2</v>
      </c>
      <c r="C3313" s="477">
        <v>10857572.633510992</v>
      </c>
      <c r="D3313" s="458">
        <v>6.3489356552319132E-2</v>
      </c>
      <c r="E3313" s="477">
        <v>18806413.649717879</v>
      </c>
      <c r="F3313" s="458">
        <v>0.10212142791156564</v>
      </c>
      <c r="G3313" s="477">
        <v>95501075.245783344</v>
      </c>
      <c r="H3313" s="458">
        <v>0.250981771097464</v>
      </c>
      <c r="I3313" s="468">
        <v>1.2372307967565774</v>
      </c>
    </row>
    <row r="3314" spans="1:9" ht="16.5" x14ac:dyDescent="0.3">
      <c r="A3314" s="477">
        <v>10432425.740979619</v>
      </c>
      <c r="B3314" s="458">
        <v>3.2812058087945628E-2</v>
      </c>
      <c r="C3314" s="477">
        <v>10696556.178745769</v>
      </c>
      <c r="D3314" s="458">
        <v>6.7149498347311987E-2</v>
      </c>
      <c r="E3314" s="477">
        <v>15057913.313570669</v>
      </c>
      <c r="F3314" s="458">
        <v>0.13886545980109899</v>
      </c>
      <c r="G3314" s="477">
        <v>91915671.895927697</v>
      </c>
      <c r="H3314" s="458">
        <v>0.2621837981396471</v>
      </c>
      <c r="I3314" s="468">
        <v>11.146488236402288</v>
      </c>
    </row>
    <row r="3315" spans="1:9" ht="16.5" x14ac:dyDescent="0.3">
      <c r="A3315" s="477">
        <v>131077.78028238719</v>
      </c>
      <c r="B3315" s="458">
        <v>2.5553353966182302E-2</v>
      </c>
      <c r="C3315" s="477">
        <v>13818473.444247492</v>
      </c>
      <c r="D3315" s="458">
        <v>3.4618502841108123E-2</v>
      </c>
      <c r="E3315" s="477">
        <v>20548601.02860263</v>
      </c>
      <c r="F3315" s="458">
        <v>0.1174406384569131</v>
      </c>
      <c r="G3315" s="477">
        <v>92824644.643933117</v>
      </c>
      <c r="H3315" s="458">
        <v>0.28014929384422627</v>
      </c>
      <c r="I3315" s="468">
        <v>4.3880514350673021</v>
      </c>
    </row>
    <row r="3316" spans="1:9" ht="16.5" x14ac:dyDescent="0.3">
      <c r="A3316" s="477">
        <v>9949992.309445383</v>
      </c>
      <c r="B3316" s="458">
        <v>3.4935892152969661E-2</v>
      </c>
      <c r="C3316" s="477">
        <v>6663604.5372296479</v>
      </c>
      <c r="D3316" s="458">
        <v>7.0988877199273714E-2</v>
      </c>
      <c r="E3316" s="477">
        <v>5196359.784061552</v>
      </c>
      <c r="F3316" s="458">
        <v>0.1069822845334909</v>
      </c>
      <c r="G3316" s="477">
        <v>100220369.42214195</v>
      </c>
      <c r="H3316" s="458">
        <v>0.26239897223374298</v>
      </c>
      <c r="I3316" s="468">
        <v>4.2411550909691043</v>
      </c>
    </row>
    <row r="3317" spans="1:9" ht="16.5" x14ac:dyDescent="0.3">
      <c r="A3317" s="477">
        <v>5071179.7167551601</v>
      </c>
      <c r="B3317" s="458">
        <v>5.6149011306069196E-2</v>
      </c>
      <c r="C3317" s="477">
        <v>13266890.347734112</v>
      </c>
      <c r="D3317" s="458">
        <v>5.1837921723909997E-2</v>
      </c>
      <c r="E3317" s="477">
        <v>21153210.148328934</v>
      </c>
      <c r="F3317" s="458">
        <v>0.11004184876936041</v>
      </c>
      <c r="G3317" s="477">
        <v>82727495.278761461</v>
      </c>
      <c r="H3317" s="458">
        <v>0.27911971351882991</v>
      </c>
      <c r="I3317" s="468">
        <v>6.1984977376595012</v>
      </c>
    </row>
    <row r="3318" spans="1:9" ht="16.5" x14ac:dyDescent="0.3">
      <c r="A3318" s="477">
        <v>3196015.6696394417</v>
      </c>
      <c r="B3318" s="458">
        <v>3.3274022846427886E-2</v>
      </c>
      <c r="C3318" s="477">
        <v>9586010.6829694882</v>
      </c>
      <c r="D3318" s="458">
        <v>6.4364173589539275E-2</v>
      </c>
      <c r="E3318" s="477">
        <v>15871437.859125594</v>
      </c>
      <c r="F3318" s="458">
        <v>0.11944909779058865</v>
      </c>
      <c r="G3318" s="477">
        <v>82571244.387877643</v>
      </c>
      <c r="H3318" s="458">
        <v>0.26629800857812413</v>
      </c>
      <c r="I3318" s="468">
        <v>-8.7218722597905085E-2</v>
      </c>
    </row>
    <row r="3319" spans="1:9" ht="16.5" x14ac:dyDescent="0.3">
      <c r="A3319" s="477">
        <v>6217663.3337076996</v>
      </c>
      <c r="B3319" s="458">
        <v>5.1272128082972435E-2</v>
      </c>
      <c r="C3319" s="477">
        <v>9026938.109500533</v>
      </c>
      <c r="D3319" s="458">
        <v>8.1016092930722428E-2</v>
      </c>
      <c r="E3319" s="477">
        <v>9770511.5740315262</v>
      </c>
      <c r="F3319" s="458">
        <v>0.10669562870400706</v>
      </c>
      <c r="G3319" s="477">
        <v>93701937.548000216</v>
      </c>
      <c r="H3319" s="458">
        <v>0.28892076529492128</v>
      </c>
      <c r="I3319" s="468">
        <v>10.517178962194622</v>
      </c>
    </row>
    <row r="3320" spans="1:9" ht="16.5" x14ac:dyDescent="0.3">
      <c r="A3320" s="477">
        <v>3921277.4923471394</v>
      </c>
      <c r="B3320" s="458">
        <v>6.5434992777283485E-2</v>
      </c>
      <c r="C3320" s="477">
        <v>5663313.0901194485</v>
      </c>
      <c r="D3320" s="458">
        <v>6.4839247782794374E-2</v>
      </c>
      <c r="E3320" s="477">
        <v>12609782.273708029</v>
      </c>
      <c r="F3320" s="458">
        <v>9.7917579164686019E-2</v>
      </c>
      <c r="G3320" s="477">
        <v>86544183.84907721</v>
      </c>
      <c r="H3320" s="458">
        <v>0.28361144871321642</v>
      </c>
      <c r="I3320" s="468">
        <v>7.4557984841632461</v>
      </c>
    </row>
    <row r="3321" spans="1:9" ht="16.5" x14ac:dyDescent="0.3">
      <c r="A3321" s="477">
        <v>6096049.0602654926</v>
      </c>
      <c r="B3321" s="458">
        <v>4.6160985443001401E-2</v>
      </c>
      <c r="C3321" s="477">
        <v>12089806.220914256</v>
      </c>
      <c r="D3321" s="458">
        <v>8.5768654257314614E-2</v>
      </c>
      <c r="E3321" s="477">
        <v>14977383.749306375</v>
      </c>
      <c r="F3321" s="458">
        <v>0.11510704480071077</v>
      </c>
      <c r="G3321" s="477">
        <v>97647651.331690311</v>
      </c>
      <c r="H3321" s="458">
        <v>0.25430005832570979</v>
      </c>
      <c r="I3321" s="468">
        <v>13.594243195420324</v>
      </c>
    </row>
    <row r="3322" spans="1:9" ht="16.5" x14ac:dyDescent="0.3">
      <c r="A3322" s="477">
        <v>4333153.3038843013</v>
      </c>
      <c r="B3322" s="458">
        <v>3.7078072027869391E-2</v>
      </c>
      <c r="C3322" s="477">
        <v>11166145.255742475</v>
      </c>
      <c r="D3322" s="458">
        <v>5.5551743659135511E-2</v>
      </c>
      <c r="E3322" s="477">
        <v>19372642.887279622</v>
      </c>
      <c r="F3322" s="458">
        <v>0.10027235689297176</v>
      </c>
      <c r="G3322" s="477">
        <v>92616724.783011228</v>
      </c>
      <c r="H3322" s="458">
        <v>0.26251164443523667</v>
      </c>
      <c r="I3322" s="468">
        <v>9.733841700803616</v>
      </c>
    </row>
    <row r="3323" spans="1:9" ht="16.5" x14ac:dyDescent="0.3">
      <c r="A3323" s="477">
        <v>9060963.2212098353</v>
      </c>
      <c r="B3323" s="458">
        <v>2.9507504056603517E-2</v>
      </c>
      <c r="C3323" s="477">
        <v>356101.80158109992</v>
      </c>
      <c r="D3323" s="458">
        <v>6.8725881624557061E-2</v>
      </c>
      <c r="E3323" s="477">
        <v>24141626.777535267</v>
      </c>
      <c r="F3323" s="458">
        <v>0.12359168003384569</v>
      </c>
      <c r="G3323" s="477">
        <v>96711851.106621444</v>
      </c>
      <c r="H3323" s="458">
        <v>0.25057327353279213</v>
      </c>
      <c r="I3323" s="468">
        <v>7.9246015950323407</v>
      </c>
    </row>
    <row r="3324" spans="1:9" ht="16.5" x14ac:dyDescent="0.3">
      <c r="A3324" s="477">
        <v>3302839.9832564248</v>
      </c>
      <c r="B3324" s="458">
        <v>3.4037341597072723E-2</v>
      </c>
      <c r="C3324" s="477">
        <v>12992474.72148183</v>
      </c>
      <c r="D3324" s="458">
        <v>8.494086688425484E-2</v>
      </c>
      <c r="E3324" s="477">
        <v>18365587.693291124</v>
      </c>
      <c r="F3324" s="458">
        <v>0.13280162349661584</v>
      </c>
      <c r="G3324" s="477">
        <v>98784596.055581406</v>
      </c>
      <c r="H3324" s="458">
        <v>0.26660093992627898</v>
      </c>
      <c r="I3324" s="468">
        <v>8.7453368141883185</v>
      </c>
    </row>
    <row r="3325" spans="1:9" ht="16.5" x14ac:dyDescent="0.3">
      <c r="A3325" s="477">
        <v>4572436.0644882517</v>
      </c>
      <c r="B3325" s="458">
        <v>3.0481801339182324E-2</v>
      </c>
      <c r="C3325" s="477">
        <v>10078700.990010254</v>
      </c>
      <c r="D3325" s="458">
        <v>4.2931528342306846E-2</v>
      </c>
      <c r="E3325" s="477">
        <v>15952892.224702207</v>
      </c>
      <c r="F3325" s="458">
        <v>9.9958824409053459E-2</v>
      </c>
      <c r="G3325" s="477">
        <v>81241089.691033304</v>
      </c>
      <c r="H3325" s="458">
        <v>0.24901303073228687</v>
      </c>
      <c r="I3325" s="468">
        <v>12.450780855823048</v>
      </c>
    </row>
    <row r="3326" spans="1:9" ht="16.5" x14ac:dyDescent="0.3">
      <c r="A3326" s="477">
        <v>5902840.3676810544</v>
      </c>
      <c r="B3326" s="458">
        <v>4.5410163070788157E-2</v>
      </c>
      <c r="C3326" s="477">
        <v>9306178.4363313168</v>
      </c>
      <c r="D3326" s="458">
        <v>3.9045664572520122E-2</v>
      </c>
      <c r="E3326" s="477">
        <v>18148467.67693539</v>
      </c>
      <c r="F3326" s="458">
        <v>9.7894732512738392E-2</v>
      </c>
      <c r="G3326" s="477">
        <v>100150708.83829017</v>
      </c>
      <c r="H3326" s="458">
        <v>0.28856563114603562</v>
      </c>
      <c r="I3326" s="468">
        <v>2.4595871931080113</v>
      </c>
    </row>
    <row r="3327" spans="1:9" ht="16.5" x14ac:dyDescent="0.3">
      <c r="A3327" s="477">
        <v>4102094.3493406768</v>
      </c>
      <c r="B3327" s="458">
        <v>4.6209187419907538E-2</v>
      </c>
      <c r="C3327" s="477">
        <v>10152615.575254815</v>
      </c>
      <c r="D3327" s="458">
        <v>9.4552229556705836E-2</v>
      </c>
      <c r="E3327" s="477">
        <v>12978665.307657355</v>
      </c>
      <c r="F3327" s="458">
        <v>0.13290995590229215</v>
      </c>
      <c r="G3327" s="477">
        <v>97663601.222283795</v>
      </c>
      <c r="H3327" s="458">
        <v>0.28029105730284076</v>
      </c>
      <c r="I3327" s="468">
        <v>11.106766036338243</v>
      </c>
    </row>
    <row r="3328" spans="1:9" ht="16.5" x14ac:dyDescent="0.3">
      <c r="A3328" s="477">
        <v>3250353.9207562176</v>
      </c>
      <c r="B3328" s="458">
        <v>3.899417060533783E-2</v>
      </c>
      <c r="C3328" s="477">
        <v>11707476.344725616</v>
      </c>
      <c r="D3328" s="458">
        <v>6.6655525452999909E-2</v>
      </c>
      <c r="E3328" s="477">
        <v>20562727.015250921</v>
      </c>
      <c r="F3328" s="458">
        <v>8.0496187379005102E-2</v>
      </c>
      <c r="G3328" s="477">
        <v>95465176.855135679</v>
      </c>
      <c r="H3328" s="458">
        <v>0.2663614456162533</v>
      </c>
      <c r="I3328" s="468">
        <v>8.7490504432971328</v>
      </c>
    </row>
    <row r="3329" spans="1:9" ht="16.5" x14ac:dyDescent="0.3">
      <c r="A3329" s="477">
        <v>3179596.8661483638</v>
      </c>
      <c r="B3329" s="458">
        <v>4.308080893585764E-2</v>
      </c>
      <c r="C3329" s="477">
        <v>13269525.796609506</v>
      </c>
      <c r="D3329" s="458">
        <v>6.889773722147341E-2</v>
      </c>
      <c r="E3329" s="477">
        <v>19678984.671874139</v>
      </c>
      <c r="F3329" s="458">
        <v>0.11120891141973344</v>
      </c>
      <c r="G3329" s="477">
        <v>97210221.825089961</v>
      </c>
      <c r="H3329" s="458">
        <v>0.29380537650651695</v>
      </c>
      <c r="I3329" s="468">
        <v>10.799588853248782</v>
      </c>
    </row>
    <row r="3330" spans="1:9" ht="16.5" x14ac:dyDescent="0.3">
      <c r="A3330" s="477">
        <v>5069999.7320498079</v>
      </c>
      <c r="B3330" s="458">
        <v>5.718105561537179E-2</v>
      </c>
      <c r="C3330" s="477">
        <v>11913049.635920031</v>
      </c>
      <c r="D3330" s="458">
        <v>9.0559543419181487E-2</v>
      </c>
      <c r="E3330" s="477">
        <v>7739068.8333582841</v>
      </c>
      <c r="F3330" s="458">
        <v>0.11299830143790612</v>
      </c>
      <c r="G3330" s="477">
        <v>76024736.456605762</v>
      </c>
      <c r="H3330" s="458">
        <v>0.27316110474251243</v>
      </c>
      <c r="I3330" s="468">
        <v>5.0370801301045187</v>
      </c>
    </row>
    <row r="3331" spans="1:9" ht="16.5" x14ac:dyDescent="0.3">
      <c r="A3331" s="477">
        <v>3809241.0189981014</v>
      </c>
      <c r="B3331" s="458">
        <v>3.468218948683055E-2</v>
      </c>
      <c r="C3331" s="477">
        <v>12606594.284793671</v>
      </c>
      <c r="D3331" s="458">
        <v>0.20132680675210635</v>
      </c>
      <c r="E3331" s="477">
        <v>17755748.604903948</v>
      </c>
      <c r="F3331" s="458">
        <v>0.10389894455665716</v>
      </c>
      <c r="G3331" s="477">
        <v>96196195.742583483</v>
      </c>
      <c r="H3331" s="458">
        <v>0.26862987214314038</v>
      </c>
      <c r="I3331" s="468">
        <v>11.67351588885214</v>
      </c>
    </row>
    <row r="3332" spans="1:9" ht="16.5" x14ac:dyDescent="0.3">
      <c r="A3332" s="477">
        <v>4027279.9387268801</v>
      </c>
      <c r="B3332" s="458">
        <v>3.0592276327419121E-2</v>
      </c>
      <c r="C3332" s="477">
        <v>4803550.6768014869</v>
      </c>
      <c r="D3332" s="458">
        <v>7.1656843737492926E-2</v>
      </c>
      <c r="E3332" s="477">
        <v>13756525.476701258</v>
      </c>
      <c r="F3332" s="458">
        <v>0.10589365134736428</v>
      </c>
      <c r="G3332" s="477">
        <v>97837497.088972256</v>
      </c>
      <c r="H3332" s="458">
        <v>0.28132491770111323</v>
      </c>
      <c r="I3332" s="468">
        <v>5.5189744208971607</v>
      </c>
    </row>
    <row r="3333" spans="1:9" ht="16.5" x14ac:dyDescent="0.3">
      <c r="A3333" s="477">
        <v>7191467.147341406</v>
      </c>
      <c r="B3333" s="458">
        <v>4.705891800070261E-2</v>
      </c>
      <c r="C3333" s="477">
        <v>6140207.6480204379</v>
      </c>
      <c r="D3333" s="458">
        <v>7.0698291258244117E-2</v>
      </c>
      <c r="E3333" s="477">
        <v>17037184.767573271</v>
      </c>
      <c r="F3333" s="458">
        <v>9.2426053351730486E-2</v>
      </c>
      <c r="G3333" s="477">
        <v>79934465.2711934</v>
      </c>
      <c r="H3333" s="458">
        <v>0.28115384874594973</v>
      </c>
      <c r="I3333" s="468">
        <v>10.374443423532554</v>
      </c>
    </row>
    <row r="3334" spans="1:9" ht="16.5" x14ac:dyDescent="0.3">
      <c r="A3334" s="477">
        <v>7723891.7798016099</v>
      </c>
      <c r="B3334" s="458">
        <v>4.3671285921563996E-2</v>
      </c>
      <c r="C3334" s="477">
        <v>14150900.498575473</v>
      </c>
      <c r="D3334" s="458">
        <v>6.6897207814114346E-2</v>
      </c>
      <c r="E3334" s="477">
        <v>23657765.627164509</v>
      </c>
      <c r="F3334" s="458">
        <v>0.10824419098534732</v>
      </c>
      <c r="G3334" s="477">
        <v>87571763.002295524</v>
      </c>
      <c r="H3334" s="458">
        <v>0.27619447126369234</v>
      </c>
      <c r="I3334" s="468">
        <v>7.8788675370445311</v>
      </c>
    </row>
    <row r="3335" spans="1:9" ht="16.5" x14ac:dyDescent="0.3">
      <c r="A3335" s="477">
        <v>3598984.4696089313</v>
      </c>
      <c r="B3335" s="458">
        <v>5.6255382272052401E-2</v>
      </c>
      <c r="C3335" s="477">
        <v>10599909.937569633</v>
      </c>
      <c r="D3335" s="458">
        <v>7.1658703373537191E-2</v>
      </c>
      <c r="E3335" s="477">
        <v>25747452.083551336</v>
      </c>
      <c r="F3335" s="458">
        <v>9.0868347750360901E-2</v>
      </c>
      <c r="G3335" s="477">
        <v>92546886.478251964</v>
      </c>
      <c r="H3335" s="458">
        <v>0.2735207829334676</v>
      </c>
      <c r="I3335" s="468">
        <v>4.7458672004750753</v>
      </c>
    </row>
    <row r="3336" spans="1:9" ht="16.5" x14ac:dyDescent="0.3">
      <c r="A3336" s="477">
        <v>5171679.5058162557</v>
      </c>
      <c r="B3336" s="458">
        <v>3.6303749305888866E-2</v>
      </c>
      <c r="C3336" s="477">
        <v>-1219015.9531216032</v>
      </c>
      <c r="D3336" s="458">
        <v>5.3491993308129926E-2</v>
      </c>
      <c r="E3336" s="477">
        <v>12721638.415636288</v>
      </c>
      <c r="F3336" s="458">
        <v>0.10795432607993405</v>
      </c>
      <c r="G3336" s="477">
        <v>86993313.946112737</v>
      </c>
      <c r="H3336" s="458">
        <v>0.26180299287476649</v>
      </c>
      <c r="I3336" s="468">
        <v>8.630757223065693</v>
      </c>
    </row>
    <row r="3337" spans="1:9" ht="16.5" x14ac:dyDescent="0.3">
      <c r="A3337" s="477">
        <v>6138735.7287779441</v>
      </c>
      <c r="B3337" s="458">
        <v>6.9191898206176106E-2</v>
      </c>
      <c r="C3337" s="477">
        <v>11632165.669232266</v>
      </c>
      <c r="D3337" s="458">
        <v>5.5331390153303683E-2</v>
      </c>
      <c r="E3337" s="477">
        <v>21150388.892291386</v>
      </c>
      <c r="F3337" s="458">
        <v>0.1318459418992366</v>
      </c>
      <c r="G3337" s="477">
        <v>102086542.94086671</v>
      </c>
      <c r="H3337" s="458">
        <v>0.28548839037825524</v>
      </c>
      <c r="I3337" s="468">
        <v>6.1888065042175446</v>
      </c>
    </row>
    <row r="3338" spans="1:9" ht="16.5" x14ac:dyDescent="0.3">
      <c r="A3338" s="477">
        <v>977831.71673862671</v>
      </c>
      <c r="B3338" s="458">
        <v>4.1996265735845029E-2</v>
      </c>
      <c r="C3338" s="477">
        <v>9907560.9985769019</v>
      </c>
      <c r="D3338" s="458">
        <v>2.4822960248429338E-2</v>
      </c>
      <c r="E3338" s="477">
        <v>19518686.989407655</v>
      </c>
      <c r="F3338" s="458">
        <v>0.10279522745742842</v>
      </c>
      <c r="G3338" s="477">
        <v>75208151.124516711</v>
      </c>
      <c r="H3338" s="458">
        <v>0.28034283605244115</v>
      </c>
      <c r="I3338" s="468">
        <v>11.148852702958138</v>
      </c>
    </row>
    <row r="3339" spans="1:9" ht="16.5" x14ac:dyDescent="0.3">
      <c r="A3339" s="477">
        <v>12728104.837545132</v>
      </c>
      <c r="B3339" s="458">
        <v>2.9916430579495223E-2</v>
      </c>
      <c r="C3339" s="477">
        <v>6083460.0821818942</v>
      </c>
      <c r="D3339" s="458">
        <v>5.3187354576729851E-2</v>
      </c>
      <c r="E3339" s="477">
        <v>14967397.751764089</v>
      </c>
      <c r="F3339" s="458">
        <v>0.10039853634580687</v>
      </c>
      <c r="G3339" s="477">
        <v>84553267.291206077</v>
      </c>
      <c r="H3339" s="458">
        <v>0.25871484266668943</v>
      </c>
      <c r="I3339" s="468">
        <v>13.969455182624584</v>
      </c>
    </row>
    <row r="3340" spans="1:9" ht="16.5" x14ac:dyDescent="0.3">
      <c r="A3340" s="477">
        <v>4016943.7038413766</v>
      </c>
      <c r="B3340" s="458">
        <v>3.6954007449788495E-2</v>
      </c>
      <c r="C3340" s="477">
        <v>10080010.029359292</v>
      </c>
      <c r="D3340" s="458">
        <v>5.7855508504820907E-2</v>
      </c>
      <c r="E3340" s="477">
        <v>19818494.541448489</v>
      </c>
      <c r="F3340" s="458">
        <v>7.2941373465442494E-2</v>
      </c>
      <c r="G3340" s="477">
        <v>78760777.150492102</v>
      </c>
      <c r="H3340" s="458">
        <v>0.27068435719949435</v>
      </c>
      <c r="I3340" s="468">
        <v>12.570382794142732</v>
      </c>
    </row>
    <row r="3341" spans="1:9" ht="16.5" x14ac:dyDescent="0.3">
      <c r="A3341" s="477">
        <v>4151589.3358996976</v>
      </c>
      <c r="B3341" s="458">
        <v>5.3571619823493233E-2</v>
      </c>
      <c r="C3341" s="477">
        <v>9775950.902357582</v>
      </c>
      <c r="D3341" s="458">
        <v>2.0181750551851785E-2</v>
      </c>
      <c r="E3341" s="477">
        <v>20578903.443948112</v>
      </c>
      <c r="F3341" s="458">
        <v>8.9267278244443471E-2</v>
      </c>
      <c r="G3341" s="477">
        <v>86525551.111159071</v>
      </c>
      <c r="H3341" s="458">
        <v>0.25544689673805454</v>
      </c>
      <c r="I3341" s="468">
        <v>10.152724944586508</v>
      </c>
    </row>
    <row r="3342" spans="1:9" ht="16.5" x14ac:dyDescent="0.3">
      <c r="A3342" s="477">
        <v>-108380.76041251706</v>
      </c>
      <c r="B3342" s="458">
        <v>4.1099161773596071E-2</v>
      </c>
      <c r="C3342" s="477">
        <v>2701502.547732173</v>
      </c>
      <c r="D3342" s="458">
        <v>4.6950868369720844E-2</v>
      </c>
      <c r="E3342" s="477">
        <v>14094943.363013517</v>
      </c>
      <c r="F3342" s="458">
        <v>0.1050380791458132</v>
      </c>
      <c r="G3342" s="477">
        <v>83918312.099164084</v>
      </c>
      <c r="H3342" s="458">
        <v>0.26608645141097553</v>
      </c>
      <c r="I3342" s="468">
        <v>9.5095109857897633</v>
      </c>
    </row>
    <row r="3343" spans="1:9" ht="16.5" x14ac:dyDescent="0.3">
      <c r="A3343" s="477">
        <v>7746406.9286041185</v>
      </c>
      <c r="B3343" s="458">
        <v>3.8754362589624503E-2</v>
      </c>
      <c r="C3343" s="477">
        <v>12572642.018314399</v>
      </c>
      <c r="D3343" s="458">
        <v>6.6543838518926757E-2</v>
      </c>
      <c r="E3343" s="477">
        <v>22209767.987304822</v>
      </c>
      <c r="F3343" s="458">
        <v>0.11750128436344687</v>
      </c>
      <c r="G3343" s="477">
        <v>85362402.144470662</v>
      </c>
      <c r="H3343" s="458">
        <v>0.25550734215070836</v>
      </c>
      <c r="I3343" s="468">
        <v>16.005224260048731</v>
      </c>
    </row>
    <row r="3344" spans="1:9" ht="16.5" x14ac:dyDescent="0.3">
      <c r="A3344" s="477">
        <v>5090009.04668089</v>
      </c>
      <c r="B3344" s="458">
        <v>1.7484240306695709E-2</v>
      </c>
      <c r="C3344" s="477">
        <v>3829675.8429305563</v>
      </c>
      <c r="D3344" s="458">
        <v>6.3311409289788845E-2</v>
      </c>
      <c r="E3344" s="477">
        <v>19080980.592307776</v>
      </c>
      <c r="F3344" s="458">
        <v>0.10649658701098796</v>
      </c>
      <c r="G3344" s="477">
        <v>88743663.830119506</v>
      </c>
      <c r="H3344" s="458">
        <v>0.25698864116146591</v>
      </c>
      <c r="I3344" s="468">
        <v>12.58197104074155</v>
      </c>
    </row>
    <row r="3345" spans="1:9" ht="16.5" x14ac:dyDescent="0.3">
      <c r="A3345" s="477">
        <v>2904773.7264265036</v>
      </c>
      <c r="B3345" s="458">
        <v>2.9283382112402778E-2</v>
      </c>
      <c r="C3345" s="477">
        <v>11770942.000665506</v>
      </c>
      <c r="D3345" s="458">
        <v>7.0523613756910075E-2</v>
      </c>
      <c r="E3345" s="477">
        <v>13535191.413848594</v>
      </c>
      <c r="F3345" s="458">
        <v>6.7056240542106682E-2</v>
      </c>
      <c r="G3345" s="477">
        <v>80922667.508313701</v>
      </c>
      <c r="H3345" s="458">
        <v>0.25980831861088238</v>
      </c>
      <c r="I3345" s="468">
        <v>8.4232420772168357</v>
      </c>
    </row>
    <row r="3346" spans="1:9" ht="16.5" x14ac:dyDescent="0.3">
      <c r="A3346" s="477">
        <v>5062286.9623628156</v>
      </c>
      <c r="B3346" s="458">
        <v>3.7829783676786022E-2</v>
      </c>
      <c r="C3346" s="477">
        <v>6898007.4891083939</v>
      </c>
      <c r="D3346" s="458">
        <v>7.6315282184646893E-2</v>
      </c>
      <c r="E3346" s="477">
        <v>20936336.087302998</v>
      </c>
      <c r="F3346" s="458">
        <v>0.10647632532085693</v>
      </c>
      <c r="G3346" s="477">
        <v>88288702.617454901</v>
      </c>
      <c r="H3346" s="458">
        <v>0.26869869423728265</v>
      </c>
      <c r="I3346" s="468">
        <v>7.5650812564091634</v>
      </c>
    </row>
    <row r="3347" spans="1:9" ht="16.5" x14ac:dyDescent="0.3">
      <c r="A3347" s="477">
        <v>6915153.7398775984</v>
      </c>
      <c r="B3347" s="458">
        <v>3.5482074845657019E-2</v>
      </c>
      <c r="C3347" s="477">
        <v>14660538.930938819</v>
      </c>
      <c r="D3347" s="458">
        <v>6.0752749298617514E-2</v>
      </c>
      <c r="E3347" s="477">
        <v>20282810.719372235</v>
      </c>
      <c r="F3347" s="458">
        <v>0.13255829766962046</v>
      </c>
      <c r="G3347" s="477">
        <v>67310835.799246639</v>
      </c>
      <c r="H3347" s="458">
        <v>0.26904182721649272</v>
      </c>
      <c r="I3347" s="468">
        <v>11.811349143476168</v>
      </c>
    </row>
    <row r="3348" spans="1:9" ht="16.5" x14ac:dyDescent="0.3">
      <c r="A3348" s="477">
        <v>8252977.6765749687</v>
      </c>
      <c r="B3348" s="458">
        <v>2.758769755392998E-2</v>
      </c>
      <c r="C3348" s="477">
        <v>12585489.760782052</v>
      </c>
      <c r="D3348" s="458">
        <v>9.9216508517787627E-2</v>
      </c>
      <c r="E3348" s="477">
        <v>15490188.807920609</v>
      </c>
      <c r="F3348" s="458">
        <v>0.10520114931115065</v>
      </c>
      <c r="G3348" s="477">
        <v>98350500.967736781</v>
      </c>
      <c r="H3348" s="458">
        <v>0.24292394291272212</v>
      </c>
      <c r="I3348" s="468">
        <v>10.592818128321904</v>
      </c>
    </row>
    <row r="3349" spans="1:9" ht="16.5" x14ac:dyDescent="0.3">
      <c r="A3349" s="477">
        <v>6359946.1274627326</v>
      </c>
      <c r="B3349" s="458">
        <v>2.8260994967649555E-2</v>
      </c>
      <c r="C3349" s="477">
        <v>6166749.8710444402</v>
      </c>
      <c r="D3349" s="458">
        <v>8.3576434034667857E-2</v>
      </c>
      <c r="E3349" s="477">
        <v>11888359.363948802</v>
      </c>
      <c r="F3349" s="458">
        <v>0.1038875309898537</v>
      </c>
      <c r="G3349" s="477">
        <v>77915500.18017222</v>
      </c>
      <c r="H3349" s="458">
        <v>0.25453133742692624</v>
      </c>
      <c r="I3349" s="468">
        <v>10.444985950401552</v>
      </c>
    </row>
    <row r="3350" spans="1:9" ht="16.5" x14ac:dyDescent="0.3">
      <c r="A3350" s="477">
        <v>3546676.1132308356</v>
      </c>
      <c r="B3350" s="458">
        <v>4.649682348066575E-2</v>
      </c>
      <c r="C3350" s="477">
        <v>9278702.2559028044</v>
      </c>
      <c r="D3350" s="458">
        <v>4.8439862663560929E-2</v>
      </c>
      <c r="E3350" s="477">
        <v>11793457.890304318</v>
      </c>
      <c r="F3350" s="458">
        <v>0.10885629258035912</v>
      </c>
      <c r="G3350" s="477">
        <v>95959460.731621742</v>
      </c>
      <c r="H3350" s="458">
        <v>0.26732710166638696</v>
      </c>
      <c r="I3350" s="468">
        <v>11.666736087759084</v>
      </c>
    </row>
    <row r="3351" spans="1:9" ht="16.5" x14ac:dyDescent="0.3">
      <c r="A3351" s="477">
        <v>2363725.3097143811</v>
      </c>
      <c r="B3351" s="458">
        <v>4.5488614959484197E-2</v>
      </c>
      <c r="C3351" s="477">
        <v>17346783.30617854</v>
      </c>
      <c r="D3351" s="458">
        <v>7.8153425562248469E-2</v>
      </c>
      <c r="E3351" s="477">
        <v>23226789.259231631</v>
      </c>
      <c r="F3351" s="458">
        <v>0.11670132203830219</v>
      </c>
      <c r="G3351" s="477">
        <v>101087189.90268588</v>
      </c>
      <c r="H3351" s="458">
        <v>0.28649693824271849</v>
      </c>
      <c r="I3351" s="468">
        <v>7.9905795142689255</v>
      </c>
    </row>
    <row r="3352" spans="1:9" ht="16.5" x14ac:dyDescent="0.3">
      <c r="A3352" s="477">
        <v>2528176.0351929641</v>
      </c>
      <c r="B3352" s="458">
        <v>3.7078002812505062E-2</v>
      </c>
      <c r="C3352" s="477">
        <v>8689948.1120841913</v>
      </c>
      <c r="D3352" s="458">
        <v>5.0558278054067651E-2</v>
      </c>
      <c r="E3352" s="477">
        <v>18702901.246734161</v>
      </c>
      <c r="F3352" s="458">
        <v>9.4759666243786844E-2</v>
      </c>
      <c r="G3352" s="477">
        <v>91506671.564860821</v>
      </c>
      <c r="H3352" s="458">
        <v>0.28556018164415464</v>
      </c>
      <c r="I3352" s="468">
        <v>4.6733473005497137</v>
      </c>
    </row>
    <row r="3353" spans="1:9" ht="16.5" x14ac:dyDescent="0.3">
      <c r="A3353" s="477">
        <v>2942043.3683548225</v>
      </c>
      <c r="B3353" s="458">
        <v>3.9584094670413128E-2</v>
      </c>
      <c r="C3353" s="477">
        <v>5460047.9514763383</v>
      </c>
      <c r="D3353" s="458">
        <v>9.186700824877958E-2</v>
      </c>
      <c r="E3353" s="477">
        <v>15370311.109193254</v>
      </c>
      <c r="F3353" s="458">
        <v>9.019668305807893E-2</v>
      </c>
      <c r="G3353" s="477">
        <v>86964028.7074233</v>
      </c>
      <c r="H3353" s="458">
        <v>0.25858423086164173</v>
      </c>
      <c r="I3353" s="468">
        <v>16.10437226534625</v>
      </c>
    </row>
    <row r="3354" spans="1:9" ht="16.5" x14ac:dyDescent="0.3">
      <c r="A3354" s="477">
        <v>3349559.5297751059</v>
      </c>
      <c r="B3354" s="458">
        <v>1.7849808507649501E-2</v>
      </c>
      <c r="C3354" s="477">
        <v>14767697.973719366</v>
      </c>
      <c r="D3354" s="458">
        <v>5.9712624767670253E-2</v>
      </c>
      <c r="E3354" s="477">
        <v>19722590.754074667</v>
      </c>
      <c r="F3354" s="458">
        <v>9.5236760907909224E-2</v>
      </c>
      <c r="G3354" s="477">
        <v>98469796.58310087</v>
      </c>
      <c r="H3354" s="458">
        <v>0.25502621456278041</v>
      </c>
      <c r="I3354" s="468">
        <v>4.9178939890427227</v>
      </c>
    </row>
    <row r="3355" spans="1:9" ht="16.5" x14ac:dyDescent="0.3">
      <c r="A3355" s="477">
        <v>6146932.1688692896</v>
      </c>
      <c r="B3355" s="458">
        <v>6.7061285535978454E-2</v>
      </c>
      <c r="C3355" s="477">
        <v>6031889.6793238539</v>
      </c>
      <c r="D3355" s="458">
        <v>4.3442128665493129E-2</v>
      </c>
      <c r="E3355" s="477">
        <v>16967148.461752698</v>
      </c>
      <c r="F3355" s="458">
        <v>0.10115161300029607</v>
      </c>
      <c r="G3355" s="477">
        <v>87050424.649503946</v>
      </c>
      <c r="H3355" s="458">
        <v>0.26015458961777216</v>
      </c>
      <c r="I3355" s="468">
        <v>1.9826075234434342</v>
      </c>
    </row>
    <row r="3356" spans="1:9" ht="16.5" x14ac:dyDescent="0.3">
      <c r="A3356" s="477">
        <v>2629221.5542270173</v>
      </c>
      <c r="B3356" s="458">
        <v>5.4116786136342299E-2</v>
      </c>
      <c r="C3356" s="477">
        <v>13112559.066840498</v>
      </c>
      <c r="D3356" s="458">
        <v>6.5002034618703686E-2</v>
      </c>
      <c r="E3356" s="477">
        <v>9009658.7578102276</v>
      </c>
      <c r="F3356" s="458">
        <v>8.6664941609746915E-2</v>
      </c>
      <c r="G3356" s="477">
        <v>97968984.940793395</v>
      </c>
      <c r="H3356" s="458">
        <v>0.27268375748385654</v>
      </c>
      <c r="I3356" s="468">
        <v>8.6585794319917273</v>
      </c>
    </row>
    <row r="3357" spans="1:9" ht="16.5" x14ac:dyDescent="0.3">
      <c r="A3357" s="477">
        <v>7372495.6213398278</v>
      </c>
      <c r="B3357" s="458">
        <v>4.4780441678696326E-2</v>
      </c>
      <c r="C3357" s="477">
        <v>5766320.9314333033</v>
      </c>
      <c r="D3357" s="458">
        <v>5.9484689361680276E-2</v>
      </c>
      <c r="E3357" s="477">
        <v>13657298.145583656</v>
      </c>
      <c r="F3357" s="458">
        <v>0.10264844202058798</v>
      </c>
      <c r="G3357" s="477">
        <v>93072166.185998425</v>
      </c>
      <c r="H3357" s="458">
        <v>0.27398911076352728</v>
      </c>
      <c r="I3357" s="468">
        <v>2.9046775724440179</v>
      </c>
    </row>
    <row r="3358" spans="1:9" ht="16.5" x14ac:dyDescent="0.3">
      <c r="A3358" s="477">
        <v>8340088.9678179426</v>
      </c>
      <c r="B3358" s="458">
        <v>5.0103701362258946E-2</v>
      </c>
      <c r="C3358" s="477">
        <v>11816653.277079055</v>
      </c>
      <c r="D3358" s="458">
        <v>8.5521765676591643E-2</v>
      </c>
      <c r="E3358" s="477">
        <v>14897638.302682202</v>
      </c>
      <c r="F3358" s="458">
        <v>0.10284928335736865</v>
      </c>
      <c r="G3358" s="477">
        <v>74955539.599282384</v>
      </c>
      <c r="H3358" s="458">
        <v>0.28435359261991722</v>
      </c>
      <c r="I3358" s="468">
        <v>8.751649097704739</v>
      </c>
    </row>
    <row r="3359" spans="1:9" ht="16.5" x14ac:dyDescent="0.3">
      <c r="A3359" s="477">
        <v>6366455.2548741428</v>
      </c>
      <c r="B3359" s="458">
        <v>4.5136074460456754E-2</v>
      </c>
      <c r="C3359" s="477">
        <v>4099528.78145546</v>
      </c>
      <c r="D3359" s="458">
        <v>4.2470872584249753E-2</v>
      </c>
      <c r="E3359" s="477">
        <v>19323498.96966162</v>
      </c>
      <c r="F3359" s="458">
        <v>0.12245466078737199</v>
      </c>
      <c r="G3359" s="477">
        <v>76513290.205697894</v>
      </c>
      <c r="H3359" s="458">
        <v>0.26570395343061559</v>
      </c>
      <c r="I3359" s="468">
        <v>11.807711622652608</v>
      </c>
    </row>
    <row r="3360" spans="1:9" ht="16.5" x14ac:dyDescent="0.3">
      <c r="A3360" s="477">
        <v>1127291.6534649462</v>
      </c>
      <c r="B3360" s="458">
        <v>5.0326892066641093E-2</v>
      </c>
      <c r="C3360" s="477">
        <v>7857933.9724255409</v>
      </c>
      <c r="D3360" s="458">
        <v>5.3597152075850474E-2</v>
      </c>
      <c r="E3360" s="477">
        <v>16642384.083634155</v>
      </c>
      <c r="F3360" s="458">
        <v>0.12975997530032912</v>
      </c>
      <c r="G3360" s="477">
        <v>74460004.484317496</v>
      </c>
      <c r="H3360" s="458">
        <v>0.26187077206579823</v>
      </c>
      <c r="I3360" s="468">
        <v>15.212617058887655</v>
      </c>
    </row>
    <row r="3361" spans="1:9" ht="16.5" x14ac:dyDescent="0.3">
      <c r="A3361" s="477">
        <v>1028638.2821566754</v>
      </c>
      <c r="B3361" s="458">
        <v>2.9742432553776732E-2</v>
      </c>
      <c r="C3361" s="477">
        <v>6238575.93978847</v>
      </c>
      <c r="D3361" s="458">
        <v>4.5292793522501151E-2</v>
      </c>
      <c r="E3361" s="477">
        <v>13863606.837251985</v>
      </c>
      <c r="F3361" s="458">
        <v>0.10691144775253814</v>
      </c>
      <c r="G3361" s="477">
        <v>84507116.959455833</v>
      </c>
      <c r="H3361" s="458">
        <v>0.27048091430677945</v>
      </c>
      <c r="I3361" s="468">
        <v>5.1427906349777146</v>
      </c>
    </row>
    <row r="3362" spans="1:9" ht="16.5" x14ac:dyDescent="0.3">
      <c r="A3362" s="477">
        <v>7032041.0739462711</v>
      </c>
      <c r="B3362" s="458">
        <v>5.0817121276792498E-2</v>
      </c>
      <c r="C3362" s="477">
        <v>4313084.518475634</v>
      </c>
      <c r="D3362" s="458">
        <v>5.6091404710421067E-2</v>
      </c>
      <c r="E3362" s="477">
        <v>15817555.818516189</v>
      </c>
      <c r="F3362" s="458">
        <v>9.0882424609221468E-2</v>
      </c>
      <c r="G3362" s="477">
        <v>101455561.12053378</v>
      </c>
      <c r="H3362" s="458">
        <v>0.26764438849037564</v>
      </c>
      <c r="I3362" s="468">
        <v>10.465893487285806</v>
      </c>
    </row>
    <row r="3363" spans="1:9" ht="16.5" x14ac:dyDescent="0.3">
      <c r="A3363" s="477">
        <v>4736482.2124848189</v>
      </c>
      <c r="B3363" s="458">
        <v>4.1839738119463066E-2</v>
      </c>
      <c r="C3363" s="477">
        <v>9903762.9218120798</v>
      </c>
      <c r="D3363" s="458">
        <v>4.583918535036946E-2</v>
      </c>
      <c r="E3363" s="477">
        <v>7951364.8177591339</v>
      </c>
      <c r="F3363" s="458">
        <v>8.8883836891403556E-2</v>
      </c>
      <c r="G3363" s="477">
        <v>89531508.012473658</v>
      </c>
      <c r="H3363" s="458">
        <v>0.25894376622260262</v>
      </c>
      <c r="I3363" s="468">
        <v>8.6180966759996007</v>
      </c>
    </row>
    <row r="3364" spans="1:9" ht="16.5" x14ac:dyDescent="0.3">
      <c r="A3364" s="477">
        <v>6088073.7369044824</v>
      </c>
      <c r="B3364" s="458">
        <v>8.1920241871619393E-2</v>
      </c>
      <c r="C3364" s="477">
        <v>11337472.031860242</v>
      </c>
      <c r="D3364" s="458">
        <v>8.5567006295133918E-2</v>
      </c>
      <c r="E3364" s="477">
        <v>12237149.897970406</v>
      </c>
      <c r="F3364" s="458">
        <v>8.7117063534218664E-2</v>
      </c>
      <c r="G3364" s="477">
        <v>85472523.259251013</v>
      </c>
      <c r="H3364" s="458">
        <v>0.27510979330376162</v>
      </c>
      <c r="I3364" s="468">
        <v>1.1632863902227575</v>
      </c>
    </row>
    <row r="3365" spans="1:9" ht="16.5" x14ac:dyDescent="0.3">
      <c r="A3365" s="477">
        <v>621808.52087608632</v>
      </c>
      <c r="B3365" s="458">
        <v>5.7977211396542438E-2</v>
      </c>
      <c r="C3365" s="477">
        <v>14208206.63080954</v>
      </c>
      <c r="D3365" s="458">
        <v>5.5275003432200265E-2</v>
      </c>
      <c r="E3365" s="477">
        <v>22804575.481501915</v>
      </c>
      <c r="F3365" s="458">
        <v>0.13043719237197204</v>
      </c>
      <c r="G3365" s="477">
        <v>92379507.969747737</v>
      </c>
      <c r="H3365" s="458">
        <v>0.28481468749216265</v>
      </c>
      <c r="I3365" s="468">
        <v>5.7960740145282843</v>
      </c>
    </row>
    <row r="3366" spans="1:9" ht="16.5" x14ac:dyDescent="0.3">
      <c r="A3366" s="477">
        <v>8620854.3520988263</v>
      </c>
      <c r="B3366" s="458">
        <v>3.9031881354093745E-2</v>
      </c>
      <c r="C3366" s="477">
        <v>5072109.2090840135</v>
      </c>
      <c r="D3366" s="458">
        <v>5.6850080395493219E-2</v>
      </c>
      <c r="E3366" s="477">
        <v>17770237.305684231</v>
      </c>
      <c r="F3366" s="458">
        <v>0.14068776821415896</v>
      </c>
      <c r="G3366" s="477">
        <v>99306225.078466162</v>
      </c>
      <c r="H3366" s="458">
        <v>0.27298948266511003</v>
      </c>
      <c r="I3366" s="468">
        <v>13.908921484259199</v>
      </c>
    </row>
    <row r="3367" spans="1:9" ht="16.5" x14ac:dyDescent="0.3">
      <c r="A3367" s="477">
        <v>6739121.6382873477</v>
      </c>
      <c r="B3367" s="458">
        <v>3.4131255612382505E-2</v>
      </c>
      <c r="C3367" s="477">
        <v>8004151.3856665501</v>
      </c>
      <c r="D3367" s="458">
        <v>7.7713260736051559E-2</v>
      </c>
      <c r="E3367" s="477">
        <v>16892648.391933925</v>
      </c>
      <c r="F3367" s="458">
        <v>0.11704809534960403</v>
      </c>
      <c r="G3367" s="477">
        <v>89290057.265208706</v>
      </c>
      <c r="H3367" s="458">
        <v>0.26661504302927996</v>
      </c>
      <c r="I3367" s="468">
        <v>3.85025683174044</v>
      </c>
    </row>
    <row r="3368" spans="1:9" ht="16.5" x14ac:dyDescent="0.3">
      <c r="A3368" s="477">
        <v>-1850275.8330663452</v>
      </c>
      <c r="B3368" s="458">
        <v>4.7789508259880265E-2</v>
      </c>
      <c r="C3368" s="477">
        <v>9981701.3256083354</v>
      </c>
      <c r="D3368" s="458">
        <v>6.3123498105936315E-2</v>
      </c>
      <c r="E3368" s="477">
        <v>21092326.429094855</v>
      </c>
      <c r="F3368" s="458">
        <v>0.10779317913297648</v>
      </c>
      <c r="G3368" s="477">
        <v>95196146.844375372</v>
      </c>
      <c r="H3368" s="458">
        <v>0.27351754074261536</v>
      </c>
      <c r="I3368" s="468">
        <v>3.062445309240859</v>
      </c>
    </row>
    <row r="3369" spans="1:9" ht="16.5" x14ac:dyDescent="0.3">
      <c r="A3369" s="477">
        <v>2816229.806169657</v>
      </c>
      <c r="B3369" s="458">
        <v>1.6274719976164143E-2</v>
      </c>
      <c r="C3369" s="477">
        <v>10890609.590464687</v>
      </c>
      <c r="D3369" s="458">
        <v>6.4345606175729486E-2</v>
      </c>
      <c r="E3369" s="477">
        <v>9756877.3461172469</v>
      </c>
      <c r="F3369" s="458">
        <v>0.10244621190148218</v>
      </c>
      <c r="G3369" s="477">
        <v>83993056.692838073</v>
      </c>
      <c r="H3369" s="458">
        <v>0.26570367467813383</v>
      </c>
      <c r="I3369" s="468">
        <v>6.6657054196803847</v>
      </c>
    </row>
    <row r="3370" spans="1:9" ht="16.5" x14ac:dyDescent="0.3">
      <c r="A3370" s="477">
        <v>9107733.2769698277</v>
      </c>
      <c r="B3370" s="458">
        <v>2.1446842485407958E-2</v>
      </c>
      <c r="C3370" s="477">
        <v>15168064.383546825</v>
      </c>
      <c r="D3370" s="458">
        <v>7.0105336389369333E-2</v>
      </c>
      <c r="E3370" s="477">
        <v>16888777.574850582</v>
      </c>
      <c r="F3370" s="458">
        <v>0.10701079923842438</v>
      </c>
      <c r="G3370" s="477">
        <v>86986864.586634547</v>
      </c>
      <c r="H3370" s="458">
        <v>0.27972565018296169</v>
      </c>
      <c r="I3370" s="468">
        <v>5.0828725999286721</v>
      </c>
    </row>
    <row r="3371" spans="1:9" ht="16.5" x14ac:dyDescent="0.3">
      <c r="A3371" s="477">
        <v>5125510.4867855711</v>
      </c>
      <c r="B3371" s="458">
        <v>3.2870977811015889E-2</v>
      </c>
      <c r="C3371" s="477">
        <v>6273052.8122412544</v>
      </c>
      <c r="D3371" s="458">
        <v>7.3638531150538755E-2</v>
      </c>
      <c r="E3371" s="477">
        <v>17864540.171618342</v>
      </c>
      <c r="F3371" s="458">
        <v>9.547618387250667E-2</v>
      </c>
      <c r="G3371" s="477">
        <v>84770480.335055232</v>
      </c>
      <c r="H3371" s="458">
        <v>0.27241322626362008</v>
      </c>
      <c r="I3371" s="468">
        <v>7.2364908363422877</v>
      </c>
    </row>
    <row r="3372" spans="1:9" ht="16.5" x14ac:dyDescent="0.3">
      <c r="A3372" s="477">
        <v>4976413.5339600518</v>
      </c>
      <c r="B3372" s="458">
        <v>4.7790025954345783E-2</v>
      </c>
      <c r="C3372" s="477">
        <v>3519968.0034836759</v>
      </c>
      <c r="D3372" s="458">
        <v>0.11666524095742403</v>
      </c>
      <c r="E3372" s="477">
        <v>16813123.082859393</v>
      </c>
      <c r="F3372" s="458">
        <v>0.11388855882970916</v>
      </c>
      <c r="G3372" s="477">
        <v>80434292.572423652</v>
      </c>
      <c r="H3372" s="458">
        <v>0.25485312988117004</v>
      </c>
      <c r="I3372" s="468">
        <v>5.7233987376481794</v>
      </c>
    </row>
    <row r="3373" spans="1:9" ht="16.5" x14ac:dyDescent="0.3">
      <c r="A3373" s="477">
        <v>4468925.4804147752</v>
      </c>
      <c r="B3373" s="458">
        <v>2.7612770436162837E-2</v>
      </c>
      <c r="C3373" s="477">
        <v>15207657.321382448</v>
      </c>
      <c r="D3373" s="458">
        <v>8.3225036553960852E-2</v>
      </c>
      <c r="E3373" s="477">
        <v>16363668.958341699</v>
      </c>
      <c r="F3373" s="458">
        <v>9.9109781445241962E-2</v>
      </c>
      <c r="G3373" s="477">
        <v>97139859.924647406</v>
      </c>
      <c r="H3373" s="458">
        <v>0.27234047925118943</v>
      </c>
      <c r="I3373" s="468">
        <v>7.9258139238844381</v>
      </c>
    </row>
    <row r="3374" spans="1:9" ht="16.5" x14ac:dyDescent="0.3">
      <c r="A3374" s="477">
        <v>4660351.7509763474</v>
      </c>
      <c r="B3374" s="458">
        <v>4.2425109404314654E-2</v>
      </c>
      <c r="C3374" s="477">
        <v>14139126.265531817</v>
      </c>
      <c r="D3374" s="458">
        <v>6.4050546426572819E-2</v>
      </c>
      <c r="E3374" s="477">
        <v>14349268.363488184</v>
      </c>
      <c r="F3374" s="458">
        <v>7.8641577340313518E-2</v>
      </c>
      <c r="G3374" s="477">
        <v>95239817.207007989</v>
      </c>
      <c r="H3374" s="458">
        <v>0.29764330356103064</v>
      </c>
      <c r="I3374" s="468">
        <v>5.333192235527493</v>
      </c>
    </row>
    <row r="3375" spans="1:9" ht="16.5" x14ac:dyDescent="0.3">
      <c r="A3375" s="477">
        <v>2859659.6753651421</v>
      </c>
      <c r="B3375" s="458">
        <v>3.7919896932248509E-2</v>
      </c>
      <c r="C3375" s="477">
        <v>7691922.2540758615</v>
      </c>
      <c r="D3375" s="458">
        <v>4.8479852664656597E-2</v>
      </c>
      <c r="E3375" s="477">
        <v>18250117.34976225</v>
      </c>
      <c r="F3375" s="458">
        <v>0.10230425246187136</v>
      </c>
      <c r="G3375" s="477">
        <v>72719755.124813259</v>
      </c>
      <c r="H3375" s="458">
        <v>0.25903519309866629</v>
      </c>
      <c r="I3375" s="468">
        <v>7.4122312145993057</v>
      </c>
    </row>
    <row r="3376" spans="1:9" ht="16.5" x14ac:dyDescent="0.3">
      <c r="A3376" s="477">
        <v>9975589.5983580127</v>
      </c>
      <c r="B3376" s="458">
        <v>3.9936638833670157E-2</v>
      </c>
      <c r="C3376" s="477">
        <v>9346840.081748955</v>
      </c>
      <c r="D3376" s="458">
        <v>6.023427246548807E-2</v>
      </c>
      <c r="E3376" s="477">
        <v>20858446.011398695</v>
      </c>
      <c r="F3376" s="458">
        <v>0.11207366433863597</v>
      </c>
      <c r="G3376" s="477">
        <v>87479637.764844805</v>
      </c>
      <c r="H3376" s="458">
        <v>0.27595151595941281</v>
      </c>
      <c r="I3376" s="468">
        <v>7.0120164242945497</v>
      </c>
    </row>
    <row r="3377" spans="1:9" ht="16.5" x14ac:dyDescent="0.3">
      <c r="A3377" s="477">
        <v>1810940.5476615902</v>
      </c>
      <c r="B3377" s="458">
        <v>2.4615340048838252E-2</v>
      </c>
      <c r="C3377" s="477">
        <v>6231215.0046678213</v>
      </c>
      <c r="D3377" s="458">
        <v>9.2652901448275538E-2</v>
      </c>
      <c r="E3377" s="477">
        <v>6059773.4411340095</v>
      </c>
      <c r="F3377" s="458">
        <v>0.10772826713580996</v>
      </c>
      <c r="G3377" s="477">
        <v>93816649.145348325</v>
      </c>
      <c r="H3377" s="458">
        <v>0.27197760013832584</v>
      </c>
      <c r="I3377" s="468">
        <v>7.9281568095204253</v>
      </c>
    </row>
    <row r="3378" spans="1:9" ht="16.5" x14ac:dyDescent="0.3">
      <c r="A3378" s="477">
        <v>4190483.2210740028</v>
      </c>
      <c r="B3378" s="458">
        <v>3.7701379459239126E-2</v>
      </c>
      <c r="C3378" s="477">
        <v>13418385.483743185</v>
      </c>
      <c r="D3378" s="458">
        <v>8.5636599747107578E-2</v>
      </c>
      <c r="E3378" s="477">
        <v>22992097.91904388</v>
      </c>
      <c r="F3378" s="458">
        <v>9.3353248077050921E-2</v>
      </c>
      <c r="G3378" s="477">
        <v>81372004.141418785</v>
      </c>
      <c r="H3378" s="458">
        <v>0.24929690920326641</v>
      </c>
      <c r="I3378" s="468">
        <v>11.714595896537515</v>
      </c>
    </row>
    <row r="3379" spans="1:9" ht="16.5" x14ac:dyDescent="0.3">
      <c r="A3379" s="477">
        <v>1104547.6000297291</v>
      </c>
      <c r="B3379" s="458">
        <v>4.2632558508717722E-2</v>
      </c>
      <c r="C3379" s="477">
        <v>12394172.321976142</v>
      </c>
      <c r="D3379" s="458">
        <v>8.5602246892208189E-2</v>
      </c>
      <c r="E3379" s="477">
        <v>19136390.129113153</v>
      </c>
      <c r="F3379" s="458">
        <v>0.11966391052615832</v>
      </c>
      <c r="G3379" s="477">
        <v>88977212.923187435</v>
      </c>
      <c r="H3379" s="458">
        <v>0.26857080597744432</v>
      </c>
      <c r="I3379" s="468">
        <v>8.2462535609730541</v>
      </c>
    </row>
    <row r="3380" spans="1:9" ht="16.5" x14ac:dyDescent="0.3">
      <c r="A3380" s="477">
        <v>3611619.5153044998</v>
      </c>
      <c r="B3380" s="458">
        <v>5.8440347943436555E-2</v>
      </c>
      <c r="C3380" s="477">
        <v>11074065.719109382</v>
      </c>
      <c r="D3380" s="458">
        <v>5.0468140643639803E-2</v>
      </c>
      <c r="E3380" s="477">
        <v>19111191.581849642</v>
      </c>
      <c r="F3380" s="458">
        <v>7.3226358148996473E-2</v>
      </c>
      <c r="G3380" s="477">
        <v>86542201.99316667</v>
      </c>
      <c r="H3380" s="458">
        <v>0.25653822370142487</v>
      </c>
      <c r="I3380" s="468">
        <v>2.8235547106666452</v>
      </c>
    </row>
    <row r="3381" spans="1:9" ht="16.5" x14ac:dyDescent="0.3">
      <c r="A3381" s="477">
        <v>4300965.9047736507</v>
      </c>
      <c r="B3381" s="458">
        <v>5.5841119763830438E-2</v>
      </c>
      <c r="C3381" s="477">
        <v>10663928.469158662</v>
      </c>
      <c r="D3381" s="458">
        <v>6.6582769869334424E-2</v>
      </c>
      <c r="E3381" s="477">
        <v>9734469.937479591</v>
      </c>
      <c r="F3381" s="458">
        <v>9.7305990468251169E-2</v>
      </c>
      <c r="G3381" s="477">
        <v>75130645.438805372</v>
      </c>
      <c r="H3381" s="458">
        <v>0.25304011641097479</v>
      </c>
      <c r="I3381" s="468">
        <v>18.042374618273584</v>
      </c>
    </row>
    <row r="3382" spans="1:9" ht="16.5" x14ac:dyDescent="0.3">
      <c r="A3382" s="477">
        <v>262202.418494365</v>
      </c>
      <c r="B3382" s="458">
        <v>3.916289319053412E-2</v>
      </c>
      <c r="C3382" s="477">
        <v>7179795.4236581381</v>
      </c>
      <c r="D3382" s="458">
        <v>7.9692149509328347E-2</v>
      </c>
      <c r="E3382" s="477">
        <v>8188586.9201108171</v>
      </c>
      <c r="F3382" s="458">
        <v>0.1514213648330236</v>
      </c>
      <c r="G3382" s="477">
        <v>84438513.117707521</v>
      </c>
      <c r="H3382" s="458">
        <v>0.30667765608779796</v>
      </c>
      <c r="I3382" s="468">
        <v>8.8601306333737195</v>
      </c>
    </row>
    <row r="3383" spans="1:9" ht="16.5" x14ac:dyDescent="0.3">
      <c r="A3383" s="477">
        <v>4070076.5518473415</v>
      </c>
      <c r="B3383" s="458">
        <v>6.0725496270912283E-2</v>
      </c>
      <c r="C3383" s="477">
        <v>15554776.564085087</v>
      </c>
      <c r="D3383" s="458">
        <v>7.6936770609591587E-2</v>
      </c>
      <c r="E3383" s="477">
        <v>9183054.5786905065</v>
      </c>
      <c r="F3383" s="458">
        <v>9.667477192140761E-2</v>
      </c>
      <c r="G3383" s="477">
        <v>85738554.624596357</v>
      </c>
      <c r="H3383" s="458">
        <v>0.29704879725934297</v>
      </c>
      <c r="I3383" s="468">
        <v>6.0887792693339193</v>
      </c>
    </row>
    <row r="3384" spans="1:9" ht="16.5" x14ac:dyDescent="0.3">
      <c r="A3384" s="477">
        <v>3733149.0484899301</v>
      </c>
      <c r="B3384" s="458">
        <v>1.200070607769077E-2</v>
      </c>
      <c r="C3384" s="477">
        <v>10957159.983261174</v>
      </c>
      <c r="D3384" s="458">
        <v>7.015412203448057E-2</v>
      </c>
      <c r="E3384" s="477">
        <v>19567344.801269766</v>
      </c>
      <c r="F3384" s="458">
        <v>9.6127642964548565E-2</v>
      </c>
      <c r="G3384" s="477">
        <v>95837028.299580395</v>
      </c>
      <c r="H3384" s="458">
        <v>0.28135485710002839</v>
      </c>
      <c r="I3384" s="468">
        <v>-0.16574008986086142</v>
      </c>
    </row>
    <row r="3385" spans="1:9" ht="16.5" x14ac:dyDescent="0.3">
      <c r="A3385" s="477">
        <v>2025526.8881424605</v>
      </c>
      <c r="B3385" s="458">
        <v>4.4457197949447691E-2</v>
      </c>
      <c r="C3385" s="477">
        <v>13064445.4561192</v>
      </c>
      <c r="D3385" s="458">
        <v>6.9505716029955478E-2</v>
      </c>
      <c r="E3385" s="477">
        <v>11731819.902645836</v>
      </c>
      <c r="F3385" s="458">
        <v>9.0435312773528009E-2</v>
      </c>
      <c r="G3385" s="477">
        <v>90113400.563680828</v>
      </c>
      <c r="H3385" s="458">
        <v>0.27843987284154581</v>
      </c>
      <c r="I3385" s="468">
        <v>6.1314121917982076</v>
      </c>
    </row>
    <row r="3386" spans="1:9" ht="16.5" x14ac:dyDescent="0.3">
      <c r="A3386" s="477">
        <v>3817310.6668549171</v>
      </c>
      <c r="B3386" s="458">
        <v>2.890416739254964E-2</v>
      </c>
      <c r="C3386" s="477">
        <v>13460089.904293649</v>
      </c>
      <c r="D3386" s="458">
        <v>6.7701684195799361E-2</v>
      </c>
      <c r="E3386" s="477">
        <v>15191140.507484673</v>
      </c>
      <c r="F3386" s="458">
        <v>0.11528209572966208</v>
      </c>
      <c r="G3386" s="477">
        <v>101961981.20409077</v>
      </c>
      <c r="H3386" s="458">
        <v>0.28804320475894274</v>
      </c>
      <c r="I3386" s="468">
        <v>6.7745494641949939</v>
      </c>
    </row>
    <row r="3387" spans="1:9" ht="16.5" x14ac:dyDescent="0.3">
      <c r="A3387" s="477">
        <v>6539594.5118876221</v>
      </c>
      <c r="B3387" s="458">
        <v>4.4359456569456945E-2</v>
      </c>
      <c r="C3387" s="477">
        <v>10279120.426116606</v>
      </c>
      <c r="D3387" s="458">
        <v>6.0950301414840258E-2</v>
      </c>
      <c r="E3387" s="477">
        <v>14501846.813898349</v>
      </c>
      <c r="F3387" s="458">
        <v>0.1117291868314263</v>
      </c>
      <c r="G3387" s="477">
        <v>83588912.557667762</v>
      </c>
      <c r="H3387" s="458">
        <v>0.27551561391844936</v>
      </c>
      <c r="I3387" s="468">
        <v>11.476915597846368</v>
      </c>
    </row>
    <row r="3388" spans="1:9" ht="16.5" x14ac:dyDescent="0.3">
      <c r="A3388" s="477">
        <v>6735276.1557957381</v>
      </c>
      <c r="B3388" s="458">
        <v>3.7953433828767924E-2</v>
      </c>
      <c r="C3388" s="477">
        <v>9343957.1751550715</v>
      </c>
      <c r="D3388" s="458">
        <v>5.7445952124140387E-2</v>
      </c>
      <c r="E3388" s="477">
        <v>21582847.886873513</v>
      </c>
      <c r="F3388" s="458">
        <v>7.8863008464169937E-2</v>
      </c>
      <c r="G3388" s="477">
        <v>78235126.934488729</v>
      </c>
      <c r="H3388" s="458">
        <v>0.26437632497654451</v>
      </c>
      <c r="I3388" s="468">
        <v>10.43940523064947</v>
      </c>
    </row>
    <row r="3389" spans="1:9" ht="16.5" x14ac:dyDescent="0.3">
      <c r="A3389" s="477">
        <v>1986305.3162288943</v>
      </c>
      <c r="B3389" s="458">
        <v>3.8114516611374549E-2</v>
      </c>
      <c r="C3389" s="477">
        <v>1924139.4556787009</v>
      </c>
      <c r="D3389" s="458">
        <v>2.7613027312632266E-2</v>
      </c>
      <c r="E3389" s="477">
        <v>10771828.901738444</v>
      </c>
      <c r="F3389" s="458">
        <v>0.11819445210044144</v>
      </c>
      <c r="G3389" s="477">
        <v>107672883.1123458</v>
      </c>
      <c r="H3389" s="458">
        <v>0.272268378357305</v>
      </c>
      <c r="I3389" s="468">
        <v>7.6928157050608004</v>
      </c>
    </row>
    <row r="3390" spans="1:9" ht="16.5" x14ac:dyDescent="0.3">
      <c r="A3390" s="477">
        <v>8170649.7670106543</v>
      </c>
      <c r="B3390" s="458">
        <v>5.8225075933455051E-2</v>
      </c>
      <c r="C3390" s="477">
        <v>8987552.7915634196</v>
      </c>
      <c r="D3390" s="458">
        <v>4.1028508060136692E-2</v>
      </c>
      <c r="E3390" s="477">
        <v>22341161.626129679</v>
      </c>
      <c r="F3390" s="458">
        <v>8.7912540508646275E-2</v>
      </c>
      <c r="G3390" s="477">
        <v>94361291.409126654</v>
      </c>
      <c r="H3390" s="458">
        <v>0.26204235307785195</v>
      </c>
      <c r="I3390" s="468">
        <v>3.8972474972576272</v>
      </c>
    </row>
    <row r="3391" spans="1:9" ht="16.5" x14ac:dyDescent="0.3">
      <c r="A3391" s="477">
        <v>-378734.55921170331</v>
      </c>
      <c r="B3391" s="458">
        <v>2.9576547715869594E-2</v>
      </c>
      <c r="C3391" s="477">
        <v>2802563.314450541</v>
      </c>
      <c r="D3391" s="458">
        <v>4.9623896243177645E-2</v>
      </c>
      <c r="E3391" s="477">
        <v>10434768.419605192</v>
      </c>
      <c r="F3391" s="458">
        <v>0.13051746095775574</v>
      </c>
      <c r="G3391" s="477">
        <v>79284668.117808416</v>
      </c>
      <c r="H3391" s="458">
        <v>0.28722064186501606</v>
      </c>
      <c r="I3391" s="468">
        <v>9.1527391298169434</v>
      </c>
    </row>
    <row r="3392" spans="1:9" ht="16.5" x14ac:dyDescent="0.3">
      <c r="A3392" s="477">
        <v>5220721.2513840981</v>
      </c>
      <c r="B3392" s="458">
        <v>3.174441552258922E-2</v>
      </c>
      <c r="C3392" s="477">
        <v>12840399.318698274</v>
      </c>
      <c r="D3392" s="458">
        <v>6.4435083326813025E-2</v>
      </c>
      <c r="E3392" s="477">
        <v>11261088.655734938</v>
      </c>
      <c r="F3392" s="458">
        <v>9.2622037198613061E-2</v>
      </c>
      <c r="G3392" s="477">
        <v>98670683.00816144</v>
      </c>
      <c r="H3392" s="458">
        <v>0.26274278840455656</v>
      </c>
      <c r="I3392" s="468">
        <v>5.8530698575899471</v>
      </c>
    </row>
    <row r="3393" spans="1:9" ht="16.5" x14ac:dyDescent="0.3">
      <c r="A3393" s="477">
        <v>4895133.0724972012</v>
      </c>
      <c r="B3393" s="458">
        <v>3.096312850286842E-2</v>
      </c>
      <c r="C3393" s="477">
        <v>4977552.0818919661</v>
      </c>
      <c r="D3393" s="458">
        <v>8.8312750434382359E-2</v>
      </c>
      <c r="E3393" s="477">
        <v>10398017.228662744</v>
      </c>
      <c r="F3393" s="458">
        <v>0.10828257562250254</v>
      </c>
      <c r="G3393" s="477">
        <v>96601672.131611615</v>
      </c>
      <c r="H3393" s="458">
        <v>0.27481615439581897</v>
      </c>
      <c r="I3393" s="468">
        <v>3.8906690701760596</v>
      </c>
    </row>
    <row r="3394" spans="1:9" ht="16.5" x14ac:dyDescent="0.3">
      <c r="A3394" s="477">
        <v>9423448.1946707647</v>
      </c>
      <c r="B3394" s="458">
        <v>5.9952318201023536E-2</v>
      </c>
      <c r="C3394" s="477">
        <v>8949260.422448149</v>
      </c>
      <c r="D3394" s="458">
        <v>7.0336181866782033E-2</v>
      </c>
      <c r="E3394" s="477">
        <v>18888163.675725345</v>
      </c>
      <c r="F3394" s="458">
        <v>0.13276530151380528</v>
      </c>
      <c r="G3394" s="477">
        <v>92492047.083992437</v>
      </c>
      <c r="H3394" s="458">
        <v>0.28316016137007649</v>
      </c>
      <c r="I3394" s="468">
        <v>5.2936727289041485</v>
      </c>
    </row>
    <row r="3395" spans="1:9" ht="16.5" x14ac:dyDescent="0.3">
      <c r="A3395" s="477">
        <v>3375576.7933657151</v>
      </c>
      <c r="B3395" s="458">
        <v>4.0084199778542606E-2</v>
      </c>
      <c r="C3395" s="477">
        <v>7180726.4414604418</v>
      </c>
      <c r="D3395" s="458">
        <v>5.3010034515479809E-2</v>
      </c>
      <c r="E3395" s="477">
        <v>15374015.925593229</v>
      </c>
      <c r="F3395" s="458">
        <v>0.14189482848486956</v>
      </c>
      <c r="G3395" s="477">
        <v>83461206.077883378</v>
      </c>
      <c r="H3395" s="458">
        <v>0.26506922787305132</v>
      </c>
      <c r="I3395" s="468">
        <v>8.273400342170067</v>
      </c>
    </row>
    <row r="3396" spans="1:9" ht="16.5" x14ac:dyDescent="0.3">
      <c r="A3396" s="477">
        <v>7179590.0617662435</v>
      </c>
      <c r="B3396" s="458">
        <v>1.8965419740076372E-2</v>
      </c>
      <c r="C3396" s="477">
        <v>2677256.9774080128</v>
      </c>
      <c r="D3396" s="458">
        <v>5.6572763696080886E-2</v>
      </c>
      <c r="E3396" s="477">
        <v>17734592.674972635</v>
      </c>
      <c r="F3396" s="458">
        <v>0.1188447383714244</v>
      </c>
      <c r="G3396" s="477">
        <v>84776289.606923208</v>
      </c>
      <c r="H3396" s="458">
        <v>0.26260681608730585</v>
      </c>
      <c r="I3396" s="468">
        <v>7.4730014289293045</v>
      </c>
    </row>
    <row r="3397" spans="1:9" ht="16.5" x14ac:dyDescent="0.3">
      <c r="A3397" s="477">
        <v>7831696.4319932414</v>
      </c>
      <c r="B3397" s="458">
        <v>2.3867483774734577E-2</v>
      </c>
      <c r="C3397" s="477">
        <v>4602857.7375905327</v>
      </c>
      <c r="D3397" s="458">
        <v>6.1863248890771771E-2</v>
      </c>
      <c r="E3397" s="477">
        <v>19365133.438609123</v>
      </c>
      <c r="F3397" s="458">
        <v>0.10287008554387733</v>
      </c>
      <c r="G3397" s="477">
        <v>91583804.761627465</v>
      </c>
      <c r="H3397" s="458">
        <v>0.27953371490825352</v>
      </c>
      <c r="I3397" s="468">
        <v>2.417021093867346</v>
      </c>
    </row>
    <row r="3398" spans="1:9" ht="16.5" x14ac:dyDescent="0.3">
      <c r="A3398" s="477">
        <v>4336436.8143847585</v>
      </c>
      <c r="B3398" s="458">
        <v>3.2428363202181343E-2</v>
      </c>
      <c r="C3398" s="477">
        <v>7279803.7164865052</v>
      </c>
      <c r="D3398" s="458">
        <v>2.6034475157436177E-2</v>
      </c>
      <c r="E3398" s="477">
        <v>4633988.0295690289</v>
      </c>
      <c r="F3398" s="458">
        <v>0.12579779575864714</v>
      </c>
      <c r="G3398" s="477">
        <v>95652730.762916476</v>
      </c>
      <c r="H3398" s="458">
        <v>0.272720827889678</v>
      </c>
      <c r="I3398" s="468">
        <v>9.9234375461731172</v>
      </c>
    </row>
    <row r="3399" spans="1:9" ht="16.5" x14ac:dyDescent="0.3">
      <c r="A3399" s="477">
        <v>8085247.4481881252</v>
      </c>
      <c r="B3399" s="458">
        <v>4.7376466916434934E-2</v>
      </c>
      <c r="C3399" s="477">
        <v>13759087.96793106</v>
      </c>
      <c r="D3399" s="458">
        <v>6.4194776770775785E-2</v>
      </c>
      <c r="E3399" s="477">
        <v>19268156.758782052</v>
      </c>
      <c r="F3399" s="458">
        <v>0.11547929875687557</v>
      </c>
      <c r="G3399" s="477">
        <v>85387876.594112456</v>
      </c>
      <c r="H3399" s="458">
        <v>0.25740870416460693</v>
      </c>
      <c r="I3399" s="468">
        <v>3.1235983484970173</v>
      </c>
    </row>
    <row r="3400" spans="1:9" ht="16.5" x14ac:dyDescent="0.3">
      <c r="A3400" s="477">
        <v>3557638.4911695793</v>
      </c>
      <c r="B3400" s="458">
        <v>3.9468101003925948E-2</v>
      </c>
      <c r="C3400" s="477">
        <v>14047426.999901474</v>
      </c>
      <c r="D3400" s="458">
        <v>8.4179187325213345E-2</v>
      </c>
      <c r="E3400" s="477">
        <v>7920663.0103568621</v>
      </c>
      <c r="F3400" s="458">
        <v>0.10349701298368119</v>
      </c>
      <c r="G3400" s="477">
        <v>97821555.473278433</v>
      </c>
      <c r="H3400" s="458">
        <v>0.27522311452429249</v>
      </c>
      <c r="I3400" s="468">
        <v>12.684860157848121</v>
      </c>
    </row>
    <row r="3401" spans="1:9" ht="16.5" x14ac:dyDescent="0.3">
      <c r="A3401" s="477">
        <v>7602020.715333689</v>
      </c>
      <c r="B3401" s="458">
        <v>5.5685798296108091E-2</v>
      </c>
      <c r="C3401" s="477">
        <v>7994792.0404655272</v>
      </c>
      <c r="D3401" s="458">
        <v>7.1833153474583522E-2</v>
      </c>
      <c r="E3401" s="477">
        <v>10344858.491684983</v>
      </c>
      <c r="F3401" s="458">
        <v>0.11865483290739798</v>
      </c>
      <c r="G3401" s="477">
        <v>86913152.897059411</v>
      </c>
      <c r="H3401" s="458">
        <v>0.29055124103423302</v>
      </c>
      <c r="I3401" s="468">
        <v>9.3132330201864235</v>
      </c>
    </row>
    <row r="3402" spans="1:9" ht="16.5" x14ac:dyDescent="0.3">
      <c r="A3402" s="477">
        <v>-991105.68246238923</v>
      </c>
      <c r="B3402" s="458">
        <v>3.5865862058142017E-2</v>
      </c>
      <c r="C3402" s="477">
        <v>5507987.0257638469</v>
      </c>
      <c r="D3402" s="458">
        <v>4.2789306773016289E-2</v>
      </c>
      <c r="E3402" s="477">
        <v>19388907.805735338</v>
      </c>
      <c r="F3402" s="458">
        <v>0.11552941190606703</v>
      </c>
      <c r="G3402" s="477">
        <v>94655341.345550135</v>
      </c>
      <c r="H3402" s="458">
        <v>0.26526963999238018</v>
      </c>
      <c r="I3402" s="468">
        <v>8.801535719581068</v>
      </c>
    </row>
    <row r="3403" spans="1:9" ht="16.5" x14ac:dyDescent="0.3">
      <c r="A3403" s="477">
        <v>8149703.3052928848</v>
      </c>
      <c r="B3403" s="458">
        <v>4.4001501489787875E-2</v>
      </c>
      <c r="C3403" s="477">
        <v>5415268.7269667154</v>
      </c>
      <c r="D3403" s="458">
        <v>5.6515431727642396E-2</v>
      </c>
      <c r="E3403" s="477">
        <v>23777518.764008887</v>
      </c>
      <c r="F3403" s="458">
        <v>0.13816454534802136</v>
      </c>
      <c r="G3403" s="477">
        <v>95197106.603542</v>
      </c>
      <c r="H3403" s="458">
        <v>0.25693385800830337</v>
      </c>
      <c r="I3403" s="468">
        <v>10.302518881274171</v>
      </c>
    </row>
    <row r="3404" spans="1:9" ht="16.5" x14ac:dyDescent="0.3">
      <c r="A3404" s="477">
        <v>5540064.8563864334</v>
      </c>
      <c r="B3404" s="458">
        <v>3.6918948087258707E-2</v>
      </c>
      <c r="C3404" s="477">
        <v>9169412.2098204698</v>
      </c>
      <c r="D3404" s="458">
        <v>8.4871527435337768E-2</v>
      </c>
      <c r="E3404" s="477">
        <v>21372016.491538536</v>
      </c>
      <c r="F3404" s="458">
        <v>0.1022297795020608</v>
      </c>
      <c r="G3404" s="477">
        <v>88304976.120958209</v>
      </c>
      <c r="H3404" s="458">
        <v>0.27544798144410221</v>
      </c>
      <c r="I3404" s="468">
        <v>7.7756445839792816</v>
      </c>
    </row>
    <row r="3405" spans="1:9" ht="16.5" x14ac:dyDescent="0.3">
      <c r="A3405" s="477">
        <v>3635396.3886936293</v>
      </c>
      <c r="B3405" s="458">
        <v>5.1183401736142553E-2</v>
      </c>
      <c r="C3405" s="477">
        <v>877472.93970804103</v>
      </c>
      <c r="D3405" s="458">
        <v>3.5126534092074113E-2</v>
      </c>
      <c r="E3405" s="477">
        <v>19639612.740174592</v>
      </c>
      <c r="F3405" s="458">
        <v>0.10003100784707675</v>
      </c>
      <c r="G3405" s="477">
        <v>71426070.682766363</v>
      </c>
      <c r="H3405" s="458">
        <v>0.27675844722077669</v>
      </c>
      <c r="I3405" s="468">
        <v>8.3517017372466302</v>
      </c>
    </row>
    <row r="3406" spans="1:9" ht="16.5" x14ac:dyDescent="0.3">
      <c r="A3406" s="477">
        <v>2584685.2860701829</v>
      </c>
      <c r="B3406" s="458">
        <v>3.9805965118560271E-2</v>
      </c>
      <c r="C3406" s="477">
        <v>2205355.073775115</v>
      </c>
      <c r="D3406" s="458">
        <v>1.0823756318905975E-2</v>
      </c>
      <c r="E3406" s="477">
        <v>18495531.828785289</v>
      </c>
      <c r="F3406" s="458">
        <v>0.1300765072190686</v>
      </c>
      <c r="G3406" s="477">
        <v>86433967.883946255</v>
      </c>
      <c r="H3406" s="458">
        <v>0.28212167498639884</v>
      </c>
      <c r="I3406" s="468">
        <v>8.4047822028020409</v>
      </c>
    </row>
    <row r="3407" spans="1:9" ht="16.5" x14ac:dyDescent="0.3">
      <c r="A3407" s="477">
        <v>8680304.1460355725</v>
      </c>
      <c r="B3407" s="458">
        <v>4.0382894800891744E-2</v>
      </c>
      <c r="C3407" s="477">
        <v>8213752.8488319032</v>
      </c>
      <c r="D3407" s="458">
        <v>9.3236844722256906E-2</v>
      </c>
      <c r="E3407" s="477">
        <v>19591786.383239161</v>
      </c>
      <c r="F3407" s="458">
        <v>0.12081137131838959</v>
      </c>
      <c r="G3407" s="477">
        <v>87684263.486713096</v>
      </c>
      <c r="H3407" s="458">
        <v>0.26468968625255851</v>
      </c>
      <c r="I3407" s="468">
        <v>10.984616791382841</v>
      </c>
    </row>
    <row r="3408" spans="1:9" ht="16.5" x14ac:dyDescent="0.3">
      <c r="A3408" s="477">
        <v>8900597.5519856308</v>
      </c>
      <c r="B3408" s="458">
        <v>5.7957678730797157E-2</v>
      </c>
      <c r="C3408" s="477">
        <v>6990493.9332515784</v>
      </c>
      <c r="D3408" s="458">
        <v>5.3018730555849825E-2</v>
      </c>
      <c r="E3408" s="477">
        <v>13253587.19487418</v>
      </c>
      <c r="F3408" s="458">
        <v>0.1221551790221751</v>
      </c>
      <c r="G3408" s="477">
        <v>82401246.257570282</v>
      </c>
      <c r="H3408" s="458">
        <v>0.25172620887277075</v>
      </c>
      <c r="I3408" s="468">
        <v>5.8387063446634846</v>
      </c>
    </row>
    <row r="3409" spans="1:9" ht="16.5" x14ac:dyDescent="0.3">
      <c r="A3409" s="477">
        <v>7752950.2080815211</v>
      </c>
      <c r="B3409" s="458">
        <v>5.0485256722193839E-2</v>
      </c>
      <c r="C3409" s="477">
        <v>10244085.575624263</v>
      </c>
      <c r="D3409" s="458">
        <v>7.8330963253954389E-2</v>
      </c>
      <c r="E3409" s="477">
        <v>10038808.605394155</v>
      </c>
      <c r="F3409" s="458">
        <v>0.1094248738631447</v>
      </c>
      <c r="G3409" s="477">
        <v>85362485.114361316</v>
      </c>
      <c r="H3409" s="458">
        <v>0.24760372987041412</v>
      </c>
      <c r="I3409" s="468">
        <v>2.4821191201144766</v>
      </c>
    </row>
    <row r="3410" spans="1:9" ht="16.5" x14ac:dyDescent="0.3">
      <c r="A3410" s="477">
        <v>4770755.4986366248</v>
      </c>
      <c r="B3410" s="458">
        <v>4.8952393408341344E-2</v>
      </c>
      <c r="C3410" s="477">
        <v>8453637.8929792996</v>
      </c>
      <c r="D3410" s="458">
        <v>6.0288688843144644E-2</v>
      </c>
      <c r="E3410" s="477">
        <v>18646761.585063253</v>
      </c>
      <c r="F3410" s="458">
        <v>0.13403204832417437</v>
      </c>
      <c r="G3410" s="477">
        <v>96334771.25923045</v>
      </c>
      <c r="H3410" s="458">
        <v>0.31065351834990595</v>
      </c>
      <c r="I3410" s="468">
        <v>4.3419102431326735</v>
      </c>
    </row>
    <row r="3411" spans="1:9" ht="16.5" x14ac:dyDescent="0.3">
      <c r="A3411" s="477">
        <v>6393590.9612366799</v>
      </c>
      <c r="B3411" s="458">
        <v>3.2034068510374825E-2</v>
      </c>
      <c r="C3411" s="477">
        <v>9375482.33336078</v>
      </c>
      <c r="D3411" s="458">
        <v>5.810021768917184E-2</v>
      </c>
      <c r="E3411" s="477">
        <v>17579737.202591058</v>
      </c>
      <c r="F3411" s="458">
        <v>0.10270229166316414</v>
      </c>
      <c r="G3411" s="477">
        <v>99212185.683303207</v>
      </c>
      <c r="H3411" s="458">
        <v>0.25344931353912359</v>
      </c>
      <c r="I3411" s="468">
        <v>8.3265826962241523</v>
      </c>
    </row>
    <row r="3412" spans="1:9" ht="16.5" x14ac:dyDescent="0.3">
      <c r="A3412" s="477">
        <v>5790811.9582712967</v>
      </c>
      <c r="B3412" s="458">
        <v>3.5972494352456641E-2</v>
      </c>
      <c r="C3412" s="477">
        <v>8873849.5162059218</v>
      </c>
      <c r="D3412" s="458">
        <v>3.0525821713197399E-2</v>
      </c>
      <c r="E3412" s="477">
        <v>13633820.97337627</v>
      </c>
      <c r="F3412" s="458">
        <v>0.13330137012251719</v>
      </c>
      <c r="G3412" s="477">
        <v>75268778.138828114</v>
      </c>
      <c r="H3412" s="458">
        <v>0.25381085010946469</v>
      </c>
      <c r="I3412" s="468">
        <v>3.5926357250131744</v>
      </c>
    </row>
    <row r="3413" spans="1:9" ht="16.5" x14ac:dyDescent="0.3">
      <c r="A3413" s="477">
        <v>6099498.0408716928</v>
      </c>
      <c r="B3413" s="458">
        <v>4.3496631438628475E-2</v>
      </c>
      <c r="C3413" s="477">
        <v>6393919.7747865822</v>
      </c>
      <c r="D3413" s="458">
        <v>5.0612446344297402E-2</v>
      </c>
      <c r="E3413" s="477">
        <v>10690860.721055485</v>
      </c>
      <c r="F3413" s="458">
        <v>0.10180070560547128</v>
      </c>
      <c r="G3413" s="477">
        <v>95367829.661846057</v>
      </c>
      <c r="H3413" s="458">
        <v>0.28397863526848122</v>
      </c>
      <c r="I3413" s="468">
        <v>12.924498140296873</v>
      </c>
    </row>
    <row r="3414" spans="1:9" ht="16.5" x14ac:dyDescent="0.3">
      <c r="A3414" s="477">
        <v>3874889.4295224231</v>
      </c>
      <c r="B3414" s="458">
        <v>4.0462178121819958E-2</v>
      </c>
      <c r="C3414" s="477">
        <v>9545680.561912246</v>
      </c>
      <c r="D3414" s="458">
        <v>5.5787868685984066E-2</v>
      </c>
      <c r="E3414" s="477">
        <v>15994374.505018841</v>
      </c>
      <c r="F3414" s="458">
        <v>9.274048972068516E-2</v>
      </c>
      <c r="G3414" s="477">
        <v>76032417.968299836</v>
      </c>
      <c r="H3414" s="458">
        <v>0.23803798790816311</v>
      </c>
      <c r="I3414" s="468">
        <v>6.5458018969070793</v>
      </c>
    </row>
    <row r="3415" spans="1:9" ht="16.5" x14ac:dyDescent="0.3">
      <c r="A3415" s="477">
        <v>3316736.3654814321</v>
      </c>
      <c r="B3415" s="458">
        <v>2.7438236218667145E-2</v>
      </c>
      <c r="C3415" s="477">
        <v>6131778.6311478298</v>
      </c>
      <c r="D3415" s="458">
        <v>7.1195645307781552E-2</v>
      </c>
      <c r="E3415" s="477">
        <v>16230314.364688147</v>
      </c>
      <c r="F3415" s="458">
        <v>0.12692123744646699</v>
      </c>
      <c r="G3415" s="477">
        <v>99697485.826484084</v>
      </c>
      <c r="H3415" s="458">
        <v>0.27344270819707361</v>
      </c>
      <c r="I3415" s="468">
        <v>12.100380585788383</v>
      </c>
    </row>
    <row r="3416" spans="1:9" ht="16.5" x14ac:dyDescent="0.3">
      <c r="A3416" s="477">
        <v>3716137.4000992426</v>
      </c>
      <c r="B3416" s="458">
        <v>4.6702652684388779E-2</v>
      </c>
      <c r="C3416" s="477">
        <v>369131.12197257904</v>
      </c>
      <c r="D3416" s="458">
        <v>5.0458688251220352E-2</v>
      </c>
      <c r="E3416" s="477">
        <v>18688728.135219198</v>
      </c>
      <c r="F3416" s="458">
        <v>9.3491568123261759E-2</v>
      </c>
      <c r="G3416" s="477">
        <v>87075913.367433771</v>
      </c>
      <c r="H3416" s="458">
        <v>0.26308618901245473</v>
      </c>
      <c r="I3416" s="468">
        <v>4.7680898533598537</v>
      </c>
    </row>
    <row r="3417" spans="1:9" ht="16.5" x14ac:dyDescent="0.3">
      <c r="A3417" s="477">
        <v>4614786.0512355771</v>
      </c>
      <c r="B3417" s="458">
        <v>4.0197763341887072E-2</v>
      </c>
      <c r="C3417" s="477">
        <v>10855913.483629802</v>
      </c>
      <c r="D3417" s="458">
        <v>5.8640247685849411E-2</v>
      </c>
      <c r="E3417" s="477">
        <v>15392691.797179673</v>
      </c>
      <c r="F3417" s="458">
        <v>7.9343583301430876E-2</v>
      </c>
      <c r="G3417" s="477">
        <v>84132109.931511655</v>
      </c>
      <c r="H3417" s="458">
        <v>0.27399739269860279</v>
      </c>
      <c r="I3417" s="468">
        <v>2.3480588837681422</v>
      </c>
    </row>
    <row r="3418" spans="1:9" ht="16.5" x14ac:dyDescent="0.3">
      <c r="A3418" s="477">
        <v>4124019.2419669256</v>
      </c>
      <c r="B3418" s="458">
        <v>1.7375188060281932E-2</v>
      </c>
      <c r="C3418" s="477">
        <v>6698412.1358779473</v>
      </c>
      <c r="D3418" s="458">
        <v>4.4690683183717939E-2</v>
      </c>
      <c r="E3418" s="477">
        <v>18604052.163874492</v>
      </c>
      <c r="F3418" s="458">
        <v>0.11368854518481708</v>
      </c>
      <c r="G3418" s="477">
        <v>90184792.6060718</v>
      </c>
      <c r="H3418" s="458">
        <v>0.26970736713775101</v>
      </c>
      <c r="I3418" s="468">
        <v>8.6865621852195538</v>
      </c>
    </row>
    <row r="3419" spans="1:9" ht="16.5" x14ac:dyDescent="0.3">
      <c r="A3419" s="477">
        <v>4841470.3592599528</v>
      </c>
      <c r="B3419" s="458">
        <v>3.3716480480010302E-2</v>
      </c>
      <c r="C3419" s="477">
        <v>13473370.491529996</v>
      </c>
      <c r="D3419" s="458">
        <v>6.7969294131317248E-2</v>
      </c>
      <c r="E3419" s="477">
        <v>13843781.682131577</v>
      </c>
      <c r="F3419" s="458">
        <v>9.6295386176379338E-2</v>
      </c>
      <c r="G3419" s="477">
        <v>85841528.982371464</v>
      </c>
      <c r="H3419" s="458">
        <v>0.26766266508619108</v>
      </c>
      <c r="I3419" s="468">
        <v>6.3788209795778119</v>
      </c>
    </row>
    <row r="3420" spans="1:9" ht="16.5" x14ac:dyDescent="0.3">
      <c r="A3420" s="477">
        <v>8404375.0825955626</v>
      </c>
      <c r="B3420" s="458">
        <v>3.7532225800952279E-2</v>
      </c>
      <c r="C3420" s="477">
        <v>11196596.06491344</v>
      </c>
      <c r="D3420" s="458">
        <v>5.700386398460866E-2</v>
      </c>
      <c r="E3420" s="477">
        <v>19580656.441663641</v>
      </c>
      <c r="F3420" s="458">
        <v>0.10024244899708701</v>
      </c>
      <c r="G3420" s="477">
        <v>91891301.218159273</v>
      </c>
      <c r="H3420" s="458">
        <v>0.2596245277786482</v>
      </c>
      <c r="I3420" s="468">
        <v>3.3559086826928146</v>
      </c>
    </row>
    <row r="3421" spans="1:9" ht="16.5" x14ac:dyDescent="0.3">
      <c r="A3421" s="477">
        <v>5218184.4098239243</v>
      </c>
      <c r="B3421" s="458">
        <v>3.0100523303596693E-2</v>
      </c>
      <c r="C3421" s="477">
        <v>17302872.548764087</v>
      </c>
      <c r="D3421" s="458">
        <v>8.7745098083537476E-2</v>
      </c>
      <c r="E3421" s="477">
        <v>27300516.766057964</v>
      </c>
      <c r="F3421" s="458">
        <v>0.11565181222148446</v>
      </c>
      <c r="G3421" s="477">
        <v>99384546.564543188</v>
      </c>
      <c r="H3421" s="458">
        <v>0.27501476890479126</v>
      </c>
      <c r="I3421" s="468">
        <v>10.121085272764251</v>
      </c>
    </row>
    <row r="3422" spans="1:9" ht="16.5" x14ac:dyDescent="0.3">
      <c r="A3422" s="477">
        <v>6621508.554794115</v>
      </c>
      <c r="B3422" s="458">
        <v>4.2332550585203021E-2</v>
      </c>
      <c r="C3422" s="477">
        <v>11022753.98541268</v>
      </c>
      <c r="D3422" s="458">
        <v>6.4708171151109939E-2</v>
      </c>
      <c r="E3422" s="477">
        <v>18920692.1912174</v>
      </c>
      <c r="F3422" s="458">
        <v>0.11548004178548932</v>
      </c>
      <c r="G3422" s="477">
        <v>81207365.204752028</v>
      </c>
      <c r="H3422" s="458">
        <v>0.26876631635053227</v>
      </c>
      <c r="I3422" s="468">
        <v>8.0554073512538036</v>
      </c>
    </row>
    <row r="3423" spans="1:9" ht="16.5" x14ac:dyDescent="0.3">
      <c r="A3423" s="477">
        <v>3448942.2052327851</v>
      </c>
      <c r="B3423" s="458">
        <v>3.156792427141597E-2</v>
      </c>
      <c r="C3423" s="477">
        <v>10735360.943651132</v>
      </c>
      <c r="D3423" s="458">
        <v>4.4823456852880472E-2</v>
      </c>
      <c r="E3423" s="477">
        <v>22019343.744889077</v>
      </c>
      <c r="F3423" s="458">
        <v>0.10873375896990134</v>
      </c>
      <c r="G3423" s="477">
        <v>85054585.661924511</v>
      </c>
      <c r="H3423" s="458">
        <v>0.25521114931001754</v>
      </c>
      <c r="I3423" s="468">
        <v>8.3089593125555741</v>
      </c>
    </row>
    <row r="3424" spans="1:9" ht="16.5" x14ac:dyDescent="0.3">
      <c r="A3424" s="477">
        <v>5974543.0565264197</v>
      </c>
      <c r="B3424" s="458">
        <v>3.2514258251367334E-2</v>
      </c>
      <c r="C3424" s="477">
        <v>3777893.7653161925</v>
      </c>
      <c r="D3424" s="458">
        <v>7.6945077393786532E-2</v>
      </c>
      <c r="E3424" s="477">
        <v>16694338.455201397</v>
      </c>
      <c r="F3424" s="458">
        <v>0.14650974008109441</v>
      </c>
      <c r="G3424" s="477">
        <v>91319538.058674037</v>
      </c>
      <c r="H3424" s="458">
        <v>0.2739587866730564</v>
      </c>
      <c r="I3424" s="468">
        <v>14.096844448980338</v>
      </c>
    </row>
    <row r="3425" spans="1:9" ht="16.5" x14ac:dyDescent="0.3">
      <c r="A3425" s="477">
        <v>5740085.8930632463</v>
      </c>
      <c r="B3425" s="458">
        <v>4.3413646407387541E-2</v>
      </c>
      <c r="C3425" s="477">
        <v>12299353.739513338</v>
      </c>
      <c r="D3425" s="458">
        <v>5.3716381503197352E-2</v>
      </c>
      <c r="E3425" s="477">
        <v>17984425.638934005</v>
      </c>
      <c r="F3425" s="458">
        <v>0.10549188217459315</v>
      </c>
      <c r="G3425" s="477">
        <v>87868180.515852123</v>
      </c>
      <c r="H3425" s="458">
        <v>0.26664382754467186</v>
      </c>
      <c r="I3425" s="468">
        <v>8.3608178732751384</v>
      </c>
    </row>
    <row r="3426" spans="1:9" ht="16.5" x14ac:dyDescent="0.3">
      <c r="A3426" s="477">
        <v>3657238.4033631864</v>
      </c>
      <c r="B3426" s="458">
        <v>4.0646080116598204E-2</v>
      </c>
      <c r="C3426" s="477">
        <v>9015772.2296873908</v>
      </c>
      <c r="D3426" s="458">
        <v>6.6656624635843764E-2</v>
      </c>
      <c r="E3426" s="477">
        <v>26751485.692312464</v>
      </c>
      <c r="F3426" s="458">
        <v>0.12947105004889869</v>
      </c>
      <c r="G3426" s="477">
        <v>88476363.422091857</v>
      </c>
      <c r="H3426" s="458">
        <v>0.25423570670664963</v>
      </c>
      <c r="I3426" s="468">
        <v>9.8139841749841548</v>
      </c>
    </row>
    <row r="3427" spans="1:9" ht="16.5" x14ac:dyDescent="0.3">
      <c r="A3427" s="477">
        <v>992420.36896206101</v>
      </c>
      <c r="B3427" s="458">
        <v>2.482203189316623E-2</v>
      </c>
      <c r="C3427" s="477">
        <v>3090207.4408469116</v>
      </c>
      <c r="D3427" s="458">
        <v>7.6102172214545183E-2</v>
      </c>
      <c r="E3427" s="477">
        <v>11409103.306927145</v>
      </c>
      <c r="F3427" s="458">
        <v>0.10391399831844872</v>
      </c>
      <c r="G3427" s="477">
        <v>95677014.434679016</v>
      </c>
      <c r="H3427" s="458">
        <v>0.29249561263670376</v>
      </c>
      <c r="I3427" s="468">
        <v>9.0825688057112384</v>
      </c>
    </row>
    <row r="3428" spans="1:9" ht="16.5" x14ac:dyDescent="0.3">
      <c r="A3428" s="477">
        <v>1941193.7876009864</v>
      </c>
      <c r="B3428" s="458">
        <v>3.3403622097110341E-2</v>
      </c>
      <c r="C3428" s="477">
        <v>5920437.9544076789</v>
      </c>
      <c r="D3428" s="458">
        <v>6.3554146367628794E-2</v>
      </c>
      <c r="E3428" s="477">
        <v>19035212.624756023</v>
      </c>
      <c r="F3428" s="458">
        <v>0.10493972844543098</v>
      </c>
      <c r="G3428" s="477">
        <v>107624136.55168161</v>
      </c>
      <c r="H3428" s="458">
        <v>0.28374227431845345</v>
      </c>
      <c r="I3428" s="468">
        <v>9.2306599392915114</v>
      </c>
    </row>
    <row r="3429" spans="1:9" ht="16.5" x14ac:dyDescent="0.3">
      <c r="A3429" s="477">
        <v>6319280.6361707449</v>
      </c>
      <c r="B3429" s="458">
        <v>3.9195091732302734E-2</v>
      </c>
      <c r="C3429" s="477">
        <v>9807441.4667873271</v>
      </c>
      <c r="D3429" s="458">
        <v>0.10173877510376506</v>
      </c>
      <c r="E3429" s="477">
        <v>22622715.57851221</v>
      </c>
      <c r="F3429" s="458">
        <v>0.11438970370605284</v>
      </c>
      <c r="G3429" s="477">
        <v>95010481.800710753</v>
      </c>
      <c r="H3429" s="458">
        <v>0.27184383016046754</v>
      </c>
      <c r="I3429" s="468">
        <v>15.205019673172764</v>
      </c>
    </row>
    <row r="3430" spans="1:9" ht="16.5" x14ac:dyDescent="0.3">
      <c r="A3430" s="477">
        <v>5646507.1965082688</v>
      </c>
      <c r="B3430" s="458">
        <v>3.0039428876857732E-2</v>
      </c>
      <c r="C3430" s="477">
        <v>9537283.2492783796</v>
      </c>
      <c r="D3430" s="458">
        <v>7.6038974411548388E-2</v>
      </c>
      <c r="E3430" s="477">
        <v>23934965.635559753</v>
      </c>
      <c r="F3430" s="458">
        <v>0.10603741828632729</v>
      </c>
      <c r="G3430" s="477">
        <v>77434943.896388382</v>
      </c>
      <c r="H3430" s="458">
        <v>0.27096366646389436</v>
      </c>
      <c r="I3430" s="468">
        <v>10.22434633203993</v>
      </c>
    </row>
    <row r="3431" spans="1:9" ht="16.5" x14ac:dyDescent="0.3">
      <c r="A3431" s="477">
        <v>1632088.3830189866</v>
      </c>
      <c r="B3431" s="458">
        <v>2.0962091731745458E-2</v>
      </c>
      <c r="C3431" s="477">
        <v>11545079.070446029</v>
      </c>
      <c r="D3431" s="458">
        <v>6.1710667788997142E-2</v>
      </c>
      <c r="E3431" s="477">
        <v>14667650.475750379</v>
      </c>
      <c r="F3431" s="458">
        <v>0.11468652163234982</v>
      </c>
      <c r="G3431" s="477">
        <v>95874483.264010131</v>
      </c>
      <c r="H3431" s="458">
        <v>0.26838255217017082</v>
      </c>
      <c r="I3431" s="468">
        <v>1.5146858594429267</v>
      </c>
    </row>
    <row r="3432" spans="1:9" ht="16.5" x14ac:dyDescent="0.3">
      <c r="A3432" s="477">
        <v>4836868.8033051565</v>
      </c>
      <c r="B3432" s="458">
        <v>3.4108367329986455E-2</v>
      </c>
      <c r="C3432" s="477">
        <v>11250585.589105783</v>
      </c>
      <c r="D3432" s="458">
        <v>5.4809084175033496E-2</v>
      </c>
      <c r="E3432" s="477">
        <v>11656509.432401501</v>
      </c>
      <c r="F3432" s="458">
        <v>0.14354439807160557</v>
      </c>
      <c r="G3432" s="477">
        <v>92539830.338370144</v>
      </c>
      <c r="H3432" s="458">
        <v>0.29586014731540211</v>
      </c>
      <c r="I3432" s="468">
        <v>9.8615581098038501</v>
      </c>
    </row>
    <row r="3433" spans="1:9" ht="16.5" x14ac:dyDescent="0.3">
      <c r="A3433" s="477">
        <v>4809826.0045302482</v>
      </c>
      <c r="B3433" s="458">
        <v>5.0785509298657994E-2</v>
      </c>
      <c r="C3433" s="477">
        <v>3720965.4770833077</v>
      </c>
      <c r="D3433" s="458">
        <v>4.2262585715543644E-2</v>
      </c>
      <c r="E3433" s="477">
        <v>21151520.835594505</v>
      </c>
      <c r="F3433" s="458">
        <v>0.1068775373372286</v>
      </c>
      <c r="G3433" s="477">
        <v>96421638.212089688</v>
      </c>
      <c r="H3433" s="458">
        <v>0.25368679722247833</v>
      </c>
      <c r="I3433" s="468">
        <v>7.4438368977822407</v>
      </c>
    </row>
    <row r="3434" spans="1:9" ht="16.5" x14ac:dyDescent="0.3">
      <c r="A3434" s="477">
        <v>9970594.2690766193</v>
      </c>
      <c r="B3434" s="458">
        <v>4.7642459270483384E-2</v>
      </c>
      <c r="C3434" s="477">
        <v>4862841.6647507828</v>
      </c>
      <c r="D3434" s="458">
        <v>4.2406329441153634E-2</v>
      </c>
      <c r="E3434" s="477">
        <v>16433044.343419008</v>
      </c>
      <c r="F3434" s="458">
        <v>8.1057390033884458E-2</v>
      </c>
      <c r="G3434" s="477">
        <v>81300825.479328305</v>
      </c>
      <c r="H3434" s="458">
        <v>0.27771984118635418</v>
      </c>
      <c r="I3434" s="468">
        <v>11.731647905479617</v>
      </c>
    </row>
    <row r="3435" spans="1:9" ht="16.5" x14ac:dyDescent="0.3">
      <c r="A3435" s="477">
        <v>3981283.1622873889</v>
      </c>
      <c r="B3435" s="458">
        <v>2.760754791295672E-2</v>
      </c>
      <c r="C3435" s="477">
        <v>11679088.08613041</v>
      </c>
      <c r="D3435" s="458">
        <v>9.0150531196870443E-2</v>
      </c>
      <c r="E3435" s="477">
        <v>17280132.063162986</v>
      </c>
      <c r="F3435" s="458">
        <v>0.14493485679612284</v>
      </c>
      <c r="G3435" s="477">
        <v>97280409.477796584</v>
      </c>
      <c r="H3435" s="458">
        <v>0.28594661821155132</v>
      </c>
      <c r="I3435" s="468">
        <v>1.3061903877948389</v>
      </c>
    </row>
    <row r="3436" spans="1:9" ht="16.5" x14ac:dyDescent="0.3">
      <c r="A3436" s="477">
        <v>3207133.5181993232</v>
      </c>
      <c r="B3436" s="458">
        <v>3.2967142880640177E-2</v>
      </c>
      <c r="C3436" s="477">
        <v>11708051.137587501</v>
      </c>
      <c r="D3436" s="458">
        <v>8.3319367492966423E-2</v>
      </c>
      <c r="E3436" s="477">
        <v>19748773.517053027</v>
      </c>
      <c r="F3436" s="458">
        <v>0.10278964093810705</v>
      </c>
      <c r="G3436" s="477">
        <v>95277713.988389641</v>
      </c>
      <c r="H3436" s="458">
        <v>0.27944915884842825</v>
      </c>
      <c r="I3436" s="468">
        <v>9.1261039288052412</v>
      </c>
    </row>
    <row r="3437" spans="1:9" ht="16.5" x14ac:dyDescent="0.3">
      <c r="A3437" s="477">
        <v>4786245.5413222034</v>
      </c>
      <c r="B3437" s="458">
        <v>3.0641515676503639E-2</v>
      </c>
      <c r="C3437" s="477">
        <v>11045395.472756688</v>
      </c>
      <c r="D3437" s="458">
        <v>0.10191888994390164</v>
      </c>
      <c r="E3437" s="477">
        <v>21252457.037337545</v>
      </c>
      <c r="F3437" s="458">
        <v>0.12846949407966801</v>
      </c>
      <c r="G3437" s="477">
        <v>77844932.549991608</v>
      </c>
      <c r="H3437" s="458">
        <v>0.27598420038980875</v>
      </c>
      <c r="I3437" s="468">
        <v>6.7828353529039145</v>
      </c>
    </row>
    <row r="3438" spans="1:9" ht="16.5" x14ac:dyDescent="0.3">
      <c r="A3438" s="477">
        <v>8633687.4005822707</v>
      </c>
      <c r="B3438" s="458">
        <v>3.7958529260192275E-2</v>
      </c>
      <c r="C3438" s="477">
        <v>9855099.6869186386</v>
      </c>
      <c r="D3438" s="458">
        <v>8.0140476494353186E-2</v>
      </c>
      <c r="E3438" s="477">
        <v>20913432.197459187</v>
      </c>
      <c r="F3438" s="458">
        <v>0.10558944477480114</v>
      </c>
      <c r="G3438" s="477">
        <v>85437466.048825994</v>
      </c>
      <c r="H3438" s="458">
        <v>0.25826664546060485</v>
      </c>
      <c r="I3438" s="468">
        <v>7.2794657821480531</v>
      </c>
    </row>
    <row r="3439" spans="1:9" ht="16.5" x14ac:dyDescent="0.3">
      <c r="A3439" s="477">
        <v>5044735.983284696</v>
      </c>
      <c r="B3439" s="458">
        <v>8.0385873115691009E-2</v>
      </c>
      <c r="C3439" s="477">
        <v>12803804.093944306</v>
      </c>
      <c r="D3439" s="458">
        <v>4.8168788458748502E-2</v>
      </c>
      <c r="E3439" s="477">
        <v>13183408.196368717</v>
      </c>
      <c r="F3439" s="458">
        <v>0.10861059814710505</v>
      </c>
      <c r="G3439" s="477">
        <v>96260833.761549726</v>
      </c>
      <c r="H3439" s="458">
        <v>0.27389037275460781</v>
      </c>
      <c r="I3439" s="468">
        <v>5.6720305061043117</v>
      </c>
    </row>
    <row r="3440" spans="1:9" ht="16.5" x14ac:dyDescent="0.3">
      <c r="A3440" s="477">
        <v>-551760.98060206173</v>
      </c>
      <c r="B3440" s="458">
        <v>2.0401472976021795E-2</v>
      </c>
      <c r="C3440" s="477">
        <v>4901534.2425468648</v>
      </c>
      <c r="D3440" s="458">
        <v>7.6833777552523186E-2</v>
      </c>
      <c r="E3440" s="477">
        <v>20132979.943606574</v>
      </c>
      <c r="F3440" s="458">
        <v>0.11436751381134935</v>
      </c>
      <c r="G3440" s="477">
        <v>101025917.60083652</v>
      </c>
      <c r="H3440" s="458">
        <v>0.25852614667847695</v>
      </c>
      <c r="I3440" s="468">
        <v>9.1832709070828109</v>
      </c>
    </row>
    <row r="3441" spans="1:9" ht="16.5" x14ac:dyDescent="0.3">
      <c r="A3441" s="477">
        <v>4897992.4008117868</v>
      </c>
      <c r="B3441" s="458">
        <v>4.9021043057030367E-2</v>
      </c>
      <c r="C3441" s="477">
        <v>14894022.654860176</v>
      </c>
      <c r="D3441" s="458">
        <v>8.7162508958863683E-2</v>
      </c>
      <c r="E3441" s="477">
        <v>15819457.709835371</v>
      </c>
      <c r="F3441" s="458">
        <v>0.122176005624552</v>
      </c>
      <c r="G3441" s="477">
        <v>76661864.248853102</v>
      </c>
      <c r="H3441" s="458">
        <v>0.26487327752709322</v>
      </c>
      <c r="I3441" s="468">
        <v>4.672450932763156</v>
      </c>
    </row>
    <row r="3442" spans="1:9" ht="16.5" x14ac:dyDescent="0.3">
      <c r="A3442" s="477">
        <v>6372333.7046862217</v>
      </c>
      <c r="B3442" s="458">
        <v>3.436811678549101E-2</v>
      </c>
      <c r="C3442" s="477">
        <v>2117824.5511429678</v>
      </c>
      <c r="D3442" s="458">
        <v>6.3736290258242123E-2</v>
      </c>
      <c r="E3442" s="477">
        <v>22056346.193713319</v>
      </c>
      <c r="F3442" s="458">
        <v>0.12663236694325097</v>
      </c>
      <c r="G3442" s="477">
        <v>81500501.804739386</v>
      </c>
      <c r="H3442" s="458">
        <v>0.28201476691206384</v>
      </c>
      <c r="I3442" s="468">
        <v>6.2869886945247169</v>
      </c>
    </row>
    <row r="3443" spans="1:9" ht="16.5" x14ac:dyDescent="0.3">
      <c r="A3443" s="477">
        <v>4272514.7392765256</v>
      </c>
      <c r="B3443" s="458">
        <v>4.8600000092505091E-2</v>
      </c>
      <c r="C3443" s="477">
        <v>4865242.8767792499</v>
      </c>
      <c r="D3443" s="458">
        <v>4.866422082405597E-2</v>
      </c>
      <c r="E3443" s="477">
        <v>20820133.86340009</v>
      </c>
      <c r="F3443" s="458">
        <v>0.10071235060422312</v>
      </c>
      <c r="G3443" s="477">
        <v>109188186.59251235</v>
      </c>
      <c r="H3443" s="458">
        <v>0.27096712884556329</v>
      </c>
      <c r="I3443" s="468">
        <v>4.7697271357170923</v>
      </c>
    </row>
    <row r="3444" spans="1:9" ht="16.5" x14ac:dyDescent="0.3">
      <c r="A3444" s="477">
        <v>8333167.2467577597</v>
      </c>
      <c r="B3444" s="458">
        <v>3.5731423335681356E-2</v>
      </c>
      <c r="C3444" s="477">
        <v>4936051.5819841158</v>
      </c>
      <c r="D3444" s="458">
        <v>5.6651651061590202E-2</v>
      </c>
      <c r="E3444" s="477">
        <v>10124878.098457118</v>
      </c>
      <c r="F3444" s="458">
        <v>9.1277079592112953E-2</v>
      </c>
      <c r="G3444" s="477">
        <v>86074220.73505038</v>
      </c>
      <c r="H3444" s="458">
        <v>0.2652508579210533</v>
      </c>
      <c r="I3444" s="468">
        <v>3.559450847749515</v>
      </c>
    </row>
    <row r="3445" spans="1:9" ht="16.5" x14ac:dyDescent="0.3">
      <c r="A3445" s="477">
        <v>2903765.7543311501</v>
      </c>
      <c r="B3445" s="458">
        <v>5.1011782304979159E-2</v>
      </c>
      <c r="C3445" s="477">
        <v>3540675.5452899612</v>
      </c>
      <c r="D3445" s="458">
        <v>5.2083931311142528E-2</v>
      </c>
      <c r="E3445" s="477">
        <v>7537575.8215815434</v>
      </c>
      <c r="F3445" s="458">
        <v>9.5295011719406242E-2</v>
      </c>
      <c r="G3445" s="477">
        <v>90497631.390008345</v>
      </c>
      <c r="H3445" s="458">
        <v>0.27707028745711559</v>
      </c>
      <c r="I3445" s="468">
        <v>4.0439360563934246</v>
      </c>
    </row>
    <row r="3446" spans="1:9" ht="16.5" x14ac:dyDescent="0.3">
      <c r="A3446" s="477">
        <v>6258972.3364191148</v>
      </c>
      <c r="B3446" s="458">
        <v>4.6520502978845135E-2</v>
      </c>
      <c r="C3446" s="477">
        <v>7278394.8102312936</v>
      </c>
      <c r="D3446" s="458">
        <v>7.4166822060402371E-2</v>
      </c>
      <c r="E3446" s="477">
        <v>15274054.153759429</v>
      </c>
      <c r="F3446" s="458">
        <v>9.839957969471036E-2</v>
      </c>
      <c r="G3446" s="477">
        <v>103370346.19901523</v>
      </c>
      <c r="H3446" s="458">
        <v>0.28194208082186734</v>
      </c>
      <c r="I3446" s="468">
        <v>2.7963199765666422</v>
      </c>
    </row>
    <row r="3447" spans="1:9" ht="16.5" x14ac:dyDescent="0.3">
      <c r="A3447" s="477">
        <v>5914652.775936137</v>
      </c>
      <c r="B3447" s="458">
        <v>3.5555576120093857E-2</v>
      </c>
      <c r="C3447" s="477">
        <v>16364988.591036374</v>
      </c>
      <c r="D3447" s="458">
        <v>9.5535416381085758E-2</v>
      </c>
      <c r="E3447" s="477">
        <v>20421389.721084744</v>
      </c>
      <c r="F3447" s="458">
        <v>9.7246066017175004E-2</v>
      </c>
      <c r="G3447" s="477">
        <v>99041707.640023306</v>
      </c>
      <c r="H3447" s="458">
        <v>0.27823609167615193</v>
      </c>
      <c r="I3447" s="468">
        <v>7.0145467646161723</v>
      </c>
    </row>
    <row r="3448" spans="1:9" ht="16.5" x14ac:dyDescent="0.3">
      <c r="A3448" s="477">
        <v>7013080.6737303641</v>
      </c>
      <c r="B3448" s="458">
        <v>6.0737845919702771E-2</v>
      </c>
      <c r="C3448" s="477">
        <v>11537436.157664536</v>
      </c>
      <c r="D3448" s="458">
        <v>6.8416175868887041E-2</v>
      </c>
      <c r="E3448" s="477">
        <v>16706881.740770731</v>
      </c>
      <c r="F3448" s="458">
        <v>0.11647165937095805</v>
      </c>
      <c r="G3448" s="477">
        <v>108127250.75088812</v>
      </c>
      <c r="H3448" s="458">
        <v>0.28837702151828126</v>
      </c>
      <c r="I3448" s="468">
        <v>4.6190506406164005</v>
      </c>
    </row>
    <row r="3449" spans="1:9" ht="16.5" x14ac:dyDescent="0.3">
      <c r="A3449" s="477">
        <v>7634869.7712604273</v>
      </c>
      <c r="B3449" s="458">
        <v>2.5605963287360645E-2</v>
      </c>
      <c r="C3449" s="477">
        <v>11578194.82195691</v>
      </c>
      <c r="D3449" s="458">
        <v>5.2725152506406525E-2</v>
      </c>
      <c r="E3449" s="477">
        <v>13616252.544976637</v>
      </c>
      <c r="F3449" s="458">
        <v>0.10290680477318936</v>
      </c>
      <c r="G3449" s="477">
        <v>81322852.915132284</v>
      </c>
      <c r="H3449" s="458">
        <v>0.26979894575779562</v>
      </c>
      <c r="I3449" s="468">
        <v>9.4431257214233266</v>
      </c>
    </row>
    <row r="3450" spans="1:9" ht="16.5" x14ac:dyDescent="0.3">
      <c r="A3450" s="477">
        <v>3440991.3756050267</v>
      </c>
      <c r="B3450" s="458">
        <v>2.2163765743800967E-2</v>
      </c>
      <c r="C3450" s="477">
        <v>10885792.645551013</v>
      </c>
      <c r="D3450" s="458">
        <v>7.0905589094984123E-2</v>
      </c>
      <c r="E3450" s="477">
        <v>20399822.129508119</v>
      </c>
      <c r="F3450" s="458">
        <v>0.1163691088412786</v>
      </c>
      <c r="G3450" s="477">
        <v>90812256.024434924</v>
      </c>
      <c r="H3450" s="458">
        <v>0.26327237197333297</v>
      </c>
      <c r="I3450" s="468">
        <v>9.3807976809079889</v>
      </c>
    </row>
    <row r="3451" spans="1:9" ht="16.5" x14ac:dyDescent="0.3">
      <c r="A3451" s="477">
        <v>7633274.7738045203</v>
      </c>
      <c r="B3451" s="458">
        <v>6.7709427298512814E-2</v>
      </c>
      <c r="C3451" s="477">
        <v>8572720.8975666631</v>
      </c>
      <c r="D3451" s="458">
        <v>7.2023470184867877E-2</v>
      </c>
      <c r="E3451" s="477">
        <v>14413703.205112888</v>
      </c>
      <c r="F3451" s="458">
        <v>7.6328963644268111E-2</v>
      </c>
      <c r="G3451" s="477">
        <v>79374280.174900338</v>
      </c>
      <c r="H3451" s="458">
        <v>0.27442697990228804</v>
      </c>
      <c r="I3451" s="468">
        <v>5.7209114173687619</v>
      </c>
    </row>
    <row r="3452" spans="1:9" ht="16.5" x14ac:dyDescent="0.3">
      <c r="A3452" s="477">
        <v>7277672.2562923273</v>
      </c>
      <c r="B3452" s="458">
        <v>3.8343284640946163E-2</v>
      </c>
      <c r="C3452" s="477">
        <v>8490651.4642252214</v>
      </c>
      <c r="D3452" s="458">
        <v>5.9502978976573306E-2</v>
      </c>
      <c r="E3452" s="477">
        <v>19245916.237862352</v>
      </c>
      <c r="F3452" s="458">
        <v>0.10943933209723489</v>
      </c>
      <c r="G3452" s="477">
        <v>118289829.25651313</v>
      </c>
      <c r="H3452" s="458">
        <v>0.27736623892991918</v>
      </c>
      <c r="I3452" s="468">
        <v>10.392099801835343</v>
      </c>
    </row>
    <row r="3453" spans="1:9" ht="16.5" x14ac:dyDescent="0.3">
      <c r="A3453" s="477">
        <v>3968975.487444811</v>
      </c>
      <c r="B3453" s="458">
        <v>4.3199047267954871E-2</v>
      </c>
      <c r="C3453" s="477">
        <v>12226833.224329025</v>
      </c>
      <c r="D3453" s="458">
        <v>5.7393358995602162E-2</v>
      </c>
      <c r="E3453" s="477">
        <v>21175480.317119624</v>
      </c>
      <c r="F3453" s="458">
        <v>0.11123831969389641</v>
      </c>
      <c r="G3453" s="477">
        <v>82613500.945766658</v>
      </c>
      <c r="H3453" s="458">
        <v>0.28213042281123091</v>
      </c>
      <c r="I3453" s="468">
        <v>11.731548155173956</v>
      </c>
    </row>
    <row r="3454" spans="1:9" ht="16.5" x14ac:dyDescent="0.3">
      <c r="A3454" s="477">
        <v>8780574.8047856595</v>
      </c>
      <c r="B3454" s="458">
        <v>3.1722589317791705E-2</v>
      </c>
      <c r="C3454" s="477">
        <v>5389553.5289422451</v>
      </c>
      <c r="D3454" s="458">
        <v>6.2168675833374154E-2</v>
      </c>
      <c r="E3454" s="477">
        <v>13942547.370974122</v>
      </c>
      <c r="F3454" s="458">
        <v>0.11262087407406085</v>
      </c>
      <c r="G3454" s="477">
        <v>100705249.72195855</v>
      </c>
      <c r="H3454" s="458">
        <v>0.24617934912298201</v>
      </c>
      <c r="I3454" s="468">
        <v>5.7378415032892622</v>
      </c>
    </row>
    <row r="3455" spans="1:9" ht="16.5" x14ac:dyDescent="0.3">
      <c r="A3455" s="477">
        <v>6872449.4737549722</v>
      </c>
      <c r="B3455" s="458">
        <v>3.2152678832544135E-2</v>
      </c>
      <c r="C3455" s="477">
        <v>5709138.1329840273</v>
      </c>
      <c r="D3455" s="458">
        <v>6.5659508908855635E-2</v>
      </c>
      <c r="E3455" s="477">
        <v>20541579.002329197</v>
      </c>
      <c r="F3455" s="458">
        <v>0.10582219492750378</v>
      </c>
      <c r="G3455" s="477">
        <v>99656036.932710379</v>
      </c>
      <c r="H3455" s="458">
        <v>0.26438888440254082</v>
      </c>
      <c r="I3455" s="468">
        <v>5.5843351341941512</v>
      </c>
    </row>
    <row r="3456" spans="1:9" ht="16.5" x14ac:dyDescent="0.3">
      <c r="A3456" s="477">
        <v>2339029.690942497</v>
      </c>
      <c r="B3456" s="458">
        <v>3.2976725285667863E-2</v>
      </c>
      <c r="C3456" s="477">
        <v>9211372.0966986157</v>
      </c>
      <c r="D3456" s="458">
        <v>8.9470649568326843E-2</v>
      </c>
      <c r="E3456" s="477">
        <v>29291996.943089273</v>
      </c>
      <c r="F3456" s="458">
        <v>7.9964533600838772E-2</v>
      </c>
      <c r="G3456" s="477">
        <v>85218958.678326845</v>
      </c>
      <c r="H3456" s="458">
        <v>0.26600972137110812</v>
      </c>
      <c r="I3456" s="468">
        <v>7.3631246857257651</v>
      </c>
    </row>
    <row r="3457" spans="1:9" ht="16.5" x14ac:dyDescent="0.3">
      <c r="A3457" s="477">
        <v>6688483.0993923536</v>
      </c>
      <c r="B3457" s="458">
        <v>4.202528186305754E-2</v>
      </c>
      <c r="C3457" s="477">
        <v>16199074.414863871</v>
      </c>
      <c r="D3457" s="458">
        <v>9.2500834957624845E-2</v>
      </c>
      <c r="E3457" s="477">
        <v>15807248.302072497</v>
      </c>
      <c r="F3457" s="458">
        <v>0.12245043737094452</v>
      </c>
      <c r="G3457" s="477">
        <v>82151123.421622023</v>
      </c>
      <c r="H3457" s="458">
        <v>0.26527525112296235</v>
      </c>
      <c r="I3457" s="468">
        <v>13.353528507098023</v>
      </c>
    </row>
    <row r="3458" spans="1:9" ht="16.5" x14ac:dyDescent="0.3">
      <c r="A3458" s="477">
        <v>5337176.5335264076</v>
      </c>
      <c r="B3458" s="458">
        <v>3.9037503740347423E-2</v>
      </c>
      <c r="C3458" s="477">
        <v>5334910.051735878</v>
      </c>
      <c r="D3458" s="458">
        <v>6.4559670226679078E-2</v>
      </c>
      <c r="E3458" s="477">
        <v>15580006.429523252</v>
      </c>
      <c r="F3458" s="458">
        <v>0.10512089186261608</v>
      </c>
      <c r="G3458" s="477">
        <v>79908552.599068284</v>
      </c>
      <c r="H3458" s="458">
        <v>0.26826895435252118</v>
      </c>
      <c r="I3458" s="468">
        <v>5.0287383574657003</v>
      </c>
    </row>
    <row r="3459" spans="1:9" ht="16.5" x14ac:dyDescent="0.3">
      <c r="A3459" s="477">
        <v>6181515.6540053226</v>
      </c>
      <c r="B3459" s="458">
        <v>2.688888555894664E-2</v>
      </c>
      <c r="C3459" s="477">
        <v>-997382.15251094231</v>
      </c>
      <c r="D3459" s="458">
        <v>5.761208050699862E-2</v>
      </c>
      <c r="E3459" s="477">
        <v>12967645.026116202</v>
      </c>
      <c r="F3459" s="458">
        <v>0.10388903786940862</v>
      </c>
      <c r="G3459" s="477">
        <v>99494787.89439024</v>
      </c>
      <c r="H3459" s="458">
        <v>0.27924784128602154</v>
      </c>
      <c r="I3459" s="468">
        <v>9.5604272243016073</v>
      </c>
    </row>
    <row r="3460" spans="1:9" ht="16.5" x14ac:dyDescent="0.3">
      <c r="A3460" s="477">
        <v>5253575.1724923486</v>
      </c>
      <c r="B3460" s="458">
        <v>1.8234123814589998E-2</v>
      </c>
      <c r="C3460" s="477">
        <v>1732759.4631592252</v>
      </c>
      <c r="D3460" s="458">
        <v>6.75920336517144E-2</v>
      </c>
      <c r="E3460" s="477">
        <v>10720102.843286702</v>
      </c>
      <c r="F3460" s="458">
        <v>0.11480485397881202</v>
      </c>
      <c r="G3460" s="477">
        <v>84849906.028445497</v>
      </c>
      <c r="H3460" s="458">
        <v>0.26620438966593762</v>
      </c>
      <c r="I3460" s="468">
        <v>6.1162026052547613</v>
      </c>
    </row>
    <row r="3461" spans="1:9" ht="16.5" x14ac:dyDescent="0.3">
      <c r="A3461" s="477">
        <v>5837414.2861170741</v>
      </c>
      <c r="B3461" s="458">
        <v>3.5027613482378595E-2</v>
      </c>
      <c r="C3461" s="477">
        <v>13446676.208333448</v>
      </c>
      <c r="D3461" s="458">
        <v>5.2585932555630377E-2</v>
      </c>
      <c r="E3461" s="477">
        <v>21606733.990731791</v>
      </c>
      <c r="F3461" s="458">
        <v>8.9259414295355555E-2</v>
      </c>
      <c r="G3461" s="477">
        <v>106430522.38038184</v>
      </c>
      <c r="H3461" s="458">
        <v>0.256894690538503</v>
      </c>
      <c r="I3461" s="468">
        <v>12.846130301361608</v>
      </c>
    </row>
    <row r="3462" spans="1:9" ht="16.5" x14ac:dyDescent="0.3">
      <c r="A3462" s="477">
        <v>3069409.7644938864</v>
      </c>
      <c r="B3462" s="458">
        <v>3.8411511861434988E-2</v>
      </c>
      <c r="C3462" s="477">
        <v>10191971.652822763</v>
      </c>
      <c r="D3462" s="458">
        <v>3.7263359984034627E-2</v>
      </c>
      <c r="E3462" s="477">
        <v>19910577.936366316</v>
      </c>
      <c r="F3462" s="458">
        <v>0.1198483063096687</v>
      </c>
      <c r="G3462" s="477">
        <v>102726709.89279321</v>
      </c>
      <c r="H3462" s="458">
        <v>0.26702725129519567</v>
      </c>
      <c r="I3462" s="468">
        <v>10.026398564347707</v>
      </c>
    </row>
    <row r="3463" spans="1:9" ht="16.5" x14ac:dyDescent="0.3">
      <c r="A3463" s="477">
        <v>6450643.2783837235</v>
      </c>
      <c r="B3463" s="458">
        <v>4.9593248151498237E-2</v>
      </c>
      <c r="C3463" s="477">
        <v>10789352.144874498</v>
      </c>
      <c r="D3463" s="458">
        <v>3.9598850553028697E-2</v>
      </c>
      <c r="E3463" s="477">
        <v>14418477.878084242</v>
      </c>
      <c r="F3463" s="458">
        <v>0.11050587776652865</v>
      </c>
      <c r="G3463" s="477">
        <v>86549754.422901824</v>
      </c>
      <c r="H3463" s="458">
        <v>0.26504988963743714</v>
      </c>
      <c r="I3463" s="468">
        <v>7.1016598010029393</v>
      </c>
    </row>
    <row r="3464" spans="1:9" ht="16.5" x14ac:dyDescent="0.3">
      <c r="A3464" s="477">
        <v>4316525.7923328811</v>
      </c>
      <c r="B3464" s="458">
        <v>4.3490056715885128E-2</v>
      </c>
      <c r="C3464" s="477">
        <v>12079331.417724254</v>
      </c>
      <c r="D3464" s="458">
        <v>2.680155295083253E-2</v>
      </c>
      <c r="E3464" s="477">
        <v>24155827.474905081</v>
      </c>
      <c r="F3464" s="458">
        <v>0.11434036778966861</v>
      </c>
      <c r="G3464" s="477">
        <v>99290705.611164808</v>
      </c>
      <c r="H3464" s="458">
        <v>0.29317322453110228</v>
      </c>
      <c r="I3464" s="468">
        <v>4.7272439520931417</v>
      </c>
    </row>
    <row r="3465" spans="1:9" ht="16.5" x14ac:dyDescent="0.3">
      <c r="A3465" s="477">
        <v>8526502.2341747154</v>
      </c>
      <c r="B3465" s="458">
        <v>6.0720893767562512E-2</v>
      </c>
      <c r="C3465" s="477">
        <v>11179739.015358435</v>
      </c>
      <c r="D3465" s="458">
        <v>3.9180209166571611E-2</v>
      </c>
      <c r="E3465" s="477">
        <v>7766742.898997061</v>
      </c>
      <c r="F3465" s="458">
        <v>0.12131872914716157</v>
      </c>
      <c r="G3465" s="477">
        <v>91842118.049343482</v>
      </c>
      <c r="H3465" s="458">
        <v>0.27317640128033505</v>
      </c>
      <c r="I3465" s="468">
        <v>10.875651082502994</v>
      </c>
    </row>
    <row r="3466" spans="1:9" ht="16.5" x14ac:dyDescent="0.3">
      <c r="A3466" s="477">
        <v>7521920.759766168</v>
      </c>
      <c r="B3466" s="458">
        <v>6.0534824614221883E-2</v>
      </c>
      <c r="C3466" s="477">
        <v>8858302.7490839846</v>
      </c>
      <c r="D3466" s="458">
        <v>5.7908985603398744E-2</v>
      </c>
      <c r="E3466" s="477">
        <v>15612088.701734327</v>
      </c>
      <c r="F3466" s="458">
        <v>8.508979693960983E-2</v>
      </c>
      <c r="G3466" s="477">
        <v>94934415.810332492</v>
      </c>
      <c r="H3466" s="458">
        <v>0.25527581190579895</v>
      </c>
      <c r="I3466" s="468">
        <v>4.2930319378032316</v>
      </c>
    </row>
    <row r="3467" spans="1:9" ht="16.5" x14ac:dyDescent="0.3">
      <c r="A3467" s="477">
        <v>5629983.2213659305</v>
      </c>
      <c r="B3467" s="458">
        <v>3.3290810090427225E-2</v>
      </c>
      <c r="C3467" s="477">
        <v>7254652.7932579648</v>
      </c>
      <c r="D3467" s="458">
        <v>7.9300317909142048E-2</v>
      </c>
      <c r="E3467" s="477">
        <v>13864106.359207949</v>
      </c>
      <c r="F3467" s="458">
        <v>0.14315501114076246</v>
      </c>
      <c r="G3467" s="477">
        <v>97864931.733371273</v>
      </c>
      <c r="H3467" s="458">
        <v>0.28075954908659817</v>
      </c>
      <c r="I3467" s="468">
        <v>6.4093468481374005</v>
      </c>
    </row>
    <row r="3468" spans="1:9" ht="16.5" x14ac:dyDescent="0.3">
      <c r="A3468" s="477">
        <v>1069329.8368814767</v>
      </c>
      <c r="B3468" s="458">
        <v>2.595571589710377E-2</v>
      </c>
      <c r="C3468" s="477">
        <v>10757126.327658823</v>
      </c>
      <c r="D3468" s="458">
        <v>5.474806341264693E-2</v>
      </c>
      <c r="E3468" s="477">
        <v>14654141.47479225</v>
      </c>
      <c r="F3468" s="458">
        <v>0.104246038414886</v>
      </c>
      <c r="G3468" s="477">
        <v>94008499.1819354</v>
      </c>
      <c r="H3468" s="458">
        <v>0.2799516761872678</v>
      </c>
      <c r="I3468" s="468">
        <v>7.3529035392072455</v>
      </c>
    </row>
    <row r="3469" spans="1:9" ht="16.5" x14ac:dyDescent="0.3">
      <c r="A3469" s="477">
        <v>6810720.1049288856</v>
      </c>
      <c r="B3469" s="458">
        <v>-6.0287876630399362E-3</v>
      </c>
      <c r="C3469" s="477">
        <v>3698436.4771476383</v>
      </c>
      <c r="D3469" s="458">
        <v>5.7954284898593444E-2</v>
      </c>
      <c r="E3469" s="477">
        <v>14670701.071781762</v>
      </c>
      <c r="F3469" s="458">
        <v>0.13201083096893695</v>
      </c>
      <c r="G3469" s="477">
        <v>94974948.985181406</v>
      </c>
      <c r="H3469" s="458">
        <v>0.25344059717320322</v>
      </c>
      <c r="I3469" s="468">
        <v>8.0681686212166124</v>
      </c>
    </row>
    <row r="3470" spans="1:9" ht="16.5" x14ac:dyDescent="0.3">
      <c r="A3470" s="477">
        <v>-531836.46763962018</v>
      </c>
      <c r="B3470" s="458">
        <v>7.3997648228194324E-2</v>
      </c>
      <c r="C3470" s="477">
        <v>9665598.2330520377</v>
      </c>
      <c r="D3470" s="458">
        <v>7.4973701364630996E-2</v>
      </c>
      <c r="E3470" s="477">
        <v>15840139.470503496</v>
      </c>
      <c r="F3470" s="458">
        <v>0.13128869834845247</v>
      </c>
      <c r="G3470" s="477">
        <v>90619492.663465887</v>
      </c>
      <c r="H3470" s="458">
        <v>0.28010788451752267</v>
      </c>
      <c r="I3470" s="468">
        <v>10.338761028724955</v>
      </c>
    </row>
    <row r="3471" spans="1:9" ht="16.5" x14ac:dyDescent="0.3">
      <c r="A3471" s="477">
        <v>5911545.5777028836</v>
      </c>
      <c r="B3471" s="458">
        <v>7.957559887824206E-2</v>
      </c>
      <c r="C3471" s="477">
        <v>5911337.1446004724</v>
      </c>
      <c r="D3471" s="458">
        <v>6.4189702311651997E-2</v>
      </c>
      <c r="E3471" s="477">
        <v>14607644.583922917</v>
      </c>
      <c r="F3471" s="458">
        <v>0.13172977250993667</v>
      </c>
      <c r="G3471" s="477">
        <v>98906720.240205422</v>
      </c>
      <c r="H3471" s="458">
        <v>0.2696212731412797</v>
      </c>
      <c r="I3471" s="468">
        <v>9.7979159228078494</v>
      </c>
    </row>
    <row r="3472" spans="1:9" ht="16.5" x14ac:dyDescent="0.3">
      <c r="A3472" s="477">
        <v>8081937.0538657736</v>
      </c>
      <c r="B3472" s="458">
        <v>2.7243711105468194E-2</v>
      </c>
      <c r="C3472" s="477">
        <v>2254837.4814694035</v>
      </c>
      <c r="D3472" s="458">
        <v>4.2959749068119724E-2</v>
      </c>
      <c r="E3472" s="477">
        <v>18503529.102027554</v>
      </c>
      <c r="F3472" s="458">
        <v>0.10491510633557755</v>
      </c>
      <c r="G3472" s="477">
        <v>73582268.251010031</v>
      </c>
      <c r="H3472" s="458">
        <v>0.28037928236690046</v>
      </c>
      <c r="I3472" s="468">
        <v>5.5050650727552259</v>
      </c>
    </row>
    <row r="3473" spans="1:9" ht="16.5" x14ac:dyDescent="0.3">
      <c r="A3473" s="477">
        <v>4214049.5393868722</v>
      </c>
      <c r="B3473" s="458">
        <v>3.4457251305166192E-2</v>
      </c>
      <c r="C3473" s="477">
        <v>8890888.3362994958</v>
      </c>
      <c r="D3473" s="458">
        <v>9.4722681427388711E-2</v>
      </c>
      <c r="E3473" s="477">
        <v>7955171.3903161176</v>
      </c>
      <c r="F3473" s="458">
        <v>0.11661198796207217</v>
      </c>
      <c r="G3473" s="477">
        <v>99893453.658981338</v>
      </c>
      <c r="H3473" s="458">
        <v>0.25879470918505598</v>
      </c>
      <c r="I3473" s="468">
        <v>14.914678969201848</v>
      </c>
    </row>
    <row r="3474" spans="1:9" ht="16.5" x14ac:dyDescent="0.3">
      <c r="A3474" s="477">
        <v>5678680.6158486456</v>
      </c>
      <c r="B3474" s="458">
        <v>3.4298928227915804E-2</v>
      </c>
      <c r="C3474" s="477">
        <v>8300189.7722155973</v>
      </c>
      <c r="D3474" s="458">
        <v>0.10277248622960844</v>
      </c>
      <c r="E3474" s="477">
        <v>12133768.92813397</v>
      </c>
      <c r="F3474" s="458">
        <v>0.11817714457655804</v>
      </c>
      <c r="G3474" s="477">
        <v>78437577.790277541</v>
      </c>
      <c r="H3474" s="458">
        <v>0.25937533809656355</v>
      </c>
      <c r="I3474" s="468">
        <v>12.940833034381907</v>
      </c>
    </row>
    <row r="3475" spans="1:9" ht="16.5" x14ac:dyDescent="0.3">
      <c r="A3475" s="477">
        <v>4382634.4567679167</v>
      </c>
      <c r="B3475" s="458">
        <v>4.2038844930886166E-2</v>
      </c>
      <c r="C3475" s="477">
        <v>5423031.4946320318</v>
      </c>
      <c r="D3475" s="458">
        <v>4.0188449727834419E-2</v>
      </c>
      <c r="E3475" s="477">
        <v>5727954.5369018447</v>
      </c>
      <c r="F3475" s="458">
        <v>0.11653447730420208</v>
      </c>
      <c r="G3475" s="477">
        <v>92942790.071581051</v>
      </c>
      <c r="H3475" s="458">
        <v>0.28196940052511543</v>
      </c>
      <c r="I3475" s="468">
        <v>3.4584668927599038</v>
      </c>
    </row>
    <row r="3476" spans="1:9" ht="16.5" x14ac:dyDescent="0.3">
      <c r="A3476" s="477">
        <v>3346293.830927873</v>
      </c>
      <c r="B3476" s="458">
        <v>3.4254782128107397E-2</v>
      </c>
      <c r="C3476" s="477">
        <v>11989555.266298572</v>
      </c>
      <c r="D3476" s="458">
        <v>8.8605070274837772E-2</v>
      </c>
      <c r="E3476" s="477">
        <v>12707263.587676972</v>
      </c>
      <c r="F3476" s="458">
        <v>0.10746527747013634</v>
      </c>
      <c r="G3476" s="477">
        <v>92355011.579137549</v>
      </c>
      <c r="H3476" s="458">
        <v>0.27431332458307423</v>
      </c>
      <c r="I3476" s="468">
        <v>5.0425024929721545</v>
      </c>
    </row>
    <row r="3477" spans="1:9" ht="16.5" x14ac:dyDescent="0.3">
      <c r="A3477" s="477">
        <v>8051872.6657493934</v>
      </c>
      <c r="B3477" s="458">
        <v>3.0530864727568385E-2</v>
      </c>
      <c r="C3477" s="477">
        <v>12411719.073136412</v>
      </c>
      <c r="D3477" s="458">
        <v>6.6554846218296548E-2</v>
      </c>
      <c r="E3477" s="477">
        <v>14591470.0218703</v>
      </c>
      <c r="F3477" s="458">
        <v>0.12696355346460142</v>
      </c>
      <c r="G3477" s="477">
        <v>79681315.513844311</v>
      </c>
      <c r="H3477" s="458">
        <v>0.26568689119528033</v>
      </c>
      <c r="I3477" s="468">
        <v>7.7831087444730036</v>
      </c>
    </row>
    <row r="3478" spans="1:9" ht="16.5" x14ac:dyDescent="0.3">
      <c r="A3478" s="477">
        <v>3326885.160613487</v>
      </c>
      <c r="B3478" s="458">
        <v>4.2685919891892965E-2</v>
      </c>
      <c r="C3478" s="477">
        <v>4367321.5913184099</v>
      </c>
      <c r="D3478" s="458">
        <v>8.5809174210664363E-2</v>
      </c>
      <c r="E3478" s="477">
        <v>15600872.492896903</v>
      </c>
      <c r="F3478" s="458">
        <v>0.10735816755388017</v>
      </c>
      <c r="G3478" s="477">
        <v>98480231.119196936</v>
      </c>
      <c r="H3478" s="458">
        <v>0.25077544603705104</v>
      </c>
      <c r="I3478" s="468">
        <v>11.19877788315574</v>
      </c>
    </row>
    <row r="3479" spans="1:9" ht="16.5" x14ac:dyDescent="0.3">
      <c r="A3479" s="477">
        <v>7089614.8935311921</v>
      </c>
      <c r="B3479" s="458">
        <v>5.6110003764580307E-2</v>
      </c>
      <c r="C3479" s="477">
        <v>13727643.476290731</v>
      </c>
      <c r="D3479" s="458">
        <v>6.8162254874168937E-2</v>
      </c>
      <c r="E3479" s="477">
        <v>15398961.506245445</v>
      </c>
      <c r="F3479" s="458">
        <v>9.558965635392358E-2</v>
      </c>
      <c r="G3479" s="477">
        <v>89603218.299777001</v>
      </c>
      <c r="H3479" s="458">
        <v>0.27345258766219649</v>
      </c>
      <c r="I3479" s="468">
        <v>6.8078678321899453</v>
      </c>
    </row>
    <row r="3480" spans="1:9" ht="16.5" x14ac:dyDescent="0.3">
      <c r="A3480" s="477">
        <v>4465287.8501652582</v>
      </c>
      <c r="B3480" s="458">
        <v>5.6510758650395676E-2</v>
      </c>
      <c r="C3480" s="477">
        <v>7331455.7104319418</v>
      </c>
      <c r="D3480" s="458">
        <v>7.1571646063938621E-2</v>
      </c>
      <c r="E3480" s="477">
        <v>16869457.320892446</v>
      </c>
      <c r="F3480" s="458">
        <v>0.11987553739366064</v>
      </c>
      <c r="G3480" s="477">
        <v>80587780.486083016</v>
      </c>
      <c r="H3480" s="458">
        <v>0.26005133779855427</v>
      </c>
      <c r="I3480" s="468">
        <v>12.31276399817839</v>
      </c>
    </row>
    <row r="3481" spans="1:9" ht="16.5" x14ac:dyDescent="0.3">
      <c r="A3481" s="477">
        <v>3839055.1074272674</v>
      </c>
      <c r="B3481" s="458">
        <v>4.0734402004197312E-2</v>
      </c>
      <c r="C3481" s="477">
        <v>11251536.649432246</v>
      </c>
      <c r="D3481" s="458">
        <v>5.9474140038072942E-2</v>
      </c>
      <c r="E3481" s="477">
        <v>8913064.3300653361</v>
      </c>
      <c r="F3481" s="458">
        <v>9.8171496303988581E-2</v>
      </c>
      <c r="G3481" s="477">
        <v>89313768.15665482</v>
      </c>
      <c r="H3481" s="458">
        <v>0.27154865926639915</v>
      </c>
      <c r="I3481" s="468">
        <v>4.4537757697045937</v>
      </c>
    </row>
    <row r="3482" spans="1:9" ht="16.5" x14ac:dyDescent="0.3">
      <c r="A3482" s="477">
        <v>8800326.4491628148</v>
      </c>
      <c r="B3482" s="458">
        <v>3.6623391757445889E-2</v>
      </c>
      <c r="C3482" s="477">
        <v>7720747.7463346263</v>
      </c>
      <c r="D3482" s="458">
        <v>6.9409552053153467E-2</v>
      </c>
      <c r="E3482" s="477">
        <v>19816500.093462229</v>
      </c>
      <c r="F3482" s="458">
        <v>0.10363945714536871</v>
      </c>
      <c r="G3482" s="477">
        <v>81705855.351865679</v>
      </c>
      <c r="H3482" s="458">
        <v>0.29532039389616282</v>
      </c>
      <c r="I3482" s="468">
        <v>10.519321388746903</v>
      </c>
    </row>
    <row r="3483" spans="1:9" ht="16.5" x14ac:dyDescent="0.3">
      <c r="A3483" s="477">
        <v>3392367.4951252579</v>
      </c>
      <c r="B3483" s="458">
        <v>4.6773472170138941E-2</v>
      </c>
      <c r="C3483" s="477">
        <v>5921143.5764068039</v>
      </c>
      <c r="D3483" s="458">
        <v>7.8572671285308759E-2</v>
      </c>
      <c r="E3483" s="477">
        <v>19258384.531485736</v>
      </c>
      <c r="F3483" s="458">
        <v>0.1064049897067505</v>
      </c>
      <c r="G3483" s="477">
        <v>89972254.226405665</v>
      </c>
      <c r="H3483" s="458">
        <v>0.27973124925845516</v>
      </c>
      <c r="I3483" s="468">
        <v>8.4303255447393255</v>
      </c>
    </row>
    <row r="3484" spans="1:9" ht="16.5" x14ac:dyDescent="0.3">
      <c r="A3484" s="477">
        <v>6535367.8536237981</v>
      </c>
      <c r="B3484" s="458">
        <v>5.5471746779705455E-2</v>
      </c>
      <c r="C3484" s="477">
        <v>12345027.289918318</v>
      </c>
      <c r="D3484" s="458">
        <v>7.4387187255341214E-2</v>
      </c>
      <c r="E3484" s="477">
        <v>15419962.372567263</v>
      </c>
      <c r="F3484" s="458">
        <v>9.3114078333116579E-2</v>
      </c>
      <c r="G3484" s="477">
        <v>89981791.543382883</v>
      </c>
      <c r="H3484" s="458">
        <v>0.28428811913760743</v>
      </c>
      <c r="I3484" s="468">
        <v>4.5897087764720244</v>
      </c>
    </row>
    <row r="3485" spans="1:9" ht="16.5" x14ac:dyDescent="0.3">
      <c r="A3485" s="477">
        <v>9039568.1262782998</v>
      </c>
      <c r="B3485" s="458">
        <v>3.7388158377461345E-2</v>
      </c>
      <c r="C3485" s="477">
        <v>7871327.293726651</v>
      </c>
      <c r="D3485" s="458">
        <v>5.6309454985450813E-2</v>
      </c>
      <c r="E3485" s="477">
        <v>14507167.302596783</v>
      </c>
      <c r="F3485" s="458">
        <v>0.12857869361511165</v>
      </c>
      <c r="G3485" s="477">
        <v>85958877.657495022</v>
      </c>
      <c r="H3485" s="458">
        <v>0.25699454880221473</v>
      </c>
      <c r="I3485" s="468">
        <v>11.725311646954671</v>
      </c>
    </row>
    <row r="3486" spans="1:9" ht="16.5" x14ac:dyDescent="0.3">
      <c r="A3486" s="477">
        <v>7006593.1274061361</v>
      </c>
      <c r="B3486" s="458">
        <v>4.7664818395768416E-2</v>
      </c>
      <c r="C3486" s="477">
        <v>8274304.422798438</v>
      </c>
      <c r="D3486" s="458">
        <v>4.4726135010077606E-2</v>
      </c>
      <c r="E3486" s="477">
        <v>14880075.30611282</v>
      </c>
      <c r="F3486" s="458">
        <v>0.1105256588089234</v>
      </c>
      <c r="G3486" s="477">
        <v>92165046.088042125</v>
      </c>
      <c r="H3486" s="458">
        <v>0.25866827721085173</v>
      </c>
      <c r="I3486" s="468">
        <v>6.6077021607772233</v>
      </c>
    </row>
    <row r="3487" spans="1:9" ht="16.5" x14ac:dyDescent="0.3">
      <c r="A3487" s="477">
        <v>3220166.1050353292</v>
      </c>
      <c r="B3487" s="458">
        <v>4.5145901710279768E-2</v>
      </c>
      <c r="C3487" s="477">
        <v>12477037.106567642</v>
      </c>
      <c r="D3487" s="458">
        <v>5.5186661039043239E-2</v>
      </c>
      <c r="E3487" s="477">
        <v>16283864.662542842</v>
      </c>
      <c r="F3487" s="458">
        <v>0.10868243508078201</v>
      </c>
      <c r="G3487" s="477">
        <v>88371870.367004901</v>
      </c>
      <c r="H3487" s="458">
        <v>0.26327185092977401</v>
      </c>
      <c r="I3487" s="468">
        <v>3.7596436070521237</v>
      </c>
    </row>
    <row r="3488" spans="1:9" ht="16.5" x14ac:dyDescent="0.3">
      <c r="A3488" s="477">
        <v>4838429.5984085156</v>
      </c>
      <c r="B3488" s="458">
        <v>9.3457886596902906E-2</v>
      </c>
      <c r="C3488" s="477">
        <v>2542020.7777406937</v>
      </c>
      <c r="D3488" s="458">
        <v>6.0742940087182395E-2</v>
      </c>
      <c r="E3488" s="477">
        <v>2304848.8914839821</v>
      </c>
      <c r="F3488" s="458">
        <v>0.11715459035282816</v>
      </c>
      <c r="G3488" s="477">
        <v>98550123.162155584</v>
      </c>
      <c r="H3488" s="458">
        <v>0.26638522739870707</v>
      </c>
      <c r="I3488" s="468">
        <v>12.5492365550898</v>
      </c>
    </row>
    <row r="3489" spans="1:9" ht="16.5" x14ac:dyDescent="0.3">
      <c r="A3489" s="477">
        <v>8259034.4906018302</v>
      </c>
      <c r="B3489" s="458">
        <v>3.9549682328759328E-2</v>
      </c>
      <c r="C3489" s="477">
        <v>8451417.9440864306</v>
      </c>
      <c r="D3489" s="458">
        <v>8.466031428409182E-2</v>
      </c>
      <c r="E3489" s="477">
        <v>19745477.86222329</v>
      </c>
      <c r="F3489" s="458">
        <v>0.10751792801269189</v>
      </c>
      <c r="G3489" s="477">
        <v>101965808.61676231</v>
      </c>
      <c r="H3489" s="458">
        <v>0.25584478789202625</v>
      </c>
      <c r="I3489" s="468">
        <v>7.3550753933178985</v>
      </c>
    </row>
    <row r="3490" spans="1:9" ht="16.5" x14ac:dyDescent="0.3">
      <c r="A3490" s="477">
        <v>2734341.6915560435</v>
      </c>
      <c r="B3490" s="458">
        <v>5.7113261394973858E-2</v>
      </c>
      <c r="C3490" s="477">
        <v>12955207.339894522</v>
      </c>
      <c r="D3490" s="458">
        <v>8.4695163917496208E-2</v>
      </c>
      <c r="E3490" s="477">
        <v>20568281.207791191</v>
      </c>
      <c r="F3490" s="458">
        <v>0.11102563490229955</v>
      </c>
      <c r="G3490" s="477">
        <v>93236072.254185095</v>
      </c>
      <c r="H3490" s="458">
        <v>0.25588890820391441</v>
      </c>
      <c r="I3490" s="468">
        <v>13.074911784552411</v>
      </c>
    </row>
    <row r="3491" spans="1:9" ht="16.5" x14ac:dyDescent="0.3">
      <c r="A3491" s="477">
        <v>2342679.9327261327</v>
      </c>
      <c r="B3491" s="458">
        <v>3.6639247231701866E-2</v>
      </c>
      <c r="C3491" s="477">
        <v>9391109.6623277124</v>
      </c>
      <c r="D3491" s="458">
        <v>4.9843648141509878E-2</v>
      </c>
      <c r="E3491" s="477">
        <v>13350850.641653566</v>
      </c>
      <c r="F3491" s="458">
        <v>0.12339527166898234</v>
      </c>
      <c r="G3491" s="477">
        <v>83698810.306503505</v>
      </c>
      <c r="H3491" s="458">
        <v>0.26542863684953599</v>
      </c>
      <c r="I3491" s="468">
        <v>8.7834059786870533</v>
      </c>
    </row>
    <row r="3492" spans="1:9" ht="16.5" x14ac:dyDescent="0.3">
      <c r="A3492" s="477">
        <v>2441363.1725560869</v>
      </c>
      <c r="B3492" s="458">
        <v>3.5251658566712418E-2</v>
      </c>
      <c r="C3492" s="477">
        <v>12087121.713405315</v>
      </c>
      <c r="D3492" s="458">
        <v>0.1062760637387461</v>
      </c>
      <c r="E3492" s="477">
        <v>7408126.6230161134</v>
      </c>
      <c r="F3492" s="458">
        <v>0.10720876015613423</v>
      </c>
      <c r="G3492" s="477">
        <v>95982937.537309796</v>
      </c>
      <c r="H3492" s="458">
        <v>0.2728077895278509</v>
      </c>
      <c r="I3492" s="468">
        <v>9.7227999082169756</v>
      </c>
    </row>
    <row r="3493" spans="1:9" ht="16.5" x14ac:dyDescent="0.3">
      <c r="A3493" s="477">
        <v>5336500.2110475749</v>
      </c>
      <c r="B3493" s="458">
        <v>4.296497457759485E-2</v>
      </c>
      <c r="C3493" s="477">
        <v>8056048.2564179553</v>
      </c>
      <c r="D3493" s="458">
        <v>4.0649481348999705E-2</v>
      </c>
      <c r="E3493" s="477">
        <v>9294384.4341661856</v>
      </c>
      <c r="F3493" s="458">
        <v>0.10586578289369153</v>
      </c>
      <c r="G3493" s="477">
        <v>97860264.330985233</v>
      </c>
      <c r="H3493" s="458">
        <v>0.27060603960179441</v>
      </c>
      <c r="I3493" s="468">
        <v>7.0596234390117409</v>
      </c>
    </row>
    <row r="3494" spans="1:9" ht="16.5" x14ac:dyDescent="0.3">
      <c r="A3494" s="477">
        <v>2154255.4806925049</v>
      </c>
      <c r="B3494" s="458">
        <v>4.9012907061797506E-2</v>
      </c>
      <c r="C3494" s="477">
        <v>9664212.5087516122</v>
      </c>
      <c r="D3494" s="458">
        <v>5.902206965665191E-2</v>
      </c>
      <c r="E3494" s="477">
        <v>21210536.98734466</v>
      </c>
      <c r="F3494" s="458">
        <v>9.9718325471833236E-2</v>
      </c>
      <c r="G3494" s="477">
        <v>80965580.797672331</v>
      </c>
      <c r="H3494" s="458">
        <v>0.26874455544044684</v>
      </c>
      <c r="I3494" s="468">
        <v>5.5806488705755015</v>
      </c>
    </row>
    <row r="3495" spans="1:9" ht="16.5" x14ac:dyDescent="0.3">
      <c r="A3495" s="477">
        <v>5158561.5223070933</v>
      </c>
      <c r="B3495" s="458">
        <v>3.3056949110858325E-2</v>
      </c>
      <c r="C3495" s="477">
        <v>11335130.932283616</v>
      </c>
      <c r="D3495" s="458">
        <v>6.3949494756824876E-2</v>
      </c>
      <c r="E3495" s="477">
        <v>12638938.604856379</v>
      </c>
      <c r="F3495" s="458">
        <v>0.13692933977908495</v>
      </c>
      <c r="G3495" s="477">
        <v>88674616.792917222</v>
      </c>
      <c r="H3495" s="458">
        <v>0.26894331708654828</v>
      </c>
      <c r="I3495" s="468">
        <v>10.376371020572723</v>
      </c>
    </row>
    <row r="3496" spans="1:9" ht="16.5" x14ac:dyDescent="0.3">
      <c r="A3496" s="477">
        <v>522317.60358075838</v>
      </c>
      <c r="B3496" s="458">
        <v>3.9958414386714658E-2</v>
      </c>
      <c r="C3496" s="477">
        <v>7258670.4600781426</v>
      </c>
      <c r="D3496" s="458">
        <v>6.7419607154286965E-2</v>
      </c>
      <c r="E3496" s="477">
        <v>13331859.785294008</v>
      </c>
      <c r="F3496" s="458">
        <v>0.10571677595609041</v>
      </c>
      <c r="G3496" s="477">
        <v>89490178.110604271</v>
      </c>
      <c r="H3496" s="458">
        <v>0.25816079591494789</v>
      </c>
      <c r="I3496" s="468">
        <v>7.177496263588572</v>
      </c>
    </row>
    <row r="3497" spans="1:9" ht="16.5" x14ac:dyDescent="0.3">
      <c r="A3497" s="477">
        <v>3154828.7557216855</v>
      </c>
      <c r="B3497" s="458">
        <v>5.4428369037024416E-2</v>
      </c>
      <c r="C3497" s="477">
        <v>8694044.152182173</v>
      </c>
      <c r="D3497" s="458">
        <v>5.1584488090254954E-2</v>
      </c>
      <c r="E3497" s="477">
        <v>18814195.384054862</v>
      </c>
      <c r="F3497" s="458">
        <v>0.11448964884776758</v>
      </c>
      <c r="G3497" s="477">
        <v>78395456.57163915</v>
      </c>
      <c r="H3497" s="458">
        <v>0.26712404554512381</v>
      </c>
      <c r="I3497" s="468">
        <v>12.041442162612679</v>
      </c>
    </row>
    <row r="3498" spans="1:9" ht="16.5" x14ac:dyDescent="0.3">
      <c r="A3498" s="477">
        <v>785864.92123701877</v>
      </c>
      <c r="B3498" s="458">
        <v>2.9927252884326183E-2</v>
      </c>
      <c r="C3498" s="477">
        <v>10951821.291704124</v>
      </c>
      <c r="D3498" s="458">
        <v>3.8051171660824057E-2</v>
      </c>
      <c r="E3498" s="477">
        <v>20964874.206887592</v>
      </c>
      <c r="F3498" s="458">
        <v>9.7281539024429708E-2</v>
      </c>
      <c r="G3498" s="477">
        <v>104123575.22318713</v>
      </c>
      <c r="H3498" s="458">
        <v>0.2657799271434631</v>
      </c>
      <c r="I3498" s="468">
        <v>9.5140357048691833</v>
      </c>
    </row>
    <row r="3499" spans="1:9" ht="16.5" x14ac:dyDescent="0.3">
      <c r="A3499" s="477">
        <v>8413557.8477122895</v>
      </c>
      <c r="B3499" s="458">
        <v>4.0019378417304852E-2</v>
      </c>
      <c r="C3499" s="477">
        <v>3267297.1307395161</v>
      </c>
      <c r="D3499" s="458">
        <v>6.8200445136323617E-2</v>
      </c>
      <c r="E3499" s="477">
        <v>14884106.327864291</v>
      </c>
      <c r="F3499" s="458">
        <v>0.12047102357366923</v>
      </c>
      <c r="G3499" s="477">
        <v>85007887.357077971</v>
      </c>
      <c r="H3499" s="458">
        <v>0.27664814669067961</v>
      </c>
      <c r="I3499" s="468">
        <v>5.0596326360995949</v>
      </c>
    </row>
    <row r="3500" spans="1:9" ht="16.5" x14ac:dyDescent="0.3">
      <c r="A3500" s="477">
        <v>11315388.885788593</v>
      </c>
      <c r="B3500" s="458">
        <v>4.0718153770755272E-2</v>
      </c>
      <c r="C3500" s="477">
        <v>9320498.6548243836</v>
      </c>
      <c r="D3500" s="458">
        <v>6.8976074168469514E-2</v>
      </c>
      <c r="E3500" s="477">
        <v>9213461.2585714087</v>
      </c>
      <c r="F3500" s="458">
        <v>0.11590368887926994</v>
      </c>
      <c r="G3500" s="477">
        <v>81325324.274812579</v>
      </c>
      <c r="H3500" s="458">
        <v>0.26620872586585453</v>
      </c>
      <c r="I3500" s="468">
        <v>7.9120668589114915</v>
      </c>
    </row>
    <row r="3501" spans="1:9" ht="16.5" x14ac:dyDescent="0.3">
      <c r="A3501" s="477">
        <v>10835927.793936558</v>
      </c>
      <c r="B3501" s="458">
        <v>4.4805276181468345E-2</v>
      </c>
      <c r="C3501" s="477">
        <v>1917771.5506777563</v>
      </c>
      <c r="D3501" s="458">
        <v>7.0963593853958784E-2</v>
      </c>
      <c r="E3501" s="477">
        <v>23067766.865360823</v>
      </c>
      <c r="F3501" s="458">
        <v>0.11038010654564578</v>
      </c>
      <c r="G3501" s="477">
        <v>93529847.714672878</v>
      </c>
      <c r="H3501" s="458">
        <v>0.27068331795507827</v>
      </c>
      <c r="I3501" s="468">
        <v>7.8161839888446707</v>
      </c>
    </row>
    <row r="3502" spans="1:9" ht="16.5" x14ac:dyDescent="0.3">
      <c r="A3502" s="477">
        <v>1283548.4631774724</v>
      </c>
      <c r="B3502" s="458">
        <v>5.0634920053063803E-2</v>
      </c>
      <c r="C3502" s="477">
        <v>11580437.780574126</v>
      </c>
      <c r="D3502" s="458">
        <v>5.2630554406105201E-2</v>
      </c>
      <c r="E3502" s="477">
        <v>22346406.950584415</v>
      </c>
      <c r="F3502" s="458">
        <v>0.11976762925037043</v>
      </c>
      <c r="G3502" s="477">
        <v>86385649.345312834</v>
      </c>
      <c r="H3502" s="458">
        <v>0.2683291124753695</v>
      </c>
      <c r="I3502" s="468">
        <v>9.8788477494999007</v>
      </c>
    </row>
    <row r="3503" spans="1:9" ht="16.5" x14ac:dyDescent="0.3">
      <c r="A3503" s="477">
        <v>9348562.1805026438</v>
      </c>
      <c r="B3503" s="458">
        <v>3.4518927904488406E-2</v>
      </c>
      <c r="C3503" s="477">
        <v>4994569.0554048233</v>
      </c>
      <c r="D3503" s="458">
        <v>4.8955644090597161E-2</v>
      </c>
      <c r="E3503" s="477">
        <v>13245943.576770891</v>
      </c>
      <c r="F3503" s="458">
        <v>9.1902929016412394E-2</v>
      </c>
      <c r="G3503" s="477">
        <v>102310214.9767393</v>
      </c>
      <c r="H3503" s="458">
        <v>0.26644264286497044</v>
      </c>
      <c r="I3503" s="468">
        <v>16.319901171143066</v>
      </c>
    </row>
    <row r="3504" spans="1:9" ht="16.5" x14ac:dyDescent="0.3">
      <c r="A3504" s="477">
        <v>8021831.0235778308</v>
      </c>
      <c r="B3504" s="458">
        <v>3.0650558237024228E-2</v>
      </c>
      <c r="C3504" s="477">
        <v>6088455.5075720455</v>
      </c>
      <c r="D3504" s="458">
        <v>2.7441592329544573E-2</v>
      </c>
      <c r="E3504" s="477">
        <v>16440768.56589946</v>
      </c>
      <c r="F3504" s="458">
        <v>0.12404662600842364</v>
      </c>
      <c r="G3504" s="477">
        <v>79377662.352019444</v>
      </c>
      <c r="H3504" s="458">
        <v>0.25596352175864223</v>
      </c>
      <c r="I3504" s="468">
        <v>2.0312340274071854</v>
      </c>
    </row>
    <row r="3505" spans="1:9" ht="16.5" x14ac:dyDescent="0.3">
      <c r="A3505" s="477">
        <v>5618300.6441727951</v>
      </c>
      <c r="B3505" s="458">
        <v>3.7403351143955099E-2</v>
      </c>
      <c r="C3505" s="477">
        <v>12673744.017667463</v>
      </c>
      <c r="D3505" s="458">
        <v>5.1002364156478075E-2</v>
      </c>
      <c r="E3505" s="477">
        <v>25390174.789235864</v>
      </c>
      <c r="F3505" s="458">
        <v>0.10711439301448489</v>
      </c>
      <c r="G3505" s="477">
        <v>103493427.29897389</v>
      </c>
      <c r="H3505" s="458">
        <v>0.24423112887276455</v>
      </c>
      <c r="I3505" s="468">
        <v>5.1697858041746745</v>
      </c>
    </row>
    <row r="3506" spans="1:9" ht="16.5" x14ac:dyDescent="0.3">
      <c r="A3506" s="477">
        <v>3556277.6386735942</v>
      </c>
      <c r="B3506" s="458">
        <v>6.0566958868378151E-2</v>
      </c>
      <c r="C3506" s="477">
        <v>7640328.7716989182</v>
      </c>
      <c r="D3506" s="458">
        <v>5.505034645225626E-2</v>
      </c>
      <c r="E3506" s="477">
        <v>18183083.029107358</v>
      </c>
      <c r="F3506" s="458">
        <v>0.1044791952412818</v>
      </c>
      <c r="G3506" s="477">
        <v>97085162.351554662</v>
      </c>
      <c r="H3506" s="458">
        <v>0.26858969677811961</v>
      </c>
      <c r="I3506" s="468">
        <v>4.209509414019049</v>
      </c>
    </row>
    <row r="3507" spans="1:9" ht="16.5" x14ac:dyDescent="0.3">
      <c r="A3507" s="477">
        <v>7252238.5581563357</v>
      </c>
      <c r="B3507" s="458">
        <v>6.9455960952222506E-2</v>
      </c>
      <c r="C3507" s="477">
        <v>1631607.5500645642</v>
      </c>
      <c r="D3507" s="458">
        <v>3.8649453341555784E-2</v>
      </c>
      <c r="E3507" s="477">
        <v>22489124.940738432</v>
      </c>
      <c r="F3507" s="458">
        <v>0.10303316090908288</v>
      </c>
      <c r="G3507" s="477">
        <v>100254079.73859629</v>
      </c>
      <c r="H3507" s="458">
        <v>0.28486482171716365</v>
      </c>
      <c r="I3507" s="468">
        <v>12.295087804988746</v>
      </c>
    </row>
    <row r="3508" spans="1:9" ht="16.5" x14ac:dyDescent="0.3">
      <c r="A3508" s="477">
        <v>5420116.9545196062</v>
      </c>
      <c r="B3508" s="458">
        <v>3.1772247120888109E-2</v>
      </c>
      <c r="C3508" s="477">
        <v>10781226.868781023</v>
      </c>
      <c r="D3508" s="458">
        <v>7.5617203581797021E-2</v>
      </c>
      <c r="E3508" s="477">
        <v>21612868.670515396</v>
      </c>
      <c r="F3508" s="458">
        <v>0.11393025959460457</v>
      </c>
      <c r="G3508" s="477">
        <v>82133391.881093994</v>
      </c>
      <c r="H3508" s="458">
        <v>0.27278195975613007</v>
      </c>
      <c r="I3508" s="468">
        <v>8.4897375719081829</v>
      </c>
    </row>
    <row r="3509" spans="1:9" ht="16.5" x14ac:dyDescent="0.3">
      <c r="A3509" s="477">
        <v>5679851.2720284946</v>
      </c>
      <c r="B3509" s="458">
        <v>9.7201155539121009E-2</v>
      </c>
      <c r="C3509" s="477">
        <v>11571622.804188075</v>
      </c>
      <c r="D3509" s="458">
        <v>7.8014471593105483E-2</v>
      </c>
      <c r="E3509" s="477">
        <v>22927655.122950524</v>
      </c>
      <c r="F3509" s="458">
        <v>0.11365493365703871</v>
      </c>
      <c r="G3509" s="477">
        <v>71015222.996673152</v>
      </c>
      <c r="H3509" s="458">
        <v>0.25821778266384476</v>
      </c>
      <c r="I3509" s="468">
        <v>11.828224251212065</v>
      </c>
    </row>
    <row r="3510" spans="1:9" ht="16.5" x14ac:dyDescent="0.3">
      <c r="A3510" s="477">
        <v>4667669.7751714317</v>
      </c>
      <c r="B3510" s="458">
        <v>4.2590532517569057E-2</v>
      </c>
      <c r="C3510" s="477">
        <v>6915003.3635810306</v>
      </c>
      <c r="D3510" s="458">
        <v>6.856346866754115E-2</v>
      </c>
      <c r="E3510" s="477">
        <v>14144880.697458722</v>
      </c>
      <c r="F3510" s="458">
        <v>0.12587633511577812</v>
      </c>
      <c r="G3510" s="477">
        <v>87765225.001852289</v>
      </c>
      <c r="H3510" s="458">
        <v>0.28267615391429324</v>
      </c>
      <c r="I3510" s="468">
        <v>5.2648783425332075</v>
      </c>
    </row>
    <row r="3511" spans="1:9" ht="16.5" x14ac:dyDescent="0.3">
      <c r="A3511" s="477">
        <v>8414344.6159571968</v>
      </c>
      <c r="B3511" s="458">
        <v>3.3950302349223138E-2</v>
      </c>
      <c r="C3511" s="477">
        <v>9339851.4215493631</v>
      </c>
      <c r="D3511" s="458">
        <v>4.7003681261311048E-2</v>
      </c>
      <c r="E3511" s="477">
        <v>7793593.6961920848</v>
      </c>
      <c r="F3511" s="458">
        <v>0.11648352208040147</v>
      </c>
      <c r="G3511" s="477">
        <v>81796104.561828658</v>
      </c>
      <c r="H3511" s="458">
        <v>0.26179699765158726</v>
      </c>
      <c r="I3511" s="468">
        <v>5.6415448583686114</v>
      </c>
    </row>
    <row r="3512" spans="1:9" ht="16.5" x14ac:dyDescent="0.3">
      <c r="A3512" s="477">
        <v>1113761.9648988137</v>
      </c>
      <c r="B3512" s="458">
        <v>4.136481325074115E-2</v>
      </c>
      <c r="C3512" s="477">
        <v>12835557.912544943</v>
      </c>
      <c r="D3512" s="458">
        <v>7.4139236784644513E-2</v>
      </c>
      <c r="E3512" s="477">
        <v>7193816.3064021496</v>
      </c>
      <c r="F3512" s="458">
        <v>0.11287164371545799</v>
      </c>
      <c r="G3512" s="477">
        <v>85673133.439823896</v>
      </c>
      <c r="H3512" s="458">
        <v>0.26919040366341851</v>
      </c>
      <c r="I3512" s="468">
        <v>0.20892279412094172</v>
      </c>
    </row>
    <row r="3513" spans="1:9" ht="16.5" x14ac:dyDescent="0.3">
      <c r="A3513" s="477">
        <v>8141850.9030105472</v>
      </c>
      <c r="B3513" s="458">
        <v>5.3212375781443555E-2</v>
      </c>
      <c r="C3513" s="477">
        <v>12589454.601828204</v>
      </c>
      <c r="D3513" s="458">
        <v>5.3922983944317382E-2</v>
      </c>
      <c r="E3513" s="477">
        <v>7949079.4932799386</v>
      </c>
      <c r="F3513" s="458">
        <v>0.13522317514343873</v>
      </c>
      <c r="G3513" s="477">
        <v>94934891.701466367</v>
      </c>
      <c r="H3513" s="458">
        <v>0.26337870024925181</v>
      </c>
      <c r="I3513" s="468">
        <v>9.1383700131101389</v>
      </c>
    </row>
    <row r="3514" spans="1:9" ht="16.5" x14ac:dyDescent="0.3">
      <c r="A3514" s="477">
        <v>8992944.6954063941</v>
      </c>
      <c r="B3514" s="458">
        <v>3.9241617174934351E-2</v>
      </c>
      <c r="C3514" s="477">
        <v>6003426.1356261121</v>
      </c>
      <c r="D3514" s="458">
        <v>6.4408285212930627E-2</v>
      </c>
      <c r="E3514" s="477">
        <v>7940256.3515598439</v>
      </c>
      <c r="F3514" s="458">
        <v>9.5633851471864428E-2</v>
      </c>
      <c r="G3514" s="477">
        <v>93363110.794018194</v>
      </c>
      <c r="H3514" s="458">
        <v>0.26740444230689731</v>
      </c>
      <c r="I3514" s="468">
        <v>11.600810161895348</v>
      </c>
    </row>
    <row r="3515" spans="1:9" ht="16.5" x14ac:dyDescent="0.3">
      <c r="A3515" s="477">
        <v>1171738.9834637267</v>
      </c>
      <c r="B3515" s="458">
        <v>4.6293624649693443E-2</v>
      </c>
      <c r="C3515" s="477">
        <v>8853164.8399836272</v>
      </c>
      <c r="D3515" s="458">
        <v>6.5637447801393911E-2</v>
      </c>
      <c r="E3515" s="477">
        <v>21370403.428510144</v>
      </c>
      <c r="F3515" s="458">
        <v>0.10269308985930192</v>
      </c>
      <c r="G3515" s="477">
        <v>82386286.626036316</v>
      </c>
      <c r="H3515" s="458">
        <v>0.28038784000601824</v>
      </c>
      <c r="I3515" s="468">
        <v>8.6304672788036534</v>
      </c>
    </row>
    <row r="3516" spans="1:9" ht="16.5" x14ac:dyDescent="0.3">
      <c r="A3516" s="477">
        <v>6332431.1304291161</v>
      </c>
      <c r="B3516" s="458">
        <v>6.1209434279616781E-2</v>
      </c>
      <c r="C3516" s="477">
        <v>1681254.6116983143</v>
      </c>
      <c r="D3516" s="458">
        <v>7.3471781077419474E-2</v>
      </c>
      <c r="E3516" s="477">
        <v>14997958.191814162</v>
      </c>
      <c r="F3516" s="458">
        <v>8.9512370783809025E-2</v>
      </c>
      <c r="G3516" s="477">
        <v>96609568.129861236</v>
      </c>
      <c r="H3516" s="458">
        <v>0.25415208019596447</v>
      </c>
      <c r="I3516" s="468">
        <v>12.60773555052965</v>
      </c>
    </row>
    <row r="3517" spans="1:9" ht="16.5" x14ac:dyDescent="0.3">
      <c r="A3517" s="477">
        <v>4913372.0535998363</v>
      </c>
      <c r="B3517" s="458">
        <v>2.5072114258053002E-2</v>
      </c>
      <c r="C3517" s="477">
        <v>7798415.7621681225</v>
      </c>
      <c r="D3517" s="458">
        <v>6.8909806905673499E-2</v>
      </c>
      <c r="E3517" s="477">
        <v>8915982.5882436298</v>
      </c>
      <c r="F3517" s="458">
        <v>0.12130223820954367</v>
      </c>
      <c r="G3517" s="477">
        <v>84910872.881429121</v>
      </c>
      <c r="H3517" s="458">
        <v>0.2826610747042495</v>
      </c>
      <c r="I3517" s="468">
        <v>8.9046334078057434</v>
      </c>
    </row>
    <row r="3518" spans="1:9" ht="16.5" x14ac:dyDescent="0.3">
      <c r="A3518" s="477">
        <v>162634.55930873845</v>
      </c>
      <c r="B3518" s="458">
        <v>6.5450779409415238E-2</v>
      </c>
      <c r="C3518" s="477">
        <v>6735385.1897292817</v>
      </c>
      <c r="D3518" s="458">
        <v>6.9513970817993265E-2</v>
      </c>
      <c r="E3518" s="477">
        <v>20102576.832107376</v>
      </c>
      <c r="F3518" s="458">
        <v>0.11115837793838845</v>
      </c>
      <c r="G3518" s="477">
        <v>70868161.985042736</v>
      </c>
      <c r="H3518" s="458">
        <v>0.26917801896578064</v>
      </c>
      <c r="I3518" s="468">
        <v>9.7047441654020545</v>
      </c>
    </row>
    <row r="3519" spans="1:9" ht="16.5" x14ac:dyDescent="0.3">
      <c r="A3519" s="477">
        <v>5492572.9237604355</v>
      </c>
      <c r="B3519" s="458">
        <v>3.2304964911693101E-2</v>
      </c>
      <c r="C3519" s="477">
        <v>15585847.037715957</v>
      </c>
      <c r="D3519" s="458">
        <v>8.0561459690144721E-2</v>
      </c>
      <c r="E3519" s="477">
        <v>10452119.871302694</v>
      </c>
      <c r="F3519" s="458">
        <v>8.0587508344219794E-2</v>
      </c>
      <c r="G3519" s="477">
        <v>85816437.317251116</v>
      </c>
      <c r="H3519" s="458">
        <v>0.28072480983043713</v>
      </c>
      <c r="I3519" s="468">
        <v>5.3226890220703638</v>
      </c>
    </row>
    <row r="3520" spans="1:9" ht="16.5" x14ac:dyDescent="0.3">
      <c r="A3520" s="477">
        <v>4921587.6353461109</v>
      </c>
      <c r="B3520" s="458">
        <v>4.1794992837044687E-2</v>
      </c>
      <c r="C3520" s="477">
        <v>13752991.552404977</v>
      </c>
      <c r="D3520" s="458">
        <v>4.5217355917677615E-2</v>
      </c>
      <c r="E3520" s="477">
        <v>20526123.446602147</v>
      </c>
      <c r="F3520" s="458">
        <v>0.13251211890228598</v>
      </c>
      <c r="G3520" s="477">
        <v>86817841.528524414</v>
      </c>
      <c r="H3520" s="458">
        <v>0.27329323007573736</v>
      </c>
      <c r="I3520" s="468">
        <v>10.238932506107369</v>
      </c>
    </row>
    <row r="3521" spans="1:9" ht="16.5" x14ac:dyDescent="0.3">
      <c r="A3521" s="477">
        <v>5824794.3414808959</v>
      </c>
      <c r="B3521" s="458">
        <v>6.1227634530075292E-2</v>
      </c>
      <c r="C3521" s="477">
        <v>6235816.2790597528</v>
      </c>
      <c r="D3521" s="458">
        <v>3.775489221345607E-2</v>
      </c>
      <c r="E3521" s="477">
        <v>16672152.831788698</v>
      </c>
      <c r="F3521" s="458">
        <v>0.12491008360219036</v>
      </c>
      <c r="G3521" s="477">
        <v>87826600.315748155</v>
      </c>
      <c r="H3521" s="458">
        <v>0.262545089389155</v>
      </c>
      <c r="I3521" s="468">
        <v>4.8541288932212474</v>
      </c>
    </row>
    <row r="3522" spans="1:9" ht="16.5" x14ac:dyDescent="0.3">
      <c r="A3522" s="477">
        <v>4704007.9083909607</v>
      </c>
      <c r="B3522" s="458">
        <v>2.9502983760098189E-2</v>
      </c>
      <c r="C3522" s="477">
        <v>11417543.956645366</v>
      </c>
      <c r="D3522" s="458">
        <v>0.12129301199834308</v>
      </c>
      <c r="E3522" s="477">
        <v>16717275.501127893</v>
      </c>
      <c r="F3522" s="458">
        <v>0.13229007222598055</v>
      </c>
      <c r="G3522" s="477">
        <v>96487778.559574053</v>
      </c>
      <c r="H3522" s="458">
        <v>0.25080851900711099</v>
      </c>
      <c r="I3522" s="468">
        <v>7.4441108670797513</v>
      </c>
    </row>
    <row r="3523" spans="1:9" ht="16.5" x14ac:dyDescent="0.3">
      <c r="A3523" s="477">
        <v>6455687.0361878509</v>
      </c>
      <c r="B3523" s="458">
        <v>4.8898989331157106E-2</v>
      </c>
      <c r="C3523" s="477">
        <v>11413016.094667969</v>
      </c>
      <c r="D3523" s="458">
        <v>5.0088262621492463E-2</v>
      </c>
      <c r="E3523" s="477">
        <v>19799944.192576546</v>
      </c>
      <c r="F3523" s="458">
        <v>0.13328758470558166</v>
      </c>
      <c r="G3523" s="477">
        <v>103690931.1180416</v>
      </c>
      <c r="H3523" s="458">
        <v>0.26489831372993344</v>
      </c>
      <c r="I3523" s="468">
        <v>12.118326108044048</v>
      </c>
    </row>
    <row r="3524" spans="1:9" ht="16.5" x14ac:dyDescent="0.3">
      <c r="A3524" s="477">
        <v>10496470.319618732</v>
      </c>
      <c r="B3524" s="458">
        <v>5.5206185253335205E-2</v>
      </c>
      <c r="C3524" s="477">
        <v>8296732.9730230458</v>
      </c>
      <c r="D3524" s="458">
        <v>5.7338771680690126E-2</v>
      </c>
      <c r="E3524" s="477">
        <v>17236028.216548618</v>
      </c>
      <c r="F3524" s="458">
        <v>0.10164791121371985</v>
      </c>
      <c r="G3524" s="477">
        <v>80282667.835568592</v>
      </c>
      <c r="H3524" s="458">
        <v>0.25461634923991405</v>
      </c>
      <c r="I3524" s="468">
        <v>12.391499385101469</v>
      </c>
    </row>
    <row r="3525" spans="1:9" ht="16.5" x14ac:dyDescent="0.3">
      <c r="A3525" s="477">
        <v>3931195.79556116</v>
      </c>
      <c r="B3525" s="458">
        <v>5.3425471051898654E-2</v>
      </c>
      <c r="C3525" s="477">
        <v>3453528.6926476918</v>
      </c>
      <c r="D3525" s="458">
        <v>3.6312423752834944E-2</v>
      </c>
      <c r="E3525" s="477">
        <v>19012222.635462992</v>
      </c>
      <c r="F3525" s="458">
        <v>0.11858518767040249</v>
      </c>
      <c r="G3525" s="477">
        <v>88924533.847110897</v>
      </c>
      <c r="H3525" s="458">
        <v>0.27167356425904599</v>
      </c>
      <c r="I3525" s="468">
        <v>9.1591732679603481</v>
      </c>
    </row>
    <row r="3526" spans="1:9" ht="16.5" x14ac:dyDescent="0.3">
      <c r="A3526" s="477">
        <v>4673523.6389415469</v>
      </c>
      <c r="B3526" s="458">
        <v>3.5846765348561238E-2</v>
      </c>
      <c r="C3526" s="477">
        <v>3559581.1962899044</v>
      </c>
      <c r="D3526" s="458">
        <v>4.1964206854338215E-2</v>
      </c>
      <c r="E3526" s="477">
        <v>6615608.0871687168</v>
      </c>
      <c r="F3526" s="458">
        <v>9.531033419110968E-2</v>
      </c>
      <c r="G3526" s="477">
        <v>96822130.95684281</v>
      </c>
      <c r="H3526" s="458">
        <v>0.25891266092971876</v>
      </c>
      <c r="I3526" s="468">
        <v>13.768899490499205</v>
      </c>
    </row>
    <row r="3527" spans="1:9" ht="16.5" x14ac:dyDescent="0.3">
      <c r="A3527" s="477">
        <v>5535551.7509775264</v>
      </c>
      <c r="B3527" s="458">
        <v>3.3067883861043645E-2</v>
      </c>
      <c r="C3527" s="477">
        <v>12327176.997759296</v>
      </c>
      <c r="D3527" s="458">
        <v>4.8904462438906338E-2</v>
      </c>
      <c r="E3527" s="477">
        <v>17823787.856451266</v>
      </c>
      <c r="F3527" s="458">
        <v>0.11286951879809859</v>
      </c>
      <c r="G3527" s="477">
        <v>103634217.09530118</v>
      </c>
      <c r="H3527" s="458">
        <v>0.26298445680396676</v>
      </c>
      <c r="I3527" s="468">
        <v>15.092951559667462</v>
      </c>
    </row>
    <row r="3528" spans="1:9" ht="16.5" x14ac:dyDescent="0.3">
      <c r="A3528" s="477">
        <v>6024588.597777959</v>
      </c>
      <c r="B3528" s="458">
        <v>4.8897348311230493E-2</v>
      </c>
      <c r="C3528" s="477">
        <v>15255315.804122806</v>
      </c>
      <c r="D3528" s="458">
        <v>8.6642551416342251E-2</v>
      </c>
      <c r="E3528" s="477">
        <v>15435630.227515809</v>
      </c>
      <c r="F3528" s="458">
        <v>8.9270307557712369E-2</v>
      </c>
      <c r="G3528" s="477">
        <v>81560655.772363424</v>
      </c>
      <c r="H3528" s="458">
        <v>0.26168591634425842</v>
      </c>
      <c r="I3528" s="468">
        <v>1.5010811908542125</v>
      </c>
    </row>
    <row r="3529" spans="1:9" ht="16.5" x14ac:dyDescent="0.3">
      <c r="A3529" s="477">
        <v>5279596.2071477091</v>
      </c>
      <c r="B3529" s="458">
        <v>4.4870563217971338E-2</v>
      </c>
      <c r="C3529" s="477">
        <v>2701192.6028823568</v>
      </c>
      <c r="D3529" s="458">
        <v>3.4204047729522458E-2</v>
      </c>
      <c r="E3529" s="477">
        <v>21153415.17920455</v>
      </c>
      <c r="F3529" s="458">
        <v>0.10403342002830618</v>
      </c>
      <c r="G3529" s="477">
        <v>108666017.20682889</v>
      </c>
      <c r="H3529" s="458">
        <v>0.28617069730182232</v>
      </c>
      <c r="I3529" s="468">
        <v>11.189496130626924</v>
      </c>
    </row>
    <row r="3530" spans="1:9" ht="16.5" x14ac:dyDescent="0.3">
      <c r="A3530" s="477">
        <v>5914125.9504221529</v>
      </c>
      <c r="B3530" s="458">
        <v>4.3559202851660483E-2</v>
      </c>
      <c r="C3530" s="477">
        <v>17717464.756109405</v>
      </c>
      <c r="D3530" s="458">
        <v>6.5792935614871206E-2</v>
      </c>
      <c r="E3530" s="477">
        <v>16721623.258791348</v>
      </c>
      <c r="F3530" s="458">
        <v>0.10411751805357672</v>
      </c>
      <c r="G3530" s="477">
        <v>95572189.837096229</v>
      </c>
      <c r="H3530" s="458">
        <v>0.2557226807656916</v>
      </c>
      <c r="I3530" s="468">
        <v>11.533677308075694</v>
      </c>
    </row>
    <row r="3531" spans="1:9" ht="16.5" x14ac:dyDescent="0.3">
      <c r="A3531" s="477">
        <v>11772594.803992162</v>
      </c>
      <c r="B3531" s="458">
        <v>3.5798876160177517E-2</v>
      </c>
      <c r="C3531" s="477">
        <v>3977041.6856942233</v>
      </c>
      <c r="D3531" s="458">
        <v>6.5082771440192255E-2</v>
      </c>
      <c r="E3531" s="477">
        <v>22903617.175717596</v>
      </c>
      <c r="F3531" s="458">
        <v>7.3445819289405412E-2</v>
      </c>
      <c r="G3531" s="477">
        <v>92134897.3786764</v>
      </c>
      <c r="H3531" s="458">
        <v>0.29451409612671808</v>
      </c>
      <c r="I3531" s="468">
        <v>8.9299581613463435</v>
      </c>
    </row>
    <row r="3532" spans="1:9" ht="16.5" x14ac:dyDescent="0.3">
      <c r="A3532" s="477">
        <v>1439022.6340044132</v>
      </c>
      <c r="B3532" s="458">
        <v>4.9589608494725823E-2</v>
      </c>
      <c r="C3532" s="477">
        <v>9130193.9904930964</v>
      </c>
      <c r="D3532" s="458">
        <v>7.4316307213008193E-2</v>
      </c>
      <c r="E3532" s="477">
        <v>13640262.631197972</v>
      </c>
      <c r="F3532" s="458">
        <v>0.10073195050046935</v>
      </c>
      <c r="G3532" s="477">
        <v>97890675.522734269</v>
      </c>
      <c r="H3532" s="458">
        <v>0.25855466773398339</v>
      </c>
      <c r="I3532" s="468">
        <v>10.417294001833165</v>
      </c>
    </row>
    <row r="3533" spans="1:9" ht="16.5" x14ac:dyDescent="0.3">
      <c r="A3533" s="477">
        <v>1335534.6998428709</v>
      </c>
      <c r="B3533" s="458">
        <v>4.0920480580253438E-2</v>
      </c>
      <c r="C3533" s="477">
        <v>6104726.1320211291</v>
      </c>
      <c r="D3533" s="458">
        <v>7.1780709496240824E-2</v>
      </c>
      <c r="E3533" s="477">
        <v>10821671.358887136</v>
      </c>
      <c r="F3533" s="458">
        <v>9.9904925400162048E-2</v>
      </c>
      <c r="G3533" s="477">
        <v>97042537.942026615</v>
      </c>
      <c r="H3533" s="458">
        <v>0.27066530720158477</v>
      </c>
      <c r="I3533" s="468">
        <v>9.8485465698039665</v>
      </c>
    </row>
    <row r="3534" spans="1:9" ht="16.5" x14ac:dyDescent="0.3">
      <c r="A3534" s="477">
        <v>7753545.8252812522</v>
      </c>
      <c r="B3534" s="458">
        <v>2.9194141197125711E-2</v>
      </c>
      <c r="C3534" s="477">
        <v>10578939.729968959</v>
      </c>
      <c r="D3534" s="458">
        <v>4.2118727454584448E-2</v>
      </c>
      <c r="E3534" s="477">
        <v>16077819.288899831</v>
      </c>
      <c r="F3534" s="458">
        <v>0.11027137464868275</v>
      </c>
      <c r="G3534" s="477">
        <v>86805405.014139324</v>
      </c>
      <c r="H3534" s="458">
        <v>0.26728211119295886</v>
      </c>
      <c r="I3534" s="468">
        <v>7.1770728790477465</v>
      </c>
    </row>
    <row r="3535" spans="1:9" ht="16.5" x14ac:dyDescent="0.3">
      <c r="A3535" s="477">
        <v>4556629.6051268997</v>
      </c>
      <c r="B3535" s="458">
        <v>3.313893628391984E-2</v>
      </c>
      <c r="C3535" s="477">
        <v>17228818.581221741</v>
      </c>
      <c r="D3535" s="458">
        <v>7.1594542105309467E-2</v>
      </c>
      <c r="E3535" s="477">
        <v>20771840.979023151</v>
      </c>
      <c r="F3535" s="458">
        <v>0.10955617660063832</v>
      </c>
      <c r="G3535" s="477">
        <v>74537059.634656549</v>
      </c>
      <c r="H3535" s="458">
        <v>0.25868786886760953</v>
      </c>
      <c r="I3535" s="468">
        <v>6.3537186383366357</v>
      </c>
    </row>
    <row r="3536" spans="1:9" ht="16.5" x14ac:dyDescent="0.3">
      <c r="A3536" s="477">
        <v>2041754.4065126323</v>
      </c>
      <c r="B3536" s="458">
        <v>5.9633000626453159E-2</v>
      </c>
      <c r="C3536" s="477">
        <v>14908372.949908862</v>
      </c>
      <c r="D3536" s="458">
        <v>8.5614349827815239E-2</v>
      </c>
      <c r="E3536" s="477">
        <v>17729167.776045714</v>
      </c>
      <c r="F3536" s="458">
        <v>7.6800184747368938E-2</v>
      </c>
      <c r="G3536" s="477">
        <v>82603790.720340699</v>
      </c>
      <c r="H3536" s="458">
        <v>0.28431034143292</v>
      </c>
      <c r="I3536" s="468">
        <v>8.3104794385132479</v>
      </c>
    </row>
    <row r="3537" spans="1:9" ht="16.5" x14ac:dyDescent="0.3">
      <c r="A3537" s="477">
        <v>3425681.3164067501</v>
      </c>
      <c r="B3537" s="458">
        <v>3.4571557072253345E-2</v>
      </c>
      <c r="C3537" s="477">
        <v>7459577.8710714076</v>
      </c>
      <c r="D3537" s="458">
        <v>3.476913173777918E-2</v>
      </c>
      <c r="E3537" s="477">
        <v>10286566.868089467</v>
      </c>
      <c r="F3537" s="458">
        <v>7.902446042918565E-2</v>
      </c>
      <c r="G3537" s="477">
        <v>95238781.661833704</v>
      </c>
      <c r="H3537" s="458">
        <v>0.27118328009574966</v>
      </c>
      <c r="I3537" s="468">
        <v>12.020854948616641</v>
      </c>
    </row>
    <row r="3538" spans="1:9" ht="16.5" x14ac:dyDescent="0.3">
      <c r="A3538" s="477">
        <v>4948045.6955065038</v>
      </c>
      <c r="B3538" s="458">
        <v>3.8592596684114966E-2</v>
      </c>
      <c r="C3538" s="477">
        <v>6622295.9977258127</v>
      </c>
      <c r="D3538" s="458">
        <v>6.5399330363641317E-2</v>
      </c>
      <c r="E3538" s="477">
        <v>25936084.68475062</v>
      </c>
      <c r="F3538" s="458">
        <v>0.11010560908724432</v>
      </c>
      <c r="G3538" s="477">
        <v>85149558.841081709</v>
      </c>
      <c r="H3538" s="458">
        <v>0.26851796592321842</v>
      </c>
      <c r="I3538" s="468">
        <v>12.409272857342</v>
      </c>
    </row>
    <row r="3539" spans="1:9" ht="16.5" x14ac:dyDescent="0.3">
      <c r="A3539" s="477">
        <v>1858765.8109198695</v>
      </c>
      <c r="B3539" s="458">
        <v>4.2077935273428624E-2</v>
      </c>
      <c r="C3539" s="477">
        <v>9236970.4034252837</v>
      </c>
      <c r="D3539" s="458">
        <v>6.413543646065456E-2</v>
      </c>
      <c r="E3539" s="477">
        <v>29335799.362088561</v>
      </c>
      <c r="F3539" s="458">
        <v>6.414675833926764E-2</v>
      </c>
      <c r="G3539" s="477">
        <v>91560960.647379145</v>
      </c>
      <c r="H3539" s="458">
        <v>0.26644273112819561</v>
      </c>
      <c r="I3539" s="468">
        <v>3.5447475273355415</v>
      </c>
    </row>
    <row r="3540" spans="1:9" ht="16.5" x14ac:dyDescent="0.3">
      <c r="A3540" s="477">
        <v>4482964.1688697282</v>
      </c>
      <c r="B3540" s="458">
        <v>4.4388250771371762E-2</v>
      </c>
      <c r="C3540" s="477">
        <v>9887534.2747865953</v>
      </c>
      <c r="D3540" s="458">
        <v>5.3299753744756595E-2</v>
      </c>
      <c r="E3540" s="477">
        <v>19967469.947750207</v>
      </c>
      <c r="F3540" s="458">
        <v>0.12470592886755982</v>
      </c>
      <c r="G3540" s="477">
        <v>88515366.054709643</v>
      </c>
      <c r="H3540" s="458">
        <v>0.27747683006393631</v>
      </c>
      <c r="I3540" s="468">
        <v>9.1189393619683869</v>
      </c>
    </row>
    <row r="3541" spans="1:9" ht="16.5" x14ac:dyDescent="0.3">
      <c r="A3541" s="477">
        <v>4326112.8398422943</v>
      </c>
      <c r="B3541" s="458">
        <v>2.5141870198416072E-2</v>
      </c>
      <c r="C3541" s="477">
        <v>4759335.8700776054</v>
      </c>
      <c r="D3541" s="458">
        <v>6.2092268575322462E-2</v>
      </c>
      <c r="E3541" s="477">
        <v>10812029.368535586</v>
      </c>
      <c r="F3541" s="458">
        <v>9.9066011769347151E-2</v>
      </c>
      <c r="G3541" s="477">
        <v>85432537.209807813</v>
      </c>
      <c r="H3541" s="458">
        <v>0.2755630205449644</v>
      </c>
      <c r="I3541" s="468">
        <v>7.7324611398425098</v>
      </c>
    </row>
    <row r="3542" spans="1:9" ht="16.5" x14ac:dyDescent="0.3">
      <c r="A3542" s="477">
        <v>6525693.7315888619</v>
      </c>
      <c r="B3542" s="458">
        <v>3.8237818505448384E-2</v>
      </c>
      <c r="C3542" s="477">
        <v>1802828.970873269</v>
      </c>
      <c r="D3542" s="458">
        <v>5.2717113547654737E-2</v>
      </c>
      <c r="E3542" s="477">
        <v>16442989.632147323</v>
      </c>
      <c r="F3542" s="458">
        <v>0.12817452111647576</v>
      </c>
      <c r="G3542" s="477">
        <v>91899209.25444977</v>
      </c>
      <c r="H3542" s="458">
        <v>0.27387662902397092</v>
      </c>
      <c r="I3542" s="468">
        <v>10.503111732499706</v>
      </c>
    </row>
    <row r="3543" spans="1:9" ht="16.5" x14ac:dyDescent="0.3">
      <c r="A3543" s="477">
        <v>3413757.710026361</v>
      </c>
      <c r="B3543" s="458">
        <v>3.9249670078012944E-2</v>
      </c>
      <c r="C3543" s="477">
        <v>4611586.5166413523</v>
      </c>
      <c r="D3543" s="458">
        <v>8.4970452169872646E-2</v>
      </c>
      <c r="E3543" s="477">
        <v>17753577.72459273</v>
      </c>
      <c r="F3543" s="458">
        <v>8.2807658412020091E-2</v>
      </c>
      <c r="G3543" s="477">
        <v>73585431.754533485</v>
      </c>
      <c r="H3543" s="458">
        <v>0.29685735339973074</v>
      </c>
      <c r="I3543" s="468">
        <v>9.3932169507954217</v>
      </c>
    </row>
    <row r="3544" spans="1:9" ht="16.5" x14ac:dyDescent="0.3">
      <c r="A3544" s="477">
        <v>8701966.1543236282</v>
      </c>
      <c r="B3544" s="458">
        <v>6.1571025927939171E-2</v>
      </c>
      <c r="C3544" s="477">
        <v>6110408.1075864797</v>
      </c>
      <c r="D3544" s="458">
        <v>6.4471390166795484E-2</v>
      </c>
      <c r="E3544" s="477">
        <v>20292303.779830415</v>
      </c>
      <c r="F3544" s="458">
        <v>0.11452161426402796</v>
      </c>
      <c r="G3544" s="477">
        <v>80362633.751730487</v>
      </c>
      <c r="H3544" s="458">
        <v>0.26457908538066643</v>
      </c>
      <c r="I3544" s="468">
        <v>6.3204323268987634</v>
      </c>
    </row>
    <row r="3545" spans="1:9" ht="16.5" x14ac:dyDescent="0.3">
      <c r="A3545" s="477">
        <v>5154349.1968948347</v>
      </c>
      <c r="B3545" s="458">
        <v>3.2051766578731655E-2</v>
      </c>
      <c r="C3545" s="477">
        <v>11048119.159536982</v>
      </c>
      <c r="D3545" s="458">
        <v>4.3088526869840216E-2</v>
      </c>
      <c r="E3545" s="477">
        <v>18418932.370838996</v>
      </c>
      <c r="F3545" s="458">
        <v>8.7957024001615425E-2</v>
      </c>
      <c r="G3545" s="477">
        <v>83861097.267874941</v>
      </c>
      <c r="H3545" s="458">
        <v>0.29198702764485018</v>
      </c>
      <c r="I3545" s="468">
        <v>7.4332964482335031</v>
      </c>
    </row>
    <row r="3546" spans="1:9" ht="16.5" x14ac:dyDescent="0.3">
      <c r="A3546" s="477">
        <v>6682116.3394579832</v>
      </c>
      <c r="B3546" s="458">
        <v>2.6227875057703187E-2</v>
      </c>
      <c r="C3546" s="477">
        <v>11622430.652416611</v>
      </c>
      <c r="D3546" s="458">
        <v>7.5351945618913119E-2</v>
      </c>
      <c r="E3546" s="477">
        <v>20253162.427273255</v>
      </c>
      <c r="F3546" s="458">
        <v>0.16203920457575438</v>
      </c>
      <c r="G3546" s="477">
        <v>70987965.252726659</v>
      </c>
      <c r="H3546" s="458">
        <v>0.28283234898214782</v>
      </c>
      <c r="I3546" s="468">
        <v>7.6963333100410845</v>
      </c>
    </row>
    <row r="3547" spans="1:9" ht="16.5" x14ac:dyDescent="0.3">
      <c r="A3547" s="477">
        <v>2564713.4124484919</v>
      </c>
      <c r="B3547" s="458">
        <v>2.9442621354875076E-2</v>
      </c>
      <c r="C3547" s="477">
        <v>10963089.49021689</v>
      </c>
      <c r="D3547" s="458">
        <v>7.780099118053263E-2</v>
      </c>
      <c r="E3547" s="477">
        <v>18680336.174367927</v>
      </c>
      <c r="F3547" s="458">
        <v>0.11797571637271154</v>
      </c>
      <c r="G3547" s="477">
        <v>75077020.531211555</v>
      </c>
      <c r="H3547" s="458">
        <v>0.28402659139190889</v>
      </c>
      <c r="I3547" s="468">
        <v>6.9467111922336811</v>
      </c>
    </row>
    <row r="3548" spans="1:9" ht="16.5" x14ac:dyDescent="0.3">
      <c r="A3548" s="477">
        <v>10059305.859012876</v>
      </c>
      <c r="B3548" s="458">
        <v>3.9731925235613863E-2</v>
      </c>
      <c r="C3548" s="477">
        <v>1702474.5027576038</v>
      </c>
      <c r="D3548" s="458">
        <v>9.3214022846415778E-2</v>
      </c>
      <c r="E3548" s="477">
        <v>19639023.560345162</v>
      </c>
      <c r="F3548" s="458">
        <v>0.10484746358776231</v>
      </c>
      <c r="G3548" s="477">
        <v>98150298.44949016</v>
      </c>
      <c r="H3548" s="458">
        <v>0.27226902312890244</v>
      </c>
      <c r="I3548" s="468">
        <v>8.7138236564390379</v>
      </c>
    </row>
    <row r="3549" spans="1:9" ht="16.5" x14ac:dyDescent="0.3">
      <c r="A3549" s="477">
        <v>8064732.4456249438</v>
      </c>
      <c r="B3549" s="458">
        <v>6.8340101340851112E-2</v>
      </c>
      <c r="C3549" s="477">
        <v>7559286.1062220316</v>
      </c>
      <c r="D3549" s="458">
        <v>6.3644958836744481E-2</v>
      </c>
      <c r="E3549" s="477">
        <v>724385.4038051971</v>
      </c>
      <c r="F3549" s="458">
        <v>0.10315790384420387</v>
      </c>
      <c r="G3549" s="477">
        <v>90045776.686557502</v>
      </c>
      <c r="H3549" s="458">
        <v>0.25700820565804783</v>
      </c>
      <c r="I3549" s="468">
        <v>10.604520450069524</v>
      </c>
    </row>
    <row r="3550" spans="1:9" ht="16.5" x14ac:dyDescent="0.3">
      <c r="A3550" s="477">
        <v>8224783.0312850801</v>
      </c>
      <c r="B3550" s="458">
        <v>3.8834638926332543E-2</v>
      </c>
      <c r="C3550" s="477">
        <v>9296076.9527040683</v>
      </c>
      <c r="D3550" s="458">
        <v>7.745395356961926E-2</v>
      </c>
      <c r="E3550" s="477">
        <v>18497081.234468542</v>
      </c>
      <c r="F3550" s="458">
        <v>0.10018817062183905</v>
      </c>
      <c r="G3550" s="477">
        <v>103033227.86070821</v>
      </c>
      <c r="H3550" s="458">
        <v>0.27043053886725299</v>
      </c>
      <c r="I3550" s="468">
        <v>13.925975394362002</v>
      </c>
    </row>
    <row r="3551" spans="1:9" ht="16.5" x14ac:dyDescent="0.3">
      <c r="A3551" s="477">
        <v>6728148.4005433712</v>
      </c>
      <c r="B3551" s="458">
        <v>3.9527731184905823E-2</v>
      </c>
      <c r="C3551" s="477">
        <v>5819779.2900029309</v>
      </c>
      <c r="D3551" s="458">
        <v>4.5484426251247267E-2</v>
      </c>
      <c r="E3551" s="477">
        <v>20389663.519989617</v>
      </c>
      <c r="F3551" s="458">
        <v>0.11242455952220753</v>
      </c>
      <c r="G3551" s="477">
        <v>94718795.431010202</v>
      </c>
      <c r="H3551" s="458">
        <v>0.25796145669882131</v>
      </c>
      <c r="I3551" s="468">
        <v>10.779421236856422</v>
      </c>
    </row>
    <row r="3552" spans="1:9" ht="16.5" x14ac:dyDescent="0.3">
      <c r="A3552" s="477">
        <v>6000971.1628566394</v>
      </c>
      <c r="B3552" s="458">
        <v>2.7552080162716042E-2</v>
      </c>
      <c r="C3552" s="477">
        <v>13996515.566074071</v>
      </c>
      <c r="D3552" s="458">
        <v>6.4007474566235345E-2</v>
      </c>
      <c r="E3552" s="477">
        <v>15270148.418668196</v>
      </c>
      <c r="F3552" s="458">
        <v>0.13759146991899751</v>
      </c>
      <c r="G3552" s="477">
        <v>78716090.757016078</v>
      </c>
      <c r="H3552" s="458">
        <v>0.27474871073041718</v>
      </c>
      <c r="I3552" s="468">
        <v>12.62495824368373</v>
      </c>
    </row>
    <row r="3553" spans="1:9" ht="16.5" x14ac:dyDescent="0.3">
      <c r="A3553" s="477">
        <v>7626452.8527522152</v>
      </c>
      <c r="B3553" s="458">
        <v>6.0946123168554855E-2</v>
      </c>
      <c r="C3553" s="477">
        <v>9112718.5833038278</v>
      </c>
      <c r="D3553" s="458">
        <v>5.0906403478887086E-2</v>
      </c>
      <c r="E3553" s="477">
        <v>9161343.5091987774</v>
      </c>
      <c r="F3553" s="458">
        <v>8.5084716092304502E-2</v>
      </c>
      <c r="G3553" s="477">
        <v>82716957.30474785</v>
      </c>
      <c r="H3553" s="458">
        <v>0.26298485262326832</v>
      </c>
      <c r="I3553" s="468">
        <v>1.562378649920384</v>
      </c>
    </row>
    <row r="3554" spans="1:9" ht="16.5" x14ac:dyDescent="0.3">
      <c r="A3554" s="477">
        <v>5115144.050477067</v>
      </c>
      <c r="B3554" s="458">
        <v>2.7399810752790188E-2</v>
      </c>
      <c r="C3554" s="477">
        <v>4639681.1681880001</v>
      </c>
      <c r="D3554" s="458">
        <v>5.7240076930252126E-2</v>
      </c>
      <c r="E3554" s="477">
        <v>18280563.322297167</v>
      </c>
      <c r="F3554" s="458">
        <v>0.12028266665487086</v>
      </c>
      <c r="G3554" s="477">
        <v>98906126.992180526</v>
      </c>
      <c r="H3554" s="458">
        <v>0.25573508563605896</v>
      </c>
      <c r="I3554" s="468">
        <v>15.284751659297982</v>
      </c>
    </row>
    <row r="3555" spans="1:9" ht="16.5" x14ac:dyDescent="0.3">
      <c r="A3555" s="477">
        <v>3787338.8992527891</v>
      </c>
      <c r="B3555" s="458">
        <v>4.8445430676613777E-2</v>
      </c>
      <c r="C3555" s="477">
        <v>5692818.9114434542</v>
      </c>
      <c r="D3555" s="458">
        <v>7.1639502783211739E-2</v>
      </c>
      <c r="E3555" s="477">
        <v>18763192.283082128</v>
      </c>
      <c r="F3555" s="458">
        <v>0.11886689692572827</v>
      </c>
      <c r="G3555" s="477">
        <v>93834708.472312152</v>
      </c>
      <c r="H3555" s="458">
        <v>0.26723104504085216</v>
      </c>
      <c r="I3555" s="468">
        <v>8.0053738295720489</v>
      </c>
    </row>
    <row r="3556" spans="1:9" ht="16.5" x14ac:dyDescent="0.3">
      <c r="A3556" s="477">
        <v>4200167.5903283814</v>
      </c>
      <c r="B3556" s="458">
        <v>5.9160029557876914E-2</v>
      </c>
      <c r="C3556" s="477">
        <v>4754383.3820180688</v>
      </c>
      <c r="D3556" s="458">
        <v>6.8356265092623936E-2</v>
      </c>
      <c r="E3556" s="477">
        <v>21878137.049734835</v>
      </c>
      <c r="F3556" s="458">
        <v>0.10373149565957895</v>
      </c>
      <c r="G3556" s="477">
        <v>91487502.129855379</v>
      </c>
      <c r="H3556" s="458">
        <v>0.27109638882655429</v>
      </c>
      <c r="I3556" s="468">
        <v>2.7197986287125691</v>
      </c>
    </row>
    <row r="3557" spans="1:9" ht="16.5" x14ac:dyDescent="0.3">
      <c r="A3557" s="477">
        <v>5377099.3515264262</v>
      </c>
      <c r="B3557" s="458">
        <v>4.2961451344606827E-2</v>
      </c>
      <c r="C3557" s="477">
        <v>8101480.7678182358</v>
      </c>
      <c r="D3557" s="458">
        <v>7.829807444140835E-2</v>
      </c>
      <c r="E3557" s="477">
        <v>22369635.216350418</v>
      </c>
      <c r="F3557" s="458">
        <v>9.7267786121893129E-2</v>
      </c>
      <c r="G3557" s="477">
        <v>90029237.309404179</v>
      </c>
      <c r="H3557" s="458">
        <v>0.29103140229085667</v>
      </c>
      <c r="I3557" s="468">
        <v>16.949968742199921</v>
      </c>
    </row>
    <row r="3558" spans="1:9" ht="16.5" x14ac:dyDescent="0.3">
      <c r="A3558" s="477">
        <v>2320069.6810989431</v>
      </c>
      <c r="B3558" s="458">
        <v>4.802582125519872E-2</v>
      </c>
      <c r="C3558" s="477">
        <v>7792509.7846473306</v>
      </c>
      <c r="D3558" s="458">
        <v>2.7032484687478764E-2</v>
      </c>
      <c r="E3558" s="477">
        <v>21754927.470718671</v>
      </c>
      <c r="F3558" s="458">
        <v>8.7945587938174086E-2</v>
      </c>
      <c r="G3558" s="477">
        <v>89417419.753180102</v>
      </c>
      <c r="H3558" s="458">
        <v>0.2775479561985319</v>
      </c>
      <c r="I3558" s="468">
        <v>15.071003703936984</v>
      </c>
    </row>
    <row r="3559" spans="1:9" ht="16.5" x14ac:dyDescent="0.3">
      <c r="A3559" s="477">
        <v>8168483.6591613889</v>
      </c>
      <c r="B3559" s="458">
        <v>3.2366997326156E-2</v>
      </c>
      <c r="C3559" s="477">
        <v>2223299.2583895726</v>
      </c>
      <c r="D3559" s="458">
        <v>5.4748028247610048E-2</v>
      </c>
      <c r="E3559" s="477">
        <v>18796821.126593117</v>
      </c>
      <c r="F3559" s="458">
        <v>0.1162694852481434</v>
      </c>
      <c r="G3559" s="477">
        <v>85787640.107457191</v>
      </c>
      <c r="H3559" s="458">
        <v>0.25831003196296942</v>
      </c>
      <c r="I3559" s="468">
        <v>10.584615700720358</v>
      </c>
    </row>
    <row r="3560" spans="1:9" ht="16.5" x14ac:dyDescent="0.3">
      <c r="A3560" s="477">
        <v>4741545.0185083216</v>
      </c>
      <c r="B3560" s="458">
        <v>3.1953729598461766E-2</v>
      </c>
      <c r="C3560" s="477">
        <v>7575979.9694342446</v>
      </c>
      <c r="D3560" s="458">
        <v>7.7901505560584949E-2</v>
      </c>
      <c r="E3560" s="477">
        <v>19212769.373271402</v>
      </c>
      <c r="F3560" s="458">
        <v>0.12137664843831319</v>
      </c>
      <c r="G3560" s="477">
        <v>76778130.410285667</v>
      </c>
      <c r="H3560" s="458">
        <v>0.29250226080684349</v>
      </c>
      <c r="I3560" s="468">
        <v>5.0900199343281889</v>
      </c>
    </row>
    <row r="3561" spans="1:9" ht="16.5" x14ac:dyDescent="0.3">
      <c r="A3561" s="477">
        <v>3561083.5696625961</v>
      </c>
      <c r="B3561" s="458">
        <v>3.6308662363088606E-2</v>
      </c>
      <c r="C3561" s="477">
        <v>10044612.959945353</v>
      </c>
      <c r="D3561" s="458">
        <v>7.7963623681207128E-2</v>
      </c>
      <c r="E3561" s="477">
        <v>13899483.709543336</v>
      </c>
      <c r="F3561" s="458">
        <v>8.0476736258548787E-2</v>
      </c>
      <c r="G3561" s="477">
        <v>89307251.090099737</v>
      </c>
      <c r="H3561" s="458">
        <v>0.25642373220064707</v>
      </c>
      <c r="I3561" s="468">
        <v>6.8252409403955179</v>
      </c>
    </row>
    <row r="3562" spans="1:9" ht="16.5" x14ac:dyDescent="0.3">
      <c r="A3562" s="477">
        <v>6966881.0881618448</v>
      </c>
      <c r="B3562" s="458">
        <v>3.9087301112327388E-2</v>
      </c>
      <c r="C3562" s="477">
        <v>-1943622.5281609332</v>
      </c>
      <c r="D3562" s="458">
        <v>8.7936181976144834E-2</v>
      </c>
      <c r="E3562" s="477">
        <v>18630069.5029165</v>
      </c>
      <c r="F3562" s="458">
        <v>0.11858007422586581</v>
      </c>
      <c r="G3562" s="477">
        <v>70436763.118948177</v>
      </c>
      <c r="H3562" s="458">
        <v>0.28093720050399384</v>
      </c>
      <c r="I3562" s="468">
        <v>8.2250180561550348</v>
      </c>
    </row>
    <row r="3563" spans="1:9" ht="16.5" x14ac:dyDescent="0.3">
      <c r="A3563" s="477">
        <v>2677307.5983934756</v>
      </c>
      <c r="B3563" s="458">
        <v>3.1013968458487584E-2</v>
      </c>
      <c r="C3563" s="477">
        <v>2663200.7499442236</v>
      </c>
      <c r="D3563" s="458">
        <v>3.3579092365817909E-2</v>
      </c>
      <c r="E3563" s="477">
        <v>18274499.72808883</v>
      </c>
      <c r="F3563" s="458">
        <v>0.10956709972913381</v>
      </c>
      <c r="G3563" s="477">
        <v>90232722.184362665</v>
      </c>
      <c r="H3563" s="458">
        <v>0.27415097837044522</v>
      </c>
      <c r="I3563" s="468">
        <v>7.7078339793655486</v>
      </c>
    </row>
    <row r="3564" spans="1:9" ht="16.5" x14ac:dyDescent="0.3">
      <c r="A3564" s="477">
        <v>5564069.4822608894</v>
      </c>
      <c r="B3564" s="458">
        <v>4.3154046972220472E-2</v>
      </c>
      <c r="C3564" s="477">
        <v>4556279.1555042043</v>
      </c>
      <c r="D3564" s="458">
        <v>7.8810564882323852E-2</v>
      </c>
      <c r="E3564" s="477">
        <v>10855142.923532043</v>
      </c>
      <c r="F3564" s="458">
        <v>0.11706545757411946</v>
      </c>
      <c r="G3564" s="477">
        <v>76507743.178992346</v>
      </c>
      <c r="H3564" s="458">
        <v>0.26635662718156272</v>
      </c>
      <c r="I3564" s="468">
        <v>1.7655605272598116</v>
      </c>
    </row>
    <row r="3565" spans="1:9" ht="16.5" x14ac:dyDescent="0.3">
      <c r="A3565" s="477">
        <v>11187430.545361878</v>
      </c>
      <c r="B3565" s="458">
        <v>4.6736685363631292E-2</v>
      </c>
      <c r="C3565" s="477">
        <v>15882421.977851721</v>
      </c>
      <c r="D3565" s="458">
        <v>7.2255247731055183E-2</v>
      </c>
      <c r="E3565" s="477">
        <v>17597064.359597933</v>
      </c>
      <c r="F3565" s="458">
        <v>0.12090608825092208</v>
      </c>
      <c r="G3565" s="477">
        <v>92641639.300761372</v>
      </c>
      <c r="H3565" s="458">
        <v>0.27483850945922805</v>
      </c>
      <c r="I3565" s="468">
        <v>5.8637799769463896</v>
      </c>
    </row>
    <row r="3566" spans="1:9" ht="16.5" x14ac:dyDescent="0.3">
      <c r="A3566" s="477">
        <v>5952753.1807809351</v>
      </c>
      <c r="B3566" s="458">
        <v>5.0268635326916167E-2</v>
      </c>
      <c r="C3566" s="477">
        <v>15468128.016833344</v>
      </c>
      <c r="D3566" s="458">
        <v>6.6205251454314329E-2</v>
      </c>
      <c r="E3566" s="477">
        <v>20891135.361710686</v>
      </c>
      <c r="F3566" s="458">
        <v>9.5791539971916473E-2</v>
      </c>
      <c r="G3566" s="477">
        <v>86988385.517662019</v>
      </c>
      <c r="H3566" s="458">
        <v>0.25365860977072496</v>
      </c>
      <c r="I3566" s="468">
        <v>10.458035654805608</v>
      </c>
    </row>
    <row r="3567" spans="1:9" ht="16.5" x14ac:dyDescent="0.3">
      <c r="A3567" s="477">
        <v>2614314.2538201069</v>
      </c>
      <c r="B3567" s="458">
        <v>4.854419573446922E-2</v>
      </c>
      <c r="C3567" s="477">
        <v>4829720.88028845</v>
      </c>
      <c r="D3567" s="458">
        <v>6.8010999050144738E-2</v>
      </c>
      <c r="E3567" s="477">
        <v>7890536.706756006</v>
      </c>
      <c r="F3567" s="458">
        <v>0.12044986258120716</v>
      </c>
      <c r="G3567" s="477">
        <v>84478831.639012918</v>
      </c>
      <c r="H3567" s="458">
        <v>0.27541236048370976</v>
      </c>
      <c r="I3567" s="468">
        <v>9.4695893812193468</v>
      </c>
    </row>
    <row r="3568" spans="1:9" ht="16.5" x14ac:dyDescent="0.3">
      <c r="A3568" s="477">
        <v>2620932.0595625415</v>
      </c>
      <c r="B3568" s="458">
        <v>4.0937233472980505E-2</v>
      </c>
      <c r="C3568" s="477">
        <v>11346450.766894829</v>
      </c>
      <c r="D3568" s="458">
        <v>7.0692875878757278E-2</v>
      </c>
      <c r="E3568" s="477">
        <v>19605383.737597205</v>
      </c>
      <c r="F3568" s="458">
        <v>9.3950979900122578E-2</v>
      </c>
      <c r="G3568" s="477">
        <v>75807123.944588482</v>
      </c>
      <c r="H3568" s="458">
        <v>0.26756565502589824</v>
      </c>
      <c r="I3568" s="468">
        <v>9.1618391265123957</v>
      </c>
    </row>
    <row r="3569" spans="1:9" ht="16.5" x14ac:dyDescent="0.3">
      <c r="A3569" s="477">
        <v>7677714.9529862553</v>
      </c>
      <c r="B3569" s="458">
        <v>4.2099335935587678E-2</v>
      </c>
      <c r="C3569" s="477">
        <v>2741929.4119235049</v>
      </c>
      <c r="D3569" s="458">
        <v>8.2769389921279357E-2</v>
      </c>
      <c r="E3569" s="477">
        <v>17478225.042300355</v>
      </c>
      <c r="F3569" s="458">
        <v>8.4998528616058833E-2</v>
      </c>
      <c r="G3569" s="477">
        <v>85992091.754260823</v>
      </c>
      <c r="H3569" s="458">
        <v>0.29654269600929895</v>
      </c>
      <c r="I3569" s="468">
        <v>5.6311841814878498</v>
      </c>
    </row>
    <row r="3570" spans="1:9" ht="16.5" x14ac:dyDescent="0.3">
      <c r="A3570" s="477">
        <v>3319260.3414650215</v>
      </c>
      <c r="B3570" s="458">
        <v>3.1792327087323269E-2</v>
      </c>
      <c r="C3570" s="477">
        <v>12568236.797860097</v>
      </c>
      <c r="D3570" s="458">
        <v>5.5878443805502886E-2</v>
      </c>
      <c r="E3570" s="477">
        <v>18491311.100007135</v>
      </c>
      <c r="F3570" s="458">
        <v>0.13477831516315164</v>
      </c>
      <c r="G3570" s="477">
        <v>87459727.739222214</v>
      </c>
      <c r="H3570" s="458">
        <v>0.26965668415455935</v>
      </c>
      <c r="I3570" s="468">
        <v>-0.36758329413209267</v>
      </c>
    </row>
    <row r="3571" spans="1:9" ht="16.5" x14ac:dyDescent="0.3">
      <c r="A3571" s="477">
        <v>2005998.9734275662</v>
      </c>
      <c r="B3571" s="458">
        <v>4.6994504401476789E-2</v>
      </c>
      <c r="C3571" s="477">
        <v>11595065.382166907</v>
      </c>
      <c r="D3571" s="458">
        <v>5.9966626504105225E-2</v>
      </c>
      <c r="E3571" s="477">
        <v>12169681.718584262</v>
      </c>
      <c r="F3571" s="458">
        <v>0.10890608347043451</v>
      </c>
      <c r="G3571" s="477">
        <v>87834681.431180507</v>
      </c>
      <c r="H3571" s="458">
        <v>0.24701865808549739</v>
      </c>
      <c r="I3571" s="468">
        <v>11.986433448137232</v>
      </c>
    </row>
    <row r="3572" spans="1:9" ht="16.5" x14ac:dyDescent="0.3">
      <c r="A3572" s="477">
        <v>6021810.9739691513</v>
      </c>
      <c r="B3572" s="458">
        <v>5.3379926265855415E-2</v>
      </c>
      <c r="C3572" s="477">
        <v>10566581.71507637</v>
      </c>
      <c r="D3572" s="458">
        <v>4.1698482488824906E-2</v>
      </c>
      <c r="E3572" s="477">
        <v>21569113.282166034</v>
      </c>
      <c r="F3572" s="458">
        <v>0.11558743019181539</v>
      </c>
      <c r="G3572" s="477">
        <v>97286707.21760419</v>
      </c>
      <c r="H3572" s="458">
        <v>0.25717056145133155</v>
      </c>
      <c r="I3572" s="468">
        <v>1.4501563179769201</v>
      </c>
    </row>
    <row r="3573" spans="1:9" ht="16.5" x14ac:dyDescent="0.3">
      <c r="A3573" s="477">
        <v>-680798.41780541616</v>
      </c>
      <c r="B3573" s="458">
        <v>3.5079049938702367E-2</v>
      </c>
      <c r="C3573" s="477">
        <v>7094598.7868221169</v>
      </c>
      <c r="D3573" s="458">
        <v>6.212526368974447E-2</v>
      </c>
      <c r="E3573" s="477">
        <v>15704550.329175739</v>
      </c>
      <c r="F3573" s="458">
        <v>0.12899689625997124</v>
      </c>
      <c r="G3573" s="477">
        <v>87265158.204212636</v>
      </c>
      <c r="H3573" s="458">
        <v>0.2719766598219775</v>
      </c>
      <c r="I3573" s="468">
        <v>3.4177227830036854</v>
      </c>
    </row>
    <row r="3574" spans="1:9" ht="16.5" x14ac:dyDescent="0.3">
      <c r="A3574" s="477">
        <v>5292732.695419373</v>
      </c>
      <c r="B3574" s="458">
        <v>4.5924883486874402E-2</v>
      </c>
      <c r="C3574" s="477">
        <v>8084145.7294659941</v>
      </c>
      <c r="D3574" s="458">
        <v>5.6755357055059186E-2</v>
      </c>
      <c r="E3574" s="477">
        <v>19956445.860113204</v>
      </c>
      <c r="F3574" s="458">
        <v>9.9462564863013636E-2</v>
      </c>
      <c r="G3574" s="477">
        <v>95992579.663198024</v>
      </c>
      <c r="H3574" s="458">
        <v>0.27063053277934412</v>
      </c>
      <c r="I3574" s="468">
        <v>3.8627075642142463</v>
      </c>
    </row>
    <row r="3575" spans="1:9" ht="16.5" x14ac:dyDescent="0.3">
      <c r="A3575" s="477">
        <v>6275283.4869265268</v>
      </c>
      <c r="B3575" s="458">
        <v>4.1788478824424935E-3</v>
      </c>
      <c r="C3575" s="477">
        <v>3651655.4513921202</v>
      </c>
      <c r="D3575" s="458">
        <v>8.9832609716497647E-2</v>
      </c>
      <c r="E3575" s="477">
        <v>23242566.388126533</v>
      </c>
      <c r="F3575" s="458">
        <v>0.10484017170230442</v>
      </c>
      <c r="G3575" s="477">
        <v>100642079.92968498</v>
      </c>
      <c r="H3575" s="458">
        <v>0.26344191973913178</v>
      </c>
      <c r="I3575" s="468">
        <v>4.0749895941669694</v>
      </c>
    </row>
    <row r="3576" spans="1:9" ht="16.5" x14ac:dyDescent="0.3">
      <c r="A3576" s="477">
        <v>7555224.9272650825</v>
      </c>
      <c r="B3576" s="458">
        <v>5.3015475353269892E-2</v>
      </c>
      <c r="C3576" s="477">
        <v>13892007.2093828</v>
      </c>
      <c r="D3576" s="458">
        <v>7.7909567175488137E-2</v>
      </c>
      <c r="E3576" s="477">
        <v>11824346.528601749</v>
      </c>
      <c r="F3576" s="458">
        <v>0.11589187754343366</v>
      </c>
      <c r="G3576" s="477">
        <v>86970406.205643758</v>
      </c>
      <c r="H3576" s="458">
        <v>0.28517807270464468</v>
      </c>
      <c r="I3576" s="468">
        <v>16.577509593506903</v>
      </c>
    </row>
    <row r="3577" spans="1:9" ht="16.5" x14ac:dyDescent="0.3">
      <c r="A3577" s="477">
        <v>8530521.1050802507</v>
      </c>
      <c r="B3577" s="458">
        <v>3.2344788893863052E-2</v>
      </c>
      <c r="C3577" s="477">
        <v>12391571.622827701</v>
      </c>
      <c r="D3577" s="458">
        <v>6.8299075484603122E-2</v>
      </c>
      <c r="E3577" s="477">
        <v>11917381.012402581</v>
      </c>
      <c r="F3577" s="458">
        <v>9.0404265075476609E-2</v>
      </c>
      <c r="G3577" s="477">
        <v>84935511.053255558</v>
      </c>
      <c r="H3577" s="458">
        <v>0.26728760655458372</v>
      </c>
      <c r="I3577" s="468">
        <v>14.060936134475742</v>
      </c>
    </row>
    <row r="3578" spans="1:9" ht="16.5" x14ac:dyDescent="0.3">
      <c r="A3578" s="477">
        <v>6151688.3362923954</v>
      </c>
      <c r="B3578" s="458">
        <v>2.4527105526241266E-2</v>
      </c>
      <c r="C3578" s="477">
        <v>12379581.374260033</v>
      </c>
      <c r="D3578" s="458">
        <v>6.6373015177584538E-2</v>
      </c>
      <c r="E3578" s="477">
        <v>17913560.044389471</v>
      </c>
      <c r="F3578" s="458">
        <v>0.15229202423241417</v>
      </c>
      <c r="G3578" s="477">
        <v>80266140.872807175</v>
      </c>
      <c r="H3578" s="458">
        <v>0.27453694266838546</v>
      </c>
      <c r="I3578" s="468">
        <v>13.737384599422956</v>
      </c>
    </row>
    <row r="3579" spans="1:9" ht="16.5" x14ac:dyDescent="0.3">
      <c r="A3579" s="477">
        <v>7811920.6467841482</v>
      </c>
      <c r="B3579" s="458">
        <v>2.5570096415868715E-2</v>
      </c>
      <c r="C3579" s="477">
        <v>9353797.1041293759</v>
      </c>
      <c r="D3579" s="458">
        <v>8.8040975554868117E-2</v>
      </c>
      <c r="E3579" s="477">
        <v>13755556.615779165</v>
      </c>
      <c r="F3579" s="458">
        <v>0.1001282425438752</v>
      </c>
      <c r="G3579" s="477">
        <v>88874024.517842725</v>
      </c>
      <c r="H3579" s="458">
        <v>0.2865940776112974</v>
      </c>
      <c r="I3579" s="468">
        <v>6.7375085112383939</v>
      </c>
    </row>
    <row r="3580" spans="1:9" ht="16.5" x14ac:dyDescent="0.3">
      <c r="A3580" s="477">
        <v>7927392.4997029705</v>
      </c>
      <c r="B3580" s="458">
        <v>3.7705451153008163E-2</v>
      </c>
      <c r="C3580" s="477">
        <v>10155040.350156862</v>
      </c>
      <c r="D3580" s="458">
        <v>5.3357137377054498E-2</v>
      </c>
      <c r="E3580" s="477">
        <v>15865558.699900854</v>
      </c>
      <c r="F3580" s="458">
        <v>0.10456487068466558</v>
      </c>
      <c r="G3580" s="477">
        <v>102284410.91912086</v>
      </c>
      <c r="H3580" s="458">
        <v>0.26631985566342098</v>
      </c>
      <c r="I3580" s="468">
        <v>3.8105545717230269</v>
      </c>
    </row>
    <row r="3581" spans="1:9" ht="16.5" x14ac:dyDescent="0.3">
      <c r="A3581" s="477">
        <v>5841996.0664453572</v>
      </c>
      <c r="B3581" s="458">
        <v>3.9199434178451176E-2</v>
      </c>
      <c r="C3581" s="477">
        <v>4666752.1468532309</v>
      </c>
      <c r="D3581" s="458">
        <v>5.9145695076834093E-2</v>
      </c>
      <c r="E3581" s="477">
        <v>14370813.954249131</v>
      </c>
      <c r="F3581" s="458">
        <v>0.11382331652330313</v>
      </c>
      <c r="G3581" s="477">
        <v>71259159.095508963</v>
      </c>
      <c r="H3581" s="458">
        <v>0.25511369342118195</v>
      </c>
      <c r="I3581" s="468">
        <v>7.7599361390658084</v>
      </c>
    </row>
    <row r="3582" spans="1:9" ht="16.5" x14ac:dyDescent="0.3">
      <c r="A3582" s="477">
        <v>597479.65848224785</v>
      </c>
      <c r="B3582" s="458">
        <v>2.863910933424263E-2</v>
      </c>
      <c r="C3582" s="477">
        <v>7555031.3913227636</v>
      </c>
      <c r="D3582" s="458">
        <v>9.0690303370430936E-2</v>
      </c>
      <c r="E3582" s="477">
        <v>12384163.564315569</v>
      </c>
      <c r="F3582" s="458">
        <v>0.14628494701831984</v>
      </c>
      <c r="G3582" s="477">
        <v>86862898.116480291</v>
      </c>
      <c r="H3582" s="458">
        <v>0.26030767410411393</v>
      </c>
      <c r="I3582" s="468">
        <v>10.877245862145909</v>
      </c>
    </row>
    <row r="3583" spans="1:9" ht="16.5" x14ac:dyDescent="0.3">
      <c r="A3583" s="477">
        <v>1872488.9454286282</v>
      </c>
      <c r="B3583" s="458">
        <v>5.6178672660864404E-2</v>
      </c>
      <c r="C3583" s="477">
        <v>11699462.87983226</v>
      </c>
      <c r="D3583" s="458">
        <v>7.7658694423248464E-2</v>
      </c>
      <c r="E3583" s="477">
        <v>15542652.374676524</v>
      </c>
      <c r="F3583" s="458">
        <v>0.10224162346626042</v>
      </c>
      <c r="G3583" s="477">
        <v>82947595.659475356</v>
      </c>
      <c r="H3583" s="458">
        <v>0.28474169950837425</v>
      </c>
      <c r="I3583" s="468">
        <v>14.705956803809581</v>
      </c>
    </row>
    <row r="3584" spans="1:9" ht="16.5" x14ac:dyDescent="0.3">
      <c r="A3584" s="477">
        <v>4018553.7339652288</v>
      </c>
      <c r="B3584" s="458">
        <v>5.4948475193880908E-2</v>
      </c>
      <c r="C3584" s="477">
        <v>8837169.3330314271</v>
      </c>
      <c r="D3584" s="458">
        <v>7.8918754587357531E-2</v>
      </c>
      <c r="E3584" s="477">
        <v>15579860.918083932</v>
      </c>
      <c r="F3584" s="458">
        <v>9.7850389492280865E-2</v>
      </c>
      <c r="G3584" s="477">
        <v>96151185.81024833</v>
      </c>
      <c r="H3584" s="458">
        <v>0.27082430962406501</v>
      </c>
      <c r="I3584" s="468">
        <v>10.129854356149597</v>
      </c>
    </row>
    <row r="3585" spans="1:9" ht="16.5" x14ac:dyDescent="0.3">
      <c r="A3585" s="477">
        <v>4650277.9766816888</v>
      </c>
      <c r="B3585" s="458">
        <v>4.1949387670832783E-2</v>
      </c>
      <c r="C3585" s="477">
        <v>9200973.9320100695</v>
      </c>
      <c r="D3585" s="458">
        <v>7.8523049163881531E-2</v>
      </c>
      <c r="E3585" s="477">
        <v>14838955.862453876</v>
      </c>
      <c r="F3585" s="458">
        <v>0.11436027938207283</v>
      </c>
      <c r="G3585" s="477">
        <v>96838851.774458453</v>
      </c>
      <c r="H3585" s="458">
        <v>0.26710373555384148</v>
      </c>
      <c r="I3585" s="468">
        <v>4.2733794726652228</v>
      </c>
    </row>
    <row r="3586" spans="1:9" ht="16.5" x14ac:dyDescent="0.3">
      <c r="A3586" s="477">
        <v>3468639.3696901752</v>
      </c>
      <c r="B3586" s="458">
        <v>3.8769865126931924E-2</v>
      </c>
      <c r="C3586" s="477">
        <v>5220134.6563782664</v>
      </c>
      <c r="D3586" s="458">
        <v>6.017407358390825E-2</v>
      </c>
      <c r="E3586" s="477">
        <v>18122906.054748438</v>
      </c>
      <c r="F3586" s="458">
        <v>0.11687753008759039</v>
      </c>
      <c r="G3586" s="477">
        <v>91218215.41192469</v>
      </c>
      <c r="H3586" s="458">
        <v>0.27584919075338132</v>
      </c>
      <c r="I3586" s="468">
        <v>2.9489614227810108</v>
      </c>
    </row>
    <row r="3587" spans="1:9" ht="16.5" x14ac:dyDescent="0.3">
      <c r="A3587" s="477">
        <v>2175585.7750340612</v>
      </c>
      <c r="B3587" s="458">
        <v>4.9779816257580434E-2</v>
      </c>
      <c r="C3587" s="477">
        <v>14469363.651845485</v>
      </c>
      <c r="D3587" s="458">
        <v>6.1881035445584098E-2</v>
      </c>
      <c r="E3587" s="477">
        <v>18213236.117544048</v>
      </c>
      <c r="F3587" s="458">
        <v>0.11040211383640219</v>
      </c>
      <c r="G3587" s="477">
        <v>93738556.614925012</v>
      </c>
      <c r="H3587" s="458">
        <v>0.27028988845468893</v>
      </c>
      <c r="I3587" s="468">
        <v>7.8593631196250211</v>
      </c>
    </row>
    <row r="3588" spans="1:9" ht="16.5" x14ac:dyDescent="0.3">
      <c r="A3588" s="477">
        <v>3864218.5217163498</v>
      </c>
      <c r="B3588" s="458">
        <v>1.0615139944529561E-2</v>
      </c>
      <c r="C3588" s="477">
        <v>8997223.9552492481</v>
      </c>
      <c r="D3588" s="458">
        <v>9.147832063078587E-2</v>
      </c>
      <c r="E3588" s="477">
        <v>20326222.85436368</v>
      </c>
      <c r="F3588" s="458">
        <v>0.11179108526878978</v>
      </c>
      <c r="G3588" s="477">
        <v>98985703.85495463</v>
      </c>
      <c r="H3588" s="458">
        <v>0.27071950433814007</v>
      </c>
      <c r="I3588" s="468">
        <v>5.3137022101355349</v>
      </c>
    </row>
    <row r="3589" spans="1:9" ht="16.5" x14ac:dyDescent="0.3">
      <c r="A3589" s="477">
        <v>4476080.0905615482</v>
      </c>
      <c r="B3589" s="458">
        <v>3.3471533808529408E-2</v>
      </c>
      <c r="C3589" s="477">
        <v>4739669.0892259078</v>
      </c>
      <c r="D3589" s="458">
        <v>5.8867701756688096E-2</v>
      </c>
      <c r="E3589" s="477">
        <v>20387551.553267799</v>
      </c>
      <c r="F3589" s="458">
        <v>0.11702458187724529</v>
      </c>
      <c r="G3589" s="477">
        <v>108822949.24226716</v>
      </c>
      <c r="H3589" s="458">
        <v>0.26120472194292033</v>
      </c>
      <c r="I3589" s="468">
        <v>6.7623498051463695</v>
      </c>
    </row>
    <row r="3590" spans="1:9" ht="16.5" x14ac:dyDescent="0.3">
      <c r="A3590" s="477">
        <v>8641297.3406617064</v>
      </c>
      <c r="B3590" s="458">
        <v>2.1074848784609745E-2</v>
      </c>
      <c r="C3590" s="477">
        <v>10692458.448220665</v>
      </c>
      <c r="D3590" s="458">
        <v>6.0959893023559975E-2</v>
      </c>
      <c r="E3590" s="477">
        <v>15637115.462078055</v>
      </c>
      <c r="F3590" s="458">
        <v>0.10450491948854479</v>
      </c>
      <c r="G3590" s="477">
        <v>91649851.941951305</v>
      </c>
      <c r="H3590" s="458">
        <v>0.25476088740032998</v>
      </c>
      <c r="I3590" s="468">
        <v>9.0179142125236531</v>
      </c>
    </row>
    <row r="3591" spans="1:9" ht="16.5" x14ac:dyDescent="0.3">
      <c r="A3591" s="477">
        <v>4291650.6040518843</v>
      </c>
      <c r="B3591" s="458">
        <v>2.619447908346384E-2</v>
      </c>
      <c r="C3591" s="477">
        <v>7839988.6035832129</v>
      </c>
      <c r="D3591" s="458">
        <v>6.6267978923203463E-2</v>
      </c>
      <c r="E3591" s="477">
        <v>19146404.816764824</v>
      </c>
      <c r="F3591" s="458">
        <v>9.1042225946915023E-2</v>
      </c>
      <c r="G3591" s="477">
        <v>96545690.343023419</v>
      </c>
      <c r="H3591" s="458">
        <v>0.26126988620216807</v>
      </c>
      <c r="I3591" s="468">
        <v>12.514238798864991</v>
      </c>
    </row>
    <row r="3592" spans="1:9" ht="16.5" x14ac:dyDescent="0.3">
      <c r="A3592" s="477">
        <v>4412716.8471211158</v>
      </c>
      <c r="B3592" s="458">
        <v>6.9107400937017838E-2</v>
      </c>
      <c r="C3592" s="477">
        <v>10919084.919248225</v>
      </c>
      <c r="D3592" s="458">
        <v>7.0941930590496582E-2</v>
      </c>
      <c r="E3592" s="477">
        <v>19769791.762987219</v>
      </c>
      <c r="F3592" s="458">
        <v>0.10575795770396801</v>
      </c>
      <c r="G3592" s="477">
        <v>87189149.543378711</v>
      </c>
      <c r="H3592" s="458">
        <v>0.26080590662355885</v>
      </c>
      <c r="I3592" s="468">
        <v>10.279022096805205</v>
      </c>
    </row>
    <row r="3593" spans="1:9" ht="16.5" x14ac:dyDescent="0.3">
      <c r="A3593" s="477">
        <v>8841878.2279605158</v>
      </c>
      <c r="B3593" s="458">
        <v>4.0999763238154907E-2</v>
      </c>
      <c r="C3593" s="477">
        <v>9004805.809255613</v>
      </c>
      <c r="D3593" s="458">
        <v>4.3259559348040044E-2</v>
      </c>
      <c r="E3593" s="477">
        <v>12829921.689444879</v>
      </c>
      <c r="F3593" s="458">
        <v>0.10193985935581407</v>
      </c>
      <c r="G3593" s="477">
        <v>83117593.774117216</v>
      </c>
      <c r="H3593" s="458">
        <v>0.24019241731797414</v>
      </c>
      <c r="I3593" s="468">
        <v>10.645600774042524</v>
      </c>
    </row>
    <row r="3594" spans="1:9" ht="16.5" x14ac:dyDescent="0.3">
      <c r="A3594" s="477">
        <v>4479154.0189632345</v>
      </c>
      <c r="B3594" s="458">
        <v>3.9426801214152984E-2</v>
      </c>
      <c r="C3594" s="477">
        <v>3848573.3849740592</v>
      </c>
      <c r="D3594" s="458">
        <v>5.1169735544934758E-2</v>
      </c>
      <c r="E3594" s="477">
        <v>21187732.378520731</v>
      </c>
      <c r="F3594" s="458">
        <v>0.11542992680145003</v>
      </c>
      <c r="G3594" s="477">
        <v>80809579.694825947</v>
      </c>
      <c r="H3594" s="458">
        <v>0.26528142640122332</v>
      </c>
      <c r="I3594" s="468">
        <v>13.410152565711913</v>
      </c>
    </row>
    <row r="3595" spans="1:9" ht="16.5" x14ac:dyDescent="0.3">
      <c r="A3595" s="477">
        <v>7443926.1011622213</v>
      </c>
      <c r="B3595" s="458">
        <v>1.6864363071501964E-2</v>
      </c>
      <c r="C3595" s="477">
        <v>9763121.2543002032</v>
      </c>
      <c r="D3595" s="458">
        <v>6.5893885669879637E-2</v>
      </c>
      <c r="E3595" s="477">
        <v>10780543.213900669</v>
      </c>
      <c r="F3595" s="458">
        <v>0.12176358677341881</v>
      </c>
      <c r="G3595" s="477">
        <v>85780034.556096107</v>
      </c>
      <c r="H3595" s="458">
        <v>0.2887930700780259</v>
      </c>
      <c r="I3595" s="468">
        <v>5.7710316828605928</v>
      </c>
    </row>
    <row r="3596" spans="1:9" ht="16.5" x14ac:dyDescent="0.3">
      <c r="A3596" s="477">
        <v>6867966.4003208345</v>
      </c>
      <c r="B3596" s="458">
        <v>5.7032729505730018E-2</v>
      </c>
      <c r="C3596" s="477">
        <v>5992688.3659107471</v>
      </c>
      <c r="D3596" s="458">
        <v>6.1219758468819219E-2</v>
      </c>
      <c r="E3596" s="477">
        <v>10214235.007881915</v>
      </c>
      <c r="F3596" s="458">
        <v>0.10355869931584216</v>
      </c>
      <c r="G3596" s="477">
        <v>89240544.827964753</v>
      </c>
      <c r="H3596" s="458">
        <v>0.27078905842078704</v>
      </c>
      <c r="I3596" s="468">
        <v>6.8518634410284616</v>
      </c>
    </row>
    <row r="3597" spans="1:9" ht="16.5" x14ac:dyDescent="0.3">
      <c r="A3597" s="477">
        <v>6079544.8829878634</v>
      </c>
      <c r="B3597" s="458">
        <v>4.0566108707432713E-2</v>
      </c>
      <c r="C3597" s="477">
        <v>11146599.065766629</v>
      </c>
      <c r="D3597" s="458">
        <v>9.7515651479088028E-2</v>
      </c>
      <c r="E3597" s="477">
        <v>18124944.299588289</v>
      </c>
      <c r="F3597" s="458">
        <v>0.10614901472625493</v>
      </c>
      <c r="G3597" s="477">
        <v>86693078.277408779</v>
      </c>
      <c r="H3597" s="458">
        <v>0.2664120845127127</v>
      </c>
      <c r="I3597" s="468">
        <v>2.9159183182489796</v>
      </c>
    </row>
    <row r="3598" spans="1:9" ht="16.5" x14ac:dyDescent="0.3">
      <c r="A3598" s="477">
        <v>13101053.336119</v>
      </c>
      <c r="B3598" s="458">
        <v>5.6372632746978013E-2</v>
      </c>
      <c r="C3598" s="477">
        <v>9147637.7120613344</v>
      </c>
      <c r="D3598" s="458">
        <v>4.3636558044634732E-2</v>
      </c>
      <c r="E3598" s="477">
        <v>11600041.203920214</v>
      </c>
      <c r="F3598" s="458">
        <v>0.11321843822603239</v>
      </c>
      <c r="G3598" s="477">
        <v>99232769.461769983</v>
      </c>
      <c r="H3598" s="458">
        <v>0.26422061450198608</v>
      </c>
      <c r="I3598" s="468">
        <v>6.5524187398575666</v>
      </c>
    </row>
    <row r="3599" spans="1:9" ht="16.5" x14ac:dyDescent="0.3">
      <c r="A3599" s="477">
        <v>5216132.6372098774</v>
      </c>
      <c r="B3599" s="458">
        <v>5.9881592920266735E-2</v>
      </c>
      <c r="C3599" s="477">
        <v>7992679.4340638397</v>
      </c>
      <c r="D3599" s="458">
        <v>4.9090452259943573E-2</v>
      </c>
      <c r="E3599" s="477">
        <v>14526608.487273473</v>
      </c>
      <c r="F3599" s="458">
        <v>0.11554298057331924</v>
      </c>
      <c r="G3599" s="477">
        <v>75112072.474262625</v>
      </c>
      <c r="H3599" s="458">
        <v>0.26414508849710105</v>
      </c>
      <c r="I3599" s="468">
        <v>8.0449788440337198</v>
      </c>
    </row>
    <row r="3600" spans="1:9" ht="16.5" x14ac:dyDescent="0.3">
      <c r="A3600" s="477">
        <v>4027171.8001922858</v>
      </c>
      <c r="B3600" s="458">
        <v>6.0734464855831005E-2</v>
      </c>
      <c r="C3600" s="477">
        <v>5578010.2623860398</v>
      </c>
      <c r="D3600" s="458">
        <v>3.9402370570501333E-2</v>
      </c>
      <c r="E3600" s="477">
        <v>19455201.533961672</v>
      </c>
      <c r="F3600" s="458">
        <v>0.10336783616137502</v>
      </c>
      <c r="G3600" s="477">
        <v>85992296.065802291</v>
      </c>
      <c r="H3600" s="458">
        <v>0.27364492605815771</v>
      </c>
      <c r="I3600" s="468">
        <v>16.385061643150877</v>
      </c>
    </row>
    <row r="3601" spans="1:9" ht="16.5" x14ac:dyDescent="0.3">
      <c r="A3601" s="477">
        <v>8546952.8849113081</v>
      </c>
      <c r="B3601" s="458">
        <v>3.2090242721518614E-2</v>
      </c>
      <c r="C3601" s="477">
        <v>7574326.9998940416</v>
      </c>
      <c r="D3601" s="458">
        <v>8.3239392602291851E-2</v>
      </c>
      <c r="E3601" s="477">
        <v>18172828.533081837</v>
      </c>
      <c r="F3601" s="458">
        <v>0.14445774614686768</v>
      </c>
      <c r="G3601" s="477">
        <v>85879316.757704809</v>
      </c>
      <c r="H3601" s="458">
        <v>0.27245403812252333</v>
      </c>
      <c r="I3601" s="468">
        <v>11.841799116290737</v>
      </c>
    </row>
    <row r="3602" spans="1:9" ht="16.5" x14ac:dyDescent="0.3">
      <c r="A3602" s="477">
        <v>1771865.2437631916</v>
      </c>
      <c r="B3602" s="458">
        <v>4.7456094296068896E-2</v>
      </c>
      <c r="C3602" s="477">
        <v>4277997.5811752314</v>
      </c>
      <c r="D3602" s="458">
        <v>7.7548076202558214E-2</v>
      </c>
      <c r="E3602" s="477">
        <v>19650228.250293706</v>
      </c>
      <c r="F3602" s="458">
        <v>0.11276553396243272</v>
      </c>
      <c r="G3602" s="477">
        <v>92410778.977790564</v>
      </c>
      <c r="H3602" s="458">
        <v>0.26455614643287761</v>
      </c>
      <c r="I3602" s="468">
        <v>8.9314625292923466</v>
      </c>
    </row>
    <row r="3603" spans="1:9" ht="16.5" x14ac:dyDescent="0.3">
      <c r="A3603" s="477">
        <v>4029521.413614891</v>
      </c>
      <c r="B3603" s="458">
        <v>4.9331242893695837E-2</v>
      </c>
      <c r="C3603" s="477">
        <v>13789440.289384533</v>
      </c>
      <c r="D3603" s="458">
        <v>8.7382023104960904E-2</v>
      </c>
      <c r="E3603" s="477">
        <v>19099703.864447325</v>
      </c>
      <c r="F3603" s="458">
        <v>9.8619158436985543E-2</v>
      </c>
      <c r="G3603" s="477">
        <v>88959773.668811366</v>
      </c>
      <c r="H3603" s="458">
        <v>0.28149154766684625</v>
      </c>
      <c r="I3603" s="468">
        <v>12.881430673516974</v>
      </c>
    </row>
    <row r="3604" spans="1:9" ht="16.5" x14ac:dyDescent="0.3">
      <c r="A3604" s="477">
        <v>2727685.103914822</v>
      </c>
      <c r="B3604" s="458">
        <v>5.1235876543275438E-2</v>
      </c>
      <c r="C3604" s="477">
        <v>13452121.895716069</v>
      </c>
      <c r="D3604" s="458">
        <v>5.5122544882944213E-2</v>
      </c>
      <c r="E3604" s="477">
        <v>20265641.537124194</v>
      </c>
      <c r="F3604" s="458">
        <v>8.8882822623126412E-2</v>
      </c>
      <c r="G3604" s="477">
        <v>89774362.639616132</v>
      </c>
      <c r="H3604" s="458">
        <v>0.27929498387110585</v>
      </c>
      <c r="I3604" s="468">
        <v>11.586513390364294</v>
      </c>
    </row>
    <row r="3605" spans="1:9" ht="16.5" x14ac:dyDescent="0.3">
      <c r="A3605" s="477">
        <v>2462690.0954140658</v>
      </c>
      <c r="B3605" s="458">
        <v>4.2393664345017346E-2</v>
      </c>
      <c r="C3605" s="477">
        <v>8119648.1045068819</v>
      </c>
      <c r="D3605" s="458">
        <v>7.3472556552016455E-2</v>
      </c>
      <c r="E3605" s="477">
        <v>16498711.31840341</v>
      </c>
      <c r="F3605" s="458">
        <v>0.10460393477749408</v>
      </c>
      <c r="G3605" s="477">
        <v>93689374.807619959</v>
      </c>
      <c r="H3605" s="458">
        <v>0.29195866393412606</v>
      </c>
      <c r="I3605" s="468">
        <v>11.457370492793526</v>
      </c>
    </row>
    <row r="3606" spans="1:9" ht="16.5" x14ac:dyDescent="0.3">
      <c r="A3606" s="477">
        <v>252634.86553230966</v>
      </c>
      <c r="B3606" s="458">
        <v>4.8913649727343467E-2</v>
      </c>
      <c r="C3606" s="477">
        <v>12456135.24065149</v>
      </c>
      <c r="D3606" s="458">
        <v>6.6193267200567174E-2</v>
      </c>
      <c r="E3606" s="477">
        <v>25885690.091800138</v>
      </c>
      <c r="F3606" s="458">
        <v>0.11215731963963682</v>
      </c>
      <c r="G3606" s="477">
        <v>77683977.005503923</v>
      </c>
      <c r="H3606" s="458">
        <v>0.27418011846805701</v>
      </c>
      <c r="I3606" s="468">
        <v>6.4590772989458749</v>
      </c>
    </row>
    <row r="3607" spans="1:9" ht="16.5" x14ac:dyDescent="0.3">
      <c r="A3607" s="477">
        <v>6014767.2334633432</v>
      </c>
      <c r="B3607" s="458">
        <v>3.5307914536673035E-2</v>
      </c>
      <c r="C3607" s="477">
        <v>4491759.6841303948</v>
      </c>
      <c r="D3607" s="458">
        <v>4.3233688445831531E-2</v>
      </c>
      <c r="E3607" s="477">
        <v>15644656.990936738</v>
      </c>
      <c r="F3607" s="458">
        <v>9.6290428435017006E-2</v>
      </c>
      <c r="G3607" s="477">
        <v>92083772.071531147</v>
      </c>
      <c r="H3607" s="458">
        <v>0.27814958574041038</v>
      </c>
      <c r="I3607" s="468">
        <v>2.320891912345302</v>
      </c>
    </row>
    <row r="3608" spans="1:9" ht="16.5" x14ac:dyDescent="0.3">
      <c r="A3608" s="477">
        <v>2857743.1133420574</v>
      </c>
      <c r="B3608" s="458">
        <v>3.5827802326695579E-2</v>
      </c>
      <c r="C3608" s="477">
        <v>11760976.754782343</v>
      </c>
      <c r="D3608" s="458">
        <v>5.1419018754443435E-2</v>
      </c>
      <c r="E3608" s="477">
        <v>10445170.687008098</v>
      </c>
      <c r="F3608" s="458">
        <v>0.11677072212718365</v>
      </c>
      <c r="G3608" s="477">
        <v>79435505.453472733</v>
      </c>
      <c r="H3608" s="458">
        <v>0.2660453327732395</v>
      </c>
      <c r="I3608" s="468">
        <v>3.6345396265878804</v>
      </c>
    </row>
    <row r="3609" spans="1:9" ht="16.5" x14ac:dyDescent="0.3">
      <c r="A3609" s="477">
        <v>4142133.5697253365</v>
      </c>
      <c r="B3609" s="458">
        <v>5.3016745589398395E-2</v>
      </c>
      <c r="C3609" s="477">
        <v>9533751.4650670998</v>
      </c>
      <c r="D3609" s="458">
        <v>7.2487655195599965E-2</v>
      </c>
      <c r="E3609" s="477">
        <v>20251112.667410765</v>
      </c>
      <c r="F3609" s="458">
        <v>0.11127233677186843</v>
      </c>
      <c r="G3609" s="477">
        <v>90927740.694739491</v>
      </c>
      <c r="H3609" s="458">
        <v>0.28038894307421147</v>
      </c>
      <c r="I3609" s="468">
        <v>5.5620262210794955</v>
      </c>
    </row>
    <row r="3610" spans="1:9" ht="16.5" x14ac:dyDescent="0.3">
      <c r="A3610" s="477">
        <v>2164263.2223341623</v>
      </c>
      <c r="B3610" s="458">
        <v>8.3565836036685326E-3</v>
      </c>
      <c r="C3610" s="477">
        <v>244883.9561050405</v>
      </c>
      <c r="D3610" s="458">
        <v>5.4928098897743638E-2</v>
      </c>
      <c r="E3610" s="477">
        <v>13996073.890160395</v>
      </c>
      <c r="F3610" s="458">
        <v>0.1305026045797486</v>
      </c>
      <c r="G3610" s="477">
        <v>89056725.155476928</v>
      </c>
      <c r="H3610" s="458">
        <v>0.2571936083986941</v>
      </c>
      <c r="I3610" s="468">
        <v>10.32231578336107</v>
      </c>
    </row>
    <row r="3611" spans="1:9" ht="16.5" x14ac:dyDescent="0.3">
      <c r="A3611" s="477">
        <v>5600052.6923610158</v>
      </c>
      <c r="B3611" s="458">
        <v>3.8402496150553356E-2</v>
      </c>
      <c r="C3611" s="477">
        <v>9918963.3472148739</v>
      </c>
      <c r="D3611" s="458">
        <v>6.245231426568254E-2</v>
      </c>
      <c r="E3611" s="477">
        <v>17149489.883882742</v>
      </c>
      <c r="F3611" s="458">
        <v>0.11412448954961918</v>
      </c>
      <c r="G3611" s="477">
        <v>84202979.446148783</v>
      </c>
      <c r="H3611" s="458">
        <v>0.25819130201528639</v>
      </c>
      <c r="I3611" s="468">
        <v>8.0542298438956959</v>
      </c>
    </row>
    <row r="3612" spans="1:9" ht="16.5" x14ac:dyDescent="0.3">
      <c r="A3612" s="477">
        <v>6031491.3882744852</v>
      </c>
      <c r="B3612" s="458">
        <v>3.6193631824481542E-2</v>
      </c>
      <c r="C3612" s="477">
        <v>8471708.7192436848</v>
      </c>
      <c r="D3612" s="458">
        <v>6.6255164396142874E-2</v>
      </c>
      <c r="E3612" s="477">
        <v>13037840.40430171</v>
      </c>
      <c r="F3612" s="458">
        <v>8.8156396656012603E-2</v>
      </c>
      <c r="G3612" s="477">
        <v>102355837.46425314</v>
      </c>
      <c r="H3612" s="458">
        <v>0.27057781999230923</v>
      </c>
      <c r="I3612" s="468">
        <v>6.5017624979650126</v>
      </c>
    </row>
    <row r="3613" spans="1:9" ht="16.5" x14ac:dyDescent="0.3">
      <c r="A3613" s="477">
        <v>6616135.3000678699</v>
      </c>
      <c r="B3613" s="458">
        <v>4.5668909135900826E-2</v>
      </c>
      <c r="C3613" s="477">
        <v>10736059.485127032</v>
      </c>
      <c r="D3613" s="458">
        <v>6.6829180420648449E-2</v>
      </c>
      <c r="E3613" s="477">
        <v>15698556.882272072</v>
      </c>
      <c r="F3613" s="458">
        <v>9.8230359232301057E-2</v>
      </c>
      <c r="G3613" s="477">
        <v>92568461.722965509</v>
      </c>
      <c r="H3613" s="458">
        <v>0.25968558281211296</v>
      </c>
      <c r="I3613" s="468">
        <v>13.144426363844735</v>
      </c>
    </row>
    <row r="3614" spans="1:9" ht="16.5" x14ac:dyDescent="0.3">
      <c r="A3614" s="477">
        <v>7207459.6813998921</v>
      </c>
      <c r="B3614" s="458">
        <v>2.9276968096120903E-2</v>
      </c>
      <c r="C3614" s="477">
        <v>6407061.8532430846</v>
      </c>
      <c r="D3614" s="458">
        <v>6.5566916703707845E-2</v>
      </c>
      <c r="E3614" s="477">
        <v>16687710.776400747</v>
      </c>
      <c r="F3614" s="458">
        <v>0.11932478158555071</v>
      </c>
      <c r="G3614" s="477">
        <v>95699696.176552027</v>
      </c>
      <c r="H3614" s="458">
        <v>0.28052668119971691</v>
      </c>
      <c r="I3614" s="468">
        <v>2.1069383989738535</v>
      </c>
    </row>
    <row r="3615" spans="1:9" ht="16.5" x14ac:dyDescent="0.3">
      <c r="A3615" s="477">
        <v>6361509.0184831666</v>
      </c>
      <c r="B3615" s="458">
        <v>3.312629001696088E-2</v>
      </c>
      <c r="C3615" s="477">
        <v>8614160.929443039</v>
      </c>
      <c r="D3615" s="458">
        <v>6.6527662746703742E-2</v>
      </c>
      <c r="E3615" s="477">
        <v>16255003.850101504</v>
      </c>
      <c r="F3615" s="458">
        <v>8.511683053755803E-2</v>
      </c>
      <c r="G3615" s="477">
        <v>90282628.468477875</v>
      </c>
      <c r="H3615" s="458">
        <v>0.26582598333818974</v>
      </c>
      <c r="I3615" s="468">
        <v>0.73848923947339262</v>
      </c>
    </row>
    <row r="3616" spans="1:9" ht="16.5" x14ac:dyDescent="0.3">
      <c r="A3616" s="477">
        <v>3762031.48924571</v>
      </c>
      <c r="B3616" s="458">
        <v>3.4866332158318247E-2</v>
      </c>
      <c r="C3616" s="477">
        <v>8429362.7212220766</v>
      </c>
      <c r="D3616" s="458">
        <v>6.2010402137274268E-2</v>
      </c>
      <c r="E3616" s="477">
        <v>20220074.699623391</v>
      </c>
      <c r="F3616" s="458">
        <v>0.1096277301410824</v>
      </c>
      <c r="G3616" s="477">
        <v>83852232.187988475</v>
      </c>
      <c r="H3616" s="458">
        <v>0.25584025159188895</v>
      </c>
      <c r="I3616" s="468">
        <v>10.854054393505148</v>
      </c>
    </row>
    <row r="3617" spans="1:9" ht="16.5" x14ac:dyDescent="0.3">
      <c r="A3617" s="477">
        <v>5078260.5366585543</v>
      </c>
      <c r="B3617" s="458">
        <v>5.9443860350601119E-2</v>
      </c>
      <c r="C3617" s="477">
        <v>9692994.0366759077</v>
      </c>
      <c r="D3617" s="458">
        <v>6.0008411368223546E-2</v>
      </c>
      <c r="E3617" s="477">
        <v>12770653.149380067</v>
      </c>
      <c r="F3617" s="458">
        <v>0.10620078697837521</v>
      </c>
      <c r="G3617" s="477">
        <v>100025303.96694636</v>
      </c>
      <c r="H3617" s="458">
        <v>0.2682090343212935</v>
      </c>
      <c r="I3617" s="468">
        <v>0.80914215908913789</v>
      </c>
    </row>
    <row r="3618" spans="1:9" ht="16.5" x14ac:dyDescent="0.3">
      <c r="A3618" s="477">
        <v>3207506.8926353748</v>
      </c>
      <c r="B3618" s="458">
        <v>4.4308959839540529E-2</v>
      </c>
      <c r="C3618" s="477">
        <v>4349856.6665935339</v>
      </c>
      <c r="D3618" s="458">
        <v>7.0034025665763444E-2</v>
      </c>
      <c r="E3618" s="477">
        <v>20186865.687566895</v>
      </c>
      <c r="F3618" s="458">
        <v>0.13124270362384993</v>
      </c>
      <c r="G3618" s="477">
        <v>100149701.59358014</v>
      </c>
      <c r="H3618" s="458">
        <v>0.26376902185284123</v>
      </c>
      <c r="I3618" s="468">
        <v>4.1989471555925464</v>
      </c>
    </row>
    <row r="3619" spans="1:9" ht="16.5" x14ac:dyDescent="0.3">
      <c r="A3619" s="477">
        <v>4161680.6772213201</v>
      </c>
      <c r="B3619" s="458">
        <v>2.2742215895123152E-2</v>
      </c>
      <c r="C3619" s="477">
        <v>9217523.2321294714</v>
      </c>
      <c r="D3619" s="458">
        <v>5.8888001881753693E-2</v>
      </c>
      <c r="E3619" s="477">
        <v>18366824.853047848</v>
      </c>
      <c r="F3619" s="458">
        <v>9.2126660420610129E-2</v>
      </c>
      <c r="G3619" s="477">
        <v>80617802.902021691</v>
      </c>
      <c r="H3619" s="458">
        <v>0.27946842140805028</v>
      </c>
      <c r="I3619" s="468">
        <v>10.934113288513069</v>
      </c>
    </row>
    <row r="3620" spans="1:9" ht="16.5" x14ac:dyDescent="0.3">
      <c r="A3620" s="477">
        <v>3917709.7761457008</v>
      </c>
      <c r="B3620" s="458">
        <v>3.2070722439171195E-2</v>
      </c>
      <c r="C3620" s="477">
        <v>11941658.266168861</v>
      </c>
      <c r="D3620" s="458">
        <v>6.3649989156209674E-2</v>
      </c>
      <c r="E3620" s="477">
        <v>16464233.713325012</v>
      </c>
      <c r="F3620" s="458">
        <v>0.11636661048145447</v>
      </c>
      <c r="G3620" s="477">
        <v>81439731.400238186</v>
      </c>
      <c r="H3620" s="458">
        <v>0.2634987534939337</v>
      </c>
      <c r="I3620" s="468">
        <v>5.2954518558135213</v>
      </c>
    </row>
    <row r="3621" spans="1:9" ht="16.5" x14ac:dyDescent="0.3">
      <c r="A3621" s="477">
        <v>9532816.6096389852</v>
      </c>
      <c r="B3621" s="458">
        <v>5.1471818300857564E-2</v>
      </c>
      <c r="C3621" s="477">
        <v>2969629.865805971</v>
      </c>
      <c r="D3621" s="458">
        <v>7.0918678053554451E-2</v>
      </c>
      <c r="E3621" s="477">
        <v>16426808.782773245</v>
      </c>
      <c r="F3621" s="458">
        <v>0.10675857777510833</v>
      </c>
      <c r="G3621" s="477">
        <v>88996668.678669348</v>
      </c>
      <c r="H3621" s="458">
        <v>0.26364770981289865</v>
      </c>
      <c r="I3621" s="468">
        <v>11.033245843675322</v>
      </c>
    </row>
    <row r="3622" spans="1:9" ht="16.5" x14ac:dyDescent="0.3">
      <c r="A3622" s="477">
        <v>3884764.7970994194</v>
      </c>
      <c r="B3622" s="458">
        <v>3.9724127420344368E-2</v>
      </c>
      <c r="C3622" s="477">
        <v>15025135.034543846</v>
      </c>
      <c r="D3622" s="458">
        <v>8.6270133267418503E-2</v>
      </c>
      <c r="E3622" s="477">
        <v>26179450.952268321</v>
      </c>
      <c r="F3622" s="458">
        <v>0.11902377660492913</v>
      </c>
      <c r="G3622" s="477">
        <v>81455884.928178564</v>
      </c>
      <c r="H3622" s="458">
        <v>0.26187480360369064</v>
      </c>
      <c r="I3622" s="468">
        <v>10.34428821918117</v>
      </c>
    </row>
    <row r="3623" spans="1:9" ht="16.5" x14ac:dyDescent="0.3">
      <c r="A3623" s="477">
        <v>5636621.843665354</v>
      </c>
      <c r="B3623" s="458">
        <v>4.0988983886673491E-2</v>
      </c>
      <c r="C3623" s="477">
        <v>5618436.5242736852</v>
      </c>
      <c r="D3623" s="458">
        <v>9.2882438952983426E-2</v>
      </c>
      <c r="E3623" s="477">
        <v>18198661.592952922</v>
      </c>
      <c r="F3623" s="458">
        <v>0.10117949373189106</v>
      </c>
      <c r="G3623" s="477">
        <v>99289374.759563759</v>
      </c>
      <c r="H3623" s="458">
        <v>0.28908693725985146</v>
      </c>
      <c r="I3623" s="468">
        <v>10.382006585266012</v>
      </c>
    </row>
    <row r="3624" spans="1:9" ht="16.5" x14ac:dyDescent="0.3">
      <c r="A3624" s="477">
        <v>7560010.3726747241</v>
      </c>
      <c r="B3624" s="458">
        <v>5.7191358707488371E-2</v>
      </c>
      <c r="C3624" s="477">
        <v>9702709.6836864632</v>
      </c>
      <c r="D3624" s="458">
        <v>4.2258954421288575E-2</v>
      </c>
      <c r="E3624" s="477">
        <v>15879936.242351929</v>
      </c>
      <c r="F3624" s="458">
        <v>0.11737268514188481</v>
      </c>
      <c r="G3624" s="477">
        <v>95784222.6027468</v>
      </c>
      <c r="H3624" s="458">
        <v>0.26326593824735012</v>
      </c>
      <c r="I3624" s="468">
        <v>6.4712512380174001</v>
      </c>
    </row>
    <row r="3625" spans="1:9" ht="16.5" x14ac:dyDescent="0.3">
      <c r="A3625" s="477">
        <v>4352814.8563953629</v>
      </c>
      <c r="B3625" s="458">
        <v>5.529822790193073E-2</v>
      </c>
      <c r="C3625" s="477">
        <v>7625506.8436807189</v>
      </c>
      <c r="D3625" s="458">
        <v>5.0900831650285472E-2</v>
      </c>
      <c r="E3625" s="477">
        <v>13418326.511827916</v>
      </c>
      <c r="F3625" s="458">
        <v>0.14179966005603695</v>
      </c>
      <c r="G3625" s="477">
        <v>90762310.721163899</v>
      </c>
      <c r="H3625" s="458">
        <v>0.26757385751313101</v>
      </c>
      <c r="I3625" s="468">
        <v>3.4670230352117635</v>
      </c>
    </row>
    <row r="3626" spans="1:9" ht="16.5" x14ac:dyDescent="0.3">
      <c r="A3626" s="477">
        <v>3540075.7039297582</v>
      </c>
      <c r="B3626" s="458">
        <v>3.4380396235268229E-2</v>
      </c>
      <c r="C3626" s="477">
        <v>2757118.225913791</v>
      </c>
      <c r="D3626" s="458">
        <v>6.6145243433777479E-2</v>
      </c>
      <c r="E3626" s="477">
        <v>22757658.183770034</v>
      </c>
      <c r="F3626" s="458">
        <v>0.1049858991580277</v>
      </c>
      <c r="G3626" s="477">
        <v>100714913.41962984</v>
      </c>
      <c r="H3626" s="458">
        <v>0.26850286433024495</v>
      </c>
      <c r="I3626" s="468">
        <v>8.6727427754960988</v>
      </c>
    </row>
    <row r="3627" spans="1:9" ht="16.5" x14ac:dyDescent="0.3">
      <c r="A3627" s="477">
        <v>4008063.6174257211</v>
      </c>
      <c r="B3627" s="458">
        <v>3.7916854691131485E-2</v>
      </c>
      <c r="C3627" s="477">
        <v>13177144.918041855</v>
      </c>
      <c r="D3627" s="458">
        <v>7.3876721386461064E-2</v>
      </c>
      <c r="E3627" s="477">
        <v>17822011.945587587</v>
      </c>
      <c r="F3627" s="458">
        <v>0.11522914302608966</v>
      </c>
      <c r="G3627" s="477">
        <v>83251468.547676995</v>
      </c>
      <c r="H3627" s="458">
        <v>0.27020876629352553</v>
      </c>
      <c r="I3627" s="468">
        <v>4.9413832330294127</v>
      </c>
    </row>
    <row r="3628" spans="1:9" ht="16.5" x14ac:dyDescent="0.3">
      <c r="A3628" s="477">
        <v>804123.15069683082</v>
      </c>
      <c r="B3628" s="458">
        <v>3.5671751764067006E-2</v>
      </c>
      <c r="C3628" s="477">
        <v>3852755.7338526002</v>
      </c>
      <c r="D3628" s="458">
        <v>7.4243781833931433E-2</v>
      </c>
      <c r="E3628" s="477">
        <v>18715625.944709465</v>
      </c>
      <c r="F3628" s="458">
        <v>0.10531632855312467</v>
      </c>
      <c r="G3628" s="477">
        <v>85171593.23595193</v>
      </c>
      <c r="H3628" s="458">
        <v>0.26776110966209554</v>
      </c>
      <c r="I3628" s="468">
        <v>5.2741822709400576</v>
      </c>
    </row>
    <row r="3629" spans="1:9" ht="16.5" x14ac:dyDescent="0.3">
      <c r="A3629" s="477">
        <v>5370486.8618008904</v>
      </c>
      <c r="B3629" s="458">
        <v>1.7430361356065349E-2</v>
      </c>
      <c r="C3629" s="477">
        <v>6028569.1258531865</v>
      </c>
      <c r="D3629" s="458">
        <v>5.4543101605682542E-2</v>
      </c>
      <c r="E3629" s="477">
        <v>20944117.787554432</v>
      </c>
      <c r="F3629" s="458">
        <v>0.11397655006329188</v>
      </c>
      <c r="G3629" s="477">
        <v>86268873.251264006</v>
      </c>
      <c r="H3629" s="458">
        <v>0.26243529167366564</v>
      </c>
      <c r="I3629" s="468">
        <v>12.377555531536252</v>
      </c>
    </row>
    <row r="3630" spans="1:9" ht="16.5" x14ac:dyDescent="0.3">
      <c r="A3630" s="477">
        <v>1267152.0270378846</v>
      </c>
      <c r="B3630" s="458">
        <v>2.2272442739668996E-2</v>
      </c>
      <c r="C3630" s="477">
        <v>12241295.90141584</v>
      </c>
      <c r="D3630" s="458">
        <v>6.3846069831300811E-2</v>
      </c>
      <c r="E3630" s="477">
        <v>13436594.684476661</v>
      </c>
      <c r="F3630" s="458">
        <v>0.10084821801618182</v>
      </c>
      <c r="G3630" s="477">
        <v>86579137.323650986</v>
      </c>
      <c r="H3630" s="458">
        <v>0.28427158550178211</v>
      </c>
      <c r="I3630" s="468">
        <v>9.839993226629197</v>
      </c>
    </row>
    <row r="3631" spans="1:9" ht="16.5" x14ac:dyDescent="0.3">
      <c r="A3631" s="477">
        <v>2731471.3897484397</v>
      </c>
      <c r="B3631" s="458">
        <v>6.1186450757371391E-2</v>
      </c>
      <c r="C3631" s="477">
        <v>4435581.9842043119</v>
      </c>
      <c r="D3631" s="458">
        <v>4.3759329711815731E-2</v>
      </c>
      <c r="E3631" s="477">
        <v>17623068.754231814</v>
      </c>
      <c r="F3631" s="458">
        <v>0.11769876819519376</v>
      </c>
      <c r="G3631" s="477">
        <v>86221898.063894212</v>
      </c>
      <c r="H3631" s="458">
        <v>0.26067026990588471</v>
      </c>
      <c r="I3631" s="468">
        <v>10.022145194097815</v>
      </c>
    </row>
    <row r="3632" spans="1:9" ht="16.5" x14ac:dyDescent="0.3">
      <c r="A3632" s="477">
        <v>3699858.0581051791</v>
      </c>
      <c r="B3632" s="458">
        <v>3.5134147623871792E-2</v>
      </c>
      <c r="C3632" s="477">
        <v>6131545.3678789111</v>
      </c>
      <c r="D3632" s="458">
        <v>4.9431440235101709E-2</v>
      </c>
      <c r="E3632" s="477">
        <v>15015448.419413788</v>
      </c>
      <c r="F3632" s="458">
        <v>0.10322134136165939</v>
      </c>
      <c r="G3632" s="477">
        <v>89486697.686719924</v>
      </c>
      <c r="H3632" s="458">
        <v>0.25971693598683432</v>
      </c>
      <c r="I3632" s="468">
        <v>2.4519152290579118</v>
      </c>
    </row>
    <row r="3633" spans="1:9" ht="16.5" x14ac:dyDescent="0.3">
      <c r="A3633" s="477">
        <v>3166418.1261411957</v>
      </c>
      <c r="B3633" s="458">
        <v>2.5272964262993858E-2</v>
      </c>
      <c r="C3633" s="477">
        <v>6867860.8894462837</v>
      </c>
      <c r="D3633" s="458">
        <v>9.5213375103853526E-2</v>
      </c>
      <c r="E3633" s="477">
        <v>12728228.530501585</v>
      </c>
      <c r="F3633" s="458">
        <v>0.12530921229216463</v>
      </c>
      <c r="G3633" s="477">
        <v>76177822.283651739</v>
      </c>
      <c r="H3633" s="458">
        <v>0.25206476440766679</v>
      </c>
      <c r="I3633" s="468">
        <v>13.202644593856586</v>
      </c>
    </row>
    <row r="3634" spans="1:9" ht="16.5" x14ac:dyDescent="0.3">
      <c r="A3634" s="477">
        <v>7384848.9558259258</v>
      </c>
      <c r="B3634" s="458">
        <v>4.6937780163249121E-2</v>
      </c>
      <c r="C3634" s="477">
        <v>10391422.408584841</v>
      </c>
      <c r="D3634" s="458">
        <v>4.7833603751103126E-2</v>
      </c>
      <c r="E3634" s="477">
        <v>16292555.569719698</v>
      </c>
      <c r="F3634" s="458">
        <v>9.2605495871462828E-2</v>
      </c>
      <c r="G3634" s="477">
        <v>88547940.066357836</v>
      </c>
      <c r="H3634" s="458">
        <v>0.26379196306273056</v>
      </c>
      <c r="I3634" s="468">
        <v>1.3421924085443369</v>
      </c>
    </row>
    <row r="3635" spans="1:9" ht="16.5" x14ac:dyDescent="0.3">
      <c r="A3635" s="477">
        <v>6861661.760625924</v>
      </c>
      <c r="B3635" s="458">
        <v>3.2200246018947887E-2</v>
      </c>
      <c r="C3635" s="477">
        <v>3954225.6969857817</v>
      </c>
      <c r="D3635" s="458">
        <v>7.6169974178702526E-2</v>
      </c>
      <c r="E3635" s="477">
        <v>7826598.5417387439</v>
      </c>
      <c r="F3635" s="458">
        <v>0.12263409286150817</v>
      </c>
      <c r="G3635" s="477">
        <v>88448450.805504143</v>
      </c>
      <c r="H3635" s="458">
        <v>0.27114894924538313</v>
      </c>
      <c r="I3635" s="468">
        <v>7.6781099081424129</v>
      </c>
    </row>
    <row r="3636" spans="1:9" ht="16.5" x14ac:dyDescent="0.3">
      <c r="A3636" s="477">
        <v>2607973.5303836581</v>
      </c>
      <c r="B3636" s="458">
        <v>2.0212592633365167E-2</v>
      </c>
      <c r="C3636" s="477">
        <v>6856379.311157261</v>
      </c>
      <c r="D3636" s="458">
        <v>6.0485325564461734E-2</v>
      </c>
      <c r="E3636" s="477">
        <v>12616885.114873469</v>
      </c>
      <c r="F3636" s="458">
        <v>0.13270584595750434</v>
      </c>
      <c r="G3636" s="477">
        <v>85072936.262854069</v>
      </c>
      <c r="H3636" s="458">
        <v>0.27275181887207323</v>
      </c>
      <c r="I3636" s="468">
        <v>7.1226278724069561</v>
      </c>
    </row>
    <row r="3637" spans="1:9" ht="16.5" x14ac:dyDescent="0.3">
      <c r="A3637" s="477">
        <v>7178507.1732943486</v>
      </c>
      <c r="B3637" s="458">
        <v>5.8129393491093362E-2</v>
      </c>
      <c r="C3637" s="477">
        <v>7759430.6729630996</v>
      </c>
      <c r="D3637" s="458">
        <v>4.6754181542217221E-2</v>
      </c>
      <c r="E3637" s="477">
        <v>15171844.600582195</v>
      </c>
      <c r="F3637" s="458">
        <v>0.12097686843607502</v>
      </c>
      <c r="G3637" s="477">
        <v>103756299.54038057</v>
      </c>
      <c r="H3637" s="458">
        <v>0.25091158205898445</v>
      </c>
      <c r="I3637" s="468">
        <v>6.7724163868210718</v>
      </c>
    </row>
    <row r="3638" spans="1:9" ht="16.5" x14ac:dyDescent="0.3">
      <c r="A3638" s="477">
        <v>5387459.0729487715</v>
      </c>
      <c r="B3638" s="458">
        <v>2.6980058428163201E-2</v>
      </c>
      <c r="C3638" s="477">
        <v>6870085.7354569221</v>
      </c>
      <c r="D3638" s="458">
        <v>5.6180946099612328E-2</v>
      </c>
      <c r="E3638" s="477">
        <v>22009883.510537084</v>
      </c>
      <c r="F3638" s="458">
        <v>8.4801584524528906E-2</v>
      </c>
      <c r="G3638" s="477">
        <v>86570081.272126496</v>
      </c>
      <c r="H3638" s="458">
        <v>0.27856179646604584</v>
      </c>
      <c r="I3638" s="468">
        <v>14.395328609928692</v>
      </c>
    </row>
    <row r="3639" spans="1:9" ht="16.5" x14ac:dyDescent="0.3">
      <c r="A3639" s="477">
        <v>3401724.1240611095</v>
      </c>
      <c r="B3639" s="458">
        <v>2.161778403021497E-2</v>
      </c>
      <c r="C3639" s="477">
        <v>5476692.9942307025</v>
      </c>
      <c r="D3639" s="458">
        <v>6.3106339256181254E-2</v>
      </c>
      <c r="E3639" s="477">
        <v>16630526.062741114</v>
      </c>
      <c r="F3639" s="458">
        <v>0.11966703871323769</v>
      </c>
      <c r="G3639" s="477">
        <v>85898854.632327616</v>
      </c>
      <c r="H3639" s="458">
        <v>0.24150498032827228</v>
      </c>
      <c r="I3639" s="468">
        <v>12.510806824709492</v>
      </c>
    </row>
    <row r="3640" spans="1:9" ht="16.5" x14ac:dyDescent="0.3">
      <c r="A3640" s="477">
        <v>4380178.1383822346</v>
      </c>
      <c r="B3640" s="458">
        <v>3.2463440299842938E-2</v>
      </c>
      <c r="C3640" s="477">
        <v>5061503.9526232956</v>
      </c>
      <c r="D3640" s="458">
        <v>4.6273307647721085E-2</v>
      </c>
      <c r="E3640" s="477">
        <v>27293628.870284166</v>
      </c>
      <c r="F3640" s="458">
        <v>0.114500231391649</v>
      </c>
      <c r="G3640" s="477">
        <v>97370454.221537828</v>
      </c>
      <c r="H3640" s="458">
        <v>0.26167599342448544</v>
      </c>
      <c r="I3640" s="468">
        <v>2.0722171442842763</v>
      </c>
    </row>
    <row r="3641" spans="1:9" ht="16.5" x14ac:dyDescent="0.3">
      <c r="A3641" s="477">
        <v>4747710.0965165989</v>
      </c>
      <c r="B3641" s="458">
        <v>5.093927135294285E-2</v>
      </c>
      <c r="C3641" s="477">
        <v>8324229.186559231</v>
      </c>
      <c r="D3641" s="458">
        <v>6.5710265680803515E-2</v>
      </c>
      <c r="E3641" s="477">
        <v>16912589.117481373</v>
      </c>
      <c r="F3641" s="458">
        <v>0.11632282105236613</v>
      </c>
      <c r="G3641" s="477">
        <v>94954394.565247029</v>
      </c>
      <c r="H3641" s="458">
        <v>0.28519076413815747</v>
      </c>
      <c r="I3641" s="468">
        <v>6.0567652160961156</v>
      </c>
    </row>
    <row r="3642" spans="1:9" ht="16.5" x14ac:dyDescent="0.3">
      <c r="A3642" s="477">
        <v>5313559.1834931923</v>
      </c>
      <c r="B3642" s="458">
        <v>4.9092345345324695E-2</v>
      </c>
      <c r="C3642" s="477">
        <v>10136828.553952878</v>
      </c>
      <c r="D3642" s="458">
        <v>8.010969025676884E-2</v>
      </c>
      <c r="E3642" s="477">
        <v>21745519.904323895</v>
      </c>
      <c r="F3642" s="458">
        <v>0.11223017803508761</v>
      </c>
      <c r="G3642" s="477">
        <v>96685626.97851409</v>
      </c>
      <c r="H3642" s="458">
        <v>0.27293940869484601</v>
      </c>
      <c r="I3642" s="468">
        <v>4.1895399019858335</v>
      </c>
    </row>
    <row r="3643" spans="1:9" ht="16.5" x14ac:dyDescent="0.3">
      <c r="A3643" s="477">
        <v>7336597.1990757314</v>
      </c>
      <c r="B3643" s="458">
        <v>5.397904442462087E-2</v>
      </c>
      <c r="C3643" s="477">
        <v>7650233.3373055821</v>
      </c>
      <c r="D3643" s="458">
        <v>7.2543986419527862E-2</v>
      </c>
      <c r="E3643" s="477">
        <v>15249390.221572397</v>
      </c>
      <c r="F3643" s="458">
        <v>9.9082178117976927E-2</v>
      </c>
      <c r="G3643" s="477">
        <v>89836157.444612429</v>
      </c>
      <c r="H3643" s="458">
        <v>0.27537532864803893</v>
      </c>
      <c r="I3643" s="468">
        <v>9.06255291921401</v>
      </c>
    </row>
    <row r="3644" spans="1:9" ht="16.5" x14ac:dyDescent="0.3">
      <c r="A3644" s="477">
        <v>9591023.705729669</v>
      </c>
      <c r="B3644" s="458">
        <v>2.0262425012731677E-2</v>
      </c>
      <c r="C3644" s="477">
        <v>2207372.416767545</v>
      </c>
      <c r="D3644" s="458">
        <v>6.8037144983838616E-2</v>
      </c>
      <c r="E3644" s="477">
        <v>21079798.125239592</v>
      </c>
      <c r="F3644" s="458">
        <v>9.5232558670115264E-2</v>
      </c>
      <c r="G3644" s="477">
        <v>101346030.0655499</v>
      </c>
      <c r="H3644" s="458">
        <v>0.270000445010111</v>
      </c>
      <c r="I3644" s="468">
        <v>6.1819894799942805</v>
      </c>
    </row>
    <row r="3645" spans="1:9" ht="16.5" x14ac:dyDescent="0.3">
      <c r="A3645" s="477">
        <v>4968906.2978929635</v>
      </c>
      <c r="B3645" s="458">
        <v>3.571701195285959E-2</v>
      </c>
      <c r="C3645" s="477">
        <v>8059852.6921913736</v>
      </c>
      <c r="D3645" s="458">
        <v>7.7238726612934405E-2</v>
      </c>
      <c r="E3645" s="477">
        <v>26040154.415122569</v>
      </c>
      <c r="F3645" s="458">
        <v>9.090377925751314E-2</v>
      </c>
      <c r="G3645" s="477">
        <v>89069879.312398404</v>
      </c>
      <c r="H3645" s="458">
        <v>0.27632243827107272</v>
      </c>
      <c r="I3645" s="468">
        <v>7.37958261866049</v>
      </c>
    </row>
    <row r="3646" spans="1:9" ht="16.5" x14ac:dyDescent="0.3">
      <c r="A3646" s="477">
        <v>824610.84315258078</v>
      </c>
      <c r="B3646" s="458">
        <v>4.9806361391489418E-2</v>
      </c>
      <c r="C3646" s="477">
        <v>6982894.2133163735</v>
      </c>
      <c r="D3646" s="458">
        <v>8.2165842381882292E-2</v>
      </c>
      <c r="E3646" s="477">
        <v>19723046.330051742</v>
      </c>
      <c r="F3646" s="458">
        <v>0.12516479567791694</v>
      </c>
      <c r="G3646" s="477">
        <v>76754939.521290228</v>
      </c>
      <c r="H3646" s="458">
        <v>0.26198911079063802</v>
      </c>
      <c r="I3646" s="468">
        <v>4.6041137583138774</v>
      </c>
    </row>
    <row r="3647" spans="1:9" ht="16.5" x14ac:dyDescent="0.3">
      <c r="A3647" s="477">
        <v>11908767.29950586</v>
      </c>
      <c r="B3647" s="458">
        <v>4.3745021109831805E-2</v>
      </c>
      <c r="C3647" s="477">
        <v>11913696.343532206</v>
      </c>
      <c r="D3647" s="458">
        <v>7.3178728095041556E-2</v>
      </c>
      <c r="E3647" s="477">
        <v>20024032.021606591</v>
      </c>
      <c r="F3647" s="458">
        <v>0.10386546391415297</v>
      </c>
      <c r="G3647" s="477">
        <v>99544014.598688707</v>
      </c>
      <c r="H3647" s="458">
        <v>0.26193970782000542</v>
      </c>
      <c r="I3647" s="468">
        <v>7.7853180172843821</v>
      </c>
    </row>
    <row r="3648" spans="1:9" ht="16.5" x14ac:dyDescent="0.3">
      <c r="A3648" s="477">
        <v>5458818.503042168</v>
      </c>
      <c r="B3648" s="458">
        <v>4.1775646212833584E-2</v>
      </c>
      <c r="C3648" s="477">
        <v>12967962.559477581</v>
      </c>
      <c r="D3648" s="458">
        <v>6.5553058405764864E-2</v>
      </c>
      <c r="E3648" s="477">
        <v>17128150.765764017</v>
      </c>
      <c r="F3648" s="458">
        <v>0.10127607904416647</v>
      </c>
      <c r="G3648" s="477">
        <v>77425422.375035852</v>
      </c>
      <c r="H3648" s="458">
        <v>0.26154930266179899</v>
      </c>
      <c r="I3648" s="468">
        <v>15.8866070116758</v>
      </c>
    </row>
    <row r="3649" spans="1:9" ht="16.5" x14ac:dyDescent="0.3">
      <c r="A3649" s="477">
        <v>4387960.7401212119</v>
      </c>
      <c r="B3649" s="458">
        <v>2.9196862026065418E-2</v>
      </c>
      <c r="C3649" s="477">
        <v>11153087.220755333</v>
      </c>
      <c r="D3649" s="458">
        <v>5.9551087538960656E-2</v>
      </c>
      <c r="E3649" s="477">
        <v>11877464.305728184</v>
      </c>
      <c r="F3649" s="458">
        <v>0.11309329346079</v>
      </c>
      <c r="G3649" s="477">
        <v>93304862.677575171</v>
      </c>
      <c r="H3649" s="458">
        <v>0.27135872634930158</v>
      </c>
      <c r="I3649" s="468">
        <v>6.1342303408858916</v>
      </c>
    </row>
    <row r="3650" spans="1:9" ht="16.5" x14ac:dyDescent="0.3">
      <c r="A3650" s="477">
        <v>3119070.1864992962</v>
      </c>
      <c r="B3650" s="458">
        <v>4.0002136313077141E-2</v>
      </c>
      <c r="C3650" s="477">
        <v>10021729.427099992</v>
      </c>
      <c r="D3650" s="458">
        <v>7.2174637458868762E-2</v>
      </c>
      <c r="E3650" s="477">
        <v>19790314.856955569</v>
      </c>
      <c r="F3650" s="458">
        <v>0.11292159950059499</v>
      </c>
      <c r="G3650" s="477">
        <v>85154445.049252391</v>
      </c>
      <c r="H3650" s="458">
        <v>0.26484618433306983</v>
      </c>
      <c r="I3650" s="468">
        <v>7.0533771818335342</v>
      </c>
    </row>
    <row r="3651" spans="1:9" ht="16.5" x14ac:dyDescent="0.3">
      <c r="A3651" s="477">
        <v>7813501.5670179017</v>
      </c>
      <c r="B3651" s="458">
        <v>4.2470262227600308E-2</v>
      </c>
      <c r="C3651" s="477">
        <v>9478382.9634805359</v>
      </c>
      <c r="D3651" s="458">
        <v>7.6828398524752428E-2</v>
      </c>
      <c r="E3651" s="477">
        <v>20056195.915379096</v>
      </c>
      <c r="F3651" s="458">
        <v>0.10324621095687925</v>
      </c>
      <c r="G3651" s="477">
        <v>91414310.752101868</v>
      </c>
      <c r="H3651" s="458">
        <v>0.29396916999373479</v>
      </c>
      <c r="I3651" s="468">
        <v>4.5528263431887499</v>
      </c>
    </row>
    <row r="3652" spans="1:9" ht="16.5" x14ac:dyDescent="0.3">
      <c r="A3652" s="477">
        <v>2736274.4561052299</v>
      </c>
      <c r="B3652" s="458">
        <v>-2.8619130987127539E-3</v>
      </c>
      <c r="C3652" s="477">
        <v>3317323.9559264327</v>
      </c>
      <c r="D3652" s="458">
        <v>7.0486403752080262E-2</v>
      </c>
      <c r="E3652" s="477">
        <v>18259039.864563923</v>
      </c>
      <c r="F3652" s="458">
        <v>0.12648907263351394</v>
      </c>
      <c r="G3652" s="477">
        <v>97393568.791701674</v>
      </c>
      <c r="H3652" s="458">
        <v>0.26799925676299563</v>
      </c>
      <c r="I3652" s="468">
        <v>6.1794595111699824</v>
      </c>
    </row>
    <row r="3653" spans="1:9" ht="16.5" x14ac:dyDescent="0.3">
      <c r="A3653" s="477">
        <v>8032833.1949068038</v>
      </c>
      <c r="B3653" s="458">
        <v>5.9846091943688062E-2</v>
      </c>
      <c r="C3653" s="477">
        <v>3592807.7742790333</v>
      </c>
      <c r="D3653" s="458">
        <v>7.4895615769393853E-2</v>
      </c>
      <c r="E3653" s="477">
        <v>13663612.281773688</v>
      </c>
      <c r="F3653" s="458">
        <v>0.11199337446036783</v>
      </c>
      <c r="G3653" s="477">
        <v>87661144.885851115</v>
      </c>
      <c r="H3653" s="458">
        <v>0.28492465336343198</v>
      </c>
      <c r="I3653" s="468">
        <v>6.4476590698557654</v>
      </c>
    </row>
    <row r="3654" spans="1:9" ht="16.5" x14ac:dyDescent="0.3">
      <c r="A3654" s="477">
        <v>7853101.4547906509</v>
      </c>
      <c r="B3654" s="458">
        <v>5.595191981806491E-2</v>
      </c>
      <c r="C3654" s="477">
        <v>13537086.644828955</v>
      </c>
      <c r="D3654" s="458">
        <v>6.8259442534481352E-2</v>
      </c>
      <c r="E3654" s="477">
        <v>15669747.710158283</v>
      </c>
      <c r="F3654" s="458">
        <v>9.3789226906318302E-2</v>
      </c>
      <c r="G3654" s="477">
        <v>102395196.24244228</v>
      </c>
      <c r="H3654" s="458">
        <v>0.26988288220382617</v>
      </c>
      <c r="I3654" s="468">
        <v>7.9271452432239835</v>
      </c>
    </row>
    <row r="3655" spans="1:9" ht="16.5" x14ac:dyDescent="0.3">
      <c r="A3655" s="477">
        <v>4300039.9422471272</v>
      </c>
      <c r="B3655" s="458">
        <v>2.5256715455547196E-2</v>
      </c>
      <c r="C3655" s="477">
        <v>11399626.557501925</v>
      </c>
      <c r="D3655" s="458">
        <v>5.7700460468140591E-2</v>
      </c>
      <c r="E3655" s="477">
        <v>15476870.50115885</v>
      </c>
      <c r="F3655" s="458">
        <v>8.7362890699637763E-2</v>
      </c>
      <c r="G3655" s="477">
        <v>99389285.980300754</v>
      </c>
      <c r="H3655" s="458">
        <v>0.27000995297979324</v>
      </c>
      <c r="I3655" s="468">
        <v>4.3175936105044279</v>
      </c>
    </row>
    <row r="3656" spans="1:9" ht="16.5" x14ac:dyDescent="0.3">
      <c r="A3656" s="477">
        <v>5725185.0793235367</v>
      </c>
      <c r="B3656" s="458">
        <v>2.7178096196977641E-2</v>
      </c>
      <c r="C3656" s="477">
        <v>10082335.442469906</v>
      </c>
      <c r="D3656" s="458">
        <v>5.4908949985591704E-2</v>
      </c>
      <c r="E3656" s="477">
        <v>12147535.586556897</v>
      </c>
      <c r="F3656" s="458">
        <v>0.10856447704753402</v>
      </c>
      <c r="G3656" s="477">
        <v>96108613.021463454</v>
      </c>
      <c r="H3656" s="458">
        <v>0.26129962105977933</v>
      </c>
      <c r="I3656" s="468">
        <v>9.0546305139869698</v>
      </c>
    </row>
    <row r="3657" spans="1:9" ht="16.5" x14ac:dyDescent="0.3">
      <c r="A3657" s="477">
        <v>8302373.471125138</v>
      </c>
      <c r="B3657" s="458">
        <v>1.2248369126063974E-2</v>
      </c>
      <c r="C3657" s="477">
        <v>8288808.0722458242</v>
      </c>
      <c r="D3657" s="458">
        <v>7.3327628443115689E-2</v>
      </c>
      <c r="E3657" s="477">
        <v>17733115.283580653</v>
      </c>
      <c r="F3657" s="458">
        <v>9.8031737782735773E-2</v>
      </c>
      <c r="G3657" s="477">
        <v>81256028.978525475</v>
      </c>
      <c r="H3657" s="458">
        <v>0.27202576419520597</v>
      </c>
      <c r="I3657" s="468">
        <v>16.125617486271381</v>
      </c>
    </row>
    <row r="3658" spans="1:9" ht="16.5" x14ac:dyDescent="0.3">
      <c r="A3658" s="477">
        <v>419982.80376993492</v>
      </c>
      <c r="B3658" s="458">
        <v>5.2928830610920796E-2</v>
      </c>
      <c r="C3658" s="477">
        <v>13007932.139925322</v>
      </c>
      <c r="D3658" s="458">
        <v>5.2495622241330642E-2</v>
      </c>
      <c r="E3658" s="477">
        <v>6487981.6560744401</v>
      </c>
      <c r="F3658" s="458">
        <v>0.11492411694742444</v>
      </c>
      <c r="G3658" s="477">
        <v>97400239.863032639</v>
      </c>
      <c r="H3658" s="458">
        <v>0.27933275455008677</v>
      </c>
      <c r="I3658" s="468">
        <v>12.882356446805943</v>
      </c>
    </row>
    <row r="3659" spans="1:9" ht="16.5" x14ac:dyDescent="0.3">
      <c r="A3659" s="477">
        <v>911118.82738184975</v>
      </c>
      <c r="B3659" s="458">
        <v>6.4064113417803714E-2</v>
      </c>
      <c r="C3659" s="477">
        <v>9228335.704544358</v>
      </c>
      <c r="D3659" s="458">
        <v>5.3362779475209177E-2</v>
      </c>
      <c r="E3659" s="477">
        <v>22184246.050805103</v>
      </c>
      <c r="F3659" s="458">
        <v>0.10138958559750888</v>
      </c>
      <c r="G3659" s="477">
        <v>78200511.667594582</v>
      </c>
      <c r="H3659" s="458">
        <v>0.26274881365450242</v>
      </c>
      <c r="I3659" s="468">
        <v>9.2677694565480913</v>
      </c>
    </row>
    <row r="3660" spans="1:9" ht="16.5" x14ac:dyDescent="0.3">
      <c r="A3660" s="477">
        <v>2232999.7092394349</v>
      </c>
      <c r="B3660" s="458">
        <v>4.5027516155932812E-2</v>
      </c>
      <c r="C3660" s="477">
        <v>4591210.1206261003</v>
      </c>
      <c r="D3660" s="458">
        <v>5.9237214965432772E-2</v>
      </c>
      <c r="E3660" s="477">
        <v>17046431.232755493</v>
      </c>
      <c r="F3660" s="458">
        <v>8.852344478104901E-2</v>
      </c>
      <c r="G3660" s="477">
        <v>90298708.331057921</v>
      </c>
      <c r="H3660" s="458">
        <v>0.30562040024835357</v>
      </c>
      <c r="I3660" s="468">
        <v>3.567687571970743</v>
      </c>
    </row>
    <row r="3661" spans="1:9" ht="16.5" x14ac:dyDescent="0.3">
      <c r="A3661" s="477">
        <v>4299912.1706394935</v>
      </c>
      <c r="B3661" s="458">
        <v>2.3958806183193682E-2</v>
      </c>
      <c r="C3661" s="477">
        <v>15518094.06090123</v>
      </c>
      <c r="D3661" s="458">
        <v>6.0939534953425634E-2</v>
      </c>
      <c r="E3661" s="477">
        <v>14818498.821130464</v>
      </c>
      <c r="F3661" s="458">
        <v>0.10925599760890137</v>
      </c>
      <c r="G3661" s="477">
        <v>82690910.126551002</v>
      </c>
      <c r="H3661" s="458">
        <v>0.25015604726498375</v>
      </c>
      <c r="I3661" s="468">
        <v>6.4463425668374059</v>
      </c>
    </row>
    <row r="3662" spans="1:9" ht="16.5" x14ac:dyDescent="0.3">
      <c r="A3662" s="477">
        <v>4114932.3034954565</v>
      </c>
      <c r="B3662" s="458">
        <v>3.8613607253055404E-2</v>
      </c>
      <c r="C3662" s="477">
        <v>11118924.78886714</v>
      </c>
      <c r="D3662" s="458">
        <v>8.3735636743118569E-2</v>
      </c>
      <c r="E3662" s="477">
        <v>21832605.837193843</v>
      </c>
      <c r="F3662" s="458">
        <v>0.10889754416777953</v>
      </c>
      <c r="G3662" s="477">
        <v>90429621.920910805</v>
      </c>
      <c r="H3662" s="458">
        <v>0.25109615445039379</v>
      </c>
      <c r="I3662" s="468">
        <v>7.0434608764300162</v>
      </c>
    </row>
    <row r="3663" spans="1:9" ht="16.5" x14ac:dyDescent="0.3">
      <c r="A3663" s="477">
        <v>3046918.3521430618</v>
      </c>
      <c r="B3663" s="458">
        <v>3.7809942207393421E-2</v>
      </c>
      <c r="C3663" s="477">
        <v>6077707.452330905</v>
      </c>
      <c r="D3663" s="458">
        <v>6.8437702162124969E-2</v>
      </c>
      <c r="E3663" s="477">
        <v>10027388.081464831</v>
      </c>
      <c r="F3663" s="458">
        <v>0.10687626940983752</v>
      </c>
      <c r="G3663" s="477">
        <v>84827224.210237727</v>
      </c>
      <c r="H3663" s="458">
        <v>0.29659049283869354</v>
      </c>
      <c r="I3663" s="468">
        <v>9.5062265226292251</v>
      </c>
    </row>
    <row r="3664" spans="1:9" ht="16.5" x14ac:dyDescent="0.3">
      <c r="A3664" s="477">
        <v>8009641.2840213729</v>
      </c>
      <c r="B3664" s="458">
        <v>3.9788880639634705E-2</v>
      </c>
      <c r="C3664" s="477">
        <v>5640925.581231745</v>
      </c>
      <c r="D3664" s="458">
        <v>7.910411021834407E-2</v>
      </c>
      <c r="E3664" s="477">
        <v>15036603.239245795</v>
      </c>
      <c r="F3664" s="458">
        <v>0.12220270745461881</v>
      </c>
      <c r="G3664" s="477">
        <v>89860994.948635116</v>
      </c>
      <c r="H3664" s="458">
        <v>0.27175261258136985</v>
      </c>
      <c r="I3664" s="468">
        <v>10.0805323720137</v>
      </c>
    </row>
    <row r="3665" spans="1:9" ht="16.5" x14ac:dyDescent="0.3">
      <c r="A3665" s="477">
        <v>4656369.6268903734</v>
      </c>
      <c r="B3665" s="458">
        <v>7.1932161207238998E-2</v>
      </c>
      <c r="C3665" s="477">
        <v>12094347.912316902</v>
      </c>
      <c r="D3665" s="458">
        <v>7.2599327608414921E-2</v>
      </c>
      <c r="E3665" s="477">
        <v>20289911.834565163</v>
      </c>
      <c r="F3665" s="458">
        <v>0.11441939244098598</v>
      </c>
      <c r="G3665" s="477">
        <v>90562992.340137526</v>
      </c>
      <c r="H3665" s="458">
        <v>0.26260592285505302</v>
      </c>
      <c r="I3665" s="468">
        <v>12.268486179587811</v>
      </c>
    </row>
    <row r="3666" spans="1:9" ht="16.5" x14ac:dyDescent="0.3">
      <c r="A3666" s="477">
        <v>4176631.0415381831</v>
      </c>
      <c r="B3666" s="458">
        <v>4.6290216789037109E-2</v>
      </c>
      <c r="C3666" s="477">
        <v>11458876.81531328</v>
      </c>
      <c r="D3666" s="458">
        <v>5.2801405379179656E-2</v>
      </c>
      <c r="E3666" s="477">
        <v>19184648.125237856</v>
      </c>
      <c r="F3666" s="458">
        <v>0.11019721223348844</v>
      </c>
      <c r="G3666" s="477">
        <v>85021986.024891317</v>
      </c>
      <c r="H3666" s="458">
        <v>0.2805040218252306</v>
      </c>
      <c r="I3666" s="468">
        <v>9.9391530322299264</v>
      </c>
    </row>
    <row r="3667" spans="1:9" ht="16.5" x14ac:dyDescent="0.3">
      <c r="A3667" s="477">
        <v>5227257.0745796571</v>
      </c>
      <c r="B3667" s="458">
        <v>4.4891769286038663E-2</v>
      </c>
      <c r="C3667" s="477">
        <v>12564173.763330357</v>
      </c>
      <c r="D3667" s="458">
        <v>4.3234883767910626E-2</v>
      </c>
      <c r="E3667" s="477">
        <v>10893048.834226167</v>
      </c>
      <c r="F3667" s="458">
        <v>0.11419923140183497</v>
      </c>
      <c r="G3667" s="477">
        <v>104193966.48755164</v>
      </c>
      <c r="H3667" s="458">
        <v>0.2733421654984709</v>
      </c>
      <c r="I3667" s="468">
        <v>7.3553521737013785</v>
      </c>
    </row>
    <row r="3668" spans="1:9" ht="16.5" x14ac:dyDescent="0.3">
      <c r="A3668" s="477">
        <v>9539092.9790828004</v>
      </c>
      <c r="B3668" s="458">
        <v>5.9182105140037633E-2</v>
      </c>
      <c r="C3668" s="477">
        <v>13417841.192469506</v>
      </c>
      <c r="D3668" s="458">
        <v>3.3783234190486233E-2</v>
      </c>
      <c r="E3668" s="477">
        <v>19258030.754175905</v>
      </c>
      <c r="F3668" s="458">
        <v>0.10307065083658706</v>
      </c>
      <c r="G3668" s="477">
        <v>96610649.554139718</v>
      </c>
      <c r="H3668" s="458">
        <v>0.25436875636936418</v>
      </c>
      <c r="I3668" s="468">
        <v>6.9965412251109607</v>
      </c>
    </row>
    <row r="3669" spans="1:9" ht="16.5" x14ac:dyDescent="0.3">
      <c r="A3669" s="477">
        <v>4200477.568119023</v>
      </c>
      <c r="B3669" s="458">
        <v>3.287065271375722E-2</v>
      </c>
      <c r="C3669" s="477">
        <v>9635064.3024179414</v>
      </c>
      <c r="D3669" s="458">
        <v>8.1387340255629326E-2</v>
      </c>
      <c r="E3669" s="477">
        <v>26185931.535153911</v>
      </c>
      <c r="F3669" s="458">
        <v>8.6262764195754515E-2</v>
      </c>
      <c r="G3669" s="477">
        <v>90209731.640632391</v>
      </c>
      <c r="H3669" s="458">
        <v>0.28391081350797731</v>
      </c>
      <c r="I3669" s="468">
        <v>8.4965092349459574</v>
      </c>
    </row>
    <row r="3670" spans="1:9" ht="16.5" x14ac:dyDescent="0.3">
      <c r="A3670" s="477">
        <v>7223334.7323595844</v>
      </c>
      <c r="B3670" s="458">
        <v>3.4260814003467921E-2</v>
      </c>
      <c r="C3670" s="477">
        <v>8664757.4712902252</v>
      </c>
      <c r="D3670" s="458">
        <v>5.7183361501579766E-2</v>
      </c>
      <c r="E3670" s="477">
        <v>14016234.745293401</v>
      </c>
      <c r="F3670" s="458">
        <v>0.10977040350360912</v>
      </c>
      <c r="G3670" s="477">
        <v>66782052.864241749</v>
      </c>
      <c r="H3670" s="458">
        <v>0.28811513603552741</v>
      </c>
      <c r="I3670" s="468">
        <v>8.8988514179024651</v>
      </c>
    </row>
    <row r="3671" spans="1:9" ht="16.5" x14ac:dyDescent="0.3">
      <c r="A3671" s="477">
        <v>792720.14760859415</v>
      </c>
      <c r="B3671" s="458">
        <v>5.564800908163603E-2</v>
      </c>
      <c r="C3671" s="477">
        <v>11756224.97060754</v>
      </c>
      <c r="D3671" s="458">
        <v>0.1005384820377242</v>
      </c>
      <c r="E3671" s="477">
        <v>13369707.698140992</v>
      </c>
      <c r="F3671" s="458">
        <v>0.10489472338223793</v>
      </c>
      <c r="G3671" s="477">
        <v>96506729.425143316</v>
      </c>
      <c r="H3671" s="458">
        <v>0.2565954839484037</v>
      </c>
      <c r="I3671" s="468">
        <v>4.0322531992665187</v>
      </c>
    </row>
    <row r="3672" spans="1:9" ht="16.5" x14ac:dyDescent="0.3">
      <c r="A3672" s="477">
        <v>7696539.5615921682</v>
      </c>
      <c r="B3672" s="458">
        <v>9.7286132095585787E-2</v>
      </c>
      <c r="C3672" s="477">
        <v>10907181.346902514</v>
      </c>
      <c r="D3672" s="458">
        <v>9.0097497773869772E-2</v>
      </c>
      <c r="E3672" s="477">
        <v>5291169.0652242564</v>
      </c>
      <c r="F3672" s="458">
        <v>0.10113262769481679</v>
      </c>
      <c r="G3672" s="477">
        <v>78537315.394730091</v>
      </c>
      <c r="H3672" s="458">
        <v>0.28436429045859146</v>
      </c>
      <c r="I3672" s="468">
        <v>10.444991764301367</v>
      </c>
    </row>
    <row r="3673" spans="1:9" ht="16.5" x14ac:dyDescent="0.3">
      <c r="A3673" s="477">
        <v>4955089.2045700746</v>
      </c>
      <c r="B3673" s="458">
        <v>3.850488583878442E-2</v>
      </c>
      <c r="C3673" s="477">
        <v>4274208.2126325844</v>
      </c>
      <c r="D3673" s="458">
        <v>4.9750504153608599E-2</v>
      </c>
      <c r="E3673" s="477">
        <v>16418947.568494551</v>
      </c>
      <c r="F3673" s="458">
        <v>0.12711312017971466</v>
      </c>
      <c r="G3673" s="477">
        <v>89715743.740470752</v>
      </c>
      <c r="H3673" s="458">
        <v>0.28795235793194518</v>
      </c>
      <c r="I3673" s="468">
        <v>1.5930438217352307</v>
      </c>
    </row>
    <row r="3674" spans="1:9" ht="16.5" x14ac:dyDescent="0.3">
      <c r="A3674" s="477">
        <v>5091683.9845477017</v>
      </c>
      <c r="B3674" s="458">
        <v>4.9854050684627227E-2</v>
      </c>
      <c r="C3674" s="477">
        <v>12680858.559789974</v>
      </c>
      <c r="D3674" s="458">
        <v>7.6985106978300966E-2</v>
      </c>
      <c r="E3674" s="477">
        <v>14865965.793904144</v>
      </c>
      <c r="F3674" s="458">
        <v>0.11390703570335248</v>
      </c>
      <c r="G3674" s="477">
        <v>81140024.272445768</v>
      </c>
      <c r="H3674" s="458">
        <v>0.25628388602774477</v>
      </c>
      <c r="I3674" s="468">
        <v>5.963009951150279</v>
      </c>
    </row>
    <row r="3675" spans="1:9" ht="16.5" x14ac:dyDescent="0.3">
      <c r="A3675" s="477">
        <v>8078251.7054274762</v>
      </c>
      <c r="B3675" s="458">
        <v>1.4766304822196208E-2</v>
      </c>
      <c r="C3675" s="477">
        <v>2624180.561577661</v>
      </c>
      <c r="D3675" s="458">
        <v>7.1476310960618683E-2</v>
      </c>
      <c r="E3675" s="477">
        <v>18287244.787065912</v>
      </c>
      <c r="F3675" s="458">
        <v>0.13589142755446781</v>
      </c>
      <c r="G3675" s="477">
        <v>89139549.919695973</v>
      </c>
      <c r="H3675" s="458">
        <v>0.25377196558708737</v>
      </c>
      <c r="I3675" s="468">
        <v>7.4951064904541518</v>
      </c>
    </row>
    <row r="3676" spans="1:9" ht="16.5" x14ac:dyDescent="0.3">
      <c r="A3676" s="477">
        <v>5799324.2044494199</v>
      </c>
      <c r="B3676" s="458">
        <v>4.8944856172040252E-2</v>
      </c>
      <c r="C3676" s="477">
        <v>14603988.74913656</v>
      </c>
      <c r="D3676" s="458">
        <v>5.8397938993944409E-2</v>
      </c>
      <c r="E3676" s="477">
        <v>6855496.0599043043</v>
      </c>
      <c r="F3676" s="458">
        <v>0.11155062857262799</v>
      </c>
      <c r="G3676" s="477">
        <v>101881165.19260101</v>
      </c>
      <c r="H3676" s="458">
        <v>0.28338168048346568</v>
      </c>
      <c r="I3676" s="468">
        <v>6.0845022530857591</v>
      </c>
    </row>
    <row r="3677" spans="1:9" ht="16.5" x14ac:dyDescent="0.3">
      <c r="A3677" s="477">
        <v>6447152.0840858603</v>
      </c>
      <c r="B3677" s="458">
        <v>3.0670368075518928E-2</v>
      </c>
      <c r="C3677" s="477">
        <v>6230478.1643853346</v>
      </c>
      <c r="D3677" s="458">
        <v>6.9236277642683808E-2</v>
      </c>
      <c r="E3677" s="477">
        <v>8808843.9435668699</v>
      </c>
      <c r="F3677" s="458">
        <v>0.1212051244381025</v>
      </c>
      <c r="G3677" s="477">
        <v>114204577.60255274</v>
      </c>
      <c r="H3677" s="458">
        <v>0.25842540906563682</v>
      </c>
      <c r="I3677" s="468">
        <v>15.731286158555783</v>
      </c>
    </row>
    <row r="3678" spans="1:9" ht="16.5" x14ac:dyDescent="0.3">
      <c r="A3678" s="477">
        <v>8202202.8116600625</v>
      </c>
      <c r="B3678" s="458">
        <v>7.6619205483239083E-2</v>
      </c>
      <c r="C3678" s="477">
        <v>8450581.4432240725</v>
      </c>
      <c r="D3678" s="458">
        <v>4.9745002414161021E-2</v>
      </c>
      <c r="E3678" s="477">
        <v>16977312.709510904</v>
      </c>
      <c r="F3678" s="458">
        <v>0.10375491331507058</v>
      </c>
      <c r="G3678" s="477">
        <v>99275717.79218775</v>
      </c>
      <c r="H3678" s="458">
        <v>0.26876370439825847</v>
      </c>
      <c r="I3678" s="468">
        <v>9.436917553470364</v>
      </c>
    </row>
    <row r="3679" spans="1:9" ht="16.5" x14ac:dyDescent="0.3">
      <c r="A3679" s="477">
        <v>1359719.5447348405</v>
      </c>
      <c r="B3679" s="458">
        <v>3.8229756364808187E-2</v>
      </c>
      <c r="C3679" s="477">
        <v>14349222.545634488</v>
      </c>
      <c r="D3679" s="458">
        <v>8.5318894140312462E-2</v>
      </c>
      <c r="E3679" s="477">
        <v>15627588.383189049</v>
      </c>
      <c r="F3679" s="458">
        <v>0.11124835515429177</v>
      </c>
      <c r="G3679" s="477">
        <v>108328802.65831473</v>
      </c>
      <c r="H3679" s="458">
        <v>0.26339079877403115</v>
      </c>
      <c r="I3679" s="468">
        <v>11.72042424021074</v>
      </c>
    </row>
    <row r="3680" spans="1:9" ht="16.5" x14ac:dyDescent="0.3">
      <c r="A3680" s="477">
        <v>4637401.8184402827</v>
      </c>
      <c r="B3680" s="458">
        <v>4.6305233402780477E-2</v>
      </c>
      <c r="C3680" s="477">
        <v>6687759.275380563</v>
      </c>
      <c r="D3680" s="458">
        <v>9.5113708344951808E-2</v>
      </c>
      <c r="E3680" s="477">
        <v>2772903.3794651548</v>
      </c>
      <c r="F3680" s="458">
        <v>0.10017874985245556</v>
      </c>
      <c r="G3680" s="477">
        <v>85275846.538736179</v>
      </c>
      <c r="H3680" s="458">
        <v>0.26254165600012658</v>
      </c>
      <c r="I3680" s="468">
        <v>7.995826931697346</v>
      </c>
    </row>
    <row r="3681" spans="1:9" ht="16.5" x14ac:dyDescent="0.3">
      <c r="A3681" s="477">
        <v>4326138.0908204382</v>
      </c>
      <c r="B3681" s="458">
        <v>5.2759081436247524E-2</v>
      </c>
      <c r="C3681" s="477">
        <v>3745118.2758721719</v>
      </c>
      <c r="D3681" s="458">
        <v>0.11715239940055766</v>
      </c>
      <c r="E3681" s="477">
        <v>8377397.4205646142</v>
      </c>
      <c r="F3681" s="458">
        <v>0.14800703110231717</v>
      </c>
      <c r="G3681" s="477">
        <v>97476750.818827584</v>
      </c>
      <c r="H3681" s="458">
        <v>0.27637325828830384</v>
      </c>
      <c r="I3681" s="468">
        <v>3.441073702000458</v>
      </c>
    </row>
    <row r="3682" spans="1:9" ht="16.5" x14ac:dyDescent="0.3">
      <c r="A3682" s="477">
        <v>5635272.9230012493</v>
      </c>
      <c r="B3682" s="458">
        <v>3.725481572897138E-2</v>
      </c>
      <c r="C3682" s="477">
        <v>10181513.703639179</v>
      </c>
      <c r="D3682" s="458">
        <v>6.3263344802112709E-2</v>
      </c>
      <c r="E3682" s="477">
        <v>13492190.945170995</v>
      </c>
      <c r="F3682" s="458">
        <v>8.7780120489248548E-2</v>
      </c>
      <c r="G3682" s="477">
        <v>94111139.825593472</v>
      </c>
      <c r="H3682" s="458">
        <v>0.26451060391903414</v>
      </c>
      <c r="I3682" s="468">
        <v>10.592528954527776</v>
      </c>
    </row>
    <row r="3683" spans="1:9" ht="16.5" x14ac:dyDescent="0.3">
      <c r="A3683" s="477">
        <v>8198633.6568491329</v>
      </c>
      <c r="B3683" s="458">
        <v>7.6868843728814751E-2</v>
      </c>
      <c r="C3683" s="477">
        <v>9425670.9348051324</v>
      </c>
      <c r="D3683" s="458">
        <v>4.2544077728265961E-2</v>
      </c>
      <c r="E3683" s="477">
        <v>22293862.880386505</v>
      </c>
      <c r="F3683" s="458">
        <v>8.8611218356417609E-2</v>
      </c>
      <c r="G3683" s="477">
        <v>91509227.804014787</v>
      </c>
      <c r="H3683" s="458">
        <v>0.28567904711969616</v>
      </c>
      <c r="I3683" s="468">
        <v>12.325192831283932</v>
      </c>
    </row>
    <row r="3684" spans="1:9" ht="16.5" x14ac:dyDescent="0.3">
      <c r="A3684" s="477">
        <v>2018842.1877124684</v>
      </c>
      <c r="B3684" s="458">
        <v>3.7124494905652838E-2</v>
      </c>
      <c r="C3684" s="477">
        <v>11789017.853496272</v>
      </c>
      <c r="D3684" s="458">
        <v>6.7063946188661294E-2</v>
      </c>
      <c r="E3684" s="477">
        <v>16100771.141851068</v>
      </c>
      <c r="F3684" s="458">
        <v>0.11173532373943251</v>
      </c>
      <c r="G3684" s="477">
        <v>82884811.602234691</v>
      </c>
      <c r="H3684" s="458">
        <v>0.26272088470328581</v>
      </c>
      <c r="I3684" s="468">
        <v>9.6118233098740191</v>
      </c>
    </row>
    <row r="3685" spans="1:9" ht="16.5" x14ac:dyDescent="0.3">
      <c r="A3685" s="477">
        <v>7165515.5330634182</v>
      </c>
      <c r="B3685" s="458">
        <v>2.9895467338127979E-2</v>
      </c>
      <c r="C3685" s="477">
        <v>7943984.2166642109</v>
      </c>
      <c r="D3685" s="458">
        <v>9.3727274593986332E-2</v>
      </c>
      <c r="E3685" s="477">
        <v>16159172.873879934</v>
      </c>
      <c r="F3685" s="458">
        <v>0.109553004897883</v>
      </c>
      <c r="G3685" s="477">
        <v>89033629.911895558</v>
      </c>
      <c r="H3685" s="458">
        <v>0.27658040048598576</v>
      </c>
      <c r="I3685" s="468">
        <v>6.685542765549136</v>
      </c>
    </row>
    <row r="3686" spans="1:9" ht="16.5" x14ac:dyDescent="0.3">
      <c r="A3686" s="477">
        <v>3399704.5472497805</v>
      </c>
      <c r="B3686" s="458">
        <v>4.6006282935717069E-2</v>
      </c>
      <c r="C3686" s="477">
        <v>13803658.316847408</v>
      </c>
      <c r="D3686" s="458">
        <v>6.3548185956232572E-2</v>
      </c>
      <c r="E3686" s="477">
        <v>20449060.732860986</v>
      </c>
      <c r="F3686" s="458">
        <v>0.10328027845798093</v>
      </c>
      <c r="G3686" s="477">
        <v>87749525.223147973</v>
      </c>
      <c r="H3686" s="458">
        <v>0.26271373711574753</v>
      </c>
      <c r="I3686" s="468">
        <v>2.9502127688030964</v>
      </c>
    </row>
    <row r="3687" spans="1:9" ht="16.5" x14ac:dyDescent="0.3">
      <c r="A3687" s="477">
        <v>11680081.872837601</v>
      </c>
      <c r="B3687" s="458">
        <v>3.482129427980718E-2</v>
      </c>
      <c r="C3687" s="477">
        <v>5634072.3068318749</v>
      </c>
      <c r="D3687" s="458">
        <v>7.6713226555833236E-2</v>
      </c>
      <c r="E3687" s="477">
        <v>8756068.9434351809</v>
      </c>
      <c r="F3687" s="458">
        <v>8.6556700530875164E-2</v>
      </c>
      <c r="G3687" s="477">
        <v>99024441.154756159</v>
      </c>
      <c r="H3687" s="458">
        <v>0.25844268583466112</v>
      </c>
      <c r="I3687" s="468">
        <v>5.4749101026033156</v>
      </c>
    </row>
    <row r="3688" spans="1:9" ht="16.5" x14ac:dyDescent="0.3">
      <c r="A3688" s="477">
        <v>5653770.8931666464</v>
      </c>
      <c r="B3688" s="458">
        <v>1.7399457591551259E-2</v>
      </c>
      <c r="C3688" s="477">
        <v>11633382.057563514</v>
      </c>
      <c r="D3688" s="458">
        <v>9.4379048771236373E-2</v>
      </c>
      <c r="E3688" s="477">
        <v>17958008.269679744</v>
      </c>
      <c r="F3688" s="458">
        <v>0.12524919143360846</v>
      </c>
      <c r="G3688" s="477">
        <v>88311203.506729931</v>
      </c>
      <c r="H3688" s="458">
        <v>0.24415506218445837</v>
      </c>
      <c r="I3688" s="468">
        <v>9.529244112263255</v>
      </c>
    </row>
    <row r="3689" spans="1:9" ht="16.5" x14ac:dyDescent="0.3">
      <c r="A3689" s="477">
        <v>4200970.4511342375</v>
      </c>
      <c r="B3689" s="458">
        <v>4.494115494422779E-2</v>
      </c>
      <c r="C3689" s="477">
        <v>11241202.600679629</v>
      </c>
      <c r="D3689" s="458">
        <v>9.1387179382240058E-2</v>
      </c>
      <c r="E3689" s="477">
        <v>18414822.960059851</v>
      </c>
      <c r="F3689" s="458">
        <v>0.11384971520344056</v>
      </c>
      <c r="G3689" s="477">
        <v>75962686.508885369</v>
      </c>
      <c r="H3689" s="458">
        <v>0.26812067838400799</v>
      </c>
      <c r="I3689" s="468">
        <v>12.752248829067099</v>
      </c>
    </row>
    <row r="3690" spans="1:9" ht="16.5" x14ac:dyDescent="0.3">
      <c r="A3690" s="477">
        <v>486341.31407325045</v>
      </c>
      <c r="B3690" s="458">
        <v>7.3710129621305631E-2</v>
      </c>
      <c r="C3690" s="477">
        <v>9247409.8363860007</v>
      </c>
      <c r="D3690" s="458">
        <v>5.9974483396295186E-2</v>
      </c>
      <c r="E3690" s="477">
        <v>9325156.9345914796</v>
      </c>
      <c r="F3690" s="458">
        <v>0.12633847005033294</v>
      </c>
      <c r="G3690" s="477">
        <v>70501951.292553276</v>
      </c>
      <c r="H3690" s="458">
        <v>0.2856722381238439</v>
      </c>
      <c r="I3690" s="468">
        <v>5.5320772878461373</v>
      </c>
    </row>
    <row r="3691" spans="1:9" ht="16.5" x14ac:dyDescent="0.3">
      <c r="A3691" s="477">
        <v>3379481.0440927451</v>
      </c>
      <c r="B3691" s="458">
        <v>4.5586852659319055E-2</v>
      </c>
      <c r="C3691" s="477">
        <v>4056438.2395143048</v>
      </c>
      <c r="D3691" s="458">
        <v>6.7083614252093637E-2</v>
      </c>
      <c r="E3691" s="477">
        <v>6758708.6267004153</v>
      </c>
      <c r="F3691" s="458">
        <v>0.11291561851977039</v>
      </c>
      <c r="G3691" s="477">
        <v>81863913.036737055</v>
      </c>
      <c r="H3691" s="458">
        <v>0.28008172282737553</v>
      </c>
      <c r="I3691" s="468">
        <v>8.0187232799765127</v>
      </c>
    </row>
    <row r="3692" spans="1:9" ht="16.5" x14ac:dyDescent="0.3">
      <c r="A3692" s="477">
        <v>2575528.1450578426</v>
      </c>
      <c r="B3692" s="458">
        <v>4.3798671378385556E-2</v>
      </c>
      <c r="C3692" s="477">
        <v>15952892.227318209</v>
      </c>
      <c r="D3692" s="458">
        <v>9.4160554363025728E-2</v>
      </c>
      <c r="E3692" s="477">
        <v>12089173.068775723</v>
      </c>
      <c r="F3692" s="458">
        <v>0.12907548135106772</v>
      </c>
      <c r="G3692" s="477">
        <v>92386182.139107987</v>
      </c>
      <c r="H3692" s="458">
        <v>0.28577272220902805</v>
      </c>
      <c r="I3692" s="468">
        <v>12.162912188960796</v>
      </c>
    </row>
    <row r="3693" spans="1:9" ht="16.5" x14ac:dyDescent="0.3">
      <c r="A3693" s="477">
        <v>8125684.7575283283</v>
      </c>
      <c r="B3693" s="458">
        <v>3.4563200756739132E-2</v>
      </c>
      <c r="C3693" s="477">
        <v>8003069.2043376965</v>
      </c>
      <c r="D3693" s="458">
        <v>8.7996421272624303E-2</v>
      </c>
      <c r="E3693" s="477">
        <v>17388344.097245373</v>
      </c>
      <c r="F3693" s="458">
        <v>0.12877915539502016</v>
      </c>
      <c r="G3693" s="477">
        <v>91088109.716428787</v>
      </c>
      <c r="H3693" s="458">
        <v>0.25782893438208188</v>
      </c>
      <c r="I3693" s="468">
        <v>10.970145976671358</v>
      </c>
    </row>
    <row r="3694" spans="1:9" ht="16.5" x14ac:dyDescent="0.3">
      <c r="A3694" s="477">
        <v>2409946.9225297128</v>
      </c>
      <c r="B3694" s="458">
        <v>3.8250876123673283E-2</v>
      </c>
      <c r="C3694" s="477">
        <v>13190033.477016186</v>
      </c>
      <c r="D3694" s="458">
        <v>6.7226784820820118E-2</v>
      </c>
      <c r="E3694" s="477">
        <v>23630282.447826453</v>
      </c>
      <c r="F3694" s="458">
        <v>0.1238466261865987</v>
      </c>
      <c r="G3694" s="477">
        <v>80075182.119003445</v>
      </c>
      <c r="H3694" s="458">
        <v>0.28324573677680953</v>
      </c>
      <c r="I3694" s="468">
        <v>3.5349657619761503</v>
      </c>
    </row>
    <row r="3695" spans="1:9" ht="16.5" x14ac:dyDescent="0.3">
      <c r="A3695" s="477">
        <v>2486764.4793162956</v>
      </c>
      <c r="B3695" s="458">
        <v>3.1485113281366939E-2</v>
      </c>
      <c r="C3695" s="477">
        <v>14797819.765951039</v>
      </c>
      <c r="D3695" s="458">
        <v>3.900617093562353E-2</v>
      </c>
      <c r="E3695" s="477">
        <v>8789818.9623248167</v>
      </c>
      <c r="F3695" s="458">
        <v>9.1992767722413049E-2</v>
      </c>
      <c r="G3695" s="477">
        <v>87137238.709935606</v>
      </c>
      <c r="H3695" s="458">
        <v>0.25600698500503571</v>
      </c>
      <c r="I3695" s="468">
        <v>13.904469361577938</v>
      </c>
    </row>
    <row r="3696" spans="1:9" ht="16.5" x14ac:dyDescent="0.3">
      <c r="A3696" s="477">
        <v>6294441.752408131</v>
      </c>
      <c r="B3696" s="458">
        <v>5.8080095536659604E-2</v>
      </c>
      <c r="C3696" s="477">
        <v>11354712.449167585</v>
      </c>
      <c r="D3696" s="458">
        <v>4.7363169548630735E-2</v>
      </c>
      <c r="E3696" s="477">
        <v>15697472.486875206</v>
      </c>
      <c r="F3696" s="458">
        <v>0.11164903933861026</v>
      </c>
      <c r="G3696" s="477">
        <v>98126166.767327204</v>
      </c>
      <c r="H3696" s="458">
        <v>0.28400046854937955</v>
      </c>
      <c r="I3696" s="468">
        <v>2.6686270401754699</v>
      </c>
    </row>
    <row r="3697" spans="1:9" ht="16.5" x14ac:dyDescent="0.3">
      <c r="A3697" s="477">
        <v>2199085.9775361801</v>
      </c>
      <c r="B3697" s="458">
        <v>2.8342251542207819E-2</v>
      </c>
      <c r="C3697" s="477">
        <v>6811025.6861442169</v>
      </c>
      <c r="D3697" s="458">
        <v>8.0413761935423489E-2</v>
      </c>
      <c r="E3697" s="477">
        <v>20511998.267262731</v>
      </c>
      <c r="F3697" s="458">
        <v>0.12948581759870326</v>
      </c>
      <c r="G3697" s="477">
        <v>84297039.797902301</v>
      </c>
      <c r="H3697" s="458">
        <v>0.26762975993615346</v>
      </c>
      <c r="I3697" s="468">
        <v>-1.7122345236578855</v>
      </c>
    </row>
    <row r="3698" spans="1:9" ht="16.5" x14ac:dyDescent="0.3">
      <c r="A3698" s="477">
        <v>6455551.6976831174</v>
      </c>
      <c r="B3698" s="458">
        <v>3.6910236298951959E-2</v>
      </c>
      <c r="C3698" s="477">
        <v>7607072.1814043429</v>
      </c>
      <c r="D3698" s="458">
        <v>6.8853572891455217E-2</v>
      </c>
      <c r="E3698" s="477">
        <v>23439969.970309872</v>
      </c>
      <c r="F3698" s="458">
        <v>0.10421711129659905</v>
      </c>
      <c r="G3698" s="477">
        <v>81682197.115177751</v>
      </c>
      <c r="H3698" s="458">
        <v>0.26454727031855962</v>
      </c>
      <c r="I3698" s="468">
        <v>3.8619686543712168</v>
      </c>
    </row>
    <row r="3699" spans="1:9" ht="16.5" x14ac:dyDescent="0.3">
      <c r="A3699" s="477">
        <v>4000057.5296957078</v>
      </c>
      <c r="B3699" s="458">
        <v>4.5994580603556878E-2</v>
      </c>
      <c r="C3699" s="477">
        <v>10845543.509147828</v>
      </c>
      <c r="D3699" s="458">
        <v>4.9236404983287407E-2</v>
      </c>
      <c r="E3699" s="477">
        <v>20604717.560324509</v>
      </c>
      <c r="F3699" s="458">
        <v>0.11150002237849077</v>
      </c>
      <c r="G3699" s="477">
        <v>85767712.254549012</v>
      </c>
      <c r="H3699" s="458">
        <v>0.26675777145544255</v>
      </c>
      <c r="I3699" s="468">
        <v>14.4591521439344</v>
      </c>
    </row>
    <row r="3700" spans="1:9" ht="16.5" x14ac:dyDescent="0.3">
      <c r="A3700" s="477">
        <v>6084698.4007910965</v>
      </c>
      <c r="B3700" s="458">
        <v>3.8679169503530897E-2</v>
      </c>
      <c r="C3700" s="477">
        <v>10132835.380251402</v>
      </c>
      <c r="D3700" s="458">
        <v>7.0387816545907977E-2</v>
      </c>
      <c r="E3700" s="477">
        <v>17054088.274862096</v>
      </c>
      <c r="F3700" s="458">
        <v>9.8801661921601447E-2</v>
      </c>
      <c r="G3700" s="477">
        <v>93398950.109766319</v>
      </c>
      <c r="H3700" s="458">
        <v>0.25859920424469784</v>
      </c>
      <c r="I3700" s="468">
        <v>2.7627746637769182</v>
      </c>
    </row>
    <row r="3701" spans="1:9" ht="16.5" x14ac:dyDescent="0.3">
      <c r="A3701" s="477">
        <v>1246915.5905933245</v>
      </c>
      <c r="B3701" s="458">
        <v>5.3924521500105849E-2</v>
      </c>
      <c r="C3701" s="477">
        <v>6050419.3473736774</v>
      </c>
      <c r="D3701" s="458">
        <v>7.4802358148520653E-2</v>
      </c>
      <c r="E3701" s="477">
        <v>13016723.41468282</v>
      </c>
      <c r="F3701" s="458">
        <v>9.010727875893676E-2</v>
      </c>
      <c r="G3701" s="477">
        <v>99475734.67943576</v>
      </c>
      <c r="H3701" s="458">
        <v>0.25871505057741073</v>
      </c>
      <c r="I3701" s="468">
        <v>7.2675969054061271</v>
      </c>
    </row>
    <row r="3702" spans="1:9" ht="16.5" x14ac:dyDescent="0.3">
      <c r="A3702" s="477">
        <v>9075610.2609597612</v>
      </c>
      <c r="B3702" s="458">
        <v>5.0450963287751005E-2</v>
      </c>
      <c r="C3702" s="477">
        <v>12214512.695213692</v>
      </c>
      <c r="D3702" s="458">
        <v>6.8844905693729697E-2</v>
      </c>
      <c r="E3702" s="477">
        <v>15017725.683291407</v>
      </c>
      <c r="F3702" s="458">
        <v>0.11864900006711809</v>
      </c>
      <c r="G3702" s="477">
        <v>90398795.563529074</v>
      </c>
      <c r="H3702" s="458">
        <v>0.25946625467053863</v>
      </c>
      <c r="I3702" s="468">
        <v>4.9352839305302876</v>
      </c>
    </row>
    <row r="3703" spans="1:9" ht="16.5" x14ac:dyDescent="0.3">
      <c r="A3703" s="477">
        <v>5978387.8482774887</v>
      </c>
      <c r="B3703" s="458">
        <v>3.9619096978447788E-2</v>
      </c>
      <c r="C3703" s="477">
        <v>9474243.6802935936</v>
      </c>
      <c r="D3703" s="458">
        <v>6.9076889711968903E-2</v>
      </c>
      <c r="E3703" s="477">
        <v>20389925.844300866</v>
      </c>
      <c r="F3703" s="458">
        <v>8.1356472103489619E-2</v>
      </c>
      <c r="G3703" s="477">
        <v>92192860.020956337</v>
      </c>
      <c r="H3703" s="458">
        <v>0.28876120578859887</v>
      </c>
      <c r="I3703" s="468">
        <v>5.316552326444917</v>
      </c>
    </row>
    <row r="3704" spans="1:9" ht="16.5" x14ac:dyDescent="0.3">
      <c r="A3704" s="477">
        <v>6215176.0668550739</v>
      </c>
      <c r="B3704" s="458">
        <v>5.3091167239497361E-2</v>
      </c>
      <c r="C3704" s="477">
        <v>10324770.115093058</v>
      </c>
      <c r="D3704" s="458">
        <v>5.6815589363789165E-2</v>
      </c>
      <c r="E3704" s="477">
        <v>17600250.028374441</v>
      </c>
      <c r="F3704" s="458">
        <v>9.4748956144187657E-2</v>
      </c>
      <c r="G3704" s="477">
        <v>81589472.217209175</v>
      </c>
      <c r="H3704" s="458">
        <v>0.26947030097520508</v>
      </c>
      <c r="I3704" s="468">
        <v>6.8905094833521812</v>
      </c>
    </row>
    <row r="3705" spans="1:9" ht="16.5" x14ac:dyDescent="0.3">
      <c r="A3705" s="477">
        <v>5172137.3958058897</v>
      </c>
      <c r="B3705" s="458">
        <v>3.2389800926394763E-2</v>
      </c>
      <c r="C3705" s="477">
        <v>8428359.7688034456</v>
      </c>
      <c r="D3705" s="458">
        <v>5.9754275289619407E-2</v>
      </c>
      <c r="E3705" s="477">
        <v>22965605.996937722</v>
      </c>
      <c r="F3705" s="458">
        <v>0.11742793966101872</v>
      </c>
      <c r="G3705" s="477">
        <v>98553755.606173843</v>
      </c>
      <c r="H3705" s="458">
        <v>0.27740890309383737</v>
      </c>
      <c r="I3705" s="468">
        <v>6.9433139480964101</v>
      </c>
    </row>
    <row r="3706" spans="1:9" ht="16.5" x14ac:dyDescent="0.3">
      <c r="A3706" s="477">
        <v>-732740.39524014853</v>
      </c>
      <c r="B3706" s="458">
        <v>5.9267182039004718E-2</v>
      </c>
      <c r="C3706" s="477">
        <v>10680590.529169623</v>
      </c>
      <c r="D3706" s="458">
        <v>5.1875090683857872E-2</v>
      </c>
      <c r="E3706" s="477">
        <v>17690010.034678604</v>
      </c>
      <c r="F3706" s="458">
        <v>0.14855706896877119</v>
      </c>
      <c r="G3706" s="477">
        <v>99399440.430726305</v>
      </c>
      <c r="H3706" s="458">
        <v>0.2655875491159172</v>
      </c>
      <c r="I3706" s="468">
        <v>7.7152903589026165</v>
      </c>
    </row>
    <row r="3707" spans="1:9" ht="16.5" x14ac:dyDescent="0.3">
      <c r="A3707" s="477">
        <v>6905254.2489506518</v>
      </c>
      <c r="B3707" s="458">
        <v>4.4734614122618366E-2</v>
      </c>
      <c r="C3707" s="477">
        <v>3040552.6550224451</v>
      </c>
      <c r="D3707" s="458">
        <v>6.2256868788698183E-2</v>
      </c>
      <c r="E3707" s="477">
        <v>23497427.068691891</v>
      </c>
      <c r="F3707" s="458">
        <v>0.13493695826152474</v>
      </c>
      <c r="G3707" s="477">
        <v>86675627.034721628</v>
      </c>
      <c r="H3707" s="458">
        <v>0.26811283946653774</v>
      </c>
      <c r="I3707" s="468">
        <v>8.9892542482802593</v>
      </c>
    </row>
    <row r="3708" spans="1:9" ht="16.5" x14ac:dyDescent="0.3">
      <c r="A3708" s="477">
        <v>4583988.522736202</v>
      </c>
      <c r="B3708" s="458">
        <v>3.386501880929349E-2</v>
      </c>
      <c r="C3708" s="477">
        <v>7271580.198195722</v>
      </c>
      <c r="D3708" s="458">
        <v>0.10424678360435258</v>
      </c>
      <c r="E3708" s="477">
        <v>18799868.318706688</v>
      </c>
      <c r="F3708" s="458">
        <v>9.0908268500642153E-2</v>
      </c>
      <c r="G3708" s="477">
        <v>93338938.922157943</v>
      </c>
      <c r="H3708" s="458">
        <v>0.28536566615245218</v>
      </c>
      <c r="I3708" s="468">
        <v>6.0870121692616781</v>
      </c>
    </row>
    <row r="3709" spans="1:9" ht="16.5" x14ac:dyDescent="0.3">
      <c r="A3709" s="477">
        <v>5166727.0901696989</v>
      </c>
      <c r="B3709" s="458">
        <v>4.2122132939848678E-2</v>
      </c>
      <c r="C3709" s="477">
        <v>15948832.48421739</v>
      </c>
      <c r="D3709" s="458">
        <v>4.7567927046581637E-2</v>
      </c>
      <c r="E3709" s="477">
        <v>20282589.66808866</v>
      </c>
      <c r="F3709" s="458">
        <v>9.2654782348836395E-2</v>
      </c>
      <c r="G3709" s="477">
        <v>93066426.167630091</v>
      </c>
      <c r="H3709" s="458">
        <v>0.26200644739614565</v>
      </c>
      <c r="I3709" s="468">
        <v>-0.48178385938980384</v>
      </c>
    </row>
    <row r="3710" spans="1:9" ht="16.5" x14ac:dyDescent="0.3">
      <c r="A3710" s="477">
        <v>2257173.0400890736</v>
      </c>
      <c r="B3710" s="458">
        <v>7.7848994183638887E-2</v>
      </c>
      <c r="C3710" s="477">
        <v>7652362.1724747354</v>
      </c>
      <c r="D3710" s="458">
        <v>7.9922807287797548E-2</v>
      </c>
      <c r="E3710" s="477">
        <v>14233240.573593667</v>
      </c>
      <c r="F3710" s="458">
        <v>0.13379820932360809</v>
      </c>
      <c r="G3710" s="477">
        <v>92021972.179286048</v>
      </c>
      <c r="H3710" s="458">
        <v>0.28038966119043218</v>
      </c>
      <c r="I3710" s="468">
        <v>9.7505202684333039</v>
      </c>
    </row>
    <row r="3711" spans="1:9" ht="16.5" x14ac:dyDescent="0.3">
      <c r="A3711" s="477">
        <v>5548961.7174997088</v>
      </c>
      <c r="B3711" s="458">
        <v>4.6221680616028493E-2</v>
      </c>
      <c r="C3711" s="477">
        <v>5816488.7450181525</v>
      </c>
      <c r="D3711" s="458">
        <v>6.697867815473546E-2</v>
      </c>
      <c r="E3711" s="477">
        <v>19550250.839694448</v>
      </c>
      <c r="F3711" s="458">
        <v>0.10339748652154324</v>
      </c>
      <c r="G3711" s="477">
        <v>89355301.109107971</v>
      </c>
      <c r="H3711" s="458">
        <v>0.28246132326289453</v>
      </c>
      <c r="I3711" s="468">
        <v>14.559643647101378</v>
      </c>
    </row>
    <row r="3712" spans="1:9" ht="16.5" x14ac:dyDescent="0.3">
      <c r="A3712" s="477">
        <v>1799202.9545217569</v>
      </c>
      <c r="B3712" s="458">
        <v>4.9723721457625381E-2</v>
      </c>
      <c r="C3712" s="477">
        <v>12468720.644177852</v>
      </c>
      <c r="D3712" s="458">
        <v>8.3138269430808487E-2</v>
      </c>
      <c r="E3712" s="477">
        <v>23743651.885219332</v>
      </c>
      <c r="F3712" s="458">
        <v>0.12236569792549523</v>
      </c>
      <c r="G3712" s="477">
        <v>101156609.05003883</v>
      </c>
      <c r="H3712" s="458">
        <v>0.28081354491455213</v>
      </c>
      <c r="I3712" s="468">
        <v>15.272752004077448</v>
      </c>
    </row>
    <row r="3713" spans="1:9" ht="16.5" x14ac:dyDescent="0.3">
      <c r="A3713" s="477">
        <v>6163562.1109557236</v>
      </c>
      <c r="B3713" s="458">
        <v>5.0377828086972665E-2</v>
      </c>
      <c r="C3713" s="477">
        <v>9839389.9872866888</v>
      </c>
      <c r="D3713" s="458">
        <v>7.5031025276151464E-2</v>
      </c>
      <c r="E3713" s="477">
        <v>11978411.582920842</v>
      </c>
      <c r="F3713" s="458">
        <v>0.11290926066793472</v>
      </c>
      <c r="G3713" s="477">
        <v>82227755.411661699</v>
      </c>
      <c r="H3713" s="458">
        <v>0.24989106770882707</v>
      </c>
      <c r="I3713" s="468">
        <v>7.3943687187490355</v>
      </c>
    </row>
    <row r="3714" spans="1:9" ht="16.5" x14ac:dyDescent="0.3">
      <c r="A3714" s="477">
        <v>289337.32836556289</v>
      </c>
      <c r="B3714" s="458">
        <v>3.865752109684073E-2</v>
      </c>
      <c r="C3714" s="477">
        <v>10592084.693622725</v>
      </c>
      <c r="D3714" s="458">
        <v>2.9019952942371807E-2</v>
      </c>
      <c r="E3714" s="477">
        <v>20415392.393671315</v>
      </c>
      <c r="F3714" s="458">
        <v>9.7412612882222582E-2</v>
      </c>
      <c r="G3714" s="477">
        <v>80198192.286537319</v>
      </c>
      <c r="H3714" s="458">
        <v>0.28221603636256809</v>
      </c>
      <c r="I3714" s="468">
        <v>6.13375502095443</v>
      </c>
    </row>
    <row r="3715" spans="1:9" ht="16.5" x14ac:dyDescent="0.3">
      <c r="A3715" s="477">
        <v>2992483.8405831694</v>
      </c>
      <c r="B3715" s="458">
        <v>6.0383802640564754E-2</v>
      </c>
      <c r="C3715" s="477">
        <v>5724235.4875647621</v>
      </c>
      <c r="D3715" s="458">
        <v>9.1915200035620481E-2</v>
      </c>
      <c r="E3715" s="477">
        <v>8486404.2849374041</v>
      </c>
      <c r="F3715" s="458">
        <v>0.12817057006462629</v>
      </c>
      <c r="G3715" s="477">
        <v>90109703.044468388</v>
      </c>
      <c r="H3715" s="458">
        <v>0.28396232144601807</v>
      </c>
      <c r="I3715" s="468">
        <v>8.1577490737570493</v>
      </c>
    </row>
    <row r="3716" spans="1:9" ht="16.5" x14ac:dyDescent="0.3">
      <c r="A3716" s="477">
        <v>7774745.9766854513</v>
      </c>
      <c r="B3716" s="458">
        <v>4.9572100039727562E-2</v>
      </c>
      <c r="C3716" s="477">
        <v>11280233.675696425</v>
      </c>
      <c r="D3716" s="458">
        <v>6.7498910564151915E-2</v>
      </c>
      <c r="E3716" s="477">
        <v>10991955.798319567</v>
      </c>
      <c r="F3716" s="458">
        <v>9.7210084537451502E-2</v>
      </c>
      <c r="G3716" s="477">
        <v>87379812.062689692</v>
      </c>
      <c r="H3716" s="458">
        <v>0.27119056652358497</v>
      </c>
      <c r="I3716" s="468">
        <v>7.3649398968853275</v>
      </c>
    </row>
    <row r="3717" spans="1:9" ht="16.5" x14ac:dyDescent="0.3">
      <c r="A3717" s="477">
        <v>8508401.6075020339</v>
      </c>
      <c r="B3717" s="458">
        <v>4.1941371461675869E-2</v>
      </c>
      <c r="C3717" s="477">
        <v>8401987.2015268169</v>
      </c>
      <c r="D3717" s="458">
        <v>7.3497810993320645E-2</v>
      </c>
      <c r="E3717" s="477">
        <v>24791608.143849704</v>
      </c>
      <c r="F3717" s="458">
        <v>0.11797539158414816</v>
      </c>
      <c r="G3717" s="477">
        <v>91378575.468473822</v>
      </c>
      <c r="H3717" s="458">
        <v>0.27702982046963998</v>
      </c>
      <c r="I3717" s="468">
        <v>5.8495565132058083</v>
      </c>
    </row>
    <row r="3718" spans="1:9" ht="16.5" x14ac:dyDescent="0.3">
      <c r="A3718" s="477">
        <v>5208549.9368864158</v>
      </c>
      <c r="B3718" s="458">
        <v>2.7720901375897E-2</v>
      </c>
      <c r="C3718" s="477">
        <v>8718107.3594019357</v>
      </c>
      <c r="D3718" s="458">
        <v>7.846899469676516E-2</v>
      </c>
      <c r="E3718" s="477">
        <v>18377329.642214239</v>
      </c>
      <c r="F3718" s="458">
        <v>9.1636677432157754E-2</v>
      </c>
      <c r="G3718" s="477">
        <v>92239090.271441206</v>
      </c>
      <c r="H3718" s="458">
        <v>0.26819732258518347</v>
      </c>
      <c r="I3718" s="468">
        <v>7.9358341637455414</v>
      </c>
    </row>
    <row r="3719" spans="1:9" ht="16.5" x14ac:dyDescent="0.3">
      <c r="A3719" s="477">
        <v>6429080.5000747312</v>
      </c>
      <c r="B3719" s="458">
        <v>4.5276611517853338E-2</v>
      </c>
      <c r="C3719" s="477">
        <v>5155380.3986506779</v>
      </c>
      <c r="D3719" s="458">
        <v>3.7635052656246337E-2</v>
      </c>
      <c r="E3719" s="477">
        <v>7483327.0075129205</v>
      </c>
      <c r="F3719" s="458">
        <v>0.11158285750274621</v>
      </c>
      <c r="G3719" s="477">
        <v>67212247.544819921</v>
      </c>
      <c r="H3719" s="458">
        <v>0.26747680612257718</v>
      </c>
      <c r="I3719" s="468">
        <v>10.586112215935092</v>
      </c>
    </row>
    <row r="3720" spans="1:9" ht="16.5" x14ac:dyDescent="0.3">
      <c r="A3720" s="477">
        <v>1191340.635067319</v>
      </c>
      <c r="B3720" s="458">
        <v>6.1621485659790975E-2</v>
      </c>
      <c r="C3720" s="477">
        <v>3672906.0531307245</v>
      </c>
      <c r="D3720" s="458">
        <v>6.6473372779402684E-2</v>
      </c>
      <c r="E3720" s="477">
        <v>16348669.069128148</v>
      </c>
      <c r="F3720" s="458">
        <v>0.11239465898376166</v>
      </c>
      <c r="G3720" s="477">
        <v>91623761.341835618</v>
      </c>
      <c r="H3720" s="458">
        <v>0.25945835863369648</v>
      </c>
      <c r="I3720" s="468">
        <v>3.6256040825193923</v>
      </c>
    </row>
    <row r="3721" spans="1:9" ht="16.5" x14ac:dyDescent="0.3">
      <c r="A3721" s="477">
        <v>4316121.2918524258</v>
      </c>
      <c r="B3721" s="458">
        <v>4.0362946070386485E-2</v>
      </c>
      <c r="C3721" s="477">
        <v>5246024.5804834822</v>
      </c>
      <c r="D3721" s="458">
        <v>6.8359235790599771E-2</v>
      </c>
      <c r="E3721" s="477">
        <v>13810612.503909258</v>
      </c>
      <c r="F3721" s="458">
        <v>8.165790259153427E-2</v>
      </c>
      <c r="G3721" s="477">
        <v>92786653.225046292</v>
      </c>
      <c r="H3721" s="458">
        <v>0.28696938662809512</v>
      </c>
      <c r="I3721" s="468">
        <v>10.70522011997156</v>
      </c>
    </row>
    <row r="3722" spans="1:9" ht="16.5" x14ac:dyDescent="0.3">
      <c r="A3722" s="477">
        <v>9375506.2142734881</v>
      </c>
      <c r="B3722" s="458">
        <v>1.4900532334549466E-2</v>
      </c>
      <c r="C3722" s="477">
        <v>5575490.1892880499</v>
      </c>
      <c r="D3722" s="458">
        <v>6.3147764041309173E-2</v>
      </c>
      <c r="E3722" s="477">
        <v>6874711.2174916975</v>
      </c>
      <c r="F3722" s="458">
        <v>0.11889926395895434</v>
      </c>
      <c r="G3722" s="477">
        <v>72306988.240476236</v>
      </c>
      <c r="H3722" s="458">
        <v>0.26853851152366648</v>
      </c>
      <c r="I3722" s="468">
        <v>8.5105641987718545</v>
      </c>
    </row>
    <row r="3723" spans="1:9" ht="16.5" x14ac:dyDescent="0.3">
      <c r="A3723" s="477">
        <v>6319537.0006921366</v>
      </c>
      <c r="B3723" s="458">
        <v>2.6870079071164232E-2</v>
      </c>
      <c r="C3723" s="477">
        <v>7423470.8352432074</v>
      </c>
      <c r="D3723" s="458">
        <v>3.8043826803581648E-2</v>
      </c>
      <c r="E3723" s="477">
        <v>18779419.025191765</v>
      </c>
      <c r="F3723" s="458">
        <v>9.0397811026215358E-2</v>
      </c>
      <c r="G3723" s="477">
        <v>92830616.139893636</v>
      </c>
      <c r="H3723" s="458">
        <v>0.26867249016350847</v>
      </c>
      <c r="I3723" s="468">
        <v>1.8836520260153922</v>
      </c>
    </row>
    <row r="3724" spans="1:9" ht="16.5" x14ac:dyDescent="0.3">
      <c r="A3724" s="477">
        <v>4870192.0132329483</v>
      </c>
      <c r="B3724" s="458">
        <v>4.2709395090525071E-2</v>
      </c>
      <c r="C3724" s="477">
        <v>7109670.8753638426</v>
      </c>
      <c r="D3724" s="458">
        <v>5.0532121599236479E-2</v>
      </c>
      <c r="E3724" s="477">
        <v>13238274.070475943</v>
      </c>
      <c r="F3724" s="458">
        <v>9.7164728840154924E-2</v>
      </c>
      <c r="G3724" s="477">
        <v>82753559.799216583</v>
      </c>
      <c r="H3724" s="458">
        <v>0.25693682435232912</v>
      </c>
      <c r="I3724" s="468">
        <v>10.424082434099237</v>
      </c>
    </row>
    <row r="3725" spans="1:9" ht="16.5" x14ac:dyDescent="0.3">
      <c r="A3725" s="477">
        <v>8755857.6815412641</v>
      </c>
      <c r="B3725" s="458">
        <v>4.3634011158418362E-2</v>
      </c>
      <c r="C3725" s="477">
        <v>4262992.7085085446</v>
      </c>
      <c r="D3725" s="458">
        <v>5.7896514318234615E-2</v>
      </c>
      <c r="E3725" s="477">
        <v>13499001.796752937</v>
      </c>
      <c r="F3725" s="458">
        <v>0.11770841262927711</v>
      </c>
      <c r="G3725" s="477">
        <v>83884967.464041993</v>
      </c>
      <c r="H3725" s="458">
        <v>0.29151306651417874</v>
      </c>
      <c r="I3725" s="468">
        <v>13.399803679310857</v>
      </c>
    </row>
    <row r="3726" spans="1:9" ht="16.5" x14ac:dyDescent="0.3">
      <c r="A3726" s="477">
        <v>2181658.2583342637</v>
      </c>
      <c r="B3726" s="458">
        <v>5.2634621077796817E-2</v>
      </c>
      <c r="C3726" s="477">
        <v>10242226.690790737</v>
      </c>
      <c r="D3726" s="458">
        <v>8.817389609568993E-2</v>
      </c>
      <c r="E3726" s="477">
        <v>17073366.428855665</v>
      </c>
      <c r="F3726" s="458">
        <v>0.10869221538890139</v>
      </c>
      <c r="G3726" s="477">
        <v>73116542.393876567</v>
      </c>
      <c r="H3726" s="458">
        <v>0.26834018901022949</v>
      </c>
      <c r="I3726" s="468">
        <v>7.6263405888779419</v>
      </c>
    </row>
    <row r="3727" spans="1:9" ht="16.5" x14ac:dyDescent="0.3">
      <c r="A3727" s="477">
        <v>7214124.5072333803</v>
      </c>
      <c r="B3727" s="458">
        <v>4.1941391084605151E-2</v>
      </c>
      <c r="C3727" s="477">
        <v>7221650.900535956</v>
      </c>
      <c r="D3727" s="458">
        <v>8.0617652933808737E-2</v>
      </c>
      <c r="E3727" s="477">
        <v>18425606.144034658</v>
      </c>
      <c r="F3727" s="458">
        <v>9.4827383049340686E-2</v>
      </c>
      <c r="G3727" s="477">
        <v>90252407.176081493</v>
      </c>
      <c r="H3727" s="458">
        <v>0.27788350092390002</v>
      </c>
      <c r="I3727" s="468">
        <v>6.3806707270003962</v>
      </c>
    </row>
    <row r="3728" spans="1:9" ht="16.5" x14ac:dyDescent="0.3">
      <c r="A3728" s="477">
        <v>4333738.5490554897</v>
      </c>
      <c r="B3728" s="458">
        <v>4.6088530156551677E-2</v>
      </c>
      <c r="C3728" s="477">
        <v>14545887.508270847</v>
      </c>
      <c r="D3728" s="458">
        <v>3.65897038700429E-2</v>
      </c>
      <c r="E3728" s="477">
        <v>25310046.660727613</v>
      </c>
      <c r="F3728" s="458">
        <v>0.11837403612059294</v>
      </c>
      <c r="G3728" s="477">
        <v>99749982.720438093</v>
      </c>
      <c r="H3728" s="458">
        <v>0.27282136443077465</v>
      </c>
      <c r="I3728" s="468">
        <v>7.784729516110513</v>
      </c>
    </row>
    <row r="3729" spans="1:9" ht="16.5" x14ac:dyDescent="0.3">
      <c r="A3729" s="477">
        <v>5624182.4206677582</v>
      </c>
      <c r="B3729" s="458">
        <v>3.7490597398289305E-2</v>
      </c>
      <c r="C3729" s="477">
        <v>9705059.086735528</v>
      </c>
      <c r="D3729" s="458">
        <v>6.0115948135874842E-2</v>
      </c>
      <c r="E3729" s="477">
        <v>21986957.168578587</v>
      </c>
      <c r="F3729" s="458">
        <v>0.10966271755225243</v>
      </c>
      <c r="G3729" s="477">
        <v>94778872.092410415</v>
      </c>
      <c r="H3729" s="458">
        <v>0.25818709381749327</v>
      </c>
      <c r="I3729" s="468">
        <v>5.90045343725546</v>
      </c>
    </row>
    <row r="3730" spans="1:9" ht="16.5" x14ac:dyDescent="0.3">
      <c r="A3730" s="477">
        <v>4961235.8405254157</v>
      </c>
      <c r="B3730" s="458">
        <v>4.238376769460972E-2</v>
      </c>
      <c r="C3730" s="477">
        <v>7650680.1638848847</v>
      </c>
      <c r="D3730" s="458">
        <v>5.8437836092391837E-2</v>
      </c>
      <c r="E3730" s="477">
        <v>9913734.0805672444</v>
      </c>
      <c r="F3730" s="458">
        <v>7.9077486783466489E-2</v>
      </c>
      <c r="G3730" s="477">
        <v>99628091.655427665</v>
      </c>
      <c r="H3730" s="458">
        <v>0.29071763794359939</v>
      </c>
      <c r="I3730" s="468">
        <v>8.5114198210212297</v>
      </c>
    </row>
    <row r="3731" spans="1:9" ht="16.5" x14ac:dyDescent="0.3">
      <c r="A3731" s="477">
        <v>1812869.8199358531</v>
      </c>
      <c r="B3731" s="458">
        <v>2.6131401975077351E-2</v>
      </c>
      <c r="C3731" s="477">
        <v>1533412.0076550893</v>
      </c>
      <c r="D3731" s="458">
        <v>7.630102272667405E-2</v>
      </c>
      <c r="E3731" s="477">
        <v>15435734.62788181</v>
      </c>
      <c r="F3731" s="458">
        <v>0.11098299407822121</v>
      </c>
      <c r="G3731" s="477">
        <v>87995696.829425633</v>
      </c>
      <c r="H3731" s="458">
        <v>0.25474243259548812</v>
      </c>
      <c r="I3731" s="468">
        <v>9.8370754803717446</v>
      </c>
    </row>
    <row r="3732" spans="1:9" ht="16.5" x14ac:dyDescent="0.3">
      <c r="A3732" s="477">
        <v>4256337.3843881786</v>
      </c>
      <c r="B3732" s="458">
        <v>4.4539082499095217E-2</v>
      </c>
      <c r="C3732" s="477">
        <v>9885973.7187008578</v>
      </c>
      <c r="D3732" s="458">
        <v>5.0838673954840985E-2</v>
      </c>
      <c r="E3732" s="477">
        <v>8592641.6602809206</v>
      </c>
      <c r="F3732" s="458">
        <v>0.10343406561885793</v>
      </c>
      <c r="G3732" s="477">
        <v>90313347.57456927</v>
      </c>
      <c r="H3732" s="458">
        <v>0.25495280489920957</v>
      </c>
      <c r="I3732" s="468">
        <v>9.3599751880832862</v>
      </c>
    </row>
    <row r="3733" spans="1:9" ht="16.5" x14ac:dyDescent="0.3">
      <c r="A3733" s="477">
        <v>5524870.3603814747</v>
      </c>
      <c r="B3733" s="458">
        <v>2.6570906872789735E-2</v>
      </c>
      <c r="C3733" s="477">
        <v>5783318.5102023343</v>
      </c>
      <c r="D3733" s="458">
        <v>7.543019538905571E-2</v>
      </c>
      <c r="E3733" s="477">
        <v>16088753.172852434</v>
      </c>
      <c r="F3733" s="458">
        <v>0.10497509678959327</v>
      </c>
      <c r="G3733" s="477">
        <v>68982032.234902233</v>
      </c>
      <c r="H3733" s="458">
        <v>0.26295505737999014</v>
      </c>
      <c r="I3733" s="468">
        <v>9.5372020563924362</v>
      </c>
    </row>
    <row r="3734" spans="1:9" ht="16.5" x14ac:dyDescent="0.3">
      <c r="A3734" s="477">
        <v>5484067.4567886628</v>
      </c>
      <c r="B3734" s="458">
        <v>2.5926741177270118E-2</v>
      </c>
      <c r="C3734" s="477">
        <v>10431642.818704519</v>
      </c>
      <c r="D3734" s="458">
        <v>4.9385524815503734E-2</v>
      </c>
      <c r="E3734" s="477">
        <v>17579075.283688091</v>
      </c>
      <c r="F3734" s="458">
        <v>0.12624961822564496</v>
      </c>
      <c r="G3734" s="477">
        <v>94377467.910462439</v>
      </c>
      <c r="H3734" s="458">
        <v>0.29576363337754596</v>
      </c>
      <c r="I3734" s="468">
        <v>11.339734566366424</v>
      </c>
    </row>
    <row r="3735" spans="1:9" ht="16.5" x14ac:dyDescent="0.3">
      <c r="A3735" s="477">
        <v>2924911.5139568197</v>
      </c>
      <c r="B3735" s="458">
        <v>5.9402694947789936E-2</v>
      </c>
      <c r="C3735" s="477">
        <v>1336588.3584552989</v>
      </c>
      <c r="D3735" s="458">
        <v>6.8151028659193535E-2</v>
      </c>
      <c r="E3735" s="477">
        <v>21085826.718727287</v>
      </c>
      <c r="F3735" s="458">
        <v>9.2858229980326001E-2</v>
      </c>
      <c r="G3735" s="477">
        <v>80072457.175678208</v>
      </c>
      <c r="H3735" s="458">
        <v>0.25010834652168867</v>
      </c>
      <c r="I3735" s="468">
        <v>11.29715491909749</v>
      </c>
    </row>
    <row r="3736" spans="1:9" ht="16.5" x14ac:dyDescent="0.3">
      <c r="A3736" s="477">
        <v>5363074.7620303361</v>
      </c>
      <c r="B3736" s="458">
        <v>4.4613030386674302E-2</v>
      </c>
      <c r="C3736" s="477">
        <v>-1081284.946140277</v>
      </c>
      <c r="D3736" s="458">
        <v>7.5338093216061441E-2</v>
      </c>
      <c r="E3736" s="477">
        <v>27457444.930961013</v>
      </c>
      <c r="F3736" s="458">
        <v>0.12200799557754105</v>
      </c>
      <c r="G3736" s="477">
        <v>83574229.382218614</v>
      </c>
      <c r="H3736" s="458">
        <v>0.26554205231906058</v>
      </c>
      <c r="I3736" s="468">
        <v>8.9412302117236315</v>
      </c>
    </row>
    <row r="3737" spans="1:9" ht="16.5" x14ac:dyDescent="0.3">
      <c r="A3737" s="477">
        <v>6918816.9743932877</v>
      </c>
      <c r="B3737" s="458">
        <v>1.5800597416744111E-2</v>
      </c>
      <c r="C3737" s="477">
        <v>5991764.8882203996</v>
      </c>
      <c r="D3737" s="458">
        <v>6.1870104001708226E-2</v>
      </c>
      <c r="E3737" s="477">
        <v>19496093.665577419</v>
      </c>
      <c r="F3737" s="458">
        <v>9.2838895735447791E-2</v>
      </c>
      <c r="G3737" s="477">
        <v>90593581.52389814</v>
      </c>
      <c r="H3737" s="458">
        <v>0.2723817941304465</v>
      </c>
      <c r="I3737" s="468">
        <v>4.0970671287043787</v>
      </c>
    </row>
    <row r="3738" spans="1:9" ht="16.5" x14ac:dyDescent="0.3">
      <c r="A3738" s="477">
        <v>5504168.0354793919</v>
      </c>
      <c r="B3738" s="458">
        <v>4.4146914133438075E-2</v>
      </c>
      <c r="C3738" s="477">
        <v>12260657.595557151</v>
      </c>
      <c r="D3738" s="458">
        <v>6.6490341582868373E-2</v>
      </c>
      <c r="E3738" s="477">
        <v>16980831.754743382</v>
      </c>
      <c r="F3738" s="458">
        <v>9.6514663400523615E-2</v>
      </c>
      <c r="G3738" s="477">
        <v>99755021.454505563</v>
      </c>
      <c r="H3738" s="458">
        <v>0.27127832221644943</v>
      </c>
      <c r="I3738" s="468">
        <v>10.275753819982409</v>
      </c>
    </row>
    <row r="3739" spans="1:9" ht="16.5" x14ac:dyDescent="0.3">
      <c r="A3739" s="477">
        <v>8776383.5626694858</v>
      </c>
      <c r="B3739" s="458">
        <v>4.9851247561878642E-2</v>
      </c>
      <c r="C3739" s="477">
        <v>14655751.962303646</v>
      </c>
      <c r="D3739" s="458">
        <v>9.3262717078204327E-2</v>
      </c>
      <c r="E3739" s="477">
        <v>14273600.024421936</v>
      </c>
      <c r="F3739" s="458">
        <v>0.12240150118332216</v>
      </c>
      <c r="G3739" s="477">
        <v>94154276.727329567</v>
      </c>
      <c r="H3739" s="458">
        <v>0.28485900520699947</v>
      </c>
      <c r="I3739" s="468">
        <v>3.2297942607214489</v>
      </c>
    </row>
    <row r="3740" spans="1:9" ht="16.5" x14ac:dyDescent="0.3">
      <c r="A3740" s="477">
        <v>5451199.4477555873</v>
      </c>
      <c r="B3740" s="458">
        <v>4.0310810505985062E-2</v>
      </c>
      <c r="C3740" s="477">
        <v>7038591.3738652561</v>
      </c>
      <c r="D3740" s="458">
        <v>6.7002628484031934E-2</v>
      </c>
      <c r="E3740" s="477">
        <v>10935780.428301105</v>
      </c>
      <c r="F3740" s="458">
        <v>9.716269417815937E-2</v>
      </c>
      <c r="G3740" s="477">
        <v>91100168.661682546</v>
      </c>
      <c r="H3740" s="458">
        <v>0.28909571198934159</v>
      </c>
      <c r="I3740" s="468">
        <v>14.144984394647555</v>
      </c>
    </row>
    <row r="3741" spans="1:9" ht="16.5" x14ac:dyDescent="0.3">
      <c r="A3741" s="477">
        <v>6197810.5885536224</v>
      </c>
      <c r="B3741" s="458">
        <v>2.7997117967654139E-2</v>
      </c>
      <c r="C3741" s="477">
        <v>11803082.447194709</v>
      </c>
      <c r="D3741" s="458">
        <v>7.8024711065348029E-2</v>
      </c>
      <c r="E3741" s="477">
        <v>4770545.9863970419</v>
      </c>
      <c r="F3741" s="458">
        <v>0.12086852309902185</v>
      </c>
      <c r="G3741" s="477">
        <v>93065018.379366606</v>
      </c>
      <c r="H3741" s="458">
        <v>0.27158401952815359</v>
      </c>
      <c r="I3741" s="468">
        <v>8.3483905190437184</v>
      </c>
    </row>
    <row r="3742" spans="1:9" ht="16.5" x14ac:dyDescent="0.3">
      <c r="A3742" s="477">
        <v>3099449.3955099843</v>
      </c>
      <c r="B3742" s="458">
        <v>2.9141224317563941E-2</v>
      </c>
      <c r="C3742" s="477">
        <v>10871265.883691959</v>
      </c>
      <c r="D3742" s="458">
        <v>5.4098506961776094E-2</v>
      </c>
      <c r="E3742" s="477">
        <v>17809983.52759961</v>
      </c>
      <c r="F3742" s="458">
        <v>0.10113846592538578</v>
      </c>
      <c r="G3742" s="477">
        <v>86433331.455118224</v>
      </c>
      <c r="H3742" s="458">
        <v>0.25814590898320566</v>
      </c>
      <c r="I3742" s="468">
        <v>5.116174761252787</v>
      </c>
    </row>
    <row r="3743" spans="1:9" ht="16.5" x14ac:dyDescent="0.3">
      <c r="A3743" s="477">
        <v>7888246.2036194634</v>
      </c>
      <c r="B3743" s="458">
        <v>4.3135574376442332E-2</v>
      </c>
      <c r="C3743" s="477">
        <v>7239824.155987422</v>
      </c>
      <c r="D3743" s="458">
        <v>7.8956354261894512E-2</v>
      </c>
      <c r="E3743" s="477">
        <v>13964270.687033406</v>
      </c>
      <c r="F3743" s="458">
        <v>0.11019068994246295</v>
      </c>
      <c r="G3743" s="477">
        <v>81107740.312370002</v>
      </c>
      <c r="H3743" s="458">
        <v>0.27181446025843403</v>
      </c>
      <c r="I3743" s="468">
        <v>6.0710466405567596</v>
      </c>
    </row>
    <row r="3744" spans="1:9" ht="16.5" x14ac:dyDescent="0.3">
      <c r="A3744" s="477">
        <v>-68655.715335395667</v>
      </c>
      <c r="B3744" s="458">
        <v>2.5688129109885383E-2</v>
      </c>
      <c r="C3744" s="477">
        <v>12582168.324035987</v>
      </c>
      <c r="D3744" s="458">
        <v>6.1132949169479645E-2</v>
      </c>
      <c r="E3744" s="477">
        <v>15358071.528863467</v>
      </c>
      <c r="F3744" s="458">
        <v>0.15137236898972284</v>
      </c>
      <c r="G3744" s="477">
        <v>95604518.733692244</v>
      </c>
      <c r="H3744" s="458">
        <v>0.26860853206019275</v>
      </c>
      <c r="I3744" s="468">
        <v>6.3942799689820715</v>
      </c>
    </row>
    <row r="3745" spans="1:9" ht="16.5" x14ac:dyDescent="0.3">
      <c r="A3745" s="477">
        <v>8606602.1780379694</v>
      </c>
      <c r="B3745" s="458">
        <v>4.4303593802081487E-2</v>
      </c>
      <c r="C3745" s="477">
        <v>13562519.211065164</v>
      </c>
      <c r="D3745" s="458">
        <v>3.927741544608554E-2</v>
      </c>
      <c r="E3745" s="477">
        <v>11769798.530383999</v>
      </c>
      <c r="F3745" s="458">
        <v>0.110803147582476</v>
      </c>
      <c r="G3745" s="477">
        <v>96411872.92182593</v>
      </c>
      <c r="H3745" s="458">
        <v>0.30135859928939235</v>
      </c>
      <c r="I3745" s="468">
        <v>8.8879188405348089</v>
      </c>
    </row>
    <row r="3746" spans="1:9" ht="16.5" x14ac:dyDescent="0.3">
      <c r="A3746" s="477">
        <v>8881899.1236873586</v>
      </c>
      <c r="B3746" s="458">
        <v>5.4670345636004924E-2</v>
      </c>
      <c r="C3746" s="477">
        <v>15195628.656853199</v>
      </c>
      <c r="D3746" s="458">
        <v>5.2133304924932622E-2</v>
      </c>
      <c r="E3746" s="477">
        <v>14467734.285131834</v>
      </c>
      <c r="F3746" s="458">
        <v>0.10974366765123045</v>
      </c>
      <c r="G3746" s="477">
        <v>91047589.79614222</v>
      </c>
      <c r="H3746" s="458">
        <v>0.26833746995708774</v>
      </c>
      <c r="I3746" s="468">
        <v>13.776564670463742</v>
      </c>
    </row>
    <row r="3747" spans="1:9" ht="16.5" x14ac:dyDescent="0.3">
      <c r="A3747" s="477">
        <v>3691993.9160555825</v>
      </c>
      <c r="B3747" s="458">
        <v>2.4767005858308266E-2</v>
      </c>
      <c r="C3747" s="477">
        <v>12282238.903070094</v>
      </c>
      <c r="D3747" s="458">
        <v>6.1949377339548084E-2</v>
      </c>
      <c r="E3747" s="477">
        <v>16374512.669936374</v>
      </c>
      <c r="F3747" s="458">
        <v>0.13813828077120949</v>
      </c>
      <c r="G3747" s="477">
        <v>84709736.394349575</v>
      </c>
      <c r="H3747" s="458">
        <v>0.25985170687225878</v>
      </c>
      <c r="I3747" s="468">
        <v>8.7360721632039908</v>
      </c>
    </row>
    <row r="3748" spans="1:9" ht="16.5" x14ac:dyDescent="0.3">
      <c r="A3748" s="477">
        <v>6617389.5964392582</v>
      </c>
      <c r="B3748" s="458">
        <v>1.4386045666834768E-2</v>
      </c>
      <c r="C3748" s="477">
        <v>11849473.92727555</v>
      </c>
      <c r="D3748" s="458">
        <v>7.4663367624943078E-2</v>
      </c>
      <c r="E3748" s="477">
        <v>18332042.252518099</v>
      </c>
      <c r="F3748" s="458">
        <v>9.9711503178224747E-2</v>
      </c>
      <c r="G3748" s="477">
        <v>85374178.095429823</v>
      </c>
      <c r="H3748" s="458">
        <v>0.26903357628868618</v>
      </c>
      <c r="I3748" s="468">
        <v>10.143673331141581</v>
      </c>
    </row>
    <row r="3749" spans="1:9" ht="16.5" x14ac:dyDescent="0.3">
      <c r="A3749" s="477">
        <v>6286842.558135218</v>
      </c>
      <c r="B3749" s="458">
        <v>2.9674586983559514E-2</v>
      </c>
      <c r="C3749" s="477">
        <v>10796779.433567908</v>
      </c>
      <c r="D3749" s="458">
        <v>7.1200012042311522E-2</v>
      </c>
      <c r="E3749" s="477">
        <v>15945150.624044282</v>
      </c>
      <c r="F3749" s="458">
        <v>8.9041090648153576E-2</v>
      </c>
      <c r="G3749" s="477">
        <v>93887644.435504243</v>
      </c>
      <c r="H3749" s="458">
        <v>0.27353472251495736</v>
      </c>
      <c r="I3749" s="468">
        <v>6.1366567663403906</v>
      </c>
    </row>
    <row r="3750" spans="1:9" ht="16.5" x14ac:dyDescent="0.3">
      <c r="A3750" s="477">
        <v>2463329.6721929545</v>
      </c>
      <c r="B3750" s="458">
        <v>3.405344594122961E-2</v>
      </c>
      <c r="C3750" s="477">
        <v>7446633.9213151531</v>
      </c>
      <c r="D3750" s="458">
        <v>8.343362212081229E-2</v>
      </c>
      <c r="E3750" s="477">
        <v>21796412.816910885</v>
      </c>
      <c r="F3750" s="458">
        <v>0.10784053682276218</v>
      </c>
      <c r="G3750" s="477">
        <v>93292246.077178523</v>
      </c>
      <c r="H3750" s="458">
        <v>0.27932120354818291</v>
      </c>
      <c r="I3750" s="468">
        <v>10.568498542103985</v>
      </c>
    </row>
    <row r="3751" spans="1:9" ht="16.5" x14ac:dyDescent="0.3">
      <c r="A3751" s="477">
        <v>3904047.6276482097</v>
      </c>
      <c r="B3751" s="458">
        <v>3.5720519482683066E-2</v>
      </c>
      <c r="C3751" s="477">
        <v>7842091.7254719418</v>
      </c>
      <c r="D3751" s="458">
        <v>6.2395505043158606E-2</v>
      </c>
      <c r="E3751" s="477">
        <v>18005410.225731988</v>
      </c>
      <c r="F3751" s="458">
        <v>0.12214659018769369</v>
      </c>
      <c r="G3751" s="477">
        <v>86666430.104333758</v>
      </c>
      <c r="H3751" s="458">
        <v>0.27668069759646041</v>
      </c>
      <c r="I3751" s="468">
        <v>11.733463365766083</v>
      </c>
    </row>
    <row r="3752" spans="1:9" ht="16.5" x14ac:dyDescent="0.3">
      <c r="A3752" s="477">
        <v>2852891.0384138138</v>
      </c>
      <c r="B3752" s="458">
        <v>4.2118318359984919E-2</v>
      </c>
      <c r="C3752" s="477">
        <v>6043837.863655</v>
      </c>
      <c r="D3752" s="458">
        <v>5.2972869123439903E-2</v>
      </c>
      <c r="E3752" s="477">
        <v>3229978.9347934686</v>
      </c>
      <c r="F3752" s="458">
        <v>0.10341559446817472</v>
      </c>
      <c r="G3752" s="477">
        <v>87428585.165228352</v>
      </c>
      <c r="H3752" s="458">
        <v>0.28262038522692579</v>
      </c>
      <c r="I3752" s="468">
        <v>4.2126336056537177</v>
      </c>
    </row>
    <row r="3753" spans="1:9" ht="16.5" x14ac:dyDescent="0.3">
      <c r="A3753" s="477">
        <v>3875557.8037943589</v>
      </c>
      <c r="B3753" s="458">
        <v>3.2575873364867114E-2</v>
      </c>
      <c r="C3753" s="477">
        <v>8138728.2120191213</v>
      </c>
      <c r="D3753" s="458">
        <v>7.5694609734908491E-2</v>
      </c>
      <c r="E3753" s="477">
        <v>21026943.037812795</v>
      </c>
      <c r="F3753" s="458">
        <v>0.11640666099199071</v>
      </c>
      <c r="G3753" s="477">
        <v>84981702.170443088</v>
      </c>
      <c r="H3753" s="458">
        <v>0.26468455057449725</v>
      </c>
      <c r="I3753" s="468">
        <v>3.0457426317682952</v>
      </c>
    </row>
    <row r="3754" spans="1:9" ht="16.5" x14ac:dyDescent="0.3">
      <c r="A3754" s="477">
        <v>4826311.8994364021</v>
      </c>
      <c r="B3754" s="458">
        <v>2.7428030731010855E-2</v>
      </c>
      <c r="C3754" s="477">
        <v>4428106.856485093</v>
      </c>
      <c r="D3754" s="458">
        <v>7.5899435738628007E-2</v>
      </c>
      <c r="E3754" s="477">
        <v>8009204.20792225</v>
      </c>
      <c r="F3754" s="458">
        <v>0.10527588430746837</v>
      </c>
      <c r="G3754" s="477">
        <v>90599306.748455763</v>
      </c>
      <c r="H3754" s="458">
        <v>0.2654643661157432</v>
      </c>
      <c r="I3754" s="468">
        <v>10.810052407781473</v>
      </c>
    </row>
    <row r="3755" spans="1:9" ht="16.5" x14ac:dyDescent="0.3">
      <c r="A3755" s="477">
        <v>1516026.0348268298</v>
      </c>
      <c r="B3755" s="458">
        <v>3.7077749176569474E-2</v>
      </c>
      <c r="C3755" s="477">
        <v>7974148.9260396659</v>
      </c>
      <c r="D3755" s="458">
        <v>6.0407100161344207E-2</v>
      </c>
      <c r="E3755" s="477">
        <v>13720714.740903744</v>
      </c>
      <c r="F3755" s="458">
        <v>0.10457814711275248</v>
      </c>
      <c r="G3755" s="477">
        <v>77734397.615458205</v>
      </c>
      <c r="H3755" s="458">
        <v>0.27265972941307837</v>
      </c>
      <c r="I3755" s="468">
        <v>10.923032282519184</v>
      </c>
    </row>
    <row r="3756" spans="1:9" ht="16.5" x14ac:dyDescent="0.3">
      <c r="A3756" s="477">
        <v>7326317.8897761088</v>
      </c>
      <c r="B3756" s="458">
        <v>3.3092172994836799E-2</v>
      </c>
      <c r="C3756" s="477">
        <v>11484748.197468596</v>
      </c>
      <c r="D3756" s="458">
        <v>6.8982156979093601E-2</v>
      </c>
      <c r="E3756" s="477">
        <v>20546266.006044578</v>
      </c>
      <c r="F3756" s="458">
        <v>0.10741043456788968</v>
      </c>
      <c r="G3756" s="477">
        <v>89365070.367415875</v>
      </c>
      <c r="H3756" s="458">
        <v>0.27009459406534808</v>
      </c>
      <c r="I3756" s="468">
        <v>9.3984154824527106</v>
      </c>
    </row>
    <row r="3757" spans="1:9" ht="16.5" x14ac:dyDescent="0.3">
      <c r="A3757" s="477">
        <v>6646435.8883332806</v>
      </c>
      <c r="B3757" s="458">
        <v>4.530514850182743E-2</v>
      </c>
      <c r="C3757" s="477">
        <v>4669004.915384749</v>
      </c>
      <c r="D3757" s="458">
        <v>9.7517410843965813E-2</v>
      </c>
      <c r="E3757" s="477">
        <v>15817086.667045789</v>
      </c>
      <c r="F3757" s="458">
        <v>0.10934021451410136</v>
      </c>
      <c r="G3757" s="477">
        <v>96085467.2870294</v>
      </c>
      <c r="H3757" s="458">
        <v>0.26164173031566218</v>
      </c>
      <c r="I3757" s="468">
        <v>7.2553948421120831</v>
      </c>
    </row>
    <row r="3758" spans="1:9" ht="16.5" x14ac:dyDescent="0.3">
      <c r="A3758" s="477">
        <v>1838715.6401232136</v>
      </c>
      <c r="B3758" s="458">
        <v>4.6751073730579185E-2</v>
      </c>
      <c r="C3758" s="477">
        <v>10613790.002080264</v>
      </c>
      <c r="D3758" s="458">
        <v>7.2371203141814666E-2</v>
      </c>
      <c r="E3758" s="477">
        <v>14388239.474024836</v>
      </c>
      <c r="F3758" s="458">
        <v>0.10669102368259265</v>
      </c>
      <c r="G3758" s="477">
        <v>93156190.441824421</v>
      </c>
      <c r="H3758" s="458">
        <v>0.2736807227536886</v>
      </c>
      <c r="I3758" s="468">
        <v>10.174348874443668</v>
      </c>
    </row>
    <row r="3759" spans="1:9" ht="16.5" x14ac:dyDescent="0.3">
      <c r="A3759" s="477">
        <v>5031643.4279661179</v>
      </c>
      <c r="B3759" s="458">
        <v>1.8042861607852956E-2</v>
      </c>
      <c r="C3759" s="477">
        <v>9140265.2354716174</v>
      </c>
      <c r="D3759" s="458">
        <v>5.6625627993841743E-2</v>
      </c>
      <c r="E3759" s="477">
        <v>7955434.056476987</v>
      </c>
      <c r="F3759" s="458">
        <v>0.117670091383836</v>
      </c>
      <c r="G3759" s="477">
        <v>88389352.186116159</v>
      </c>
      <c r="H3759" s="458">
        <v>0.27154243180146631</v>
      </c>
      <c r="I3759" s="468">
        <v>8.4755606173470959</v>
      </c>
    </row>
    <row r="3760" spans="1:9" ht="16.5" x14ac:dyDescent="0.3">
      <c r="A3760" s="477">
        <v>4431276.0262595983</v>
      </c>
      <c r="B3760" s="458">
        <v>3.1040725401398683E-2</v>
      </c>
      <c r="C3760" s="477">
        <v>9397732.2719989698</v>
      </c>
      <c r="D3760" s="458">
        <v>6.2401414113750553E-2</v>
      </c>
      <c r="E3760" s="477">
        <v>14233081.082861517</v>
      </c>
      <c r="F3760" s="458">
        <v>0.11521144146408502</v>
      </c>
      <c r="G3760" s="477">
        <v>92656341.014200121</v>
      </c>
      <c r="H3760" s="458">
        <v>0.2413265349148348</v>
      </c>
      <c r="I3760" s="468">
        <v>2.7222267461636065</v>
      </c>
    </row>
    <row r="3761" spans="1:9" ht="16.5" x14ac:dyDescent="0.3">
      <c r="A3761" s="477">
        <v>7179305.1648053667</v>
      </c>
      <c r="B3761" s="458">
        <v>2.4395070267168473E-2</v>
      </c>
      <c r="C3761" s="477">
        <v>8716570.6437772159</v>
      </c>
      <c r="D3761" s="458">
        <v>5.6849500172574396E-2</v>
      </c>
      <c r="E3761" s="477">
        <v>16629501.113250235</v>
      </c>
      <c r="F3761" s="458">
        <v>0.11604784640629795</v>
      </c>
      <c r="G3761" s="477">
        <v>82454490.089650407</v>
      </c>
      <c r="H3761" s="458">
        <v>0.26800462969306826</v>
      </c>
      <c r="I3761" s="468">
        <v>9.0800909232124205</v>
      </c>
    </row>
    <row r="3762" spans="1:9" ht="16.5" x14ac:dyDescent="0.3">
      <c r="A3762" s="477">
        <v>5362779.768938438</v>
      </c>
      <c r="B3762" s="458">
        <v>5.6207250916125329E-2</v>
      </c>
      <c r="C3762" s="477">
        <v>11803425.928123912</v>
      </c>
      <c r="D3762" s="458">
        <v>6.3489002678245088E-2</v>
      </c>
      <c r="E3762" s="477">
        <v>15330097.601275817</v>
      </c>
      <c r="F3762" s="458">
        <v>0.11164685424484566</v>
      </c>
      <c r="G3762" s="477">
        <v>96234461.064432532</v>
      </c>
      <c r="H3762" s="458">
        <v>0.24822580562345187</v>
      </c>
      <c r="I3762" s="468">
        <v>11.292686709875085</v>
      </c>
    </row>
    <row r="3763" spans="1:9" ht="16.5" x14ac:dyDescent="0.3">
      <c r="A3763" s="477">
        <v>6485434.6873753797</v>
      </c>
      <c r="B3763" s="458">
        <v>6.7722893501987125E-2</v>
      </c>
      <c r="C3763" s="477">
        <v>5376161.0956532275</v>
      </c>
      <c r="D3763" s="458">
        <v>6.4276348638448333E-2</v>
      </c>
      <c r="E3763" s="477">
        <v>10971251.087575531</v>
      </c>
      <c r="F3763" s="458">
        <v>0.11340403140685384</v>
      </c>
      <c r="G3763" s="477">
        <v>84766071.503841907</v>
      </c>
      <c r="H3763" s="458">
        <v>0.25082959768295821</v>
      </c>
      <c r="I3763" s="468">
        <v>4.033772382290354</v>
      </c>
    </row>
    <row r="3764" spans="1:9" ht="16.5" x14ac:dyDescent="0.3">
      <c r="A3764" s="477">
        <v>2962097.6077677258</v>
      </c>
      <c r="B3764" s="458">
        <v>4.2630055252975918E-2</v>
      </c>
      <c r="C3764" s="477">
        <v>1220602.955202088</v>
      </c>
      <c r="D3764" s="458">
        <v>9.0187677488702267E-2</v>
      </c>
      <c r="E3764" s="477">
        <v>12692280.607318869</v>
      </c>
      <c r="F3764" s="458">
        <v>0.13665302888524566</v>
      </c>
      <c r="G3764" s="477">
        <v>75460135.910385549</v>
      </c>
      <c r="H3764" s="458">
        <v>0.2625458300505672</v>
      </c>
      <c r="I3764" s="468">
        <v>10.122644392128031</v>
      </c>
    </row>
    <row r="3765" spans="1:9" ht="16.5" x14ac:dyDescent="0.3">
      <c r="A3765" s="477">
        <v>5600962.8752735844</v>
      </c>
      <c r="B3765" s="458">
        <v>4.3820022593096475E-2</v>
      </c>
      <c r="C3765" s="477">
        <v>10789486.820772571</v>
      </c>
      <c r="D3765" s="458">
        <v>7.1322779407268166E-2</v>
      </c>
      <c r="E3765" s="477">
        <v>14305052.679862592</v>
      </c>
      <c r="F3765" s="458">
        <v>8.3696588819055284E-2</v>
      </c>
      <c r="G3765" s="477">
        <v>95014220.355784178</v>
      </c>
      <c r="H3765" s="458">
        <v>0.27536176856326655</v>
      </c>
      <c r="I3765" s="468">
        <v>7.1521961547911115</v>
      </c>
    </row>
    <row r="3766" spans="1:9" ht="16.5" x14ac:dyDescent="0.3">
      <c r="A3766" s="477">
        <v>5146524.1470804308</v>
      </c>
      <c r="B3766" s="458">
        <v>4.7785017053837642E-2</v>
      </c>
      <c r="C3766" s="477">
        <v>8050416.3862395659</v>
      </c>
      <c r="D3766" s="458">
        <v>3.8136764070520801E-2</v>
      </c>
      <c r="E3766" s="477">
        <v>11170246.657493493</v>
      </c>
      <c r="F3766" s="458">
        <v>0.12684106178068322</v>
      </c>
      <c r="G3766" s="477">
        <v>88113769.05920817</v>
      </c>
      <c r="H3766" s="458">
        <v>0.27327186825139416</v>
      </c>
      <c r="I3766" s="468">
        <v>9.2168633163692313</v>
      </c>
    </row>
    <row r="3767" spans="1:9" ht="16.5" x14ac:dyDescent="0.3">
      <c r="A3767" s="477">
        <v>4595165.0058419257</v>
      </c>
      <c r="B3767" s="458">
        <v>4.0518082554658275E-2</v>
      </c>
      <c r="C3767" s="477">
        <v>11763044.632114217</v>
      </c>
      <c r="D3767" s="458">
        <v>6.8005637612845504E-2</v>
      </c>
      <c r="E3767" s="477">
        <v>12071466.250164833</v>
      </c>
      <c r="F3767" s="458">
        <v>9.6046038333192474E-2</v>
      </c>
      <c r="G3767" s="477">
        <v>85966983.308699325</v>
      </c>
      <c r="H3767" s="458">
        <v>0.26443111412872145</v>
      </c>
      <c r="I3767" s="468">
        <v>4.7999011654244059</v>
      </c>
    </row>
    <row r="3768" spans="1:9" ht="16.5" x14ac:dyDescent="0.3">
      <c r="A3768" s="477">
        <v>4273774.758535794</v>
      </c>
      <c r="B3768" s="458">
        <v>3.9511758097486416E-2</v>
      </c>
      <c r="C3768" s="477">
        <v>7428018.4098584335</v>
      </c>
      <c r="D3768" s="458">
        <v>7.0383561681380824E-2</v>
      </c>
      <c r="E3768" s="477">
        <v>22395601.412722051</v>
      </c>
      <c r="F3768" s="458">
        <v>9.85430959122926E-2</v>
      </c>
      <c r="G3768" s="477">
        <v>91974262.204985648</v>
      </c>
      <c r="H3768" s="458">
        <v>0.27279479136233653</v>
      </c>
      <c r="I3768" s="468">
        <v>18.088284481555608</v>
      </c>
    </row>
    <row r="3769" spans="1:9" ht="16.5" x14ac:dyDescent="0.3">
      <c r="A3769" s="477">
        <v>3615893.046483614</v>
      </c>
      <c r="B3769" s="458">
        <v>4.0890229720602855E-2</v>
      </c>
      <c r="C3769" s="477">
        <v>6629326.5897585135</v>
      </c>
      <c r="D3769" s="458">
        <v>7.0855160008080009E-2</v>
      </c>
      <c r="E3769" s="477">
        <v>23586744.519876216</v>
      </c>
      <c r="F3769" s="458">
        <v>0.1346632734772808</v>
      </c>
      <c r="G3769" s="477">
        <v>85424750.306632549</v>
      </c>
      <c r="H3769" s="458">
        <v>0.26927900908940128</v>
      </c>
      <c r="I3769" s="468">
        <v>6.4399697094574924</v>
      </c>
    </row>
    <row r="3770" spans="1:9" ht="16.5" x14ac:dyDescent="0.3">
      <c r="A3770" s="477">
        <v>5577210.2003173418</v>
      </c>
      <c r="B3770" s="458">
        <v>4.5210812444831827E-2</v>
      </c>
      <c r="C3770" s="477">
        <v>14483825.616515132</v>
      </c>
      <c r="D3770" s="458">
        <v>3.5393880313996151E-2</v>
      </c>
      <c r="E3770" s="477">
        <v>27868789.860380001</v>
      </c>
      <c r="F3770" s="458">
        <v>0.11896452507387045</v>
      </c>
      <c r="G3770" s="477">
        <v>95994536.043214098</v>
      </c>
      <c r="H3770" s="458">
        <v>0.25522071430566373</v>
      </c>
      <c r="I3770" s="468">
        <v>14.691437793995579</v>
      </c>
    </row>
    <row r="3771" spans="1:9" ht="16.5" x14ac:dyDescent="0.3">
      <c r="A3771" s="477">
        <v>7021986.8356395075</v>
      </c>
      <c r="B3771" s="458">
        <v>5.9039920439377447E-2</v>
      </c>
      <c r="C3771" s="477">
        <v>12133542.105818488</v>
      </c>
      <c r="D3771" s="458">
        <v>5.6241690090113261E-2</v>
      </c>
      <c r="E3771" s="477">
        <v>13048485.205396276</v>
      </c>
      <c r="F3771" s="458">
        <v>0.10335965840089001</v>
      </c>
      <c r="G3771" s="477">
        <v>81197542.021502182</v>
      </c>
      <c r="H3771" s="458">
        <v>0.28096144057664518</v>
      </c>
      <c r="I3771" s="468">
        <v>6.4235180695879848</v>
      </c>
    </row>
    <row r="3772" spans="1:9" ht="16.5" x14ac:dyDescent="0.3">
      <c r="A3772" s="477">
        <v>6622038.1397904921</v>
      </c>
      <c r="B3772" s="458">
        <v>4.0590832915547326E-2</v>
      </c>
      <c r="C3772" s="477">
        <v>7437168.5912586553</v>
      </c>
      <c r="D3772" s="458">
        <v>6.3897448629050446E-2</v>
      </c>
      <c r="E3772" s="477">
        <v>15869868.39471375</v>
      </c>
      <c r="F3772" s="458">
        <v>9.7536566045497874E-2</v>
      </c>
      <c r="G3772" s="477">
        <v>89352904.02018939</v>
      </c>
      <c r="H3772" s="458">
        <v>0.25086164685728574</v>
      </c>
      <c r="I3772" s="468">
        <v>11.957820577860046</v>
      </c>
    </row>
    <row r="3773" spans="1:9" ht="16.5" x14ac:dyDescent="0.3">
      <c r="A3773" s="477">
        <v>3987897.6624465669</v>
      </c>
      <c r="B3773" s="458">
        <v>3.6703949284681459E-2</v>
      </c>
      <c r="C3773" s="477">
        <v>856012.98916484567</v>
      </c>
      <c r="D3773" s="458">
        <v>8.0684607914497164E-2</v>
      </c>
      <c r="E3773" s="477">
        <v>14162013.214520318</v>
      </c>
      <c r="F3773" s="458">
        <v>0.10493503875285337</v>
      </c>
      <c r="G3773" s="477">
        <v>90560953.798665494</v>
      </c>
      <c r="H3773" s="458">
        <v>0.25404065408673926</v>
      </c>
      <c r="I3773" s="468">
        <v>7.6268372043767716</v>
      </c>
    </row>
    <row r="3774" spans="1:9" ht="16.5" x14ac:dyDescent="0.3">
      <c r="A3774" s="477">
        <v>6268884.6064012283</v>
      </c>
      <c r="B3774" s="458">
        <v>4.6202374242120703E-2</v>
      </c>
      <c r="C3774" s="477">
        <v>5852681.0934398174</v>
      </c>
      <c r="D3774" s="458">
        <v>7.3732809845738601E-2</v>
      </c>
      <c r="E3774" s="477">
        <v>5647057.758796501</v>
      </c>
      <c r="F3774" s="458">
        <v>9.6572335560591416E-2</v>
      </c>
      <c r="G3774" s="477">
        <v>96965314.827691585</v>
      </c>
      <c r="H3774" s="458">
        <v>0.28014209723948191</v>
      </c>
      <c r="I3774" s="468">
        <v>5.7293836043652435</v>
      </c>
    </row>
    <row r="3775" spans="1:9" ht="16.5" x14ac:dyDescent="0.3">
      <c r="A3775" s="477">
        <v>6074710.5871175416</v>
      </c>
      <c r="B3775" s="458">
        <v>1.0965999199805898E-2</v>
      </c>
      <c r="C3775" s="477">
        <v>16692536.252820352</v>
      </c>
      <c r="D3775" s="458">
        <v>8.9967249456049947E-2</v>
      </c>
      <c r="E3775" s="477">
        <v>23838237.855026502</v>
      </c>
      <c r="F3775" s="458">
        <v>0.13877371824066942</v>
      </c>
      <c r="G3775" s="477">
        <v>96437319.790869683</v>
      </c>
      <c r="H3775" s="458">
        <v>0.25494585707795525</v>
      </c>
      <c r="I3775" s="468">
        <v>8.0050313705198004</v>
      </c>
    </row>
    <row r="3776" spans="1:9" ht="16.5" x14ac:dyDescent="0.3">
      <c r="A3776" s="477">
        <v>8000074.2664377019</v>
      </c>
      <c r="B3776" s="458">
        <v>5.7575741634124045E-2</v>
      </c>
      <c r="C3776" s="477">
        <v>5545795.540933351</v>
      </c>
      <c r="D3776" s="458">
        <v>7.4405123242578197E-2</v>
      </c>
      <c r="E3776" s="477">
        <v>21704687.862634249</v>
      </c>
      <c r="F3776" s="458">
        <v>0.10785185634512207</v>
      </c>
      <c r="G3776" s="477">
        <v>85632988.09330681</v>
      </c>
      <c r="H3776" s="458">
        <v>0.27344058275760297</v>
      </c>
      <c r="I3776" s="468">
        <v>9.2180777991108318</v>
      </c>
    </row>
    <row r="3777" spans="1:9" ht="16.5" x14ac:dyDescent="0.3">
      <c r="A3777" s="477">
        <v>2054283.9121285044</v>
      </c>
      <c r="B3777" s="458">
        <v>1.0614270519947899E-2</v>
      </c>
      <c r="C3777" s="477">
        <v>12603524.554275475</v>
      </c>
      <c r="D3777" s="458">
        <v>4.7851935225500908E-2</v>
      </c>
      <c r="E3777" s="477">
        <v>17031478.827406846</v>
      </c>
      <c r="F3777" s="458">
        <v>0.10597366905871408</v>
      </c>
      <c r="G3777" s="477">
        <v>85443315.467980623</v>
      </c>
      <c r="H3777" s="458">
        <v>0.27628085237310085</v>
      </c>
      <c r="I3777" s="468">
        <v>7.6796023282821517</v>
      </c>
    </row>
    <row r="3778" spans="1:9" ht="16.5" x14ac:dyDescent="0.3">
      <c r="A3778" s="477">
        <v>-263494.29282626195</v>
      </c>
      <c r="B3778" s="458">
        <v>4.577160199200847E-2</v>
      </c>
      <c r="C3778" s="477">
        <v>4362185.5673197322</v>
      </c>
      <c r="D3778" s="458">
        <v>7.2559327455537836E-2</v>
      </c>
      <c r="E3778" s="477">
        <v>17185026.53656926</v>
      </c>
      <c r="F3778" s="458">
        <v>9.8518912431767358E-2</v>
      </c>
      <c r="G3778" s="477">
        <v>79785835.925027952</v>
      </c>
      <c r="H3778" s="458">
        <v>0.26291839631957559</v>
      </c>
      <c r="I3778" s="468">
        <v>1.7616049390386301</v>
      </c>
    </row>
    <row r="3779" spans="1:9" ht="16.5" x14ac:dyDescent="0.3">
      <c r="A3779" s="477">
        <v>4599550.5976003427</v>
      </c>
      <c r="B3779" s="458">
        <v>2.6743169789872345E-2</v>
      </c>
      <c r="C3779" s="477">
        <v>6193726.2564828889</v>
      </c>
      <c r="D3779" s="458">
        <v>8.6043764382042864E-2</v>
      </c>
      <c r="E3779" s="477">
        <v>23635224.0635598</v>
      </c>
      <c r="F3779" s="458">
        <v>0.11445985126452873</v>
      </c>
      <c r="G3779" s="477">
        <v>78136010.035034046</v>
      </c>
      <c r="H3779" s="458">
        <v>0.2549258415857556</v>
      </c>
      <c r="I3779" s="468">
        <v>10.454882913767664</v>
      </c>
    </row>
    <row r="3780" spans="1:9" ht="16.5" x14ac:dyDescent="0.3">
      <c r="A3780" s="477">
        <v>8818623.9211354274</v>
      </c>
      <c r="B3780" s="458">
        <v>4.1007752465123337E-2</v>
      </c>
      <c r="C3780" s="477">
        <v>8619709.0838370584</v>
      </c>
      <c r="D3780" s="458">
        <v>6.6898120907055381E-2</v>
      </c>
      <c r="E3780" s="477">
        <v>13269757.78530488</v>
      </c>
      <c r="F3780" s="458">
        <v>0.1117540837294666</v>
      </c>
      <c r="G3780" s="477">
        <v>101448184.373356</v>
      </c>
      <c r="H3780" s="458">
        <v>0.27248083175886451</v>
      </c>
      <c r="I3780" s="468">
        <v>11.447762631034704</v>
      </c>
    </row>
    <row r="3781" spans="1:9" ht="16.5" x14ac:dyDescent="0.3">
      <c r="A3781" s="477">
        <v>6761876.377257633</v>
      </c>
      <c r="B3781" s="458">
        <v>3.910126196863728E-2</v>
      </c>
      <c r="C3781" s="477">
        <v>8453181.8550834451</v>
      </c>
      <c r="D3781" s="458">
        <v>6.6225438091893407E-2</v>
      </c>
      <c r="E3781" s="477">
        <v>17057212.410088308</v>
      </c>
      <c r="F3781" s="458">
        <v>0.11050581551874838</v>
      </c>
      <c r="G3781" s="477">
        <v>84347918.878571138</v>
      </c>
      <c r="H3781" s="458">
        <v>0.28834073618202916</v>
      </c>
      <c r="I3781" s="468">
        <v>7.7373674242992587</v>
      </c>
    </row>
    <row r="3782" spans="1:9" ht="16.5" x14ac:dyDescent="0.3">
      <c r="A3782" s="477">
        <v>2215225.4374065865</v>
      </c>
      <c r="B3782" s="458">
        <v>5.289574373546313E-2</v>
      </c>
      <c r="C3782" s="477">
        <v>6311634.0418477533</v>
      </c>
      <c r="D3782" s="458">
        <v>4.576637778194903E-2</v>
      </c>
      <c r="E3782" s="477">
        <v>10092223.488028441</v>
      </c>
      <c r="F3782" s="458">
        <v>0.10349412809075953</v>
      </c>
      <c r="G3782" s="477">
        <v>88255686.391459554</v>
      </c>
      <c r="H3782" s="458">
        <v>0.26166914840124589</v>
      </c>
      <c r="I3782" s="468">
        <v>7.7902713037619815</v>
      </c>
    </row>
    <row r="3783" spans="1:9" ht="16.5" x14ac:dyDescent="0.3">
      <c r="A3783" s="477">
        <v>1549665.973787368</v>
      </c>
      <c r="B3783" s="458">
        <v>4.771596232624975E-2</v>
      </c>
      <c r="C3783" s="477">
        <v>11655721.59482309</v>
      </c>
      <c r="D3783" s="458">
        <v>6.4984957912896935E-2</v>
      </c>
      <c r="E3783" s="477">
        <v>7600347.1919300379</v>
      </c>
      <c r="F3783" s="458">
        <v>0.10506288175049949</v>
      </c>
      <c r="G3783" s="477">
        <v>96399181.243482456</v>
      </c>
      <c r="H3783" s="458">
        <v>0.26402993878769188</v>
      </c>
      <c r="I3783" s="468">
        <v>12.742445318547906</v>
      </c>
    </row>
    <row r="3784" spans="1:9" ht="16.5" x14ac:dyDescent="0.3">
      <c r="A3784" s="477">
        <v>817224.852077435</v>
      </c>
      <c r="B3784" s="458">
        <v>2.6397460313973387E-2</v>
      </c>
      <c r="C3784" s="477">
        <v>14270002.392865086</v>
      </c>
      <c r="D3784" s="458">
        <v>5.0118648969974089E-2</v>
      </c>
      <c r="E3784" s="477">
        <v>17499758.143688511</v>
      </c>
      <c r="F3784" s="458">
        <v>0.11323168692290264</v>
      </c>
      <c r="G3784" s="477">
        <v>78044346.958938763</v>
      </c>
      <c r="H3784" s="458">
        <v>0.26981102407216961</v>
      </c>
      <c r="I3784" s="468">
        <v>7.8569723436088861</v>
      </c>
    </row>
    <row r="3785" spans="1:9" ht="16.5" x14ac:dyDescent="0.3">
      <c r="A3785" s="477">
        <v>-390495.5631609112</v>
      </c>
      <c r="B3785" s="458">
        <v>5.9501357938473998E-2</v>
      </c>
      <c r="C3785" s="477">
        <v>8844446.6042868365</v>
      </c>
      <c r="D3785" s="458">
        <v>6.081410322605163E-2</v>
      </c>
      <c r="E3785" s="477">
        <v>20546081.187318571</v>
      </c>
      <c r="F3785" s="458">
        <v>0.11459485333036579</v>
      </c>
      <c r="G3785" s="477">
        <v>98721362.343505234</v>
      </c>
      <c r="H3785" s="458">
        <v>0.27224087427075117</v>
      </c>
      <c r="I3785" s="468">
        <v>9.917247348225251</v>
      </c>
    </row>
    <row r="3786" spans="1:9" ht="16.5" x14ac:dyDescent="0.3">
      <c r="A3786" s="477">
        <v>5176333.9467387944</v>
      </c>
      <c r="B3786" s="458">
        <v>4.6744950906442151E-2</v>
      </c>
      <c r="C3786" s="477">
        <v>10098948.157309121</v>
      </c>
      <c r="D3786" s="458">
        <v>8.1195356098689997E-2</v>
      </c>
      <c r="E3786" s="477">
        <v>10654978.505765663</v>
      </c>
      <c r="F3786" s="458">
        <v>0.12925889099907484</v>
      </c>
      <c r="G3786" s="477">
        <v>101406715.98181939</v>
      </c>
      <c r="H3786" s="458">
        <v>0.2614672641570106</v>
      </c>
      <c r="I3786" s="468">
        <v>6.6228845007351902</v>
      </c>
    </row>
    <row r="3787" spans="1:9" ht="16.5" x14ac:dyDescent="0.3">
      <c r="A3787" s="477">
        <v>5764123.3245333778</v>
      </c>
      <c r="B3787" s="458">
        <v>2.99703812224974E-2</v>
      </c>
      <c r="C3787" s="477">
        <v>9214526.0930412337</v>
      </c>
      <c r="D3787" s="458">
        <v>7.3467751695563743E-2</v>
      </c>
      <c r="E3787" s="477">
        <v>18935986.479132451</v>
      </c>
      <c r="F3787" s="458">
        <v>9.5215906556571417E-2</v>
      </c>
      <c r="G3787" s="477">
        <v>84182632.38507317</v>
      </c>
      <c r="H3787" s="458">
        <v>0.27325233834053031</v>
      </c>
      <c r="I3787" s="468">
        <v>11.219216935116687</v>
      </c>
    </row>
    <row r="3788" spans="1:9" ht="16.5" x14ac:dyDescent="0.3">
      <c r="A3788" s="477">
        <v>4928706.0497044567</v>
      </c>
      <c r="B3788" s="458">
        <v>1.3455245497286494E-2</v>
      </c>
      <c r="C3788" s="477">
        <v>7471971.3187989211</v>
      </c>
      <c r="D3788" s="458">
        <v>7.4789397533584046E-2</v>
      </c>
      <c r="E3788" s="477">
        <v>10545079.75158792</v>
      </c>
      <c r="F3788" s="458">
        <v>9.584400281982397E-2</v>
      </c>
      <c r="G3788" s="477">
        <v>78067223.93906647</v>
      </c>
      <c r="H3788" s="458">
        <v>0.26110109460946185</v>
      </c>
      <c r="I3788" s="468">
        <v>9.4035386457168819</v>
      </c>
    </row>
    <row r="3789" spans="1:9" ht="16.5" x14ac:dyDescent="0.3">
      <c r="A3789" s="477">
        <v>5154781.6974549042</v>
      </c>
      <c r="B3789" s="458">
        <v>4.0866540220094505E-2</v>
      </c>
      <c r="C3789" s="477">
        <v>10754095.483891338</v>
      </c>
      <c r="D3789" s="458">
        <v>6.6177578123229441E-2</v>
      </c>
      <c r="E3789" s="477">
        <v>16713936.518026756</v>
      </c>
      <c r="F3789" s="458">
        <v>9.2389852524752403E-2</v>
      </c>
      <c r="G3789" s="477">
        <v>103462613.86045653</v>
      </c>
      <c r="H3789" s="458">
        <v>0.26058317638461226</v>
      </c>
      <c r="I3789" s="468">
        <v>10.645981381683846</v>
      </c>
    </row>
    <row r="3790" spans="1:9" ht="16.5" x14ac:dyDescent="0.3">
      <c r="A3790" s="477">
        <v>5664573.0572065124</v>
      </c>
      <c r="B3790" s="458">
        <v>2.9459527237712502E-2</v>
      </c>
      <c r="C3790" s="477">
        <v>10310881.821150303</v>
      </c>
      <c r="D3790" s="458">
        <v>4.8711709373859824E-2</v>
      </c>
      <c r="E3790" s="477">
        <v>14768441.710806437</v>
      </c>
      <c r="F3790" s="458">
        <v>0.10449341138107759</v>
      </c>
      <c r="G3790" s="477">
        <v>101543759.03232461</v>
      </c>
      <c r="H3790" s="458">
        <v>0.27743561231428271</v>
      </c>
      <c r="I3790" s="468">
        <v>8.3567684638097699</v>
      </c>
    </row>
    <row r="3791" spans="1:9" ht="16.5" x14ac:dyDescent="0.3">
      <c r="A3791" s="477">
        <v>7700920.4317490319</v>
      </c>
      <c r="B3791" s="458">
        <v>3.736056972480406E-2</v>
      </c>
      <c r="C3791" s="477">
        <v>10454647.563591368</v>
      </c>
      <c r="D3791" s="458">
        <v>8.2335868568513826E-2</v>
      </c>
      <c r="E3791" s="477">
        <v>5228194.0075347517</v>
      </c>
      <c r="F3791" s="458">
        <v>0.11719553307518682</v>
      </c>
      <c r="G3791" s="477">
        <v>86268023.280428678</v>
      </c>
      <c r="H3791" s="458">
        <v>0.26034547556156373</v>
      </c>
      <c r="I3791" s="468">
        <v>12.896025116035668</v>
      </c>
    </row>
    <row r="3792" spans="1:9" ht="16.5" x14ac:dyDescent="0.3">
      <c r="A3792" s="477">
        <v>2605313.0611992544</v>
      </c>
      <c r="B3792" s="458">
        <v>4.0455540036878013E-2</v>
      </c>
      <c r="C3792" s="477">
        <v>14528056.173870949</v>
      </c>
      <c r="D3792" s="458">
        <v>5.1150772288291346E-2</v>
      </c>
      <c r="E3792" s="477">
        <v>21342771.962926328</v>
      </c>
      <c r="F3792" s="458">
        <v>0.11369572365816838</v>
      </c>
      <c r="G3792" s="477">
        <v>85851914.891610578</v>
      </c>
      <c r="H3792" s="458">
        <v>0.27084973664430234</v>
      </c>
      <c r="I3792" s="468">
        <v>13.045698000732816</v>
      </c>
    </row>
    <row r="3793" spans="1:9" ht="16.5" x14ac:dyDescent="0.3">
      <c r="A3793" s="477">
        <v>3457390.496832951</v>
      </c>
      <c r="B3793" s="458">
        <v>4.347007803142855E-2</v>
      </c>
      <c r="C3793" s="477">
        <v>5824778.6448292322</v>
      </c>
      <c r="D3793" s="458">
        <v>5.5791248477771394E-2</v>
      </c>
      <c r="E3793" s="477">
        <v>7577927.9650902385</v>
      </c>
      <c r="F3793" s="458">
        <v>8.8700517484015196E-2</v>
      </c>
      <c r="G3793" s="477">
        <v>89171149.134555325</v>
      </c>
      <c r="H3793" s="458">
        <v>0.26562318647278915</v>
      </c>
      <c r="I3793" s="468">
        <v>9.0702182715708535</v>
      </c>
    </row>
    <row r="3794" spans="1:9" ht="16.5" x14ac:dyDescent="0.3">
      <c r="A3794" s="477">
        <v>2463083.7316913907</v>
      </c>
      <c r="B3794" s="458">
        <v>3.1423452675896524E-2</v>
      </c>
      <c r="C3794" s="477">
        <v>10298884.140997363</v>
      </c>
      <c r="D3794" s="458">
        <v>7.8139733025134772E-2</v>
      </c>
      <c r="E3794" s="477">
        <v>15731956.668238485</v>
      </c>
      <c r="F3794" s="458">
        <v>0.10856471344548013</v>
      </c>
      <c r="G3794" s="477">
        <v>85453426.451236144</v>
      </c>
      <c r="H3794" s="458">
        <v>0.2632564537126314</v>
      </c>
      <c r="I3794" s="468">
        <v>12.940300510315323</v>
      </c>
    </row>
    <row r="3795" spans="1:9" ht="16.5" x14ac:dyDescent="0.3">
      <c r="A3795" s="477">
        <v>7962944.7853966486</v>
      </c>
      <c r="B3795" s="458">
        <v>4.5925314024624297E-2</v>
      </c>
      <c r="C3795" s="477">
        <v>6293543.1529984372</v>
      </c>
      <c r="D3795" s="458">
        <v>7.3661540283599392E-2</v>
      </c>
      <c r="E3795" s="477">
        <v>26571145.933050994</v>
      </c>
      <c r="F3795" s="458">
        <v>0.10644025654030331</v>
      </c>
      <c r="G3795" s="477">
        <v>88803937.756430194</v>
      </c>
      <c r="H3795" s="458">
        <v>0.28891834188812671</v>
      </c>
      <c r="I3795" s="468">
        <v>4.1094785321142941</v>
      </c>
    </row>
    <row r="3796" spans="1:9" ht="16.5" x14ac:dyDescent="0.3">
      <c r="A3796" s="477">
        <v>8134931.6645034961</v>
      </c>
      <c r="B3796" s="458">
        <v>4.0638839772498825E-2</v>
      </c>
      <c r="C3796" s="477">
        <v>10181956.810395341</v>
      </c>
      <c r="D3796" s="458">
        <v>8.2425954734296925E-2</v>
      </c>
      <c r="E3796" s="477">
        <v>10197828.087937931</v>
      </c>
      <c r="F3796" s="458">
        <v>0.12821089955504861</v>
      </c>
      <c r="G3796" s="477">
        <v>85950816.849502906</v>
      </c>
      <c r="H3796" s="458">
        <v>0.24675050799085341</v>
      </c>
      <c r="I3796" s="468">
        <v>8.4802184623575734</v>
      </c>
    </row>
    <row r="3797" spans="1:9" ht="16.5" x14ac:dyDescent="0.3">
      <c r="A3797" s="477">
        <v>8162725.9143001288</v>
      </c>
      <c r="B3797" s="458">
        <v>5.0931975178106104E-2</v>
      </c>
      <c r="C3797" s="477">
        <v>17245049.623467516</v>
      </c>
      <c r="D3797" s="458">
        <v>5.5614492703095708E-2</v>
      </c>
      <c r="E3797" s="477">
        <v>11922067.627571084</v>
      </c>
      <c r="F3797" s="458">
        <v>0.11715678710996635</v>
      </c>
      <c r="G3797" s="477">
        <v>87226461.729806527</v>
      </c>
      <c r="H3797" s="458">
        <v>0.2619259534914129</v>
      </c>
      <c r="I3797" s="468">
        <v>-1.4394473142732522</v>
      </c>
    </row>
    <row r="3798" spans="1:9" ht="16.5" x14ac:dyDescent="0.3">
      <c r="A3798" s="477">
        <v>-1042661.296111436</v>
      </c>
      <c r="B3798" s="458">
        <v>4.862246920118185E-2</v>
      </c>
      <c r="C3798" s="477">
        <v>10604645.191210987</v>
      </c>
      <c r="D3798" s="458">
        <v>6.7574747271096802E-2</v>
      </c>
      <c r="E3798" s="477">
        <v>15664283.073499626</v>
      </c>
      <c r="F3798" s="458">
        <v>9.6525087404830012E-2</v>
      </c>
      <c r="G3798" s="477">
        <v>104640304.23500486</v>
      </c>
      <c r="H3798" s="458">
        <v>0.26312876332862789</v>
      </c>
      <c r="I3798" s="468">
        <v>11.343883207364998</v>
      </c>
    </row>
    <row r="3799" spans="1:9" ht="16.5" x14ac:dyDescent="0.3">
      <c r="A3799" s="477">
        <v>8229831.3099321816</v>
      </c>
      <c r="B3799" s="458">
        <v>1.7146761286730428E-2</v>
      </c>
      <c r="C3799" s="477">
        <v>2215824.9529364808</v>
      </c>
      <c r="D3799" s="458">
        <v>7.2999523681170908E-2</v>
      </c>
      <c r="E3799" s="477">
        <v>12893596.937930528</v>
      </c>
      <c r="F3799" s="458">
        <v>0.10186305615987479</v>
      </c>
      <c r="G3799" s="477">
        <v>91061796.087252319</v>
      </c>
      <c r="H3799" s="458">
        <v>0.28212093359747281</v>
      </c>
      <c r="I3799" s="468">
        <v>9.3733069981480561</v>
      </c>
    </row>
    <row r="3800" spans="1:9" ht="16.5" x14ac:dyDescent="0.3">
      <c r="A3800" s="477">
        <v>1566108.6455105387</v>
      </c>
      <c r="B3800" s="458">
        <v>2.798227824900712E-2</v>
      </c>
      <c r="C3800" s="477">
        <v>6626607.9061884321</v>
      </c>
      <c r="D3800" s="458">
        <v>9.117303971569557E-2</v>
      </c>
      <c r="E3800" s="477">
        <v>19322604.358833704</v>
      </c>
      <c r="F3800" s="458">
        <v>0.1202363244416762</v>
      </c>
      <c r="G3800" s="477">
        <v>108906379.26532294</v>
      </c>
      <c r="H3800" s="458">
        <v>0.25464301599430383</v>
      </c>
      <c r="I3800" s="468">
        <v>6.3042916222538281</v>
      </c>
    </row>
    <row r="3801" spans="1:9" ht="16.5" x14ac:dyDescent="0.3">
      <c r="A3801" s="477">
        <v>4267357.6384153245</v>
      </c>
      <c r="B3801" s="458">
        <v>1.5003873059171724E-2</v>
      </c>
      <c r="C3801" s="477">
        <v>7486820.8214448402</v>
      </c>
      <c r="D3801" s="458">
        <v>6.8119878984067572E-2</v>
      </c>
      <c r="E3801" s="477">
        <v>17194869.656891208</v>
      </c>
      <c r="F3801" s="458">
        <v>9.997048071481629E-2</v>
      </c>
      <c r="G3801" s="477">
        <v>85380813.791702643</v>
      </c>
      <c r="H3801" s="458">
        <v>0.26418651137184779</v>
      </c>
      <c r="I3801" s="468">
        <v>8.3195141083232613</v>
      </c>
    </row>
    <row r="3802" spans="1:9" ht="16.5" x14ac:dyDescent="0.3">
      <c r="A3802" s="477">
        <v>6035320.9681606889</v>
      </c>
      <c r="B3802" s="458">
        <v>5.3644227541729261E-2</v>
      </c>
      <c r="C3802" s="477">
        <v>8577839.2684161682</v>
      </c>
      <c r="D3802" s="458">
        <v>0.10210941162485598</v>
      </c>
      <c r="E3802" s="477">
        <v>12427627.795281582</v>
      </c>
      <c r="F3802" s="458">
        <v>0.10536394136487148</v>
      </c>
      <c r="G3802" s="477">
        <v>82350878.351778001</v>
      </c>
      <c r="H3802" s="458">
        <v>0.27690731035448124</v>
      </c>
      <c r="I3802" s="468">
        <v>8.2725329288828569</v>
      </c>
    </row>
    <row r="3803" spans="1:9" ht="16.5" x14ac:dyDescent="0.3">
      <c r="A3803" s="477">
        <v>3783161.5592424222</v>
      </c>
      <c r="B3803" s="458">
        <v>5.2173828225343666E-2</v>
      </c>
      <c r="C3803" s="477">
        <v>11265521.426980171</v>
      </c>
      <c r="D3803" s="458">
        <v>6.8417899949448913E-2</v>
      </c>
      <c r="E3803" s="477">
        <v>15519862.851069419</v>
      </c>
      <c r="F3803" s="458">
        <v>0.10340290494929727</v>
      </c>
      <c r="G3803" s="477">
        <v>84106568.963264421</v>
      </c>
      <c r="H3803" s="458">
        <v>0.29946879784272196</v>
      </c>
      <c r="I3803" s="468">
        <v>9.6970318314375437</v>
      </c>
    </row>
    <row r="3804" spans="1:9" ht="16.5" x14ac:dyDescent="0.3">
      <c r="A3804" s="477">
        <v>3997705.2197738276</v>
      </c>
      <c r="B3804" s="458">
        <v>2.8804321638457253E-2</v>
      </c>
      <c r="C3804" s="477">
        <v>10657220.715239072</v>
      </c>
      <c r="D3804" s="458">
        <v>7.5329821064058278E-2</v>
      </c>
      <c r="E3804" s="477">
        <v>17038509.049495377</v>
      </c>
      <c r="F3804" s="458">
        <v>0.10018287856096197</v>
      </c>
      <c r="G3804" s="477">
        <v>89585156.660311133</v>
      </c>
      <c r="H3804" s="458">
        <v>0.2677288012508241</v>
      </c>
      <c r="I3804" s="468">
        <v>4.6555070633344862</v>
      </c>
    </row>
    <row r="3805" spans="1:9" ht="16.5" x14ac:dyDescent="0.3">
      <c r="A3805" s="477">
        <v>5004108.250462018</v>
      </c>
      <c r="B3805" s="458">
        <v>4.3975480118619181E-2</v>
      </c>
      <c r="C3805" s="477">
        <v>10034148.307106098</v>
      </c>
      <c r="D3805" s="458">
        <v>8.2403178867647142E-2</v>
      </c>
      <c r="E3805" s="477">
        <v>9711204.5318091102</v>
      </c>
      <c r="F3805" s="458">
        <v>0.11544631267073213</v>
      </c>
      <c r="G3805" s="477">
        <v>94466221.139439538</v>
      </c>
      <c r="H3805" s="458">
        <v>0.2742486403328972</v>
      </c>
      <c r="I3805" s="468">
        <v>4.4252118560182332</v>
      </c>
    </row>
    <row r="3806" spans="1:9" ht="16.5" x14ac:dyDescent="0.3">
      <c r="A3806" s="477">
        <v>11963593.707532721</v>
      </c>
      <c r="B3806" s="458">
        <v>4.3396844990872818E-2</v>
      </c>
      <c r="C3806" s="477">
        <v>7169543.2170684813</v>
      </c>
      <c r="D3806" s="458">
        <v>7.8801722588143441E-2</v>
      </c>
      <c r="E3806" s="477">
        <v>16967893.01114713</v>
      </c>
      <c r="F3806" s="458">
        <v>0.11119634102256448</v>
      </c>
      <c r="G3806" s="477">
        <v>94165418.619997218</v>
      </c>
      <c r="H3806" s="458">
        <v>0.25808861526995774</v>
      </c>
      <c r="I3806" s="468">
        <v>15.005314909360983</v>
      </c>
    </row>
    <row r="3807" spans="1:9" ht="16.5" x14ac:dyDescent="0.3">
      <c r="A3807" s="477">
        <v>6134997.0473337062</v>
      </c>
      <c r="B3807" s="458">
        <v>4.1951003667928033E-2</v>
      </c>
      <c r="C3807" s="477">
        <v>3603278.4100182084</v>
      </c>
      <c r="D3807" s="458">
        <v>4.8954582285574366E-2</v>
      </c>
      <c r="E3807" s="477">
        <v>24790397.57664435</v>
      </c>
      <c r="F3807" s="458">
        <v>0.10880987442977785</v>
      </c>
      <c r="G3807" s="477">
        <v>78951807.062085629</v>
      </c>
      <c r="H3807" s="458">
        <v>0.27780713370247589</v>
      </c>
      <c r="I3807" s="468">
        <v>11.54801819873061</v>
      </c>
    </row>
    <row r="3808" spans="1:9" ht="16.5" x14ac:dyDescent="0.3">
      <c r="A3808" s="477">
        <v>3264005.1466474952</v>
      </c>
      <c r="B3808" s="458">
        <v>2.0821522914080237E-2</v>
      </c>
      <c r="C3808" s="477">
        <v>10228935.156500153</v>
      </c>
      <c r="D3808" s="458">
        <v>5.4670860714021163E-2</v>
      </c>
      <c r="E3808" s="477">
        <v>12417333.515764551</v>
      </c>
      <c r="F3808" s="458">
        <v>9.7823128761663325E-2</v>
      </c>
      <c r="G3808" s="477">
        <v>85657371.476029873</v>
      </c>
      <c r="H3808" s="458">
        <v>0.25561153961604965</v>
      </c>
      <c r="I3808" s="468">
        <v>10.627459548115558</v>
      </c>
    </row>
    <row r="3809" spans="1:9" ht="16.5" x14ac:dyDescent="0.3">
      <c r="A3809" s="477">
        <v>3001925.5333341435</v>
      </c>
      <c r="B3809" s="458">
        <v>5.2588197903736589E-2</v>
      </c>
      <c r="C3809" s="477">
        <v>10926900.711371738</v>
      </c>
      <c r="D3809" s="458">
        <v>5.7223627554555012E-2</v>
      </c>
      <c r="E3809" s="477">
        <v>19583791.759709943</v>
      </c>
      <c r="F3809" s="458">
        <v>9.4308246354672498E-2</v>
      </c>
      <c r="G3809" s="477">
        <v>81889738.682004392</v>
      </c>
      <c r="H3809" s="458">
        <v>0.27177884306241484</v>
      </c>
      <c r="I3809" s="468">
        <v>8.91277819533342</v>
      </c>
    </row>
    <row r="3810" spans="1:9" ht="16.5" x14ac:dyDescent="0.3">
      <c r="A3810" s="477">
        <v>2600821.7680006917</v>
      </c>
      <c r="B3810" s="458">
        <v>4.9911259907050809E-2</v>
      </c>
      <c r="C3810" s="477">
        <v>6894470.9529938195</v>
      </c>
      <c r="D3810" s="458">
        <v>4.6735357124591426E-2</v>
      </c>
      <c r="E3810" s="477">
        <v>7740469.9290772397</v>
      </c>
      <c r="F3810" s="458">
        <v>9.9209228263564375E-2</v>
      </c>
      <c r="G3810" s="477">
        <v>79168647.370888054</v>
      </c>
      <c r="H3810" s="458">
        <v>0.27042361359256928</v>
      </c>
      <c r="I3810" s="468">
        <v>8.8023816230215992</v>
      </c>
    </row>
    <row r="3811" spans="1:9" ht="16.5" x14ac:dyDescent="0.3">
      <c r="A3811" s="477">
        <v>4017882.5201818906</v>
      </c>
      <c r="B3811" s="458">
        <v>3.6859529106734179E-2</v>
      </c>
      <c r="C3811" s="477">
        <v>10321679.835470499</v>
      </c>
      <c r="D3811" s="458">
        <v>6.1957340448008047E-2</v>
      </c>
      <c r="E3811" s="477">
        <v>20747775.602719378</v>
      </c>
      <c r="F3811" s="458">
        <v>9.0331775903033096E-2</v>
      </c>
      <c r="G3811" s="477">
        <v>86136719.306053475</v>
      </c>
      <c r="H3811" s="458">
        <v>0.25581631209387212</v>
      </c>
      <c r="I3811" s="468">
        <v>9.2360291292059937</v>
      </c>
    </row>
    <row r="3812" spans="1:9" ht="16.5" x14ac:dyDescent="0.3">
      <c r="A3812" s="477">
        <v>-336091.90369059355</v>
      </c>
      <c r="B3812" s="458">
        <v>4.0518197537783296E-2</v>
      </c>
      <c r="C3812" s="477">
        <v>11497740.471480226</v>
      </c>
      <c r="D3812" s="458">
        <v>5.7558714998752869E-2</v>
      </c>
      <c r="E3812" s="477">
        <v>18831474.096853029</v>
      </c>
      <c r="F3812" s="458">
        <v>0.11113722903385215</v>
      </c>
      <c r="G3812" s="477">
        <v>89199725.428675413</v>
      </c>
      <c r="H3812" s="458">
        <v>0.2901866060604843</v>
      </c>
      <c r="I3812" s="468">
        <v>8.7629509410866948</v>
      </c>
    </row>
    <row r="3813" spans="1:9" ht="16.5" x14ac:dyDescent="0.3">
      <c r="A3813" s="477">
        <v>6152521.1244416181</v>
      </c>
      <c r="B3813" s="458">
        <v>2.7537214108685593E-2</v>
      </c>
      <c r="C3813" s="477">
        <v>8697890.1245109178</v>
      </c>
      <c r="D3813" s="458">
        <v>5.9231010362597258E-2</v>
      </c>
      <c r="E3813" s="477">
        <v>20388024.134652495</v>
      </c>
      <c r="F3813" s="458">
        <v>0.10092023685841189</v>
      </c>
      <c r="G3813" s="477">
        <v>88394390.185852513</v>
      </c>
      <c r="H3813" s="458">
        <v>0.27515844143489598</v>
      </c>
      <c r="I3813" s="468">
        <v>4.5075799951294107</v>
      </c>
    </row>
    <row r="3814" spans="1:9" ht="16.5" x14ac:dyDescent="0.3">
      <c r="A3814" s="477">
        <v>6518382.3801915385</v>
      </c>
      <c r="B3814" s="458">
        <v>5.0721977257892403E-2</v>
      </c>
      <c r="C3814" s="477">
        <v>10187833.898527101</v>
      </c>
      <c r="D3814" s="458">
        <v>7.781859802681601E-2</v>
      </c>
      <c r="E3814" s="477">
        <v>19065252.549019519</v>
      </c>
      <c r="F3814" s="458">
        <v>9.7872401612987936E-2</v>
      </c>
      <c r="G3814" s="477">
        <v>83794706.205871806</v>
      </c>
      <c r="H3814" s="458">
        <v>0.25456075922513266</v>
      </c>
      <c r="I3814" s="468">
        <v>10.357558703959402</v>
      </c>
    </row>
    <row r="3815" spans="1:9" ht="16.5" x14ac:dyDescent="0.3">
      <c r="A3815" s="477">
        <v>2113161.8824799308</v>
      </c>
      <c r="B3815" s="458">
        <v>4.1787488677561102E-2</v>
      </c>
      <c r="C3815" s="477">
        <v>8066572.168449468</v>
      </c>
      <c r="D3815" s="458">
        <v>4.5620847661701935E-2</v>
      </c>
      <c r="E3815" s="477">
        <v>13297983.837094966</v>
      </c>
      <c r="F3815" s="458">
        <v>0.12632585897084092</v>
      </c>
      <c r="G3815" s="477">
        <v>90432680.643929541</v>
      </c>
      <c r="H3815" s="458">
        <v>0.2538494464797898</v>
      </c>
      <c r="I3815" s="468">
        <v>1.6273396712817387</v>
      </c>
    </row>
    <row r="3816" spans="1:9" ht="16.5" x14ac:dyDescent="0.3">
      <c r="A3816" s="477">
        <v>8586269.7826126907</v>
      </c>
      <c r="B3816" s="458">
        <v>3.2684976744780547E-2</v>
      </c>
      <c r="C3816" s="477">
        <v>12314694.289559565</v>
      </c>
      <c r="D3816" s="458">
        <v>8.8899477353211909E-2</v>
      </c>
      <c r="E3816" s="477">
        <v>21025410.849261303</v>
      </c>
      <c r="F3816" s="458">
        <v>0.1349254814542602</v>
      </c>
      <c r="G3816" s="477">
        <v>79972663.721491486</v>
      </c>
      <c r="H3816" s="458">
        <v>0.26410941854791159</v>
      </c>
      <c r="I3816" s="468">
        <v>7.4084769569285758</v>
      </c>
    </row>
    <row r="3817" spans="1:9" ht="16.5" x14ac:dyDescent="0.3">
      <c r="A3817" s="477">
        <v>4951461.8748707008</v>
      </c>
      <c r="B3817" s="458">
        <v>2.0672912531933596E-2</v>
      </c>
      <c r="C3817" s="477">
        <v>9471992.0035605263</v>
      </c>
      <c r="D3817" s="458">
        <v>5.6400639618209958E-2</v>
      </c>
      <c r="E3817" s="477">
        <v>23969713.52220729</v>
      </c>
      <c r="F3817" s="458">
        <v>0.10549261106630015</v>
      </c>
      <c r="G3817" s="477">
        <v>93462147.104584917</v>
      </c>
      <c r="H3817" s="458">
        <v>0.268375271136293</v>
      </c>
      <c r="I3817" s="468">
        <v>3.6010407973094454</v>
      </c>
    </row>
    <row r="3818" spans="1:9" ht="16.5" x14ac:dyDescent="0.3">
      <c r="A3818" s="477">
        <v>3933322.363579913</v>
      </c>
      <c r="B3818" s="458">
        <v>2.3775834537254958E-2</v>
      </c>
      <c r="C3818" s="477">
        <v>13712766.942573389</v>
      </c>
      <c r="D3818" s="458">
        <v>9.2177902564390291E-2</v>
      </c>
      <c r="E3818" s="477">
        <v>10858886.972414482</v>
      </c>
      <c r="F3818" s="458">
        <v>0.16481701074437161</v>
      </c>
      <c r="G3818" s="477">
        <v>85297278.284353763</v>
      </c>
      <c r="H3818" s="458">
        <v>0.2608611440886881</v>
      </c>
      <c r="I3818" s="468">
        <v>7.8564172770334153</v>
      </c>
    </row>
    <row r="3819" spans="1:9" ht="16.5" x14ac:dyDescent="0.3">
      <c r="A3819" s="477">
        <v>2805979.0557911955</v>
      </c>
      <c r="B3819" s="458">
        <v>2.7064465683948047E-2</v>
      </c>
      <c r="C3819" s="477">
        <v>7068627.7632263796</v>
      </c>
      <c r="D3819" s="458">
        <v>0.10652092226976451</v>
      </c>
      <c r="E3819" s="477">
        <v>26432991.035991482</v>
      </c>
      <c r="F3819" s="458">
        <v>0.12619200171346612</v>
      </c>
      <c r="G3819" s="477">
        <v>74507590.100431189</v>
      </c>
      <c r="H3819" s="458">
        <v>0.26640119557094177</v>
      </c>
      <c r="I3819" s="468">
        <v>7.4892817366200912</v>
      </c>
    </row>
    <row r="3820" spans="1:9" ht="16.5" x14ac:dyDescent="0.3">
      <c r="A3820" s="477">
        <v>951241.23882568104</v>
      </c>
      <c r="B3820" s="458">
        <v>6.8134810407930457E-2</v>
      </c>
      <c r="C3820" s="477">
        <v>11919977.164199241</v>
      </c>
      <c r="D3820" s="458">
        <v>8.6247598938086645E-2</v>
      </c>
      <c r="E3820" s="477">
        <v>16399577.999856159</v>
      </c>
      <c r="F3820" s="458">
        <v>0.11512167753018354</v>
      </c>
      <c r="G3820" s="477">
        <v>85297994.3356677</v>
      </c>
      <c r="H3820" s="458">
        <v>0.26378419375786533</v>
      </c>
      <c r="I3820" s="468">
        <v>10.498969027731023</v>
      </c>
    </row>
    <row r="3821" spans="1:9" ht="16.5" x14ac:dyDescent="0.3">
      <c r="A3821" s="477">
        <v>7237328.7930217404</v>
      </c>
      <c r="B3821" s="458">
        <v>3.8573134882443405E-2</v>
      </c>
      <c r="C3821" s="477">
        <v>10136044.244091798</v>
      </c>
      <c r="D3821" s="458">
        <v>5.7953658793166607E-2</v>
      </c>
      <c r="E3821" s="477">
        <v>11383455.989872139</v>
      </c>
      <c r="F3821" s="458">
        <v>0.14211187266892722</v>
      </c>
      <c r="G3821" s="477">
        <v>77727181.596326828</v>
      </c>
      <c r="H3821" s="458">
        <v>0.26746822777076873</v>
      </c>
      <c r="I3821" s="468">
        <v>1.2170802788518253</v>
      </c>
    </row>
    <row r="3822" spans="1:9" ht="16.5" x14ac:dyDescent="0.3">
      <c r="A3822" s="477">
        <v>4011719.9163238299</v>
      </c>
      <c r="B3822" s="458">
        <v>3.2711083627438242E-2</v>
      </c>
      <c r="C3822" s="477">
        <v>12652062.66469969</v>
      </c>
      <c r="D3822" s="458">
        <v>5.2287543987099783E-2</v>
      </c>
      <c r="E3822" s="477">
        <v>14257394.076114308</v>
      </c>
      <c r="F3822" s="458">
        <v>0.14449523753941529</v>
      </c>
      <c r="G3822" s="477">
        <v>104506267.84577559</v>
      </c>
      <c r="H3822" s="458">
        <v>0.2804297356087655</v>
      </c>
      <c r="I3822" s="468">
        <v>7.7858258296097773</v>
      </c>
    </row>
    <row r="3823" spans="1:9" ht="16.5" x14ac:dyDescent="0.3">
      <c r="A3823" s="477">
        <v>8003715.6345240846</v>
      </c>
      <c r="B3823" s="458">
        <v>4.1651729428170192E-2</v>
      </c>
      <c r="C3823" s="477">
        <v>9814249.4745681137</v>
      </c>
      <c r="D3823" s="458">
        <v>6.3040252097748217E-2</v>
      </c>
      <c r="E3823" s="477">
        <v>15744929.584576957</v>
      </c>
      <c r="F3823" s="458">
        <v>0.10672054538313192</v>
      </c>
      <c r="G3823" s="477">
        <v>94004974.277509406</v>
      </c>
      <c r="H3823" s="458">
        <v>0.2575756764877335</v>
      </c>
      <c r="I3823" s="468">
        <v>7.8543505483834002</v>
      </c>
    </row>
    <row r="3824" spans="1:9" ht="16.5" x14ac:dyDescent="0.3">
      <c r="A3824" s="477">
        <v>6416820.78120784</v>
      </c>
      <c r="B3824" s="458">
        <v>5.1574176105064984E-2</v>
      </c>
      <c r="C3824" s="477">
        <v>11179101.264202354</v>
      </c>
      <c r="D3824" s="458">
        <v>9.4995154215123279E-2</v>
      </c>
      <c r="E3824" s="477">
        <v>9077799.8889120966</v>
      </c>
      <c r="F3824" s="458">
        <v>0.13013431307337053</v>
      </c>
      <c r="G3824" s="477">
        <v>92893992.709229156</v>
      </c>
      <c r="H3824" s="458">
        <v>0.2664817194117719</v>
      </c>
      <c r="I3824" s="468">
        <v>6.8651925794525432</v>
      </c>
    </row>
    <row r="3825" spans="1:9" ht="16.5" x14ac:dyDescent="0.3">
      <c r="A3825" s="477">
        <v>5125503.7444390003</v>
      </c>
      <c r="B3825" s="458">
        <v>3.3821793978489056E-2</v>
      </c>
      <c r="C3825" s="477">
        <v>14412471.062555479</v>
      </c>
      <c r="D3825" s="458">
        <v>6.1283308682432036E-2</v>
      </c>
      <c r="E3825" s="477">
        <v>8849310.0949120093</v>
      </c>
      <c r="F3825" s="458">
        <v>0.12335692456094272</v>
      </c>
      <c r="G3825" s="477">
        <v>95930412.478323907</v>
      </c>
      <c r="H3825" s="458">
        <v>0.26866947713633804</v>
      </c>
      <c r="I3825" s="468">
        <v>1.6826228979173079</v>
      </c>
    </row>
    <row r="3826" spans="1:9" ht="16.5" x14ac:dyDescent="0.3">
      <c r="A3826" s="477">
        <v>7639016.4613587223</v>
      </c>
      <c r="B3826" s="458">
        <v>5.6141724431563178E-2</v>
      </c>
      <c r="C3826" s="477">
        <v>10360584.882018147</v>
      </c>
      <c r="D3826" s="458">
        <v>5.6788099842355999E-2</v>
      </c>
      <c r="E3826" s="477">
        <v>19183685.668706756</v>
      </c>
      <c r="F3826" s="458">
        <v>0.10002056729747455</v>
      </c>
      <c r="G3826" s="477">
        <v>100279698.4050577</v>
      </c>
      <c r="H3826" s="458">
        <v>0.26479165199288524</v>
      </c>
      <c r="I3826" s="468">
        <v>3.4752645128597326</v>
      </c>
    </row>
    <row r="3827" spans="1:9" ht="16.5" x14ac:dyDescent="0.3">
      <c r="A3827" s="477">
        <v>7697662.973115582</v>
      </c>
      <c r="B3827" s="458">
        <v>2.2476008845514039E-2</v>
      </c>
      <c r="C3827" s="477">
        <v>3054969.3475552825</v>
      </c>
      <c r="D3827" s="458">
        <v>4.2023243690727741E-2</v>
      </c>
      <c r="E3827" s="477">
        <v>20563619.963059422</v>
      </c>
      <c r="F3827" s="458">
        <v>0.11452359702049963</v>
      </c>
      <c r="G3827" s="477">
        <v>89734987.977522403</v>
      </c>
      <c r="H3827" s="458">
        <v>0.26638146138555485</v>
      </c>
      <c r="I3827" s="468">
        <v>3.4034221388162065</v>
      </c>
    </row>
    <row r="3828" spans="1:9" ht="16.5" x14ac:dyDescent="0.3">
      <c r="A3828" s="477">
        <v>1950381.4497530954</v>
      </c>
      <c r="B3828" s="458">
        <v>3.4290873344686279E-2</v>
      </c>
      <c r="C3828" s="477">
        <v>7578081.3131224466</v>
      </c>
      <c r="D3828" s="458">
        <v>8.8364849303329995E-2</v>
      </c>
      <c r="E3828" s="477">
        <v>32025969.540572546</v>
      </c>
      <c r="F3828" s="458">
        <v>0.12572117905172697</v>
      </c>
      <c r="G3828" s="477">
        <v>97331752.897684857</v>
      </c>
      <c r="H3828" s="458">
        <v>0.2805965783691422</v>
      </c>
      <c r="I3828" s="468">
        <v>6.7959405661565127</v>
      </c>
    </row>
    <row r="3829" spans="1:9" ht="16.5" x14ac:dyDescent="0.3">
      <c r="A3829" s="477">
        <v>4123298.3824419831</v>
      </c>
      <c r="B3829" s="458">
        <v>4.3829085020178127E-2</v>
      </c>
      <c r="C3829" s="477">
        <v>9841855.001179615</v>
      </c>
      <c r="D3829" s="458">
        <v>4.7437497677130125E-2</v>
      </c>
      <c r="E3829" s="477">
        <v>17246483.067532301</v>
      </c>
      <c r="F3829" s="458">
        <v>8.8917863299620814E-2</v>
      </c>
      <c r="G3829" s="477">
        <v>105091869.54168178</v>
      </c>
      <c r="H3829" s="458">
        <v>0.26204223468300958</v>
      </c>
      <c r="I3829" s="468">
        <v>7.5073381011029339</v>
      </c>
    </row>
    <row r="3830" spans="1:9" ht="16.5" x14ac:dyDescent="0.3">
      <c r="A3830" s="477">
        <v>4084646.5144957579</v>
      </c>
      <c r="B3830" s="458">
        <v>4.5469899056653551E-2</v>
      </c>
      <c r="C3830" s="477">
        <v>10259994.983856522</v>
      </c>
      <c r="D3830" s="458">
        <v>6.2607644704745669E-2</v>
      </c>
      <c r="E3830" s="477">
        <v>17053756.506267492</v>
      </c>
      <c r="F3830" s="458">
        <v>0.11197092027940991</v>
      </c>
      <c r="G3830" s="477">
        <v>96033043.001420453</v>
      </c>
      <c r="H3830" s="458">
        <v>0.28958999559351928</v>
      </c>
      <c r="I3830" s="468">
        <v>8.9977091067256509</v>
      </c>
    </row>
    <row r="3831" spans="1:9" ht="16.5" x14ac:dyDescent="0.3">
      <c r="A3831" s="477">
        <v>7825786.9355410812</v>
      </c>
      <c r="B3831" s="458">
        <v>7.7877852748570842E-2</v>
      </c>
      <c r="C3831" s="477">
        <v>6153591.556591427</v>
      </c>
      <c r="D3831" s="458">
        <v>9.4660571781123526E-2</v>
      </c>
      <c r="E3831" s="477">
        <v>23977675.242717523</v>
      </c>
      <c r="F3831" s="458">
        <v>8.1226845237323486E-2</v>
      </c>
      <c r="G3831" s="477">
        <v>87130823.087622568</v>
      </c>
      <c r="H3831" s="458">
        <v>0.26209210573058628</v>
      </c>
      <c r="I3831" s="468">
        <v>9.0568908471346727</v>
      </c>
    </row>
    <row r="3832" spans="1:9" ht="16.5" x14ac:dyDescent="0.3">
      <c r="A3832" s="477">
        <v>4443796.6425830023</v>
      </c>
      <c r="B3832" s="458">
        <v>3.7193838754098429E-2</v>
      </c>
      <c r="C3832" s="477">
        <v>3026360.6617622408</v>
      </c>
      <c r="D3832" s="458">
        <v>8.0682054331979947E-2</v>
      </c>
      <c r="E3832" s="477">
        <v>19457167.836790677</v>
      </c>
      <c r="F3832" s="458">
        <v>0.10894889859706747</v>
      </c>
      <c r="G3832" s="477">
        <v>91086790.804453105</v>
      </c>
      <c r="H3832" s="458">
        <v>0.28142959691949376</v>
      </c>
      <c r="I3832" s="468">
        <v>8.798625935373968</v>
      </c>
    </row>
    <row r="3833" spans="1:9" ht="16.5" x14ac:dyDescent="0.3">
      <c r="A3833" s="477">
        <v>8299180.1401931494</v>
      </c>
      <c r="B3833" s="458">
        <v>5.1460174746292831E-2</v>
      </c>
      <c r="C3833" s="477">
        <v>13202337.287595512</v>
      </c>
      <c r="D3833" s="458">
        <v>5.8038393486594897E-2</v>
      </c>
      <c r="E3833" s="477">
        <v>7606444.4635720169</v>
      </c>
      <c r="F3833" s="458">
        <v>7.9965159065277236E-2</v>
      </c>
      <c r="G3833" s="477">
        <v>92171919.205633029</v>
      </c>
      <c r="H3833" s="458">
        <v>0.25494142640492945</v>
      </c>
      <c r="I3833" s="468">
        <v>3.7856530124303616</v>
      </c>
    </row>
    <row r="3834" spans="1:9" ht="16.5" x14ac:dyDescent="0.3">
      <c r="A3834" s="477">
        <v>10034882.322113099</v>
      </c>
      <c r="B3834" s="458">
        <v>4.4178404212641631E-2</v>
      </c>
      <c r="C3834" s="477">
        <v>5499892.9693317125</v>
      </c>
      <c r="D3834" s="458">
        <v>7.116850435769817E-2</v>
      </c>
      <c r="E3834" s="477">
        <v>25952547.339756951</v>
      </c>
      <c r="F3834" s="458">
        <v>0.11132532974766174</v>
      </c>
      <c r="G3834" s="477">
        <v>88350991.806469694</v>
      </c>
      <c r="H3834" s="458">
        <v>0.27906429948028366</v>
      </c>
      <c r="I3834" s="468">
        <v>8.5358328666297485</v>
      </c>
    </row>
    <row r="3835" spans="1:9" ht="16.5" x14ac:dyDescent="0.3">
      <c r="A3835" s="477">
        <v>9447524.4885535333</v>
      </c>
      <c r="B3835" s="458">
        <v>2.7855751806348028E-2</v>
      </c>
      <c r="C3835" s="477">
        <v>12886864.047401633</v>
      </c>
      <c r="D3835" s="458">
        <v>2.5125885707175444E-2</v>
      </c>
      <c r="E3835" s="477">
        <v>13899636.000338191</v>
      </c>
      <c r="F3835" s="458">
        <v>0.19759580690605594</v>
      </c>
      <c r="G3835" s="477">
        <v>89836689.623351961</v>
      </c>
      <c r="H3835" s="458">
        <v>0.26910559772991305</v>
      </c>
      <c r="I3835" s="468">
        <v>13.45989555449037</v>
      </c>
    </row>
    <row r="3836" spans="1:9" ht="16.5" x14ac:dyDescent="0.3">
      <c r="A3836" s="477">
        <v>8447243.5528223664</v>
      </c>
      <c r="B3836" s="458">
        <v>3.5932833519565666E-2</v>
      </c>
      <c r="C3836" s="477">
        <v>6162892.004830583</v>
      </c>
      <c r="D3836" s="458">
        <v>7.1712639394153621E-2</v>
      </c>
      <c r="E3836" s="477">
        <v>14617106.319262307</v>
      </c>
      <c r="F3836" s="458">
        <v>0.12338470683183722</v>
      </c>
      <c r="G3836" s="477">
        <v>93263646.548841387</v>
      </c>
      <c r="H3836" s="458">
        <v>0.2593386873618273</v>
      </c>
      <c r="I3836" s="468">
        <v>13.719676238764613</v>
      </c>
    </row>
    <row r="3837" spans="1:9" ht="16.5" x14ac:dyDescent="0.3">
      <c r="A3837" s="477">
        <v>5682900.9579760246</v>
      </c>
      <c r="B3837" s="458">
        <v>3.7129739158992425E-2</v>
      </c>
      <c r="C3837" s="477">
        <v>8424640.9576432742</v>
      </c>
      <c r="D3837" s="458">
        <v>5.5811501394733787E-2</v>
      </c>
      <c r="E3837" s="477">
        <v>20208801.050385233</v>
      </c>
      <c r="F3837" s="458">
        <v>0.1197611414477886</v>
      </c>
      <c r="G3837" s="477">
        <v>79901862.34197402</v>
      </c>
      <c r="H3837" s="458">
        <v>0.25866297735995691</v>
      </c>
      <c r="I3837" s="468">
        <v>11.078636123018388</v>
      </c>
    </row>
    <row r="3838" spans="1:9" ht="16.5" x14ac:dyDescent="0.3">
      <c r="A3838" s="477">
        <v>1699493.0567744642</v>
      </c>
      <c r="B3838" s="458">
        <v>2.5012367694804194E-2</v>
      </c>
      <c r="C3838" s="477">
        <v>15099696.308037421</v>
      </c>
      <c r="D3838" s="458">
        <v>7.6929684607141668E-2</v>
      </c>
      <c r="E3838" s="477">
        <v>18024217.66967852</v>
      </c>
      <c r="F3838" s="458">
        <v>0.13906700985494602</v>
      </c>
      <c r="G3838" s="477">
        <v>97649734.11600934</v>
      </c>
      <c r="H3838" s="458">
        <v>0.25382513583872979</v>
      </c>
      <c r="I3838" s="468">
        <v>2.9058194916057749</v>
      </c>
    </row>
    <row r="3839" spans="1:9" ht="16.5" x14ac:dyDescent="0.3">
      <c r="A3839" s="477">
        <v>7702515.3294589072</v>
      </c>
      <c r="B3839" s="458">
        <v>5.9685417825979803E-2</v>
      </c>
      <c r="C3839" s="477">
        <v>10911796.660132105</v>
      </c>
      <c r="D3839" s="458">
        <v>6.8163713353091682E-2</v>
      </c>
      <c r="E3839" s="477">
        <v>21300317.073121339</v>
      </c>
      <c r="F3839" s="458">
        <v>9.0297338015026707E-2</v>
      </c>
      <c r="G3839" s="477">
        <v>89515311.420189604</v>
      </c>
      <c r="H3839" s="458">
        <v>0.24729072072739866</v>
      </c>
      <c r="I3839" s="468">
        <v>6.0364910692930511</v>
      </c>
    </row>
    <row r="3840" spans="1:9" ht="16.5" x14ac:dyDescent="0.3">
      <c r="A3840" s="477">
        <v>5078678.4567269031</v>
      </c>
      <c r="B3840" s="458">
        <v>3.5666145704716046E-2</v>
      </c>
      <c r="C3840" s="477">
        <v>11053105.475111678</v>
      </c>
      <c r="D3840" s="458">
        <v>6.3184722826133966E-2</v>
      </c>
      <c r="E3840" s="477">
        <v>19120946.799003556</v>
      </c>
      <c r="F3840" s="458">
        <v>0.10661578467945909</v>
      </c>
      <c r="G3840" s="477">
        <v>80627859.293443963</v>
      </c>
      <c r="H3840" s="458">
        <v>0.25319397320432024</v>
      </c>
      <c r="I3840" s="468">
        <v>7.5401738628250685</v>
      </c>
    </row>
    <row r="3841" spans="1:9" ht="16.5" x14ac:dyDescent="0.3">
      <c r="A3841" s="477">
        <v>6891248.3622644283</v>
      </c>
      <c r="B3841" s="458">
        <v>6.3416648287794919E-2</v>
      </c>
      <c r="C3841" s="477">
        <v>8375912.8682854744</v>
      </c>
      <c r="D3841" s="458">
        <v>9.4608439754609863E-2</v>
      </c>
      <c r="E3841" s="477">
        <v>21982803.494030725</v>
      </c>
      <c r="F3841" s="458">
        <v>8.2788553964216804E-2</v>
      </c>
      <c r="G3841" s="477">
        <v>84795757.639423206</v>
      </c>
      <c r="H3841" s="458">
        <v>0.25341683085857758</v>
      </c>
      <c r="I3841" s="468">
        <v>4.4360845809600145</v>
      </c>
    </row>
    <row r="3842" spans="1:9" ht="16.5" x14ac:dyDescent="0.3">
      <c r="A3842" s="477">
        <v>5543447.8318720777</v>
      </c>
      <c r="B3842" s="458">
        <v>3.2076273625245566E-2</v>
      </c>
      <c r="C3842" s="477">
        <v>8363465.5324265184</v>
      </c>
      <c r="D3842" s="458">
        <v>7.8277107083058128E-2</v>
      </c>
      <c r="E3842" s="477">
        <v>13571306.864642229</v>
      </c>
      <c r="F3842" s="458">
        <v>9.6544874308954753E-2</v>
      </c>
      <c r="G3842" s="477">
        <v>92033860.829623997</v>
      </c>
      <c r="H3842" s="458">
        <v>0.27306889635743437</v>
      </c>
      <c r="I3842" s="468">
        <v>2.3686922195660367</v>
      </c>
    </row>
    <row r="3843" spans="1:9" ht="16.5" x14ac:dyDescent="0.3">
      <c r="A3843" s="477">
        <v>2996297.659416799</v>
      </c>
      <c r="B3843" s="458">
        <v>5.3383636706318294E-2</v>
      </c>
      <c r="C3843" s="477">
        <v>15564503.23903713</v>
      </c>
      <c r="D3843" s="458">
        <v>5.7136264809187987E-2</v>
      </c>
      <c r="E3843" s="477">
        <v>17176662.975733437</v>
      </c>
      <c r="F3843" s="458">
        <v>9.7538274939577674E-2</v>
      </c>
      <c r="G3843" s="477">
        <v>82085346.93904531</v>
      </c>
      <c r="H3843" s="458">
        <v>0.25880394526802397</v>
      </c>
      <c r="I3843" s="468">
        <v>2.2685134192383334</v>
      </c>
    </row>
    <row r="3844" spans="1:9" ht="16.5" x14ac:dyDescent="0.3">
      <c r="A3844" s="477">
        <v>5164183.9308250677</v>
      </c>
      <c r="B3844" s="458">
        <v>3.8557698516892058E-2</v>
      </c>
      <c r="C3844" s="477">
        <v>7026110.1653376771</v>
      </c>
      <c r="D3844" s="458">
        <v>4.2852630740250586E-2</v>
      </c>
      <c r="E3844" s="477">
        <v>15320542.151683116</v>
      </c>
      <c r="F3844" s="458">
        <v>0.1189999975466749</v>
      </c>
      <c r="G3844" s="477">
        <v>85865022.87750347</v>
      </c>
      <c r="H3844" s="458">
        <v>0.27022300129292076</v>
      </c>
      <c r="I3844" s="468">
        <v>7.6378918552723416</v>
      </c>
    </row>
    <row r="3845" spans="1:9" ht="16.5" x14ac:dyDescent="0.3">
      <c r="A3845" s="477">
        <v>8564639.484379191</v>
      </c>
      <c r="B3845" s="458">
        <v>4.4316750008773109E-2</v>
      </c>
      <c r="C3845" s="477">
        <v>11827898.114575198</v>
      </c>
      <c r="D3845" s="458">
        <v>8.0541646034184122E-2</v>
      </c>
      <c r="E3845" s="477">
        <v>13724822.083007401</v>
      </c>
      <c r="F3845" s="458">
        <v>8.830379925225329E-2</v>
      </c>
      <c r="G3845" s="477">
        <v>88869393.600184411</v>
      </c>
      <c r="H3845" s="458">
        <v>0.27675595719305024</v>
      </c>
      <c r="I3845" s="468">
        <v>13.831495551122746</v>
      </c>
    </row>
    <row r="3846" spans="1:9" ht="16.5" x14ac:dyDescent="0.3">
      <c r="A3846" s="477">
        <v>3556327.0017327922</v>
      </c>
      <c r="B3846" s="458">
        <v>2.9604242363465927E-2</v>
      </c>
      <c r="C3846" s="477">
        <v>5910299.6339302035</v>
      </c>
      <c r="D3846" s="458">
        <v>5.2981688013979733E-2</v>
      </c>
      <c r="E3846" s="477">
        <v>16842585.948750351</v>
      </c>
      <c r="F3846" s="458">
        <v>0.12144114554196195</v>
      </c>
      <c r="G3846" s="477">
        <v>81682882.913513303</v>
      </c>
      <c r="H3846" s="458">
        <v>0.27629546009884076</v>
      </c>
      <c r="I3846" s="468">
        <v>9.0407869606015989</v>
      </c>
    </row>
    <row r="3847" spans="1:9" ht="16.5" x14ac:dyDescent="0.3">
      <c r="A3847" s="477">
        <v>4857397.3575740149</v>
      </c>
      <c r="B3847" s="458">
        <v>2.2755761384709361E-2</v>
      </c>
      <c r="C3847" s="477">
        <v>8227405.5292106709</v>
      </c>
      <c r="D3847" s="458">
        <v>4.6464362487298905E-2</v>
      </c>
      <c r="E3847" s="477">
        <v>12544992.306330832</v>
      </c>
      <c r="F3847" s="458">
        <v>0.11469668999382066</v>
      </c>
      <c r="G3847" s="477">
        <v>86115012.106101051</v>
      </c>
      <c r="H3847" s="458">
        <v>0.27293010138568374</v>
      </c>
      <c r="I3847" s="468">
        <v>10.863311991348823</v>
      </c>
    </row>
    <row r="3848" spans="1:9" ht="16.5" x14ac:dyDescent="0.3">
      <c r="A3848" s="477">
        <v>6131069.0503807021</v>
      </c>
      <c r="B3848" s="458">
        <v>4.1459339056037381E-2</v>
      </c>
      <c r="C3848" s="477">
        <v>9077286.0739476401</v>
      </c>
      <c r="D3848" s="458">
        <v>6.0631003371510284E-2</v>
      </c>
      <c r="E3848" s="477">
        <v>19948862.617982436</v>
      </c>
      <c r="F3848" s="458">
        <v>0.145495417102808</v>
      </c>
      <c r="G3848" s="477">
        <v>92251800.807566762</v>
      </c>
      <c r="H3848" s="458">
        <v>0.26679170876671598</v>
      </c>
      <c r="I3848" s="468">
        <v>20.077346217044919</v>
      </c>
    </row>
    <row r="3849" spans="1:9" ht="16.5" x14ac:dyDescent="0.3">
      <c r="A3849" s="477">
        <v>2310757.6936617545</v>
      </c>
      <c r="B3849" s="458">
        <v>6.8180832689780146E-2</v>
      </c>
      <c r="C3849" s="477">
        <v>7488052.9284472279</v>
      </c>
      <c r="D3849" s="458">
        <v>6.3201756012994492E-2</v>
      </c>
      <c r="E3849" s="477">
        <v>15941168.708088296</v>
      </c>
      <c r="F3849" s="458">
        <v>0.11696751463618282</v>
      </c>
      <c r="G3849" s="477">
        <v>82088182.562800363</v>
      </c>
      <c r="H3849" s="458">
        <v>0.25447627520918448</v>
      </c>
      <c r="I3849" s="468">
        <v>3.1921833522347391</v>
      </c>
    </row>
    <row r="3850" spans="1:9" ht="16.5" x14ac:dyDescent="0.3">
      <c r="A3850" s="477">
        <v>7228394.6140071256</v>
      </c>
      <c r="B3850" s="458">
        <v>2.4903554980062026E-2</v>
      </c>
      <c r="C3850" s="477">
        <v>4527636.9810771011</v>
      </c>
      <c r="D3850" s="458">
        <v>4.5377579461404416E-2</v>
      </c>
      <c r="E3850" s="477">
        <v>17047827.277003244</v>
      </c>
      <c r="F3850" s="458">
        <v>0.1328828204945125</v>
      </c>
      <c r="G3850" s="477">
        <v>84595331.028411373</v>
      </c>
      <c r="H3850" s="458">
        <v>0.28314896157164893</v>
      </c>
      <c r="I3850" s="468">
        <v>4.8868478815224483</v>
      </c>
    </row>
    <row r="3851" spans="1:9" ht="16.5" x14ac:dyDescent="0.3">
      <c r="A3851" s="477">
        <v>4895382.2271784395</v>
      </c>
      <c r="B3851" s="458">
        <v>3.4263586691829939E-2</v>
      </c>
      <c r="C3851" s="477">
        <v>5233037.5041371137</v>
      </c>
      <c r="D3851" s="458">
        <v>7.6335353748351098E-2</v>
      </c>
      <c r="E3851" s="477">
        <v>15917151.103028055</v>
      </c>
      <c r="F3851" s="458">
        <v>0.11689929873298976</v>
      </c>
      <c r="G3851" s="477">
        <v>88579065.30323875</v>
      </c>
      <c r="H3851" s="458">
        <v>0.25996363329128269</v>
      </c>
      <c r="I3851" s="468">
        <v>11.291607001969016</v>
      </c>
    </row>
    <row r="3852" spans="1:9" ht="16.5" x14ac:dyDescent="0.3">
      <c r="A3852" s="477">
        <v>7215438.4785040123</v>
      </c>
      <c r="B3852" s="458">
        <v>3.3263412024630901E-2</v>
      </c>
      <c r="C3852" s="477">
        <v>14575128.562267033</v>
      </c>
      <c r="D3852" s="458">
        <v>8.0862783772049474E-2</v>
      </c>
      <c r="E3852" s="477">
        <v>19481505.643144626</v>
      </c>
      <c r="F3852" s="458">
        <v>0.11369795254360815</v>
      </c>
      <c r="G3852" s="477">
        <v>83764093.265102193</v>
      </c>
      <c r="H3852" s="458">
        <v>0.24957425169548308</v>
      </c>
      <c r="I3852" s="468">
        <v>12.484227919586122</v>
      </c>
    </row>
    <row r="3853" spans="1:9" ht="16.5" x14ac:dyDescent="0.3">
      <c r="A3853" s="477">
        <v>6812270.9083874822</v>
      </c>
      <c r="B3853" s="458">
        <v>3.3798596335714359E-2</v>
      </c>
      <c r="C3853" s="477">
        <v>10107290.157358855</v>
      </c>
      <c r="D3853" s="458">
        <v>5.8305951398493594E-2</v>
      </c>
      <c r="E3853" s="477">
        <v>11160064.076391116</v>
      </c>
      <c r="F3853" s="458">
        <v>0.10808282284379667</v>
      </c>
      <c r="G3853" s="477">
        <v>77510821.064851508</v>
      </c>
      <c r="H3853" s="458">
        <v>0.28606009393003484</v>
      </c>
      <c r="I3853" s="468">
        <v>5.7487294227545842</v>
      </c>
    </row>
    <row r="3854" spans="1:9" ht="16.5" x14ac:dyDescent="0.3">
      <c r="A3854" s="477">
        <v>8235985.1500430293</v>
      </c>
      <c r="B3854" s="458">
        <v>5.2877570761796111E-2</v>
      </c>
      <c r="C3854" s="477">
        <v>15225902.770655524</v>
      </c>
      <c r="D3854" s="458">
        <v>0.10206317366179296</v>
      </c>
      <c r="E3854" s="477">
        <v>18164208.730870504</v>
      </c>
      <c r="F3854" s="458">
        <v>7.9470593802906109E-2</v>
      </c>
      <c r="G3854" s="477">
        <v>80030537.098412111</v>
      </c>
      <c r="H3854" s="458">
        <v>0.26371467435526563</v>
      </c>
      <c r="I3854" s="468">
        <v>11.039715487160693</v>
      </c>
    </row>
    <row r="3855" spans="1:9" ht="16.5" x14ac:dyDescent="0.3">
      <c r="A3855" s="477">
        <v>1288639.5185191305</v>
      </c>
      <c r="B3855" s="458">
        <v>2.4143526329266196E-2</v>
      </c>
      <c r="C3855" s="477">
        <v>10211699.892858347</v>
      </c>
      <c r="D3855" s="458">
        <v>6.9014685562821088E-2</v>
      </c>
      <c r="E3855" s="477">
        <v>10731609.171581849</v>
      </c>
      <c r="F3855" s="458">
        <v>0.10672241532132665</v>
      </c>
      <c r="G3855" s="477">
        <v>97525402.050925776</v>
      </c>
      <c r="H3855" s="458">
        <v>0.26334010095246052</v>
      </c>
      <c r="I3855" s="468">
        <v>5.3904230293935171</v>
      </c>
    </row>
    <row r="3856" spans="1:9" ht="16.5" x14ac:dyDescent="0.3">
      <c r="A3856" s="477">
        <v>4892605.6095489981</v>
      </c>
      <c r="B3856" s="458">
        <v>2.2575699919198833E-2</v>
      </c>
      <c r="C3856" s="477">
        <v>7746190.4246753817</v>
      </c>
      <c r="D3856" s="458">
        <v>6.5805104337093967E-2</v>
      </c>
      <c r="E3856" s="477">
        <v>17320086.167301927</v>
      </c>
      <c r="F3856" s="458">
        <v>0.10120300020965489</v>
      </c>
      <c r="G3856" s="477">
        <v>85974045.141778007</v>
      </c>
      <c r="H3856" s="458">
        <v>0.26406997882917338</v>
      </c>
      <c r="I3856" s="468">
        <v>4.2304743888455878</v>
      </c>
    </row>
    <row r="3857" spans="1:9" ht="16.5" x14ac:dyDescent="0.3">
      <c r="A3857" s="477">
        <v>8439921.5731791984</v>
      </c>
      <c r="B3857" s="458">
        <v>3.6605428311510257E-2</v>
      </c>
      <c r="C3857" s="477">
        <v>8612307.0095392186</v>
      </c>
      <c r="D3857" s="458">
        <v>6.5427502111397251E-2</v>
      </c>
      <c r="E3857" s="477">
        <v>20859173.681169569</v>
      </c>
      <c r="F3857" s="458">
        <v>0.11629825275698891</v>
      </c>
      <c r="G3857" s="477">
        <v>78279078.39972572</v>
      </c>
      <c r="H3857" s="458">
        <v>0.27911849586446169</v>
      </c>
      <c r="I3857" s="468">
        <v>10.363249738386886</v>
      </c>
    </row>
    <row r="3858" spans="1:9" ht="16.5" x14ac:dyDescent="0.3">
      <c r="A3858" s="477">
        <v>9018356.9175492097</v>
      </c>
      <c r="B3858" s="458">
        <v>2.4307783828200646E-2</v>
      </c>
      <c r="C3858" s="477">
        <v>5197201.8673922596</v>
      </c>
      <c r="D3858" s="458">
        <v>7.0123170529227119E-2</v>
      </c>
      <c r="E3858" s="477">
        <v>18299604.541987039</v>
      </c>
      <c r="F3858" s="458">
        <v>0.11120034874461715</v>
      </c>
      <c r="G3858" s="477">
        <v>82179844.346913636</v>
      </c>
      <c r="H3858" s="458">
        <v>0.27932631478236147</v>
      </c>
      <c r="I3858" s="468">
        <v>14.072044623601037</v>
      </c>
    </row>
    <row r="3859" spans="1:9" ht="16.5" x14ac:dyDescent="0.3">
      <c r="A3859" s="477">
        <v>9788788.5339692552</v>
      </c>
      <c r="B3859" s="458">
        <v>2.6347142100463739E-2</v>
      </c>
      <c r="C3859" s="477">
        <v>12740405.642003136</v>
      </c>
      <c r="D3859" s="458">
        <v>6.4761191038570365E-2</v>
      </c>
      <c r="E3859" s="477">
        <v>12781995.426538076</v>
      </c>
      <c r="F3859" s="458">
        <v>0.11121020649012681</v>
      </c>
      <c r="G3859" s="477">
        <v>81546752.86788173</v>
      </c>
      <c r="H3859" s="458">
        <v>0.26629886269269942</v>
      </c>
      <c r="I3859" s="468">
        <v>4.0137155807431668</v>
      </c>
    </row>
    <row r="3860" spans="1:9" ht="16.5" x14ac:dyDescent="0.3">
      <c r="A3860" s="477">
        <v>1224580.766322389</v>
      </c>
      <c r="B3860" s="458">
        <v>2.2073453292398959E-2</v>
      </c>
      <c r="C3860" s="477">
        <v>3080970.9544842732</v>
      </c>
      <c r="D3860" s="458">
        <v>0.10341723154292559</v>
      </c>
      <c r="E3860" s="477">
        <v>20416631.694195397</v>
      </c>
      <c r="F3860" s="458">
        <v>8.4733782553326309E-2</v>
      </c>
      <c r="G3860" s="477">
        <v>78811802.469106972</v>
      </c>
      <c r="H3860" s="458">
        <v>0.27238154435382755</v>
      </c>
      <c r="I3860" s="468">
        <v>8.0200498417210149</v>
      </c>
    </row>
    <row r="3861" spans="1:9" ht="16.5" x14ac:dyDescent="0.3">
      <c r="A3861" s="477">
        <v>7724162.1271299822</v>
      </c>
      <c r="B3861" s="458">
        <v>2.9430393285879264E-2</v>
      </c>
      <c r="C3861" s="477">
        <v>8591687.0629984606</v>
      </c>
      <c r="D3861" s="458">
        <v>4.5455208326761865E-2</v>
      </c>
      <c r="E3861" s="477">
        <v>14140836.762944017</v>
      </c>
      <c r="F3861" s="458">
        <v>9.8458563228112528E-2</v>
      </c>
      <c r="G3861" s="477">
        <v>100480938.79169753</v>
      </c>
      <c r="H3861" s="458">
        <v>0.25867951289785918</v>
      </c>
      <c r="I3861" s="468">
        <v>4.920348319340607</v>
      </c>
    </row>
    <row r="3862" spans="1:9" ht="16.5" x14ac:dyDescent="0.3">
      <c r="A3862" s="477">
        <v>3839736.8478793991</v>
      </c>
      <c r="B3862" s="458">
        <v>1.8797577517229991E-2</v>
      </c>
      <c r="C3862" s="477">
        <v>1797698.173049402</v>
      </c>
      <c r="D3862" s="458">
        <v>5.7614513471340834E-2</v>
      </c>
      <c r="E3862" s="477">
        <v>19445142.832573079</v>
      </c>
      <c r="F3862" s="458">
        <v>7.3100787107995613E-2</v>
      </c>
      <c r="G3862" s="477">
        <v>90667769.640727207</v>
      </c>
      <c r="H3862" s="458">
        <v>0.24927891147897574</v>
      </c>
      <c r="I3862" s="468">
        <v>-2.9191841532587404</v>
      </c>
    </row>
    <row r="3863" spans="1:9" ht="16.5" x14ac:dyDescent="0.3">
      <c r="A3863" s="477">
        <v>8931654.5077843219</v>
      </c>
      <c r="B3863" s="458">
        <v>3.7859662672447447E-2</v>
      </c>
      <c r="C3863" s="477">
        <v>11796014.765386142</v>
      </c>
      <c r="D3863" s="458">
        <v>6.2684486790933303E-2</v>
      </c>
      <c r="E3863" s="477">
        <v>17789481.532927372</v>
      </c>
      <c r="F3863" s="458">
        <v>0.12195385772272016</v>
      </c>
      <c r="G3863" s="477">
        <v>95444462.951717302</v>
      </c>
      <c r="H3863" s="458">
        <v>0.30280675947876068</v>
      </c>
      <c r="I3863" s="468">
        <v>-0.79520915522287794</v>
      </c>
    </row>
    <row r="3864" spans="1:9" ht="16.5" x14ac:dyDescent="0.3">
      <c r="A3864" s="477">
        <v>4009830.9297733395</v>
      </c>
      <c r="B3864" s="458">
        <v>8.2638901607034354E-2</v>
      </c>
      <c r="C3864" s="477">
        <v>8064315.4799825298</v>
      </c>
      <c r="D3864" s="458">
        <v>5.2747651665364659E-2</v>
      </c>
      <c r="E3864" s="477">
        <v>14741648.039121591</v>
      </c>
      <c r="F3864" s="458">
        <v>8.7315295537556237E-2</v>
      </c>
      <c r="G3864" s="477">
        <v>97083562.027384475</v>
      </c>
      <c r="H3864" s="458">
        <v>0.26507654628743427</v>
      </c>
      <c r="I3864" s="468">
        <v>-1.8461867347737204</v>
      </c>
    </row>
    <row r="3865" spans="1:9" ht="16.5" x14ac:dyDescent="0.3">
      <c r="A3865" s="477">
        <v>5481780.4478307795</v>
      </c>
      <c r="B3865" s="458">
        <v>4.6856531376059607E-2</v>
      </c>
      <c r="C3865" s="477">
        <v>11359951.862378176</v>
      </c>
      <c r="D3865" s="458">
        <v>7.1337604699155621E-2</v>
      </c>
      <c r="E3865" s="477">
        <v>17873049.975440316</v>
      </c>
      <c r="F3865" s="458">
        <v>0.12329540561414443</v>
      </c>
      <c r="G3865" s="477">
        <v>93578206.12561138</v>
      </c>
      <c r="H3865" s="458">
        <v>0.25473085823421204</v>
      </c>
      <c r="I3865" s="468">
        <v>7.0342756592807554</v>
      </c>
    </row>
    <row r="3866" spans="1:9" ht="16.5" x14ac:dyDescent="0.3">
      <c r="A3866" s="477">
        <v>1919685.9773182308</v>
      </c>
      <c r="B3866" s="458">
        <v>4.0720975151150363E-2</v>
      </c>
      <c r="C3866" s="477">
        <v>17755010.054298379</v>
      </c>
      <c r="D3866" s="458">
        <v>7.4312563341222271E-2</v>
      </c>
      <c r="E3866" s="477">
        <v>20450315.71690296</v>
      </c>
      <c r="F3866" s="458">
        <v>0.11409949822376575</v>
      </c>
      <c r="G3866" s="477">
        <v>93036283.33535552</v>
      </c>
      <c r="H3866" s="458">
        <v>0.29504577170227608</v>
      </c>
      <c r="I3866" s="468">
        <v>8.7055751506516081</v>
      </c>
    </row>
    <row r="3867" spans="1:9" ht="16.5" x14ac:dyDescent="0.3">
      <c r="A3867" s="477">
        <v>3070202.1895339196</v>
      </c>
      <c r="B3867" s="458">
        <v>3.1236065795581691E-2</v>
      </c>
      <c r="C3867" s="477">
        <v>12364143.820919188</v>
      </c>
      <c r="D3867" s="458">
        <v>6.0046493035805559E-2</v>
      </c>
      <c r="E3867" s="477">
        <v>17473061.445255071</v>
      </c>
      <c r="F3867" s="458">
        <v>9.0986802035530445E-2</v>
      </c>
      <c r="G3867" s="477">
        <v>88720179.808688208</v>
      </c>
      <c r="H3867" s="458">
        <v>0.27309529295049639</v>
      </c>
      <c r="I3867" s="468">
        <v>5.7615833761091659</v>
      </c>
    </row>
    <row r="3868" spans="1:9" ht="16.5" x14ac:dyDescent="0.3">
      <c r="A3868" s="477">
        <v>4559085.544570649</v>
      </c>
      <c r="B3868" s="458">
        <v>4.5642378135512418E-2</v>
      </c>
      <c r="C3868" s="477">
        <v>6965357.846513588</v>
      </c>
      <c r="D3868" s="458">
        <v>7.6313256064758361E-2</v>
      </c>
      <c r="E3868" s="477">
        <v>13307627.158289559</v>
      </c>
      <c r="F3868" s="458">
        <v>0.10767883470874962</v>
      </c>
      <c r="G3868" s="477">
        <v>92775143.318713769</v>
      </c>
      <c r="H3868" s="458">
        <v>0.27052009581399505</v>
      </c>
      <c r="I3868" s="468">
        <v>8.8406131139444941</v>
      </c>
    </row>
    <row r="3869" spans="1:9" ht="16.5" x14ac:dyDescent="0.3">
      <c r="A3869" s="477">
        <v>6194288.1309904382</v>
      </c>
      <c r="B3869" s="458">
        <v>3.3067406854679904E-2</v>
      </c>
      <c r="C3869" s="477">
        <v>5461168.7670397349</v>
      </c>
      <c r="D3869" s="458">
        <v>5.6929627536881133E-2</v>
      </c>
      <c r="E3869" s="477">
        <v>7943414.944466019</v>
      </c>
      <c r="F3869" s="458">
        <v>0.14460451132474961</v>
      </c>
      <c r="G3869" s="477">
        <v>95939926.713210732</v>
      </c>
      <c r="H3869" s="458">
        <v>0.24540071150331344</v>
      </c>
      <c r="I3869" s="468">
        <v>11.249011039308183</v>
      </c>
    </row>
    <row r="3870" spans="1:9" ht="16.5" x14ac:dyDescent="0.3">
      <c r="A3870" s="477">
        <v>5963565.2746956516</v>
      </c>
      <c r="B3870" s="458">
        <v>2.5215997906524956E-2</v>
      </c>
      <c r="C3870" s="477">
        <v>5363310.0065658502</v>
      </c>
      <c r="D3870" s="458">
        <v>6.716545382241712E-2</v>
      </c>
      <c r="E3870" s="477">
        <v>31438684.087463431</v>
      </c>
      <c r="F3870" s="458">
        <v>0.11419554247954022</v>
      </c>
      <c r="G3870" s="477">
        <v>91208897.485825717</v>
      </c>
      <c r="H3870" s="458">
        <v>0.25597590438173956</v>
      </c>
      <c r="I3870" s="468">
        <v>9.6158063639505773</v>
      </c>
    </row>
    <row r="3871" spans="1:9" ht="16.5" x14ac:dyDescent="0.3">
      <c r="A3871" s="477">
        <v>7991931.3494264772</v>
      </c>
      <c r="B3871" s="458">
        <v>2.8705638332419126E-2</v>
      </c>
      <c r="C3871" s="477">
        <v>1315170.3419352546</v>
      </c>
      <c r="D3871" s="458">
        <v>7.2170673353660453E-2</v>
      </c>
      <c r="E3871" s="477">
        <v>24247042.581784036</v>
      </c>
      <c r="F3871" s="458">
        <v>9.3404114042045849E-2</v>
      </c>
      <c r="G3871" s="477">
        <v>95284772.946640775</v>
      </c>
      <c r="H3871" s="458">
        <v>0.27397289487703325</v>
      </c>
      <c r="I3871" s="468">
        <v>14.122867958568829</v>
      </c>
    </row>
    <row r="3872" spans="1:9" ht="16.5" x14ac:dyDescent="0.3">
      <c r="A3872" s="477">
        <v>2977247.377968627</v>
      </c>
      <c r="B3872" s="458">
        <v>4.0765716784765926E-2</v>
      </c>
      <c r="C3872" s="477">
        <v>6754002.6847590478</v>
      </c>
      <c r="D3872" s="458">
        <v>5.4700431273188244E-2</v>
      </c>
      <c r="E3872" s="477">
        <v>14911496.45470511</v>
      </c>
      <c r="F3872" s="458">
        <v>0.10666892574828513</v>
      </c>
      <c r="G3872" s="477">
        <v>92674845.967126191</v>
      </c>
      <c r="H3872" s="458">
        <v>0.28566750135056784</v>
      </c>
      <c r="I3872" s="468">
        <v>6.2147134766083445</v>
      </c>
    </row>
    <row r="3873" spans="1:9" ht="16.5" x14ac:dyDescent="0.3">
      <c r="A3873" s="477">
        <v>5614794.6519800965</v>
      </c>
      <c r="B3873" s="458">
        <v>4.1845718263842091E-2</v>
      </c>
      <c r="C3873" s="477">
        <v>8698145.8205756973</v>
      </c>
      <c r="D3873" s="458">
        <v>5.6099625201768033E-2</v>
      </c>
      <c r="E3873" s="477">
        <v>5925751.1035732031</v>
      </c>
      <c r="F3873" s="458">
        <v>0.13171303321965322</v>
      </c>
      <c r="G3873" s="477">
        <v>102490104.16909111</v>
      </c>
      <c r="H3873" s="458">
        <v>0.28125605285281452</v>
      </c>
      <c r="I3873" s="468">
        <v>2.6824480192330258</v>
      </c>
    </row>
    <row r="3874" spans="1:9" ht="16.5" x14ac:dyDescent="0.3">
      <c r="A3874" s="477">
        <v>7050803.6814301265</v>
      </c>
      <c r="B3874" s="458">
        <v>4.4602419801568427E-2</v>
      </c>
      <c r="C3874" s="477">
        <v>6361875.4190853611</v>
      </c>
      <c r="D3874" s="458">
        <v>7.7082125863273898E-2</v>
      </c>
      <c r="E3874" s="477">
        <v>21382126.792872343</v>
      </c>
      <c r="F3874" s="458">
        <v>8.8816155766896498E-2</v>
      </c>
      <c r="G3874" s="477">
        <v>83538378.640247151</v>
      </c>
      <c r="H3874" s="458">
        <v>0.30093151212533908</v>
      </c>
      <c r="I3874" s="468">
        <v>9.6411021428580277</v>
      </c>
    </row>
    <row r="3875" spans="1:9" ht="16.5" x14ac:dyDescent="0.3">
      <c r="A3875" s="477">
        <v>2606073.4471405125</v>
      </c>
      <c r="B3875" s="458">
        <v>4.1949538395642305E-2</v>
      </c>
      <c r="C3875" s="477">
        <v>9643265.4942037854</v>
      </c>
      <c r="D3875" s="458">
        <v>0.11777078515788175</v>
      </c>
      <c r="E3875" s="477">
        <v>12126888.386684822</v>
      </c>
      <c r="F3875" s="458">
        <v>0.10747680746848864</v>
      </c>
      <c r="G3875" s="477">
        <v>99484660.377371877</v>
      </c>
      <c r="H3875" s="458">
        <v>0.2826355536116707</v>
      </c>
      <c r="I3875" s="468">
        <v>3.296472356481372</v>
      </c>
    </row>
    <row r="3876" spans="1:9" ht="16.5" x14ac:dyDescent="0.3">
      <c r="A3876" s="477">
        <v>5641375.9630470648</v>
      </c>
      <c r="B3876" s="458">
        <v>2.523551097320742E-2</v>
      </c>
      <c r="C3876" s="477">
        <v>11816298.656146381</v>
      </c>
      <c r="D3876" s="458">
        <v>3.6047184394793375E-2</v>
      </c>
      <c r="E3876" s="477">
        <v>14309523.407468922</v>
      </c>
      <c r="F3876" s="458">
        <v>0.10128669905729915</v>
      </c>
      <c r="G3876" s="477">
        <v>102731999.25483681</v>
      </c>
      <c r="H3876" s="458">
        <v>0.2530221698783488</v>
      </c>
      <c r="I3876" s="468">
        <v>13.923467322719347</v>
      </c>
    </row>
    <row r="3877" spans="1:9" ht="16.5" x14ac:dyDescent="0.3">
      <c r="A3877" s="477">
        <v>3453867.0387196369</v>
      </c>
      <c r="B3877" s="458">
        <v>4.5463774271348179E-2</v>
      </c>
      <c r="C3877" s="477">
        <v>6422340.1496658297</v>
      </c>
      <c r="D3877" s="458">
        <v>7.221096938916749E-2</v>
      </c>
      <c r="E3877" s="477">
        <v>17405566.309104383</v>
      </c>
      <c r="F3877" s="458">
        <v>5.544948626835855E-2</v>
      </c>
      <c r="G3877" s="477">
        <v>81387250.691343933</v>
      </c>
      <c r="H3877" s="458">
        <v>0.27304092652101186</v>
      </c>
      <c r="I3877" s="468">
        <v>8.453802493101886</v>
      </c>
    </row>
    <row r="3878" spans="1:9" ht="16.5" x14ac:dyDescent="0.3">
      <c r="A3878" s="477">
        <v>6286335.6270577442</v>
      </c>
      <c r="B3878" s="458">
        <v>4.7342703544667186E-2</v>
      </c>
      <c r="C3878" s="477">
        <v>13349265.442708664</v>
      </c>
      <c r="D3878" s="458">
        <v>6.5666827474419209E-2</v>
      </c>
      <c r="E3878" s="477">
        <v>12707822.968048817</v>
      </c>
      <c r="F3878" s="458">
        <v>9.3268697520785482E-2</v>
      </c>
      <c r="G3878" s="477">
        <v>98983742.270840809</v>
      </c>
      <c r="H3878" s="458">
        <v>0.31765608370032239</v>
      </c>
      <c r="I3878" s="468">
        <v>14.494454518983902</v>
      </c>
    </row>
    <row r="3879" spans="1:9" ht="16.5" x14ac:dyDescent="0.3">
      <c r="A3879" s="477">
        <v>7118168.4099520417</v>
      </c>
      <c r="B3879" s="458">
        <v>4.6209700245330998E-2</v>
      </c>
      <c r="C3879" s="477">
        <v>11596980.47316063</v>
      </c>
      <c r="D3879" s="458">
        <v>5.5701000262297073E-2</v>
      </c>
      <c r="E3879" s="477">
        <v>22038682.332052305</v>
      </c>
      <c r="F3879" s="458">
        <v>0.12419162593414645</v>
      </c>
      <c r="G3879" s="477">
        <v>84161201.149486616</v>
      </c>
      <c r="H3879" s="458">
        <v>0.28424387542112339</v>
      </c>
      <c r="I3879" s="468">
        <v>3.8015649537508303</v>
      </c>
    </row>
    <row r="3880" spans="1:9" ht="16.5" x14ac:dyDescent="0.3">
      <c r="A3880" s="477">
        <v>3817424.0068925512</v>
      </c>
      <c r="B3880" s="458">
        <v>6.9618001329211809E-2</v>
      </c>
      <c r="C3880" s="477">
        <v>1170550.9122554599</v>
      </c>
      <c r="D3880" s="458">
        <v>8.5549218959081186E-2</v>
      </c>
      <c r="E3880" s="477">
        <v>13036691.171511279</v>
      </c>
      <c r="F3880" s="458">
        <v>0.11274336688268205</v>
      </c>
      <c r="G3880" s="477">
        <v>85103049.384415686</v>
      </c>
      <c r="H3880" s="458">
        <v>0.27521770243672727</v>
      </c>
      <c r="I3880" s="468">
        <v>8.1449696369512736</v>
      </c>
    </row>
    <row r="3881" spans="1:9" ht="16.5" x14ac:dyDescent="0.3">
      <c r="A3881" s="477">
        <v>3241509.1801806181</v>
      </c>
      <c r="B3881" s="458">
        <v>3.3953057131197006E-2</v>
      </c>
      <c r="C3881" s="477">
        <v>11444211.315169735</v>
      </c>
      <c r="D3881" s="458">
        <v>6.8368807896776795E-2</v>
      </c>
      <c r="E3881" s="477">
        <v>334090.91681065498</v>
      </c>
      <c r="F3881" s="458">
        <v>0.10649558904104528</v>
      </c>
      <c r="G3881" s="477">
        <v>92508412.014317766</v>
      </c>
      <c r="H3881" s="458">
        <v>0.27955154521725634</v>
      </c>
      <c r="I3881" s="468">
        <v>3.9293122384384578</v>
      </c>
    </row>
    <row r="3882" spans="1:9" ht="16.5" x14ac:dyDescent="0.3">
      <c r="A3882" s="477">
        <v>6457045.3490947429</v>
      </c>
      <c r="B3882" s="458">
        <v>5.4994337544800098E-2</v>
      </c>
      <c r="C3882" s="477">
        <v>9978363.2731577363</v>
      </c>
      <c r="D3882" s="458">
        <v>5.5581589396689779E-2</v>
      </c>
      <c r="E3882" s="477">
        <v>7979928.2940038554</v>
      </c>
      <c r="F3882" s="458">
        <v>0.13789331102945512</v>
      </c>
      <c r="G3882" s="477">
        <v>88343658.600094706</v>
      </c>
      <c r="H3882" s="458">
        <v>0.26558054657337804</v>
      </c>
      <c r="I3882" s="468">
        <v>9.5048802218521633</v>
      </c>
    </row>
    <row r="3883" spans="1:9" ht="16.5" x14ac:dyDescent="0.3">
      <c r="A3883" s="477">
        <v>8681633.4285405781</v>
      </c>
      <c r="B3883" s="458">
        <v>4.0481082713209604E-2</v>
      </c>
      <c r="C3883" s="477">
        <v>10072161.39584923</v>
      </c>
      <c r="D3883" s="458">
        <v>4.0380442637357072E-2</v>
      </c>
      <c r="E3883" s="477">
        <v>12104339.974364905</v>
      </c>
      <c r="F3883" s="458">
        <v>0.11608902688794576</v>
      </c>
      <c r="G3883" s="477">
        <v>75393457.421213046</v>
      </c>
      <c r="H3883" s="458">
        <v>0.25852628726713744</v>
      </c>
      <c r="I3883" s="468">
        <v>6.7244665770552698</v>
      </c>
    </row>
    <row r="3884" spans="1:9" ht="16.5" x14ac:dyDescent="0.3">
      <c r="A3884" s="477">
        <v>5424599.1326294066</v>
      </c>
      <c r="B3884" s="458">
        <v>4.1952776293870508E-2</v>
      </c>
      <c r="C3884" s="477">
        <v>9555173.3930820972</v>
      </c>
      <c r="D3884" s="458">
        <v>8.8864509775788525E-2</v>
      </c>
      <c r="E3884" s="477">
        <v>13259210.125133948</v>
      </c>
      <c r="F3884" s="458">
        <v>9.0054194055811276E-2</v>
      </c>
      <c r="G3884" s="477">
        <v>88373332.613783076</v>
      </c>
      <c r="H3884" s="458">
        <v>0.27463343780941796</v>
      </c>
      <c r="I3884" s="468">
        <v>5.9498664032679596</v>
      </c>
    </row>
    <row r="3885" spans="1:9" ht="16.5" x14ac:dyDescent="0.3">
      <c r="A3885" s="477">
        <v>10291633.615016133</v>
      </c>
      <c r="B3885" s="458">
        <v>5.5865064587046653E-2</v>
      </c>
      <c r="C3885" s="477">
        <v>3424893.5040909154</v>
      </c>
      <c r="D3885" s="458">
        <v>6.5513850622964664E-2</v>
      </c>
      <c r="E3885" s="477">
        <v>12579257.617901895</v>
      </c>
      <c r="F3885" s="458">
        <v>0.11967175884739456</v>
      </c>
      <c r="G3885" s="477">
        <v>86097923.732584745</v>
      </c>
      <c r="H3885" s="458">
        <v>0.26709683916770643</v>
      </c>
      <c r="I3885" s="468">
        <v>7.7958208637271387</v>
      </c>
    </row>
    <row r="3886" spans="1:9" ht="16.5" x14ac:dyDescent="0.3">
      <c r="A3886" s="477">
        <v>4428776.9512492456</v>
      </c>
      <c r="B3886" s="458">
        <v>6.7990898084607787E-2</v>
      </c>
      <c r="C3886" s="477">
        <v>10962522.531968631</v>
      </c>
      <c r="D3886" s="458">
        <v>3.9539617726116028E-2</v>
      </c>
      <c r="E3886" s="477">
        <v>12642283.654973553</v>
      </c>
      <c r="F3886" s="458">
        <v>0.1386299066272465</v>
      </c>
      <c r="G3886" s="477">
        <v>79172606.155694038</v>
      </c>
      <c r="H3886" s="458">
        <v>0.28010754106151836</v>
      </c>
      <c r="I3886" s="468">
        <v>11.728735080553619</v>
      </c>
    </row>
    <row r="3887" spans="1:9" ht="16.5" x14ac:dyDescent="0.3">
      <c r="A3887" s="477">
        <v>9373135.5536052473</v>
      </c>
      <c r="B3887" s="458">
        <v>4.9521108427092564E-2</v>
      </c>
      <c r="C3887" s="477">
        <v>9881730.6218495928</v>
      </c>
      <c r="D3887" s="458">
        <v>6.5842069437528128E-2</v>
      </c>
      <c r="E3887" s="477">
        <v>19406567.688265845</v>
      </c>
      <c r="F3887" s="458">
        <v>0.12997448261826361</v>
      </c>
      <c r="G3887" s="477">
        <v>81836311.124501735</v>
      </c>
      <c r="H3887" s="458">
        <v>0.26714229048353233</v>
      </c>
      <c r="I3887" s="468">
        <v>10.264519090550632</v>
      </c>
    </row>
    <row r="3888" spans="1:9" ht="16.5" x14ac:dyDescent="0.3">
      <c r="A3888" s="477">
        <v>7931125.7474351907</v>
      </c>
      <c r="B3888" s="458">
        <v>2.8639028693349111E-2</v>
      </c>
      <c r="C3888" s="477">
        <v>5615932.5132194487</v>
      </c>
      <c r="D3888" s="458">
        <v>5.1538939356827962E-2</v>
      </c>
      <c r="E3888" s="477">
        <v>21111853.27649162</v>
      </c>
      <c r="F3888" s="458">
        <v>0.10755471994696375</v>
      </c>
      <c r="G3888" s="477">
        <v>92379036.483043581</v>
      </c>
      <c r="H3888" s="458">
        <v>0.26230646139091185</v>
      </c>
      <c r="I3888" s="468">
        <v>1.6724772256306819</v>
      </c>
    </row>
    <row r="3889" spans="1:9" ht="16.5" x14ac:dyDescent="0.3">
      <c r="A3889" s="477">
        <v>3832937.9527129759</v>
      </c>
      <c r="B3889" s="458">
        <v>6.0207575374448208E-2</v>
      </c>
      <c r="C3889" s="477">
        <v>4051917.8805127116</v>
      </c>
      <c r="D3889" s="458">
        <v>4.0372727648437357E-2</v>
      </c>
      <c r="E3889" s="477">
        <v>19500647.035774745</v>
      </c>
      <c r="F3889" s="458">
        <v>0.11497544157116368</v>
      </c>
      <c r="G3889" s="477">
        <v>95541287.483797118</v>
      </c>
      <c r="H3889" s="458">
        <v>0.26641583947917402</v>
      </c>
      <c r="I3889" s="468">
        <v>6.0635477979691217</v>
      </c>
    </row>
    <row r="3890" spans="1:9" ht="16.5" x14ac:dyDescent="0.3">
      <c r="A3890" s="477">
        <v>9146131.1181712411</v>
      </c>
      <c r="B3890" s="458">
        <v>5.0221775568363158E-2</v>
      </c>
      <c r="C3890" s="477">
        <v>8997993.5108775441</v>
      </c>
      <c r="D3890" s="458">
        <v>3.1574506023838822E-2</v>
      </c>
      <c r="E3890" s="477">
        <v>20340803.371471003</v>
      </c>
      <c r="F3890" s="458">
        <v>0.11171548767632533</v>
      </c>
      <c r="G3890" s="477">
        <v>88987729.059239522</v>
      </c>
      <c r="H3890" s="458">
        <v>0.26480302217689933</v>
      </c>
      <c r="I3890" s="468">
        <v>7.6205424152794095</v>
      </c>
    </row>
    <row r="3891" spans="1:9" ht="16.5" x14ac:dyDescent="0.3">
      <c r="A3891" s="477">
        <v>4445640.3134150403</v>
      </c>
      <c r="B3891" s="458">
        <v>4.3387679486087238E-2</v>
      </c>
      <c r="C3891" s="477">
        <v>12684061.190475222</v>
      </c>
      <c r="D3891" s="458">
        <v>8.6744407478511754E-2</v>
      </c>
      <c r="E3891" s="477">
        <v>16683134.81502104</v>
      </c>
      <c r="F3891" s="458">
        <v>9.7302623946184497E-2</v>
      </c>
      <c r="G3891" s="477">
        <v>99650405.519847244</v>
      </c>
      <c r="H3891" s="458">
        <v>0.25265023901970807</v>
      </c>
      <c r="I3891" s="468">
        <v>5.7956154562132562</v>
      </c>
    </row>
    <row r="3892" spans="1:9" ht="16.5" x14ac:dyDescent="0.3">
      <c r="A3892" s="477">
        <v>3559115.7891884637</v>
      </c>
      <c r="B3892" s="458">
        <v>4.3435684172820066E-2</v>
      </c>
      <c r="C3892" s="477">
        <v>8891015.8314298503</v>
      </c>
      <c r="D3892" s="458">
        <v>8.6814178237667905E-2</v>
      </c>
      <c r="E3892" s="477">
        <v>15896700.475075383</v>
      </c>
      <c r="F3892" s="458">
        <v>0.1017106001812127</v>
      </c>
      <c r="G3892" s="477">
        <v>100029578.55655918</v>
      </c>
      <c r="H3892" s="458">
        <v>0.26148068289751225</v>
      </c>
      <c r="I3892" s="468">
        <v>8.4344653771991602</v>
      </c>
    </row>
    <row r="3893" spans="1:9" ht="16.5" x14ac:dyDescent="0.3">
      <c r="A3893" s="477">
        <v>2066809.4174398435</v>
      </c>
      <c r="B3893" s="458">
        <v>-8.3123911928082439E-3</v>
      </c>
      <c r="C3893" s="477">
        <v>5228390.7318774462</v>
      </c>
      <c r="D3893" s="458">
        <v>7.08281045979966E-2</v>
      </c>
      <c r="E3893" s="477">
        <v>9353034.0753978323</v>
      </c>
      <c r="F3893" s="458">
        <v>9.3756288359059692E-2</v>
      </c>
      <c r="G3893" s="477">
        <v>86016795.613407105</v>
      </c>
      <c r="H3893" s="458">
        <v>0.26098752993695484</v>
      </c>
      <c r="I3893" s="468">
        <v>12.707635662566741</v>
      </c>
    </row>
    <row r="3894" spans="1:9" ht="16.5" x14ac:dyDescent="0.3">
      <c r="A3894" s="477">
        <v>4117512.6427111342</v>
      </c>
      <c r="B3894" s="458">
        <v>4.5687236606427817E-2</v>
      </c>
      <c r="C3894" s="477">
        <v>13630629.65069285</v>
      </c>
      <c r="D3894" s="458">
        <v>7.0049915263764362E-2</v>
      </c>
      <c r="E3894" s="477">
        <v>20813606.762922142</v>
      </c>
      <c r="F3894" s="458">
        <v>0.11471070417523865</v>
      </c>
      <c r="G3894" s="477">
        <v>96746824.150143325</v>
      </c>
      <c r="H3894" s="458">
        <v>0.26660633648389176</v>
      </c>
      <c r="I3894" s="468">
        <v>7.4922738201501575</v>
      </c>
    </row>
    <row r="3895" spans="1:9" ht="16.5" x14ac:dyDescent="0.3">
      <c r="A3895" s="477">
        <v>1379478.87907694</v>
      </c>
      <c r="B3895" s="458">
        <v>3.8785073011996962E-2</v>
      </c>
      <c r="C3895" s="477">
        <v>10729434.449175784</v>
      </c>
      <c r="D3895" s="458">
        <v>5.09944119422161E-2</v>
      </c>
      <c r="E3895" s="477">
        <v>21517399.308292553</v>
      </c>
      <c r="F3895" s="458">
        <v>0.11491919109181703</v>
      </c>
      <c r="G3895" s="477">
        <v>90564719.902950063</v>
      </c>
      <c r="H3895" s="458">
        <v>0.26456736712850515</v>
      </c>
      <c r="I3895" s="468">
        <v>7.9219651996342284</v>
      </c>
    </row>
    <row r="3896" spans="1:9" ht="16.5" x14ac:dyDescent="0.3">
      <c r="A3896" s="477">
        <v>3395301.0996321384</v>
      </c>
      <c r="B3896" s="458">
        <v>5.2282027249840546E-2</v>
      </c>
      <c r="C3896" s="477">
        <v>3011931.5140717025</v>
      </c>
      <c r="D3896" s="458">
        <v>5.2239848146252932E-2</v>
      </c>
      <c r="E3896" s="477">
        <v>20541734.229950577</v>
      </c>
      <c r="F3896" s="458">
        <v>0.1009746573887933</v>
      </c>
      <c r="G3896" s="477">
        <v>79954690.74627462</v>
      </c>
      <c r="H3896" s="458">
        <v>0.26825028361952308</v>
      </c>
      <c r="I3896" s="468">
        <v>6.939496804517959</v>
      </c>
    </row>
    <row r="3897" spans="1:9" ht="16.5" x14ac:dyDescent="0.3">
      <c r="A3897" s="477">
        <v>2161585.8694676142</v>
      </c>
      <c r="B3897" s="458">
        <v>3.147465379106551E-2</v>
      </c>
      <c r="C3897" s="477">
        <v>9189110.8531496935</v>
      </c>
      <c r="D3897" s="458">
        <v>4.695752631372585E-2</v>
      </c>
      <c r="E3897" s="477">
        <v>15092910.749909919</v>
      </c>
      <c r="F3897" s="458">
        <v>0.10919216796303322</v>
      </c>
      <c r="G3897" s="477">
        <v>102935716.78301874</v>
      </c>
      <c r="H3897" s="458">
        <v>0.30150044618553351</v>
      </c>
      <c r="I3897" s="468">
        <v>9.550527323197155</v>
      </c>
    </row>
    <row r="3898" spans="1:9" ht="16.5" x14ac:dyDescent="0.3">
      <c r="A3898" s="477">
        <v>10322919.028956169</v>
      </c>
      <c r="B3898" s="458">
        <v>4.6796350203336612E-2</v>
      </c>
      <c r="C3898" s="477">
        <v>10732820.401921665</v>
      </c>
      <c r="D3898" s="458">
        <v>5.3833795833784448E-2</v>
      </c>
      <c r="E3898" s="477">
        <v>26893873.694989264</v>
      </c>
      <c r="F3898" s="458">
        <v>0.10190609358157054</v>
      </c>
      <c r="G3898" s="477">
        <v>89235327.561156765</v>
      </c>
      <c r="H3898" s="458">
        <v>0.28506281925374122</v>
      </c>
      <c r="I3898" s="468">
        <v>4.3606185066713445</v>
      </c>
    </row>
    <row r="3899" spans="1:9" ht="16.5" x14ac:dyDescent="0.3">
      <c r="A3899" s="477">
        <v>5828764.4813330816</v>
      </c>
      <c r="B3899" s="458">
        <v>4.9744092104984317E-2</v>
      </c>
      <c r="C3899" s="477">
        <v>6291363.7564301305</v>
      </c>
      <c r="D3899" s="458">
        <v>5.7848260983665245E-2</v>
      </c>
      <c r="E3899" s="477">
        <v>10898385.456229309</v>
      </c>
      <c r="F3899" s="458">
        <v>0.11504179081511001</v>
      </c>
      <c r="G3899" s="477">
        <v>91094503.708029956</v>
      </c>
      <c r="H3899" s="458">
        <v>0.25483346132099904</v>
      </c>
      <c r="I3899" s="468">
        <v>8.4769039713799579</v>
      </c>
    </row>
    <row r="3900" spans="1:9" ht="16.5" x14ac:dyDescent="0.3">
      <c r="A3900" s="477">
        <v>6740356.8565715756</v>
      </c>
      <c r="B3900" s="458">
        <v>2.5968017496723839E-2</v>
      </c>
      <c r="C3900" s="477">
        <v>9304610.0436677281</v>
      </c>
      <c r="D3900" s="458">
        <v>3.9043202886666961E-2</v>
      </c>
      <c r="E3900" s="477">
        <v>21430250.647276599</v>
      </c>
      <c r="F3900" s="458">
        <v>0.11342867798496736</v>
      </c>
      <c r="G3900" s="477">
        <v>90877723.217432112</v>
      </c>
      <c r="H3900" s="458">
        <v>0.25350761778413133</v>
      </c>
      <c r="I3900" s="468">
        <v>7.9195629015392397</v>
      </c>
    </row>
    <row r="3901" spans="1:9" ht="16.5" x14ac:dyDescent="0.3">
      <c r="A3901" s="477">
        <v>6409958.3662664853</v>
      </c>
      <c r="B3901" s="458">
        <v>2.6557876485791443E-2</v>
      </c>
      <c r="C3901" s="477">
        <v>7319617.2045771806</v>
      </c>
      <c r="D3901" s="458">
        <v>9.4527408877660868E-2</v>
      </c>
      <c r="E3901" s="477">
        <v>17898930.871622443</v>
      </c>
      <c r="F3901" s="458">
        <v>9.7442350490104745E-2</v>
      </c>
      <c r="G3901" s="477">
        <v>99709651.193238884</v>
      </c>
      <c r="H3901" s="458">
        <v>0.26832543002487652</v>
      </c>
      <c r="I3901" s="468">
        <v>11.176755253642401</v>
      </c>
    </row>
    <row r="3902" spans="1:9" ht="16.5" x14ac:dyDescent="0.3">
      <c r="A3902" s="477">
        <v>8015743.3265327653</v>
      </c>
      <c r="B3902" s="458">
        <v>6.0551859898636096E-2</v>
      </c>
      <c r="C3902" s="477">
        <v>3730090.7037201007</v>
      </c>
      <c r="D3902" s="458">
        <v>6.4946084546203542E-2</v>
      </c>
      <c r="E3902" s="477">
        <v>14275340.206454609</v>
      </c>
      <c r="F3902" s="458">
        <v>0.11478536096879721</v>
      </c>
      <c r="G3902" s="477">
        <v>95321647.760587335</v>
      </c>
      <c r="H3902" s="458">
        <v>0.26489067178006054</v>
      </c>
      <c r="I3902" s="468">
        <v>5.7577327990380596</v>
      </c>
    </row>
    <row r="3903" spans="1:9" ht="16.5" x14ac:dyDescent="0.3">
      <c r="A3903" s="477">
        <v>8637369.7471658606</v>
      </c>
      <c r="B3903" s="458">
        <v>3.9631200717298309E-2</v>
      </c>
      <c r="C3903" s="477">
        <v>12983468.388322815</v>
      </c>
      <c r="D3903" s="458">
        <v>5.5822469677912157E-2</v>
      </c>
      <c r="E3903" s="477">
        <v>14152033.628519697</v>
      </c>
      <c r="F3903" s="458">
        <v>9.5995363322305183E-2</v>
      </c>
      <c r="G3903" s="477">
        <v>86951487.107275456</v>
      </c>
      <c r="H3903" s="458">
        <v>0.25358131234339321</v>
      </c>
      <c r="I3903" s="468">
        <v>6.7007933942485076</v>
      </c>
    </row>
    <row r="3904" spans="1:9" ht="16.5" x14ac:dyDescent="0.3">
      <c r="A3904" s="477">
        <v>2283905.4630353679</v>
      </c>
      <c r="B3904" s="458">
        <v>5.7732012866203108E-2</v>
      </c>
      <c r="C3904" s="477">
        <v>10786776.46842677</v>
      </c>
      <c r="D3904" s="458">
        <v>4.5365074726827714E-2</v>
      </c>
      <c r="E3904" s="477">
        <v>15989513.32391509</v>
      </c>
      <c r="F3904" s="458">
        <v>0.14007441784994867</v>
      </c>
      <c r="G3904" s="477">
        <v>95756710.891629219</v>
      </c>
      <c r="H3904" s="458">
        <v>0.25911870800603287</v>
      </c>
      <c r="I3904" s="468">
        <v>12.778997229897085</v>
      </c>
    </row>
    <row r="3905" spans="1:9" ht="16.5" x14ac:dyDescent="0.3">
      <c r="A3905" s="477">
        <v>7335732.794546064</v>
      </c>
      <c r="B3905" s="458">
        <v>4.8135593270116184E-2</v>
      </c>
      <c r="C3905" s="477">
        <v>12923582.971093124</v>
      </c>
      <c r="D3905" s="458">
        <v>5.4756413005538018E-2</v>
      </c>
      <c r="E3905" s="477">
        <v>12054071.408817289</v>
      </c>
      <c r="F3905" s="458">
        <v>0.11156044779510577</v>
      </c>
      <c r="G3905" s="477">
        <v>82533031.564616799</v>
      </c>
      <c r="H3905" s="458">
        <v>0.25682948783953696</v>
      </c>
      <c r="I3905" s="468">
        <v>6.5444068500328179</v>
      </c>
    </row>
    <row r="3906" spans="1:9" ht="16.5" x14ac:dyDescent="0.3">
      <c r="A3906" s="477">
        <v>4346985.3267090339</v>
      </c>
      <c r="B3906" s="458">
        <v>4.9703840410199041E-2</v>
      </c>
      <c r="C3906" s="477">
        <v>13157854.545373756</v>
      </c>
      <c r="D3906" s="458">
        <v>6.3743109900663342E-2</v>
      </c>
      <c r="E3906" s="477">
        <v>12888281.229914673</v>
      </c>
      <c r="F3906" s="458">
        <v>9.1524955573909939E-2</v>
      </c>
      <c r="G3906" s="477">
        <v>81749501.298280567</v>
      </c>
      <c r="H3906" s="458">
        <v>0.24635332221056871</v>
      </c>
      <c r="I3906" s="468">
        <v>0.43422513961840892</v>
      </c>
    </row>
    <row r="3907" spans="1:9" ht="16.5" x14ac:dyDescent="0.3">
      <c r="A3907" s="477">
        <v>9003221.0639053881</v>
      </c>
      <c r="B3907" s="458">
        <v>4.249755859084714E-2</v>
      </c>
      <c r="C3907" s="477">
        <v>15175557.694975372</v>
      </c>
      <c r="D3907" s="458">
        <v>5.8721576089804772E-2</v>
      </c>
      <c r="E3907" s="477">
        <v>10264308.175150719</v>
      </c>
      <c r="F3907" s="458">
        <v>8.9935797316327504E-2</v>
      </c>
      <c r="G3907" s="477">
        <v>79750426.34477286</v>
      </c>
      <c r="H3907" s="458">
        <v>0.25893141858759483</v>
      </c>
      <c r="I3907" s="468">
        <v>7.8489443808810151</v>
      </c>
    </row>
    <row r="3908" spans="1:9" ht="16.5" x14ac:dyDescent="0.3">
      <c r="A3908" s="477">
        <v>7072437.3443524083</v>
      </c>
      <c r="B3908" s="458">
        <v>4.7189848366757214E-2</v>
      </c>
      <c r="C3908" s="477">
        <v>6331164.1470437543</v>
      </c>
      <c r="D3908" s="458">
        <v>7.5373832518033979E-2</v>
      </c>
      <c r="E3908" s="477">
        <v>15638448.416493701</v>
      </c>
      <c r="F3908" s="458">
        <v>0.10746247123589958</v>
      </c>
      <c r="G3908" s="477">
        <v>82537901.110143661</v>
      </c>
      <c r="H3908" s="458">
        <v>0.28276563556728318</v>
      </c>
      <c r="I3908" s="468">
        <v>3.6616119394821833</v>
      </c>
    </row>
    <row r="3909" spans="1:9" ht="16.5" x14ac:dyDescent="0.3">
      <c r="A3909" s="477">
        <v>8332326.9969683494</v>
      </c>
      <c r="B3909" s="458">
        <v>4.8543532250690191E-2</v>
      </c>
      <c r="C3909" s="477">
        <v>7452728.1818478508</v>
      </c>
      <c r="D3909" s="458">
        <v>5.4271130250959976E-2</v>
      </c>
      <c r="E3909" s="477">
        <v>8867145.3187110126</v>
      </c>
      <c r="F3909" s="458">
        <v>9.9310746522344395E-2</v>
      </c>
      <c r="G3909" s="477">
        <v>92071663.735550821</v>
      </c>
      <c r="H3909" s="458">
        <v>0.26062349817976105</v>
      </c>
      <c r="I3909" s="468">
        <v>7.2492380295476462</v>
      </c>
    </row>
    <row r="3910" spans="1:9" ht="16.5" x14ac:dyDescent="0.3">
      <c r="A3910" s="477">
        <v>-378833.03924284352</v>
      </c>
      <c r="B3910" s="458">
        <v>5.6255605025301803E-2</v>
      </c>
      <c r="C3910" s="477">
        <v>8752663.2482231315</v>
      </c>
      <c r="D3910" s="458">
        <v>5.93741739016731E-2</v>
      </c>
      <c r="E3910" s="477">
        <v>19328638.284211349</v>
      </c>
      <c r="F3910" s="458">
        <v>0.11634067097672784</v>
      </c>
      <c r="G3910" s="477">
        <v>90131656.182206839</v>
      </c>
      <c r="H3910" s="458">
        <v>0.29842036795421101</v>
      </c>
      <c r="I3910" s="468">
        <v>4.3075242005516436</v>
      </c>
    </row>
    <row r="3911" spans="1:9" ht="16.5" x14ac:dyDescent="0.3">
      <c r="A3911" s="477">
        <v>6852987.9901088281</v>
      </c>
      <c r="B3911" s="458">
        <v>3.541792857427617E-2</v>
      </c>
      <c r="C3911" s="477">
        <v>2367741.529791072</v>
      </c>
      <c r="D3911" s="458">
        <v>5.8188894597621443E-2</v>
      </c>
      <c r="E3911" s="477">
        <v>22588754.726492073</v>
      </c>
      <c r="F3911" s="458">
        <v>0.11667185499961752</v>
      </c>
      <c r="G3911" s="477">
        <v>88400866.025735304</v>
      </c>
      <c r="H3911" s="458">
        <v>0.26679741135543655</v>
      </c>
      <c r="I3911" s="468">
        <v>6.0112837319614094</v>
      </c>
    </row>
    <row r="3912" spans="1:9" ht="16.5" x14ac:dyDescent="0.3">
      <c r="A3912" s="477">
        <v>5128509.4271773715</v>
      </c>
      <c r="B3912" s="458">
        <v>3.7985385153642248E-2</v>
      </c>
      <c r="C3912" s="477">
        <v>7274779.0693247849</v>
      </c>
      <c r="D3912" s="458">
        <v>6.8855664629523083E-2</v>
      </c>
      <c r="E3912" s="477">
        <v>24000781.717680246</v>
      </c>
      <c r="F3912" s="458">
        <v>0.10523480826346643</v>
      </c>
      <c r="G3912" s="477">
        <v>93373679.92206867</v>
      </c>
      <c r="H3912" s="458">
        <v>0.28937342391732335</v>
      </c>
      <c r="I3912" s="468">
        <v>7.3275532817871101</v>
      </c>
    </row>
    <row r="3913" spans="1:9" ht="16.5" x14ac:dyDescent="0.3">
      <c r="A3913" s="477">
        <v>6897324.7065070616</v>
      </c>
      <c r="B3913" s="458">
        <v>3.8596817169977982E-2</v>
      </c>
      <c r="C3913" s="477">
        <v>15962522.319609534</v>
      </c>
      <c r="D3913" s="458">
        <v>7.4432895954603451E-2</v>
      </c>
      <c r="E3913" s="477">
        <v>21623083.904762469</v>
      </c>
      <c r="F3913" s="458">
        <v>0.10544643792143571</v>
      </c>
      <c r="G3913" s="477">
        <v>82944468.940639362</v>
      </c>
      <c r="H3913" s="458">
        <v>0.28299101745891253</v>
      </c>
      <c r="I3913" s="468">
        <v>7.6546726813714052</v>
      </c>
    </row>
    <row r="3914" spans="1:9" ht="16.5" x14ac:dyDescent="0.3">
      <c r="A3914" s="477">
        <v>1874605.2374840849</v>
      </c>
      <c r="B3914" s="458">
        <v>4.7184819903291597E-2</v>
      </c>
      <c r="C3914" s="477">
        <v>4587886.2967381291</v>
      </c>
      <c r="D3914" s="458">
        <v>9.6617692558839341E-2</v>
      </c>
      <c r="E3914" s="477">
        <v>17898950.521828812</v>
      </c>
      <c r="F3914" s="458">
        <v>9.9013526955502584E-2</v>
      </c>
      <c r="G3914" s="477">
        <v>91239955.475286737</v>
      </c>
      <c r="H3914" s="458">
        <v>0.2618928453094973</v>
      </c>
      <c r="I3914" s="468">
        <v>9.2352517438961375</v>
      </c>
    </row>
    <row r="3915" spans="1:9" ht="16.5" x14ac:dyDescent="0.3">
      <c r="A3915" s="477">
        <v>7641253.638696772</v>
      </c>
      <c r="B3915" s="458">
        <v>4.7276990795325435E-2</v>
      </c>
      <c r="C3915" s="477">
        <v>7601753.3260007389</v>
      </c>
      <c r="D3915" s="458">
        <v>7.6573793716234517E-2</v>
      </c>
      <c r="E3915" s="477">
        <v>16067016.588955024</v>
      </c>
      <c r="F3915" s="458">
        <v>0.10395979135235289</v>
      </c>
      <c r="G3915" s="477">
        <v>90655714.085532263</v>
      </c>
      <c r="H3915" s="458">
        <v>0.28011682302362018</v>
      </c>
      <c r="I3915" s="468">
        <v>11.169414937120569</v>
      </c>
    </row>
    <row r="3916" spans="1:9" ht="16.5" x14ac:dyDescent="0.3">
      <c r="A3916" s="477">
        <v>4681729.8859160552</v>
      </c>
      <c r="B3916" s="458">
        <v>3.3516160610909562E-2</v>
      </c>
      <c r="C3916" s="477">
        <v>14785252.91562815</v>
      </c>
      <c r="D3916" s="458">
        <v>6.68218575021573E-2</v>
      </c>
      <c r="E3916" s="477">
        <v>19568089.139979329</v>
      </c>
      <c r="F3916" s="458">
        <v>0.11971006646310278</v>
      </c>
      <c r="G3916" s="477">
        <v>95825982.221764982</v>
      </c>
      <c r="H3916" s="458">
        <v>0.26860660689253435</v>
      </c>
      <c r="I3916" s="468">
        <v>2.0833150884638165</v>
      </c>
    </row>
    <row r="3917" spans="1:9" ht="16.5" x14ac:dyDescent="0.3">
      <c r="A3917" s="477">
        <v>7604799.7014284562</v>
      </c>
      <c r="B3917" s="458">
        <v>3.26333060520414E-2</v>
      </c>
      <c r="C3917" s="477">
        <v>13321137.059887694</v>
      </c>
      <c r="D3917" s="458">
        <v>0.100086807381359</v>
      </c>
      <c r="E3917" s="477">
        <v>13055850.116274718</v>
      </c>
      <c r="F3917" s="458">
        <v>0.10443655870890511</v>
      </c>
      <c r="G3917" s="477">
        <v>95353939.798409075</v>
      </c>
      <c r="H3917" s="458">
        <v>0.26703160850426744</v>
      </c>
      <c r="I3917" s="468">
        <v>6.8405587923218603</v>
      </c>
    </row>
    <row r="3918" spans="1:9" ht="16.5" x14ac:dyDescent="0.3">
      <c r="A3918" s="477">
        <v>8585553.6785515677</v>
      </c>
      <c r="B3918" s="458">
        <v>4.6485314942245504E-2</v>
      </c>
      <c r="C3918" s="477">
        <v>54137.71344362761</v>
      </c>
      <c r="D3918" s="458">
        <v>7.6491332593165762E-2</v>
      </c>
      <c r="E3918" s="477">
        <v>13987396.421769954</v>
      </c>
      <c r="F3918" s="458">
        <v>9.0876018457845653E-2</v>
      </c>
      <c r="G3918" s="477">
        <v>95924095.744318441</v>
      </c>
      <c r="H3918" s="458">
        <v>0.28340877642056106</v>
      </c>
      <c r="I3918" s="468">
        <v>5.0067838857044702</v>
      </c>
    </row>
    <row r="3919" spans="1:9" ht="16.5" x14ac:dyDescent="0.3">
      <c r="A3919" s="477">
        <v>7634241.9378499035</v>
      </c>
      <c r="B3919" s="458">
        <v>4.2319276832122998E-2</v>
      </c>
      <c r="C3919" s="477">
        <v>7844061.5728453137</v>
      </c>
      <c r="D3919" s="458">
        <v>6.2022402274367172E-2</v>
      </c>
      <c r="E3919" s="477">
        <v>22569443.734099124</v>
      </c>
      <c r="F3919" s="458">
        <v>7.6500643152252801E-2</v>
      </c>
      <c r="G3919" s="477">
        <v>97362571.283471271</v>
      </c>
      <c r="H3919" s="458">
        <v>0.26501870238498926</v>
      </c>
      <c r="I3919" s="468">
        <v>6.2674094316902069</v>
      </c>
    </row>
    <row r="3920" spans="1:9" ht="16.5" x14ac:dyDescent="0.3">
      <c r="A3920" s="477">
        <v>4672340.3965287805</v>
      </c>
      <c r="B3920" s="458">
        <v>3.4724563168810674E-2</v>
      </c>
      <c r="C3920" s="477">
        <v>287043.261828869</v>
      </c>
      <c r="D3920" s="458">
        <v>6.7052275886484214E-2</v>
      </c>
      <c r="E3920" s="477">
        <v>19254273.265217617</v>
      </c>
      <c r="F3920" s="458">
        <v>9.7180706995435573E-2</v>
      </c>
      <c r="G3920" s="477">
        <v>90043482.858866647</v>
      </c>
      <c r="H3920" s="458">
        <v>0.27245855818450226</v>
      </c>
      <c r="I3920" s="468">
        <v>1.527983646783488</v>
      </c>
    </row>
    <row r="3921" spans="1:9" ht="16.5" x14ac:dyDescent="0.3">
      <c r="A3921" s="477">
        <v>9275347.9984993227</v>
      </c>
      <c r="B3921" s="458">
        <v>5.896108669234712E-2</v>
      </c>
      <c r="C3921" s="477">
        <v>457102.16701259668</v>
      </c>
      <c r="D3921" s="458">
        <v>6.8083770893347051E-2</v>
      </c>
      <c r="E3921" s="477">
        <v>18165298.326716535</v>
      </c>
      <c r="F3921" s="458">
        <v>0.13903877575898549</v>
      </c>
      <c r="G3921" s="477">
        <v>82369171.003424853</v>
      </c>
      <c r="H3921" s="458">
        <v>0.25039664816514695</v>
      </c>
      <c r="I3921" s="468">
        <v>8.0353030341725411</v>
      </c>
    </row>
    <row r="3922" spans="1:9" ht="16.5" x14ac:dyDescent="0.3">
      <c r="A3922" s="477">
        <v>2491873.2784394291</v>
      </c>
      <c r="B3922" s="458">
        <v>3.0925644843942113E-2</v>
      </c>
      <c r="C3922" s="477">
        <v>10754314.20131911</v>
      </c>
      <c r="D3922" s="458">
        <v>4.6226448383112961E-2</v>
      </c>
      <c r="E3922" s="477">
        <v>19630168.225107443</v>
      </c>
      <c r="F3922" s="458">
        <v>0.1270763916417208</v>
      </c>
      <c r="G3922" s="477">
        <v>88542474.906867936</v>
      </c>
      <c r="H3922" s="458">
        <v>0.29519767826006826</v>
      </c>
      <c r="I3922" s="468">
        <v>10.052992929884185</v>
      </c>
    </row>
    <row r="3923" spans="1:9" ht="16.5" x14ac:dyDescent="0.3">
      <c r="A3923" s="477">
        <v>8088757.8021204025</v>
      </c>
      <c r="B3923" s="458">
        <v>2.8424396602787061E-2</v>
      </c>
      <c r="C3923" s="477">
        <v>7601163.3343882775</v>
      </c>
      <c r="D3923" s="458">
        <v>6.7997664067328767E-2</v>
      </c>
      <c r="E3923" s="477">
        <v>14109107.097312126</v>
      </c>
      <c r="F3923" s="458">
        <v>0.14544234371002696</v>
      </c>
      <c r="G3923" s="477">
        <v>65418886.553266913</v>
      </c>
      <c r="H3923" s="458">
        <v>0.2795440758442953</v>
      </c>
      <c r="I3923" s="468">
        <v>11.491557676864147</v>
      </c>
    </row>
    <row r="3924" spans="1:9" ht="16.5" x14ac:dyDescent="0.3">
      <c r="A3924" s="477">
        <v>7723147.1876703231</v>
      </c>
      <c r="B3924" s="458">
        <v>2.7546551778756978E-2</v>
      </c>
      <c r="C3924" s="477">
        <v>14508614.707923234</v>
      </c>
      <c r="D3924" s="458">
        <v>5.7870829582802763E-2</v>
      </c>
      <c r="E3924" s="477">
        <v>13814246.891415711</v>
      </c>
      <c r="F3924" s="458">
        <v>9.5177407439497541E-2</v>
      </c>
      <c r="G3924" s="477">
        <v>97286873.406498492</v>
      </c>
      <c r="H3924" s="458">
        <v>0.28940058125122947</v>
      </c>
      <c r="I3924" s="468">
        <v>10.221463789780714</v>
      </c>
    </row>
    <row r="3925" spans="1:9" ht="16.5" x14ac:dyDescent="0.3">
      <c r="A3925" s="477">
        <v>4986191.3120206632</v>
      </c>
      <c r="B3925" s="458">
        <v>3.8949224866180021E-2</v>
      </c>
      <c r="C3925" s="477">
        <v>8366849.5913501168</v>
      </c>
      <c r="D3925" s="458">
        <v>4.4442133280822915E-2</v>
      </c>
      <c r="E3925" s="477">
        <v>14712829.76005774</v>
      </c>
      <c r="F3925" s="458">
        <v>0.1099805237954754</v>
      </c>
      <c r="G3925" s="477">
        <v>90456228.868661493</v>
      </c>
      <c r="H3925" s="458">
        <v>0.26465660949375369</v>
      </c>
      <c r="I3925" s="468">
        <v>10.389757361805957</v>
      </c>
    </row>
    <row r="3926" spans="1:9" ht="16.5" x14ac:dyDescent="0.3">
      <c r="A3926" s="477">
        <v>7410009.9673071671</v>
      </c>
      <c r="B3926" s="458">
        <v>3.0128947740519108E-2</v>
      </c>
      <c r="C3926" s="477">
        <v>9068917.9053645171</v>
      </c>
      <c r="D3926" s="458">
        <v>6.0523668636757177E-2</v>
      </c>
      <c r="E3926" s="477">
        <v>16645010.45269312</v>
      </c>
      <c r="F3926" s="458">
        <v>0.102040234959897</v>
      </c>
      <c r="G3926" s="477">
        <v>91994554.216329813</v>
      </c>
      <c r="H3926" s="458">
        <v>0.29169684018913555</v>
      </c>
      <c r="I3926" s="468">
        <v>7.3593008238716564</v>
      </c>
    </row>
    <row r="3927" spans="1:9" ht="16.5" x14ac:dyDescent="0.3">
      <c r="A3927" s="477">
        <v>-303923.38027540687</v>
      </c>
      <c r="B3927" s="458">
        <v>4.3809525226995216E-2</v>
      </c>
      <c r="C3927" s="477">
        <v>8522259.6578559298</v>
      </c>
      <c r="D3927" s="458">
        <v>5.5650620675785412E-2</v>
      </c>
      <c r="E3927" s="477">
        <v>14130478.311871314</v>
      </c>
      <c r="F3927" s="458">
        <v>0.10434291946261265</v>
      </c>
      <c r="G3927" s="477">
        <v>74699875.637186915</v>
      </c>
      <c r="H3927" s="458">
        <v>0.27957926679994194</v>
      </c>
      <c r="I3927" s="468">
        <v>4.9582973220572679</v>
      </c>
    </row>
    <row r="3928" spans="1:9" ht="16.5" x14ac:dyDescent="0.3">
      <c r="A3928" s="477">
        <v>4264239.4761234438</v>
      </c>
      <c r="B3928" s="458">
        <v>4.7672364010800994E-2</v>
      </c>
      <c r="C3928" s="477">
        <v>11699001.394264434</v>
      </c>
      <c r="D3928" s="458">
        <v>8.8811810966241245E-2</v>
      </c>
      <c r="E3928" s="477">
        <v>17856198.23059348</v>
      </c>
      <c r="F3928" s="458">
        <v>9.9072161922764801E-2</v>
      </c>
      <c r="G3928" s="477">
        <v>90538110.855206177</v>
      </c>
      <c r="H3928" s="458">
        <v>0.26040448401838345</v>
      </c>
      <c r="I3928" s="468">
        <v>15.376505310895894</v>
      </c>
    </row>
    <row r="3929" spans="1:9" ht="16.5" x14ac:dyDescent="0.3">
      <c r="A3929" s="477">
        <v>5665843.9716493106</v>
      </c>
      <c r="B3929" s="458">
        <v>3.4380012143341299E-2</v>
      </c>
      <c r="C3929" s="477">
        <v>8060247.5641166503</v>
      </c>
      <c r="D3929" s="458">
        <v>9.6066977960284961E-2</v>
      </c>
      <c r="E3929" s="477">
        <v>19778596.475515403</v>
      </c>
      <c r="F3929" s="458">
        <v>9.8538714338668232E-2</v>
      </c>
      <c r="G3929" s="477">
        <v>83453690.968560621</v>
      </c>
      <c r="H3929" s="458">
        <v>0.28999835879486957</v>
      </c>
      <c r="I3929" s="468">
        <v>8.1577976120611453</v>
      </c>
    </row>
    <row r="3930" spans="1:9" ht="16.5" x14ac:dyDescent="0.3">
      <c r="A3930" s="477">
        <v>5783155.4449260142</v>
      </c>
      <c r="B3930" s="458">
        <v>3.4528127972228484E-2</v>
      </c>
      <c r="C3930" s="477">
        <v>13133864.243082285</v>
      </c>
      <c r="D3930" s="458">
        <v>5.4900473286531692E-2</v>
      </c>
      <c r="E3930" s="477">
        <v>12514322.170209844</v>
      </c>
      <c r="F3930" s="458">
        <v>0.11120417178323772</v>
      </c>
      <c r="G3930" s="477">
        <v>94503482.014629409</v>
      </c>
      <c r="H3930" s="458">
        <v>0.25345430736394836</v>
      </c>
      <c r="I3930" s="468">
        <v>4.0683392944827457</v>
      </c>
    </row>
    <row r="3931" spans="1:9" ht="16.5" x14ac:dyDescent="0.3">
      <c r="A3931" s="477">
        <v>2468455.1764700306</v>
      </c>
      <c r="B3931" s="458">
        <v>3.0236459451174813E-2</v>
      </c>
      <c r="C3931" s="477">
        <v>9297045.8985399213</v>
      </c>
      <c r="D3931" s="458">
        <v>6.2602967732616976E-2</v>
      </c>
      <c r="E3931" s="477">
        <v>23100141.952747386</v>
      </c>
      <c r="F3931" s="458">
        <v>9.0886103904668225E-2</v>
      </c>
      <c r="G3931" s="477">
        <v>95327974.97425054</v>
      </c>
      <c r="H3931" s="458">
        <v>0.26881414314224572</v>
      </c>
      <c r="I3931" s="468">
        <v>7.3628896376677151</v>
      </c>
    </row>
    <row r="3932" spans="1:9" ht="16.5" x14ac:dyDescent="0.3">
      <c r="A3932" s="477">
        <v>7551341.5201015202</v>
      </c>
      <c r="B3932" s="458">
        <v>4.8047674922002237E-2</v>
      </c>
      <c r="C3932" s="477">
        <v>11435451.804963419</v>
      </c>
      <c r="D3932" s="458">
        <v>7.2546526548423973E-2</v>
      </c>
      <c r="E3932" s="477">
        <v>10717091.586206641</v>
      </c>
      <c r="F3932" s="458">
        <v>9.2386050267728947E-2</v>
      </c>
      <c r="G3932" s="477">
        <v>96454733.696876675</v>
      </c>
      <c r="H3932" s="458">
        <v>0.27792150899380363</v>
      </c>
      <c r="I3932" s="468">
        <v>13.912781510021141</v>
      </c>
    </row>
    <row r="3933" spans="1:9" ht="16.5" x14ac:dyDescent="0.3">
      <c r="A3933" s="477">
        <v>6416954.1764344545</v>
      </c>
      <c r="B3933" s="458">
        <v>2.5881768837524799E-2</v>
      </c>
      <c r="C3933" s="477">
        <v>9363866.6306313258</v>
      </c>
      <c r="D3933" s="458">
        <v>7.6011517858420641E-2</v>
      </c>
      <c r="E3933" s="477">
        <v>18473546.567363933</v>
      </c>
      <c r="F3933" s="458">
        <v>0.11547038384338304</v>
      </c>
      <c r="G3933" s="477">
        <v>88337738.26306197</v>
      </c>
      <c r="H3933" s="458">
        <v>0.26925032551960193</v>
      </c>
      <c r="I3933" s="468">
        <v>9.9584790053104619</v>
      </c>
    </row>
    <row r="3934" spans="1:9" ht="16.5" x14ac:dyDescent="0.3">
      <c r="A3934" s="477">
        <v>4430275.454959359</v>
      </c>
      <c r="B3934" s="458">
        <v>2.5903252001091115E-2</v>
      </c>
      <c r="C3934" s="477">
        <v>11435877.158960661</v>
      </c>
      <c r="D3934" s="458">
        <v>3.0300810991571892E-2</v>
      </c>
      <c r="E3934" s="477">
        <v>16091261.072541362</v>
      </c>
      <c r="F3934" s="458">
        <v>0.11831338603653374</v>
      </c>
      <c r="G3934" s="477">
        <v>99151196.638993308</v>
      </c>
      <c r="H3934" s="458">
        <v>0.28112782602220787</v>
      </c>
      <c r="I3934" s="468">
        <v>10.51809414488055</v>
      </c>
    </row>
    <row r="3935" spans="1:9" ht="16.5" x14ac:dyDescent="0.3">
      <c r="A3935" s="477">
        <v>7923979.1012660768</v>
      </c>
      <c r="B3935" s="458">
        <v>5.4171228906971125E-2</v>
      </c>
      <c r="C3935" s="477">
        <v>6233632.7854224397</v>
      </c>
      <c r="D3935" s="458">
        <v>8.4325034373311958E-2</v>
      </c>
      <c r="E3935" s="477">
        <v>13980847.018824304</v>
      </c>
      <c r="F3935" s="458">
        <v>0.1207750303217594</v>
      </c>
      <c r="G3935" s="477">
        <v>97230416.24310708</v>
      </c>
      <c r="H3935" s="458">
        <v>0.24856370819819706</v>
      </c>
      <c r="I3935" s="468">
        <v>10.804785363930655</v>
      </c>
    </row>
    <row r="3936" spans="1:9" ht="16.5" x14ac:dyDescent="0.3">
      <c r="A3936" s="477">
        <v>1829697.6481052062</v>
      </c>
      <c r="B3936" s="458">
        <v>2.8480553330717306E-2</v>
      </c>
      <c r="C3936" s="477">
        <v>7254752.5619382765</v>
      </c>
      <c r="D3936" s="458">
        <v>5.935538114260841E-2</v>
      </c>
      <c r="E3936" s="477">
        <v>19897745.347188633</v>
      </c>
      <c r="F3936" s="458">
        <v>0.13087067166198563</v>
      </c>
      <c r="G3936" s="477">
        <v>74778193.806490988</v>
      </c>
      <c r="H3936" s="458">
        <v>0.29260238862984767</v>
      </c>
      <c r="I3936" s="468">
        <v>13.234880616684766</v>
      </c>
    </row>
    <row r="3937" spans="1:9" ht="16.5" x14ac:dyDescent="0.3">
      <c r="A3937" s="477">
        <v>2771368.2726370404</v>
      </c>
      <c r="B3937" s="458">
        <v>3.3708303021839248E-2</v>
      </c>
      <c r="C3937" s="477">
        <v>5043611.5461551519</v>
      </c>
      <c r="D3937" s="458">
        <v>6.4907392765346295E-2</v>
      </c>
      <c r="E3937" s="477">
        <v>26597353.600836799</v>
      </c>
      <c r="F3937" s="458">
        <v>0.14019322080441632</v>
      </c>
      <c r="G3937" s="477">
        <v>102462712.48118557</v>
      </c>
      <c r="H3937" s="458">
        <v>0.27167617979382386</v>
      </c>
      <c r="I3937" s="468">
        <v>5.1428599554805094</v>
      </c>
    </row>
    <row r="3938" spans="1:9" ht="16.5" x14ac:dyDescent="0.3">
      <c r="A3938" s="477">
        <v>1728659.7550652255</v>
      </c>
      <c r="B3938" s="458">
        <v>4.6734882215600848E-2</v>
      </c>
      <c r="C3938" s="477">
        <v>11241519.14320875</v>
      </c>
      <c r="D3938" s="458">
        <v>5.6641509175872518E-2</v>
      </c>
      <c r="E3938" s="477">
        <v>17036002.653470077</v>
      </c>
      <c r="F3938" s="458">
        <v>0.1141778824080284</v>
      </c>
      <c r="G3938" s="477">
        <v>88283271.278941289</v>
      </c>
      <c r="H3938" s="458">
        <v>0.26392015525864476</v>
      </c>
      <c r="I3938" s="468">
        <v>12.397100856878797</v>
      </c>
    </row>
    <row r="3939" spans="1:9" ht="16.5" x14ac:dyDescent="0.3">
      <c r="A3939" s="477">
        <v>4612195.7839243384</v>
      </c>
      <c r="B3939" s="458">
        <v>4.1031344845059881E-2</v>
      </c>
      <c r="C3939" s="477">
        <v>11093077.947178831</v>
      </c>
      <c r="D3939" s="458">
        <v>7.1423583406575064E-2</v>
      </c>
      <c r="E3939" s="477">
        <v>13990396.403888632</v>
      </c>
      <c r="F3939" s="458">
        <v>0.10395319866928809</v>
      </c>
      <c r="G3939" s="477">
        <v>91422519.834356084</v>
      </c>
      <c r="H3939" s="458">
        <v>0.27003986961423676</v>
      </c>
      <c r="I3939" s="468">
        <v>7.5291690890169196</v>
      </c>
    </row>
    <row r="3940" spans="1:9" ht="16.5" x14ac:dyDescent="0.3">
      <c r="A3940" s="477">
        <v>3164168.405535718</v>
      </c>
      <c r="B3940" s="458">
        <v>3.5085501682636799E-2</v>
      </c>
      <c r="C3940" s="477">
        <v>6024589.5432536155</v>
      </c>
      <c r="D3940" s="458">
        <v>7.3235605238018531E-2</v>
      </c>
      <c r="E3940" s="477">
        <v>15552298.335376749</v>
      </c>
      <c r="F3940" s="458">
        <v>9.4937281632711423E-2</v>
      </c>
      <c r="G3940" s="477">
        <v>96814246.133963332</v>
      </c>
      <c r="H3940" s="458">
        <v>0.27466992629508136</v>
      </c>
      <c r="I3940" s="468">
        <v>5.0582755832268731</v>
      </c>
    </row>
    <row r="3941" spans="1:9" ht="16.5" x14ac:dyDescent="0.3">
      <c r="A3941" s="477">
        <v>8656120.302778244</v>
      </c>
      <c r="B3941" s="458">
        <v>3.0153274473417868E-2</v>
      </c>
      <c r="C3941" s="477">
        <v>11677525.316818509</v>
      </c>
      <c r="D3941" s="458">
        <v>5.6819563003131623E-2</v>
      </c>
      <c r="E3941" s="477">
        <v>22897422.410662662</v>
      </c>
      <c r="F3941" s="458">
        <v>9.5052204914947813E-2</v>
      </c>
      <c r="G3941" s="477">
        <v>96302228.627135441</v>
      </c>
      <c r="H3941" s="458">
        <v>0.29089368688179551</v>
      </c>
      <c r="I3941" s="468">
        <v>8.2437779598271987</v>
      </c>
    </row>
    <row r="3942" spans="1:9" ht="16.5" x14ac:dyDescent="0.3">
      <c r="A3942" s="477">
        <v>5314630.104197856</v>
      </c>
      <c r="B3942" s="458">
        <v>5.0523745986366109E-2</v>
      </c>
      <c r="C3942" s="477">
        <v>-605192.34038665541</v>
      </c>
      <c r="D3942" s="458">
        <v>5.8922637343121309E-2</v>
      </c>
      <c r="E3942" s="477">
        <v>14581564.846237538</v>
      </c>
      <c r="F3942" s="458">
        <v>0.11351643590021254</v>
      </c>
      <c r="G3942" s="477">
        <v>101031907.56836405</v>
      </c>
      <c r="H3942" s="458">
        <v>0.28836871590961466</v>
      </c>
      <c r="I3942" s="468">
        <v>11.396361841329215</v>
      </c>
    </row>
    <row r="3943" spans="1:9" ht="16.5" x14ac:dyDescent="0.3">
      <c r="A3943" s="477">
        <v>7034524.9172730539</v>
      </c>
      <c r="B3943" s="458">
        <v>3.2156883357264743E-2</v>
      </c>
      <c r="C3943" s="477">
        <v>7218232.5433512162</v>
      </c>
      <c r="D3943" s="458">
        <v>6.4983528106741684E-2</v>
      </c>
      <c r="E3943" s="477">
        <v>15368964.160278527</v>
      </c>
      <c r="F3943" s="458">
        <v>0.1175640772131108</v>
      </c>
      <c r="G3943" s="477">
        <v>90560647.425800562</v>
      </c>
      <c r="H3943" s="458">
        <v>0.25735865147764625</v>
      </c>
      <c r="I3943" s="468">
        <v>6.443856624194316</v>
      </c>
    </row>
    <row r="3944" spans="1:9" ht="16.5" x14ac:dyDescent="0.3">
      <c r="A3944" s="477">
        <v>8781575.6591594722</v>
      </c>
      <c r="B3944" s="458">
        <v>4.3183345714935317E-2</v>
      </c>
      <c r="C3944" s="477">
        <v>4904504.9807767179</v>
      </c>
      <c r="D3944" s="458">
        <v>8.2771596497208222E-2</v>
      </c>
      <c r="E3944" s="477">
        <v>16818594.107855313</v>
      </c>
      <c r="F3944" s="458">
        <v>8.9711005889965723E-2</v>
      </c>
      <c r="G3944" s="477">
        <v>84819678.948765233</v>
      </c>
      <c r="H3944" s="458">
        <v>0.26932867826422524</v>
      </c>
      <c r="I3944" s="468">
        <v>9.466824205050612</v>
      </c>
    </row>
    <row r="3945" spans="1:9" ht="16.5" x14ac:dyDescent="0.3">
      <c r="A3945" s="477">
        <v>1969662.9289143018</v>
      </c>
      <c r="B3945" s="458">
        <v>7.0163331890548353E-2</v>
      </c>
      <c r="C3945" s="477">
        <v>11134645.154545773</v>
      </c>
      <c r="D3945" s="458">
        <v>7.2928790087897655E-2</v>
      </c>
      <c r="E3945" s="477">
        <v>13830926.70030739</v>
      </c>
      <c r="F3945" s="458">
        <v>0.10953599483411414</v>
      </c>
      <c r="G3945" s="477">
        <v>91106029.347290307</v>
      </c>
      <c r="H3945" s="458">
        <v>0.25588328372605162</v>
      </c>
      <c r="I3945" s="468">
        <v>9.3034333262006115</v>
      </c>
    </row>
    <row r="3946" spans="1:9" ht="16.5" x14ac:dyDescent="0.3">
      <c r="A3946" s="477">
        <v>4299802.4975335104</v>
      </c>
      <c r="B3946" s="458">
        <v>5.9083558306944894E-2</v>
      </c>
      <c r="C3946" s="477">
        <v>7569524.8087058552</v>
      </c>
      <c r="D3946" s="458">
        <v>8.7698153818403402E-2</v>
      </c>
      <c r="E3946" s="477">
        <v>3684910.3718225425</v>
      </c>
      <c r="F3946" s="458">
        <v>9.0264245850192992E-2</v>
      </c>
      <c r="G3946" s="477">
        <v>88899852.065181985</v>
      </c>
      <c r="H3946" s="458">
        <v>0.25251236256287823</v>
      </c>
      <c r="I3946" s="468">
        <v>15.206326717157062</v>
      </c>
    </row>
    <row r="3947" spans="1:9" ht="16.5" x14ac:dyDescent="0.3">
      <c r="A3947" s="477">
        <v>1256308.1459204294</v>
      </c>
      <c r="B3947" s="458">
        <v>4.2491013378721965E-2</v>
      </c>
      <c r="C3947" s="477">
        <v>1066650.3723100964</v>
      </c>
      <c r="D3947" s="458">
        <v>7.5874091379896536E-2</v>
      </c>
      <c r="E3947" s="477">
        <v>20714037.122405514</v>
      </c>
      <c r="F3947" s="458">
        <v>9.4666133465401314E-2</v>
      </c>
      <c r="G3947" s="477">
        <v>88857684.037097722</v>
      </c>
      <c r="H3947" s="458">
        <v>0.2749280487548813</v>
      </c>
      <c r="I3947" s="468">
        <v>5.3940067767347584</v>
      </c>
    </row>
    <row r="3948" spans="1:9" ht="16.5" x14ac:dyDescent="0.3">
      <c r="A3948" s="477">
        <v>1261024.3238305976</v>
      </c>
      <c r="B3948" s="458">
        <v>4.7750139979076067E-2</v>
      </c>
      <c r="C3948" s="477">
        <v>11230325.107449178</v>
      </c>
      <c r="D3948" s="458">
        <v>4.9528311092115862E-2</v>
      </c>
      <c r="E3948" s="477">
        <v>21505373.098225165</v>
      </c>
      <c r="F3948" s="458">
        <v>0.12956695264409679</v>
      </c>
      <c r="G3948" s="477">
        <v>85678320.57723847</v>
      </c>
      <c r="H3948" s="458">
        <v>0.26477268203969473</v>
      </c>
      <c r="I3948" s="468">
        <v>11.57844504952646</v>
      </c>
    </row>
    <row r="3949" spans="1:9" ht="16.5" x14ac:dyDescent="0.3">
      <c r="A3949" s="477">
        <v>6905977.7171585811</v>
      </c>
      <c r="B3949" s="458">
        <v>4.4524463734506581E-2</v>
      </c>
      <c r="C3949" s="477">
        <v>11377166.015713448</v>
      </c>
      <c r="D3949" s="458">
        <v>5.449517413386129E-2</v>
      </c>
      <c r="E3949" s="477">
        <v>25915791.300184056</v>
      </c>
      <c r="F3949" s="458">
        <v>9.6554818756363403E-2</v>
      </c>
      <c r="G3949" s="477">
        <v>84516031.571371928</v>
      </c>
      <c r="H3949" s="458">
        <v>0.271997422254322</v>
      </c>
      <c r="I3949" s="468">
        <v>13.055103245127047</v>
      </c>
    </row>
    <row r="3950" spans="1:9" ht="16.5" x14ac:dyDescent="0.3">
      <c r="A3950" s="477">
        <v>5050411.2633022247</v>
      </c>
      <c r="B3950" s="458">
        <v>4.6610764903329605E-2</v>
      </c>
      <c r="C3950" s="477">
        <v>11870118.481342081</v>
      </c>
      <c r="D3950" s="458">
        <v>5.5341614935724204E-2</v>
      </c>
      <c r="E3950" s="477">
        <v>22919793.015036672</v>
      </c>
      <c r="F3950" s="458">
        <v>0.10716279450796962</v>
      </c>
      <c r="G3950" s="477">
        <v>101454795.64577818</v>
      </c>
      <c r="H3950" s="458">
        <v>0.27039805176679388</v>
      </c>
      <c r="I3950" s="468">
        <v>12.608701161476841</v>
      </c>
    </row>
    <row r="3951" spans="1:9" ht="16.5" x14ac:dyDescent="0.3">
      <c r="A3951" s="477">
        <v>-119636.35564592073</v>
      </c>
      <c r="B3951" s="458">
        <v>5.9138361173749487E-2</v>
      </c>
      <c r="C3951" s="477">
        <v>12845157.814244917</v>
      </c>
      <c r="D3951" s="458">
        <v>3.9854467677891581E-2</v>
      </c>
      <c r="E3951" s="477">
        <v>10771540.679263555</v>
      </c>
      <c r="F3951" s="458">
        <v>0.11577183306499306</v>
      </c>
      <c r="G3951" s="477">
        <v>93320773.82475774</v>
      </c>
      <c r="H3951" s="458">
        <v>0.26251550474681018</v>
      </c>
      <c r="I3951" s="468">
        <v>4.0143115747821581</v>
      </c>
    </row>
    <row r="3952" spans="1:9" ht="16.5" x14ac:dyDescent="0.3">
      <c r="A3952" s="477">
        <v>7738585.1425959701</v>
      </c>
      <c r="B3952" s="458">
        <v>4.8364097350684032E-2</v>
      </c>
      <c r="C3952" s="477">
        <v>5301763.8544227276</v>
      </c>
      <c r="D3952" s="458">
        <v>4.0346373371555222E-2</v>
      </c>
      <c r="E3952" s="477">
        <v>20589774.012703333</v>
      </c>
      <c r="F3952" s="458">
        <v>0.1090620386471115</v>
      </c>
      <c r="G3952" s="477">
        <v>101968633.53259741</v>
      </c>
      <c r="H3952" s="458">
        <v>0.26564762056845637</v>
      </c>
      <c r="I3952" s="468">
        <v>3.7788964166992418</v>
      </c>
    </row>
    <row r="3953" spans="1:9" ht="16.5" x14ac:dyDescent="0.3">
      <c r="A3953" s="477">
        <v>1087147.4754031876</v>
      </c>
      <c r="B3953" s="458">
        <v>2.9652676660908872E-2</v>
      </c>
      <c r="C3953" s="477">
        <v>1864096.0317576118</v>
      </c>
      <c r="D3953" s="458">
        <v>7.6862939264784602E-2</v>
      </c>
      <c r="E3953" s="477">
        <v>19348158.487391565</v>
      </c>
      <c r="F3953" s="458">
        <v>0.11115909248215905</v>
      </c>
      <c r="G3953" s="477">
        <v>90675179.568910137</v>
      </c>
      <c r="H3953" s="458">
        <v>0.26877541981864161</v>
      </c>
      <c r="I3953" s="468">
        <v>9.4308993062624449</v>
      </c>
    </row>
    <row r="3954" spans="1:9" ht="16.5" x14ac:dyDescent="0.3">
      <c r="A3954" s="477">
        <v>6904881.9736720221</v>
      </c>
      <c r="B3954" s="458">
        <v>3.9901275070381548E-2</v>
      </c>
      <c r="C3954" s="477">
        <v>8064399.5402282933</v>
      </c>
      <c r="D3954" s="458">
        <v>6.5385368159507129E-2</v>
      </c>
      <c r="E3954" s="477">
        <v>6161171.2618601415</v>
      </c>
      <c r="F3954" s="458">
        <v>0.12915484159236335</v>
      </c>
      <c r="G3954" s="477">
        <v>87801759.012234762</v>
      </c>
      <c r="H3954" s="458">
        <v>0.26294023663295762</v>
      </c>
      <c r="I3954" s="468">
        <v>8.021362754770637</v>
      </c>
    </row>
    <row r="3955" spans="1:9" ht="16.5" x14ac:dyDescent="0.3">
      <c r="A3955" s="477">
        <v>4834925.515815</v>
      </c>
      <c r="B3955" s="458">
        <v>6.9191911464005829E-2</v>
      </c>
      <c r="C3955" s="477">
        <v>8909514.912643604</v>
      </c>
      <c r="D3955" s="458">
        <v>6.71269177037499E-2</v>
      </c>
      <c r="E3955" s="477">
        <v>13181062.612540036</v>
      </c>
      <c r="F3955" s="458">
        <v>8.7627086912840157E-2</v>
      </c>
      <c r="G3955" s="477">
        <v>82082520.311897367</v>
      </c>
      <c r="H3955" s="458">
        <v>0.28636765229111916</v>
      </c>
      <c r="I3955" s="468">
        <v>13.42410566446469</v>
      </c>
    </row>
    <row r="3956" spans="1:9" ht="16.5" x14ac:dyDescent="0.3">
      <c r="A3956" s="477">
        <v>4240773.6908268761</v>
      </c>
      <c r="B3956" s="458">
        <v>4.7925838551810429E-2</v>
      </c>
      <c r="C3956" s="477">
        <v>7751304.5169561207</v>
      </c>
      <c r="D3956" s="458">
        <v>1.9541569538664261E-2</v>
      </c>
      <c r="E3956" s="477">
        <v>22279669.085748274</v>
      </c>
      <c r="F3956" s="458">
        <v>0.13371194389250629</v>
      </c>
      <c r="G3956" s="477">
        <v>100876504.1498248</v>
      </c>
      <c r="H3956" s="458">
        <v>0.26390839356938711</v>
      </c>
      <c r="I3956" s="468">
        <v>4.8732580108302646</v>
      </c>
    </row>
    <row r="3957" spans="1:9" ht="16.5" x14ac:dyDescent="0.3">
      <c r="A3957" s="477">
        <v>6151929.298525705</v>
      </c>
      <c r="B3957" s="458">
        <v>3.790691871171048E-2</v>
      </c>
      <c r="C3957" s="477">
        <v>4369962.1067481628</v>
      </c>
      <c r="D3957" s="458">
        <v>8.9773599073375454E-2</v>
      </c>
      <c r="E3957" s="477">
        <v>11083238.214892766</v>
      </c>
      <c r="F3957" s="458">
        <v>0.11789728786275355</v>
      </c>
      <c r="G3957" s="477">
        <v>83373156.154192626</v>
      </c>
      <c r="H3957" s="458">
        <v>0.28420317986346677</v>
      </c>
      <c r="I3957" s="468">
        <v>7.4740643607890291</v>
      </c>
    </row>
    <row r="3958" spans="1:9" ht="16.5" x14ac:dyDescent="0.3">
      <c r="A3958" s="477">
        <v>7123323.4076922154</v>
      </c>
      <c r="B3958" s="458">
        <v>4.0590788087694341E-2</v>
      </c>
      <c r="C3958" s="477">
        <v>6245534.193378713</v>
      </c>
      <c r="D3958" s="458">
        <v>8.1362518968632669E-2</v>
      </c>
      <c r="E3958" s="477">
        <v>8604693.6330653504</v>
      </c>
      <c r="F3958" s="458">
        <v>0.1132406666184016</v>
      </c>
      <c r="G3958" s="477">
        <v>87549583.470736727</v>
      </c>
      <c r="H3958" s="458">
        <v>0.26282494071581652</v>
      </c>
      <c r="I3958" s="468">
        <v>10.750982847272169</v>
      </c>
    </row>
    <row r="3959" spans="1:9" ht="16.5" x14ac:dyDescent="0.3">
      <c r="A3959" s="477">
        <v>5325880.8786472017</v>
      </c>
      <c r="B3959" s="458">
        <v>3.1317409348678105E-2</v>
      </c>
      <c r="C3959" s="477">
        <v>10527420.655246153</v>
      </c>
      <c r="D3959" s="458">
        <v>6.5699617858830717E-2</v>
      </c>
      <c r="E3959" s="477">
        <v>23515404.653582174</v>
      </c>
      <c r="F3959" s="458">
        <v>7.2817904355026331E-2</v>
      </c>
      <c r="G3959" s="477">
        <v>77299307.207652301</v>
      </c>
      <c r="H3959" s="458">
        <v>0.27454174305008627</v>
      </c>
      <c r="I3959" s="468">
        <v>8.6098285604291345</v>
      </c>
    </row>
    <row r="3960" spans="1:9" ht="16.5" x14ac:dyDescent="0.3">
      <c r="A3960" s="477">
        <v>5202248.2044695457</v>
      </c>
      <c r="B3960" s="458">
        <v>3.7501564421749345E-2</v>
      </c>
      <c r="C3960" s="477">
        <v>7418573.7746185875</v>
      </c>
      <c r="D3960" s="458">
        <v>6.2904618944666479E-2</v>
      </c>
      <c r="E3960" s="477">
        <v>3815796.6486919876</v>
      </c>
      <c r="F3960" s="458">
        <v>9.965612824452097E-2</v>
      </c>
      <c r="G3960" s="477">
        <v>108500556.2529259</v>
      </c>
      <c r="H3960" s="458">
        <v>0.29401850297993759</v>
      </c>
      <c r="I3960" s="468">
        <v>6.6041235388994419</v>
      </c>
    </row>
    <row r="3961" spans="1:9" ht="16.5" x14ac:dyDescent="0.3">
      <c r="A3961" s="477">
        <v>4951972.8149241582</v>
      </c>
      <c r="B3961" s="458">
        <v>3.7517126955372904E-2</v>
      </c>
      <c r="C3961" s="477">
        <v>10353490.834859354</v>
      </c>
      <c r="D3961" s="458">
        <v>6.2826358971866947E-2</v>
      </c>
      <c r="E3961" s="477">
        <v>10826104.342308586</v>
      </c>
      <c r="F3961" s="458">
        <v>0.10321708215606562</v>
      </c>
      <c r="G3961" s="477">
        <v>80478299.022156239</v>
      </c>
      <c r="H3961" s="458">
        <v>0.28905112240790132</v>
      </c>
      <c r="I3961" s="468">
        <v>3.7228845542304647</v>
      </c>
    </row>
    <row r="3962" spans="1:9" ht="16.5" x14ac:dyDescent="0.3">
      <c r="A3962" s="477">
        <v>7034249.5793636069</v>
      </c>
      <c r="B3962" s="458">
        <v>5.2836828605681285E-2</v>
      </c>
      <c r="C3962" s="477">
        <v>7277667.4502117448</v>
      </c>
      <c r="D3962" s="458">
        <v>6.5647368984925292E-2</v>
      </c>
      <c r="E3962" s="477">
        <v>19411932.415778086</v>
      </c>
      <c r="F3962" s="458">
        <v>9.9710665003835075E-2</v>
      </c>
      <c r="G3962" s="477">
        <v>78813707.273139551</v>
      </c>
      <c r="H3962" s="458">
        <v>0.29562395349994719</v>
      </c>
      <c r="I3962" s="468">
        <v>10.555318916329334</v>
      </c>
    </row>
    <row r="3963" spans="1:9" ht="16.5" x14ac:dyDescent="0.3">
      <c r="A3963" s="477">
        <v>7173943.6819741214</v>
      </c>
      <c r="B3963" s="458">
        <v>6.1406582249787345E-2</v>
      </c>
      <c r="C3963" s="477">
        <v>4143652.9267795109</v>
      </c>
      <c r="D3963" s="458">
        <v>7.1353895026747827E-2</v>
      </c>
      <c r="E3963" s="477">
        <v>13353234.466674609</v>
      </c>
      <c r="F3963" s="458">
        <v>0.10982765262331173</v>
      </c>
      <c r="G3963" s="477">
        <v>83982331.380497009</v>
      </c>
      <c r="H3963" s="458">
        <v>0.27163489068502988</v>
      </c>
      <c r="I3963" s="468">
        <v>1.4071395916562874</v>
      </c>
    </row>
    <row r="3964" spans="1:9" ht="16.5" x14ac:dyDescent="0.3">
      <c r="A3964" s="477">
        <v>7716012.5373263108</v>
      </c>
      <c r="B3964" s="458">
        <v>5.5642828555911628E-2</v>
      </c>
      <c r="C3964" s="477">
        <v>11411958.088007644</v>
      </c>
      <c r="D3964" s="458">
        <v>6.3883236219422379E-2</v>
      </c>
      <c r="E3964" s="477">
        <v>21228438.984177906</v>
      </c>
      <c r="F3964" s="458">
        <v>0.11318141235025991</v>
      </c>
      <c r="G3964" s="477">
        <v>84803692.227491781</v>
      </c>
      <c r="H3964" s="458">
        <v>0.2763668869503153</v>
      </c>
      <c r="I3964" s="468">
        <v>4.2226721354455687</v>
      </c>
    </row>
    <row r="3965" spans="1:9" ht="16.5" x14ac:dyDescent="0.3">
      <c r="A3965" s="477">
        <v>8081506.7037290763</v>
      </c>
      <c r="B3965" s="458">
        <v>4.1951960131160204E-2</v>
      </c>
      <c r="C3965" s="477">
        <v>12824158.350843318</v>
      </c>
      <c r="D3965" s="458">
        <v>5.1325143539782569E-2</v>
      </c>
      <c r="E3965" s="477">
        <v>17373175.754224159</v>
      </c>
      <c r="F3965" s="458">
        <v>9.0331775034387496E-2</v>
      </c>
      <c r="G3965" s="477">
        <v>67463020.336004317</v>
      </c>
      <c r="H3965" s="458">
        <v>0.27364583891265104</v>
      </c>
      <c r="I3965" s="468">
        <v>14.087511007002195</v>
      </c>
    </row>
    <row r="3966" spans="1:9" ht="16.5" x14ac:dyDescent="0.3">
      <c r="A3966" s="477">
        <v>262020.66748846191</v>
      </c>
      <c r="B3966" s="458">
        <v>5.0813744223182633E-2</v>
      </c>
      <c r="C3966" s="477">
        <v>15538648.712461807</v>
      </c>
      <c r="D3966" s="458">
        <v>7.148211691947437E-2</v>
      </c>
      <c r="E3966" s="477">
        <v>5434885.36199746</v>
      </c>
      <c r="F3966" s="458">
        <v>0.13123345218965299</v>
      </c>
      <c r="G3966" s="477">
        <v>93797964.791511372</v>
      </c>
      <c r="H3966" s="458">
        <v>0.25685907326375834</v>
      </c>
      <c r="I3966" s="468">
        <v>2.5833426998453231</v>
      </c>
    </row>
    <row r="3967" spans="1:9" ht="16.5" x14ac:dyDescent="0.3">
      <c r="A3967" s="477">
        <v>7728962.4358848138</v>
      </c>
      <c r="B3967" s="458">
        <v>5.0117105251008764E-2</v>
      </c>
      <c r="C3967" s="477">
        <v>13634020.06627645</v>
      </c>
      <c r="D3967" s="458">
        <v>5.7770526226879948E-2</v>
      </c>
      <c r="E3967" s="477">
        <v>18048831.805246949</v>
      </c>
      <c r="F3967" s="458">
        <v>0.10561557519372289</v>
      </c>
      <c r="G3967" s="477">
        <v>88253991.876239508</v>
      </c>
      <c r="H3967" s="458">
        <v>0.26893742372760299</v>
      </c>
      <c r="I3967" s="468">
        <v>9.4319838916294785</v>
      </c>
    </row>
    <row r="3968" spans="1:9" ht="16.5" x14ac:dyDescent="0.3">
      <c r="A3968" s="477">
        <v>5786656.5103552584</v>
      </c>
      <c r="B3968" s="458">
        <v>4.3101007859532192E-2</v>
      </c>
      <c r="C3968" s="477">
        <v>7015920.4175021844</v>
      </c>
      <c r="D3968" s="458">
        <v>7.0739225350386459E-2</v>
      </c>
      <c r="E3968" s="477">
        <v>9132059.7703269068</v>
      </c>
      <c r="F3968" s="458">
        <v>9.9980408408034682E-2</v>
      </c>
      <c r="G3968" s="477">
        <v>78378107.00501658</v>
      </c>
      <c r="H3968" s="458">
        <v>0.26891708448975238</v>
      </c>
      <c r="I3968" s="468">
        <v>2.1978338716848258</v>
      </c>
    </row>
    <row r="3969" spans="1:9" ht="16.5" x14ac:dyDescent="0.3">
      <c r="A3969" s="477">
        <v>6034579.2676941333</v>
      </c>
      <c r="B3969" s="458">
        <v>5.2426618062522801E-2</v>
      </c>
      <c r="C3969" s="477">
        <v>6729279.6335497405</v>
      </c>
      <c r="D3969" s="458">
        <v>4.0316488672836881E-2</v>
      </c>
      <c r="E3969" s="477">
        <v>12725622.261329016</v>
      </c>
      <c r="F3969" s="458">
        <v>0.13253900512597938</v>
      </c>
      <c r="G3969" s="477">
        <v>88657893.071038216</v>
      </c>
      <c r="H3969" s="458">
        <v>0.28132896087756842</v>
      </c>
      <c r="I3969" s="468">
        <v>5.4419254283505385</v>
      </c>
    </row>
    <row r="3970" spans="1:9" ht="16.5" x14ac:dyDescent="0.3">
      <c r="A3970" s="477">
        <v>6636239.8973472035</v>
      </c>
      <c r="B3970" s="458">
        <v>5.0847228591449412E-2</v>
      </c>
      <c r="C3970" s="477">
        <v>5398801.9848525217</v>
      </c>
      <c r="D3970" s="458">
        <v>6.4256908951282554E-2</v>
      </c>
      <c r="E3970" s="477">
        <v>9105036.2258376572</v>
      </c>
      <c r="F3970" s="458">
        <v>9.8476377776228086E-2</v>
      </c>
      <c r="G3970" s="477">
        <v>85840744.084356248</v>
      </c>
      <c r="H3970" s="458">
        <v>0.27417970338206543</v>
      </c>
      <c r="I3970" s="468">
        <v>8.4022426278641724</v>
      </c>
    </row>
    <row r="3971" spans="1:9" ht="16.5" x14ac:dyDescent="0.3">
      <c r="A3971" s="477">
        <v>3766349.9977884488</v>
      </c>
      <c r="B3971" s="458">
        <v>2.6785403075119563E-2</v>
      </c>
      <c r="C3971" s="477">
        <v>4651089.8648897959</v>
      </c>
      <c r="D3971" s="458">
        <v>8.5682605985210936E-2</v>
      </c>
      <c r="E3971" s="477">
        <v>21388939.70251308</v>
      </c>
      <c r="F3971" s="458">
        <v>0.10652784556052941</v>
      </c>
      <c r="G3971" s="477">
        <v>76752094.242070958</v>
      </c>
      <c r="H3971" s="458">
        <v>0.27467174483133627</v>
      </c>
      <c r="I3971" s="468">
        <v>5.072996413322052</v>
      </c>
    </row>
    <row r="3972" spans="1:9" ht="16.5" x14ac:dyDescent="0.3">
      <c r="A3972" s="477">
        <v>2103142.360823005</v>
      </c>
      <c r="B3972" s="458">
        <v>3.0879987941432541E-2</v>
      </c>
      <c r="C3972" s="477">
        <v>13721776.985336257</v>
      </c>
      <c r="D3972" s="458">
        <v>6.9516414277814409E-2</v>
      </c>
      <c r="E3972" s="477">
        <v>12352527.167282116</v>
      </c>
      <c r="F3972" s="458">
        <v>0.1074900745893721</v>
      </c>
      <c r="G3972" s="477">
        <v>99826456.513416573</v>
      </c>
      <c r="H3972" s="458">
        <v>0.26409703846415722</v>
      </c>
      <c r="I3972" s="468">
        <v>8.9729852094968781</v>
      </c>
    </row>
    <row r="3973" spans="1:9" ht="16.5" x14ac:dyDescent="0.3">
      <c r="A3973" s="477">
        <v>4333514.3580309432</v>
      </c>
      <c r="B3973" s="458">
        <v>3.8247697176507556E-2</v>
      </c>
      <c r="C3973" s="477">
        <v>11521552.190266285</v>
      </c>
      <c r="D3973" s="458">
        <v>7.1356951086238851E-2</v>
      </c>
      <c r="E3973" s="477">
        <v>17466471.236205962</v>
      </c>
      <c r="F3973" s="458">
        <v>0.10475222092428682</v>
      </c>
      <c r="G3973" s="477">
        <v>78291665.751596943</v>
      </c>
      <c r="H3973" s="458">
        <v>0.27629044736136676</v>
      </c>
      <c r="I3973" s="468">
        <v>8.7494526885120649</v>
      </c>
    </row>
    <row r="3974" spans="1:9" ht="16.5" x14ac:dyDescent="0.3">
      <c r="A3974" s="477">
        <v>4128255.4833672377</v>
      </c>
      <c r="B3974" s="458">
        <v>3.651774450886891E-2</v>
      </c>
      <c r="C3974" s="477">
        <v>7970158.7929200679</v>
      </c>
      <c r="D3974" s="458">
        <v>5.1460814787211318E-2</v>
      </c>
      <c r="E3974" s="477">
        <v>20782965.380657177</v>
      </c>
      <c r="F3974" s="458">
        <v>0.10662586777245653</v>
      </c>
      <c r="G3974" s="477">
        <v>89363743.174246147</v>
      </c>
      <c r="H3974" s="458">
        <v>0.28876795714124581</v>
      </c>
      <c r="I3974" s="468">
        <v>1.6769331102167424</v>
      </c>
    </row>
    <row r="3975" spans="1:9" ht="16.5" x14ac:dyDescent="0.3">
      <c r="A3975" s="477">
        <v>8194220.0802635169</v>
      </c>
      <c r="B3975" s="458">
        <v>4.0945020341932814E-2</v>
      </c>
      <c r="C3975" s="477">
        <v>9976315.1657254696</v>
      </c>
      <c r="D3975" s="458">
        <v>5.9463726455586396E-2</v>
      </c>
      <c r="E3975" s="477">
        <v>17826827.852822717</v>
      </c>
      <c r="F3975" s="458">
        <v>9.6527962039002269E-2</v>
      </c>
      <c r="G3975" s="477">
        <v>86080871.35574463</v>
      </c>
      <c r="H3975" s="458">
        <v>0.26210373701740042</v>
      </c>
      <c r="I3975" s="468">
        <v>5.9975267118754285</v>
      </c>
    </row>
    <row r="3976" spans="1:9" ht="16.5" x14ac:dyDescent="0.3">
      <c r="A3976" s="477">
        <v>6790562.1905418541</v>
      </c>
      <c r="B3976" s="458">
        <v>3.2467553517907088E-2</v>
      </c>
      <c r="C3976" s="477">
        <v>11446346.518963959</v>
      </c>
      <c r="D3976" s="458">
        <v>6.0913654095681613E-2</v>
      </c>
      <c r="E3976" s="477">
        <v>1922217.147407704</v>
      </c>
      <c r="F3976" s="458">
        <v>9.1605977334777489E-2</v>
      </c>
      <c r="G3976" s="477">
        <v>97588048.637221724</v>
      </c>
      <c r="H3976" s="458">
        <v>0.26589053156984366</v>
      </c>
      <c r="I3976" s="468">
        <v>12.595541417211837</v>
      </c>
    </row>
    <row r="3977" spans="1:9" ht="16.5" x14ac:dyDescent="0.3">
      <c r="A3977" s="477">
        <v>7300302.0138136949</v>
      </c>
      <c r="B3977" s="458">
        <v>3.986181896223262E-2</v>
      </c>
      <c r="C3977" s="477">
        <v>16138018.489131495</v>
      </c>
      <c r="D3977" s="458">
        <v>5.3882508672018048E-2</v>
      </c>
      <c r="E3977" s="477">
        <v>16690967.222871339</v>
      </c>
      <c r="F3977" s="458">
        <v>9.191924058827694E-2</v>
      </c>
      <c r="G3977" s="477">
        <v>88478453.45734638</v>
      </c>
      <c r="H3977" s="458">
        <v>0.25316880094706073</v>
      </c>
      <c r="I3977" s="468">
        <v>11.367842062433228</v>
      </c>
    </row>
    <row r="3978" spans="1:9" ht="16.5" x14ac:dyDescent="0.3">
      <c r="A3978" s="477">
        <v>7752691.9910590416</v>
      </c>
      <c r="B3978" s="458">
        <v>4.3457877747710594E-2</v>
      </c>
      <c r="C3978" s="477">
        <v>10786277.931856826</v>
      </c>
      <c r="D3978" s="458">
        <v>5.0733851212061198E-2</v>
      </c>
      <c r="E3978" s="477">
        <v>13133095.429720422</v>
      </c>
      <c r="F3978" s="458">
        <v>9.8470958641953654E-2</v>
      </c>
      <c r="G3978" s="477">
        <v>75724401.893077537</v>
      </c>
      <c r="H3978" s="458">
        <v>0.26459685752532458</v>
      </c>
      <c r="I3978" s="468">
        <v>6.346789863462706</v>
      </c>
    </row>
    <row r="3979" spans="1:9" ht="16.5" x14ac:dyDescent="0.3">
      <c r="A3979" s="477">
        <v>2395426.9260210376</v>
      </c>
      <c r="B3979" s="458">
        <v>4.2223355934680074E-2</v>
      </c>
      <c r="C3979" s="477">
        <v>3736330.8045793525</v>
      </c>
      <c r="D3979" s="458">
        <v>8.0270073110693785E-2</v>
      </c>
      <c r="E3979" s="477">
        <v>22773803.800085004</v>
      </c>
      <c r="F3979" s="458">
        <v>7.6325448605545576E-2</v>
      </c>
      <c r="G3979" s="477">
        <v>82595044.413401678</v>
      </c>
      <c r="H3979" s="458">
        <v>0.28791049969614679</v>
      </c>
      <c r="I3979" s="468">
        <v>10.960119968735906</v>
      </c>
    </row>
    <row r="3980" spans="1:9" ht="16.5" x14ac:dyDescent="0.3">
      <c r="A3980" s="477">
        <v>4157759.0109871766</v>
      </c>
      <c r="B3980" s="458">
        <v>3.2046369102293415E-2</v>
      </c>
      <c r="C3980" s="477">
        <v>10224021.548454002</v>
      </c>
      <c r="D3980" s="458">
        <v>6.2867097027063945E-2</v>
      </c>
      <c r="E3980" s="477">
        <v>14780418.182644911</v>
      </c>
      <c r="F3980" s="458">
        <v>9.2544034983780055E-2</v>
      </c>
      <c r="G3980" s="477">
        <v>92482006.793160185</v>
      </c>
      <c r="H3980" s="458">
        <v>0.25972077553671724</v>
      </c>
      <c r="I3980" s="468">
        <v>18.306210525767948</v>
      </c>
    </row>
    <row r="3981" spans="1:9" ht="16.5" x14ac:dyDescent="0.3">
      <c r="A3981" s="477">
        <v>8205064.8920061607</v>
      </c>
      <c r="B3981" s="458">
        <v>1.1786318443218757E-2</v>
      </c>
      <c r="C3981" s="477">
        <v>5588081.815168201</v>
      </c>
      <c r="D3981" s="458">
        <v>7.7470887169701852E-2</v>
      </c>
      <c r="E3981" s="477">
        <v>20223144.076353207</v>
      </c>
      <c r="F3981" s="458">
        <v>9.9645674882416158E-2</v>
      </c>
      <c r="G3981" s="477">
        <v>94852897.838928834</v>
      </c>
      <c r="H3981" s="458">
        <v>0.27206842204842485</v>
      </c>
      <c r="I3981" s="468">
        <v>13.994596647533907</v>
      </c>
    </row>
    <row r="3982" spans="1:9" ht="16.5" x14ac:dyDescent="0.3">
      <c r="A3982" s="477">
        <v>3316680.8200273039</v>
      </c>
      <c r="B3982" s="458">
        <v>3.5760583407680846E-2</v>
      </c>
      <c r="C3982" s="477">
        <v>6205046.747470675</v>
      </c>
      <c r="D3982" s="458">
        <v>5.8209786563398813E-2</v>
      </c>
      <c r="E3982" s="477">
        <v>15951079.135826759</v>
      </c>
      <c r="F3982" s="458">
        <v>0.13724385075954038</v>
      </c>
      <c r="G3982" s="477">
        <v>90079949.122665554</v>
      </c>
      <c r="H3982" s="458">
        <v>0.2741209438961969</v>
      </c>
      <c r="I3982" s="468">
        <v>13.034546125233067</v>
      </c>
    </row>
    <row r="3983" spans="1:9" ht="16.5" x14ac:dyDescent="0.3">
      <c r="A3983" s="477">
        <v>4640314.2928513149</v>
      </c>
      <c r="B3983" s="458">
        <v>3.536857399877702E-2</v>
      </c>
      <c r="C3983" s="477">
        <v>10167076.137439771</v>
      </c>
      <c r="D3983" s="458">
        <v>6.8826205281474762E-2</v>
      </c>
      <c r="E3983" s="477">
        <v>4005097.1993273934</v>
      </c>
      <c r="F3983" s="458">
        <v>0.10525781782131638</v>
      </c>
      <c r="G3983" s="477">
        <v>76889202.644106403</v>
      </c>
      <c r="H3983" s="458">
        <v>0.25636614389730927</v>
      </c>
      <c r="I3983" s="468">
        <v>16.390743991657747</v>
      </c>
    </row>
    <row r="3984" spans="1:9" ht="16.5" x14ac:dyDescent="0.3">
      <c r="A3984" s="477">
        <v>9931176.1200243831</v>
      </c>
      <c r="B3984" s="458">
        <v>3.7091664554756321E-2</v>
      </c>
      <c r="C3984" s="477">
        <v>13704785.807666076</v>
      </c>
      <c r="D3984" s="458">
        <v>8.9207730986377465E-2</v>
      </c>
      <c r="E3984" s="477">
        <v>18980554.534494631</v>
      </c>
      <c r="F3984" s="458">
        <v>8.9085868696645809E-2</v>
      </c>
      <c r="G3984" s="477">
        <v>97090292.688781664</v>
      </c>
      <c r="H3984" s="458">
        <v>0.27475071187041511</v>
      </c>
      <c r="I3984" s="468">
        <v>10.391133293924836</v>
      </c>
    </row>
    <row r="3985" spans="1:9" ht="16.5" x14ac:dyDescent="0.3">
      <c r="A3985" s="477">
        <v>6986141.7027388308</v>
      </c>
      <c r="B3985" s="458">
        <v>4.3652611071798741E-2</v>
      </c>
      <c r="C3985" s="477">
        <v>13603429.758305525</v>
      </c>
      <c r="D3985" s="458">
        <v>6.3915554032630606E-2</v>
      </c>
      <c r="E3985" s="477">
        <v>18816281.292832389</v>
      </c>
      <c r="F3985" s="458">
        <v>0.11576309220306213</v>
      </c>
      <c r="G3985" s="477">
        <v>81317849.696841165</v>
      </c>
      <c r="H3985" s="458">
        <v>0.2494725643714244</v>
      </c>
      <c r="I3985" s="468">
        <v>8.5645619323622633</v>
      </c>
    </row>
    <row r="3986" spans="1:9" ht="16.5" x14ac:dyDescent="0.3">
      <c r="A3986" s="477">
        <v>2286650.4445442236</v>
      </c>
      <c r="B3986" s="458">
        <v>3.6317103592404587E-2</v>
      </c>
      <c r="C3986" s="477">
        <v>1474574.6903950756</v>
      </c>
      <c r="D3986" s="458">
        <v>3.2292190604675142E-2</v>
      </c>
      <c r="E3986" s="477">
        <v>12535674.940522134</v>
      </c>
      <c r="F3986" s="458">
        <v>0.10942390858352358</v>
      </c>
      <c r="G3986" s="477">
        <v>96049776.125688061</v>
      </c>
      <c r="H3986" s="458">
        <v>0.26405791486144015</v>
      </c>
      <c r="I3986" s="468">
        <v>5.1118644595828746</v>
      </c>
    </row>
    <row r="3987" spans="1:9" ht="16.5" x14ac:dyDescent="0.3">
      <c r="A3987" s="477">
        <v>3498101.1001723506</v>
      </c>
      <c r="B3987" s="458">
        <v>4.1491086170954539E-2</v>
      </c>
      <c r="C3987" s="477">
        <v>11923773.728085306</v>
      </c>
      <c r="D3987" s="458">
        <v>6.8646788375623657E-2</v>
      </c>
      <c r="E3987" s="477">
        <v>18907323.685626935</v>
      </c>
      <c r="F3987" s="458">
        <v>0.10761064596994641</v>
      </c>
      <c r="G3987" s="477">
        <v>85555510.381212011</v>
      </c>
      <c r="H3987" s="458">
        <v>0.27212637966885422</v>
      </c>
      <c r="I3987" s="468">
        <v>7.7005344079621034</v>
      </c>
    </row>
    <row r="3988" spans="1:9" ht="16.5" x14ac:dyDescent="0.3">
      <c r="A3988" s="477">
        <v>2950137.1843728679</v>
      </c>
      <c r="B3988" s="458">
        <v>7.7215647298203294E-3</v>
      </c>
      <c r="C3988" s="477">
        <v>10375792.222684011</v>
      </c>
      <c r="D3988" s="458">
        <v>4.0223109766794218E-2</v>
      </c>
      <c r="E3988" s="477">
        <v>22363420.089929841</v>
      </c>
      <c r="F3988" s="458">
        <v>9.7051563398323548E-2</v>
      </c>
      <c r="G3988" s="477">
        <v>77244284.829769328</v>
      </c>
      <c r="H3988" s="458">
        <v>0.27208726409028583</v>
      </c>
      <c r="I3988" s="468">
        <v>7.4868225095013976</v>
      </c>
    </row>
    <row r="3989" spans="1:9" ht="16.5" x14ac:dyDescent="0.3">
      <c r="A3989" s="477">
        <v>8172644.82612269</v>
      </c>
      <c r="B3989" s="458">
        <v>4.2091180834527897E-2</v>
      </c>
      <c r="C3989" s="477">
        <v>6869041.756820078</v>
      </c>
      <c r="D3989" s="458">
        <v>3.8388717291930829E-2</v>
      </c>
      <c r="E3989" s="477">
        <v>13394760.274660163</v>
      </c>
      <c r="F3989" s="458">
        <v>0.10800083255317983</v>
      </c>
      <c r="G3989" s="477">
        <v>93516679.357489333</v>
      </c>
      <c r="H3989" s="458">
        <v>0.29300699908556749</v>
      </c>
      <c r="I3989" s="468">
        <v>8.1843321856192084</v>
      </c>
    </row>
    <row r="3990" spans="1:9" ht="16.5" x14ac:dyDescent="0.3">
      <c r="A3990" s="477">
        <v>5876203.1136053242</v>
      </c>
      <c r="B3990" s="458">
        <v>4.9761650716429573E-2</v>
      </c>
      <c r="C3990" s="477">
        <v>11616648.918769101</v>
      </c>
      <c r="D3990" s="458">
        <v>6.4033038300391754E-2</v>
      </c>
      <c r="E3990" s="477">
        <v>15695907.816947959</v>
      </c>
      <c r="F3990" s="458">
        <v>0.1104765745996672</v>
      </c>
      <c r="G3990" s="477">
        <v>94325648.22725068</v>
      </c>
      <c r="H3990" s="458">
        <v>0.2798091863262695</v>
      </c>
      <c r="I3990" s="468">
        <v>3.7433397812209046</v>
      </c>
    </row>
    <row r="3991" spans="1:9" ht="16.5" x14ac:dyDescent="0.3">
      <c r="A3991" s="477">
        <v>3403808.5317212753</v>
      </c>
      <c r="B3991" s="458">
        <v>3.5122466290647303E-2</v>
      </c>
      <c r="C3991" s="477">
        <v>7828252.3868198935</v>
      </c>
      <c r="D3991" s="458">
        <v>5.8685140990877738E-2</v>
      </c>
      <c r="E3991" s="477">
        <v>17583130.618905846</v>
      </c>
      <c r="F3991" s="458">
        <v>0.10708415649110914</v>
      </c>
      <c r="G3991" s="477">
        <v>87791697.047108293</v>
      </c>
      <c r="H3991" s="458">
        <v>0.27630802639595209</v>
      </c>
      <c r="I3991" s="468">
        <v>8.2766309356386198</v>
      </c>
    </row>
    <row r="3992" spans="1:9" ht="16.5" x14ac:dyDescent="0.3">
      <c r="A3992" s="477">
        <v>7972757.3561893413</v>
      </c>
      <c r="B3992" s="458">
        <v>4.2871953586160361E-2</v>
      </c>
      <c r="C3992" s="477">
        <v>9650697.4227846544</v>
      </c>
      <c r="D3992" s="458">
        <v>7.6437140083142729E-2</v>
      </c>
      <c r="E3992" s="477">
        <v>14335534.272721631</v>
      </c>
      <c r="F3992" s="458">
        <v>0.1173679543538042</v>
      </c>
      <c r="G3992" s="477">
        <v>94248238.614665523</v>
      </c>
      <c r="H3992" s="458">
        <v>0.27864721428266837</v>
      </c>
      <c r="I3992" s="468">
        <v>-0.9680578879770696</v>
      </c>
    </row>
    <row r="3993" spans="1:9" ht="16.5" x14ac:dyDescent="0.3">
      <c r="A3993" s="477">
        <v>5948560.2548324363</v>
      </c>
      <c r="B3993" s="458">
        <v>0.1069597727977607</v>
      </c>
      <c r="C3993" s="477">
        <v>1810857.3522118994</v>
      </c>
      <c r="D3993" s="458">
        <v>4.3976042034564955E-2</v>
      </c>
      <c r="E3993" s="477">
        <v>17994153.13703597</v>
      </c>
      <c r="F3993" s="458">
        <v>9.3145761146785855E-2</v>
      </c>
      <c r="G3993" s="477">
        <v>84623993.185900152</v>
      </c>
      <c r="H3993" s="458">
        <v>0.28611773618918313</v>
      </c>
      <c r="I3993" s="468">
        <v>2.6648764242920926</v>
      </c>
    </row>
    <row r="3994" spans="1:9" ht="16.5" x14ac:dyDescent="0.3">
      <c r="A3994" s="477">
        <v>3335435.2561023124</v>
      </c>
      <c r="B3994" s="458">
        <v>4.7225572812419125E-2</v>
      </c>
      <c r="C3994" s="477">
        <v>1966466.1462706779</v>
      </c>
      <c r="D3994" s="458">
        <v>7.1454629080420107E-2</v>
      </c>
      <c r="E3994" s="477">
        <v>14693280.810848357</v>
      </c>
      <c r="F3994" s="458">
        <v>9.9439389745055839E-2</v>
      </c>
      <c r="G3994" s="477">
        <v>80978971.598423421</v>
      </c>
      <c r="H3994" s="458">
        <v>0.28675639503139716</v>
      </c>
      <c r="I3994" s="468">
        <v>1.0642981258177322</v>
      </c>
    </row>
    <row r="3995" spans="1:9" ht="16.5" x14ac:dyDescent="0.3">
      <c r="A3995" s="477">
        <v>5506441.8527116543</v>
      </c>
      <c r="B3995" s="458">
        <v>2.6003403986881723E-2</v>
      </c>
      <c r="C3995" s="477">
        <v>11332272.643609924</v>
      </c>
      <c r="D3995" s="458">
        <v>7.1800136308605378E-2</v>
      </c>
      <c r="E3995" s="477">
        <v>11994216.031715816</v>
      </c>
      <c r="F3995" s="458">
        <v>0.11037966839622948</v>
      </c>
      <c r="G3995" s="477">
        <v>91920971.960015923</v>
      </c>
      <c r="H3995" s="458">
        <v>0.2782812749204735</v>
      </c>
      <c r="I3995" s="468">
        <v>11.910031310011153</v>
      </c>
    </row>
    <row r="3996" spans="1:9" ht="16.5" x14ac:dyDescent="0.3">
      <c r="A3996" s="477">
        <v>4095492.7679111403</v>
      </c>
      <c r="B3996" s="458">
        <v>4.6605039845655893E-2</v>
      </c>
      <c r="C3996" s="477">
        <v>5231637.2488100491</v>
      </c>
      <c r="D3996" s="458">
        <v>9.4179053983241889E-2</v>
      </c>
      <c r="E3996" s="477">
        <v>11825467.388638111</v>
      </c>
      <c r="F3996" s="458">
        <v>0.10110628107211905</v>
      </c>
      <c r="G3996" s="477">
        <v>83060754.544637829</v>
      </c>
      <c r="H3996" s="458">
        <v>0.2574291457975173</v>
      </c>
      <c r="I3996" s="468">
        <v>3.0777635195277888</v>
      </c>
    </row>
    <row r="3997" spans="1:9" ht="16.5" x14ac:dyDescent="0.3">
      <c r="A3997" s="477">
        <v>5580861.311644353</v>
      </c>
      <c r="B3997" s="458">
        <v>6.5354394652406222E-2</v>
      </c>
      <c r="C3997" s="477">
        <v>9869979.1157741062</v>
      </c>
      <c r="D3997" s="458">
        <v>6.8005575733986134E-2</v>
      </c>
      <c r="E3997" s="477">
        <v>23422386.695198573</v>
      </c>
      <c r="F3997" s="458">
        <v>0.11834139363578955</v>
      </c>
      <c r="G3997" s="477">
        <v>87249088.301949367</v>
      </c>
      <c r="H3997" s="458">
        <v>0.26066966809346548</v>
      </c>
      <c r="I3997" s="468">
        <v>3.8825298089197311</v>
      </c>
    </row>
    <row r="3998" spans="1:9" ht="16.5" x14ac:dyDescent="0.3">
      <c r="A3998" s="477">
        <v>7080703.0817581043</v>
      </c>
      <c r="B3998" s="458">
        <v>5.744081575639437E-2</v>
      </c>
      <c r="C3998" s="477">
        <v>11533325.345674338</v>
      </c>
      <c r="D3998" s="458">
        <v>5.4497928447828192E-2</v>
      </c>
      <c r="E3998" s="477">
        <v>16646079.020671602</v>
      </c>
      <c r="F3998" s="458">
        <v>0.12134125160010178</v>
      </c>
      <c r="G3998" s="477">
        <v>104406628.72452681</v>
      </c>
      <c r="H3998" s="458">
        <v>0.26695703013270511</v>
      </c>
      <c r="I3998" s="468">
        <v>11.071898145159951</v>
      </c>
    </row>
    <row r="3999" spans="1:9" ht="16.5" x14ac:dyDescent="0.3">
      <c r="A3999" s="477">
        <v>8776872.5710866153</v>
      </c>
      <c r="B3999" s="458">
        <v>3.4998535867944325E-2</v>
      </c>
      <c r="C3999" s="477">
        <v>2822866.1655045161</v>
      </c>
      <c r="D3999" s="458">
        <v>8.1497003878751029E-2</v>
      </c>
      <c r="E3999" s="477">
        <v>16098888.489739899</v>
      </c>
      <c r="F3999" s="458">
        <v>0.11658960401238283</v>
      </c>
      <c r="G3999" s="477">
        <v>94318446.973568618</v>
      </c>
      <c r="H3999" s="458">
        <v>0.26705097987066195</v>
      </c>
      <c r="I3999" s="468">
        <v>11.253923849106915</v>
      </c>
    </row>
    <row r="4000" spans="1:9" ht="16.5" x14ac:dyDescent="0.3">
      <c r="A4000" s="477">
        <v>3038358.5513536888</v>
      </c>
      <c r="B4000" s="458">
        <v>9.441435458557268E-2</v>
      </c>
      <c r="C4000" s="477">
        <v>12068079.530325755</v>
      </c>
      <c r="D4000" s="458">
        <v>7.1250667158474501E-2</v>
      </c>
      <c r="E4000" s="477">
        <v>14257077.485237647</v>
      </c>
      <c r="F4000" s="458">
        <v>9.960787433524021E-2</v>
      </c>
      <c r="G4000" s="477">
        <v>93463256.588438004</v>
      </c>
      <c r="H4000" s="458">
        <v>0.25653130224154341</v>
      </c>
      <c r="I4000" s="468">
        <v>1.6722272634600159</v>
      </c>
    </row>
    <row r="4001" spans="1:9" ht="16.5" x14ac:dyDescent="0.3">
      <c r="A4001" s="477">
        <v>3189563.3298923494</v>
      </c>
      <c r="B4001" s="458">
        <v>5.8519897324414538E-2</v>
      </c>
      <c r="C4001" s="477">
        <v>13838733.642196832</v>
      </c>
      <c r="D4001" s="458">
        <v>6.2997722213947505E-2</v>
      </c>
      <c r="E4001" s="477">
        <v>20961041.143492334</v>
      </c>
      <c r="F4001" s="458">
        <v>0.11555371680790016</v>
      </c>
      <c r="G4001" s="477">
        <v>78649497.425005883</v>
      </c>
      <c r="H4001" s="458">
        <v>0.26852544848021331</v>
      </c>
      <c r="I4001" s="468">
        <v>7.3219556763741735</v>
      </c>
    </row>
    <row r="4002" spans="1:9" ht="16.5" x14ac:dyDescent="0.3">
      <c r="A4002" s="477">
        <v>7206486.1502205469</v>
      </c>
      <c r="B4002" s="458">
        <v>5.0508302232847635E-2</v>
      </c>
      <c r="C4002" s="477">
        <v>12240577.056400342</v>
      </c>
      <c r="D4002" s="458">
        <v>4.9589873305969867E-2</v>
      </c>
      <c r="E4002" s="477">
        <v>15767820.470462235</v>
      </c>
      <c r="F4002" s="458">
        <v>0.11662630805487817</v>
      </c>
      <c r="G4002" s="477">
        <v>98379943.949609205</v>
      </c>
      <c r="H4002" s="458">
        <v>0.26394482273617581</v>
      </c>
      <c r="I4002" s="468">
        <v>6.7785182105533996</v>
      </c>
    </row>
    <row r="4003" spans="1:9" ht="16.5" x14ac:dyDescent="0.3">
      <c r="A4003" s="477">
        <v>6595679.5063453326</v>
      </c>
      <c r="B4003" s="458">
        <v>6.2693088150048926E-2</v>
      </c>
      <c r="C4003" s="477">
        <v>3684802.0278315903</v>
      </c>
      <c r="D4003" s="458">
        <v>4.4086586541550732E-2</v>
      </c>
      <c r="E4003" s="477">
        <v>21354085.138921808</v>
      </c>
      <c r="F4003" s="458">
        <v>0.10400201110924256</v>
      </c>
      <c r="G4003" s="477">
        <v>91397320.432487965</v>
      </c>
      <c r="H4003" s="458">
        <v>0.25768797246283359</v>
      </c>
      <c r="I4003" s="468">
        <v>11.631358316224695</v>
      </c>
    </row>
    <row r="4004" spans="1:9" ht="16.5" x14ac:dyDescent="0.3">
      <c r="A4004" s="477">
        <v>2310126.8404888432</v>
      </c>
      <c r="B4004" s="458">
        <v>5.6726168514996456E-2</v>
      </c>
      <c r="C4004" s="477">
        <v>2778905.5970676164</v>
      </c>
      <c r="D4004" s="458">
        <v>4.4222346121477685E-2</v>
      </c>
      <c r="E4004" s="477">
        <v>20380899.071982257</v>
      </c>
      <c r="F4004" s="458">
        <v>0.12985847473684875</v>
      </c>
      <c r="G4004" s="477">
        <v>91904138.322866142</v>
      </c>
      <c r="H4004" s="458">
        <v>0.28133128566325283</v>
      </c>
      <c r="I4004" s="468">
        <v>5.6617840456287007</v>
      </c>
    </row>
    <row r="4005" spans="1:9" ht="16.5" x14ac:dyDescent="0.3">
      <c r="A4005" s="477">
        <v>6166766.6220103698</v>
      </c>
      <c r="B4005" s="458">
        <v>3.8764102571891002E-2</v>
      </c>
      <c r="C4005" s="477">
        <v>10838399.517382164</v>
      </c>
      <c r="D4005" s="458">
        <v>8.0572987307367505E-2</v>
      </c>
      <c r="E4005" s="477">
        <v>17672515.949466061</v>
      </c>
      <c r="F4005" s="458">
        <v>0.10389255352977944</v>
      </c>
      <c r="G4005" s="477">
        <v>101089946.12448791</v>
      </c>
      <c r="H4005" s="458">
        <v>0.26271892091427507</v>
      </c>
      <c r="I4005" s="468">
        <v>11.126437918223843</v>
      </c>
    </row>
    <row r="4006" spans="1:9" ht="16.5" x14ac:dyDescent="0.3">
      <c r="A4006" s="477">
        <v>8521135.8474921156</v>
      </c>
      <c r="B4006" s="458">
        <v>5.4723631989487931E-2</v>
      </c>
      <c r="C4006" s="477">
        <v>7008752.5985097205</v>
      </c>
      <c r="D4006" s="458">
        <v>7.0894503989335167E-2</v>
      </c>
      <c r="E4006" s="477">
        <v>17402668.370238226</v>
      </c>
      <c r="F4006" s="458">
        <v>0.12004434643719941</v>
      </c>
      <c r="G4006" s="477">
        <v>93496631.769708157</v>
      </c>
      <c r="H4006" s="458">
        <v>0.26300541880722483</v>
      </c>
      <c r="I4006" s="468">
        <v>11.083793881429486</v>
      </c>
    </row>
    <row r="4007" spans="1:9" ht="16.5" x14ac:dyDescent="0.3">
      <c r="A4007" s="477">
        <v>2590904.8717982629</v>
      </c>
      <c r="B4007" s="458">
        <v>4.3462171089198698E-2</v>
      </c>
      <c r="C4007" s="477">
        <v>5113396.2073621992</v>
      </c>
      <c r="D4007" s="458">
        <v>5.9010984357961815E-2</v>
      </c>
      <c r="E4007" s="477">
        <v>8064328.9109464884</v>
      </c>
      <c r="F4007" s="458">
        <v>0.10181062228941107</v>
      </c>
      <c r="G4007" s="477">
        <v>92853381.104234725</v>
      </c>
      <c r="H4007" s="458">
        <v>0.25922217598452346</v>
      </c>
      <c r="I4007" s="468">
        <v>14.44884093998801</v>
      </c>
    </row>
    <row r="4008" spans="1:9" ht="16.5" x14ac:dyDescent="0.3">
      <c r="A4008" s="477">
        <v>1981738.2637803359</v>
      </c>
      <c r="B4008" s="458">
        <v>4.1324948221240776E-2</v>
      </c>
      <c r="C4008" s="477">
        <v>6715250.2431528019</v>
      </c>
      <c r="D4008" s="458">
        <v>9.5026913525573686E-2</v>
      </c>
      <c r="E4008" s="477">
        <v>18486457.003720257</v>
      </c>
      <c r="F4008" s="458">
        <v>9.710153722504633E-2</v>
      </c>
      <c r="G4008" s="477">
        <v>90207537.940904647</v>
      </c>
      <c r="H4008" s="458">
        <v>0.26123093020741961</v>
      </c>
      <c r="I4008" s="468">
        <v>8.1760927154620493</v>
      </c>
    </row>
    <row r="4009" spans="1:9" ht="16.5" x14ac:dyDescent="0.3">
      <c r="A4009" s="477">
        <v>8478234.9994088635</v>
      </c>
      <c r="B4009" s="458">
        <v>5.4707851590288348E-2</v>
      </c>
      <c r="C4009" s="477">
        <v>8314200.767643678</v>
      </c>
      <c r="D4009" s="458">
        <v>3.4637783858476601E-2</v>
      </c>
      <c r="E4009" s="477">
        <v>17811807.429137509</v>
      </c>
      <c r="F4009" s="458">
        <v>0.14847906692642154</v>
      </c>
      <c r="G4009" s="477">
        <v>95968838.325611442</v>
      </c>
      <c r="H4009" s="458">
        <v>0.25791518971049188</v>
      </c>
      <c r="I4009" s="468">
        <v>9.7863232660913528</v>
      </c>
    </row>
    <row r="4010" spans="1:9" ht="16.5" x14ac:dyDescent="0.3">
      <c r="A4010" s="477">
        <v>-660980.79712106974</v>
      </c>
      <c r="B4010" s="458">
        <v>3.1073681968483591E-2</v>
      </c>
      <c r="C4010" s="477">
        <v>6444079.4271782646</v>
      </c>
      <c r="D4010" s="458">
        <v>7.9838313861150922E-2</v>
      </c>
      <c r="E4010" s="477">
        <v>16761606.733869761</v>
      </c>
      <c r="F4010" s="458">
        <v>0.12232493406698852</v>
      </c>
      <c r="G4010" s="477">
        <v>74387632.340587497</v>
      </c>
      <c r="H4010" s="458">
        <v>0.2726386824254039</v>
      </c>
      <c r="I4010" s="468">
        <v>10.881770411305862</v>
      </c>
    </row>
    <row r="4011" spans="1:9" ht="16.5" x14ac:dyDescent="0.3">
      <c r="A4011" s="477">
        <v>6947226.6422080193</v>
      </c>
      <c r="B4011" s="458">
        <v>1.6155546396826814E-2</v>
      </c>
      <c r="C4011" s="477">
        <v>3724665.3911073925</v>
      </c>
      <c r="D4011" s="458">
        <v>5.4849743856720812E-2</v>
      </c>
      <c r="E4011" s="477">
        <v>17885522.451139923</v>
      </c>
      <c r="F4011" s="458">
        <v>9.1160514485860045E-2</v>
      </c>
      <c r="G4011" s="477">
        <v>85827459.747078627</v>
      </c>
      <c r="H4011" s="458">
        <v>0.27237918932622085</v>
      </c>
      <c r="I4011" s="468">
        <v>6.3228536037638881</v>
      </c>
    </row>
    <row r="4012" spans="1:9" ht="16.5" x14ac:dyDescent="0.3">
      <c r="A4012" s="477">
        <v>9105834.4115061164</v>
      </c>
      <c r="B4012" s="458">
        <v>2.6718836532341861E-2</v>
      </c>
      <c r="C4012" s="477">
        <v>9786345.8718848657</v>
      </c>
      <c r="D4012" s="458">
        <v>6.4445166639386153E-2</v>
      </c>
      <c r="E4012" s="477">
        <v>16729863.484892221</v>
      </c>
      <c r="F4012" s="458">
        <v>0.11416004802460833</v>
      </c>
      <c r="G4012" s="477">
        <v>81205114.925370887</v>
      </c>
      <c r="H4012" s="458">
        <v>0.27002414136717334</v>
      </c>
      <c r="I4012" s="468">
        <v>4.0179523060833269</v>
      </c>
    </row>
    <row r="4013" spans="1:9" ht="16.5" x14ac:dyDescent="0.3">
      <c r="A4013" s="477">
        <v>3191746.3037237343</v>
      </c>
      <c r="B4013" s="458">
        <v>5.6757048409754818E-2</v>
      </c>
      <c r="C4013" s="477">
        <v>12504100.992095163</v>
      </c>
      <c r="D4013" s="458">
        <v>5.8419756749898299E-2</v>
      </c>
      <c r="E4013" s="477">
        <v>28395851.611009553</v>
      </c>
      <c r="F4013" s="458">
        <v>0.1074101530466689</v>
      </c>
      <c r="G4013" s="477">
        <v>93207926.254251629</v>
      </c>
      <c r="H4013" s="458">
        <v>0.26636084716013775</v>
      </c>
      <c r="I4013" s="468">
        <v>4.568237379778342</v>
      </c>
    </row>
    <row r="4014" spans="1:9" ht="16.5" x14ac:dyDescent="0.3">
      <c r="A4014" s="477">
        <v>7778275.0075970022</v>
      </c>
      <c r="B4014" s="458">
        <v>1.7465879282140717E-2</v>
      </c>
      <c r="C4014" s="477">
        <v>16044080.131056225</v>
      </c>
      <c r="D4014" s="458">
        <v>7.0195686815846869E-2</v>
      </c>
      <c r="E4014" s="477">
        <v>14947318.957394768</v>
      </c>
      <c r="F4014" s="458">
        <v>0.10115184876816952</v>
      </c>
      <c r="G4014" s="477">
        <v>95435229.966991991</v>
      </c>
      <c r="H4014" s="458">
        <v>0.27954661775157108</v>
      </c>
      <c r="I4014" s="468">
        <v>6.9317028785855479</v>
      </c>
    </row>
    <row r="4015" spans="1:9" ht="16.5" x14ac:dyDescent="0.3">
      <c r="A4015" s="477">
        <v>5810137.5665884512</v>
      </c>
      <c r="B4015" s="458">
        <v>5.5039917318162601E-2</v>
      </c>
      <c r="C4015" s="477">
        <v>11783688.969888475</v>
      </c>
      <c r="D4015" s="458">
        <v>0.11304155583790498</v>
      </c>
      <c r="E4015" s="477">
        <v>16271244.732574213</v>
      </c>
      <c r="F4015" s="458">
        <v>0.10361655301182671</v>
      </c>
      <c r="G4015" s="477">
        <v>83904860.13629657</v>
      </c>
      <c r="H4015" s="458">
        <v>0.27571472490047677</v>
      </c>
      <c r="I4015" s="468">
        <v>10.281577748169244</v>
      </c>
    </row>
    <row r="4016" spans="1:9" ht="16.5" x14ac:dyDescent="0.3">
      <c r="A4016" s="477">
        <v>8718381.1595522165</v>
      </c>
      <c r="B4016" s="458">
        <v>4.4287732301706129E-2</v>
      </c>
      <c r="C4016" s="477">
        <v>9127265.3689702246</v>
      </c>
      <c r="D4016" s="458">
        <v>5.3449053021540127E-2</v>
      </c>
      <c r="E4016" s="477">
        <v>12999809.193052394</v>
      </c>
      <c r="F4016" s="458">
        <v>0.14347444681870813</v>
      </c>
      <c r="G4016" s="477">
        <v>95245902.370766953</v>
      </c>
      <c r="H4016" s="458">
        <v>0.27882465651980626</v>
      </c>
      <c r="I4016" s="468">
        <v>5.3510086016078704</v>
      </c>
    </row>
    <row r="4017" spans="1:9" ht="16.5" x14ac:dyDescent="0.3">
      <c r="A4017" s="477">
        <v>4688490.8717960706</v>
      </c>
      <c r="B4017" s="458">
        <v>3.3155944483814093E-2</v>
      </c>
      <c r="C4017" s="477">
        <v>4608515.1180218365</v>
      </c>
      <c r="D4017" s="458">
        <v>4.4427566197958512E-2</v>
      </c>
      <c r="E4017" s="477">
        <v>6505142.9594374616</v>
      </c>
      <c r="F4017" s="458">
        <v>8.6851227164059797E-2</v>
      </c>
      <c r="G4017" s="477">
        <v>99521428.880910546</v>
      </c>
      <c r="H4017" s="458">
        <v>0.28202759581338022</v>
      </c>
      <c r="I4017" s="468">
        <v>10.256703300643917</v>
      </c>
    </row>
    <row r="4018" spans="1:9" ht="16.5" x14ac:dyDescent="0.3">
      <c r="A4018" s="477">
        <v>8294126.0370015865</v>
      </c>
      <c r="B4018" s="458">
        <v>3.665184170929825E-2</v>
      </c>
      <c r="C4018" s="477">
        <v>12608044.822411189</v>
      </c>
      <c r="D4018" s="458">
        <v>7.5323793375638992E-2</v>
      </c>
      <c r="E4018" s="477">
        <v>18005872.419588637</v>
      </c>
      <c r="F4018" s="458">
        <v>0.10506941396010383</v>
      </c>
      <c r="G4018" s="477">
        <v>92802922.030219957</v>
      </c>
      <c r="H4018" s="458">
        <v>0.26064765809849311</v>
      </c>
      <c r="I4018" s="468">
        <v>13.767260842291195</v>
      </c>
    </row>
    <row r="4019" spans="1:9" ht="16.5" x14ac:dyDescent="0.3">
      <c r="A4019" s="477">
        <v>3715949.0843550996</v>
      </c>
      <c r="B4019" s="458">
        <v>3.6022001694903549E-2</v>
      </c>
      <c r="C4019" s="477">
        <v>12111436.889242217</v>
      </c>
      <c r="D4019" s="458">
        <v>7.6950155789219155E-2</v>
      </c>
      <c r="E4019" s="477">
        <v>19730233.306586388</v>
      </c>
      <c r="F4019" s="458">
        <v>0.12587499724152429</v>
      </c>
      <c r="G4019" s="477">
        <v>83381084.949821159</v>
      </c>
      <c r="H4019" s="458">
        <v>0.25258147887704396</v>
      </c>
      <c r="I4019" s="468">
        <v>5.0375022052594263</v>
      </c>
    </row>
    <row r="4020" spans="1:9" ht="16.5" x14ac:dyDescent="0.3">
      <c r="A4020" s="477">
        <v>6590461.9537143223</v>
      </c>
      <c r="B4020" s="458">
        <v>2.7880599242174453E-2</v>
      </c>
      <c r="C4020" s="477">
        <v>3341928.9535299926</v>
      </c>
      <c r="D4020" s="458">
        <v>6.2709250221087309E-2</v>
      </c>
      <c r="E4020" s="477">
        <v>17811434.651475247</v>
      </c>
      <c r="F4020" s="458">
        <v>0.1285694498526444</v>
      </c>
      <c r="G4020" s="477">
        <v>91511271.951096788</v>
      </c>
      <c r="H4020" s="458">
        <v>0.25968156261578779</v>
      </c>
      <c r="I4020" s="468">
        <v>11.687461802703695</v>
      </c>
    </row>
    <row r="4021" spans="1:9" ht="16.5" x14ac:dyDescent="0.3">
      <c r="A4021" s="477">
        <v>9499770.1841953583</v>
      </c>
      <c r="B4021" s="458">
        <v>5.1972584528712451E-2</v>
      </c>
      <c r="C4021" s="477">
        <v>7698367.4952346124</v>
      </c>
      <c r="D4021" s="458">
        <v>6.5392631943651303E-2</v>
      </c>
      <c r="E4021" s="477">
        <v>25310020.778124347</v>
      </c>
      <c r="F4021" s="458">
        <v>9.7678710152643289E-2</v>
      </c>
      <c r="G4021" s="477">
        <v>73288602.666336507</v>
      </c>
      <c r="H4021" s="458">
        <v>0.28300415351174779</v>
      </c>
      <c r="I4021" s="468">
        <v>7.3991004455038434</v>
      </c>
    </row>
    <row r="4022" spans="1:9" ht="16.5" x14ac:dyDescent="0.3">
      <c r="A4022" s="477">
        <v>5715876.8043793477</v>
      </c>
      <c r="B4022" s="458">
        <v>4.3916047407440706E-2</v>
      </c>
      <c r="C4022" s="477">
        <v>9051087.1803828105</v>
      </c>
      <c r="D4022" s="458">
        <v>6.9054860813640317E-2</v>
      </c>
      <c r="E4022" s="477">
        <v>21799985.259854283</v>
      </c>
      <c r="F4022" s="458">
        <v>0.11533807153473696</v>
      </c>
      <c r="G4022" s="477">
        <v>97185925.095303327</v>
      </c>
      <c r="H4022" s="458">
        <v>0.25739345947249159</v>
      </c>
      <c r="I4022" s="468">
        <v>10.989277887409726</v>
      </c>
    </row>
    <row r="4023" spans="1:9" ht="16.5" x14ac:dyDescent="0.3">
      <c r="A4023" s="477">
        <v>7312175.0597816091</v>
      </c>
      <c r="B4023" s="458">
        <v>4.9518624313972026E-2</v>
      </c>
      <c r="C4023" s="477">
        <v>12940212.156492123</v>
      </c>
      <c r="D4023" s="458">
        <v>6.7477673928562298E-2</v>
      </c>
      <c r="E4023" s="477">
        <v>13195716.857494691</v>
      </c>
      <c r="F4023" s="458">
        <v>0.10795811221150498</v>
      </c>
      <c r="G4023" s="477">
        <v>95395285.334600464</v>
      </c>
      <c r="H4023" s="458">
        <v>0.26026472412630297</v>
      </c>
      <c r="I4023" s="468">
        <v>8.2088390753904541</v>
      </c>
    </row>
    <row r="4024" spans="1:9" ht="16.5" x14ac:dyDescent="0.3">
      <c r="A4024" s="477">
        <v>5286734.8696420826</v>
      </c>
      <c r="B4024" s="458">
        <v>2.7648395773662182E-2</v>
      </c>
      <c r="C4024" s="477">
        <v>8892213.7203013189</v>
      </c>
      <c r="D4024" s="458">
        <v>4.3582040822795598E-2</v>
      </c>
      <c r="E4024" s="477">
        <v>13870750.332989251</v>
      </c>
      <c r="F4024" s="458">
        <v>0.15989752692844039</v>
      </c>
      <c r="G4024" s="477">
        <v>99002822.980192602</v>
      </c>
      <c r="H4024" s="458">
        <v>0.27431127981182168</v>
      </c>
      <c r="I4024" s="468">
        <v>7.3617477768948261</v>
      </c>
    </row>
    <row r="4025" spans="1:9" ht="16.5" x14ac:dyDescent="0.3">
      <c r="A4025" s="477">
        <v>5094893.0588412145</v>
      </c>
      <c r="B4025" s="458">
        <v>4.0869563076570303E-2</v>
      </c>
      <c r="C4025" s="477">
        <v>6121096.2667573253</v>
      </c>
      <c r="D4025" s="458">
        <v>4.9552332139330746E-2</v>
      </c>
      <c r="E4025" s="477">
        <v>20310960.525875136</v>
      </c>
      <c r="F4025" s="458">
        <v>9.2172883800919037E-2</v>
      </c>
      <c r="G4025" s="477">
        <v>64837054.345222332</v>
      </c>
      <c r="H4025" s="458">
        <v>0.26415186628163001</v>
      </c>
      <c r="I4025" s="468">
        <v>18.43278177514398</v>
      </c>
    </row>
    <row r="4026" spans="1:9" ht="16.5" x14ac:dyDescent="0.3">
      <c r="A4026" s="477">
        <v>5955611.5932434322</v>
      </c>
      <c r="B4026" s="458">
        <v>1.7523415194954373E-2</v>
      </c>
      <c r="C4026" s="477">
        <v>11963700.512126822</v>
      </c>
      <c r="D4026" s="458">
        <v>6.9005774140339149E-2</v>
      </c>
      <c r="E4026" s="477">
        <v>26137225.054394849</v>
      </c>
      <c r="F4026" s="458">
        <v>0.10326216193362625</v>
      </c>
      <c r="G4026" s="477">
        <v>101363800.14696345</v>
      </c>
      <c r="H4026" s="458">
        <v>0.26292000212672839</v>
      </c>
      <c r="I4026" s="468">
        <v>9.6304407505075762</v>
      </c>
    </row>
    <row r="4027" spans="1:9" ht="16.5" x14ac:dyDescent="0.3">
      <c r="A4027" s="477">
        <v>3592661.0160969174</v>
      </c>
      <c r="B4027" s="458">
        <v>4.8021286820384423E-2</v>
      </c>
      <c r="C4027" s="477">
        <v>13127453.703509649</v>
      </c>
      <c r="D4027" s="458">
        <v>5.5891222458932965E-2</v>
      </c>
      <c r="E4027" s="477">
        <v>18803595.890616719</v>
      </c>
      <c r="F4027" s="458">
        <v>0.12491215198350036</v>
      </c>
      <c r="G4027" s="477">
        <v>86625624.721713871</v>
      </c>
      <c r="H4027" s="458">
        <v>0.28791030525763217</v>
      </c>
      <c r="I4027" s="468">
        <v>9.0691733245572959</v>
      </c>
    </row>
    <row r="4028" spans="1:9" ht="16.5" x14ac:dyDescent="0.3">
      <c r="A4028" s="477">
        <v>9456783.2840986401</v>
      </c>
      <c r="B4028" s="458">
        <v>4.8570549341914404E-2</v>
      </c>
      <c r="C4028" s="477">
        <v>9496852.9003254585</v>
      </c>
      <c r="D4028" s="458">
        <v>9.2656499293795269E-2</v>
      </c>
      <c r="E4028" s="477">
        <v>13715905.424424315</v>
      </c>
      <c r="F4028" s="458">
        <v>0.10952347975724197</v>
      </c>
      <c r="G4028" s="477">
        <v>99095897.500672519</v>
      </c>
      <c r="H4028" s="458">
        <v>0.26882785691386868</v>
      </c>
      <c r="I4028" s="468">
        <v>8.2545892510703744</v>
      </c>
    </row>
    <row r="4029" spans="1:9" ht="16.5" x14ac:dyDescent="0.3">
      <c r="A4029" s="477">
        <v>3629542.8008320769</v>
      </c>
      <c r="B4029" s="458">
        <v>4.8589003938315889E-2</v>
      </c>
      <c r="C4029" s="477">
        <v>12978462.802848376</v>
      </c>
      <c r="D4029" s="458">
        <v>7.2221716271752889E-2</v>
      </c>
      <c r="E4029" s="477">
        <v>16187193.883706218</v>
      </c>
      <c r="F4029" s="458">
        <v>0.10940388635581288</v>
      </c>
      <c r="G4029" s="477">
        <v>79273195.150650173</v>
      </c>
      <c r="H4029" s="458">
        <v>0.26421781367179187</v>
      </c>
      <c r="I4029" s="468">
        <v>8.6887816245886178</v>
      </c>
    </row>
    <row r="4030" spans="1:9" ht="16.5" x14ac:dyDescent="0.3">
      <c r="A4030" s="477">
        <v>6005310.014599083</v>
      </c>
      <c r="B4030" s="458">
        <v>4.0517465449547929E-2</v>
      </c>
      <c r="C4030" s="477">
        <v>11713015.192508524</v>
      </c>
      <c r="D4030" s="458">
        <v>6.6608381510552928E-2</v>
      </c>
      <c r="E4030" s="477">
        <v>16201614.010259651</v>
      </c>
      <c r="F4030" s="458">
        <v>0.11371273570350704</v>
      </c>
      <c r="G4030" s="477">
        <v>90669964.71079196</v>
      </c>
      <c r="H4030" s="458">
        <v>0.2682666843055177</v>
      </c>
      <c r="I4030" s="468">
        <v>3.9832456935793275</v>
      </c>
    </row>
    <row r="4031" spans="1:9" ht="16.5" x14ac:dyDescent="0.3">
      <c r="A4031" s="477">
        <v>3948294.156838201</v>
      </c>
      <c r="B4031" s="458">
        <v>2.8191486924217912E-2</v>
      </c>
      <c r="C4031" s="477">
        <v>12608754.970273642</v>
      </c>
      <c r="D4031" s="458">
        <v>7.0966691862434539E-2</v>
      </c>
      <c r="E4031" s="477">
        <v>14121650.790095204</v>
      </c>
      <c r="F4031" s="458">
        <v>0.11215781148109483</v>
      </c>
      <c r="G4031" s="477">
        <v>87676165.235145003</v>
      </c>
      <c r="H4031" s="458">
        <v>0.27544938804587926</v>
      </c>
      <c r="I4031" s="468">
        <v>14.214249262807911</v>
      </c>
    </row>
    <row r="4032" spans="1:9" ht="16.5" x14ac:dyDescent="0.3">
      <c r="A4032" s="477">
        <v>8083275.1899312614</v>
      </c>
      <c r="B4032" s="458">
        <v>3.5575734785026736E-2</v>
      </c>
      <c r="C4032" s="477">
        <v>-949915.27946584008</v>
      </c>
      <c r="D4032" s="458">
        <v>9.5177851973224481E-2</v>
      </c>
      <c r="E4032" s="477">
        <v>16084808.159397369</v>
      </c>
      <c r="F4032" s="458">
        <v>0.10263247598272507</v>
      </c>
      <c r="G4032" s="477">
        <v>85908627.591830745</v>
      </c>
      <c r="H4032" s="458">
        <v>0.27011662079024057</v>
      </c>
      <c r="I4032" s="468">
        <v>11.979528959125235</v>
      </c>
    </row>
    <row r="4033" spans="1:9" ht="16.5" x14ac:dyDescent="0.3">
      <c r="A4033" s="477">
        <v>4753659.5395958694</v>
      </c>
      <c r="B4033" s="458">
        <v>5.981657098337001E-2</v>
      </c>
      <c r="C4033" s="477">
        <v>7204073.0352768051</v>
      </c>
      <c r="D4033" s="458">
        <v>7.0195097271685158E-2</v>
      </c>
      <c r="E4033" s="477">
        <v>17898994.483456284</v>
      </c>
      <c r="F4033" s="458">
        <v>0.10582268380959103</v>
      </c>
      <c r="G4033" s="477">
        <v>91378100.933622375</v>
      </c>
      <c r="H4033" s="458">
        <v>0.26190336019919025</v>
      </c>
      <c r="I4033" s="468">
        <v>4.8348192020703991</v>
      </c>
    </row>
    <row r="4034" spans="1:9" ht="16.5" x14ac:dyDescent="0.3">
      <c r="A4034" s="477">
        <v>6900240.3460706631</v>
      </c>
      <c r="B4034" s="458">
        <v>2.9622705070048605E-2</v>
      </c>
      <c r="C4034" s="477">
        <v>6772135.3087083586</v>
      </c>
      <c r="D4034" s="458">
        <v>5.8561845802157508E-2</v>
      </c>
      <c r="E4034" s="477">
        <v>12121046.621328859</v>
      </c>
      <c r="F4034" s="458">
        <v>0.11449401757894906</v>
      </c>
      <c r="G4034" s="477">
        <v>89994167.847067431</v>
      </c>
      <c r="H4034" s="458">
        <v>0.26645723497603724</v>
      </c>
      <c r="I4034" s="468">
        <v>8.8337521242569714</v>
      </c>
    </row>
    <row r="4035" spans="1:9" ht="16.5" x14ac:dyDescent="0.3">
      <c r="A4035" s="477">
        <v>4513320.0258957045</v>
      </c>
      <c r="B4035" s="458">
        <v>4.3754604982895184E-2</v>
      </c>
      <c r="C4035" s="477">
        <v>3927055.7853144938</v>
      </c>
      <c r="D4035" s="458">
        <v>9.7644741114345512E-2</v>
      </c>
      <c r="E4035" s="477">
        <v>20081166.362931173</v>
      </c>
      <c r="F4035" s="458">
        <v>0.10928834070740279</v>
      </c>
      <c r="G4035" s="477">
        <v>94495342.524980754</v>
      </c>
      <c r="H4035" s="458">
        <v>0.28632399376478279</v>
      </c>
      <c r="I4035" s="468">
        <v>14.807352160143388</v>
      </c>
    </row>
    <row r="4036" spans="1:9" ht="16.5" x14ac:dyDescent="0.3">
      <c r="A4036" s="477">
        <v>7215095.3518891307</v>
      </c>
      <c r="B4036" s="458">
        <v>9.5516088290752643E-2</v>
      </c>
      <c r="C4036" s="477">
        <v>11800870.899073284</v>
      </c>
      <c r="D4036" s="458">
        <v>1.7319467148000589E-2</v>
      </c>
      <c r="E4036" s="477">
        <v>13818754.930736134</v>
      </c>
      <c r="F4036" s="458">
        <v>9.4720792366558726E-2</v>
      </c>
      <c r="G4036" s="477">
        <v>97521519.031783223</v>
      </c>
      <c r="H4036" s="458">
        <v>0.27058107702017442</v>
      </c>
      <c r="I4036" s="468">
        <v>10.3508465926143</v>
      </c>
    </row>
    <row r="4037" spans="1:9" ht="16.5" x14ac:dyDescent="0.3">
      <c r="A4037" s="477">
        <v>3714370.3515648199</v>
      </c>
      <c r="B4037" s="458">
        <v>3.2358219956046597E-2</v>
      </c>
      <c r="C4037" s="477">
        <v>10180977.208499782</v>
      </c>
      <c r="D4037" s="458">
        <v>6.7554019175454894E-2</v>
      </c>
      <c r="E4037" s="477">
        <v>9668295.8492300212</v>
      </c>
      <c r="F4037" s="458">
        <v>9.3775397734512378E-2</v>
      </c>
      <c r="G4037" s="477">
        <v>92232071.669982016</v>
      </c>
      <c r="H4037" s="458">
        <v>0.28835891395155766</v>
      </c>
      <c r="I4037" s="468">
        <v>5.1454963383164163</v>
      </c>
    </row>
    <row r="4038" spans="1:9" ht="16.5" x14ac:dyDescent="0.3">
      <c r="A4038" s="477">
        <v>3897437.3282221556</v>
      </c>
      <c r="B4038" s="458">
        <v>3.4904625944929046E-2</v>
      </c>
      <c r="C4038" s="477">
        <v>12196437.811520709</v>
      </c>
      <c r="D4038" s="458">
        <v>6.4611489034037461E-2</v>
      </c>
      <c r="E4038" s="477">
        <v>12113345.369451135</v>
      </c>
      <c r="F4038" s="458">
        <v>9.1700865478642646E-2</v>
      </c>
      <c r="G4038" s="477">
        <v>102547489.28301363</v>
      </c>
      <c r="H4038" s="458">
        <v>0.2558880456192012</v>
      </c>
      <c r="I4038" s="468">
        <v>5.8567272139172211</v>
      </c>
    </row>
    <row r="4039" spans="1:9" ht="16.5" x14ac:dyDescent="0.3">
      <c r="A4039" s="477">
        <v>4705919.9774795286</v>
      </c>
      <c r="B4039" s="458">
        <v>2.1182366209854253E-2</v>
      </c>
      <c r="C4039" s="477">
        <v>7979674.0801520376</v>
      </c>
      <c r="D4039" s="458">
        <v>4.6470903911882244E-2</v>
      </c>
      <c r="E4039" s="477">
        <v>18260158.713993009</v>
      </c>
      <c r="F4039" s="458">
        <v>0.11520382650548511</v>
      </c>
      <c r="G4039" s="477">
        <v>87600581.472951502</v>
      </c>
      <c r="H4039" s="458">
        <v>0.24700006314621925</v>
      </c>
      <c r="I4039" s="468">
        <v>7.5885026768769981</v>
      </c>
    </row>
    <row r="4040" spans="1:9" ht="16.5" x14ac:dyDescent="0.3">
      <c r="A4040" s="477">
        <v>6006661.8446275853</v>
      </c>
      <c r="B4040" s="458">
        <v>3.4917277423422766E-2</v>
      </c>
      <c r="C4040" s="477">
        <v>7781287.9574095625</v>
      </c>
      <c r="D4040" s="458">
        <v>6.6387143644348834E-2</v>
      </c>
      <c r="E4040" s="477">
        <v>18445311.0311439</v>
      </c>
      <c r="F4040" s="458">
        <v>9.5391466805636593E-2</v>
      </c>
      <c r="G4040" s="477">
        <v>121533098.16833721</v>
      </c>
      <c r="H4040" s="458">
        <v>0.27290614478399911</v>
      </c>
      <c r="I4040" s="468">
        <v>4.3629589022426973</v>
      </c>
    </row>
    <row r="4041" spans="1:9" ht="16.5" x14ac:dyDescent="0.3">
      <c r="A4041" s="477">
        <v>-626279.81228478148</v>
      </c>
      <c r="B4041" s="458">
        <v>4.987431849223789E-2</v>
      </c>
      <c r="C4041" s="477">
        <v>9418514.0528358407</v>
      </c>
      <c r="D4041" s="458">
        <v>6.4399882420189014E-2</v>
      </c>
      <c r="E4041" s="477">
        <v>14570153.772525283</v>
      </c>
      <c r="F4041" s="458">
        <v>0.12105830960436736</v>
      </c>
      <c r="G4041" s="477">
        <v>93618821.394708246</v>
      </c>
      <c r="H4041" s="458">
        <v>0.25888792608806166</v>
      </c>
      <c r="I4041" s="468">
        <v>3.4698262212159641</v>
      </c>
    </row>
    <row r="4042" spans="1:9" ht="16.5" x14ac:dyDescent="0.3">
      <c r="A4042" s="477">
        <v>4842800.2753441883</v>
      </c>
      <c r="B4042" s="458">
        <v>3.5627729797429453E-2</v>
      </c>
      <c r="C4042" s="477">
        <v>10777941.158062231</v>
      </c>
      <c r="D4042" s="458">
        <v>6.9033667059001047E-2</v>
      </c>
      <c r="E4042" s="477">
        <v>20903071.587933287</v>
      </c>
      <c r="F4042" s="458">
        <v>0.10266002875959956</v>
      </c>
      <c r="G4042" s="477">
        <v>86760699.552340105</v>
      </c>
      <c r="H4042" s="458">
        <v>0.27330098558056992</v>
      </c>
      <c r="I4042" s="468">
        <v>11.969512350133291</v>
      </c>
    </row>
    <row r="4043" spans="1:9" ht="16.5" x14ac:dyDescent="0.3">
      <c r="A4043" s="477">
        <v>3526012.5939150089</v>
      </c>
      <c r="B4043" s="458">
        <v>3.7351803430971664E-2</v>
      </c>
      <c r="C4043" s="477">
        <v>6910636.7182471454</v>
      </c>
      <c r="D4043" s="458">
        <v>8.0360246680644787E-2</v>
      </c>
      <c r="E4043" s="477">
        <v>18730299.608082809</v>
      </c>
      <c r="F4043" s="458">
        <v>0.11281710565736192</v>
      </c>
      <c r="G4043" s="477">
        <v>99651218.82817468</v>
      </c>
      <c r="H4043" s="458">
        <v>0.27259965266247632</v>
      </c>
      <c r="I4043" s="468">
        <v>5.5158934463115301</v>
      </c>
    </row>
    <row r="4044" spans="1:9" ht="16.5" x14ac:dyDescent="0.3">
      <c r="A4044" s="477">
        <v>10101713.227051672</v>
      </c>
      <c r="B4044" s="458">
        <v>4.5503228790960915E-2</v>
      </c>
      <c r="C4044" s="477">
        <v>8396651.0340828542</v>
      </c>
      <c r="D4044" s="458">
        <v>3.9908404509831907E-2</v>
      </c>
      <c r="E4044" s="477">
        <v>12191195.871538755</v>
      </c>
      <c r="F4044" s="458">
        <v>0.1057361766324898</v>
      </c>
      <c r="G4044" s="477">
        <v>80143509.181846932</v>
      </c>
      <c r="H4044" s="458">
        <v>0.26556235832908581</v>
      </c>
      <c r="I4044" s="468">
        <v>6.138950808205311</v>
      </c>
    </row>
    <row r="4045" spans="1:9" ht="16.5" x14ac:dyDescent="0.3">
      <c r="A4045" s="477">
        <v>8050603.740183875</v>
      </c>
      <c r="B4045" s="458">
        <v>6.8350684400724671E-2</v>
      </c>
      <c r="C4045" s="477">
        <v>13921385.57844403</v>
      </c>
      <c r="D4045" s="458">
        <v>7.0200444851255428E-2</v>
      </c>
      <c r="E4045" s="477">
        <v>16947986.733977478</v>
      </c>
      <c r="F4045" s="458">
        <v>0.10702284491389502</v>
      </c>
      <c r="G4045" s="477">
        <v>88676043.652300775</v>
      </c>
      <c r="H4045" s="458">
        <v>0.28165302078039489</v>
      </c>
      <c r="I4045" s="468">
        <v>9.4258355758036068</v>
      </c>
    </row>
    <row r="4046" spans="1:9" ht="16.5" x14ac:dyDescent="0.3">
      <c r="A4046" s="477">
        <v>2650396.042924393</v>
      </c>
      <c r="B4046" s="458">
        <v>5.5318193594038334E-2</v>
      </c>
      <c r="C4046" s="477">
        <v>11348646.304512557</v>
      </c>
      <c r="D4046" s="458">
        <v>7.6704382873713062E-2</v>
      </c>
      <c r="E4046" s="477">
        <v>21417179.208956864</v>
      </c>
      <c r="F4046" s="458">
        <v>0.12544153574768946</v>
      </c>
      <c r="G4046" s="477">
        <v>99721337.850846633</v>
      </c>
      <c r="H4046" s="458">
        <v>0.25099877236398171</v>
      </c>
      <c r="I4046" s="468">
        <v>8.9802392290547939</v>
      </c>
    </row>
    <row r="4047" spans="1:9" ht="16.5" x14ac:dyDescent="0.3">
      <c r="A4047" s="477">
        <v>2051317.2099735809</v>
      </c>
      <c r="B4047" s="458">
        <v>4.7885331976103451E-2</v>
      </c>
      <c r="C4047" s="477">
        <v>5244037.8585699545</v>
      </c>
      <c r="D4047" s="458">
        <v>9.280311542578823E-2</v>
      </c>
      <c r="E4047" s="477">
        <v>17205391.064187709</v>
      </c>
      <c r="F4047" s="458">
        <v>9.8662735330153462E-2</v>
      </c>
      <c r="G4047" s="477">
        <v>87515961.70934324</v>
      </c>
      <c r="H4047" s="458">
        <v>0.25255483073432772</v>
      </c>
      <c r="I4047" s="468">
        <v>9.0824389292524792</v>
      </c>
    </row>
    <row r="4048" spans="1:9" ht="16.5" x14ac:dyDescent="0.3">
      <c r="A4048" s="477">
        <v>4963334.2095827116</v>
      </c>
      <c r="B4048" s="458">
        <v>2.8131834638797759E-2</v>
      </c>
      <c r="C4048" s="477">
        <v>8908770.0063361172</v>
      </c>
      <c r="D4048" s="458">
        <v>6.758433440918532E-2</v>
      </c>
      <c r="E4048" s="477">
        <v>17674153.359293941</v>
      </c>
      <c r="F4048" s="458">
        <v>9.7812091894465381E-2</v>
      </c>
      <c r="G4048" s="477">
        <v>99401759.522252128</v>
      </c>
      <c r="H4048" s="458">
        <v>0.26527755328748803</v>
      </c>
      <c r="I4048" s="468">
        <v>4.5008411635828578</v>
      </c>
    </row>
    <row r="4049" spans="1:9" ht="16.5" x14ac:dyDescent="0.3">
      <c r="A4049" s="477">
        <v>3862614.6498875157</v>
      </c>
      <c r="B4049" s="458">
        <v>4.5938429847931062E-2</v>
      </c>
      <c r="C4049" s="477">
        <v>8607568.9715960156</v>
      </c>
      <c r="D4049" s="458">
        <v>6.3015429495169917E-2</v>
      </c>
      <c r="E4049" s="477">
        <v>23298966.317282397</v>
      </c>
      <c r="F4049" s="458">
        <v>9.6937083535261648E-2</v>
      </c>
      <c r="G4049" s="477">
        <v>86490268.397106871</v>
      </c>
      <c r="H4049" s="458">
        <v>0.2881013709342628</v>
      </c>
      <c r="I4049" s="468">
        <v>13.003347804275663</v>
      </c>
    </row>
    <row r="4050" spans="1:9" ht="16.5" x14ac:dyDescent="0.3">
      <c r="A4050" s="477">
        <v>6213441.4761975771</v>
      </c>
      <c r="B4050" s="458">
        <v>4.48049533452195E-2</v>
      </c>
      <c r="C4050" s="477">
        <v>8253458.2386963647</v>
      </c>
      <c r="D4050" s="458">
        <v>5.1800459813081456E-2</v>
      </c>
      <c r="E4050" s="477">
        <v>13074640.357512318</v>
      </c>
      <c r="F4050" s="458">
        <v>0.13411531575908087</v>
      </c>
      <c r="G4050" s="477">
        <v>88149866.025841892</v>
      </c>
      <c r="H4050" s="458">
        <v>0.25628596397656156</v>
      </c>
      <c r="I4050" s="468">
        <v>3.5738753615424708</v>
      </c>
    </row>
    <row r="4051" spans="1:9" ht="16.5" x14ac:dyDescent="0.3">
      <c r="A4051" s="477">
        <v>3418282.0623135758</v>
      </c>
      <c r="B4051" s="458">
        <v>3.67135129180296E-2</v>
      </c>
      <c r="C4051" s="477">
        <v>8449961.1237913985</v>
      </c>
      <c r="D4051" s="458">
        <v>9.1792636741029776E-2</v>
      </c>
      <c r="E4051" s="477">
        <v>15755002.443971913</v>
      </c>
      <c r="F4051" s="458">
        <v>9.1257701612298847E-2</v>
      </c>
      <c r="G4051" s="477">
        <v>93238506.997960433</v>
      </c>
      <c r="H4051" s="458">
        <v>0.26142480379551847</v>
      </c>
      <c r="I4051" s="468">
        <v>10.034800617111898</v>
      </c>
    </row>
    <row r="4052" spans="1:9" ht="16.5" x14ac:dyDescent="0.3">
      <c r="A4052" s="477">
        <v>5529076.6337312218</v>
      </c>
      <c r="B4052" s="458">
        <v>3.3926488024605295E-2</v>
      </c>
      <c r="C4052" s="477">
        <v>4352518.3883709544</v>
      </c>
      <c r="D4052" s="458">
        <v>5.4078932522535705E-2</v>
      </c>
      <c r="E4052" s="477">
        <v>13062278.13254039</v>
      </c>
      <c r="F4052" s="458">
        <v>0.12070518773147088</v>
      </c>
      <c r="G4052" s="477">
        <v>84308283.975130647</v>
      </c>
      <c r="H4052" s="458">
        <v>0.27149242971910592</v>
      </c>
      <c r="I4052" s="468">
        <v>15.169580403798056</v>
      </c>
    </row>
    <row r="4053" spans="1:9" ht="16.5" x14ac:dyDescent="0.3">
      <c r="A4053" s="477">
        <v>5256840.4114311691</v>
      </c>
      <c r="B4053" s="458">
        <v>3.1638934795130247E-2</v>
      </c>
      <c r="C4053" s="477">
        <v>2897626.4436090025</v>
      </c>
      <c r="D4053" s="458">
        <v>9.1375593103141028E-2</v>
      </c>
      <c r="E4053" s="477">
        <v>19248824.642143779</v>
      </c>
      <c r="F4053" s="458">
        <v>7.9371586898841384E-2</v>
      </c>
      <c r="G4053" s="477">
        <v>92997531.041223243</v>
      </c>
      <c r="H4053" s="458">
        <v>0.26430610800773002</v>
      </c>
      <c r="I4053" s="468">
        <v>12.798665222111143</v>
      </c>
    </row>
    <row r="4054" spans="1:9" ht="16.5" x14ac:dyDescent="0.3">
      <c r="A4054" s="477">
        <v>6189262.6220237212</v>
      </c>
      <c r="B4054" s="458">
        <v>2.3337966914115382E-2</v>
      </c>
      <c r="C4054" s="477">
        <v>13631332.980319865</v>
      </c>
      <c r="D4054" s="458">
        <v>8.4638763344473844E-2</v>
      </c>
      <c r="E4054" s="477">
        <v>15173533.798176691</v>
      </c>
      <c r="F4054" s="458">
        <v>9.6471008793389545E-2</v>
      </c>
      <c r="G4054" s="477">
        <v>90718093.367514417</v>
      </c>
      <c r="H4054" s="458">
        <v>0.27794092650672675</v>
      </c>
      <c r="I4054" s="468">
        <v>5.3401743805214021</v>
      </c>
    </row>
    <row r="4055" spans="1:9" ht="16.5" x14ac:dyDescent="0.3">
      <c r="A4055" s="477">
        <v>5354311.7488129828</v>
      </c>
      <c r="B4055" s="458">
        <v>4.4623821471287517E-2</v>
      </c>
      <c r="C4055" s="477">
        <v>8405358.593182642</v>
      </c>
      <c r="D4055" s="458">
        <v>8.8104943299688765E-2</v>
      </c>
      <c r="E4055" s="477">
        <v>11815776.890591355</v>
      </c>
      <c r="F4055" s="458">
        <v>0.10391634791848547</v>
      </c>
      <c r="G4055" s="477">
        <v>90052087.315324977</v>
      </c>
      <c r="H4055" s="458">
        <v>0.25079890647090464</v>
      </c>
      <c r="I4055" s="468">
        <v>8.0901384383112891</v>
      </c>
    </row>
    <row r="4056" spans="1:9" ht="16.5" x14ac:dyDescent="0.3">
      <c r="A4056" s="477">
        <v>1276931.8248079214</v>
      </c>
      <c r="B4056" s="458">
        <v>2.4226701032080245E-2</v>
      </c>
      <c r="C4056" s="477">
        <v>14194484.921862414</v>
      </c>
      <c r="D4056" s="458">
        <v>5.5824583461736133E-2</v>
      </c>
      <c r="E4056" s="477">
        <v>11292181.849104304</v>
      </c>
      <c r="F4056" s="458">
        <v>0.10485437880091553</v>
      </c>
      <c r="G4056" s="477">
        <v>84113241.053309307</v>
      </c>
      <c r="H4056" s="458">
        <v>0.27123995807159829</v>
      </c>
      <c r="I4056" s="468">
        <v>14.953699953496297</v>
      </c>
    </row>
    <row r="4057" spans="1:9" ht="16.5" x14ac:dyDescent="0.3">
      <c r="A4057" s="477">
        <v>1455732.2440015955</v>
      </c>
      <c r="B4057" s="458">
        <v>3.1946214584490429E-2</v>
      </c>
      <c r="C4057" s="477">
        <v>7834347.2256502584</v>
      </c>
      <c r="D4057" s="458">
        <v>7.9695793299261464E-2</v>
      </c>
      <c r="E4057" s="477">
        <v>17587285.628487837</v>
      </c>
      <c r="F4057" s="458">
        <v>8.7957275147185987E-2</v>
      </c>
      <c r="G4057" s="477">
        <v>85749873.006746143</v>
      </c>
      <c r="H4057" s="458">
        <v>0.26573160171890797</v>
      </c>
      <c r="I4057" s="468">
        <v>14.702650897199291</v>
      </c>
    </row>
    <row r="4058" spans="1:9" ht="16.5" x14ac:dyDescent="0.3">
      <c r="A4058" s="477">
        <v>10446056.040751673</v>
      </c>
      <c r="B4058" s="458">
        <v>4.3255261501755404E-2</v>
      </c>
      <c r="C4058" s="477">
        <v>3242525.1201096298</v>
      </c>
      <c r="D4058" s="458">
        <v>5.6674093189826635E-2</v>
      </c>
      <c r="E4058" s="477">
        <v>13306568.918881183</v>
      </c>
      <c r="F4058" s="458">
        <v>0.12458880608699463</v>
      </c>
      <c r="G4058" s="477">
        <v>92884517.090281516</v>
      </c>
      <c r="H4058" s="458">
        <v>0.26786566150058833</v>
      </c>
      <c r="I4058" s="468">
        <v>-2.9070251132333382</v>
      </c>
    </row>
    <row r="4059" spans="1:9" ht="16.5" x14ac:dyDescent="0.3">
      <c r="A4059" s="477">
        <v>-1592894.5423512484</v>
      </c>
      <c r="B4059" s="458">
        <v>4.0915262419516374E-2</v>
      </c>
      <c r="C4059" s="477">
        <v>7769803.7298786528</v>
      </c>
      <c r="D4059" s="458">
        <v>6.4078584477867739E-2</v>
      </c>
      <c r="E4059" s="477">
        <v>16109111.045042342</v>
      </c>
      <c r="F4059" s="458">
        <v>9.7910071521913666E-2</v>
      </c>
      <c r="G4059" s="477">
        <v>79040180.02760908</v>
      </c>
      <c r="H4059" s="458">
        <v>0.26102334713841335</v>
      </c>
      <c r="I4059" s="468">
        <v>5.6642874078668184</v>
      </c>
    </row>
    <row r="4060" spans="1:9" ht="16.5" x14ac:dyDescent="0.3">
      <c r="A4060" s="477">
        <v>3178480.55192676</v>
      </c>
      <c r="B4060" s="458">
        <v>3.1912402562003228E-2</v>
      </c>
      <c r="C4060" s="477">
        <v>6251059.0842406768</v>
      </c>
      <c r="D4060" s="458">
        <v>5.8702777593896638E-2</v>
      </c>
      <c r="E4060" s="477">
        <v>17420582.353242151</v>
      </c>
      <c r="F4060" s="458">
        <v>0.12885687193213524</v>
      </c>
      <c r="G4060" s="477">
        <v>89604886.466561213</v>
      </c>
      <c r="H4060" s="458">
        <v>0.2624054796162667</v>
      </c>
      <c r="I4060" s="468">
        <v>12.436565994755098</v>
      </c>
    </row>
    <row r="4061" spans="1:9" ht="16.5" x14ac:dyDescent="0.3">
      <c r="A4061" s="477">
        <v>8006128.5461890679</v>
      </c>
      <c r="B4061" s="458">
        <v>5.9107018876856321E-2</v>
      </c>
      <c r="C4061" s="477">
        <v>11435716.146598607</v>
      </c>
      <c r="D4061" s="458">
        <v>5.893806448241401E-2</v>
      </c>
      <c r="E4061" s="477">
        <v>21987161.464814868</v>
      </c>
      <c r="F4061" s="458">
        <v>0.10915701619360729</v>
      </c>
      <c r="G4061" s="477">
        <v>92744695.483483896</v>
      </c>
      <c r="H4061" s="458">
        <v>0.25352750708792815</v>
      </c>
      <c r="I4061" s="468">
        <v>9.5266171588418977</v>
      </c>
    </row>
    <row r="4062" spans="1:9" ht="16.5" x14ac:dyDescent="0.3">
      <c r="A4062" s="477">
        <v>3263780.01399585</v>
      </c>
      <c r="B4062" s="458">
        <v>6.8395153941344766E-2</v>
      </c>
      <c r="C4062" s="477">
        <v>6278354.3166798539</v>
      </c>
      <c r="D4062" s="458">
        <v>4.1000128566790917E-2</v>
      </c>
      <c r="E4062" s="477">
        <v>24164227.446958482</v>
      </c>
      <c r="F4062" s="458">
        <v>9.4834872255807667E-2</v>
      </c>
      <c r="G4062" s="477">
        <v>112558650.51940496</v>
      </c>
      <c r="H4062" s="458">
        <v>0.263469406270046</v>
      </c>
      <c r="I4062" s="468">
        <v>3.9015436478222849</v>
      </c>
    </row>
    <row r="4063" spans="1:9" ht="16.5" x14ac:dyDescent="0.3">
      <c r="A4063" s="477">
        <v>5839829.7017072877</v>
      </c>
      <c r="B4063" s="458">
        <v>4.7797849462693831E-2</v>
      </c>
      <c r="C4063" s="477">
        <v>13371184.098894896</v>
      </c>
      <c r="D4063" s="458">
        <v>7.2872983023785753E-2</v>
      </c>
      <c r="E4063" s="477">
        <v>28492268.097304948</v>
      </c>
      <c r="F4063" s="458">
        <v>0.12554011719922364</v>
      </c>
      <c r="G4063" s="477">
        <v>88845406.618841588</v>
      </c>
      <c r="H4063" s="458">
        <v>0.26369875217231131</v>
      </c>
      <c r="I4063" s="468">
        <v>13.341511141191788</v>
      </c>
    </row>
    <row r="4064" spans="1:9" ht="16.5" x14ac:dyDescent="0.3">
      <c r="A4064" s="477">
        <v>4764927.4578374028</v>
      </c>
      <c r="B4064" s="458">
        <v>3.6245870615649878E-2</v>
      </c>
      <c r="C4064" s="477">
        <v>3803902.9796043229</v>
      </c>
      <c r="D4064" s="458">
        <v>8.1370740145005671E-2</v>
      </c>
      <c r="E4064" s="477">
        <v>13922402.373784453</v>
      </c>
      <c r="F4064" s="458">
        <v>0.13204090714134553</v>
      </c>
      <c r="G4064" s="477">
        <v>97888791.302413315</v>
      </c>
      <c r="H4064" s="458">
        <v>0.26973851900584189</v>
      </c>
      <c r="I4064" s="468">
        <v>3.6607888605883954</v>
      </c>
    </row>
    <row r="4065" spans="1:9" ht="16.5" x14ac:dyDescent="0.3">
      <c r="A4065" s="477">
        <v>3361477.5227639107</v>
      </c>
      <c r="B4065" s="458">
        <v>5.2741677728739056E-2</v>
      </c>
      <c r="C4065" s="477">
        <v>8001798.1379765216</v>
      </c>
      <c r="D4065" s="458">
        <v>9.729681763976239E-2</v>
      </c>
      <c r="E4065" s="477">
        <v>15793874.422671169</v>
      </c>
      <c r="F4065" s="458">
        <v>0.12622941570351576</v>
      </c>
      <c r="G4065" s="477">
        <v>93889036.978178859</v>
      </c>
      <c r="H4065" s="458">
        <v>0.2857674685634144</v>
      </c>
      <c r="I4065" s="468">
        <v>12.221102405258709</v>
      </c>
    </row>
    <row r="4066" spans="1:9" ht="16.5" x14ac:dyDescent="0.3">
      <c r="A4066" s="477">
        <v>7974281.1748313811</v>
      </c>
      <c r="B4066" s="458">
        <v>3.4488508956829866E-2</v>
      </c>
      <c r="C4066" s="477">
        <v>14689062.702568876</v>
      </c>
      <c r="D4066" s="458">
        <v>3.2292787560397107E-2</v>
      </c>
      <c r="E4066" s="477">
        <v>21591114.001829512</v>
      </c>
      <c r="F4066" s="458">
        <v>9.2725181167973014E-2</v>
      </c>
      <c r="G4066" s="477">
        <v>89717611.830294952</v>
      </c>
      <c r="H4066" s="458">
        <v>0.23552891499873785</v>
      </c>
      <c r="I4066" s="468">
        <v>11.03186024117843</v>
      </c>
    </row>
    <row r="4067" spans="1:9" ht="16.5" x14ac:dyDescent="0.3">
      <c r="A4067" s="477">
        <v>3649347.7417063545</v>
      </c>
      <c r="B4067" s="458">
        <v>4.4189295364283065E-2</v>
      </c>
      <c r="C4067" s="477">
        <v>8836497.4558238778</v>
      </c>
      <c r="D4067" s="458">
        <v>6.2746212228554477E-2</v>
      </c>
      <c r="E4067" s="477">
        <v>14752855.683249174</v>
      </c>
      <c r="F4067" s="458">
        <v>0.10401737888201823</v>
      </c>
      <c r="G4067" s="477">
        <v>100256126.75231439</v>
      </c>
      <c r="H4067" s="458">
        <v>0.27440395419178909</v>
      </c>
      <c r="I4067" s="468">
        <v>10.154025840447131</v>
      </c>
    </row>
    <row r="4068" spans="1:9" ht="16.5" x14ac:dyDescent="0.3">
      <c r="A4068" s="477">
        <v>6131005.5679492159</v>
      </c>
      <c r="B4068" s="458">
        <v>3.5653871912417756E-2</v>
      </c>
      <c r="C4068" s="477">
        <v>15121149.044687485</v>
      </c>
      <c r="D4068" s="458">
        <v>8.864142081694748E-2</v>
      </c>
      <c r="E4068" s="477">
        <v>22187293.497213665</v>
      </c>
      <c r="F4068" s="458">
        <v>9.9527316122631104E-2</v>
      </c>
      <c r="G4068" s="477">
        <v>95948019.255519584</v>
      </c>
      <c r="H4068" s="458">
        <v>0.28051613677322895</v>
      </c>
      <c r="I4068" s="468">
        <v>10.540932094615524</v>
      </c>
    </row>
    <row r="4069" spans="1:9" ht="16.5" x14ac:dyDescent="0.3">
      <c r="A4069" s="477">
        <v>4818562.404762839</v>
      </c>
      <c r="B4069" s="458">
        <v>4.4434888261946526E-2</v>
      </c>
      <c r="C4069" s="477">
        <v>9253007.2332834098</v>
      </c>
      <c r="D4069" s="458">
        <v>7.1154533070660664E-2</v>
      </c>
      <c r="E4069" s="477">
        <v>20186156.073673207</v>
      </c>
      <c r="F4069" s="458">
        <v>0.1094774380405672</v>
      </c>
      <c r="G4069" s="477">
        <v>74148399.820753992</v>
      </c>
      <c r="H4069" s="458">
        <v>0.2643334584073711</v>
      </c>
      <c r="I4069" s="468">
        <v>4.5808762713683535</v>
      </c>
    </row>
    <row r="4070" spans="1:9" ht="16.5" x14ac:dyDescent="0.3">
      <c r="A4070" s="477">
        <v>8938003.7958321515</v>
      </c>
      <c r="B4070" s="458">
        <v>3.8590743359524948E-2</v>
      </c>
      <c r="C4070" s="477">
        <v>6957700.5176521428</v>
      </c>
      <c r="D4070" s="458">
        <v>7.7660460822073674E-2</v>
      </c>
      <c r="E4070" s="477">
        <v>19125276.412542533</v>
      </c>
      <c r="F4070" s="458">
        <v>0.10629836771061463</v>
      </c>
      <c r="G4070" s="477">
        <v>89740935.231651783</v>
      </c>
      <c r="H4070" s="458">
        <v>0.28009299810086374</v>
      </c>
      <c r="I4070" s="468">
        <v>9.7089340322031195</v>
      </c>
    </row>
    <row r="4071" spans="1:9" ht="16.5" x14ac:dyDescent="0.3">
      <c r="A4071" s="477">
        <v>7173898.6989450986</v>
      </c>
      <c r="B4071" s="458">
        <v>2.3753917584481643E-2</v>
      </c>
      <c r="C4071" s="477">
        <v>8430217.6292738747</v>
      </c>
      <c r="D4071" s="458">
        <v>6.8813984116373961E-2</v>
      </c>
      <c r="E4071" s="477">
        <v>6135289.3281327104</v>
      </c>
      <c r="F4071" s="458">
        <v>0.10683789197980387</v>
      </c>
      <c r="G4071" s="477">
        <v>96055607.788435698</v>
      </c>
      <c r="H4071" s="458">
        <v>0.27465103268576851</v>
      </c>
      <c r="I4071" s="468">
        <v>6.9680961816780327</v>
      </c>
    </row>
    <row r="4072" spans="1:9" ht="16.5" x14ac:dyDescent="0.3">
      <c r="A4072" s="477">
        <v>4923010.7241192423</v>
      </c>
      <c r="B4072" s="458">
        <v>6.5643975191634008E-2</v>
      </c>
      <c r="C4072" s="477">
        <v>3634990.5418667411</v>
      </c>
      <c r="D4072" s="458">
        <v>6.5867255291743643E-2</v>
      </c>
      <c r="E4072" s="477">
        <v>14760673.402928477</v>
      </c>
      <c r="F4072" s="458">
        <v>9.5523549340906788E-2</v>
      </c>
      <c r="G4072" s="477">
        <v>89865591.04971011</v>
      </c>
      <c r="H4072" s="458">
        <v>0.26329667361399456</v>
      </c>
      <c r="I4072" s="468">
        <v>7.6304413029847167</v>
      </c>
    </row>
    <row r="4073" spans="1:9" ht="16.5" x14ac:dyDescent="0.3">
      <c r="A4073" s="477">
        <v>9612021.1058916077</v>
      </c>
      <c r="B4073" s="458">
        <v>4.4240713555535383E-2</v>
      </c>
      <c r="C4073" s="477">
        <v>12072192.61858809</v>
      </c>
      <c r="D4073" s="458">
        <v>4.1731973298122282E-2</v>
      </c>
      <c r="E4073" s="477">
        <v>21486662.939950723</v>
      </c>
      <c r="F4073" s="458">
        <v>0.11454356689628642</v>
      </c>
      <c r="G4073" s="477">
        <v>96767669.03312543</v>
      </c>
      <c r="H4073" s="458">
        <v>0.26000558506913385</v>
      </c>
      <c r="I4073" s="468">
        <v>12.800679564495095</v>
      </c>
    </row>
    <row r="4074" spans="1:9" ht="16.5" x14ac:dyDescent="0.3">
      <c r="A4074" s="477">
        <v>-860778.19679881365</v>
      </c>
      <c r="B4074" s="458">
        <v>3.6068235463114773E-2</v>
      </c>
      <c r="C4074" s="477">
        <v>6255095.4044689536</v>
      </c>
      <c r="D4074" s="458">
        <v>4.0573809376184489E-2</v>
      </c>
      <c r="E4074" s="477">
        <v>13377196.303113213</v>
      </c>
      <c r="F4074" s="458">
        <v>0.15025317947843253</v>
      </c>
      <c r="G4074" s="477">
        <v>92596713.783640534</v>
      </c>
      <c r="H4074" s="458">
        <v>0.25284299744233851</v>
      </c>
      <c r="I4074" s="468">
        <v>6.7570103505012211</v>
      </c>
    </row>
    <row r="4075" spans="1:9" ht="16.5" x14ac:dyDescent="0.3">
      <c r="A4075" s="477">
        <v>3457187.5857675229</v>
      </c>
      <c r="B4075" s="458">
        <v>4.3684541169213276E-3</v>
      </c>
      <c r="C4075" s="477">
        <v>5418525.5046029771</v>
      </c>
      <c r="D4075" s="458">
        <v>4.4766587124131174E-2</v>
      </c>
      <c r="E4075" s="477">
        <v>21747785.455010157</v>
      </c>
      <c r="F4075" s="458">
        <v>0.13352254354067639</v>
      </c>
      <c r="G4075" s="477">
        <v>86388094.368746534</v>
      </c>
      <c r="H4075" s="458">
        <v>0.25860921134185189</v>
      </c>
      <c r="I4075" s="468">
        <v>11.070888924685796</v>
      </c>
    </row>
    <row r="4076" spans="1:9" ht="16.5" x14ac:dyDescent="0.3">
      <c r="A4076" s="477">
        <v>1922745.7798714729</v>
      </c>
      <c r="B4076" s="458">
        <v>4.7195116358561329E-2</v>
      </c>
      <c r="C4076" s="477">
        <v>12720274.189591778</v>
      </c>
      <c r="D4076" s="458">
        <v>8.9196998482792056E-2</v>
      </c>
      <c r="E4076" s="477">
        <v>10815036.136308875</v>
      </c>
      <c r="F4076" s="458">
        <v>0.11355963661598856</v>
      </c>
      <c r="G4076" s="477">
        <v>91752109.433578655</v>
      </c>
      <c r="H4076" s="458">
        <v>0.27196053602750281</v>
      </c>
      <c r="I4076" s="468">
        <v>11.556328466056934</v>
      </c>
    </row>
    <row r="4077" spans="1:9" ht="16.5" x14ac:dyDescent="0.3">
      <c r="A4077" s="477">
        <v>5661626.8555223709</v>
      </c>
      <c r="B4077" s="458">
        <v>3.6488329636625183E-2</v>
      </c>
      <c r="C4077" s="477">
        <v>6674767.7282392718</v>
      </c>
      <c r="D4077" s="458">
        <v>6.7662807859284912E-2</v>
      </c>
      <c r="E4077" s="477">
        <v>10119441.274685623</v>
      </c>
      <c r="F4077" s="458">
        <v>0.1378206748977322</v>
      </c>
      <c r="G4077" s="477">
        <v>85211431.887292609</v>
      </c>
      <c r="H4077" s="458">
        <v>0.28264591924030191</v>
      </c>
      <c r="I4077" s="468">
        <v>1.9907681804742738</v>
      </c>
    </row>
    <row r="4078" spans="1:9" ht="16.5" x14ac:dyDescent="0.3">
      <c r="A4078" s="477">
        <v>4958434.0789717976</v>
      </c>
      <c r="B4078" s="458">
        <v>6.1100024252020768E-2</v>
      </c>
      <c r="C4078" s="477">
        <v>1048711.8808444829</v>
      </c>
      <c r="D4078" s="458">
        <v>6.0115444873024337E-2</v>
      </c>
      <c r="E4078" s="477">
        <v>18050381.477400161</v>
      </c>
      <c r="F4078" s="458">
        <v>0.10086561144907757</v>
      </c>
      <c r="G4078" s="477">
        <v>84104719.621389747</v>
      </c>
      <c r="H4078" s="458">
        <v>0.26542982803480619</v>
      </c>
      <c r="I4078" s="468">
        <v>6.7692457013360405</v>
      </c>
    </row>
    <row r="4079" spans="1:9" ht="16.5" x14ac:dyDescent="0.3">
      <c r="A4079" s="477">
        <v>5824730.4022597848</v>
      </c>
      <c r="B4079" s="458">
        <v>3.391013720442082E-2</v>
      </c>
      <c r="C4079" s="477">
        <v>7364969.4044010071</v>
      </c>
      <c r="D4079" s="458">
        <v>9.9416148646962466E-2</v>
      </c>
      <c r="E4079" s="477">
        <v>12454160.674275625</v>
      </c>
      <c r="F4079" s="458">
        <v>0.12932051477098772</v>
      </c>
      <c r="G4079" s="477">
        <v>89967292.024230942</v>
      </c>
      <c r="H4079" s="458">
        <v>0.25184991351606767</v>
      </c>
      <c r="I4079" s="468">
        <v>12.663781462611253</v>
      </c>
    </row>
    <row r="4080" spans="1:9" ht="16.5" x14ac:dyDescent="0.3">
      <c r="A4080" s="477">
        <v>3101880.0689382991</v>
      </c>
      <c r="B4080" s="458">
        <v>3.6192527886047765E-2</v>
      </c>
      <c r="C4080" s="477">
        <v>6286398.6083127223</v>
      </c>
      <c r="D4080" s="458">
        <v>4.1883594486654463E-2</v>
      </c>
      <c r="E4080" s="477">
        <v>15488231.645800292</v>
      </c>
      <c r="F4080" s="458">
        <v>0.10594145332060712</v>
      </c>
      <c r="G4080" s="477">
        <v>103193615.50127719</v>
      </c>
      <c r="H4080" s="458">
        <v>0.27985394061508639</v>
      </c>
      <c r="I4080" s="468">
        <v>6.8905442530923358</v>
      </c>
    </row>
    <row r="4081" spans="1:9" ht="16.5" x14ac:dyDescent="0.3">
      <c r="A4081" s="477">
        <v>4262622.3287651315</v>
      </c>
      <c r="B4081" s="458">
        <v>7.0559812246714371E-2</v>
      </c>
      <c r="C4081" s="477">
        <v>10600951.747206626</v>
      </c>
      <c r="D4081" s="458">
        <v>9.1368630760820357E-2</v>
      </c>
      <c r="E4081" s="477">
        <v>18443732.107114665</v>
      </c>
      <c r="F4081" s="458">
        <v>9.4111325757176845E-2</v>
      </c>
      <c r="G4081" s="477">
        <v>101314870.98299392</v>
      </c>
      <c r="H4081" s="458">
        <v>0.29900545176775539</v>
      </c>
      <c r="I4081" s="468">
        <v>7.9334106241101585</v>
      </c>
    </row>
    <row r="4082" spans="1:9" ht="16.5" x14ac:dyDescent="0.3">
      <c r="A4082" s="477">
        <v>1918615.8909490427</v>
      </c>
      <c r="B4082" s="458">
        <v>4.01251547890078E-2</v>
      </c>
      <c r="C4082" s="477">
        <v>6585248.9214346576</v>
      </c>
      <c r="D4082" s="458">
        <v>5.4992281368157148E-2</v>
      </c>
      <c r="E4082" s="477">
        <v>15231091.07425716</v>
      </c>
      <c r="F4082" s="458">
        <v>0.10831164690084027</v>
      </c>
      <c r="G4082" s="477">
        <v>78457126.309068516</v>
      </c>
      <c r="H4082" s="458">
        <v>0.28023993973677208</v>
      </c>
      <c r="I4082" s="468">
        <v>3.7552217625753226</v>
      </c>
    </row>
    <row r="4083" spans="1:9" ht="16.5" x14ac:dyDescent="0.3">
      <c r="A4083" s="477">
        <v>3588872.5683507281</v>
      </c>
      <c r="B4083" s="458">
        <v>2.9453212227468439E-2</v>
      </c>
      <c r="C4083" s="477">
        <v>14271477.129982064</v>
      </c>
      <c r="D4083" s="458">
        <v>4.7017204982269023E-2</v>
      </c>
      <c r="E4083" s="477">
        <v>14695039.177058462</v>
      </c>
      <c r="F4083" s="458">
        <v>0.1226860338732414</v>
      </c>
      <c r="G4083" s="477">
        <v>74194403.475747868</v>
      </c>
      <c r="H4083" s="458">
        <v>0.27016487463710392</v>
      </c>
      <c r="I4083" s="468">
        <v>6.0090792202459564</v>
      </c>
    </row>
    <row r="4084" spans="1:9" ht="16.5" x14ac:dyDescent="0.3">
      <c r="A4084" s="477">
        <v>3601419.7441045004</v>
      </c>
      <c r="B4084" s="458">
        <v>4.1672993809781955E-2</v>
      </c>
      <c r="C4084" s="477">
        <v>7875888.7758103963</v>
      </c>
      <c r="D4084" s="458">
        <v>4.5575852276286577E-2</v>
      </c>
      <c r="E4084" s="477">
        <v>20795191.388663091</v>
      </c>
      <c r="F4084" s="458">
        <v>0.11167017698338166</v>
      </c>
      <c r="G4084" s="477">
        <v>92195258.415106535</v>
      </c>
      <c r="H4084" s="458">
        <v>0.27113695703871743</v>
      </c>
      <c r="I4084" s="468">
        <v>5.2512978587735208</v>
      </c>
    </row>
    <row r="4085" spans="1:9" ht="16.5" x14ac:dyDescent="0.3">
      <c r="A4085" s="477">
        <v>4291553.424336426</v>
      </c>
      <c r="B4085" s="458">
        <v>4.4124912362092594E-2</v>
      </c>
      <c r="C4085" s="477">
        <v>1796885.8106393795</v>
      </c>
      <c r="D4085" s="458">
        <v>9.2519210054326173E-2</v>
      </c>
      <c r="E4085" s="477">
        <v>19063454.852472901</v>
      </c>
      <c r="F4085" s="458">
        <v>0.12724132730257898</v>
      </c>
      <c r="G4085" s="477">
        <v>97115228.549592361</v>
      </c>
      <c r="H4085" s="458">
        <v>0.28130682513761029</v>
      </c>
      <c r="I4085" s="468">
        <v>7.5038902297071761</v>
      </c>
    </row>
    <row r="4086" spans="1:9" ht="16.5" x14ac:dyDescent="0.3">
      <c r="A4086" s="477">
        <v>2392378.0033219927</v>
      </c>
      <c r="B4086" s="458">
        <v>3.4049263025629273E-2</v>
      </c>
      <c r="C4086" s="477">
        <v>10059382.168450423</v>
      </c>
      <c r="D4086" s="458">
        <v>7.0478529814291369E-2</v>
      </c>
      <c r="E4086" s="477">
        <v>13573158.047075713</v>
      </c>
      <c r="F4086" s="458">
        <v>0.1001104594595148</v>
      </c>
      <c r="G4086" s="477">
        <v>81995085.90776588</v>
      </c>
      <c r="H4086" s="458">
        <v>0.30676945408134793</v>
      </c>
      <c r="I4086" s="468">
        <v>6.7481784286127802</v>
      </c>
    </row>
    <row r="4087" spans="1:9" ht="16.5" x14ac:dyDescent="0.3">
      <c r="A4087" s="477">
        <v>1940273.2446004823</v>
      </c>
      <c r="B4087" s="458">
        <v>4.1475090549226712E-2</v>
      </c>
      <c r="C4087" s="477">
        <v>9208290.8559218142</v>
      </c>
      <c r="D4087" s="458">
        <v>7.6081161627311378E-2</v>
      </c>
      <c r="E4087" s="477">
        <v>21171572.194875389</v>
      </c>
      <c r="F4087" s="458">
        <v>0.10629760852812464</v>
      </c>
      <c r="G4087" s="477">
        <v>97458784.656417146</v>
      </c>
      <c r="H4087" s="458">
        <v>0.26187559614200184</v>
      </c>
      <c r="I4087" s="468">
        <v>6.3497761608728052</v>
      </c>
    </row>
    <row r="4088" spans="1:9" ht="16.5" x14ac:dyDescent="0.3">
      <c r="A4088" s="477">
        <v>6679557.9666529018</v>
      </c>
      <c r="B4088" s="458">
        <v>4.0715350029503883E-2</v>
      </c>
      <c r="C4088" s="477">
        <v>9835648.8544058278</v>
      </c>
      <c r="D4088" s="458">
        <v>5.1205068895961769E-2</v>
      </c>
      <c r="E4088" s="477">
        <v>13758876.886261491</v>
      </c>
      <c r="F4088" s="458">
        <v>9.7727220269991477E-2</v>
      </c>
      <c r="G4088" s="477">
        <v>75454472.930122688</v>
      </c>
      <c r="H4088" s="458">
        <v>0.2867451937026797</v>
      </c>
      <c r="I4088" s="468">
        <v>7.9109925120616325</v>
      </c>
    </row>
    <row r="4089" spans="1:9" ht="16.5" x14ac:dyDescent="0.3">
      <c r="A4089" s="477">
        <v>12042421.276017835</v>
      </c>
      <c r="B4089" s="458">
        <v>3.7753450020259871E-2</v>
      </c>
      <c r="C4089" s="477">
        <v>5143061.912797289</v>
      </c>
      <c r="D4089" s="458">
        <v>7.51504892005328E-2</v>
      </c>
      <c r="E4089" s="477">
        <v>18143604.91664448</v>
      </c>
      <c r="F4089" s="458">
        <v>7.8775836958992596E-2</v>
      </c>
      <c r="G4089" s="477">
        <v>98288696.196887091</v>
      </c>
      <c r="H4089" s="458">
        <v>0.28893761830374176</v>
      </c>
      <c r="I4089" s="468">
        <v>17.531093929240175</v>
      </c>
    </row>
    <row r="4090" spans="1:9" ht="16.5" x14ac:dyDescent="0.3">
      <c r="A4090" s="477">
        <v>10944578.853361342</v>
      </c>
      <c r="B4090" s="458">
        <v>3.5626744087277284E-2</v>
      </c>
      <c r="C4090" s="477">
        <v>13223646.694377581</v>
      </c>
      <c r="D4090" s="458">
        <v>5.2830682592684752E-2</v>
      </c>
      <c r="E4090" s="477">
        <v>18918851.5506671</v>
      </c>
      <c r="F4090" s="458">
        <v>0.10037000131294249</v>
      </c>
      <c r="G4090" s="477">
        <v>103617112.75533399</v>
      </c>
      <c r="H4090" s="458">
        <v>0.26548848315410645</v>
      </c>
      <c r="I4090" s="468">
        <v>3.0563481330590747</v>
      </c>
    </row>
    <row r="4091" spans="1:9" ht="16.5" x14ac:dyDescent="0.3">
      <c r="A4091" s="477">
        <v>3251933.6556855333</v>
      </c>
      <c r="B4091" s="458">
        <v>5.0925807942047374E-2</v>
      </c>
      <c r="C4091" s="477">
        <v>4696417.8655803399</v>
      </c>
      <c r="D4091" s="458">
        <v>5.9123054829966382E-2</v>
      </c>
      <c r="E4091" s="477">
        <v>20504354.826169938</v>
      </c>
      <c r="F4091" s="458">
        <v>9.6273146841145296E-2</v>
      </c>
      <c r="G4091" s="477">
        <v>74006052.537912264</v>
      </c>
      <c r="H4091" s="458">
        <v>0.26676844843632841</v>
      </c>
      <c r="I4091" s="468">
        <v>13.907733825985002</v>
      </c>
    </row>
    <row r="4092" spans="1:9" ht="16.5" x14ac:dyDescent="0.3">
      <c r="A4092" s="477">
        <v>5978649.217979799</v>
      </c>
      <c r="B4092" s="458">
        <v>0.14604762181180719</v>
      </c>
      <c r="C4092" s="477">
        <v>10943662.774746843</v>
      </c>
      <c r="D4092" s="458">
        <v>6.2130984157097613E-2</v>
      </c>
      <c r="E4092" s="477">
        <v>15251902.535533639</v>
      </c>
      <c r="F4092" s="458">
        <v>0.12193254163694567</v>
      </c>
      <c r="G4092" s="477">
        <v>92619844.589062348</v>
      </c>
      <c r="H4092" s="458">
        <v>0.25943943863494101</v>
      </c>
      <c r="I4092" s="468">
        <v>14.684029060241611</v>
      </c>
    </row>
    <row r="4093" spans="1:9" ht="16.5" x14ac:dyDescent="0.3">
      <c r="A4093" s="477">
        <v>9217948.2859787047</v>
      </c>
      <c r="B4093" s="458">
        <v>2.5549680102668892E-2</v>
      </c>
      <c r="C4093" s="477">
        <v>3747079.3070609495</v>
      </c>
      <c r="D4093" s="458">
        <v>8.9946764702085735E-2</v>
      </c>
      <c r="E4093" s="477">
        <v>26027049.172073826</v>
      </c>
      <c r="F4093" s="458">
        <v>0.10007112320858957</v>
      </c>
      <c r="G4093" s="477">
        <v>88857177.692243159</v>
      </c>
      <c r="H4093" s="458">
        <v>0.26202862941701843</v>
      </c>
      <c r="I4093" s="468">
        <v>4.2866776801060889</v>
      </c>
    </row>
    <row r="4094" spans="1:9" ht="16.5" x14ac:dyDescent="0.3">
      <c r="A4094" s="477">
        <v>-95487.460262888824</v>
      </c>
      <c r="B4094" s="458">
        <v>2.8119453091963953E-2</v>
      </c>
      <c r="C4094" s="477">
        <v>8223542.0459656967</v>
      </c>
      <c r="D4094" s="458">
        <v>3.7012134331703583E-2</v>
      </c>
      <c r="E4094" s="477">
        <v>15108389.377972405</v>
      </c>
      <c r="F4094" s="458">
        <v>0.12116240632366182</v>
      </c>
      <c r="G4094" s="477">
        <v>82832398.751520172</v>
      </c>
      <c r="H4094" s="458">
        <v>0.28987683135493136</v>
      </c>
      <c r="I4094" s="468">
        <v>9.2644476385119159</v>
      </c>
    </row>
    <row r="4095" spans="1:9" ht="16.5" x14ac:dyDescent="0.3">
      <c r="A4095" s="477">
        <v>1238820.2336532786</v>
      </c>
      <c r="B4095" s="458">
        <v>2.0504176827123244E-2</v>
      </c>
      <c r="C4095" s="477">
        <v>11098280.700471111</v>
      </c>
      <c r="D4095" s="458">
        <v>4.8246428664731278E-2</v>
      </c>
      <c r="E4095" s="477">
        <v>18304767.149972241</v>
      </c>
      <c r="F4095" s="458">
        <v>0.11037439278130523</v>
      </c>
      <c r="G4095" s="477">
        <v>87287402.622756317</v>
      </c>
      <c r="H4095" s="458">
        <v>0.29954676488162502</v>
      </c>
      <c r="I4095" s="468">
        <v>4.4012648901190463</v>
      </c>
    </row>
    <row r="4096" spans="1:9" ht="16.5" x14ac:dyDescent="0.3">
      <c r="A4096" s="477">
        <v>6252841.426992245</v>
      </c>
      <c r="B4096" s="458">
        <v>4.1188961637091515E-2</v>
      </c>
      <c r="C4096" s="477">
        <v>9020013.6771247555</v>
      </c>
      <c r="D4096" s="458">
        <v>5.2139550564558323E-2</v>
      </c>
      <c r="E4096" s="477">
        <v>24341454.074800875</v>
      </c>
      <c r="F4096" s="458">
        <v>0.10707902185927121</v>
      </c>
      <c r="G4096" s="477">
        <v>101959354.39201485</v>
      </c>
      <c r="H4096" s="458">
        <v>0.28339335972179835</v>
      </c>
      <c r="I4096" s="468">
        <v>3.5480835453675095</v>
      </c>
    </row>
    <row r="4097" spans="1:9" ht="16.5" x14ac:dyDescent="0.3">
      <c r="A4097" s="477">
        <v>4768168.6052056672</v>
      </c>
      <c r="B4097" s="458">
        <v>5.2283183011565759E-2</v>
      </c>
      <c r="C4097" s="477">
        <v>11336782.218843844</v>
      </c>
      <c r="D4097" s="458">
        <v>5.7017558942875413E-2</v>
      </c>
      <c r="E4097" s="477">
        <v>20115378.854782075</v>
      </c>
      <c r="F4097" s="458">
        <v>9.3007962835991664E-2</v>
      </c>
      <c r="G4097" s="477">
        <v>78962864.088904589</v>
      </c>
      <c r="H4097" s="458">
        <v>0.29757823214208168</v>
      </c>
      <c r="I4097" s="468">
        <v>7.1566138344191188</v>
      </c>
    </row>
    <row r="4098" spans="1:9" ht="16.5" x14ac:dyDescent="0.3">
      <c r="A4098" s="477">
        <v>7501098.6544490438</v>
      </c>
      <c r="B4098" s="458">
        <v>7.7341914885192375E-2</v>
      </c>
      <c r="C4098" s="477">
        <v>10759993.487367449</v>
      </c>
      <c r="D4098" s="458">
        <v>7.4714770750279991E-2</v>
      </c>
      <c r="E4098" s="477">
        <v>18191279.789427321</v>
      </c>
      <c r="F4098" s="458">
        <v>0.13775737190309978</v>
      </c>
      <c r="G4098" s="477">
        <v>97552744.066452116</v>
      </c>
      <c r="H4098" s="458">
        <v>0.26143471619943859</v>
      </c>
      <c r="I4098" s="468">
        <v>9.8378364149967403</v>
      </c>
    </row>
    <row r="4099" spans="1:9" ht="16.5" x14ac:dyDescent="0.3">
      <c r="A4099" s="477">
        <v>4369555.112061142</v>
      </c>
      <c r="B4099" s="458">
        <v>2.6176528266415255E-2</v>
      </c>
      <c r="C4099" s="477">
        <v>8718154.6363025885</v>
      </c>
      <c r="D4099" s="458">
        <v>8.6772330033842549E-2</v>
      </c>
      <c r="E4099" s="477">
        <v>22567946.366137687</v>
      </c>
      <c r="F4099" s="458">
        <v>0.10532086381078187</v>
      </c>
      <c r="G4099" s="477">
        <v>85914844.939132467</v>
      </c>
      <c r="H4099" s="458">
        <v>0.26355666471383099</v>
      </c>
      <c r="I4099" s="468">
        <v>7.5239894150318376</v>
      </c>
    </row>
    <row r="4100" spans="1:9" ht="16.5" x14ac:dyDescent="0.3">
      <c r="A4100" s="477">
        <v>4699828.3308974328</v>
      </c>
      <c r="B4100" s="458">
        <v>4.3987580110666391E-2</v>
      </c>
      <c r="C4100" s="477">
        <v>10468352.141925041</v>
      </c>
      <c r="D4100" s="458">
        <v>6.9050427009732518E-2</v>
      </c>
      <c r="E4100" s="477">
        <v>12166742.260659184</v>
      </c>
      <c r="F4100" s="458">
        <v>0.13264423200102926</v>
      </c>
      <c r="G4100" s="477">
        <v>82537900.947644293</v>
      </c>
      <c r="H4100" s="458">
        <v>0.27342564702083894</v>
      </c>
      <c r="I4100" s="468">
        <v>6.6461785365941939</v>
      </c>
    </row>
    <row r="4101" spans="1:9" ht="16.5" x14ac:dyDescent="0.3">
      <c r="A4101" s="477">
        <v>3027079.753468215</v>
      </c>
      <c r="B4101" s="458">
        <v>5.6788069475962599E-2</v>
      </c>
      <c r="C4101" s="477">
        <v>4193377.2548702229</v>
      </c>
      <c r="D4101" s="458">
        <v>8.5319450028415122E-2</v>
      </c>
      <c r="E4101" s="477">
        <v>25702357.945502944</v>
      </c>
      <c r="F4101" s="458">
        <v>9.0429932943131286E-2</v>
      </c>
      <c r="G4101" s="477">
        <v>76527666.916299656</v>
      </c>
      <c r="H4101" s="458">
        <v>0.27056884381489477</v>
      </c>
      <c r="I4101" s="468">
        <v>11.659811505992453</v>
      </c>
    </row>
    <row r="4102" spans="1:9" ht="16.5" x14ac:dyDescent="0.3">
      <c r="A4102" s="477">
        <v>10177393.149355868</v>
      </c>
      <c r="B4102" s="458">
        <v>2.8046634071004606E-2</v>
      </c>
      <c r="C4102" s="477">
        <v>13515805.859404627</v>
      </c>
      <c r="D4102" s="458">
        <v>7.4373613845040376E-2</v>
      </c>
      <c r="E4102" s="477">
        <v>17210699.974823419</v>
      </c>
      <c r="F4102" s="458">
        <v>9.8533999835504149E-2</v>
      </c>
      <c r="G4102" s="477">
        <v>105746264.39009076</v>
      </c>
      <c r="H4102" s="458">
        <v>0.24511241777777992</v>
      </c>
      <c r="I4102" s="468">
        <v>6.301978222376559</v>
      </c>
    </row>
    <row r="4103" spans="1:9" ht="16.5" x14ac:dyDescent="0.3">
      <c r="A4103" s="477">
        <v>4199698.9586163489</v>
      </c>
      <c r="B4103" s="458">
        <v>4.3594941252396158E-2</v>
      </c>
      <c r="C4103" s="477">
        <v>10980365.78568121</v>
      </c>
      <c r="D4103" s="458">
        <v>8.9599322753707744E-2</v>
      </c>
      <c r="E4103" s="477">
        <v>10783215.457021633</v>
      </c>
      <c r="F4103" s="458">
        <v>0.15568220339737526</v>
      </c>
      <c r="G4103" s="477">
        <v>104793307.58421436</v>
      </c>
      <c r="H4103" s="458">
        <v>0.25310693799633799</v>
      </c>
      <c r="I4103" s="468">
        <v>6.0149408537855873</v>
      </c>
    </row>
    <row r="4104" spans="1:9" ht="16.5" x14ac:dyDescent="0.3">
      <c r="A4104" s="477">
        <v>5586309.6207421739</v>
      </c>
      <c r="B4104" s="458">
        <v>3.9564146280691048E-2</v>
      </c>
      <c r="C4104" s="477">
        <v>4930432.3586147409</v>
      </c>
      <c r="D4104" s="458">
        <v>6.8181187786998221E-2</v>
      </c>
      <c r="E4104" s="477">
        <v>16307679.404771032</v>
      </c>
      <c r="F4104" s="458">
        <v>0.12766281299876914</v>
      </c>
      <c r="G4104" s="477">
        <v>87409408.065947071</v>
      </c>
      <c r="H4104" s="458">
        <v>0.283999453308174</v>
      </c>
      <c r="I4104" s="468">
        <v>10.615174489376898</v>
      </c>
    </row>
    <row r="4105" spans="1:9" ht="16.5" x14ac:dyDescent="0.3">
      <c r="A4105" s="477">
        <v>1766327.3127263396</v>
      </c>
      <c r="B4105" s="458">
        <v>4.7055574928414057E-2</v>
      </c>
      <c r="C4105" s="477">
        <v>5740075.3647548584</v>
      </c>
      <c r="D4105" s="458">
        <v>6.7100958628122154E-2</v>
      </c>
      <c r="E4105" s="477">
        <v>22549794.421628121</v>
      </c>
      <c r="F4105" s="458">
        <v>0.10093787330000858</v>
      </c>
      <c r="G4105" s="477">
        <v>103044495.10392433</v>
      </c>
      <c r="H4105" s="458">
        <v>0.26334521093803587</v>
      </c>
      <c r="I4105" s="468">
        <v>12.932147369208234</v>
      </c>
    </row>
    <row r="4106" spans="1:9" ht="16.5" x14ac:dyDescent="0.3">
      <c r="A4106" s="477">
        <v>3514527.2354612933</v>
      </c>
      <c r="B4106" s="458">
        <v>3.6572641663717542E-2</v>
      </c>
      <c r="C4106" s="477">
        <v>12073806.461682234</v>
      </c>
      <c r="D4106" s="458">
        <v>3.0640150239727548E-2</v>
      </c>
      <c r="E4106" s="477">
        <v>17464607.559533216</v>
      </c>
      <c r="F4106" s="458">
        <v>9.2799715181677289E-2</v>
      </c>
      <c r="G4106" s="477">
        <v>80468853.871154219</v>
      </c>
      <c r="H4106" s="458">
        <v>0.26757243646955065</v>
      </c>
      <c r="I4106" s="468">
        <v>4.0413577867287085</v>
      </c>
    </row>
    <row r="4107" spans="1:9" ht="16.5" x14ac:dyDescent="0.3">
      <c r="A4107" s="477">
        <v>6191772.7910765223</v>
      </c>
      <c r="B4107" s="458">
        <v>2.9250641835335323E-2</v>
      </c>
      <c r="C4107" s="477">
        <v>14478153.014653871</v>
      </c>
      <c r="D4107" s="458">
        <v>6.91804824530311E-2</v>
      </c>
      <c r="E4107" s="477">
        <v>9084101.6143035572</v>
      </c>
      <c r="F4107" s="458">
        <v>0.10312341747838305</v>
      </c>
      <c r="G4107" s="477">
        <v>79170984.405498236</v>
      </c>
      <c r="H4107" s="458">
        <v>0.27298666268126737</v>
      </c>
      <c r="I4107" s="468">
        <v>11.328127540064376</v>
      </c>
    </row>
    <row r="4108" spans="1:9" ht="16.5" x14ac:dyDescent="0.3">
      <c r="A4108" s="477">
        <v>4490197.2547490112</v>
      </c>
      <c r="B4108" s="458">
        <v>5.1099562203925641E-2</v>
      </c>
      <c r="C4108" s="477">
        <v>11531427.812990254</v>
      </c>
      <c r="D4108" s="458">
        <v>5.4503800923709766E-2</v>
      </c>
      <c r="E4108" s="477">
        <v>13648380.184965871</v>
      </c>
      <c r="F4108" s="458">
        <v>9.9844469208013598E-2</v>
      </c>
      <c r="G4108" s="477">
        <v>79819550.885727271</v>
      </c>
      <c r="H4108" s="458">
        <v>0.26230612039496948</v>
      </c>
      <c r="I4108" s="468">
        <v>10.126686007539632</v>
      </c>
    </row>
    <row r="4109" spans="1:9" ht="16.5" x14ac:dyDescent="0.3">
      <c r="A4109" s="477">
        <v>4324888.9997607255</v>
      </c>
      <c r="B4109" s="458">
        <v>4.2249009085284284E-2</v>
      </c>
      <c r="C4109" s="477">
        <v>9508377.9232122581</v>
      </c>
      <c r="D4109" s="458">
        <v>6.4051412151972631E-2</v>
      </c>
      <c r="E4109" s="477">
        <v>19162642.059366342</v>
      </c>
      <c r="F4109" s="458">
        <v>8.1222604864632286E-2</v>
      </c>
      <c r="G4109" s="477">
        <v>90702776.599590257</v>
      </c>
      <c r="H4109" s="458">
        <v>0.30398841120989339</v>
      </c>
      <c r="I4109" s="468">
        <v>3.029651386054244</v>
      </c>
    </row>
    <row r="4110" spans="1:9" ht="16.5" x14ac:dyDescent="0.3">
      <c r="A4110" s="477">
        <v>4918697.4258327316</v>
      </c>
      <c r="B4110" s="458">
        <v>3.5955340265731328E-2</v>
      </c>
      <c r="C4110" s="477">
        <v>11756383.538370062</v>
      </c>
      <c r="D4110" s="458">
        <v>8.6207098287244044E-2</v>
      </c>
      <c r="E4110" s="477">
        <v>15153822.5987982</v>
      </c>
      <c r="F4110" s="458">
        <v>0.1074712969842917</v>
      </c>
      <c r="G4110" s="477">
        <v>107702251.28639078</v>
      </c>
      <c r="H4110" s="458">
        <v>0.2574295974021088</v>
      </c>
      <c r="I4110" s="468">
        <v>9.2129039628333249</v>
      </c>
    </row>
    <row r="4111" spans="1:9" ht="16.5" x14ac:dyDescent="0.3">
      <c r="A4111" s="477">
        <v>3437739.4513374455</v>
      </c>
      <c r="B4111" s="458">
        <v>4.6557156502171848E-2</v>
      </c>
      <c r="C4111" s="477">
        <v>-31712.636464881023</v>
      </c>
      <c r="D4111" s="458">
        <v>3.452503576045185E-2</v>
      </c>
      <c r="E4111" s="477">
        <v>13301170.054485856</v>
      </c>
      <c r="F4111" s="458">
        <v>0.12031308263973139</v>
      </c>
      <c r="G4111" s="477">
        <v>88768163.194313481</v>
      </c>
      <c r="H4111" s="458">
        <v>0.2653082164727274</v>
      </c>
      <c r="I4111" s="468">
        <v>4.0432650946993629</v>
      </c>
    </row>
    <row r="4112" spans="1:9" ht="16.5" x14ac:dyDescent="0.3">
      <c r="A4112" s="477">
        <v>4474244.5573612321</v>
      </c>
      <c r="B4112" s="458">
        <v>7.3765911233445891E-2</v>
      </c>
      <c r="C4112" s="477">
        <v>7226069.6398569103</v>
      </c>
      <c r="D4112" s="458">
        <v>5.879086289094948E-2</v>
      </c>
      <c r="E4112" s="477">
        <v>20407719.929798804</v>
      </c>
      <c r="F4112" s="458">
        <v>0.11023715882093588</v>
      </c>
      <c r="G4112" s="477">
        <v>89225113.58054556</v>
      </c>
      <c r="H4112" s="458">
        <v>0.27830011910509733</v>
      </c>
      <c r="I4112" s="468">
        <v>5.2839121292628271</v>
      </c>
    </row>
    <row r="4113" spans="1:9" ht="16.5" x14ac:dyDescent="0.3">
      <c r="A4113" s="477">
        <v>6805320.3806794574</v>
      </c>
      <c r="B4113" s="458">
        <v>3.7317798534950208E-2</v>
      </c>
      <c r="C4113" s="477">
        <v>3512468.6753848852</v>
      </c>
      <c r="D4113" s="458">
        <v>5.8962355105470987E-2</v>
      </c>
      <c r="E4113" s="477">
        <v>16641751.979208158</v>
      </c>
      <c r="F4113" s="458">
        <v>0.1022668619805176</v>
      </c>
      <c r="G4113" s="477">
        <v>94481024.342143804</v>
      </c>
      <c r="H4113" s="458">
        <v>0.27309333992589147</v>
      </c>
      <c r="I4113" s="468">
        <v>11.591594325892517</v>
      </c>
    </row>
    <row r="4114" spans="1:9" ht="16.5" x14ac:dyDescent="0.3">
      <c r="A4114" s="477">
        <v>1728435.0961108608</v>
      </c>
      <c r="B4114" s="458">
        <v>5.3084091864999738E-2</v>
      </c>
      <c r="C4114" s="477">
        <v>7900795.2489159368</v>
      </c>
      <c r="D4114" s="458">
        <v>4.6083646956493141E-2</v>
      </c>
      <c r="E4114" s="477">
        <v>12580573.16950584</v>
      </c>
      <c r="F4114" s="458">
        <v>9.8549551829131277E-2</v>
      </c>
      <c r="G4114" s="477">
        <v>85081599.08473061</v>
      </c>
      <c r="H4114" s="458">
        <v>0.28605112817252576</v>
      </c>
      <c r="I4114" s="468">
        <v>1.2973008829339978</v>
      </c>
    </row>
    <row r="4115" spans="1:9" ht="16.5" x14ac:dyDescent="0.3">
      <c r="A4115" s="477">
        <v>8787901.3065352384</v>
      </c>
      <c r="B4115" s="458">
        <v>5.1094157488943859E-2</v>
      </c>
      <c r="C4115" s="477">
        <v>7358856.0722654099</v>
      </c>
      <c r="D4115" s="458">
        <v>6.7080447551886246E-2</v>
      </c>
      <c r="E4115" s="477">
        <v>3228534.7004705356</v>
      </c>
      <c r="F4115" s="458">
        <v>6.7872515681497436E-2</v>
      </c>
      <c r="G4115" s="477">
        <v>89742747.333172888</v>
      </c>
      <c r="H4115" s="458">
        <v>0.28531817084740485</v>
      </c>
      <c r="I4115" s="468">
        <v>11.086547504127243</v>
      </c>
    </row>
    <row r="4116" spans="1:9" ht="16.5" x14ac:dyDescent="0.3">
      <c r="A4116" s="477">
        <v>7853468.3307705857</v>
      </c>
      <c r="B4116" s="458">
        <v>4.5664801876294847E-2</v>
      </c>
      <c r="C4116" s="477">
        <v>8255137.5883155735</v>
      </c>
      <c r="D4116" s="458">
        <v>4.4401904476393472E-2</v>
      </c>
      <c r="E4116" s="477">
        <v>19410398.823205046</v>
      </c>
      <c r="F4116" s="458">
        <v>0.12881160441319506</v>
      </c>
      <c r="G4116" s="477">
        <v>88772687.404097751</v>
      </c>
      <c r="H4116" s="458">
        <v>0.26005175835372563</v>
      </c>
      <c r="I4116" s="468">
        <v>0.19709846989387092</v>
      </c>
    </row>
    <row r="4117" spans="1:9" ht="16.5" x14ac:dyDescent="0.3">
      <c r="A4117" s="477">
        <v>1870725.2789239218</v>
      </c>
      <c r="B4117" s="458">
        <v>5.5415530621936604E-2</v>
      </c>
      <c r="C4117" s="477">
        <v>13667121.583952475</v>
      </c>
      <c r="D4117" s="458">
        <v>6.9985854344000398E-2</v>
      </c>
      <c r="E4117" s="477">
        <v>29386130.763814278</v>
      </c>
      <c r="F4117" s="458">
        <v>9.8688395055543721E-2</v>
      </c>
      <c r="G4117" s="477">
        <v>98279950.198703021</v>
      </c>
      <c r="H4117" s="458">
        <v>0.26540798759797846</v>
      </c>
      <c r="I4117" s="468">
        <v>2.9701700006108949</v>
      </c>
    </row>
    <row r="4118" spans="1:9" ht="16.5" x14ac:dyDescent="0.3">
      <c r="A4118" s="477">
        <v>5006321.8524272451</v>
      </c>
      <c r="B4118" s="458">
        <v>2.6836103806930245E-2</v>
      </c>
      <c r="C4118" s="477">
        <v>5576614.9062988115</v>
      </c>
      <c r="D4118" s="458">
        <v>8.4523158697754619E-2</v>
      </c>
      <c r="E4118" s="477">
        <v>19880493.771211632</v>
      </c>
      <c r="F4118" s="458">
        <v>9.3738966655268374E-2</v>
      </c>
      <c r="G4118" s="477">
        <v>92843883.819303066</v>
      </c>
      <c r="H4118" s="458">
        <v>0.28293810270639175</v>
      </c>
      <c r="I4118" s="468">
        <v>8.1061954157243203</v>
      </c>
    </row>
    <row r="4119" spans="1:9" ht="16.5" x14ac:dyDescent="0.3">
      <c r="A4119" s="477">
        <v>4210676.8533296548</v>
      </c>
      <c r="B4119" s="458">
        <v>1.6206629811447826E-2</v>
      </c>
      <c r="C4119" s="477">
        <v>2245478.1747816908</v>
      </c>
      <c r="D4119" s="458">
        <v>6.3072694670669449E-2</v>
      </c>
      <c r="E4119" s="477">
        <v>20096312.098455302</v>
      </c>
      <c r="F4119" s="458">
        <v>9.3937989214393225E-2</v>
      </c>
      <c r="G4119" s="477">
        <v>89723407.327639967</v>
      </c>
      <c r="H4119" s="458">
        <v>0.28828232703321421</v>
      </c>
      <c r="I4119" s="468">
        <v>12.964451988894357</v>
      </c>
    </row>
    <row r="4120" spans="1:9" ht="16.5" x14ac:dyDescent="0.3">
      <c r="A4120" s="477">
        <v>5461194.1766721075</v>
      </c>
      <c r="B4120" s="458">
        <v>2.9949138299948164E-2</v>
      </c>
      <c r="C4120" s="477">
        <v>6919222.6771289082</v>
      </c>
      <c r="D4120" s="458">
        <v>9.5762121190050786E-2</v>
      </c>
      <c r="E4120" s="477">
        <v>15257565.127447307</v>
      </c>
      <c r="F4120" s="458">
        <v>0.15236899003943871</v>
      </c>
      <c r="G4120" s="477">
        <v>89170406.526200712</v>
      </c>
      <c r="H4120" s="458">
        <v>0.2620277945671885</v>
      </c>
      <c r="I4120" s="468">
        <v>5.3093526880840818</v>
      </c>
    </row>
    <row r="4121" spans="1:9" ht="16.5" x14ac:dyDescent="0.3">
      <c r="A4121" s="477">
        <v>5686023.658145519</v>
      </c>
      <c r="B4121" s="458">
        <v>2.5060128423701977E-2</v>
      </c>
      <c r="C4121" s="477">
        <v>10233343.985044139</v>
      </c>
      <c r="D4121" s="458">
        <v>4.3319955411132094E-2</v>
      </c>
      <c r="E4121" s="477">
        <v>26258513.946724758</v>
      </c>
      <c r="F4121" s="458">
        <v>0.12077472380032872</v>
      </c>
      <c r="G4121" s="477">
        <v>109313093.64733417</v>
      </c>
      <c r="H4121" s="458">
        <v>0.24533296404486382</v>
      </c>
      <c r="I4121" s="468">
        <v>6.3345186524940011</v>
      </c>
    </row>
    <row r="4122" spans="1:9" ht="16.5" x14ac:dyDescent="0.3">
      <c r="A4122" s="477">
        <v>4960441.6137082456</v>
      </c>
      <c r="B4122" s="458">
        <v>5.4016710369034993E-2</v>
      </c>
      <c r="C4122" s="477">
        <v>9062535.268047912</v>
      </c>
      <c r="D4122" s="458">
        <v>7.7958689616022481E-2</v>
      </c>
      <c r="E4122" s="477">
        <v>14142688.40819585</v>
      </c>
      <c r="F4122" s="458">
        <v>0.12048296400527048</v>
      </c>
      <c r="G4122" s="477">
        <v>88590108.256548151</v>
      </c>
      <c r="H4122" s="458">
        <v>0.26070489144742526</v>
      </c>
      <c r="I4122" s="468">
        <v>11.494879833729014</v>
      </c>
    </row>
    <row r="4123" spans="1:9" ht="16.5" x14ac:dyDescent="0.3">
      <c r="A4123" s="477">
        <v>3877765.9821070675</v>
      </c>
      <c r="B4123" s="458">
        <v>2.6836127628951267E-2</v>
      </c>
      <c r="C4123" s="477">
        <v>5661623.7987444792</v>
      </c>
      <c r="D4123" s="458">
        <v>6.3931381268768517E-2</v>
      </c>
      <c r="E4123" s="477">
        <v>12557652.441924477</v>
      </c>
      <c r="F4123" s="458">
        <v>9.6165014114011571E-2</v>
      </c>
      <c r="G4123" s="477">
        <v>94905966.750666857</v>
      </c>
      <c r="H4123" s="458">
        <v>0.26411597408996079</v>
      </c>
      <c r="I4123" s="468">
        <v>9.6842924342716508</v>
      </c>
    </row>
    <row r="4124" spans="1:9" ht="16.5" x14ac:dyDescent="0.3">
      <c r="A4124" s="477">
        <v>3240763.8610125314</v>
      </c>
      <c r="B4124" s="458">
        <v>3.0429102022115462E-2</v>
      </c>
      <c r="C4124" s="477">
        <v>11119072.345105093</v>
      </c>
      <c r="D4124" s="458">
        <v>6.2400516976183873E-2</v>
      </c>
      <c r="E4124" s="477">
        <v>18736861.81568712</v>
      </c>
      <c r="F4124" s="458">
        <v>9.0712093888070111E-2</v>
      </c>
      <c r="G4124" s="477">
        <v>101501578.20190468</v>
      </c>
      <c r="H4124" s="458">
        <v>0.26771529932740945</v>
      </c>
      <c r="I4124" s="468">
        <v>4.0599844620504628</v>
      </c>
    </row>
    <row r="4125" spans="1:9" ht="16.5" x14ac:dyDescent="0.3">
      <c r="A4125" s="477">
        <v>3921599.2387167811</v>
      </c>
      <c r="B4125" s="458">
        <v>4.2929689296784312E-2</v>
      </c>
      <c r="C4125" s="477">
        <v>6270538.6890641889</v>
      </c>
      <c r="D4125" s="458">
        <v>6.810217905977356E-2</v>
      </c>
      <c r="E4125" s="477">
        <v>23039752.982279669</v>
      </c>
      <c r="F4125" s="458">
        <v>0.1064801895351819</v>
      </c>
      <c r="G4125" s="477">
        <v>78855249.133474514</v>
      </c>
      <c r="H4125" s="458">
        <v>0.34899800924535995</v>
      </c>
      <c r="I4125" s="468">
        <v>9.0863399135562712</v>
      </c>
    </row>
    <row r="4126" spans="1:9" ht="16.5" x14ac:dyDescent="0.3">
      <c r="A4126" s="477">
        <v>302497.11750808312</v>
      </c>
      <c r="B4126" s="458">
        <v>4.5182125747335267E-2</v>
      </c>
      <c r="C4126" s="477">
        <v>6750374.5296441764</v>
      </c>
      <c r="D4126" s="458">
        <v>6.5538798799587239E-2</v>
      </c>
      <c r="E4126" s="477">
        <v>17439892.664214872</v>
      </c>
      <c r="F4126" s="458">
        <v>7.6651300894214902E-2</v>
      </c>
      <c r="G4126" s="477">
        <v>80890778.916995406</v>
      </c>
      <c r="H4126" s="458">
        <v>0.26247760385619689</v>
      </c>
      <c r="I4126" s="468">
        <v>2.3288816228463363</v>
      </c>
    </row>
    <row r="4127" spans="1:9" ht="16.5" x14ac:dyDescent="0.3">
      <c r="A4127" s="477">
        <v>4406149.8041766547</v>
      </c>
      <c r="B4127" s="458">
        <v>3.8296886730892155E-2</v>
      </c>
      <c r="C4127" s="477">
        <v>9192833.3142148964</v>
      </c>
      <c r="D4127" s="458">
        <v>5.1770407718028766E-2</v>
      </c>
      <c r="E4127" s="477">
        <v>15711487.493018882</v>
      </c>
      <c r="F4127" s="458">
        <v>7.7483684684385601E-2</v>
      </c>
      <c r="G4127" s="477">
        <v>94744553.069615036</v>
      </c>
      <c r="H4127" s="458">
        <v>0.25830204391002032</v>
      </c>
      <c r="I4127" s="468">
        <v>-1.2690667960440258</v>
      </c>
    </row>
    <row r="4128" spans="1:9" ht="16.5" x14ac:dyDescent="0.3">
      <c r="A4128" s="477">
        <v>-3199566.6954594632</v>
      </c>
      <c r="B4128" s="458">
        <v>2.9714809314793866E-2</v>
      </c>
      <c r="C4128" s="477">
        <v>12176982.002447782</v>
      </c>
      <c r="D4128" s="458">
        <v>4.3099980522953496E-2</v>
      </c>
      <c r="E4128" s="477">
        <v>12193299.572990801</v>
      </c>
      <c r="F4128" s="458">
        <v>0.10646929725505738</v>
      </c>
      <c r="G4128" s="477">
        <v>90569487.094117552</v>
      </c>
      <c r="H4128" s="458">
        <v>0.26576691302935318</v>
      </c>
      <c r="I4128" s="468">
        <v>9.9310331339370048</v>
      </c>
    </row>
    <row r="4129" spans="1:9" ht="16.5" x14ac:dyDescent="0.3">
      <c r="A4129" s="477">
        <v>2829796.6738395351</v>
      </c>
      <c r="B4129" s="458">
        <v>4.4868934353939682E-2</v>
      </c>
      <c r="C4129" s="477">
        <v>8403531.3367354069</v>
      </c>
      <c r="D4129" s="458">
        <v>6.0351434329286802E-2</v>
      </c>
      <c r="E4129" s="477">
        <v>9237472.2446839288</v>
      </c>
      <c r="F4129" s="458">
        <v>0.11196985742508736</v>
      </c>
      <c r="G4129" s="477">
        <v>75826868.090771526</v>
      </c>
      <c r="H4129" s="458">
        <v>0.28432967065506864</v>
      </c>
      <c r="I4129" s="468">
        <v>5.7821439192893269</v>
      </c>
    </row>
    <row r="4130" spans="1:9" ht="16.5" x14ac:dyDescent="0.3">
      <c r="A4130" s="477">
        <v>8335966.2743901275</v>
      </c>
      <c r="B4130" s="458">
        <v>3.2068617266963972E-2</v>
      </c>
      <c r="C4130" s="477">
        <v>15798761.068541927</v>
      </c>
      <c r="D4130" s="458">
        <v>7.5159275338333442E-2</v>
      </c>
      <c r="E4130" s="477">
        <v>13578832.347927803</v>
      </c>
      <c r="F4130" s="458">
        <v>9.6177915464418451E-2</v>
      </c>
      <c r="G4130" s="477">
        <v>85312431.794778079</v>
      </c>
      <c r="H4130" s="458">
        <v>0.27331412619202688</v>
      </c>
      <c r="I4130" s="468">
        <v>4.9696811185120531</v>
      </c>
    </row>
    <row r="4131" spans="1:9" ht="16.5" x14ac:dyDescent="0.3">
      <c r="A4131" s="477">
        <v>8934630.2160738409</v>
      </c>
      <c r="B4131" s="458">
        <v>4.4476551805984865E-2</v>
      </c>
      <c r="C4131" s="477">
        <v>8540067.2932507563</v>
      </c>
      <c r="D4131" s="458">
        <v>6.5188836983340881E-2</v>
      </c>
      <c r="E4131" s="477">
        <v>22269335.532174181</v>
      </c>
      <c r="F4131" s="458">
        <v>0.10259601514190186</v>
      </c>
      <c r="G4131" s="477">
        <v>91650574.68440713</v>
      </c>
      <c r="H4131" s="458">
        <v>0.29061730403619168</v>
      </c>
      <c r="I4131" s="468">
        <v>5.7891418719451355</v>
      </c>
    </row>
    <row r="4132" spans="1:9" ht="16.5" x14ac:dyDescent="0.3">
      <c r="A4132" s="477">
        <v>4346893.316199379</v>
      </c>
      <c r="B4132" s="458">
        <v>1.9668216725694743E-2</v>
      </c>
      <c r="C4132" s="477">
        <v>7077981.41375113</v>
      </c>
      <c r="D4132" s="458">
        <v>6.35701119019767E-2</v>
      </c>
      <c r="E4132" s="477">
        <v>19540457.39484933</v>
      </c>
      <c r="F4132" s="458">
        <v>0.10228281450554033</v>
      </c>
      <c r="G4132" s="477">
        <v>95146829.325508267</v>
      </c>
      <c r="H4132" s="458">
        <v>0.25727990136068901</v>
      </c>
      <c r="I4132" s="468">
        <v>11.546731068032635</v>
      </c>
    </row>
    <row r="4133" spans="1:9" ht="16.5" x14ac:dyDescent="0.3">
      <c r="A4133" s="477">
        <v>5219698.2354600243</v>
      </c>
      <c r="B4133" s="458">
        <v>5.6023593277979566E-2</v>
      </c>
      <c r="C4133" s="477">
        <v>7383147.7050681598</v>
      </c>
      <c r="D4133" s="458">
        <v>5.9658942753463506E-2</v>
      </c>
      <c r="E4133" s="477">
        <v>23863892.09696484</v>
      </c>
      <c r="F4133" s="458">
        <v>0.12288623304611912</v>
      </c>
      <c r="G4133" s="477">
        <v>88037420.29219532</v>
      </c>
      <c r="H4133" s="458">
        <v>0.26746302745471651</v>
      </c>
      <c r="I4133" s="468">
        <v>7.0273254773775964</v>
      </c>
    </row>
    <row r="4134" spans="1:9" ht="16.5" x14ac:dyDescent="0.3">
      <c r="A4134" s="477">
        <v>2101854.6993666692</v>
      </c>
      <c r="B4134" s="458">
        <v>5.4476622913352202E-2</v>
      </c>
      <c r="C4134" s="477">
        <v>9337969.7868877184</v>
      </c>
      <c r="D4134" s="458">
        <v>6.2696759087510268E-2</v>
      </c>
      <c r="E4134" s="477">
        <v>14039661.143982874</v>
      </c>
      <c r="F4134" s="458">
        <v>0.11368318253199017</v>
      </c>
      <c r="G4134" s="477">
        <v>101200927.40314159</v>
      </c>
      <c r="H4134" s="458">
        <v>0.2594721614485147</v>
      </c>
      <c r="I4134" s="468">
        <v>10.161770890772395</v>
      </c>
    </row>
    <row r="4135" spans="1:9" ht="16.5" x14ac:dyDescent="0.3">
      <c r="A4135" s="477">
        <v>5915587.4988884572</v>
      </c>
      <c r="B4135" s="458">
        <v>3.783598147587508E-2</v>
      </c>
      <c r="C4135" s="477">
        <v>14469274.723865218</v>
      </c>
      <c r="D4135" s="458">
        <v>8.0009070390394621E-2</v>
      </c>
      <c r="E4135" s="477">
        <v>15888723.560059456</v>
      </c>
      <c r="F4135" s="458">
        <v>0.10748271118025987</v>
      </c>
      <c r="G4135" s="477">
        <v>87802207.365010798</v>
      </c>
      <c r="H4135" s="458">
        <v>0.25924630359708245</v>
      </c>
      <c r="I4135" s="468">
        <v>6.0206264280565591</v>
      </c>
    </row>
    <row r="4136" spans="1:9" ht="16.5" x14ac:dyDescent="0.3">
      <c r="A4136" s="477">
        <v>2124085.4851219174</v>
      </c>
      <c r="B4136" s="458">
        <v>3.7569523265589932E-2</v>
      </c>
      <c r="C4136" s="477">
        <v>7133493.1920056418</v>
      </c>
      <c r="D4136" s="458">
        <v>4.4207299457262872E-2</v>
      </c>
      <c r="E4136" s="477">
        <v>20613385.747017227</v>
      </c>
      <c r="F4136" s="458">
        <v>0.10220103256752089</v>
      </c>
      <c r="G4136" s="477">
        <v>90412218.188736066</v>
      </c>
      <c r="H4136" s="458">
        <v>0.28685406344407283</v>
      </c>
      <c r="I4136" s="468">
        <v>17.161174012267118</v>
      </c>
    </row>
    <row r="4137" spans="1:9" ht="16.5" x14ac:dyDescent="0.3">
      <c r="A4137" s="477">
        <v>5660047.2427439233</v>
      </c>
      <c r="B4137" s="458">
        <v>3.9317770653412021E-2</v>
      </c>
      <c r="C4137" s="477">
        <v>7405419.6478608008</v>
      </c>
      <c r="D4137" s="458">
        <v>7.3816758910192348E-2</v>
      </c>
      <c r="E4137" s="477">
        <v>16458253.901086602</v>
      </c>
      <c r="F4137" s="458">
        <v>0.10442937416462494</v>
      </c>
      <c r="G4137" s="477">
        <v>86543311.833937064</v>
      </c>
      <c r="H4137" s="458">
        <v>0.28189400310869606</v>
      </c>
      <c r="I4137" s="468">
        <v>6.0392946359081332</v>
      </c>
    </row>
    <row r="4138" spans="1:9" ht="16.5" x14ac:dyDescent="0.3">
      <c r="A4138" s="477">
        <v>5895085.9054246871</v>
      </c>
      <c r="B4138" s="458">
        <v>4.962132549553222E-2</v>
      </c>
      <c r="C4138" s="477">
        <v>8152083.5401431164</v>
      </c>
      <c r="D4138" s="458">
        <v>7.8601306541479898E-2</v>
      </c>
      <c r="E4138" s="477">
        <v>24778371.919519242</v>
      </c>
      <c r="F4138" s="458">
        <v>0.1199004580245413</v>
      </c>
      <c r="G4138" s="477">
        <v>83463167.233862132</v>
      </c>
      <c r="H4138" s="458">
        <v>0.25686960263936953</v>
      </c>
      <c r="I4138" s="468">
        <v>16.122617745439012</v>
      </c>
    </row>
    <row r="4139" spans="1:9" ht="16.5" x14ac:dyDescent="0.3">
      <c r="A4139" s="477">
        <v>2902639.8659891053</v>
      </c>
      <c r="B4139" s="458">
        <v>1.776164316639206E-2</v>
      </c>
      <c r="C4139" s="477">
        <v>7346894.1705875145</v>
      </c>
      <c r="D4139" s="458">
        <v>0.10350523258503541</v>
      </c>
      <c r="E4139" s="477">
        <v>9606867.607782416</v>
      </c>
      <c r="F4139" s="458">
        <v>0.11716389852969811</v>
      </c>
      <c r="G4139" s="477">
        <v>89806174.001628444</v>
      </c>
      <c r="H4139" s="458">
        <v>0.28261878286201902</v>
      </c>
      <c r="I4139" s="468">
        <v>13.487097000255195</v>
      </c>
    </row>
    <row r="4140" spans="1:9" ht="16.5" x14ac:dyDescent="0.3">
      <c r="A4140" s="477">
        <v>4229083.8219224215</v>
      </c>
      <c r="B4140" s="458">
        <v>3.5297783097971047E-2</v>
      </c>
      <c r="C4140" s="477">
        <v>14326715.510348391</v>
      </c>
      <c r="D4140" s="458">
        <v>5.5504653314965235E-2</v>
      </c>
      <c r="E4140" s="477">
        <v>11476683.965090623</v>
      </c>
      <c r="F4140" s="458">
        <v>9.927897572079547E-2</v>
      </c>
      <c r="G4140" s="477">
        <v>82973874.964704707</v>
      </c>
      <c r="H4140" s="458">
        <v>0.27951005414030572</v>
      </c>
      <c r="I4140" s="468">
        <v>15.550291446572146</v>
      </c>
    </row>
    <row r="4141" spans="1:9" ht="16.5" x14ac:dyDescent="0.3">
      <c r="A4141" s="477">
        <v>5642333.4627703419</v>
      </c>
      <c r="B4141" s="458">
        <v>5.3105437375376319E-2</v>
      </c>
      <c r="C4141" s="477">
        <v>3717062.874944225</v>
      </c>
      <c r="D4141" s="458">
        <v>7.9047098807041749E-2</v>
      </c>
      <c r="E4141" s="477">
        <v>14299494.593262207</v>
      </c>
      <c r="F4141" s="458">
        <v>0.11536570296729787</v>
      </c>
      <c r="G4141" s="477">
        <v>104543545.02775773</v>
      </c>
      <c r="H4141" s="458">
        <v>0.28092172931004233</v>
      </c>
      <c r="I4141" s="468">
        <v>9.0767800297049632</v>
      </c>
    </row>
    <row r="4142" spans="1:9" ht="16.5" x14ac:dyDescent="0.3">
      <c r="A4142" s="477">
        <v>7028085.3330059061</v>
      </c>
      <c r="B4142" s="458">
        <v>2.4842011546165166E-2</v>
      </c>
      <c r="C4142" s="477">
        <v>4085672.9805939724</v>
      </c>
      <c r="D4142" s="458">
        <v>7.4041372493819146E-2</v>
      </c>
      <c r="E4142" s="477">
        <v>13888044.028458202</v>
      </c>
      <c r="F4142" s="458">
        <v>0.11780979940610803</v>
      </c>
      <c r="G4142" s="477">
        <v>91622310.286894023</v>
      </c>
      <c r="H4142" s="458">
        <v>0.28105162899880853</v>
      </c>
      <c r="I4142" s="468">
        <v>4.646589475989007</v>
      </c>
    </row>
    <row r="4143" spans="1:9" ht="16.5" x14ac:dyDescent="0.3">
      <c r="A4143" s="477">
        <v>7208869.6819567634</v>
      </c>
      <c r="B4143" s="458">
        <v>2.8410087894912506E-2</v>
      </c>
      <c r="C4143" s="477">
        <v>8974377.7988798022</v>
      </c>
      <c r="D4143" s="458">
        <v>9.4421873998589811E-2</v>
      </c>
      <c r="E4143" s="477">
        <v>26297897.852364279</v>
      </c>
      <c r="F4143" s="458">
        <v>9.9784503034560768E-2</v>
      </c>
      <c r="G4143" s="477">
        <v>90264745.648516133</v>
      </c>
      <c r="H4143" s="458">
        <v>0.28403474189735967</v>
      </c>
      <c r="I4143" s="468">
        <v>2.294831957199345</v>
      </c>
    </row>
    <row r="4144" spans="1:9" ht="16.5" x14ac:dyDescent="0.3">
      <c r="A4144" s="477">
        <v>2847025.6144001754</v>
      </c>
      <c r="B4144" s="458">
        <v>2.9228865707565888E-2</v>
      </c>
      <c r="C4144" s="477">
        <v>8273828.0433698436</v>
      </c>
      <c r="D4144" s="458">
        <v>7.1944012058387186E-2</v>
      </c>
      <c r="E4144" s="477">
        <v>12526737.399352109</v>
      </c>
      <c r="F4144" s="458">
        <v>0.12052191771807896</v>
      </c>
      <c r="G4144" s="477">
        <v>87719007.702180207</v>
      </c>
      <c r="H4144" s="458">
        <v>0.25420915774145647</v>
      </c>
      <c r="I4144" s="468">
        <v>8.0375327337046585</v>
      </c>
    </row>
    <row r="4145" spans="1:9" ht="16.5" x14ac:dyDescent="0.3">
      <c r="A4145" s="477">
        <v>3524961.6495296145</v>
      </c>
      <c r="B4145" s="458">
        <v>3.0702819168808126E-2</v>
      </c>
      <c r="C4145" s="477">
        <v>4172424.3134090467</v>
      </c>
      <c r="D4145" s="458">
        <v>4.5522518458579908E-2</v>
      </c>
      <c r="E4145" s="477">
        <v>23745573.725112259</v>
      </c>
      <c r="F4145" s="458">
        <v>0.10648808561493595</v>
      </c>
      <c r="G4145" s="477">
        <v>87034059.515331224</v>
      </c>
      <c r="H4145" s="458">
        <v>0.26752168189410641</v>
      </c>
      <c r="I4145" s="468">
        <v>5.7491935044409388</v>
      </c>
    </row>
    <row r="4146" spans="1:9" ht="16.5" x14ac:dyDescent="0.3">
      <c r="A4146" s="477">
        <v>8191459.275239218</v>
      </c>
      <c r="B4146" s="458">
        <v>3.9737142414631776E-2</v>
      </c>
      <c r="C4146" s="477">
        <v>11483869.875020737</v>
      </c>
      <c r="D4146" s="458">
        <v>4.286783340474698E-2</v>
      </c>
      <c r="E4146" s="477">
        <v>20210273.845948383</v>
      </c>
      <c r="F4146" s="458">
        <v>0.11756945955971565</v>
      </c>
      <c r="G4146" s="477">
        <v>83934403.721517488</v>
      </c>
      <c r="H4146" s="458">
        <v>0.27137474988654597</v>
      </c>
      <c r="I4146" s="468">
        <v>8.7604253495654199</v>
      </c>
    </row>
    <row r="4147" spans="1:9" ht="16.5" x14ac:dyDescent="0.3">
      <c r="A4147" s="477">
        <v>8727925.9092984945</v>
      </c>
      <c r="B4147" s="458">
        <v>6.8651060072480341E-2</v>
      </c>
      <c r="C4147" s="477">
        <v>14182598.692054678</v>
      </c>
      <c r="D4147" s="458">
        <v>7.0950344234216534E-2</v>
      </c>
      <c r="E4147" s="477">
        <v>14087571.773802439</v>
      </c>
      <c r="F4147" s="458">
        <v>8.7403324455671338E-2</v>
      </c>
      <c r="G4147" s="477">
        <v>90569227.033430085</v>
      </c>
      <c r="H4147" s="458">
        <v>0.25437726447159981</v>
      </c>
      <c r="I4147" s="468">
        <v>4.2083022220559361</v>
      </c>
    </row>
    <row r="4148" spans="1:9" ht="16.5" x14ac:dyDescent="0.3">
      <c r="A4148" s="477">
        <v>8286832.0877034971</v>
      </c>
      <c r="B4148" s="458">
        <v>2.9210398965150652E-2</v>
      </c>
      <c r="C4148" s="477">
        <v>9728805.1787992697</v>
      </c>
      <c r="D4148" s="458">
        <v>5.7000021595940753E-2</v>
      </c>
      <c r="E4148" s="477">
        <v>18589385.935546983</v>
      </c>
      <c r="F4148" s="458">
        <v>0.11826155352812751</v>
      </c>
      <c r="G4148" s="477">
        <v>94462927.586553663</v>
      </c>
      <c r="H4148" s="458">
        <v>0.26375082264809091</v>
      </c>
      <c r="I4148" s="468">
        <v>5.4300003374606334</v>
      </c>
    </row>
    <row r="4149" spans="1:9" ht="16.5" x14ac:dyDescent="0.3">
      <c r="A4149" s="477">
        <v>3807848.6851176661</v>
      </c>
      <c r="B4149" s="458">
        <v>2.5325675954753546E-2</v>
      </c>
      <c r="C4149" s="477">
        <v>10461225.895957118</v>
      </c>
      <c r="D4149" s="458">
        <v>6.7123482341697294E-2</v>
      </c>
      <c r="E4149" s="477">
        <v>16203675.089845816</v>
      </c>
      <c r="F4149" s="458">
        <v>0.10441991665755745</v>
      </c>
      <c r="G4149" s="477">
        <v>88821755.838322088</v>
      </c>
      <c r="H4149" s="458">
        <v>0.25366557124236744</v>
      </c>
      <c r="I4149" s="468">
        <v>8.1152830333120729</v>
      </c>
    </row>
    <row r="4150" spans="1:9" ht="16.5" x14ac:dyDescent="0.3">
      <c r="A4150" s="477">
        <v>5761693.454943588</v>
      </c>
      <c r="B4150" s="458">
        <v>3.0296181141078238E-2</v>
      </c>
      <c r="C4150" s="477">
        <v>6939881.5920512853</v>
      </c>
      <c r="D4150" s="458">
        <v>5.9658402656115994E-2</v>
      </c>
      <c r="E4150" s="477">
        <v>24608099.799358502</v>
      </c>
      <c r="F4150" s="458">
        <v>0.10310557968540146</v>
      </c>
      <c r="G4150" s="477">
        <v>74391009.853026599</v>
      </c>
      <c r="H4150" s="458">
        <v>0.27003451991379857</v>
      </c>
      <c r="I4150" s="468">
        <v>15.545089232448188</v>
      </c>
    </row>
    <row r="4151" spans="1:9" ht="16.5" x14ac:dyDescent="0.3">
      <c r="A4151" s="477">
        <v>-268467.64218760701</v>
      </c>
      <c r="B4151" s="458">
        <v>2.654338939087908E-2</v>
      </c>
      <c r="C4151" s="477">
        <v>8171190.0331714423</v>
      </c>
      <c r="D4151" s="458">
        <v>2.1786490265228498E-2</v>
      </c>
      <c r="E4151" s="477">
        <v>15774418.544709001</v>
      </c>
      <c r="F4151" s="458">
        <v>0.12452238839175789</v>
      </c>
      <c r="G4151" s="477">
        <v>92488826.063156888</v>
      </c>
      <c r="H4151" s="458">
        <v>0.27583325837006467</v>
      </c>
      <c r="I4151" s="468">
        <v>13.873430315597638</v>
      </c>
    </row>
    <row r="4152" spans="1:9" ht="16.5" x14ac:dyDescent="0.3">
      <c r="A4152" s="477">
        <v>2663577.5280641839</v>
      </c>
      <c r="B4152" s="458">
        <v>4.814671229123646E-2</v>
      </c>
      <c r="C4152" s="477">
        <v>9655274.0517245438</v>
      </c>
      <c r="D4152" s="458">
        <v>9.2591828374696483E-2</v>
      </c>
      <c r="E4152" s="477">
        <v>15509396.884486226</v>
      </c>
      <c r="F4152" s="458">
        <v>0.13107109628269886</v>
      </c>
      <c r="G4152" s="477">
        <v>103714652.15312001</v>
      </c>
      <c r="H4152" s="458">
        <v>0.26539478085498147</v>
      </c>
      <c r="I4152" s="468">
        <v>16.678767135741058</v>
      </c>
    </row>
    <row r="4153" spans="1:9" ht="16.5" x14ac:dyDescent="0.3">
      <c r="A4153" s="477">
        <v>3894221.6784133515</v>
      </c>
      <c r="B4153" s="458">
        <v>5.116688073389386E-2</v>
      </c>
      <c r="C4153" s="477">
        <v>3143724.434263146</v>
      </c>
      <c r="D4153" s="458">
        <v>6.8020456808103535E-2</v>
      </c>
      <c r="E4153" s="477">
        <v>13652506.020643294</v>
      </c>
      <c r="F4153" s="458">
        <v>0.11134528811639277</v>
      </c>
      <c r="G4153" s="477">
        <v>84684626.758081436</v>
      </c>
      <c r="H4153" s="458">
        <v>0.24879054897517583</v>
      </c>
      <c r="I4153" s="468">
        <v>6.9053126773635718</v>
      </c>
    </row>
    <row r="4154" spans="1:9" ht="16.5" x14ac:dyDescent="0.3">
      <c r="A4154" s="477">
        <v>3702670.1051501879</v>
      </c>
      <c r="B4154" s="458">
        <v>4.0882104729881297E-2</v>
      </c>
      <c r="C4154" s="477">
        <v>8694570.9867367968</v>
      </c>
      <c r="D4154" s="458">
        <v>7.1979793568144101E-2</v>
      </c>
      <c r="E4154" s="477">
        <v>14071293.217332674</v>
      </c>
      <c r="F4154" s="458">
        <v>0.10701360585601649</v>
      </c>
      <c r="G4154" s="477">
        <v>76272178.873989731</v>
      </c>
      <c r="H4154" s="458">
        <v>0.26829978233772023</v>
      </c>
      <c r="I4154" s="468">
        <v>11.540465351146029</v>
      </c>
    </row>
    <row r="4155" spans="1:9" ht="16.5" x14ac:dyDescent="0.3">
      <c r="A4155" s="477">
        <v>4712669.1099965572</v>
      </c>
      <c r="B4155" s="458">
        <v>4.4978713097521883E-2</v>
      </c>
      <c r="C4155" s="477">
        <v>17778244.443363693</v>
      </c>
      <c r="D4155" s="458">
        <v>6.4996846668996966E-2</v>
      </c>
      <c r="E4155" s="477">
        <v>11231273.56004934</v>
      </c>
      <c r="F4155" s="458">
        <v>0.10957759172287029</v>
      </c>
      <c r="G4155" s="477">
        <v>107024481.44211559</v>
      </c>
      <c r="H4155" s="458">
        <v>0.27178531119905713</v>
      </c>
      <c r="I4155" s="468">
        <v>10.501012358918953</v>
      </c>
    </row>
    <row r="4156" spans="1:9" ht="16.5" x14ac:dyDescent="0.3">
      <c r="A4156" s="477">
        <v>7872974.3065101691</v>
      </c>
      <c r="B4156" s="458">
        <v>2.8986874573340593E-2</v>
      </c>
      <c r="C4156" s="477">
        <v>13566839.086950364</v>
      </c>
      <c r="D4156" s="458">
        <v>7.8841383654111308E-2</v>
      </c>
      <c r="E4156" s="477">
        <v>16460487.034843037</v>
      </c>
      <c r="F4156" s="458">
        <v>0.10335403656513575</v>
      </c>
      <c r="G4156" s="477">
        <v>102117321.5856356</v>
      </c>
      <c r="H4156" s="458">
        <v>0.24648342445089133</v>
      </c>
      <c r="I4156" s="468">
        <v>14.094638522132382</v>
      </c>
    </row>
    <row r="4157" spans="1:9" ht="16.5" x14ac:dyDescent="0.3">
      <c r="A4157" s="477">
        <v>7066484.5800033687</v>
      </c>
      <c r="B4157" s="458">
        <v>4.2509785279754686E-2</v>
      </c>
      <c r="C4157" s="477">
        <v>12466308.380807176</v>
      </c>
      <c r="D4157" s="458">
        <v>6.8748773823349429E-2</v>
      </c>
      <c r="E4157" s="477">
        <v>13750356.843694022</v>
      </c>
      <c r="F4157" s="458">
        <v>0.11272881283937775</v>
      </c>
      <c r="G4157" s="477">
        <v>78614881.896420747</v>
      </c>
      <c r="H4157" s="458">
        <v>0.28370502096610761</v>
      </c>
      <c r="I4157" s="468">
        <v>8.9933556982692622</v>
      </c>
    </row>
    <row r="4158" spans="1:9" ht="16.5" x14ac:dyDescent="0.3">
      <c r="A4158" s="477">
        <v>9822326.8799141608</v>
      </c>
      <c r="B4158" s="458">
        <v>2.3805877702726352E-2</v>
      </c>
      <c r="C4158" s="477">
        <v>9066867.3543988615</v>
      </c>
      <c r="D4158" s="458">
        <v>8.7799455149852879E-2</v>
      </c>
      <c r="E4158" s="477">
        <v>17199298.775848828</v>
      </c>
      <c r="F4158" s="458">
        <v>0.1148553421590679</v>
      </c>
      <c r="G4158" s="477">
        <v>94378645.842676327</v>
      </c>
      <c r="H4158" s="458">
        <v>0.27297067613164461</v>
      </c>
      <c r="I4158" s="468">
        <v>6.5832124822063403</v>
      </c>
    </row>
    <row r="4159" spans="1:9" ht="16.5" x14ac:dyDescent="0.3">
      <c r="A4159" s="477">
        <v>5483336.9581145449</v>
      </c>
      <c r="B4159" s="458">
        <v>2.4351821393574502E-2</v>
      </c>
      <c r="C4159" s="477">
        <v>10537604.895151136</v>
      </c>
      <c r="D4159" s="458">
        <v>5.6673220502623467E-2</v>
      </c>
      <c r="E4159" s="477">
        <v>21719468.967988953</v>
      </c>
      <c r="F4159" s="458">
        <v>0.10580448897115358</v>
      </c>
      <c r="G4159" s="477">
        <v>97153558.004235268</v>
      </c>
      <c r="H4159" s="458">
        <v>0.26986999683468449</v>
      </c>
      <c r="I4159" s="468">
        <v>13.48664026722053</v>
      </c>
    </row>
    <row r="4160" spans="1:9" ht="16.5" x14ac:dyDescent="0.3">
      <c r="A4160" s="477">
        <v>5222855.7262717374</v>
      </c>
      <c r="B4160" s="458">
        <v>1.9449021288965973E-2</v>
      </c>
      <c r="C4160" s="477">
        <v>13579802.86078454</v>
      </c>
      <c r="D4160" s="458">
        <v>7.3941830376639262E-2</v>
      </c>
      <c r="E4160" s="477">
        <v>16157442.585679101</v>
      </c>
      <c r="F4160" s="458">
        <v>9.3481714330513555E-2</v>
      </c>
      <c r="G4160" s="477">
        <v>73851210.988942608</v>
      </c>
      <c r="H4160" s="458">
        <v>0.26373230145280613</v>
      </c>
      <c r="I4160" s="468">
        <v>8.1340810788410955</v>
      </c>
    </row>
    <row r="4161" spans="1:9" ht="16.5" x14ac:dyDescent="0.3">
      <c r="A4161" s="477">
        <v>2841709.0591681418</v>
      </c>
      <c r="B4161" s="458">
        <v>6.2613137669798258E-2</v>
      </c>
      <c r="C4161" s="477">
        <v>7816346.6743089296</v>
      </c>
      <c r="D4161" s="458">
        <v>9.0223055091024351E-2</v>
      </c>
      <c r="E4161" s="477">
        <v>11848069.663690353</v>
      </c>
      <c r="F4161" s="458">
        <v>0.12371176319181987</v>
      </c>
      <c r="G4161" s="477">
        <v>101073765.73999202</v>
      </c>
      <c r="H4161" s="458">
        <v>0.25950955152494304</v>
      </c>
      <c r="I4161" s="468">
        <v>11.217558003866532</v>
      </c>
    </row>
    <row r="4162" spans="1:9" ht="16.5" x14ac:dyDescent="0.3">
      <c r="A4162" s="477">
        <v>5136337.0221758271</v>
      </c>
      <c r="B4162" s="458">
        <v>3.522750959905574E-2</v>
      </c>
      <c r="C4162" s="477">
        <v>9622527.1443049386</v>
      </c>
      <c r="D4162" s="458">
        <v>4.4624569701598338E-2</v>
      </c>
      <c r="E4162" s="477">
        <v>14572581.115774792</v>
      </c>
      <c r="F4162" s="458">
        <v>0.11474104003872343</v>
      </c>
      <c r="G4162" s="477">
        <v>75316039.078396082</v>
      </c>
      <c r="H4162" s="458">
        <v>0.27552944636219689</v>
      </c>
      <c r="I4162" s="468">
        <v>11.020218558479868</v>
      </c>
    </row>
    <row r="4163" spans="1:9" ht="16.5" x14ac:dyDescent="0.3">
      <c r="A4163" s="477">
        <v>5148084.4972753702</v>
      </c>
      <c r="B4163" s="458">
        <v>4.7740585553615045E-2</v>
      </c>
      <c r="C4163" s="477">
        <v>8144914.0886318218</v>
      </c>
      <c r="D4163" s="458">
        <v>7.4722261617652608E-2</v>
      </c>
      <c r="E4163" s="477">
        <v>17728526.180667672</v>
      </c>
      <c r="F4163" s="458">
        <v>0.10782446513945687</v>
      </c>
      <c r="G4163" s="477">
        <v>92443565.130816326</v>
      </c>
      <c r="H4163" s="458">
        <v>0.24721894943539402</v>
      </c>
      <c r="I4163" s="468">
        <v>3.2360850909395102</v>
      </c>
    </row>
    <row r="4164" spans="1:9" ht="16.5" x14ac:dyDescent="0.3">
      <c r="A4164" s="477">
        <v>3842349.92422107</v>
      </c>
      <c r="B4164" s="458">
        <v>4.4235400752464349E-2</v>
      </c>
      <c r="C4164" s="477">
        <v>13130084.305188851</v>
      </c>
      <c r="D4164" s="458">
        <v>7.4936325385392299E-2</v>
      </c>
      <c r="E4164" s="477">
        <v>10354766.652655268</v>
      </c>
      <c r="F4164" s="458">
        <v>9.6292803557180617E-2</v>
      </c>
      <c r="G4164" s="477">
        <v>73432147.824699447</v>
      </c>
      <c r="H4164" s="458">
        <v>0.27675965619374088</v>
      </c>
      <c r="I4164" s="468">
        <v>5.6636738145317898</v>
      </c>
    </row>
    <row r="4165" spans="1:9" ht="16.5" x14ac:dyDescent="0.3">
      <c r="A4165" s="477">
        <v>4736385.4997710902</v>
      </c>
      <c r="B4165" s="458">
        <v>4.5559968051395616E-2</v>
      </c>
      <c r="C4165" s="477">
        <v>6634667.2406358207</v>
      </c>
      <c r="D4165" s="458">
        <v>8.9808821237216341E-2</v>
      </c>
      <c r="E4165" s="477">
        <v>9180332.9146711212</v>
      </c>
      <c r="F4165" s="458">
        <v>0.14014103204511486</v>
      </c>
      <c r="G4165" s="477">
        <v>106652844.17936899</v>
      </c>
      <c r="H4165" s="458">
        <v>0.27408373218962545</v>
      </c>
      <c r="I4165" s="468">
        <v>6.2977082859307716</v>
      </c>
    </row>
    <row r="4166" spans="1:9" ht="16.5" x14ac:dyDescent="0.3">
      <c r="A4166" s="477">
        <v>5085711.5883439416</v>
      </c>
      <c r="B4166" s="458">
        <v>4.0473991358329631E-2</v>
      </c>
      <c r="C4166" s="477">
        <v>8431533.8443261404</v>
      </c>
      <c r="D4166" s="458">
        <v>6.7446406691471061E-2</v>
      </c>
      <c r="E4166" s="477">
        <v>8380903.8175896825</v>
      </c>
      <c r="F4166" s="458">
        <v>8.2545584188750132E-2</v>
      </c>
      <c r="G4166" s="477">
        <v>88057427.930838645</v>
      </c>
      <c r="H4166" s="458">
        <v>0.27261362280714918</v>
      </c>
      <c r="I4166" s="468">
        <v>2.1660797335574298</v>
      </c>
    </row>
    <row r="4167" spans="1:9" ht="16.5" x14ac:dyDescent="0.3">
      <c r="A4167" s="477">
        <v>3564466.1335880943</v>
      </c>
      <c r="B4167" s="458">
        <v>4.3143252451757652E-2</v>
      </c>
      <c r="C4167" s="477">
        <v>7973503.9255407024</v>
      </c>
      <c r="D4167" s="458">
        <v>6.4704348464893258E-2</v>
      </c>
      <c r="E4167" s="477">
        <v>12329215.289652301</v>
      </c>
      <c r="F4167" s="458">
        <v>9.7042192287121631E-2</v>
      </c>
      <c r="G4167" s="477">
        <v>89615065.865860894</v>
      </c>
      <c r="H4167" s="458">
        <v>0.28263467502071071</v>
      </c>
      <c r="I4167" s="468">
        <v>8.7903828846478103</v>
      </c>
    </row>
    <row r="4168" spans="1:9" ht="16.5" x14ac:dyDescent="0.3">
      <c r="A4168" s="477">
        <v>4136496.7988745933</v>
      </c>
      <c r="B4168" s="458">
        <v>8.5305119539710761E-2</v>
      </c>
      <c r="C4168" s="477">
        <v>12167171.016796056</v>
      </c>
      <c r="D4168" s="458">
        <v>6.1679004672259952E-2</v>
      </c>
      <c r="E4168" s="477">
        <v>22430638.434544802</v>
      </c>
      <c r="F4168" s="458">
        <v>9.8685307514985832E-2</v>
      </c>
      <c r="G4168" s="477">
        <v>95653843.013114423</v>
      </c>
      <c r="H4168" s="458">
        <v>0.27765551728477766</v>
      </c>
      <c r="I4168" s="468">
        <v>11.940482192875983</v>
      </c>
    </row>
    <row r="4169" spans="1:9" ht="16.5" x14ac:dyDescent="0.3">
      <c r="A4169" s="477">
        <v>1372616.5573542877</v>
      </c>
      <c r="B4169" s="458">
        <v>3.6407604313986486E-2</v>
      </c>
      <c r="C4169" s="477">
        <v>11141115.576495113</v>
      </c>
      <c r="D4169" s="458">
        <v>5.195186931690321E-2</v>
      </c>
      <c r="E4169" s="477">
        <v>16939243.257900212</v>
      </c>
      <c r="F4169" s="458">
        <v>8.7189449171855005E-2</v>
      </c>
      <c r="G4169" s="477">
        <v>88539114.779139727</v>
      </c>
      <c r="H4169" s="458">
        <v>0.25584821613110154</v>
      </c>
      <c r="I4169" s="468">
        <v>9.8412430689009849</v>
      </c>
    </row>
    <row r="4170" spans="1:9" ht="16.5" x14ac:dyDescent="0.3">
      <c r="A4170" s="477">
        <v>3967967.6299170256</v>
      </c>
      <c r="B4170" s="458">
        <v>3.5734541239667239E-2</v>
      </c>
      <c r="C4170" s="477">
        <v>15303621.262774432</v>
      </c>
      <c r="D4170" s="458">
        <v>5.2717707024522609E-2</v>
      </c>
      <c r="E4170" s="477">
        <v>10668706.191778589</v>
      </c>
      <c r="F4170" s="458">
        <v>0.10354138921982403</v>
      </c>
      <c r="G4170" s="477">
        <v>94194939.125348896</v>
      </c>
      <c r="H4170" s="458">
        <v>0.27702848019769766</v>
      </c>
      <c r="I4170" s="468">
        <v>13.26334179529232</v>
      </c>
    </row>
    <row r="4171" spans="1:9" ht="16.5" x14ac:dyDescent="0.3">
      <c r="A4171" s="477">
        <v>5990856.3371315515</v>
      </c>
      <c r="B4171" s="458">
        <v>4.9401681424932509E-2</v>
      </c>
      <c r="C4171" s="477">
        <v>10874621.443634998</v>
      </c>
      <c r="D4171" s="458">
        <v>9.0599538990694395E-2</v>
      </c>
      <c r="E4171" s="477">
        <v>11105550.380819805</v>
      </c>
      <c r="F4171" s="458">
        <v>0.12712914044056589</v>
      </c>
      <c r="G4171" s="477">
        <v>83887203.552172109</v>
      </c>
      <c r="H4171" s="458">
        <v>0.28580005435939415</v>
      </c>
      <c r="I4171" s="468">
        <v>5.7894075064523403</v>
      </c>
    </row>
    <row r="4172" spans="1:9" ht="16.5" x14ac:dyDescent="0.3">
      <c r="A4172" s="477">
        <v>3217801.9162469329</v>
      </c>
      <c r="B4172" s="458">
        <v>3.1134514061245788E-2</v>
      </c>
      <c r="C4172" s="477">
        <v>11489993.958929149</v>
      </c>
      <c r="D4172" s="458">
        <v>6.2699042351519241E-2</v>
      </c>
      <c r="E4172" s="477">
        <v>21590282.522638876</v>
      </c>
      <c r="F4172" s="458">
        <v>8.5145083807951272E-2</v>
      </c>
      <c r="G4172" s="477">
        <v>76008087.114591539</v>
      </c>
      <c r="H4172" s="458">
        <v>0.25420053608038251</v>
      </c>
      <c r="I4172" s="468">
        <v>6.9876826111639243</v>
      </c>
    </row>
    <row r="4173" spans="1:9" ht="16.5" x14ac:dyDescent="0.3">
      <c r="A4173" s="477">
        <v>6183261.013671767</v>
      </c>
      <c r="B4173" s="458">
        <v>2.0267786024144252E-2</v>
      </c>
      <c r="C4173" s="477">
        <v>11633346.080254294</v>
      </c>
      <c r="D4173" s="458">
        <v>4.9105143220922409E-2</v>
      </c>
      <c r="E4173" s="477">
        <v>19088312.379104301</v>
      </c>
      <c r="F4173" s="458">
        <v>0.10123325312800779</v>
      </c>
      <c r="G4173" s="477">
        <v>97471113.382701397</v>
      </c>
      <c r="H4173" s="458">
        <v>0.28228495954648003</v>
      </c>
      <c r="I4173" s="468">
        <v>2.8651719785808645</v>
      </c>
    </row>
    <row r="4174" spans="1:9" ht="16.5" x14ac:dyDescent="0.3">
      <c r="A4174" s="477">
        <v>4179316.4886134057</v>
      </c>
      <c r="B4174" s="458">
        <v>0.10459696902430471</v>
      </c>
      <c r="C4174" s="477">
        <v>6230177.7377625834</v>
      </c>
      <c r="D4174" s="458">
        <v>6.6404378270821685E-2</v>
      </c>
      <c r="E4174" s="477">
        <v>19020553.238168411</v>
      </c>
      <c r="F4174" s="458">
        <v>0.10865672400557402</v>
      </c>
      <c r="G4174" s="477">
        <v>94797068.751684457</v>
      </c>
      <c r="H4174" s="458">
        <v>0.27398721143989113</v>
      </c>
      <c r="I4174" s="468">
        <v>7.5364164010540442</v>
      </c>
    </row>
    <row r="4175" spans="1:9" ht="16.5" x14ac:dyDescent="0.3">
      <c r="A4175" s="477">
        <v>2398433.7090334771</v>
      </c>
      <c r="B4175" s="458">
        <v>3.7442918341056952E-2</v>
      </c>
      <c r="C4175" s="477">
        <v>9769823.0439211205</v>
      </c>
      <c r="D4175" s="458">
        <v>7.0271345245583205E-2</v>
      </c>
      <c r="E4175" s="477">
        <v>17247179.682743985</v>
      </c>
      <c r="F4175" s="458">
        <v>0.10233548224972311</v>
      </c>
      <c r="G4175" s="477">
        <v>87956189.007799029</v>
      </c>
      <c r="H4175" s="458">
        <v>0.26871033138798661</v>
      </c>
      <c r="I4175" s="468">
        <v>9.6536073284276842</v>
      </c>
    </row>
    <row r="4176" spans="1:9" ht="16.5" x14ac:dyDescent="0.3">
      <c r="A4176" s="477">
        <v>5013126.2656250643</v>
      </c>
      <c r="B4176" s="458">
        <v>2.6064366283211626E-2</v>
      </c>
      <c r="C4176" s="477">
        <v>9249844.125445161</v>
      </c>
      <c r="D4176" s="458">
        <v>6.0162659994935863E-2</v>
      </c>
      <c r="E4176" s="477">
        <v>21993327.753163852</v>
      </c>
      <c r="F4176" s="458">
        <v>0.13049264136869998</v>
      </c>
      <c r="G4176" s="477">
        <v>91535237.829866841</v>
      </c>
      <c r="H4176" s="458">
        <v>0.2644016309068713</v>
      </c>
      <c r="I4176" s="468">
        <v>4.7058218012672022</v>
      </c>
    </row>
    <row r="4177" spans="1:9" ht="16.5" x14ac:dyDescent="0.3">
      <c r="A4177" s="477">
        <v>5229391.4396080142</v>
      </c>
      <c r="B4177" s="458">
        <v>5.0761168250741839E-2</v>
      </c>
      <c r="C4177" s="477">
        <v>10824981.329797098</v>
      </c>
      <c r="D4177" s="458">
        <v>4.3466821782399467E-2</v>
      </c>
      <c r="E4177" s="477">
        <v>9589023.0963979606</v>
      </c>
      <c r="F4177" s="458">
        <v>7.7465008976278282E-2</v>
      </c>
      <c r="G4177" s="477">
        <v>96525301.581196547</v>
      </c>
      <c r="H4177" s="458">
        <v>0.26930003521854995</v>
      </c>
      <c r="I4177" s="468">
        <v>6.0721158751973539</v>
      </c>
    </row>
    <row r="4178" spans="1:9" ht="16.5" x14ac:dyDescent="0.3">
      <c r="A4178" s="477">
        <v>4434413.8378307978</v>
      </c>
      <c r="B4178" s="458">
        <v>1.4084952995607081E-2</v>
      </c>
      <c r="C4178" s="477">
        <v>4388231.5459323423</v>
      </c>
      <c r="D4178" s="458">
        <v>5.2911373437068532E-2</v>
      </c>
      <c r="E4178" s="477">
        <v>18238738.419511165</v>
      </c>
      <c r="F4178" s="458">
        <v>9.7057805264928465E-2</v>
      </c>
      <c r="G4178" s="477">
        <v>101489963.04793461</v>
      </c>
      <c r="H4178" s="458">
        <v>0.29301054560358697</v>
      </c>
      <c r="I4178" s="468">
        <v>9.8606605816573882</v>
      </c>
    </row>
    <row r="4179" spans="1:9" ht="16.5" x14ac:dyDescent="0.3">
      <c r="A4179" s="477">
        <v>566205.46221484873</v>
      </c>
      <c r="B4179" s="458">
        <v>2.1787379619309766E-2</v>
      </c>
      <c r="C4179" s="477">
        <v>11155264.403555138</v>
      </c>
      <c r="D4179" s="458">
        <v>7.1293691833591355E-2</v>
      </c>
      <c r="E4179" s="477">
        <v>5648047.5866273865</v>
      </c>
      <c r="F4179" s="458">
        <v>0.10076437858580167</v>
      </c>
      <c r="G4179" s="477">
        <v>89681934.647691712</v>
      </c>
      <c r="H4179" s="458">
        <v>0.28092434654097387</v>
      </c>
      <c r="I4179" s="468">
        <v>10.974725969285309</v>
      </c>
    </row>
    <row r="4180" spans="1:9" ht="16.5" x14ac:dyDescent="0.3">
      <c r="A4180" s="477">
        <v>10248488.209332397</v>
      </c>
      <c r="B4180" s="458">
        <v>7.8213760456158354E-3</v>
      </c>
      <c r="C4180" s="477">
        <v>10454782.982743289</v>
      </c>
      <c r="D4180" s="458">
        <v>6.7489656802169229E-2</v>
      </c>
      <c r="E4180" s="477">
        <v>17998407.554262381</v>
      </c>
      <c r="F4180" s="458">
        <v>8.2691271124477828E-2</v>
      </c>
      <c r="G4180" s="477">
        <v>83966544.289921895</v>
      </c>
      <c r="H4180" s="458">
        <v>0.25172197409154284</v>
      </c>
      <c r="I4180" s="468">
        <v>7.1779007348226109</v>
      </c>
    </row>
    <row r="4181" spans="1:9" ht="16.5" x14ac:dyDescent="0.3">
      <c r="A4181" s="477">
        <v>7524051.4443802387</v>
      </c>
      <c r="B4181" s="458">
        <v>1.0398441135278436E-2</v>
      </c>
      <c r="C4181" s="477">
        <v>3016565.1069726725</v>
      </c>
      <c r="D4181" s="458">
        <v>6.4331736776920501E-2</v>
      </c>
      <c r="E4181" s="477">
        <v>25180797.673814323</v>
      </c>
      <c r="F4181" s="458">
        <v>0.11671720941218044</v>
      </c>
      <c r="G4181" s="477">
        <v>95612453.666410163</v>
      </c>
      <c r="H4181" s="458">
        <v>0.26361492715058832</v>
      </c>
      <c r="I4181" s="468">
        <v>10.367975623167043</v>
      </c>
    </row>
    <row r="4182" spans="1:9" ht="16.5" x14ac:dyDescent="0.3">
      <c r="A4182" s="477">
        <v>8457327.0985335931</v>
      </c>
      <c r="B4182" s="458">
        <v>3.175545314416528E-2</v>
      </c>
      <c r="C4182" s="477">
        <v>5438687.2004344063</v>
      </c>
      <c r="D4182" s="458">
        <v>8.0793813409197224E-2</v>
      </c>
      <c r="E4182" s="477">
        <v>16885160.663645755</v>
      </c>
      <c r="F4182" s="458">
        <v>0.10497097762081609</v>
      </c>
      <c r="G4182" s="477">
        <v>86067526.93919906</v>
      </c>
      <c r="H4182" s="458">
        <v>0.28536045776894969</v>
      </c>
      <c r="I4182" s="468">
        <v>0.92555767340792539</v>
      </c>
    </row>
    <row r="4183" spans="1:9" ht="16.5" x14ac:dyDescent="0.3">
      <c r="A4183" s="477">
        <v>2524190.8715289361</v>
      </c>
      <c r="B4183" s="458">
        <v>3.9384827471433459E-2</v>
      </c>
      <c r="C4183" s="477">
        <v>10538468.921427779</v>
      </c>
      <c r="D4183" s="458">
        <v>6.9957434899023729E-2</v>
      </c>
      <c r="E4183" s="477">
        <v>19298426.883181699</v>
      </c>
      <c r="F4183" s="458">
        <v>9.3258659102424923E-2</v>
      </c>
      <c r="G4183" s="477">
        <v>103682524.93965001</v>
      </c>
      <c r="H4183" s="458">
        <v>0.26370846400361714</v>
      </c>
      <c r="I4183" s="468">
        <v>6.5892033658244262</v>
      </c>
    </row>
    <row r="4184" spans="1:9" ht="16.5" x14ac:dyDescent="0.3">
      <c r="A4184" s="477">
        <v>8105565.9635698628</v>
      </c>
      <c r="B4184" s="458">
        <v>5.302422297848608E-2</v>
      </c>
      <c r="C4184" s="477">
        <v>4444234.7069305563</v>
      </c>
      <c r="D4184" s="458">
        <v>7.1373677899821963E-2</v>
      </c>
      <c r="E4184" s="477">
        <v>20217042.68460973</v>
      </c>
      <c r="F4184" s="458">
        <v>0.11306584360821148</v>
      </c>
      <c r="G4184" s="477">
        <v>113093481.76164877</v>
      </c>
      <c r="H4184" s="458">
        <v>0.26546848428967906</v>
      </c>
      <c r="I4184" s="468">
        <v>5.9006175440825936</v>
      </c>
    </row>
    <row r="4185" spans="1:9" ht="16.5" x14ac:dyDescent="0.3">
      <c r="A4185" s="477">
        <v>8345738.7957029836</v>
      </c>
      <c r="B4185" s="458">
        <v>5.4818151358435152E-2</v>
      </c>
      <c r="C4185" s="477">
        <v>7802646.8722947221</v>
      </c>
      <c r="D4185" s="458">
        <v>5.036312305093027E-2</v>
      </c>
      <c r="E4185" s="477">
        <v>19294355.452801414</v>
      </c>
      <c r="F4185" s="458">
        <v>0.11402054747824564</v>
      </c>
      <c r="G4185" s="477">
        <v>83331675.779860526</v>
      </c>
      <c r="H4185" s="458">
        <v>0.2593895168914151</v>
      </c>
      <c r="I4185" s="468">
        <v>10.910705961157499</v>
      </c>
    </row>
    <row r="4186" spans="1:9" ht="16.5" x14ac:dyDescent="0.3">
      <c r="A4186" s="477">
        <v>8742296.6558849923</v>
      </c>
      <c r="B4186" s="458">
        <v>3.1108251936099673E-2</v>
      </c>
      <c r="C4186" s="477">
        <v>9347908.6154348403</v>
      </c>
      <c r="D4186" s="458">
        <v>4.7450832014273248E-2</v>
      </c>
      <c r="E4186" s="477">
        <v>21455183.442722995</v>
      </c>
      <c r="F4186" s="458">
        <v>0.10389377759154783</v>
      </c>
      <c r="G4186" s="477">
        <v>92032971.948299304</v>
      </c>
      <c r="H4186" s="458">
        <v>0.26537032032138219</v>
      </c>
      <c r="I4186" s="468">
        <v>4.1824469231013026</v>
      </c>
    </row>
    <row r="4187" spans="1:9" ht="16.5" x14ac:dyDescent="0.3">
      <c r="A4187" s="477">
        <v>6618765.9525148626</v>
      </c>
      <c r="B4187" s="458">
        <v>4.2498620315006841E-2</v>
      </c>
      <c r="C4187" s="477">
        <v>9851822.9211114403</v>
      </c>
      <c r="D4187" s="458">
        <v>3.9772915425879907E-2</v>
      </c>
      <c r="E4187" s="477">
        <v>20680454.643055584</v>
      </c>
      <c r="F4187" s="458">
        <v>9.9245301160280963E-2</v>
      </c>
      <c r="G4187" s="477">
        <v>82209605.94417496</v>
      </c>
      <c r="H4187" s="458">
        <v>0.30197957149930743</v>
      </c>
      <c r="I4187" s="468">
        <v>4.750343179082658</v>
      </c>
    </row>
    <row r="4188" spans="1:9" ht="16.5" x14ac:dyDescent="0.3">
      <c r="A4188" s="477">
        <v>2428070.3701885655</v>
      </c>
      <c r="B4188" s="458">
        <v>3.5627300078675095E-2</v>
      </c>
      <c r="C4188" s="477">
        <v>13510000.143752825</v>
      </c>
      <c r="D4188" s="458">
        <v>6.5381377125065754E-2</v>
      </c>
      <c r="E4188" s="477">
        <v>14783886.044724336</v>
      </c>
      <c r="F4188" s="458">
        <v>0.1082249146772214</v>
      </c>
      <c r="G4188" s="477">
        <v>82044022.61366412</v>
      </c>
      <c r="H4188" s="458">
        <v>0.26493879635365358</v>
      </c>
      <c r="I4188" s="468">
        <v>9.2672003579764439</v>
      </c>
    </row>
    <row r="4189" spans="1:9" ht="16.5" x14ac:dyDescent="0.3">
      <c r="A4189" s="477">
        <v>2877505.6700273599</v>
      </c>
      <c r="B4189" s="458">
        <v>6.2600617593242758E-2</v>
      </c>
      <c r="C4189" s="477">
        <v>9163409.9750787392</v>
      </c>
      <c r="D4189" s="458">
        <v>8.8280066289887493E-2</v>
      </c>
      <c r="E4189" s="477">
        <v>12338249.407443786</v>
      </c>
      <c r="F4189" s="458">
        <v>9.4654537835311414E-2</v>
      </c>
      <c r="G4189" s="477">
        <v>87817584.331024095</v>
      </c>
      <c r="H4189" s="458">
        <v>0.26509199521258031</v>
      </c>
      <c r="I4189" s="468">
        <v>9.8023134801802971</v>
      </c>
    </row>
    <row r="4190" spans="1:9" ht="16.5" x14ac:dyDescent="0.3">
      <c r="A4190" s="477">
        <v>3638696.6317330995</v>
      </c>
      <c r="B4190" s="458">
        <v>2.4375824664848E-2</v>
      </c>
      <c r="C4190" s="477">
        <v>10690941.988858325</v>
      </c>
      <c r="D4190" s="458">
        <v>7.0203530604929787E-2</v>
      </c>
      <c r="E4190" s="477">
        <v>18065616.755033568</v>
      </c>
      <c r="F4190" s="458">
        <v>0.11306339798618747</v>
      </c>
      <c r="G4190" s="477">
        <v>71149653.360661179</v>
      </c>
      <c r="H4190" s="458">
        <v>0.2580882390035808</v>
      </c>
      <c r="I4190" s="468">
        <v>4.5880199919950115</v>
      </c>
    </row>
    <row r="4191" spans="1:9" ht="16.5" x14ac:dyDescent="0.3">
      <c r="A4191" s="477">
        <v>929459.18144171848</v>
      </c>
      <c r="B4191" s="458">
        <v>3.8373616195876536E-2</v>
      </c>
      <c r="C4191" s="477">
        <v>17466575.409274086</v>
      </c>
      <c r="D4191" s="458">
        <v>4.35790830215117E-2</v>
      </c>
      <c r="E4191" s="477">
        <v>21013730.552303892</v>
      </c>
      <c r="F4191" s="458">
        <v>0.11017992416140943</v>
      </c>
      <c r="G4191" s="477">
        <v>87837085.979097724</v>
      </c>
      <c r="H4191" s="458">
        <v>0.25242134615682277</v>
      </c>
      <c r="I4191" s="468">
        <v>8.9239408973691106</v>
      </c>
    </row>
    <row r="4192" spans="1:9" ht="16.5" x14ac:dyDescent="0.3">
      <c r="A4192" s="477">
        <v>5566176.0950377584</v>
      </c>
      <c r="B4192" s="458">
        <v>4.6413522112126682E-2</v>
      </c>
      <c r="C4192" s="477">
        <v>6791655.5812147148</v>
      </c>
      <c r="D4192" s="458">
        <v>6.1674945334458275E-2</v>
      </c>
      <c r="E4192" s="477">
        <v>21692181.352524631</v>
      </c>
      <c r="F4192" s="458">
        <v>0.13827207602687541</v>
      </c>
      <c r="G4192" s="477">
        <v>85673123.510572702</v>
      </c>
      <c r="H4192" s="458">
        <v>0.25813030151482486</v>
      </c>
      <c r="I4192" s="468">
        <v>6.5511388864453126</v>
      </c>
    </row>
    <row r="4193" spans="1:9" ht="16.5" x14ac:dyDescent="0.3">
      <c r="A4193" s="477">
        <v>2506720.0342815644</v>
      </c>
      <c r="B4193" s="458">
        <v>3.5622132906756976E-2</v>
      </c>
      <c r="C4193" s="477">
        <v>5852043.0884261578</v>
      </c>
      <c r="D4193" s="458">
        <v>6.7560325781353958E-2</v>
      </c>
      <c r="E4193" s="477">
        <v>18698246.983257256</v>
      </c>
      <c r="F4193" s="458">
        <v>0.11007354512344203</v>
      </c>
      <c r="G4193" s="477">
        <v>91076794.434449077</v>
      </c>
      <c r="H4193" s="458">
        <v>0.27399059792892788</v>
      </c>
      <c r="I4193" s="468">
        <v>8.5048684605142224</v>
      </c>
    </row>
    <row r="4194" spans="1:9" ht="16.5" x14ac:dyDescent="0.3">
      <c r="A4194" s="477">
        <v>5742961.898884153</v>
      </c>
      <c r="B4194" s="458">
        <v>3.2125810941285193E-2</v>
      </c>
      <c r="C4194" s="477">
        <v>5281718.7170313606</v>
      </c>
      <c r="D4194" s="458">
        <v>4.099398089502504E-2</v>
      </c>
      <c r="E4194" s="477">
        <v>17464078.676675726</v>
      </c>
      <c r="F4194" s="458">
        <v>8.1725692513327841E-2</v>
      </c>
      <c r="G4194" s="477">
        <v>75560359.063496888</v>
      </c>
      <c r="H4194" s="458">
        <v>0.28926890603026378</v>
      </c>
      <c r="I4194" s="468">
        <v>6.8839880751211489</v>
      </c>
    </row>
    <row r="4195" spans="1:9" ht="16.5" x14ac:dyDescent="0.3">
      <c r="A4195" s="477">
        <v>6379780.4718070421</v>
      </c>
      <c r="B4195" s="458">
        <v>3.2514547142000749E-2</v>
      </c>
      <c r="C4195" s="477">
        <v>10625018.298228441</v>
      </c>
      <c r="D4195" s="458">
        <v>0.10135336270847906</v>
      </c>
      <c r="E4195" s="477">
        <v>9255279.102409523</v>
      </c>
      <c r="F4195" s="458">
        <v>0.12891730475962637</v>
      </c>
      <c r="G4195" s="477">
        <v>94800477.098996341</v>
      </c>
      <c r="H4195" s="458">
        <v>0.2765130969223426</v>
      </c>
      <c r="I4195" s="468">
        <v>10.318475157170599</v>
      </c>
    </row>
    <row r="4196" spans="1:9" ht="16.5" x14ac:dyDescent="0.3">
      <c r="A4196" s="477">
        <v>6462637.6375170629</v>
      </c>
      <c r="B4196" s="458">
        <v>7.657635020016329E-2</v>
      </c>
      <c r="C4196" s="477">
        <v>15359780.427355422</v>
      </c>
      <c r="D4196" s="458">
        <v>4.7409291679435972E-2</v>
      </c>
      <c r="E4196" s="477">
        <v>23287285.116245836</v>
      </c>
      <c r="F4196" s="458">
        <v>0.11193933007586976</v>
      </c>
      <c r="G4196" s="477">
        <v>87685610.308993995</v>
      </c>
      <c r="H4196" s="458">
        <v>0.28361892538865097</v>
      </c>
      <c r="I4196" s="468">
        <v>5.6904214831598656</v>
      </c>
    </row>
    <row r="4197" spans="1:9" ht="16.5" x14ac:dyDescent="0.3">
      <c r="A4197" s="477">
        <v>1834521.4737169477</v>
      </c>
      <c r="B4197" s="458">
        <v>3.8542366875384593E-2</v>
      </c>
      <c r="C4197" s="477">
        <v>15466968.106742704</v>
      </c>
      <c r="D4197" s="458">
        <v>8.8802537773132961E-2</v>
      </c>
      <c r="E4197" s="477">
        <v>12946870.462179935</v>
      </c>
      <c r="F4197" s="458">
        <v>0.11581195758038865</v>
      </c>
      <c r="G4197" s="477">
        <v>82739321.274121821</v>
      </c>
      <c r="H4197" s="458">
        <v>0.27362909485361686</v>
      </c>
      <c r="I4197" s="468">
        <v>6.8904742644807158</v>
      </c>
    </row>
    <row r="4198" spans="1:9" ht="16.5" x14ac:dyDescent="0.3">
      <c r="A4198" s="477">
        <v>2126063.6190787377</v>
      </c>
      <c r="B4198" s="458">
        <v>4.7454439942353766E-2</v>
      </c>
      <c r="C4198" s="477">
        <v>12419612.587993545</v>
      </c>
      <c r="D4198" s="458">
        <v>4.6140319857061352E-2</v>
      </c>
      <c r="E4198" s="477">
        <v>19130084.698622331</v>
      </c>
      <c r="F4198" s="458">
        <v>0.10586008251439472</v>
      </c>
      <c r="G4198" s="477">
        <v>91340582.961212054</v>
      </c>
      <c r="H4198" s="458">
        <v>0.27090054112589912</v>
      </c>
      <c r="I4198" s="468">
        <v>8.8359613935294021</v>
      </c>
    </row>
    <row r="4199" spans="1:9" ht="16.5" x14ac:dyDescent="0.3">
      <c r="A4199" s="477">
        <v>5788793.1756234486</v>
      </c>
      <c r="B4199" s="458">
        <v>4.6150366706981361E-2</v>
      </c>
      <c r="C4199" s="477">
        <v>14103743.331396945</v>
      </c>
      <c r="D4199" s="458">
        <v>8.1289325899246867E-2</v>
      </c>
      <c r="E4199" s="477">
        <v>14681666.066017395</v>
      </c>
      <c r="F4199" s="458">
        <v>9.9778877507364694E-2</v>
      </c>
      <c r="G4199" s="477">
        <v>74918940.367605284</v>
      </c>
      <c r="H4199" s="458">
        <v>0.24911545669219426</v>
      </c>
      <c r="I4199" s="468">
        <v>6.056850436652276</v>
      </c>
    </row>
    <row r="4200" spans="1:9" ht="16.5" x14ac:dyDescent="0.3">
      <c r="A4200" s="477">
        <v>2926982.2149686934</v>
      </c>
      <c r="B4200" s="458">
        <v>5.2780754596436719E-2</v>
      </c>
      <c r="C4200" s="477">
        <v>12941138.62767688</v>
      </c>
      <c r="D4200" s="458">
        <v>7.1099274655650024E-2</v>
      </c>
      <c r="E4200" s="477">
        <v>17750206.487922732</v>
      </c>
      <c r="F4200" s="458">
        <v>8.7952943298436503E-2</v>
      </c>
      <c r="G4200" s="477">
        <v>100491252.03707363</v>
      </c>
      <c r="H4200" s="458">
        <v>0.26414812336540439</v>
      </c>
      <c r="I4200" s="468">
        <v>7.6141983437764136</v>
      </c>
    </row>
    <row r="4201" spans="1:9" ht="16.5" x14ac:dyDescent="0.3">
      <c r="A4201" s="477">
        <v>6846387.7600050317</v>
      </c>
      <c r="B4201" s="458">
        <v>3.334322726266592E-2</v>
      </c>
      <c r="C4201" s="477">
        <v>9032450.2694192752</v>
      </c>
      <c r="D4201" s="458">
        <v>5.1417730824067531E-2</v>
      </c>
      <c r="E4201" s="477">
        <v>14210164.372431189</v>
      </c>
      <c r="F4201" s="458">
        <v>0.12151223969647873</v>
      </c>
      <c r="G4201" s="477">
        <v>77225227.27956298</v>
      </c>
      <c r="H4201" s="458">
        <v>0.26441065373568096</v>
      </c>
      <c r="I4201" s="468">
        <v>8.3137064354950603</v>
      </c>
    </row>
    <row r="4202" spans="1:9" ht="16.5" x14ac:dyDescent="0.3">
      <c r="A4202" s="477">
        <v>3371428.3069333159</v>
      </c>
      <c r="B4202" s="458">
        <v>5.7808374737367441E-2</v>
      </c>
      <c r="C4202" s="477">
        <v>8628895.7328012027</v>
      </c>
      <c r="D4202" s="458">
        <v>8.2029387086067995E-2</v>
      </c>
      <c r="E4202" s="477">
        <v>23034354.068737753</v>
      </c>
      <c r="F4202" s="458">
        <v>0.129571240800882</v>
      </c>
      <c r="G4202" s="477">
        <v>88555773.582725212</v>
      </c>
      <c r="H4202" s="458">
        <v>0.31368173158420909</v>
      </c>
      <c r="I4202" s="468">
        <v>5.0218569859418025</v>
      </c>
    </row>
    <row r="4203" spans="1:9" ht="16.5" x14ac:dyDescent="0.3">
      <c r="A4203" s="477">
        <v>9180792.3244181406</v>
      </c>
      <c r="B4203" s="458">
        <v>5.9452953817984433E-2</v>
      </c>
      <c r="C4203" s="477">
        <v>11375968.208297141</v>
      </c>
      <c r="D4203" s="458">
        <v>6.9012147949954361E-2</v>
      </c>
      <c r="E4203" s="477">
        <v>16550450.31486471</v>
      </c>
      <c r="F4203" s="458">
        <v>0.13650181622136293</v>
      </c>
      <c r="G4203" s="477">
        <v>82325574.09144716</v>
      </c>
      <c r="H4203" s="458">
        <v>0.25162750984846638</v>
      </c>
      <c r="I4203" s="468">
        <v>8.9621661097717418</v>
      </c>
    </row>
    <row r="4204" spans="1:9" ht="16.5" x14ac:dyDescent="0.3">
      <c r="A4204" s="477">
        <v>5323285.0111640031</v>
      </c>
      <c r="B4204" s="458">
        <v>4.0923129070358666E-2</v>
      </c>
      <c r="C4204" s="477">
        <v>6457455.783655528</v>
      </c>
      <c r="D4204" s="458">
        <v>8.2081343395107753E-2</v>
      </c>
      <c r="E4204" s="477">
        <v>13263771.269020531</v>
      </c>
      <c r="F4204" s="458">
        <v>0.10140075909480828</v>
      </c>
      <c r="G4204" s="477">
        <v>92410281.752492294</v>
      </c>
      <c r="H4204" s="458">
        <v>0.28175000179837117</v>
      </c>
      <c r="I4204" s="468">
        <v>8.9112905420597635</v>
      </c>
    </row>
    <row r="4205" spans="1:9" ht="16.5" x14ac:dyDescent="0.3">
      <c r="A4205" s="477">
        <v>5350564.5655069919</v>
      </c>
      <c r="B4205" s="458">
        <v>6.6509328808554757E-2</v>
      </c>
      <c r="C4205" s="477">
        <v>12984087.134590877</v>
      </c>
      <c r="D4205" s="458">
        <v>8.0546746888908283E-2</v>
      </c>
      <c r="E4205" s="477">
        <v>11824107.156973772</v>
      </c>
      <c r="F4205" s="458">
        <v>0.11809414994285872</v>
      </c>
      <c r="G4205" s="477">
        <v>84047406.838568419</v>
      </c>
      <c r="H4205" s="458">
        <v>0.25900965003430043</v>
      </c>
      <c r="I4205" s="468">
        <v>9.9949787693840673</v>
      </c>
    </row>
    <row r="4206" spans="1:9" ht="16.5" x14ac:dyDescent="0.3">
      <c r="A4206" s="477">
        <v>2954723.6542527354</v>
      </c>
      <c r="B4206" s="458">
        <v>4.1971167648621188E-2</v>
      </c>
      <c r="C4206" s="477">
        <v>5213154.8149411725</v>
      </c>
      <c r="D4206" s="458">
        <v>7.4465761062956881E-2</v>
      </c>
      <c r="E4206" s="477">
        <v>18736201.626931462</v>
      </c>
      <c r="F4206" s="458">
        <v>0.12814348774888984</v>
      </c>
      <c r="G4206" s="477">
        <v>93366326.733278334</v>
      </c>
      <c r="H4206" s="458">
        <v>0.26321281538123498</v>
      </c>
      <c r="I4206" s="468">
        <v>9.2465593375440811</v>
      </c>
    </row>
    <row r="4207" spans="1:9" ht="16.5" x14ac:dyDescent="0.3">
      <c r="A4207" s="477">
        <v>9448623.0936472006</v>
      </c>
      <c r="B4207" s="458">
        <v>3.1188412596046877E-2</v>
      </c>
      <c r="C4207" s="477">
        <v>6861120.4264967619</v>
      </c>
      <c r="D4207" s="458">
        <v>3.9751053227460309E-2</v>
      </c>
      <c r="E4207" s="477">
        <v>19870573.787910718</v>
      </c>
      <c r="F4207" s="458">
        <v>9.5552872629264707E-2</v>
      </c>
      <c r="G4207" s="477">
        <v>72059986.913699225</v>
      </c>
      <c r="H4207" s="458">
        <v>0.28715203228092401</v>
      </c>
      <c r="I4207" s="468">
        <v>14.469020559371859</v>
      </c>
    </row>
    <row r="4208" spans="1:9" ht="16.5" x14ac:dyDescent="0.3">
      <c r="A4208" s="477">
        <v>6472206.9903801773</v>
      </c>
      <c r="B4208" s="458">
        <v>6.1816452711566772E-2</v>
      </c>
      <c r="C4208" s="477">
        <v>7167802.2441884717</v>
      </c>
      <c r="D4208" s="458">
        <v>5.6993115124930327E-2</v>
      </c>
      <c r="E4208" s="477">
        <v>18120762.422130331</v>
      </c>
      <c r="F4208" s="458">
        <v>9.7161136877883747E-2</v>
      </c>
      <c r="G4208" s="477">
        <v>98255182.156563237</v>
      </c>
      <c r="H4208" s="458">
        <v>0.25439900884409727</v>
      </c>
      <c r="I4208" s="468">
        <v>6.0602938438651037</v>
      </c>
    </row>
    <row r="4209" spans="1:9" ht="16.5" x14ac:dyDescent="0.3">
      <c r="A4209" s="477">
        <v>1752683.5356004774</v>
      </c>
      <c r="B4209" s="458">
        <v>6.5285593875534564E-2</v>
      </c>
      <c r="C4209" s="477">
        <v>13302323.394066922</v>
      </c>
      <c r="D4209" s="458">
        <v>6.8528585999333647E-2</v>
      </c>
      <c r="E4209" s="477">
        <v>17593550.993088804</v>
      </c>
      <c r="F4209" s="458">
        <v>7.8259838395338344E-2</v>
      </c>
      <c r="G4209" s="477">
        <v>90880206.342818007</v>
      </c>
      <c r="H4209" s="458">
        <v>0.29096106243005604</v>
      </c>
      <c r="I4209" s="468">
        <v>8.9690223067514232</v>
      </c>
    </row>
    <row r="4210" spans="1:9" ht="16.5" x14ac:dyDescent="0.3">
      <c r="A4210" s="477">
        <v>1932868.4839643752</v>
      </c>
      <c r="B4210" s="458">
        <v>5.3739194048529004E-2</v>
      </c>
      <c r="C4210" s="477">
        <v>11910562.952175556</v>
      </c>
      <c r="D4210" s="458">
        <v>8.6022612946980992E-2</v>
      </c>
      <c r="E4210" s="477">
        <v>12997736.120236225</v>
      </c>
      <c r="F4210" s="458">
        <v>0.10386129359287266</v>
      </c>
      <c r="G4210" s="477">
        <v>87896509.343361184</v>
      </c>
      <c r="H4210" s="458">
        <v>0.28649666621872849</v>
      </c>
      <c r="I4210" s="468">
        <v>11.865994284768476</v>
      </c>
    </row>
    <row r="4211" spans="1:9" ht="16.5" x14ac:dyDescent="0.3">
      <c r="A4211" s="477">
        <v>4804594.3125502979</v>
      </c>
      <c r="B4211" s="458">
        <v>4.1751755412583469E-2</v>
      </c>
      <c r="C4211" s="477">
        <v>6067647.7848860687</v>
      </c>
      <c r="D4211" s="458">
        <v>4.6530940214810634E-2</v>
      </c>
      <c r="E4211" s="477">
        <v>15581668.866234815</v>
      </c>
      <c r="F4211" s="458">
        <v>0.10027747597578407</v>
      </c>
      <c r="G4211" s="477">
        <v>92076376.209997103</v>
      </c>
      <c r="H4211" s="458">
        <v>0.26517030066992353</v>
      </c>
      <c r="I4211" s="468">
        <v>13.786950732244609</v>
      </c>
    </row>
    <row r="4212" spans="1:9" ht="16.5" x14ac:dyDescent="0.3">
      <c r="A4212" s="477">
        <v>4653569.5077403551</v>
      </c>
      <c r="B4212" s="458">
        <v>9.8232657926811573E-2</v>
      </c>
      <c r="C4212" s="477">
        <v>12777248.654781446</v>
      </c>
      <c r="D4212" s="458">
        <v>6.4554265593927518E-2</v>
      </c>
      <c r="E4212" s="477">
        <v>13838379.220600499</v>
      </c>
      <c r="F4212" s="458">
        <v>0.11915033997521096</v>
      </c>
      <c r="G4212" s="477">
        <v>96353160.571718544</v>
      </c>
      <c r="H4212" s="458">
        <v>0.25439247527574116</v>
      </c>
      <c r="I4212" s="468">
        <v>9.033869925027755</v>
      </c>
    </row>
    <row r="4213" spans="1:9" ht="16.5" x14ac:dyDescent="0.3">
      <c r="A4213" s="477">
        <v>7335726.075253468</v>
      </c>
      <c r="B4213" s="458">
        <v>5.6331501152166785E-2</v>
      </c>
      <c r="C4213" s="477">
        <v>1146606.045383597</v>
      </c>
      <c r="D4213" s="458">
        <v>7.4716392465969728E-2</v>
      </c>
      <c r="E4213" s="477">
        <v>15244964.360992629</v>
      </c>
      <c r="F4213" s="458">
        <v>0.12647012329791574</v>
      </c>
      <c r="G4213" s="477">
        <v>89845883.617947832</v>
      </c>
      <c r="H4213" s="458">
        <v>0.25883738698454417</v>
      </c>
      <c r="I4213" s="468">
        <v>2.324359898719746</v>
      </c>
    </row>
    <row r="4214" spans="1:9" ht="16.5" x14ac:dyDescent="0.3">
      <c r="A4214" s="477">
        <v>5835054.3214612044</v>
      </c>
      <c r="B4214" s="458">
        <v>4.5727225785540115E-2</v>
      </c>
      <c r="C4214" s="477">
        <v>6131467.8446374303</v>
      </c>
      <c r="D4214" s="458">
        <v>7.7489618714235098E-2</v>
      </c>
      <c r="E4214" s="477">
        <v>19847482.164613102</v>
      </c>
      <c r="F4214" s="458">
        <v>9.0315257492685985E-2</v>
      </c>
      <c r="G4214" s="477">
        <v>82641083.192553639</v>
      </c>
      <c r="H4214" s="458">
        <v>0.2607878237397121</v>
      </c>
      <c r="I4214" s="468">
        <v>8.1832200273597966</v>
      </c>
    </row>
    <row r="4215" spans="1:9" ht="16.5" x14ac:dyDescent="0.3">
      <c r="A4215" s="477">
        <v>732907.10417779989</v>
      </c>
      <c r="B4215" s="458">
        <v>5.7046994620651104E-2</v>
      </c>
      <c r="C4215" s="477">
        <v>7016070.0950037166</v>
      </c>
      <c r="D4215" s="458">
        <v>3.5320337285957626E-2</v>
      </c>
      <c r="E4215" s="477">
        <v>6709649.9210698167</v>
      </c>
      <c r="F4215" s="458">
        <v>0.13455705144092622</v>
      </c>
      <c r="G4215" s="477">
        <v>90472071.760111943</v>
      </c>
      <c r="H4215" s="458">
        <v>0.25718782984389077</v>
      </c>
      <c r="I4215" s="468">
        <v>11.11707780297543</v>
      </c>
    </row>
    <row r="4216" spans="1:9" ht="16.5" x14ac:dyDescent="0.3">
      <c r="A4216" s="477">
        <v>5906418.9050147487</v>
      </c>
      <c r="B4216" s="458">
        <v>4.5643128218397111E-2</v>
      </c>
      <c r="C4216" s="477">
        <v>14092692.938366696</v>
      </c>
      <c r="D4216" s="458">
        <v>0.12574765773489149</v>
      </c>
      <c r="E4216" s="477">
        <v>18040681.490051631</v>
      </c>
      <c r="F4216" s="458">
        <v>0.10499050140829369</v>
      </c>
      <c r="G4216" s="477">
        <v>86506560.265193492</v>
      </c>
      <c r="H4216" s="458">
        <v>0.27839612849376749</v>
      </c>
      <c r="I4216" s="468">
        <v>6.9010332543540169</v>
      </c>
    </row>
    <row r="4217" spans="1:9" ht="16.5" x14ac:dyDescent="0.3">
      <c r="A4217" s="477">
        <v>4036899.1836031498</v>
      </c>
      <c r="B4217" s="458">
        <v>4.7978830707876563E-2</v>
      </c>
      <c r="C4217" s="477">
        <v>5422608.6464486849</v>
      </c>
      <c r="D4217" s="458">
        <v>6.7987903033669861E-2</v>
      </c>
      <c r="E4217" s="477">
        <v>27196089.488354623</v>
      </c>
      <c r="F4217" s="458">
        <v>7.9942244736898038E-2</v>
      </c>
      <c r="G4217" s="477">
        <v>103358689.93845873</v>
      </c>
      <c r="H4217" s="458">
        <v>0.25543928279047612</v>
      </c>
      <c r="I4217" s="468">
        <v>4.3898268690943629</v>
      </c>
    </row>
    <row r="4218" spans="1:9" ht="16.5" x14ac:dyDescent="0.3">
      <c r="A4218" s="477">
        <v>-147850.39615684867</v>
      </c>
      <c r="B4218" s="458">
        <v>5.459322479033335E-2</v>
      </c>
      <c r="C4218" s="477">
        <v>4980135.5013429224</v>
      </c>
      <c r="D4218" s="458">
        <v>9.9975849242969206E-2</v>
      </c>
      <c r="E4218" s="477">
        <v>16777961.479363732</v>
      </c>
      <c r="F4218" s="458">
        <v>0.10901289462095787</v>
      </c>
      <c r="G4218" s="477">
        <v>95381731.336706296</v>
      </c>
      <c r="H4218" s="458">
        <v>0.25375826355848519</v>
      </c>
      <c r="I4218" s="468">
        <v>17.763588563542832</v>
      </c>
    </row>
    <row r="4219" spans="1:9" ht="16.5" x14ac:dyDescent="0.3">
      <c r="A4219" s="477">
        <v>7599007.5094938837</v>
      </c>
      <c r="B4219" s="458">
        <v>3.5763199428604953E-2</v>
      </c>
      <c r="C4219" s="477">
        <v>11535266.196374077</v>
      </c>
      <c r="D4219" s="458">
        <v>6.6323700291022636E-2</v>
      </c>
      <c r="E4219" s="477">
        <v>16477483.498871846</v>
      </c>
      <c r="F4219" s="458">
        <v>0.1195036224449868</v>
      </c>
      <c r="G4219" s="477">
        <v>89413274.88215217</v>
      </c>
      <c r="H4219" s="458">
        <v>0.28130349512519381</v>
      </c>
      <c r="I4219" s="468">
        <v>12.749648095152228</v>
      </c>
    </row>
    <row r="4220" spans="1:9" ht="16.5" x14ac:dyDescent="0.3">
      <c r="A4220" s="477">
        <v>2970465.2832155176</v>
      </c>
      <c r="B4220" s="458">
        <v>3.8248346722122406E-2</v>
      </c>
      <c r="C4220" s="477">
        <v>6376051.6742593972</v>
      </c>
      <c r="D4220" s="458">
        <v>6.6552386519982187E-2</v>
      </c>
      <c r="E4220" s="477">
        <v>13752201.214807518</v>
      </c>
      <c r="F4220" s="458">
        <v>9.3934686829626912E-2</v>
      </c>
      <c r="G4220" s="477">
        <v>94763676.524253994</v>
      </c>
      <c r="H4220" s="458">
        <v>0.25565919425599648</v>
      </c>
      <c r="I4220" s="468">
        <v>6.5888223877190333</v>
      </c>
    </row>
    <row r="4221" spans="1:9" ht="16.5" x14ac:dyDescent="0.3">
      <c r="A4221" s="477">
        <v>3746779.3315973231</v>
      </c>
      <c r="B4221" s="458">
        <v>4.6695821146552241E-2</v>
      </c>
      <c r="C4221" s="477">
        <v>8785196.1352931876</v>
      </c>
      <c r="D4221" s="458">
        <v>8.8757223923933593E-2</v>
      </c>
      <c r="E4221" s="477">
        <v>15366172.830409138</v>
      </c>
      <c r="F4221" s="458">
        <v>9.535319346304183E-2</v>
      </c>
      <c r="G4221" s="477">
        <v>105133240.9610575</v>
      </c>
      <c r="H4221" s="458">
        <v>0.25703688565466942</v>
      </c>
      <c r="I4221" s="468">
        <v>7.4168934217561153</v>
      </c>
    </row>
    <row r="4222" spans="1:9" ht="16.5" x14ac:dyDescent="0.3">
      <c r="A4222" s="477">
        <v>2663556.6758858063</v>
      </c>
      <c r="B4222" s="458">
        <v>3.5071997390954568E-2</v>
      </c>
      <c r="C4222" s="477">
        <v>10249214.688262377</v>
      </c>
      <c r="D4222" s="458">
        <v>9.0027885523274565E-2</v>
      </c>
      <c r="E4222" s="477">
        <v>16706257.746399229</v>
      </c>
      <c r="F4222" s="458">
        <v>0.11647133403039622</v>
      </c>
      <c r="G4222" s="477">
        <v>91524091.518590599</v>
      </c>
      <c r="H4222" s="458">
        <v>0.26190239007938443</v>
      </c>
      <c r="I4222" s="468">
        <v>16.84270184188717</v>
      </c>
    </row>
    <row r="4223" spans="1:9" ht="16.5" x14ac:dyDescent="0.3">
      <c r="A4223" s="477">
        <v>4789856.8649461428</v>
      </c>
      <c r="B4223" s="458">
        <v>4.1988243994956154E-2</v>
      </c>
      <c r="C4223" s="477">
        <v>12929487.110233923</v>
      </c>
      <c r="D4223" s="458">
        <v>7.926358067816075E-2</v>
      </c>
      <c r="E4223" s="477">
        <v>15848536.792658582</v>
      </c>
      <c r="F4223" s="458">
        <v>0.13237256823609145</v>
      </c>
      <c r="G4223" s="477">
        <v>84856436.426181316</v>
      </c>
      <c r="H4223" s="458">
        <v>0.2658611644978417</v>
      </c>
      <c r="I4223" s="468">
        <v>10.444837535699829</v>
      </c>
    </row>
    <row r="4224" spans="1:9" ht="16.5" x14ac:dyDescent="0.3">
      <c r="A4224" s="477">
        <v>618732.17923883395</v>
      </c>
      <c r="B4224" s="458">
        <v>4.4271270345658476E-2</v>
      </c>
      <c r="C4224" s="477">
        <v>3333635.7965927431</v>
      </c>
      <c r="D4224" s="458">
        <v>5.5279354928189806E-2</v>
      </c>
      <c r="E4224" s="477">
        <v>14370361.943971936</v>
      </c>
      <c r="F4224" s="458">
        <v>0.11137493007838106</v>
      </c>
      <c r="G4224" s="477">
        <v>101070855.54733171</v>
      </c>
      <c r="H4224" s="458">
        <v>0.2693206813117226</v>
      </c>
      <c r="I4224" s="468">
        <v>12.493862712507925</v>
      </c>
    </row>
    <row r="4225" spans="1:9" ht="16.5" x14ac:dyDescent="0.3">
      <c r="A4225" s="477">
        <v>8204007.5232117893</v>
      </c>
      <c r="B4225" s="458">
        <v>3.9878134108968899E-2</v>
      </c>
      <c r="C4225" s="477">
        <v>14744086.2147025</v>
      </c>
      <c r="D4225" s="458">
        <v>4.6101226936795081E-2</v>
      </c>
      <c r="E4225" s="477">
        <v>15274851.113630958</v>
      </c>
      <c r="F4225" s="458">
        <v>0.13682845050225212</v>
      </c>
      <c r="G4225" s="477">
        <v>98155514.639327481</v>
      </c>
      <c r="H4225" s="458">
        <v>0.26306335965264327</v>
      </c>
      <c r="I4225" s="468">
        <v>8.3528481043032823</v>
      </c>
    </row>
    <row r="4226" spans="1:9" ht="16.5" x14ac:dyDescent="0.3">
      <c r="A4226" s="477">
        <v>3161759.4887527116</v>
      </c>
      <c r="B4226" s="458">
        <v>3.6043691708758763E-2</v>
      </c>
      <c r="C4226" s="477">
        <v>-2561790.9900947441</v>
      </c>
      <c r="D4226" s="458">
        <v>5.040640705038868E-2</v>
      </c>
      <c r="E4226" s="477">
        <v>19903998.020608362</v>
      </c>
      <c r="F4226" s="458">
        <v>0.11601133171549205</v>
      </c>
      <c r="G4226" s="477">
        <v>92332166.763037443</v>
      </c>
      <c r="H4226" s="458">
        <v>0.25476957064664663</v>
      </c>
      <c r="I4226" s="468">
        <v>12.520500488483044</v>
      </c>
    </row>
    <row r="4227" spans="1:9" ht="16.5" x14ac:dyDescent="0.3">
      <c r="A4227" s="477">
        <v>8751780.3852473069</v>
      </c>
      <c r="B4227" s="458">
        <v>4.6710426161333807E-2</v>
      </c>
      <c r="C4227" s="477">
        <v>7672926.1168504013</v>
      </c>
      <c r="D4227" s="458">
        <v>7.1848976468398718E-2</v>
      </c>
      <c r="E4227" s="477">
        <v>14309310.482816519</v>
      </c>
      <c r="F4227" s="458">
        <v>0.10307423315552966</v>
      </c>
      <c r="G4227" s="477">
        <v>84451117.934516892</v>
      </c>
      <c r="H4227" s="458">
        <v>0.26963853404789551</v>
      </c>
      <c r="I4227" s="468">
        <v>10.946753149178395</v>
      </c>
    </row>
    <row r="4228" spans="1:9" ht="16.5" x14ac:dyDescent="0.3">
      <c r="A4228" s="477">
        <v>2837257.6616224307</v>
      </c>
      <c r="B4228" s="458">
        <v>3.8278250007148351E-2</v>
      </c>
      <c r="C4228" s="477">
        <v>10216569.391192814</v>
      </c>
      <c r="D4228" s="458">
        <v>7.5697469042553589E-2</v>
      </c>
      <c r="E4228" s="477">
        <v>21707155.868431423</v>
      </c>
      <c r="F4228" s="458">
        <v>9.6958022447758641E-2</v>
      </c>
      <c r="G4228" s="477">
        <v>75609310.931350887</v>
      </c>
      <c r="H4228" s="458">
        <v>0.26898772521343717</v>
      </c>
      <c r="I4228" s="468">
        <v>9.3229067325813091</v>
      </c>
    </row>
    <row r="4229" spans="1:9" ht="16.5" x14ac:dyDescent="0.3">
      <c r="A4229" s="477">
        <v>5126777.7777820369</v>
      </c>
      <c r="B4229" s="458">
        <v>2.5617013649645859E-3</v>
      </c>
      <c r="C4229" s="477">
        <v>6347211.5052392064</v>
      </c>
      <c r="D4229" s="458">
        <v>6.8768095581656752E-2</v>
      </c>
      <c r="E4229" s="477">
        <v>19173892.570319597</v>
      </c>
      <c r="F4229" s="458">
        <v>9.128880107940196E-2</v>
      </c>
      <c r="G4229" s="477">
        <v>92351148.746649966</v>
      </c>
      <c r="H4229" s="458">
        <v>0.26187190125214155</v>
      </c>
      <c r="I4229" s="468">
        <v>9.4443252039913439</v>
      </c>
    </row>
    <row r="4230" spans="1:9" ht="16.5" x14ac:dyDescent="0.3">
      <c r="A4230" s="477">
        <v>4545336.282147862</v>
      </c>
      <c r="B4230" s="458">
        <v>6.5237687150306201E-2</v>
      </c>
      <c r="C4230" s="477">
        <v>3835741.4084462165</v>
      </c>
      <c r="D4230" s="458">
        <v>8.3760060197821673E-2</v>
      </c>
      <c r="E4230" s="477">
        <v>13297470.861039</v>
      </c>
      <c r="F4230" s="458">
        <v>0.14921071391625262</v>
      </c>
      <c r="G4230" s="477">
        <v>90367971.558653921</v>
      </c>
      <c r="H4230" s="458">
        <v>0.25899055264751292</v>
      </c>
      <c r="I4230" s="468">
        <v>10.350323886953689</v>
      </c>
    </row>
    <row r="4231" spans="1:9" ht="16.5" x14ac:dyDescent="0.3">
      <c r="A4231" s="477">
        <v>4361529.2181293927</v>
      </c>
      <c r="B4231" s="458">
        <v>6.9433408671542463E-2</v>
      </c>
      <c r="C4231" s="477">
        <v>8223161.8465663083</v>
      </c>
      <c r="D4231" s="458">
        <v>9.3026555221093377E-2</v>
      </c>
      <c r="E4231" s="477">
        <v>15319973.493223717</v>
      </c>
      <c r="F4231" s="458">
        <v>0.10759534098611701</v>
      </c>
      <c r="G4231" s="477">
        <v>79480458.715272814</v>
      </c>
      <c r="H4231" s="458">
        <v>0.26160496938114863</v>
      </c>
      <c r="I4231" s="468">
        <v>10.840617211714843</v>
      </c>
    </row>
    <row r="4232" spans="1:9" ht="16.5" x14ac:dyDescent="0.3">
      <c r="A4232" s="477">
        <v>989505.57955486281</v>
      </c>
      <c r="B4232" s="458">
        <v>4.6786209405065726E-2</v>
      </c>
      <c r="C4232" s="477">
        <v>6772652.7149660978</v>
      </c>
      <c r="D4232" s="458">
        <v>7.6351823046339584E-2</v>
      </c>
      <c r="E4232" s="477">
        <v>19381069.037703235</v>
      </c>
      <c r="F4232" s="458">
        <v>0.10231131637707791</v>
      </c>
      <c r="G4232" s="477">
        <v>82266744.861563787</v>
      </c>
      <c r="H4232" s="458">
        <v>0.28154278282299283</v>
      </c>
      <c r="I4232" s="468">
        <v>9.0317967433280586</v>
      </c>
    </row>
    <row r="4233" spans="1:9" ht="16.5" x14ac:dyDescent="0.3">
      <c r="A4233" s="477">
        <v>5015361.0746624051</v>
      </c>
      <c r="B4233" s="458">
        <v>4.13152275118156E-2</v>
      </c>
      <c r="C4233" s="477">
        <v>9743559.3495695125</v>
      </c>
      <c r="D4233" s="458">
        <v>7.1557038763206515E-2</v>
      </c>
      <c r="E4233" s="477">
        <v>26129936.622900069</v>
      </c>
      <c r="F4233" s="458">
        <v>0.12424507585150746</v>
      </c>
      <c r="G4233" s="477">
        <v>91574258.981250972</v>
      </c>
      <c r="H4233" s="458">
        <v>0.25333389177768773</v>
      </c>
      <c r="I4233" s="468">
        <v>9.0433812464597185</v>
      </c>
    </row>
    <row r="4234" spans="1:9" ht="16.5" x14ac:dyDescent="0.3">
      <c r="A4234" s="477">
        <v>4153093.4380949219</v>
      </c>
      <c r="B4234" s="458">
        <v>3.8571163808717834E-2</v>
      </c>
      <c r="C4234" s="477">
        <v>13206534.309700288</v>
      </c>
      <c r="D4234" s="458">
        <v>6.4871541900757279E-2</v>
      </c>
      <c r="E4234" s="477">
        <v>9409355.0404976942</v>
      </c>
      <c r="F4234" s="458">
        <v>0.10305326130015824</v>
      </c>
      <c r="G4234" s="477">
        <v>95758251.920475245</v>
      </c>
      <c r="H4234" s="458">
        <v>0.25940968105753193</v>
      </c>
      <c r="I4234" s="468">
        <v>7.2822797014026168</v>
      </c>
    </row>
    <row r="4235" spans="1:9" ht="16.5" x14ac:dyDescent="0.3">
      <c r="A4235" s="477">
        <v>7018777.741282803</v>
      </c>
      <c r="B4235" s="458">
        <v>4.1201427238749089E-2</v>
      </c>
      <c r="C4235" s="477">
        <v>8283749.7095170245</v>
      </c>
      <c r="D4235" s="458">
        <v>7.2741439419522047E-2</v>
      </c>
      <c r="E4235" s="477">
        <v>15204533.405741788</v>
      </c>
      <c r="F4235" s="458">
        <v>9.9823178834169246E-2</v>
      </c>
      <c r="G4235" s="477">
        <v>92289746.612411723</v>
      </c>
      <c r="H4235" s="458">
        <v>0.25553769320495356</v>
      </c>
      <c r="I4235" s="468">
        <v>9.4325065447532772</v>
      </c>
    </row>
    <row r="4236" spans="1:9" ht="16.5" x14ac:dyDescent="0.3">
      <c r="A4236" s="477">
        <v>7969636.3671645289</v>
      </c>
      <c r="B4236" s="458">
        <v>5.2686421074532364E-2</v>
      </c>
      <c r="C4236" s="477">
        <v>6614131.0796719398</v>
      </c>
      <c r="D4236" s="458">
        <v>6.2364162917897925E-2</v>
      </c>
      <c r="E4236" s="477">
        <v>15210790.617379116</v>
      </c>
      <c r="F4236" s="458">
        <v>8.9018125081655075E-2</v>
      </c>
      <c r="G4236" s="477">
        <v>102888707.23074479</v>
      </c>
      <c r="H4236" s="458">
        <v>0.25637861323166922</v>
      </c>
      <c r="I4236" s="468">
        <v>8.1126474402302424</v>
      </c>
    </row>
    <row r="4237" spans="1:9" ht="16.5" x14ac:dyDescent="0.3">
      <c r="A4237" s="477">
        <v>7385357.9027516469</v>
      </c>
      <c r="B4237" s="458">
        <v>3.6768672000572877E-2</v>
      </c>
      <c r="C4237" s="477">
        <v>9325514.4979705978</v>
      </c>
      <c r="D4237" s="458">
        <v>8.9430340598422475E-2</v>
      </c>
      <c r="E4237" s="477">
        <v>18031820.410738092</v>
      </c>
      <c r="F4237" s="458">
        <v>9.65905543109844E-2</v>
      </c>
      <c r="G4237" s="477">
        <v>89510195.682006627</v>
      </c>
      <c r="H4237" s="458">
        <v>0.25517079105055318</v>
      </c>
      <c r="I4237" s="468">
        <v>14.906691578398636</v>
      </c>
    </row>
    <row r="4238" spans="1:9" ht="16.5" x14ac:dyDescent="0.3">
      <c r="A4238" s="477">
        <v>560256.08338429907</v>
      </c>
      <c r="B4238" s="458">
        <v>4.6641511059009488E-2</v>
      </c>
      <c r="C4238" s="477">
        <v>3478422.7139586974</v>
      </c>
      <c r="D4238" s="458">
        <v>7.7315544013414339E-2</v>
      </c>
      <c r="E4238" s="477">
        <v>22748605.824982308</v>
      </c>
      <c r="F4238" s="458">
        <v>0.11797081737464854</v>
      </c>
      <c r="G4238" s="477">
        <v>97490034.904873908</v>
      </c>
      <c r="H4238" s="458">
        <v>0.26171480583237594</v>
      </c>
      <c r="I4238" s="468">
        <v>11.645512930093179</v>
      </c>
    </row>
    <row r="4239" spans="1:9" ht="16.5" x14ac:dyDescent="0.3">
      <c r="A4239" s="477">
        <v>1446920.0441629784</v>
      </c>
      <c r="B4239" s="458">
        <v>3.2769320791171896E-2</v>
      </c>
      <c r="C4239" s="477">
        <v>11866304.144756362</v>
      </c>
      <c r="D4239" s="458">
        <v>7.9834029514656457E-2</v>
      </c>
      <c r="E4239" s="477">
        <v>15907681.841362813</v>
      </c>
      <c r="F4239" s="458">
        <v>9.734274434503809E-2</v>
      </c>
      <c r="G4239" s="477">
        <v>98439916.681341916</v>
      </c>
      <c r="H4239" s="458">
        <v>0.26549498998727694</v>
      </c>
      <c r="I4239" s="468">
        <v>5.8471475437264706</v>
      </c>
    </row>
    <row r="4240" spans="1:9" ht="16.5" x14ac:dyDescent="0.3">
      <c r="A4240" s="477">
        <v>4512185.998731222</v>
      </c>
      <c r="B4240" s="458">
        <v>6.1201683442006383E-2</v>
      </c>
      <c r="C4240" s="477">
        <v>8521440.9053490944</v>
      </c>
      <c r="D4240" s="458">
        <v>7.0454050030759552E-2</v>
      </c>
      <c r="E4240" s="477">
        <v>4059717.982929504</v>
      </c>
      <c r="F4240" s="458">
        <v>0.11221017589124194</v>
      </c>
      <c r="G4240" s="477">
        <v>92001460.743554324</v>
      </c>
      <c r="H4240" s="458">
        <v>0.26538267044856978</v>
      </c>
      <c r="I4240" s="468">
        <v>6.5954310995018508</v>
      </c>
    </row>
    <row r="4241" spans="1:9" ht="16.5" x14ac:dyDescent="0.3">
      <c r="A4241" s="477">
        <v>3166024.8625274054</v>
      </c>
      <c r="B4241" s="458">
        <v>3.9650915114851193E-2</v>
      </c>
      <c r="C4241" s="477">
        <v>6603677.6523634801</v>
      </c>
      <c r="D4241" s="458">
        <v>4.5358798935931199E-2</v>
      </c>
      <c r="E4241" s="477">
        <v>11487750.763255859</v>
      </c>
      <c r="F4241" s="458">
        <v>9.2677637744955854E-2</v>
      </c>
      <c r="G4241" s="477">
        <v>81073937.282981291</v>
      </c>
      <c r="H4241" s="458">
        <v>0.27205256573394543</v>
      </c>
      <c r="I4241" s="468">
        <v>6.3865403097441691</v>
      </c>
    </row>
    <row r="4242" spans="1:9" ht="16.5" x14ac:dyDescent="0.3">
      <c r="A4242" s="477">
        <v>6385339.160475838</v>
      </c>
      <c r="B4242" s="458">
        <v>2.9106509664366342E-2</v>
      </c>
      <c r="C4242" s="477">
        <v>13317370.915902842</v>
      </c>
      <c r="D4242" s="458">
        <v>4.7682859828620749E-2</v>
      </c>
      <c r="E4242" s="477">
        <v>16441176.300872434</v>
      </c>
      <c r="F4242" s="458">
        <v>0.10438312478458478</v>
      </c>
      <c r="G4242" s="477">
        <v>90272442.773762777</v>
      </c>
      <c r="H4242" s="458">
        <v>0.26146265350559239</v>
      </c>
      <c r="I4242" s="468">
        <v>7.2676634556675319</v>
      </c>
    </row>
    <row r="4243" spans="1:9" ht="16.5" x14ac:dyDescent="0.3">
      <c r="A4243" s="477">
        <v>10094133.335151045</v>
      </c>
      <c r="B4243" s="458">
        <v>3.675190436695952E-2</v>
      </c>
      <c r="C4243" s="477">
        <v>2633518.3423520154</v>
      </c>
      <c r="D4243" s="458">
        <v>5.8953980238320769E-2</v>
      </c>
      <c r="E4243" s="477">
        <v>16002403.035922125</v>
      </c>
      <c r="F4243" s="458">
        <v>0.13649477058080794</v>
      </c>
      <c r="G4243" s="477">
        <v>95582999.793948129</v>
      </c>
      <c r="H4243" s="458">
        <v>0.26544679000996063</v>
      </c>
      <c r="I4243" s="468">
        <v>10.660783321700601</v>
      </c>
    </row>
    <row r="4244" spans="1:9" ht="16.5" x14ac:dyDescent="0.3">
      <c r="A4244" s="477">
        <v>2204001.1260642987</v>
      </c>
      <c r="B4244" s="458">
        <v>4.6947911720886415E-2</v>
      </c>
      <c r="C4244" s="477">
        <v>11080281.502018621</v>
      </c>
      <c r="D4244" s="458">
        <v>5.5190967930150103E-2</v>
      </c>
      <c r="E4244" s="477">
        <v>12801012.065500187</v>
      </c>
      <c r="F4244" s="458">
        <v>0.108190262242289</v>
      </c>
      <c r="G4244" s="477">
        <v>97733638.145447865</v>
      </c>
      <c r="H4244" s="458">
        <v>0.2985197571841951</v>
      </c>
      <c r="I4244" s="468">
        <v>11.323172430033175</v>
      </c>
    </row>
    <row r="4245" spans="1:9" ht="16.5" x14ac:dyDescent="0.3">
      <c r="A4245" s="477">
        <v>9544536.3415337708</v>
      </c>
      <c r="B4245" s="458">
        <v>2.6332593540898674E-2</v>
      </c>
      <c r="C4245" s="477">
        <v>6910946.2309081173</v>
      </c>
      <c r="D4245" s="458">
        <v>6.8099071718203952E-2</v>
      </c>
      <c r="E4245" s="477">
        <v>20228879.035168536</v>
      </c>
      <c r="F4245" s="458">
        <v>0.103397266589762</v>
      </c>
      <c r="G4245" s="477">
        <v>89747474.342895865</v>
      </c>
      <c r="H4245" s="458">
        <v>0.27985869685118403</v>
      </c>
      <c r="I4245" s="468">
        <v>13.743654201770873</v>
      </c>
    </row>
    <row r="4246" spans="1:9" ht="16.5" x14ac:dyDescent="0.3">
      <c r="A4246" s="477">
        <v>6231147.038793222</v>
      </c>
      <c r="B4246" s="458">
        <v>4.2227045949407405E-2</v>
      </c>
      <c r="C4246" s="477">
        <v>10475768.396701491</v>
      </c>
      <c r="D4246" s="458">
        <v>4.831717589493767E-2</v>
      </c>
      <c r="E4246" s="477">
        <v>5599972.9621798266</v>
      </c>
      <c r="F4246" s="458">
        <v>0.11237922353582608</v>
      </c>
      <c r="G4246" s="477">
        <v>80170609.682988405</v>
      </c>
      <c r="H4246" s="458">
        <v>0.25506252859830347</v>
      </c>
      <c r="I4246" s="468">
        <v>13.001295321632107</v>
      </c>
    </row>
    <row r="4247" spans="1:9" ht="16.5" x14ac:dyDescent="0.3">
      <c r="A4247" s="477">
        <v>6246089.6663831966</v>
      </c>
      <c r="B4247" s="458">
        <v>3.2517223354519675E-2</v>
      </c>
      <c r="C4247" s="477">
        <v>8421833.7200095095</v>
      </c>
      <c r="D4247" s="458">
        <v>5.4417204669524599E-2</v>
      </c>
      <c r="E4247" s="477">
        <v>14940323.673204174</v>
      </c>
      <c r="F4247" s="458">
        <v>9.4844372666575527E-2</v>
      </c>
      <c r="G4247" s="477">
        <v>100560775.96933869</v>
      </c>
      <c r="H4247" s="458">
        <v>0.27422178296479593</v>
      </c>
      <c r="I4247" s="468">
        <v>10.42745620157752</v>
      </c>
    </row>
    <row r="4248" spans="1:9" ht="16.5" x14ac:dyDescent="0.3">
      <c r="A4248" s="477">
        <v>8170258.4553359486</v>
      </c>
      <c r="B4248" s="458">
        <v>4.6817537710323265E-2</v>
      </c>
      <c r="C4248" s="477">
        <v>10132662.608418981</v>
      </c>
      <c r="D4248" s="458">
        <v>6.4651227074369766E-2</v>
      </c>
      <c r="E4248" s="477">
        <v>12901173.939412912</v>
      </c>
      <c r="F4248" s="458">
        <v>0.11683194747260317</v>
      </c>
      <c r="G4248" s="477">
        <v>90334011.612694845</v>
      </c>
      <c r="H4248" s="458">
        <v>0.25241501178194992</v>
      </c>
      <c r="I4248" s="468">
        <v>14.118794935472707</v>
      </c>
    </row>
    <row r="4249" spans="1:9" ht="16.5" x14ac:dyDescent="0.3">
      <c r="A4249" s="477">
        <v>3442647.2229909007</v>
      </c>
      <c r="B4249" s="458">
        <v>3.2724466818226272E-2</v>
      </c>
      <c r="C4249" s="477">
        <v>13520196.300392924</v>
      </c>
      <c r="D4249" s="458">
        <v>6.3834666061230783E-2</v>
      </c>
      <c r="E4249" s="477">
        <v>17641710.22834174</v>
      </c>
      <c r="F4249" s="458">
        <v>0.10966972462903102</v>
      </c>
      <c r="G4249" s="477">
        <v>82746175.631070256</v>
      </c>
      <c r="H4249" s="458">
        <v>0.25214305803579018</v>
      </c>
      <c r="I4249" s="468">
        <v>10.408102529043987</v>
      </c>
    </row>
    <row r="4250" spans="1:9" ht="16.5" x14ac:dyDescent="0.3">
      <c r="A4250" s="477">
        <v>6766158.2744469466</v>
      </c>
      <c r="B4250" s="458">
        <v>4.2533255424472172E-2</v>
      </c>
      <c r="C4250" s="477">
        <v>4179016.5918858605</v>
      </c>
      <c r="D4250" s="458">
        <v>5.489293315959487E-2</v>
      </c>
      <c r="E4250" s="477">
        <v>22321970.359450515</v>
      </c>
      <c r="F4250" s="458">
        <v>0.1002838014435381</v>
      </c>
      <c r="G4250" s="477">
        <v>98200534.877779379</v>
      </c>
      <c r="H4250" s="458">
        <v>0.27059248149886539</v>
      </c>
      <c r="I4250" s="468">
        <v>14.220629945825326</v>
      </c>
    </row>
    <row r="4251" spans="1:9" ht="16.5" x14ac:dyDescent="0.3">
      <c r="A4251" s="477">
        <v>6249748.9666767763</v>
      </c>
      <c r="B4251" s="458">
        <v>3.5889837422016901E-2</v>
      </c>
      <c r="C4251" s="477">
        <v>11027990.374625824</v>
      </c>
      <c r="D4251" s="458">
        <v>7.4066319197642949E-2</v>
      </c>
      <c r="E4251" s="477">
        <v>19482794.827163741</v>
      </c>
      <c r="F4251" s="458">
        <v>0.12535715601704944</v>
      </c>
      <c r="G4251" s="477">
        <v>97945171.009028241</v>
      </c>
      <c r="H4251" s="458">
        <v>0.29712820848667176</v>
      </c>
      <c r="I4251" s="468">
        <v>6.7743721915929331</v>
      </c>
    </row>
    <row r="4252" spans="1:9" ht="16.5" x14ac:dyDescent="0.3">
      <c r="A4252" s="477">
        <v>7114074.1065326668</v>
      </c>
      <c r="B4252" s="458">
        <v>3.7120205697146691E-2</v>
      </c>
      <c r="C4252" s="477">
        <v>5810736.8398233503</v>
      </c>
      <c r="D4252" s="458">
        <v>8.9128546533151498E-2</v>
      </c>
      <c r="E4252" s="477">
        <v>15019653.700775554</v>
      </c>
      <c r="F4252" s="458">
        <v>0.10998084906619576</v>
      </c>
      <c r="G4252" s="477">
        <v>96623399.509939164</v>
      </c>
      <c r="H4252" s="458">
        <v>0.26232735204289392</v>
      </c>
      <c r="I4252" s="468">
        <v>6.4371011682981987</v>
      </c>
    </row>
    <row r="4253" spans="1:9" ht="16.5" x14ac:dyDescent="0.3">
      <c r="A4253" s="477">
        <v>4814836.7735007759</v>
      </c>
      <c r="B4253" s="458">
        <v>2.5811664556765646E-2</v>
      </c>
      <c r="C4253" s="477">
        <v>9469744.945228871</v>
      </c>
      <c r="D4253" s="458">
        <v>5.4513876267339167E-2</v>
      </c>
      <c r="E4253" s="477">
        <v>15600105.679641409</v>
      </c>
      <c r="F4253" s="458">
        <v>0.1224920312267932</v>
      </c>
      <c r="G4253" s="477">
        <v>93023692.263120919</v>
      </c>
      <c r="H4253" s="458">
        <v>0.25860141089910904</v>
      </c>
      <c r="I4253" s="468">
        <v>7.5615901529441931</v>
      </c>
    </row>
    <row r="4254" spans="1:9" ht="16.5" x14ac:dyDescent="0.3">
      <c r="A4254" s="477">
        <v>3836559.6616145629</v>
      </c>
      <c r="B4254" s="458">
        <v>4.9434681080132936E-2</v>
      </c>
      <c r="C4254" s="477">
        <v>13713751.23769724</v>
      </c>
      <c r="D4254" s="458">
        <v>8.5826344837273139E-2</v>
      </c>
      <c r="E4254" s="477">
        <v>19326230.174164005</v>
      </c>
      <c r="F4254" s="458">
        <v>9.4896243379975376E-2</v>
      </c>
      <c r="G4254" s="477">
        <v>96676388.004625872</v>
      </c>
      <c r="H4254" s="458">
        <v>0.24052491118130304</v>
      </c>
      <c r="I4254" s="468">
        <v>12.956286530449688</v>
      </c>
    </row>
    <row r="4255" spans="1:9" ht="16.5" x14ac:dyDescent="0.3">
      <c r="A4255" s="477">
        <v>2851605.8851381349</v>
      </c>
      <c r="B4255" s="458">
        <v>3.2077089470283981E-2</v>
      </c>
      <c r="C4255" s="477">
        <v>13493594.942646539</v>
      </c>
      <c r="D4255" s="458">
        <v>7.0495003432889947E-2</v>
      </c>
      <c r="E4255" s="477">
        <v>13130046.991803287</v>
      </c>
      <c r="F4255" s="458">
        <v>0.10685765981229345</v>
      </c>
      <c r="G4255" s="477">
        <v>93832912.221057892</v>
      </c>
      <c r="H4255" s="458">
        <v>0.26138229574895</v>
      </c>
      <c r="I4255" s="468">
        <v>6.6088375099292387</v>
      </c>
    </row>
    <row r="4256" spans="1:9" ht="16.5" x14ac:dyDescent="0.3">
      <c r="A4256" s="477">
        <v>-281253.96069156588</v>
      </c>
      <c r="B4256" s="458">
        <v>4.1458386126268287E-2</v>
      </c>
      <c r="C4256" s="477">
        <v>3977176.6822788878</v>
      </c>
      <c r="D4256" s="458">
        <v>0.10284492532760359</v>
      </c>
      <c r="E4256" s="477">
        <v>18093452.394772917</v>
      </c>
      <c r="F4256" s="458">
        <v>0.14078663193329533</v>
      </c>
      <c r="G4256" s="477">
        <v>81431032.83613205</v>
      </c>
      <c r="H4256" s="458">
        <v>0.28199640258415948</v>
      </c>
      <c r="I4256" s="468">
        <v>3.2504493323831465</v>
      </c>
    </row>
    <row r="4257" spans="1:9" ht="16.5" x14ac:dyDescent="0.3">
      <c r="A4257" s="477">
        <v>1818412.0062175679</v>
      </c>
      <c r="B4257" s="458">
        <v>6.0570411479841102E-2</v>
      </c>
      <c r="C4257" s="477">
        <v>9112484.5214933865</v>
      </c>
      <c r="D4257" s="458">
        <v>6.4988794836561059E-2</v>
      </c>
      <c r="E4257" s="477">
        <v>12835214.009293301</v>
      </c>
      <c r="F4257" s="458">
        <v>9.8687744000499622E-2</v>
      </c>
      <c r="G4257" s="477">
        <v>86444929.40409404</v>
      </c>
      <c r="H4257" s="458">
        <v>0.27075203206670806</v>
      </c>
      <c r="I4257" s="468">
        <v>4.8933401047498366</v>
      </c>
    </row>
    <row r="4258" spans="1:9" ht="16.5" x14ac:dyDescent="0.3">
      <c r="A4258" s="477">
        <v>4085647.9085039957</v>
      </c>
      <c r="B4258" s="458">
        <v>4.3683561836620477E-2</v>
      </c>
      <c r="C4258" s="477">
        <v>6064399.9098962536</v>
      </c>
      <c r="D4258" s="458">
        <v>6.10708982723418E-2</v>
      </c>
      <c r="E4258" s="477">
        <v>19847178.129113715</v>
      </c>
      <c r="F4258" s="458">
        <v>0.14988322399163456</v>
      </c>
      <c r="G4258" s="477">
        <v>84993312.624954551</v>
      </c>
      <c r="H4258" s="458">
        <v>0.28894609163304863</v>
      </c>
      <c r="I4258" s="468">
        <v>3.6413004223330834</v>
      </c>
    </row>
    <row r="4259" spans="1:9" ht="16.5" x14ac:dyDescent="0.3">
      <c r="A4259" s="477">
        <v>8604463.9525352493</v>
      </c>
      <c r="B4259" s="458">
        <v>4.0967922296709425E-2</v>
      </c>
      <c r="C4259" s="477">
        <v>9136790.2343979254</v>
      </c>
      <c r="D4259" s="458">
        <v>7.7013561458092017E-2</v>
      </c>
      <c r="E4259" s="477">
        <v>20077131.947604999</v>
      </c>
      <c r="F4259" s="458">
        <v>0.12049411086742712</v>
      </c>
      <c r="G4259" s="477">
        <v>95838424.178413764</v>
      </c>
      <c r="H4259" s="458">
        <v>0.2824946402527746</v>
      </c>
      <c r="I4259" s="468">
        <v>4.2122098346497481</v>
      </c>
    </row>
    <row r="4260" spans="1:9" ht="16.5" x14ac:dyDescent="0.3">
      <c r="A4260" s="477">
        <v>6297199.5132234683</v>
      </c>
      <c r="B4260" s="458">
        <v>5.2382508070789147E-2</v>
      </c>
      <c r="C4260" s="477">
        <v>7152108.7239430733</v>
      </c>
      <c r="D4260" s="458">
        <v>3.8268062140598191E-2</v>
      </c>
      <c r="E4260" s="477">
        <v>13855393.100838343</v>
      </c>
      <c r="F4260" s="458">
        <v>0.10091971689415669</v>
      </c>
      <c r="G4260" s="477">
        <v>91095812.844456851</v>
      </c>
      <c r="H4260" s="458">
        <v>0.27526968081320291</v>
      </c>
      <c r="I4260" s="468">
        <v>9.9757535103782722</v>
      </c>
    </row>
    <row r="4261" spans="1:9" ht="16.5" x14ac:dyDescent="0.3">
      <c r="A4261" s="477">
        <v>7395881.2456521578</v>
      </c>
      <c r="B4261" s="458">
        <v>3.5405538198869824E-2</v>
      </c>
      <c r="C4261" s="477">
        <v>9224897.2558887843</v>
      </c>
      <c r="D4261" s="458">
        <v>6.9328507067791145E-2</v>
      </c>
      <c r="E4261" s="477">
        <v>16832479.917065639</v>
      </c>
      <c r="F4261" s="458">
        <v>0.13136150542300462</v>
      </c>
      <c r="G4261" s="477">
        <v>86822521.943606988</v>
      </c>
      <c r="H4261" s="458">
        <v>0.26743867032692825</v>
      </c>
      <c r="I4261" s="468">
        <v>8.7929747388607815</v>
      </c>
    </row>
    <row r="4262" spans="1:9" ht="16.5" x14ac:dyDescent="0.3">
      <c r="A4262" s="477">
        <v>7887864.3395138318</v>
      </c>
      <c r="B4262" s="458">
        <v>6.7426239922308673E-2</v>
      </c>
      <c r="C4262" s="477">
        <v>9119422.7186155524</v>
      </c>
      <c r="D4262" s="458">
        <v>6.0109975561773332E-2</v>
      </c>
      <c r="E4262" s="477">
        <v>11089381.851511151</v>
      </c>
      <c r="F4262" s="458">
        <v>0.10478911801408919</v>
      </c>
      <c r="G4262" s="477">
        <v>94552605.977479532</v>
      </c>
      <c r="H4262" s="458">
        <v>0.27000804992975369</v>
      </c>
      <c r="I4262" s="468">
        <v>4.2347336471850987</v>
      </c>
    </row>
    <row r="4263" spans="1:9" ht="16.5" x14ac:dyDescent="0.3">
      <c r="A4263" s="477">
        <v>3509971.9757635924</v>
      </c>
      <c r="B4263" s="458">
        <v>3.8806214212362855E-2</v>
      </c>
      <c r="C4263" s="477">
        <v>9633712.5526694562</v>
      </c>
      <c r="D4263" s="458">
        <v>3.9725303110555332E-2</v>
      </c>
      <c r="E4263" s="477">
        <v>20143158.743841961</v>
      </c>
      <c r="F4263" s="458">
        <v>0.11186687423447483</v>
      </c>
      <c r="G4263" s="477">
        <v>95560220.276663557</v>
      </c>
      <c r="H4263" s="458">
        <v>0.25012662675520714</v>
      </c>
      <c r="I4263" s="468">
        <v>15.534751386141195</v>
      </c>
    </row>
    <row r="4264" spans="1:9" ht="16.5" x14ac:dyDescent="0.3">
      <c r="A4264" s="477">
        <v>9660445.1568501871</v>
      </c>
      <c r="B4264" s="458">
        <v>4.3482077698401733E-2</v>
      </c>
      <c r="C4264" s="477">
        <v>13668876.551259873</v>
      </c>
      <c r="D4264" s="458">
        <v>7.4300674518863463E-2</v>
      </c>
      <c r="E4264" s="477">
        <v>12092706.894842211</v>
      </c>
      <c r="F4264" s="458">
        <v>0.10096293622134556</v>
      </c>
      <c r="G4264" s="477">
        <v>96200564.453502029</v>
      </c>
      <c r="H4264" s="458">
        <v>0.27029605365010645</v>
      </c>
      <c r="I4264" s="468">
        <v>3.7130248620322446</v>
      </c>
    </row>
    <row r="4265" spans="1:9" ht="16.5" x14ac:dyDescent="0.3">
      <c r="A4265" s="477">
        <v>3589711.6727656061</v>
      </c>
      <c r="B4265" s="458">
        <v>4.1301252380785858E-2</v>
      </c>
      <c r="C4265" s="477">
        <v>5754703.2519065533</v>
      </c>
      <c r="D4265" s="458">
        <v>5.5179811493783371E-2</v>
      </c>
      <c r="E4265" s="477">
        <v>16700510.902889013</v>
      </c>
      <c r="F4265" s="458">
        <v>0.12818329136479045</v>
      </c>
      <c r="G4265" s="477">
        <v>85573771.027030408</v>
      </c>
      <c r="H4265" s="458">
        <v>0.28062760164533485</v>
      </c>
      <c r="I4265" s="468">
        <v>6.8568520173126943</v>
      </c>
    </row>
    <row r="4266" spans="1:9" ht="16.5" x14ac:dyDescent="0.3">
      <c r="A4266" s="477">
        <v>5626540.275632102</v>
      </c>
      <c r="B4266" s="458">
        <v>3.866578938157339E-2</v>
      </c>
      <c r="C4266" s="477">
        <v>5798985.7375850203</v>
      </c>
      <c r="D4266" s="458">
        <v>5.1097104566364404E-2</v>
      </c>
      <c r="E4266" s="477">
        <v>14788518.956096197</v>
      </c>
      <c r="F4266" s="458">
        <v>0.10266372372045196</v>
      </c>
      <c r="G4266" s="477">
        <v>103888493.65807223</v>
      </c>
      <c r="H4266" s="458">
        <v>0.2509527694767506</v>
      </c>
      <c r="I4266" s="468">
        <v>8.2536259741363658</v>
      </c>
    </row>
    <row r="4267" spans="1:9" ht="16.5" x14ac:dyDescent="0.3">
      <c r="A4267" s="477">
        <v>3345736.9403633783</v>
      </c>
      <c r="B4267" s="458">
        <v>2.7304517038243992E-2</v>
      </c>
      <c r="C4267" s="477">
        <v>12605500.733332861</v>
      </c>
      <c r="D4267" s="458">
        <v>6.191101056649595E-2</v>
      </c>
      <c r="E4267" s="477">
        <v>9738065.5649025012</v>
      </c>
      <c r="F4267" s="458">
        <v>0.10701862997954548</v>
      </c>
      <c r="G4267" s="477">
        <v>91747829.255728453</v>
      </c>
      <c r="H4267" s="458">
        <v>0.28652833195142291</v>
      </c>
      <c r="I4267" s="468">
        <v>6.3612292392497558</v>
      </c>
    </row>
    <row r="4268" spans="1:9" ht="16.5" x14ac:dyDescent="0.3">
      <c r="A4268" s="477">
        <v>5613447.958182171</v>
      </c>
      <c r="B4268" s="458">
        <v>2.6128612404554996E-2</v>
      </c>
      <c r="C4268" s="477">
        <v>2902986.8579421439</v>
      </c>
      <c r="D4268" s="458">
        <v>6.7218245421053924E-2</v>
      </c>
      <c r="E4268" s="477">
        <v>16495170.1497733</v>
      </c>
      <c r="F4268" s="458">
        <v>0.1201514055543389</v>
      </c>
      <c r="G4268" s="477">
        <v>87954877.002235949</v>
      </c>
      <c r="H4268" s="458">
        <v>0.25906655559939318</v>
      </c>
      <c r="I4268" s="468">
        <v>6.7694247551822073</v>
      </c>
    </row>
    <row r="4269" spans="1:9" ht="16.5" x14ac:dyDescent="0.3">
      <c r="A4269" s="477">
        <v>6961636.6091400217</v>
      </c>
      <c r="B4269" s="458">
        <v>3.4463219168708203E-2</v>
      </c>
      <c r="C4269" s="477">
        <v>6925181.7512747021</v>
      </c>
      <c r="D4269" s="458">
        <v>6.7791691146108501E-2</v>
      </c>
      <c r="E4269" s="477">
        <v>16211993.096731916</v>
      </c>
      <c r="F4269" s="458">
        <v>0.10364310033508772</v>
      </c>
      <c r="G4269" s="477">
        <v>104154690.18690991</v>
      </c>
      <c r="H4269" s="458">
        <v>0.26839819044628266</v>
      </c>
      <c r="I4269" s="468">
        <v>8.4296366883476956</v>
      </c>
    </row>
    <row r="4270" spans="1:9" ht="16.5" x14ac:dyDescent="0.3">
      <c r="A4270" s="477">
        <v>7232645.6518794047</v>
      </c>
      <c r="B4270" s="458">
        <v>3.5498058419980882E-2</v>
      </c>
      <c r="C4270" s="477">
        <v>6942293.5061269235</v>
      </c>
      <c r="D4270" s="458">
        <v>5.4492084063883173E-2</v>
      </c>
      <c r="E4270" s="477">
        <v>16896548.517407957</v>
      </c>
      <c r="F4270" s="458">
        <v>0.13660637779058438</v>
      </c>
      <c r="G4270" s="477">
        <v>75545079.83896637</v>
      </c>
      <c r="H4270" s="458">
        <v>0.27481084728154026</v>
      </c>
      <c r="I4270" s="468">
        <v>5.8535745200723603</v>
      </c>
    </row>
    <row r="4271" spans="1:9" ht="16.5" x14ac:dyDescent="0.3">
      <c r="A4271" s="477">
        <v>6342180.1812905138</v>
      </c>
      <c r="B4271" s="458">
        <v>5.4988378901314139E-2</v>
      </c>
      <c r="C4271" s="477">
        <v>11235604.571445212</v>
      </c>
      <c r="D4271" s="458">
        <v>5.9304322153543421E-2</v>
      </c>
      <c r="E4271" s="477">
        <v>14532160.904302387</v>
      </c>
      <c r="F4271" s="458">
        <v>0.14178801169812916</v>
      </c>
      <c r="G4271" s="477">
        <v>80618422.4179717</v>
      </c>
      <c r="H4271" s="458">
        <v>0.26617238096966145</v>
      </c>
      <c r="I4271" s="468">
        <v>7.4806714011424233</v>
      </c>
    </row>
    <row r="4272" spans="1:9" ht="16.5" x14ac:dyDescent="0.3">
      <c r="A4272" s="477">
        <v>4676417.114496327</v>
      </c>
      <c r="B4272" s="458">
        <v>5.2191604064210306E-2</v>
      </c>
      <c r="C4272" s="477">
        <v>16312340.130795907</v>
      </c>
      <c r="D4272" s="458">
        <v>3.7707414625386626E-2</v>
      </c>
      <c r="E4272" s="477">
        <v>15739794.251296468</v>
      </c>
      <c r="F4272" s="458">
        <v>0.13202635988747558</v>
      </c>
      <c r="G4272" s="477">
        <v>93752199.72814317</v>
      </c>
      <c r="H4272" s="458">
        <v>0.2843279688808884</v>
      </c>
      <c r="I4272" s="468">
        <v>11.928924159583534</v>
      </c>
    </row>
    <row r="4273" spans="1:9" ht="16.5" x14ac:dyDescent="0.3">
      <c r="A4273" s="477">
        <v>3695558.8315456966</v>
      </c>
      <c r="B4273" s="458">
        <v>5.4397207549539806E-2</v>
      </c>
      <c r="C4273" s="477">
        <v>5817396.6235411372</v>
      </c>
      <c r="D4273" s="458">
        <v>7.0191223078402976E-2</v>
      </c>
      <c r="E4273" s="477">
        <v>17882946.829505544</v>
      </c>
      <c r="F4273" s="458">
        <v>0.10771625907646531</v>
      </c>
      <c r="G4273" s="477">
        <v>97802067.693669409</v>
      </c>
      <c r="H4273" s="458">
        <v>0.2623903852903009</v>
      </c>
      <c r="I4273" s="468">
        <v>7.5725338002301479</v>
      </c>
    </row>
    <row r="4274" spans="1:9" ht="16.5" x14ac:dyDescent="0.3">
      <c r="A4274" s="477">
        <v>8399057.6246889122</v>
      </c>
      <c r="B4274" s="458">
        <v>3.8364912196960699E-2</v>
      </c>
      <c r="C4274" s="477">
        <v>9821186.2942849398</v>
      </c>
      <c r="D4274" s="458">
        <v>7.8943454300382188E-2</v>
      </c>
      <c r="E4274" s="477">
        <v>21377441.151669741</v>
      </c>
      <c r="F4274" s="458">
        <v>0.10768951427306073</v>
      </c>
      <c r="G4274" s="477">
        <v>97993717.39781934</v>
      </c>
      <c r="H4274" s="458">
        <v>0.28149530338231643</v>
      </c>
      <c r="I4274" s="468">
        <v>5.7145678434500766</v>
      </c>
    </row>
    <row r="4275" spans="1:9" ht="16.5" x14ac:dyDescent="0.3">
      <c r="A4275" s="477">
        <v>6288217.2228570962</v>
      </c>
      <c r="B4275" s="458">
        <v>4.1334175566271725E-2</v>
      </c>
      <c r="C4275" s="477">
        <v>1962928.1676760574</v>
      </c>
      <c r="D4275" s="458">
        <v>7.7567021987559936E-2</v>
      </c>
      <c r="E4275" s="477">
        <v>13841456.346705198</v>
      </c>
      <c r="F4275" s="458">
        <v>7.3437096533043311E-2</v>
      </c>
      <c r="G4275" s="477">
        <v>86065602.381487146</v>
      </c>
      <c r="H4275" s="458">
        <v>0.28562611890127698</v>
      </c>
      <c r="I4275" s="468">
        <v>7.8947837702607178</v>
      </c>
    </row>
    <row r="4276" spans="1:9" ht="16.5" x14ac:dyDescent="0.3">
      <c r="A4276" s="477">
        <v>-3700304.0427770577</v>
      </c>
      <c r="B4276" s="458">
        <v>2.3090628708187788E-2</v>
      </c>
      <c r="C4276" s="477">
        <v>5899889.4133885056</v>
      </c>
      <c r="D4276" s="458">
        <v>0.11305917511332875</v>
      </c>
      <c r="E4276" s="477">
        <v>22576403.438278943</v>
      </c>
      <c r="F4276" s="458">
        <v>9.1350819532020067E-2</v>
      </c>
      <c r="G4276" s="477">
        <v>87389957.303293958</v>
      </c>
      <c r="H4276" s="458">
        <v>0.25324890671766354</v>
      </c>
      <c r="I4276" s="468">
        <v>3.9711586117438911</v>
      </c>
    </row>
    <row r="4277" spans="1:9" ht="16.5" x14ac:dyDescent="0.3">
      <c r="A4277" s="477">
        <v>7179398.2533103069</v>
      </c>
      <c r="B4277" s="458">
        <v>6.8070958496785128E-2</v>
      </c>
      <c r="C4277" s="477">
        <v>16500132.172282657</v>
      </c>
      <c r="D4277" s="458">
        <v>9.0081268866971209E-2</v>
      </c>
      <c r="E4277" s="477">
        <v>24071274.473323058</v>
      </c>
      <c r="F4277" s="458">
        <v>9.4145842393953183E-2</v>
      </c>
      <c r="G4277" s="477">
        <v>90815965.694479406</v>
      </c>
      <c r="H4277" s="458">
        <v>0.26089193705115288</v>
      </c>
      <c r="I4277" s="468">
        <v>6.4245439367478525</v>
      </c>
    </row>
    <row r="4278" spans="1:9" ht="16.5" x14ac:dyDescent="0.3">
      <c r="A4278" s="477">
        <v>6927855.2698175972</v>
      </c>
      <c r="B4278" s="458">
        <v>5.4610522362968927E-2</v>
      </c>
      <c r="C4278" s="477">
        <v>8821355.7968054973</v>
      </c>
      <c r="D4278" s="458">
        <v>7.1617901923860305E-2</v>
      </c>
      <c r="E4278" s="477">
        <v>9474863.5866575167</v>
      </c>
      <c r="F4278" s="458">
        <v>0.10576033230764947</v>
      </c>
      <c r="G4278" s="477">
        <v>89472822.355298683</v>
      </c>
      <c r="H4278" s="458">
        <v>0.27666858667225602</v>
      </c>
      <c r="I4278" s="468">
        <v>12.108407390603471</v>
      </c>
    </row>
    <row r="4279" spans="1:9" ht="16.5" x14ac:dyDescent="0.3">
      <c r="A4279" s="477">
        <v>5838754.1099282559</v>
      </c>
      <c r="B4279" s="458">
        <v>3.0774099196880567E-2</v>
      </c>
      <c r="C4279" s="477">
        <v>4607654.5095460201</v>
      </c>
      <c r="D4279" s="458">
        <v>7.5460450931605694E-2</v>
      </c>
      <c r="E4279" s="477">
        <v>24753679.94499328</v>
      </c>
      <c r="F4279" s="458">
        <v>0.11070431195265384</v>
      </c>
      <c r="G4279" s="477">
        <v>87501864.373764619</v>
      </c>
      <c r="H4279" s="458">
        <v>0.2687522194444516</v>
      </c>
      <c r="I4279" s="468">
        <v>0.22398410818141379</v>
      </c>
    </row>
    <row r="4280" spans="1:9" ht="16.5" x14ac:dyDescent="0.3">
      <c r="A4280" s="477">
        <v>5556875.3905495936</v>
      </c>
      <c r="B4280" s="458">
        <v>5.2367771897124049E-2</v>
      </c>
      <c r="C4280" s="477">
        <v>12321679.818792492</v>
      </c>
      <c r="D4280" s="458">
        <v>7.9395228414711472E-2</v>
      </c>
      <c r="E4280" s="477">
        <v>13135922.322980424</v>
      </c>
      <c r="F4280" s="458">
        <v>8.7102703006267213E-2</v>
      </c>
      <c r="G4280" s="477">
        <v>86769757.22283195</v>
      </c>
      <c r="H4280" s="458">
        <v>0.25565755840671422</v>
      </c>
      <c r="I4280" s="468">
        <v>7.0986857984824701</v>
      </c>
    </row>
    <row r="4281" spans="1:9" ht="16.5" x14ac:dyDescent="0.3">
      <c r="A4281" s="477">
        <v>3162321.0882282821</v>
      </c>
      <c r="B4281" s="458">
        <v>3.0867844895460683E-2</v>
      </c>
      <c r="C4281" s="477">
        <v>4751101.2499093637</v>
      </c>
      <c r="D4281" s="458">
        <v>7.0218297692999254E-2</v>
      </c>
      <c r="E4281" s="477">
        <v>18822750.238327168</v>
      </c>
      <c r="F4281" s="458">
        <v>0.11158452131570651</v>
      </c>
      <c r="G4281" s="477">
        <v>90795463.835343659</v>
      </c>
      <c r="H4281" s="458">
        <v>0.26490216744008754</v>
      </c>
      <c r="I4281" s="468">
        <v>9.2515305121475997</v>
      </c>
    </row>
    <row r="4282" spans="1:9" ht="16.5" x14ac:dyDescent="0.3">
      <c r="A4282" s="477">
        <v>5467515.7777038766</v>
      </c>
      <c r="B4282" s="458">
        <v>4.5614971538189719E-2</v>
      </c>
      <c r="C4282" s="477">
        <v>7596011.4401372112</v>
      </c>
      <c r="D4282" s="458">
        <v>8.3127844491494907E-2</v>
      </c>
      <c r="E4282" s="477">
        <v>12840830.129174042</v>
      </c>
      <c r="F4282" s="458">
        <v>0.13743365438860145</v>
      </c>
      <c r="G4282" s="477">
        <v>75077823.362045571</v>
      </c>
      <c r="H4282" s="458">
        <v>0.26268892343312644</v>
      </c>
      <c r="I4282" s="468">
        <v>6.6286852591681953</v>
      </c>
    </row>
    <row r="4283" spans="1:9" ht="16.5" x14ac:dyDescent="0.3">
      <c r="A4283" s="477">
        <v>9218275.0604873933</v>
      </c>
      <c r="B4283" s="458">
        <v>5.2087793684153727E-2</v>
      </c>
      <c r="C4283" s="477">
        <v>8676848.4770264216</v>
      </c>
      <c r="D4283" s="458">
        <v>8.5786756126590369E-2</v>
      </c>
      <c r="E4283" s="477">
        <v>17094449.835816041</v>
      </c>
      <c r="F4283" s="458">
        <v>0.11255337459304537</v>
      </c>
      <c r="G4283" s="477">
        <v>72550440.115198791</v>
      </c>
      <c r="H4283" s="458">
        <v>0.32061576264149982</v>
      </c>
      <c r="I4283" s="468">
        <v>12.651952230826748</v>
      </c>
    </row>
    <row r="4284" spans="1:9" ht="16.5" x14ac:dyDescent="0.3">
      <c r="A4284" s="477">
        <v>7765526.420814734</v>
      </c>
      <c r="B4284" s="458">
        <v>3.3042869989561519E-2</v>
      </c>
      <c r="C4284" s="477">
        <v>10362702.884035964</v>
      </c>
      <c r="D4284" s="458">
        <v>9.5588603607533518E-2</v>
      </c>
      <c r="E4284" s="477">
        <v>13372889.871398296</v>
      </c>
      <c r="F4284" s="458">
        <v>0.12048672610854627</v>
      </c>
      <c r="G4284" s="477">
        <v>93956717.456330121</v>
      </c>
      <c r="H4284" s="458">
        <v>0.29725149732217937</v>
      </c>
      <c r="I4284" s="468">
        <v>1.5327854859953325</v>
      </c>
    </row>
    <row r="4285" spans="1:9" ht="16.5" x14ac:dyDescent="0.3">
      <c r="A4285" s="477">
        <v>6144909.5744277481</v>
      </c>
      <c r="B4285" s="458">
        <v>5.7899892204752224E-2</v>
      </c>
      <c r="C4285" s="477">
        <v>13235788.22472401</v>
      </c>
      <c r="D4285" s="458">
        <v>5.5526059375860193E-2</v>
      </c>
      <c r="E4285" s="477">
        <v>20817381.652093522</v>
      </c>
      <c r="F4285" s="458">
        <v>0.11025755959253591</v>
      </c>
      <c r="G4285" s="477">
        <v>96739442.147525415</v>
      </c>
      <c r="H4285" s="458">
        <v>0.26438384601086407</v>
      </c>
      <c r="I4285" s="468">
        <v>8.343568299470709</v>
      </c>
    </row>
    <row r="4286" spans="1:9" ht="16.5" x14ac:dyDescent="0.3">
      <c r="A4286" s="477">
        <v>5333532.0743888402</v>
      </c>
      <c r="B4286" s="458">
        <v>3.6665517079972343E-2</v>
      </c>
      <c r="C4286" s="477">
        <v>5199296.1367105804</v>
      </c>
      <c r="D4286" s="458">
        <v>6.9568667680961704E-2</v>
      </c>
      <c r="E4286" s="477">
        <v>17961739.281474371</v>
      </c>
      <c r="F4286" s="458">
        <v>0.11621013167424654</v>
      </c>
      <c r="G4286" s="477">
        <v>84445015.996735528</v>
      </c>
      <c r="H4286" s="458">
        <v>0.28347079016957899</v>
      </c>
      <c r="I4286" s="468">
        <v>5.9198684983746723</v>
      </c>
    </row>
    <row r="4287" spans="1:9" ht="16.5" x14ac:dyDescent="0.3">
      <c r="A4287" s="477">
        <v>532628.32370589022</v>
      </c>
      <c r="B4287" s="458">
        <v>2.5389431910923133E-2</v>
      </c>
      <c r="C4287" s="477">
        <v>14391438.060025703</v>
      </c>
      <c r="D4287" s="458">
        <v>7.1823249114949306E-2</v>
      </c>
      <c r="E4287" s="477">
        <v>13917406.107441628</v>
      </c>
      <c r="F4287" s="458">
        <v>0.1032536099840351</v>
      </c>
      <c r="G4287" s="477">
        <v>82897227.096820846</v>
      </c>
      <c r="H4287" s="458">
        <v>0.277137744236299</v>
      </c>
      <c r="I4287" s="468">
        <v>5.7550617605842209</v>
      </c>
    </row>
    <row r="4288" spans="1:9" ht="16.5" x14ac:dyDescent="0.3">
      <c r="A4288" s="477">
        <v>9603692.5781147536</v>
      </c>
      <c r="B4288" s="458">
        <v>3.8688414219718359E-2</v>
      </c>
      <c r="C4288" s="477">
        <v>9226017.4301705845</v>
      </c>
      <c r="D4288" s="458">
        <v>7.1577971388900652E-2</v>
      </c>
      <c r="E4288" s="477">
        <v>16754427.660374872</v>
      </c>
      <c r="F4288" s="458">
        <v>0.11569690927536014</v>
      </c>
      <c r="G4288" s="477">
        <v>92807810.717625394</v>
      </c>
      <c r="H4288" s="458">
        <v>0.25758431005407001</v>
      </c>
      <c r="I4288" s="468">
        <v>13.48095646365968</v>
      </c>
    </row>
    <row r="4289" spans="1:9" ht="16.5" x14ac:dyDescent="0.3">
      <c r="A4289" s="477">
        <v>2972378.7633045297</v>
      </c>
      <c r="B4289" s="458">
        <v>3.1017081782461098E-2</v>
      </c>
      <c r="C4289" s="477">
        <v>6809399.638941939</v>
      </c>
      <c r="D4289" s="458">
        <v>7.1386864187760857E-2</v>
      </c>
      <c r="E4289" s="477">
        <v>14774468.632435506</v>
      </c>
      <c r="F4289" s="458">
        <v>0.11194948871922406</v>
      </c>
      <c r="G4289" s="477">
        <v>114878388.36377151</v>
      </c>
      <c r="H4289" s="458">
        <v>0.26548662872823492</v>
      </c>
      <c r="I4289" s="468">
        <v>8.9711815944020898</v>
      </c>
    </row>
    <row r="4290" spans="1:9" ht="16.5" x14ac:dyDescent="0.3">
      <c r="A4290" s="477">
        <v>5929731.257021904</v>
      </c>
      <c r="B4290" s="458">
        <v>4.1539807977249099E-2</v>
      </c>
      <c r="C4290" s="477">
        <v>3950685.1935131554</v>
      </c>
      <c r="D4290" s="458">
        <v>6.2573451646817935E-2</v>
      </c>
      <c r="E4290" s="477">
        <v>20660302.715748604</v>
      </c>
      <c r="F4290" s="458">
        <v>9.5708959664361881E-2</v>
      </c>
      <c r="G4290" s="477">
        <v>81991825.020628005</v>
      </c>
      <c r="H4290" s="458">
        <v>0.28279591552173589</v>
      </c>
      <c r="I4290" s="468">
        <v>4.6113251989736455</v>
      </c>
    </row>
    <row r="4291" spans="1:9" ht="16.5" x14ac:dyDescent="0.3">
      <c r="A4291" s="477">
        <v>-225078.1142244564</v>
      </c>
      <c r="B4291" s="458">
        <v>7.9740452806056794E-2</v>
      </c>
      <c r="C4291" s="477">
        <v>6026335.9882491361</v>
      </c>
      <c r="D4291" s="458">
        <v>5.9919998257057516E-2</v>
      </c>
      <c r="E4291" s="477">
        <v>16150504.083766453</v>
      </c>
      <c r="F4291" s="458">
        <v>0.13111441749115471</v>
      </c>
      <c r="G4291" s="477">
        <v>92104746.462673768</v>
      </c>
      <c r="H4291" s="458">
        <v>0.29298080822119821</v>
      </c>
      <c r="I4291" s="468">
        <v>15.907597076786384</v>
      </c>
    </row>
    <row r="4292" spans="1:9" ht="16.5" x14ac:dyDescent="0.3">
      <c r="A4292" s="477">
        <v>4009259.0092562488</v>
      </c>
      <c r="B4292" s="458">
        <v>2.8637353948358646E-2</v>
      </c>
      <c r="C4292" s="477">
        <v>6726934.4384735385</v>
      </c>
      <c r="D4292" s="458">
        <v>9.8808776085920647E-2</v>
      </c>
      <c r="E4292" s="477">
        <v>14857840.497558706</v>
      </c>
      <c r="F4292" s="458">
        <v>0.1189288792930363</v>
      </c>
      <c r="G4292" s="477">
        <v>95797660.515388474</v>
      </c>
      <c r="H4292" s="458">
        <v>0.28621910742924439</v>
      </c>
      <c r="I4292" s="468">
        <v>6.1910780059303994</v>
      </c>
    </row>
    <row r="4293" spans="1:9" ht="16.5" x14ac:dyDescent="0.3">
      <c r="A4293" s="477">
        <v>9560302.1067315843</v>
      </c>
      <c r="B4293" s="458">
        <v>3.3992593887562039E-2</v>
      </c>
      <c r="C4293" s="477">
        <v>13506730.74283975</v>
      </c>
      <c r="D4293" s="458">
        <v>2.8348730467238958E-2</v>
      </c>
      <c r="E4293" s="477">
        <v>17973838.400750484</v>
      </c>
      <c r="F4293" s="458">
        <v>0.11498048416592233</v>
      </c>
      <c r="G4293" s="477">
        <v>86546530.373636574</v>
      </c>
      <c r="H4293" s="458">
        <v>0.27130086797382802</v>
      </c>
      <c r="I4293" s="468">
        <v>10.956512291504795</v>
      </c>
    </row>
    <row r="4294" spans="1:9" ht="16.5" x14ac:dyDescent="0.3">
      <c r="A4294" s="477">
        <v>5643158.0597185427</v>
      </c>
      <c r="B4294" s="458">
        <v>5.7880757224594515E-2</v>
      </c>
      <c r="C4294" s="477">
        <v>5309341.4844450578</v>
      </c>
      <c r="D4294" s="458">
        <v>7.0108628703799525E-2</v>
      </c>
      <c r="E4294" s="477">
        <v>21879445.803804379</v>
      </c>
      <c r="F4294" s="458">
        <v>0.11284872058822204</v>
      </c>
      <c r="G4294" s="477">
        <v>94321113.510976315</v>
      </c>
      <c r="H4294" s="458">
        <v>0.27858308713058411</v>
      </c>
      <c r="I4294" s="468">
        <v>8.2373572320858948</v>
      </c>
    </row>
    <row r="4295" spans="1:9" ht="16.5" x14ac:dyDescent="0.3">
      <c r="A4295" s="477">
        <v>7373171.9669402344</v>
      </c>
      <c r="B4295" s="458">
        <v>2.8052469512329647E-2</v>
      </c>
      <c r="C4295" s="477">
        <v>4750231.9007903105</v>
      </c>
      <c r="D4295" s="458">
        <v>4.1307919726047304E-2</v>
      </c>
      <c r="E4295" s="477">
        <v>17907249.22755257</v>
      </c>
      <c r="F4295" s="458">
        <v>0.10639610998123183</v>
      </c>
      <c r="G4295" s="477">
        <v>88158498.927268282</v>
      </c>
      <c r="H4295" s="458">
        <v>0.27891387845872351</v>
      </c>
      <c r="I4295" s="468">
        <v>14.655265945419989</v>
      </c>
    </row>
    <row r="4296" spans="1:9" ht="16.5" x14ac:dyDescent="0.3">
      <c r="A4296" s="477">
        <v>9727057.2640795559</v>
      </c>
      <c r="B4296" s="458">
        <v>6.9665666824398009E-2</v>
      </c>
      <c r="C4296" s="477">
        <v>5068010.2404623888</v>
      </c>
      <c r="D4296" s="458">
        <v>4.6700804038023902E-2</v>
      </c>
      <c r="E4296" s="477">
        <v>19159357.091094323</v>
      </c>
      <c r="F4296" s="458">
        <v>0.10139464087211292</v>
      </c>
      <c r="G4296" s="477">
        <v>86357612.068449378</v>
      </c>
      <c r="H4296" s="458">
        <v>0.28304302095575573</v>
      </c>
      <c r="I4296" s="468">
        <v>2.3065665769731041</v>
      </c>
    </row>
    <row r="4297" spans="1:9" ht="16.5" x14ac:dyDescent="0.3">
      <c r="A4297" s="477">
        <v>6769831.8818987338</v>
      </c>
      <c r="B4297" s="458">
        <v>4.9235905080053488E-2</v>
      </c>
      <c r="C4297" s="477">
        <v>9383782.6326615717</v>
      </c>
      <c r="D4297" s="458">
        <v>8.5281377463637842E-2</v>
      </c>
      <c r="E4297" s="477">
        <v>17229622.390006728</v>
      </c>
      <c r="F4297" s="458">
        <v>0.13719501060329997</v>
      </c>
      <c r="G4297" s="477">
        <v>85710172.930191308</v>
      </c>
      <c r="H4297" s="458">
        <v>0.26283061214835901</v>
      </c>
      <c r="I4297" s="468">
        <v>10.833765456791602</v>
      </c>
    </row>
    <row r="4298" spans="1:9" ht="16.5" x14ac:dyDescent="0.3">
      <c r="A4298" s="477">
        <v>2328261.8519505095</v>
      </c>
      <c r="B4298" s="458">
        <v>2.5181060374963593E-2</v>
      </c>
      <c r="C4298" s="477">
        <v>7482491.4428073624</v>
      </c>
      <c r="D4298" s="458">
        <v>7.0667889553025054E-2</v>
      </c>
      <c r="E4298" s="477">
        <v>11890370.525111755</v>
      </c>
      <c r="F4298" s="458">
        <v>0.10175970538452961</v>
      </c>
      <c r="G4298" s="477">
        <v>94512352.25786981</v>
      </c>
      <c r="H4298" s="458">
        <v>0.25862799973889405</v>
      </c>
      <c r="I4298" s="468">
        <v>8.3914142800082345</v>
      </c>
    </row>
    <row r="4299" spans="1:9" ht="16.5" x14ac:dyDescent="0.3">
      <c r="A4299" s="477">
        <v>5456933.0978740836</v>
      </c>
      <c r="B4299" s="458">
        <v>3.3407603045249923E-2</v>
      </c>
      <c r="C4299" s="477">
        <v>12988389.315610452</v>
      </c>
      <c r="D4299" s="458">
        <v>4.9369317257781375E-2</v>
      </c>
      <c r="E4299" s="477">
        <v>11062759.588073609</v>
      </c>
      <c r="F4299" s="458">
        <v>8.5409261210249054E-2</v>
      </c>
      <c r="G4299" s="477">
        <v>93169806.412975445</v>
      </c>
      <c r="H4299" s="458">
        <v>0.27791025898673771</v>
      </c>
      <c r="I4299" s="468">
        <v>13.489060540548191</v>
      </c>
    </row>
    <row r="4300" spans="1:9" ht="16.5" x14ac:dyDescent="0.3">
      <c r="A4300" s="477">
        <v>6256350.8249526704</v>
      </c>
      <c r="B4300" s="458">
        <v>4.3812893269427944E-2</v>
      </c>
      <c r="C4300" s="477">
        <v>10348243.035563214</v>
      </c>
      <c r="D4300" s="458">
        <v>8.015506112052706E-2</v>
      </c>
      <c r="E4300" s="477">
        <v>14301259.952094477</v>
      </c>
      <c r="F4300" s="458">
        <v>0.10217061137044303</v>
      </c>
      <c r="G4300" s="477">
        <v>93386503.34092474</v>
      </c>
      <c r="H4300" s="458">
        <v>0.27297449678290531</v>
      </c>
      <c r="I4300" s="468">
        <v>5.7036422700588441</v>
      </c>
    </row>
    <row r="4301" spans="1:9" ht="16.5" x14ac:dyDescent="0.3">
      <c r="A4301" s="477">
        <v>4590713.1057146937</v>
      </c>
      <c r="B4301" s="458">
        <v>4.2528635990469965E-2</v>
      </c>
      <c r="C4301" s="477">
        <v>5242082.9873620337</v>
      </c>
      <c r="D4301" s="458">
        <v>7.4155252157232621E-2</v>
      </c>
      <c r="E4301" s="477">
        <v>16582545.441393683</v>
      </c>
      <c r="F4301" s="458">
        <v>0.12925274322901337</v>
      </c>
      <c r="G4301" s="477">
        <v>102196669.69540846</v>
      </c>
      <c r="H4301" s="458">
        <v>0.25727415276696197</v>
      </c>
      <c r="I4301" s="468">
        <v>7.3618452286617231</v>
      </c>
    </row>
    <row r="4302" spans="1:9" ht="16.5" x14ac:dyDescent="0.3">
      <c r="A4302" s="477">
        <v>4570200.7389864195</v>
      </c>
      <c r="B4302" s="458">
        <v>4.2490303409852048E-2</v>
      </c>
      <c r="C4302" s="477">
        <v>10743055.684733532</v>
      </c>
      <c r="D4302" s="458">
        <v>6.9940458012933915E-2</v>
      </c>
      <c r="E4302" s="477">
        <v>19990342.338876229</v>
      </c>
      <c r="F4302" s="458">
        <v>0.10221456560248954</v>
      </c>
      <c r="G4302" s="477">
        <v>96573989.462137669</v>
      </c>
      <c r="H4302" s="458">
        <v>0.25684592971685616</v>
      </c>
      <c r="I4302" s="468">
        <v>5.506755502897466</v>
      </c>
    </row>
    <row r="4303" spans="1:9" ht="16.5" x14ac:dyDescent="0.3">
      <c r="A4303" s="477">
        <v>3779048.4933615346</v>
      </c>
      <c r="B4303" s="458">
        <v>3.0280521724203036E-2</v>
      </c>
      <c r="C4303" s="477">
        <v>-795632.67251882795</v>
      </c>
      <c r="D4303" s="458">
        <v>4.4177168098423536E-2</v>
      </c>
      <c r="E4303" s="477">
        <v>15585853.617380807</v>
      </c>
      <c r="F4303" s="458">
        <v>0.11465273408065735</v>
      </c>
      <c r="G4303" s="477">
        <v>82174927.909419984</v>
      </c>
      <c r="H4303" s="458">
        <v>0.26608918666735337</v>
      </c>
      <c r="I4303" s="468">
        <v>5.2683341249739524</v>
      </c>
    </row>
    <row r="4304" spans="1:9" ht="16.5" x14ac:dyDescent="0.3">
      <c r="A4304" s="477">
        <v>2017445.3176631813</v>
      </c>
      <c r="B4304" s="458">
        <v>4.6461977489537842E-2</v>
      </c>
      <c r="C4304" s="477">
        <v>3774146.9133735225</v>
      </c>
      <c r="D4304" s="458">
        <v>7.7104231841321091E-2</v>
      </c>
      <c r="E4304" s="477">
        <v>15187139.815834323</v>
      </c>
      <c r="F4304" s="458">
        <v>0.13114680191415751</v>
      </c>
      <c r="G4304" s="477">
        <v>98876227.22055687</v>
      </c>
      <c r="H4304" s="458">
        <v>0.2670376982739906</v>
      </c>
      <c r="I4304" s="468">
        <v>5.9428838479383579</v>
      </c>
    </row>
    <row r="4305" spans="1:9" ht="16.5" x14ac:dyDescent="0.3">
      <c r="A4305" s="477">
        <v>12554135.406665241</v>
      </c>
      <c r="B4305" s="458">
        <v>5.518047087254474E-2</v>
      </c>
      <c r="C4305" s="477">
        <v>10131075.226442635</v>
      </c>
      <c r="D4305" s="458">
        <v>7.1729353988797984E-2</v>
      </c>
      <c r="E4305" s="477">
        <v>15309701.74875023</v>
      </c>
      <c r="F4305" s="458">
        <v>0.12508072052649966</v>
      </c>
      <c r="G4305" s="477">
        <v>82045174.071714073</v>
      </c>
      <c r="H4305" s="458">
        <v>0.30568215643383678</v>
      </c>
      <c r="I4305" s="468">
        <v>17.764500205330513</v>
      </c>
    </row>
    <row r="4306" spans="1:9" ht="16.5" x14ac:dyDescent="0.3">
      <c r="A4306" s="477">
        <v>6801327.613681375</v>
      </c>
      <c r="B4306" s="458">
        <v>5.3448975408210808E-2</v>
      </c>
      <c r="C4306" s="477">
        <v>10923376.037845092</v>
      </c>
      <c r="D4306" s="458">
        <v>9.9962961804355821E-2</v>
      </c>
      <c r="E4306" s="477">
        <v>17549933.790294666</v>
      </c>
      <c r="F4306" s="458">
        <v>0.12745931698340396</v>
      </c>
      <c r="G4306" s="477">
        <v>96345948.703065708</v>
      </c>
      <c r="H4306" s="458">
        <v>0.29668057671333115</v>
      </c>
      <c r="I4306" s="468">
        <v>3.3118837283580556</v>
      </c>
    </row>
    <row r="4307" spans="1:9" ht="16.5" x14ac:dyDescent="0.3">
      <c r="A4307" s="477">
        <v>7514696.7802096289</v>
      </c>
      <c r="B4307" s="458">
        <v>3.1157702991106762E-2</v>
      </c>
      <c r="C4307" s="477">
        <v>10089891.005602712</v>
      </c>
      <c r="D4307" s="458">
        <v>7.3561637154416326E-2</v>
      </c>
      <c r="E4307" s="477">
        <v>8393468.297174532</v>
      </c>
      <c r="F4307" s="458">
        <v>0.12299337965074231</v>
      </c>
      <c r="G4307" s="477">
        <v>98795862.861122474</v>
      </c>
      <c r="H4307" s="458">
        <v>0.27017145523529518</v>
      </c>
      <c r="I4307" s="468">
        <v>10.541458046371336</v>
      </c>
    </row>
    <row r="4308" spans="1:9" ht="16.5" x14ac:dyDescent="0.3">
      <c r="A4308" s="477">
        <v>5093413.4529676652</v>
      </c>
      <c r="B4308" s="458">
        <v>4.2231023269924117E-2</v>
      </c>
      <c r="C4308" s="477">
        <v>8389845.9740456361</v>
      </c>
      <c r="D4308" s="458">
        <v>6.0804635246344052E-2</v>
      </c>
      <c r="E4308" s="477">
        <v>10136970.532596311</v>
      </c>
      <c r="F4308" s="458">
        <v>7.5497682329775717E-2</v>
      </c>
      <c r="G4308" s="477">
        <v>87790160.436720803</v>
      </c>
      <c r="H4308" s="458">
        <v>0.28619239031174781</v>
      </c>
      <c r="I4308" s="468">
        <v>5.9825895250274499</v>
      </c>
    </row>
    <row r="4309" spans="1:9" ht="16.5" x14ac:dyDescent="0.3">
      <c r="A4309" s="477">
        <v>1039868.0271786969</v>
      </c>
      <c r="B4309" s="458">
        <v>3.2336095611150251E-2</v>
      </c>
      <c r="C4309" s="477">
        <v>10925771.348730505</v>
      </c>
      <c r="D4309" s="458">
        <v>6.0690982244938851E-2</v>
      </c>
      <c r="E4309" s="477">
        <v>13148148.024254223</v>
      </c>
      <c r="F4309" s="458">
        <v>0.11554321889835784</v>
      </c>
      <c r="G4309" s="477">
        <v>85117751.571688339</v>
      </c>
      <c r="H4309" s="458">
        <v>0.24470420987295594</v>
      </c>
      <c r="I4309" s="468">
        <v>8.2645658036041372</v>
      </c>
    </row>
    <row r="4310" spans="1:9" ht="16.5" x14ac:dyDescent="0.3">
      <c r="A4310" s="477">
        <v>4418871.3290985897</v>
      </c>
      <c r="B4310" s="458">
        <v>4.3849657407261988E-2</v>
      </c>
      <c r="C4310" s="477">
        <v>8151233.3504728274</v>
      </c>
      <c r="D4310" s="458">
        <v>5.7590269565612751E-2</v>
      </c>
      <c r="E4310" s="477">
        <v>15958976.285875453</v>
      </c>
      <c r="F4310" s="458">
        <v>0.11203985318311904</v>
      </c>
      <c r="G4310" s="477">
        <v>92306916.40547277</v>
      </c>
      <c r="H4310" s="458">
        <v>0.25795836047521892</v>
      </c>
      <c r="I4310" s="468">
        <v>4.2738151811806446</v>
      </c>
    </row>
    <row r="4311" spans="1:9" ht="16.5" x14ac:dyDescent="0.3">
      <c r="A4311" s="477">
        <v>7183671.4520228049</v>
      </c>
      <c r="B4311" s="458">
        <v>4.8880222002754437E-2</v>
      </c>
      <c r="C4311" s="477">
        <v>12914857.582103744</v>
      </c>
      <c r="D4311" s="458">
        <v>6.1981244904768751E-2</v>
      </c>
      <c r="E4311" s="477">
        <v>19360825.002763361</v>
      </c>
      <c r="F4311" s="458">
        <v>9.8280597076747966E-2</v>
      </c>
      <c r="G4311" s="477">
        <v>90152782.821461439</v>
      </c>
      <c r="H4311" s="458">
        <v>0.2826680514796589</v>
      </c>
      <c r="I4311" s="468">
        <v>0.30151489799637332</v>
      </c>
    </row>
    <row r="4312" spans="1:9" ht="16.5" x14ac:dyDescent="0.3">
      <c r="A4312" s="477">
        <v>4051852.0754321441</v>
      </c>
      <c r="B4312" s="458">
        <v>3.7646370426583031E-2</v>
      </c>
      <c r="C4312" s="477">
        <v>18552058.991297115</v>
      </c>
      <c r="D4312" s="458">
        <v>6.193867508991735E-2</v>
      </c>
      <c r="E4312" s="477">
        <v>19229935.142476059</v>
      </c>
      <c r="F4312" s="458">
        <v>9.0829405616657866E-2</v>
      </c>
      <c r="G4312" s="477">
        <v>71309784.752253562</v>
      </c>
      <c r="H4312" s="458">
        <v>0.27326729557857998</v>
      </c>
      <c r="I4312" s="468">
        <v>9.7570849502007775</v>
      </c>
    </row>
    <row r="4313" spans="1:9" ht="16.5" x14ac:dyDescent="0.3">
      <c r="A4313" s="477">
        <v>3860779.7842536387</v>
      </c>
      <c r="B4313" s="458">
        <v>2.9528078342866637E-2</v>
      </c>
      <c r="C4313" s="477">
        <v>13033681.679042967</v>
      </c>
      <c r="D4313" s="458">
        <v>7.2703744534236892E-2</v>
      </c>
      <c r="E4313" s="477">
        <v>18604544.120015815</v>
      </c>
      <c r="F4313" s="458">
        <v>7.4321660437297377E-2</v>
      </c>
      <c r="G4313" s="477">
        <v>88675401.337631017</v>
      </c>
      <c r="H4313" s="458">
        <v>0.28239423811198039</v>
      </c>
      <c r="I4313" s="468">
        <v>8.3118420005189346</v>
      </c>
    </row>
    <row r="4314" spans="1:9" ht="16.5" x14ac:dyDescent="0.3">
      <c r="A4314" s="477">
        <v>5137302.9722193228</v>
      </c>
      <c r="B4314" s="458">
        <v>4.7501307590937847E-2</v>
      </c>
      <c r="C4314" s="477">
        <v>8114891.5303695947</v>
      </c>
      <c r="D4314" s="458">
        <v>5.7607400920316465E-2</v>
      </c>
      <c r="E4314" s="477">
        <v>8740088.2211116143</v>
      </c>
      <c r="F4314" s="458">
        <v>0.11958571183268862</v>
      </c>
      <c r="G4314" s="477">
        <v>98260134.854389131</v>
      </c>
      <c r="H4314" s="458">
        <v>0.25884913813662402</v>
      </c>
      <c r="I4314" s="468">
        <v>0.92168174533225944</v>
      </c>
    </row>
    <row r="4315" spans="1:9" ht="16.5" x14ac:dyDescent="0.3">
      <c r="A4315" s="477">
        <v>9287295.7838682421</v>
      </c>
      <c r="B4315" s="458">
        <v>6.857173695974339E-2</v>
      </c>
      <c r="C4315" s="477">
        <v>12000996.740954213</v>
      </c>
      <c r="D4315" s="458">
        <v>5.345792629759849E-2</v>
      </c>
      <c r="E4315" s="477">
        <v>14992286.909697659</v>
      </c>
      <c r="F4315" s="458">
        <v>0.10782236144622304</v>
      </c>
      <c r="G4315" s="477">
        <v>90126598.309766829</v>
      </c>
      <c r="H4315" s="458">
        <v>0.28378544581175147</v>
      </c>
      <c r="I4315" s="468">
        <v>16.131632119748378</v>
      </c>
    </row>
    <row r="4316" spans="1:9" ht="16.5" x14ac:dyDescent="0.3">
      <c r="A4316" s="477">
        <v>3507397.6081212284</v>
      </c>
      <c r="B4316" s="458">
        <v>3.2064517727263153E-2</v>
      </c>
      <c r="C4316" s="477">
        <v>7004073.7297388902</v>
      </c>
      <c r="D4316" s="458">
        <v>5.3449908363010668E-2</v>
      </c>
      <c r="E4316" s="477">
        <v>21009989.474709727</v>
      </c>
      <c r="F4316" s="458">
        <v>8.7467575881229997E-2</v>
      </c>
      <c r="G4316" s="477">
        <v>82577539.82743296</v>
      </c>
      <c r="H4316" s="458">
        <v>0.27433304315107043</v>
      </c>
      <c r="I4316" s="468">
        <v>6.0243287137109967</v>
      </c>
    </row>
    <row r="4317" spans="1:9" ht="16.5" x14ac:dyDescent="0.3">
      <c r="A4317" s="477">
        <v>5230898.6036518523</v>
      </c>
      <c r="B4317" s="458">
        <v>6.2531690430597475E-2</v>
      </c>
      <c r="C4317" s="477">
        <v>12902680.689559093</v>
      </c>
      <c r="D4317" s="458">
        <v>7.0978288034374559E-2</v>
      </c>
      <c r="E4317" s="477">
        <v>15087405.216006806</v>
      </c>
      <c r="F4317" s="458">
        <v>9.5806106885283349E-2</v>
      </c>
      <c r="G4317" s="477">
        <v>99203022.956668258</v>
      </c>
      <c r="H4317" s="458">
        <v>0.25927998876188818</v>
      </c>
      <c r="I4317" s="468">
        <v>4.6416274088592431</v>
      </c>
    </row>
    <row r="4318" spans="1:9" ht="16.5" x14ac:dyDescent="0.3">
      <c r="A4318" s="477">
        <v>5326026.4190201759</v>
      </c>
      <c r="B4318" s="458">
        <v>3.6792169121189211E-2</v>
      </c>
      <c r="C4318" s="477">
        <v>10024179.736446492</v>
      </c>
      <c r="D4318" s="458">
        <v>4.0536147121986943E-2</v>
      </c>
      <c r="E4318" s="477">
        <v>19013497.942566283</v>
      </c>
      <c r="F4318" s="458">
        <v>0.15222631725953639</v>
      </c>
      <c r="G4318" s="477">
        <v>78446773.180779472</v>
      </c>
      <c r="H4318" s="458">
        <v>0.25252168075323778</v>
      </c>
      <c r="I4318" s="468">
        <v>5.1904590382232652</v>
      </c>
    </row>
    <row r="4319" spans="1:9" ht="16.5" x14ac:dyDescent="0.3">
      <c r="A4319" s="477">
        <v>6830427.7879243102</v>
      </c>
      <c r="B4319" s="458">
        <v>2.2394434874753122E-2</v>
      </c>
      <c r="C4319" s="477">
        <v>8401780.1205186453</v>
      </c>
      <c r="D4319" s="458">
        <v>5.2279515056628867E-2</v>
      </c>
      <c r="E4319" s="477">
        <v>15973974.324860167</v>
      </c>
      <c r="F4319" s="458">
        <v>0.13011873470708535</v>
      </c>
      <c r="G4319" s="477">
        <v>94827625.99774985</v>
      </c>
      <c r="H4319" s="458">
        <v>0.26648432596171601</v>
      </c>
      <c r="I4319" s="468">
        <v>13.915835698024839</v>
      </c>
    </row>
    <row r="4320" spans="1:9" ht="16.5" x14ac:dyDescent="0.3">
      <c r="A4320" s="477">
        <v>3961112.5276595512</v>
      </c>
      <c r="B4320" s="458">
        <v>5.1466386509095852E-2</v>
      </c>
      <c r="C4320" s="477">
        <v>8351732.6842305558</v>
      </c>
      <c r="D4320" s="458">
        <v>6.9679053213009823E-2</v>
      </c>
      <c r="E4320" s="477">
        <v>14157184.430743193</v>
      </c>
      <c r="F4320" s="458">
        <v>0.10658922957492489</v>
      </c>
      <c r="G4320" s="477">
        <v>83808351.865115628</v>
      </c>
      <c r="H4320" s="458">
        <v>0.26341455745872255</v>
      </c>
      <c r="I4320" s="468">
        <v>9.3502602369584409</v>
      </c>
    </row>
    <row r="4321" spans="1:9" ht="16.5" x14ac:dyDescent="0.3">
      <c r="A4321" s="477">
        <v>7575964.4910195647</v>
      </c>
      <c r="B4321" s="458">
        <v>3.726916844820205E-2</v>
      </c>
      <c r="C4321" s="477">
        <v>7551593.5968963159</v>
      </c>
      <c r="D4321" s="458">
        <v>6.1004538062552349E-2</v>
      </c>
      <c r="E4321" s="477">
        <v>16027784.6790957</v>
      </c>
      <c r="F4321" s="458">
        <v>9.6553845798448945E-2</v>
      </c>
      <c r="G4321" s="477">
        <v>86196259.231487021</v>
      </c>
      <c r="H4321" s="458">
        <v>0.26675783384443075</v>
      </c>
      <c r="I4321" s="468">
        <v>4.6838560409453587</v>
      </c>
    </row>
    <row r="4322" spans="1:9" ht="16.5" x14ac:dyDescent="0.3">
      <c r="A4322" s="477">
        <v>4472718.646329768</v>
      </c>
      <c r="B4322" s="458">
        <v>5.4004241258639896E-2</v>
      </c>
      <c r="C4322" s="477">
        <v>10682281.68628926</v>
      </c>
      <c r="D4322" s="458">
        <v>9.6787414501429136E-2</v>
      </c>
      <c r="E4322" s="477">
        <v>28060718.743501678</v>
      </c>
      <c r="F4322" s="458">
        <v>0.10254702097180712</v>
      </c>
      <c r="G4322" s="477">
        <v>79088023.860901028</v>
      </c>
      <c r="H4322" s="458">
        <v>0.2823139787732365</v>
      </c>
      <c r="I4322" s="468">
        <v>2.9416433306338625</v>
      </c>
    </row>
    <row r="4323" spans="1:9" ht="16.5" x14ac:dyDescent="0.3">
      <c r="A4323" s="477">
        <v>3760098.5780274328</v>
      </c>
      <c r="B4323" s="458">
        <v>4.6460731193375571E-2</v>
      </c>
      <c r="C4323" s="477">
        <v>4881585.8414139999</v>
      </c>
      <c r="D4323" s="458">
        <v>6.5794082339236226E-2</v>
      </c>
      <c r="E4323" s="477">
        <v>10110789.618193828</v>
      </c>
      <c r="F4323" s="458">
        <v>8.5583219373948527E-2</v>
      </c>
      <c r="G4323" s="477">
        <v>91885899.284636989</v>
      </c>
      <c r="H4323" s="458">
        <v>0.26193715161439046</v>
      </c>
      <c r="I4323" s="468">
        <v>10.330892842262836</v>
      </c>
    </row>
    <row r="4324" spans="1:9" ht="16.5" x14ac:dyDescent="0.3">
      <c r="A4324" s="477">
        <v>6356680.2326834761</v>
      </c>
      <c r="B4324" s="458">
        <v>5.4923049362658238E-2</v>
      </c>
      <c r="C4324" s="477">
        <v>13223509.537545903</v>
      </c>
      <c r="D4324" s="458">
        <v>7.5265717731856085E-2</v>
      </c>
      <c r="E4324" s="477">
        <v>14347440.094715139</v>
      </c>
      <c r="F4324" s="458">
        <v>0.14593590509431231</v>
      </c>
      <c r="G4324" s="477">
        <v>91349742.204616666</v>
      </c>
      <c r="H4324" s="458">
        <v>0.28755503227557466</v>
      </c>
      <c r="I4324" s="468">
        <v>5.386578522465074</v>
      </c>
    </row>
    <row r="4325" spans="1:9" ht="16.5" x14ac:dyDescent="0.3">
      <c r="A4325" s="477">
        <v>5709526.3437274629</v>
      </c>
      <c r="B4325" s="458">
        <v>3.7188248454194772E-2</v>
      </c>
      <c r="C4325" s="477">
        <v>10647399.635934979</v>
      </c>
      <c r="D4325" s="458">
        <v>6.4364027477103125E-2</v>
      </c>
      <c r="E4325" s="477">
        <v>13377450.189942233</v>
      </c>
      <c r="F4325" s="458">
        <v>0.1190234830785073</v>
      </c>
      <c r="G4325" s="477">
        <v>81183474.997931257</v>
      </c>
      <c r="H4325" s="458">
        <v>0.26171510819559751</v>
      </c>
      <c r="I4325" s="468">
        <v>7.4404565815062673</v>
      </c>
    </row>
    <row r="4326" spans="1:9" ht="16.5" x14ac:dyDescent="0.3">
      <c r="A4326" s="477">
        <v>4436223.522070542</v>
      </c>
      <c r="B4326" s="458">
        <v>5.5757171409553274E-2</v>
      </c>
      <c r="C4326" s="477">
        <v>15298009.369629912</v>
      </c>
      <c r="D4326" s="458">
        <v>6.2427450857456046E-2</v>
      </c>
      <c r="E4326" s="477">
        <v>16411733.078001374</v>
      </c>
      <c r="F4326" s="458">
        <v>0.13251033645809862</v>
      </c>
      <c r="G4326" s="477">
        <v>88803832.005460158</v>
      </c>
      <c r="H4326" s="458">
        <v>0.26742109432634331</v>
      </c>
      <c r="I4326" s="468">
        <v>8.5455606709826508</v>
      </c>
    </row>
    <row r="4327" spans="1:9" ht="16.5" x14ac:dyDescent="0.3">
      <c r="A4327" s="477">
        <v>7413856.8513565063</v>
      </c>
      <c r="B4327" s="458">
        <v>3.21247372451261E-2</v>
      </c>
      <c r="C4327" s="477">
        <v>7742394.7167371912</v>
      </c>
      <c r="D4327" s="458">
        <v>7.0200567070220155E-2</v>
      </c>
      <c r="E4327" s="477">
        <v>18316247.797182374</v>
      </c>
      <c r="F4327" s="458">
        <v>9.9824552883115869E-2</v>
      </c>
      <c r="G4327" s="477">
        <v>108403069.73388667</v>
      </c>
      <c r="H4327" s="458">
        <v>0.25965363564772459</v>
      </c>
      <c r="I4327" s="468">
        <v>8.4964167140943978</v>
      </c>
    </row>
    <row r="4328" spans="1:9" ht="16.5" x14ac:dyDescent="0.3">
      <c r="A4328" s="477">
        <v>9401836.9918535985</v>
      </c>
      <c r="B4328" s="458">
        <v>4.8848841529090636E-2</v>
      </c>
      <c r="C4328" s="477">
        <v>5152263.4197562197</v>
      </c>
      <c r="D4328" s="458">
        <v>7.7859881491665117E-2</v>
      </c>
      <c r="E4328" s="477">
        <v>18856695.060961839</v>
      </c>
      <c r="F4328" s="458">
        <v>0.12665302723997329</v>
      </c>
      <c r="G4328" s="477">
        <v>84542489.519919947</v>
      </c>
      <c r="H4328" s="458">
        <v>0.28896129408084503</v>
      </c>
      <c r="I4328" s="468">
        <v>9.8146576529902934</v>
      </c>
    </row>
    <row r="4329" spans="1:9" ht="16.5" x14ac:dyDescent="0.3">
      <c r="A4329" s="477">
        <v>2647409.8452790035</v>
      </c>
      <c r="B4329" s="458">
        <v>3.4661235074182839E-2</v>
      </c>
      <c r="C4329" s="477">
        <v>14358610.532995513</v>
      </c>
      <c r="D4329" s="458">
        <v>6.0983485950624861E-2</v>
      </c>
      <c r="E4329" s="477">
        <v>18088982.687841676</v>
      </c>
      <c r="F4329" s="458">
        <v>0.11781734066771854</v>
      </c>
      <c r="G4329" s="477">
        <v>84613773.214979947</v>
      </c>
      <c r="H4329" s="458">
        <v>0.28127343658818926</v>
      </c>
      <c r="I4329" s="468">
        <v>7.709880791638005</v>
      </c>
    </row>
    <row r="4330" spans="1:9" ht="16.5" x14ac:dyDescent="0.3">
      <c r="A4330" s="477">
        <v>5626135.1319389166</v>
      </c>
      <c r="B4330" s="458">
        <v>5.1392021378529051E-2</v>
      </c>
      <c r="C4330" s="477">
        <v>9069092.1677206699</v>
      </c>
      <c r="D4330" s="458">
        <v>8.7129161352077711E-2</v>
      </c>
      <c r="E4330" s="477">
        <v>22843642.815997221</v>
      </c>
      <c r="F4330" s="458">
        <v>0.10891106266966544</v>
      </c>
      <c r="G4330" s="477">
        <v>77964474.420041263</v>
      </c>
      <c r="H4330" s="458">
        <v>0.28557554473097868</v>
      </c>
      <c r="I4330" s="468">
        <v>4.8859509843189688</v>
      </c>
    </row>
    <row r="4331" spans="1:9" ht="16.5" x14ac:dyDescent="0.3">
      <c r="A4331" s="477">
        <v>7101652.4444994424</v>
      </c>
      <c r="B4331" s="458">
        <v>5.5100152603042352E-2</v>
      </c>
      <c r="C4331" s="477">
        <v>9918452.6931939386</v>
      </c>
      <c r="D4331" s="458">
        <v>7.2129631487417578E-2</v>
      </c>
      <c r="E4331" s="477">
        <v>19871023.283051949</v>
      </c>
      <c r="F4331" s="458">
        <v>0.11958206479559608</v>
      </c>
      <c r="G4331" s="477">
        <v>80978384.999705777</v>
      </c>
      <c r="H4331" s="458">
        <v>0.2669341853453655</v>
      </c>
      <c r="I4331" s="468">
        <v>6.461603300364593</v>
      </c>
    </row>
    <row r="4332" spans="1:9" ht="16.5" x14ac:dyDescent="0.3">
      <c r="A4332" s="477">
        <v>5084936.1175406696</v>
      </c>
      <c r="B4332" s="458">
        <v>5.0422004783840846E-2</v>
      </c>
      <c r="C4332" s="477">
        <v>978547.13606953877</v>
      </c>
      <c r="D4332" s="458">
        <v>5.8441632341398542E-2</v>
      </c>
      <c r="E4332" s="477">
        <v>19662095.958279856</v>
      </c>
      <c r="F4332" s="458">
        <v>0.10136956692032939</v>
      </c>
      <c r="G4332" s="477">
        <v>93322500.600852177</v>
      </c>
      <c r="H4332" s="458">
        <v>0.26953987618926001</v>
      </c>
      <c r="I4332" s="468">
        <v>6.1883004261620442</v>
      </c>
    </row>
    <row r="4333" spans="1:9" ht="16.5" x14ac:dyDescent="0.3">
      <c r="A4333" s="477">
        <v>5327574.6952531952</v>
      </c>
      <c r="B4333" s="458">
        <v>4.4077451258531575E-2</v>
      </c>
      <c r="C4333" s="477">
        <v>13724263.065061044</v>
      </c>
      <c r="D4333" s="458">
        <v>7.6596778570168444E-2</v>
      </c>
      <c r="E4333" s="477">
        <v>23091332.274357084</v>
      </c>
      <c r="F4333" s="458">
        <v>0.10419354002506864</v>
      </c>
      <c r="G4333" s="477">
        <v>90265257.130423456</v>
      </c>
      <c r="H4333" s="458">
        <v>0.29086143721751712</v>
      </c>
      <c r="I4333" s="468">
        <v>10.015474839597839</v>
      </c>
    </row>
    <row r="4334" spans="1:9" ht="16.5" x14ac:dyDescent="0.3">
      <c r="A4334" s="477">
        <v>5442536.7066210341</v>
      </c>
      <c r="B4334" s="458">
        <v>4.0958665063758781E-2</v>
      </c>
      <c r="C4334" s="477">
        <v>4859585.4736440321</v>
      </c>
      <c r="D4334" s="458">
        <v>4.3799110939521269E-2</v>
      </c>
      <c r="E4334" s="477">
        <v>16105521.980821526</v>
      </c>
      <c r="F4334" s="458">
        <v>0.12323474443075799</v>
      </c>
      <c r="G4334" s="477">
        <v>91576135.200128347</v>
      </c>
      <c r="H4334" s="458">
        <v>0.2772898752442543</v>
      </c>
      <c r="I4334" s="468">
        <v>5.4035776250033747</v>
      </c>
    </row>
    <row r="4335" spans="1:9" ht="16.5" x14ac:dyDescent="0.3">
      <c r="A4335" s="477">
        <v>6772308.1867408808</v>
      </c>
      <c r="B4335" s="458">
        <v>5.0607333359262041E-2</v>
      </c>
      <c r="C4335" s="477">
        <v>4381396.1479458101</v>
      </c>
      <c r="D4335" s="458">
        <v>5.9482640691344457E-2</v>
      </c>
      <c r="E4335" s="477">
        <v>13485457.82265082</v>
      </c>
      <c r="F4335" s="458">
        <v>7.8075852452484718E-2</v>
      </c>
      <c r="G4335" s="477">
        <v>98096521.090113431</v>
      </c>
      <c r="H4335" s="458">
        <v>0.2516639014576092</v>
      </c>
      <c r="I4335" s="468">
        <v>6.4191825731020904</v>
      </c>
    </row>
    <row r="4336" spans="1:9" ht="16.5" x14ac:dyDescent="0.3">
      <c r="A4336" s="477">
        <v>7016404.6944409469</v>
      </c>
      <c r="B4336" s="458">
        <v>5.3843918989753714E-2</v>
      </c>
      <c r="C4336" s="477">
        <v>4891202.6917371741</v>
      </c>
      <c r="D4336" s="458">
        <v>6.5270493818063491E-2</v>
      </c>
      <c r="E4336" s="477">
        <v>18699137.991201479</v>
      </c>
      <c r="F4336" s="458">
        <v>0.10867126713824971</v>
      </c>
      <c r="G4336" s="477">
        <v>99253589.323952168</v>
      </c>
      <c r="H4336" s="458">
        <v>0.25503754324168693</v>
      </c>
      <c r="I4336" s="468">
        <v>5.9851037525274435</v>
      </c>
    </row>
    <row r="4337" spans="1:9" ht="16.5" x14ac:dyDescent="0.3">
      <c r="A4337" s="477">
        <v>5345662.0695626866</v>
      </c>
      <c r="B4337" s="458">
        <v>3.4865680173038038E-2</v>
      </c>
      <c r="C4337" s="477">
        <v>10741573.161204703</v>
      </c>
      <c r="D4337" s="458">
        <v>8.401075949945791E-2</v>
      </c>
      <c r="E4337" s="477">
        <v>15345066.501496527</v>
      </c>
      <c r="F4337" s="458">
        <v>8.4603492161789751E-2</v>
      </c>
      <c r="G4337" s="477">
        <v>92519572.507255405</v>
      </c>
      <c r="H4337" s="458">
        <v>0.27781263268640699</v>
      </c>
      <c r="I4337" s="468">
        <v>7.3469036999700581</v>
      </c>
    </row>
    <row r="4338" spans="1:9" ht="16.5" x14ac:dyDescent="0.3">
      <c r="A4338" s="477">
        <v>10481513.203139087</v>
      </c>
      <c r="B4338" s="458">
        <v>3.7662713528622493E-2</v>
      </c>
      <c r="C4338" s="477">
        <v>10311102.80053718</v>
      </c>
      <c r="D4338" s="458">
        <v>5.2447779794412286E-2</v>
      </c>
      <c r="E4338" s="477">
        <v>24745700.897624489</v>
      </c>
      <c r="F4338" s="458">
        <v>0.12065007495921654</v>
      </c>
      <c r="G4338" s="477">
        <v>88310107.165121645</v>
      </c>
      <c r="H4338" s="458">
        <v>0.27485832236198338</v>
      </c>
      <c r="I4338" s="468">
        <v>14.334857525019316</v>
      </c>
    </row>
    <row r="4339" spans="1:9" ht="16.5" x14ac:dyDescent="0.3">
      <c r="A4339" s="477">
        <v>7176972.1885406692</v>
      </c>
      <c r="B4339" s="458">
        <v>4.2788497163573247E-2</v>
      </c>
      <c r="C4339" s="477">
        <v>7987222.4947476164</v>
      </c>
      <c r="D4339" s="458">
        <v>5.1547748743530519E-2</v>
      </c>
      <c r="E4339" s="477">
        <v>13643694.82015549</v>
      </c>
      <c r="F4339" s="458">
        <v>9.6919404021539313E-2</v>
      </c>
      <c r="G4339" s="477">
        <v>83656102.040813953</v>
      </c>
      <c r="H4339" s="458">
        <v>0.26197255774145267</v>
      </c>
      <c r="I4339" s="468">
        <v>3.9493557949301481</v>
      </c>
    </row>
    <row r="4340" spans="1:9" ht="16.5" x14ac:dyDescent="0.3">
      <c r="A4340" s="477">
        <v>4299123.0123162828</v>
      </c>
      <c r="B4340" s="458">
        <v>4.5407649272411588E-2</v>
      </c>
      <c r="C4340" s="477">
        <v>9226424.0116187073</v>
      </c>
      <c r="D4340" s="458">
        <v>6.7439377635765574E-2</v>
      </c>
      <c r="E4340" s="477">
        <v>24717849.869175412</v>
      </c>
      <c r="F4340" s="458">
        <v>0.12814837495825171</v>
      </c>
      <c r="G4340" s="477">
        <v>91466063.860678151</v>
      </c>
      <c r="H4340" s="458">
        <v>0.2666684636579093</v>
      </c>
      <c r="I4340" s="468">
        <v>15.88853787381597</v>
      </c>
    </row>
    <row r="4341" spans="1:9" ht="16.5" x14ac:dyDescent="0.3">
      <c r="A4341" s="477">
        <v>454657.78631310764</v>
      </c>
      <c r="B4341" s="458">
        <v>4.8908050312687745E-2</v>
      </c>
      <c r="C4341" s="477">
        <v>5087336.7875282364</v>
      </c>
      <c r="D4341" s="458">
        <v>3.8094268381720253E-2</v>
      </c>
      <c r="E4341" s="477">
        <v>14934841.054934243</v>
      </c>
      <c r="F4341" s="458">
        <v>0.10914559518375477</v>
      </c>
      <c r="G4341" s="477">
        <v>89916566.771620497</v>
      </c>
      <c r="H4341" s="458">
        <v>0.277199203328927</v>
      </c>
      <c r="I4341" s="468">
        <v>8.9332908977202639</v>
      </c>
    </row>
    <row r="4342" spans="1:9" ht="16.5" x14ac:dyDescent="0.3">
      <c r="A4342" s="477">
        <v>4564265.9466508264</v>
      </c>
      <c r="B4342" s="458">
        <v>2.252715788891213E-2</v>
      </c>
      <c r="C4342" s="477">
        <v>2404974.5806483277</v>
      </c>
      <c r="D4342" s="458">
        <v>4.6714332738714948E-2</v>
      </c>
      <c r="E4342" s="477">
        <v>14063277.754483907</v>
      </c>
      <c r="F4342" s="458">
        <v>0.10557289407058246</v>
      </c>
      <c r="G4342" s="477">
        <v>86237344.849735469</v>
      </c>
      <c r="H4342" s="458">
        <v>0.28393133543344917</v>
      </c>
      <c r="I4342" s="468">
        <v>9.2584620508642583</v>
      </c>
    </row>
    <row r="4343" spans="1:9" ht="16.5" x14ac:dyDescent="0.3">
      <c r="A4343" s="477">
        <v>2871181.3236829531</v>
      </c>
      <c r="B4343" s="458">
        <v>3.9300541513100917E-2</v>
      </c>
      <c r="C4343" s="477">
        <v>5764465.011098966</v>
      </c>
      <c r="D4343" s="458">
        <v>7.0393022850273601E-2</v>
      </c>
      <c r="E4343" s="477">
        <v>11285535.089891331</v>
      </c>
      <c r="F4343" s="458">
        <v>0.10095905719746812</v>
      </c>
      <c r="G4343" s="477">
        <v>97433260.548884168</v>
      </c>
      <c r="H4343" s="458">
        <v>0.27389082000394871</v>
      </c>
      <c r="I4343" s="468">
        <v>5.3283189546049758</v>
      </c>
    </row>
    <row r="4344" spans="1:9" ht="16.5" x14ac:dyDescent="0.3">
      <c r="A4344" s="477">
        <v>7192454.2795586847</v>
      </c>
      <c r="B4344" s="458">
        <v>2.3007643288369239E-2</v>
      </c>
      <c r="C4344" s="477">
        <v>10832869.849396713</v>
      </c>
      <c r="D4344" s="458">
        <v>6.07025087766766E-2</v>
      </c>
      <c r="E4344" s="477">
        <v>13515452.473895876</v>
      </c>
      <c r="F4344" s="458">
        <v>0.128660160845808</v>
      </c>
      <c r="G4344" s="477">
        <v>90116456.671960309</v>
      </c>
      <c r="H4344" s="458">
        <v>0.31009007204749683</v>
      </c>
      <c r="I4344" s="468">
        <v>11.147794716939806</v>
      </c>
    </row>
    <row r="4345" spans="1:9" ht="16.5" x14ac:dyDescent="0.3">
      <c r="A4345" s="477">
        <v>5425372.5837705527</v>
      </c>
      <c r="B4345" s="458">
        <v>4.3504435889945459E-2</v>
      </c>
      <c r="C4345" s="477">
        <v>5796010.9638711261</v>
      </c>
      <c r="D4345" s="458">
        <v>8.6524407329379605E-2</v>
      </c>
      <c r="E4345" s="477">
        <v>9481805.1452587228</v>
      </c>
      <c r="F4345" s="458">
        <v>0.1083541548509066</v>
      </c>
      <c r="G4345" s="477">
        <v>93748167.218033999</v>
      </c>
      <c r="H4345" s="458">
        <v>0.26371615650715863</v>
      </c>
      <c r="I4345" s="468">
        <v>6.8026487708621879</v>
      </c>
    </row>
    <row r="4346" spans="1:9" ht="16.5" x14ac:dyDescent="0.3">
      <c r="A4346" s="477">
        <v>1232326.6336792363</v>
      </c>
      <c r="B4346" s="458">
        <v>5.4562411052686333E-2</v>
      </c>
      <c r="C4346" s="477">
        <v>10863992.913122341</v>
      </c>
      <c r="D4346" s="458">
        <v>4.4933939563970293E-2</v>
      </c>
      <c r="E4346" s="477">
        <v>17419844.749011993</v>
      </c>
      <c r="F4346" s="458">
        <v>0.10457479979389994</v>
      </c>
      <c r="G4346" s="477">
        <v>85993688.956897616</v>
      </c>
      <c r="H4346" s="458">
        <v>0.27625243199534233</v>
      </c>
      <c r="I4346" s="468">
        <v>8.6764972772921158</v>
      </c>
    </row>
    <row r="4347" spans="1:9" ht="16.5" x14ac:dyDescent="0.3">
      <c r="A4347" s="477">
        <v>4864106.3300606245</v>
      </c>
      <c r="B4347" s="458">
        <v>5.8402648254009648E-2</v>
      </c>
      <c r="C4347" s="477">
        <v>4209982.1570020812</v>
      </c>
      <c r="D4347" s="458">
        <v>6.4555672438422418E-2</v>
      </c>
      <c r="E4347" s="477">
        <v>19770424.028931841</v>
      </c>
      <c r="F4347" s="458">
        <v>0.14248097773119728</v>
      </c>
      <c r="G4347" s="477">
        <v>94315834.423114419</v>
      </c>
      <c r="H4347" s="458">
        <v>0.26977331190380105</v>
      </c>
      <c r="I4347" s="468">
        <v>12.05192525703765</v>
      </c>
    </row>
    <row r="4348" spans="1:9" ht="16.5" x14ac:dyDescent="0.3">
      <c r="A4348" s="477">
        <v>-24734.711113653237</v>
      </c>
      <c r="B4348" s="458">
        <v>5.4194556240819258E-2</v>
      </c>
      <c r="C4348" s="477">
        <v>12120489.618712213</v>
      </c>
      <c r="D4348" s="458">
        <v>7.9633978587068999E-2</v>
      </c>
      <c r="E4348" s="477">
        <v>15278362.628339466</v>
      </c>
      <c r="F4348" s="458">
        <v>0.10838708687259802</v>
      </c>
      <c r="G4348" s="477">
        <v>92033527.014478266</v>
      </c>
      <c r="H4348" s="458">
        <v>0.29254519044458327</v>
      </c>
      <c r="I4348" s="468">
        <v>15.692649509046461</v>
      </c>
    </row>
    <row r="4349" spans="1:9" ht="16.5" x14ac:dyDescent="0.3">
      <c r="A4349" s="477">
        <v>4982927.3559927596</v>
      </c>
      <c r="B4349" s="458">
        <v>3.8994693957808524E-2</v>
      </c>
      <c r="C4349" s="477">
        <v>6376967.7205133243</v>
      </c>
      <c r="D4349" s="458">
        <v>3.8517168893098752E-2</v>
      </c>
      <c r="E4349" s="477">
        <v>12729114.505090952</v>
      </c>
      <c r="F4349" s="458">
        <v>0.1203252729622617</v>
      </c>
      <c r="G4349" s="477">
        <v>92447480.67405352</v>
      </c>
      <c r="H4349" s="458">
        <v>0.27032677465686228</v>
      </c>
      <c r="I4349" s="468">
        <v>5.9291114592885172</v>
      </c>
    </row>
    <row r="4350" spans="1:9" ht="16.5" x14ac:dyDescent="0.3">
      <c r="A4350" s="477">
        <v>10825350.834312616</v>
      </c>
      <c r="B4350" s="458">
        <v>5.1845316609118397E-2</v>
      </c>
      <c r="C4350" s="477">
        <v>13381043.204931</v>
      </c>
      <c r="D4350" s="458">
        <v>5.8884293306958879E-2</v>
      </c>
      <c r="E4350" s="477">
        <v>16468318.458786169</v>
      </c>
      <c r="F4350" s="458">
        <v>9.8031880274852545E-2</v>
      </c>
      <c r="G4350" s="477">
        <v>90382217.254971579</v>
      </c>
      <c r="H4350" s="458">
        <v>0.28186052770845471</v>
      </c>
      <c r="I4350" s="468">
        <v>13.649671562378076</v>
      </c>
    </row>
    <row r="4351" spans="1:9" ht="16.5" x14ac:dyDescent="0.3">
      <c r="A4351" s="477">
        <v>7572221.8130536601</v>
      </c>
      <c r="B4351" s="458">
        <v>2.4896576581505681E-3</v>
      </c>
      <c r="C4351" s="477">
        <v>9852587.1355402023</v>
      </c>
      <c r="D4351" s="458">
        <v>5.9199119359340191E-2</v>
      </c>
      <c r="E4351" s="477">
        <v>13555922.619176397</v>
      </c>
      <c r="F4351" s="458">
        <v>8.8847174544188334E-2</v>
      </c>
      <c r="G4351" s="477">
        <v>88922557.12507771</v>
      </c>
      <c r="H4351" s="458">
        <v>0.26018848541719075</v>
      </c>
      <c r="I4351" s="468">
        <v>9.8229161351828278</v>
      </c>
    </row>
    <row r="4352" spans="1:9" ht="16.5" x14ac:dyDescent="0.3">
      <c r="A4352" s="477">
        <v>2577845.770471286</v>
      </c>
      <c r="B4352" s="458">
        <v>4.6802581178880365E-2</v>
      </c>
      <c r="C4352" s="477">
        <v>6046881.1650127955</v>
      </c>
      <c r="D4352" s="458">
        <v>6.4253129130314335E-2</v>
      </c>
      <c r="E4352" s="477">
        <v>17747835.044999927</v>
      </c>
      <c r="F4352" s="458">
        <v>0.10384297464130832</v>
      </c>
      <c r="G4352" s="477">
        <v>87551208.164136499</v>
      </c>
      <c r="H4352" s="458">
        <v>0.25989178994257878</v>
      </c>
      <c r="I4352" s="468">
        <v>12.109213484259836</v>
      </c>
    </row>
    <row r="4353" spans="1:9" ht="16.5" x14ac:dyDescent="0.3">
      <c r="A4353" s="477">
        <v>6191222.4856435517</v>
      </c>
      <c r="B4353" s="458">
        <v>5.56592438479524E-2</v>
      </c>
      <c r="C4353" s="477">
        <v>3257802.0800089603</v>
      </c>
      <c r="D4353" s="458">
        <v>5.799486119658992E-2</v>
      </c>
      <c r="E4353" s="477">
        <v>20861952.05317894</v>
      </c>
      <c r="F4353" s="458">
        <v>8.5136079645843354E-2</v>
      </c>
      <c r="G4353" s="477">
        <v>85648412.769497722</v>
      </c>
      <c r="H4353" s="458">
        <v>0.27130863183877407</v>
      </c>
      <c r="I4353" s="468">
        <v>9.706225141278745</v>
      </c>
    </row>
    <row r="4354" spans="1:9" ht="16.5" x14ac:dyDescent="0.3">
      <c r="A4354" s="477">
        <v>10579998.384605221</v>
      </c>
      <c r="B4354" s="458">
        <v>5.7007506871393998E-2</v>
      </c>
      <c r="C4354" s="477">
        <v>7445558.854967718</v>
      </c>
      <c r="D4354" s="458">
        <v>4.8201305021994711E-2</v>
      </c>
      <c r="E4354" s="477">
        <v>13309520.942634558</v>
      </c>
      <c r="F4354" s="458">
        <v>0.12395079669348807</v>
      </c>
      <c r="G4354" s="477">
        <v>100477991.34761479</v>
      </c>
      <c r="H4354" s="458">
        <v>0.2956495119215008</v>
      </c>
      <c r="I4354" s="468">
        <v>6.9887461760112108</v>
      </c>
    </row>
    <row r="4355" spans="1:9" ht="16.5" x14ac:dyDescent="0.3">
      <c r="A4355" s="477">
        <v>1965660.5135217472</v>
      </c>
      <c r="B4355" s="458">
        <v>6.6274090318740875E-2</v>
      </c>
      <c r="C4355" s="477">
        <v>4497741.1756050084</v>
      </c>
      <c r="D4355" s="458">
        <v>6.8961901496896516E-2</v>
      </c>
      <c r="E4355" s="477">
        <v>13543700.117432848</v>
      </c>
      <c r="F4355" s="458">
        <v>0.11621814630060689</v>
      </c>
      <c r="G4355" s="477">
        <v>78082760.187224895</v>
      </c>
      <c r="H4355" s="458">
        <v>0.28186320855708646</v>
      </c>
      <c r="I4355" s="468">
        <v>-0.24666722241517292</v>
      </c>
    </row>
    <row r="4356" spans="1:9" ht="16.5" x14ac:dyDescent="0.3">
      <c r="A4356" s="477">
        <v>-1364469.3320435106</v>
      </c>
      <c r="B4356" s="458">
        <v>4.2994707975779312E-2</v>
      </c>
      <c r="C4356" s="477">
        <v>12344783.061328478</v>
      </c>
      <c r="D4356" s="458">
        <v>8.6034517128473986E-2</v>
      </c>
      <c r="E4356" s="477">
        <v>18135249.661021449</v>
      </c>
      <c r="F4356" s="458">
        <v>0.13463792666376362</v>
      </c>
      <c r="G4356" s="477">
        <v>94908732.166940466</v>
      </c>
      <c r="H4356" s="458">
        <v>0.26622172881358508</v>
      </c>
      <c r="I4356" s="468">
        <v>3.0897653267139198</v>
      </c>
    </row>
    <row r="4357" spans="1:9" ht="16.5" x14ac:dyDescent="0.3">
      <c r="A4357" s="477">
        <v>479772.17017064756</v>
      </c>
      <c r="B4357" s="458">
        <v>2.450149530123058E-2</v>
      </c>
      <c r="C4357" s="477">
        <v>9677782.188314883</v>
      </c>
      <c r="D4357" s="458">
        <v>7.7801191910298551E-2</v>
      </c>
      <c r="E4357" s="477">
        <v>20174658.175831918</v>
      </c>
      <c r="F4357" s="458">
        <v>9.487326802363083E-2</v>
      </c>
      <c r="G4357" s="477">
        <v>86281050.335504919</v>
      </c>
      <c r="H4357" s="458">
        <v>0.25771612932445076</v>
      </c>
      <c r="I4357" s="468">
        <v>9.4079658573767944</v>
      </c>
    </row>
    <row r="4358" spans="1:9" ht="16.5" x14ac:dyDescent="0.3">
      <c r="A4358" s="477">
        <v>4506333.8253271626</v>
      </c>
      <c r="B4358" s="458">
        <v>3.7767486313179832E-2</v>
      </c>
      <c r="C4358" s="477">
        <v>14784160.395942947</v>
      </c>
      <c r="D4358" s="458">
        <v>4.1336914034833416E-2</v>
      </c>
      <c r="E4358" s="477">
        <v>10107763.651647484</v>
      </c>
      <c r="F4358" s="458">
        <v>9.9487217225482594E-2</v>
      </c>
      <c r="G4358" s="477">
        <v>92317110.213043511</v>
      </c>
      <c r="H4358" s="458">
        <v>0.31472591065198419</v>
      </c>
      <c r="I4358" s="468">
        <v>3.1241801426931648</v>
      </c>
    </row>
    <row r="4359" spans="1:9" ht="16.5" x14ac:dyDescent="0.3">
      <c r="A4359" s="477">
        <v>11129294.066843195</v>
      </c>
      <c r="B4359" s="458">
        <v>3.7275667393957601E-2</v>
      </c>
      <c r="C4359" s="477">
        <v>10160937.021215845</v>
      </c>
      <c r="D4359" s="458">
        <v>7.3760517759586808E-2</v>
      </c>
      <c r="E4359" s="477">
        <v>8303307.9593915688</v>
      </c>
      <c r="F4359" s="458">
        <v>0.12121799232782915</v>
      </c>
      <c r="G4359" s="477">
        <v>95625232.611869425</v>
      </c>
      <c r="H4359" s="458">
        <v>0.27521725156493493</v>
      </c>
      <c r="I4359" s="468">
        <v>2.0602754210380283</v>
      </c>
    </row>
    <row r="4360" spans="1:9" ht="16.5" x14ac:dyDescent="0.3">
      <c r="A4360" s="477">
        <v>9999368.2129261084</v>
      </c>
      <c r="B4360" s="458">
        <v>3.7808258301216924E-2</v>
      </c>
      <c r="C4360" s="477">
        <v>3022763.5140706161</v>
      </c>
      <c r="D4360" s="458">
        <v>5.7242317587246738E-2</v>
      </c>
      <c r="E4360" s="477">
        <v>16502919.827198694</v>
      </c>
      <c r="F4360" s="458">
        <v>0.12449781047181485</v>
      </c>
      <c r="G4360" s="477">
        <v>89489174.447884127</v>
      </c>
      <c r="H4360" s="458">
        <v>0.27239910519935706</v>
      </c>
      <c r="I4360" s="468">
        <v>3.222169847004432</v>
      </c>
    </row>
    <row r="4361" spans="1:9" ht="16.5" x14ac:dyDescent="0.3">
      <c r="A4361" s="477">
        <v>4676609.5829757731</v>
      </c>
      <c r="B4361" s="458">
        <v>2.4668665308145155E-2</v>
      </c>
      <c r="C4361" s="477">
        <v>5586812.7997035161</v>
      </c>
      <c r="D4361" s="458">
        <v>2.7940961324588898E-2</v>
      </c>
      <c r="E4361" s="477">
        <v>18343866.500059534</v>
      </c>
      <c r="F4361" s="458">
        <v>9.1265674492037929E-2</v>
      </c>
      <c r="G4361" s="477">
        <v>78863875.121792227</v>
      </c>
      <c r="H4361" s="458">
        <v>0.34814769491433384</v>
      </c>
      <c r="I4361" s="468">
        <v>8.901968500106987</v>
      </c>
    </row>
    <row r="4362" spans="1:9" ht="16.5" x14ac:dyDescent="0.3">
      <c r="A4362" s="477">
        <v>11171326.563587185</v>
      </c>
      <c r="B4362" s="458">
        <v>3.8609897986902064E-2</v>
      </c>
      <c r="C4362" s="477">
        <v>4887985.7802153025</v>
      </c>
      <c r="D4362" s="458">
        <v>5.1921146587233569E-2</v>
      </c>
      <c r="E4362" s="477">
        <v>15638225.839238504</v>
      </c>
      <c r="F4362" s="458">
        <v>0.12395690508642443</v>
      </c>
      <c r="G4362" s="477">
        <v>95811806.752761751</v>
      </c>
      <c r="H4362" s="458">
        <v>0.28055234957406561</v>
      </c>
      <c r="I4362" s="468">
        <v>2.0739454355542417</v>
      </c>
    </row>
    <row r="4363" spans="1:9" ht="16.5" x14ac:dyDescent="0.3">
      <c r="A4363" s="477">
        <v>7041092.1853598887</v>
      </c>
      <c r="B4363" s="458">
        <v>3.532426883101536E-2</v>
      </c>
      <c r="C4363" s="477">
        <v>6257582.9206669172</v>
      </c>
      <c r="D4363" s="458">
        <v>6.706078505224311E-2</v>
      </c>
      <c r="E4363" s="477">
        <v>18899857.576659415</v>
      </c>
      <c r="F4363" s="458">
        <v>0.10625214208465272</v>
      </c>
      <c r="G4363" s="477">
        <v>94328910.072858498</v>
      </c>
      <c r="H4363" s="458">
        <v>0.2618994978923519</v>
      </c>
      <c r="I4363" s="468">
        <v>12.539249996603207</v>
      </c>
    </row>
    <row r="4364" spans="1:9" ht="16.5" x14ac:dyDescent="0.3">
      <c r="A4364" s="477">
        <v>2017547.9373001161</v>
      </c>
      <c r="B4364" s="458">
        <v>3.7170501885925189E-2</v>
      </c>
      <c r="C4364" s="477">
        <v>5847967.4527239576</v>
      </c>
      <c r="D4364" s="458">
        <v>8.545263366509892E-2</v>
      </c>
      <c r="E4364" s="477">
        <v>16203019.354451559</v>
      </c>
      <c r="F4364" s="458">
        <v>0.11672896203094152</v>
      </c>
      <c r="G4364" s="477">
        <v>92215081.668798178</v>
      </c>
      <c r="H4364" s="458">
        <v>0.26360641902423421</v>
      </c>
      <c r="I4364" s="468">
        <v>14.797007514086076</v>
      </c>
    </row>
    <row r="4365" spans="1:9" ht="16.5" x14ac:dyDescent="0.3">
      <c r="A4365" s="477">
        <v>5378473.3964949008</v>
      </c>
      <c r="B4365" s="458">
        <v>1.8285488638799308E-2</v>
      </c>
      <c r="C4365" s="477">
        <v>4674932.0349804265</v>
      </c>
      <c r="D4365" s="458">
        <v>7.8337383167914387E-2</v>
      </c>
      <c r="E4365" s="477">
        <v>28271945.701105665</v>
      </c>
      <c r="F4365" s="458">
        <v>0.1169072279238228</v>
      </c>
      <c r="G4365" s="477">
        <v>88188254.368424803</v>
      </c>
      <c r="H4365" s="458">
        <v>0.25329110849952508</v>
      </c>
      <c r="I4365" s="468">
        <v>10.913121795025235</v>
      </c>
    </row>
    <row r="4366" spans="1:9" ht="16.5" x14ac:dyDescent="0.3">
      <c r="A4366" s="477">
        <v>5461349.5960997567</v>
      </c>
      <c r="B4366" s="458">
        <v>3.7445363157196043E-2</v>
      </c>
      <c r="C4366" s="477">
        <v>5564568.9223838737</v>
      </c>
      <c r="D4366" s="458">
        <v>4.7517777291354868E-2</v>
      </c>
      <c r="E4366" s="477">
        <v>8035984.4762960952</v>
      </c>
      <c r="F4366" s="458">
        <v>0.12408335268863802</v>
      </c>
      <c r="G4366" s="477">
        <v>89605577.729082957</v>
      </c>
      <c r="H4366" s="458">
        <v>0.29060808610914068</v>
      </c>
      <c r="I4366" s="468">
        <v>15.728293412607036</v>
      </c>
    </row>
    <row r="4367" spans="1:9" ht="16.5" x14ac:dyDescent="0.3">
      <c r="A4367" s="477">
        <v>3053954.3129340424</v>
      </c>
      <c r="B4367" s="458">
        <v>1.7138041363591539E-2</v>
      </c>
      <c r="C4367" s="477">
        <v>7479984.6128156185</v>
      </c>
      <c r="D4367" s="458">
        <v>4.8067780235080404E-2</v>
      </c>
      <c r="E4367" s="477">
        <v>13223521.594896697</v>
      </c>
      <c r="F4367" s="458">
        <v>0.12250532921036306</v>
      </c>
      <c r="G4367" s="477">
        <v>76990491.604696035</v>
      </c>
      <c r="H4367" s="458">
        <v>0.27981976382039431</v>
      </c>
      <c r="I4367" s="468">
        <v>10.922067171831777</v>
      </c>
    </row>
    <row r="4368" spans="1:9" ht="16.5" x14ac:dyDescent="0.3">
      <c r="A4368" s="477">
        <v>6379274.0925000636</v>
      </c>
      <c r="B4368" s="458">
        <v>3.4239582166616156E-2</v>
      </c>
      <c r="C4368" s="477">
        <v>5745829.3452672185</v>
      </c>
      <c r="D4368" s="458">
        <v>5.9517709769916216E-2</v>
      </c>
      <c r="E4368" s="477">
        <v>16092849.21471232</v>
      </c>
      <c r="F4368" s="458">
        <v>9.2695453525522442E-2</v>
      </c>
      <c r="G4368" s="477">
        <v>96075089.368806526</v>
      </c>
      <c r="H4368" s="458">
        <v>0.25269971077750375</v>
      </c>
      <c r="I4368" s="468">
        <v>8.8881630614468978</v>
      </c>
    </row>
    <row r="4369" spans="1:9" ht="16.5" x14ac:dyDescent="0.3">
      <c r="A4369" s="477">
        <v>6462693.8291857829</v>
      </c>
      <c r="B4369" s="458">
        <v>5.3255809126248277E-2</v>
      </c>
      <c r="C4369" s="477">
        <v>2027324.2529186902</v>
      </c>
      <c r="D4369" s="458">
        <v>4.8926839919625875E-2</v>
      </c>
      <c r="E4369" s="477">
        <v>23010372.940991849</v>
      </c>
      <c r="F4369" s="458">
        <v>9.0100087532225537E-2</v>
      </c>
      <c r="G4369" s="477">
        <v>90461056.976806074</v>
      </c>
      <c r="H4369" s="458">
        <v>0.2744728652398174</v>
      </c>
      <c r="I4369" s="468">
        <v>6.7753648183395754</v>
      </c>
    </row>
    <row r="4370" spans="1:9" ht="16.5" x14ac:dyDescent="0.3">
      <c r="A4370" s="477">
        <v>4859579.7469820818</v>
      </c>
      <c r="B4370" s="458">
        <v>4.7490209905970193E-2</v>
      </c>
      <c r="C4370" s="477">
        <v>8096893.5585459461</v>
      </c>
      <c r="D4370" s="458">
        <v>3.8183935890216958E-2</v>
      </c>
      <c r="E4370" s="477">
        <v>12300308.833253467</v>
      </c>
      <c r="F4370" s="458">
        <v>8.8952333740845546E-2</v>
      </c>
      <c r="G4370" s="477">
        <v>84593194.773070991</v>
      </c>
      <c r="H4370" s="458">
        <v>0.25586827366489384</v>
      </c>
      <c r="I4370" s="468">
        <v>2.5348603073794314</v>
      </c>
    </row>
    <row r="4371" spans="1:9" ht="16.5" x14ac:dyDescent="0.3">
      <c r="A4371" s="477">
        <v>10018447.27002378</v>
      </c>
      <c r="B4371" s="458">
        <v>4.503255627665137E-2</v>
      </c>
      <c r="C4371" s="477">
        <v>11942655.16088308</v>
      </c>
      <c r="D4371" s="458">
        <v>9.4441035026243458E-2</v>
      </c>
      <c r="E4371" s="477">
        <v>19523358.321363937</v>
      </c>
      <c r="F4371" s="458">
        <v>0.10339870385083727</v>
      </c>
      <c r="G4371" s="477">
        <v>97484725.925263122</v>
      </c>
      <c r="H4371" s="458">
        <v>0.26554984747885202</v>
      </c>
      <c r="I4371" s="468">
        <v>8.2788495978732328</v>
      </c>
    </row>
    <row r="4372" spans="1:9" ht="16.5" x14ac:dyDescent="0.3">
      <c r="A4372" s="477">
        <v>7755974.0660159513</v>
      </c>
      <c r="B4372" s="458">
        <v>2.1481993823351475E-2</v>
      </c>
      <c r="C4372" s="477">
        <v>597461.19447411096</v>
      </c>
      <c r="D4372" s="458">
        <v>8.1338091253934985E-2</v>
      </c>
      <c r="E4372" s="477">
        <v>16225978.412253411</v>
      </c>
      <c r="F4372" s="458">
        <v>0.12188608065140727</v>
      </c>
      <c r="G4372" s="477">
        <v>92980183.772561997</v>
      </c>
      <c r="H4372" s="458">
        <v>0.25924907839337785</v>
      </c>
      <c r="I4372" s="468">
        <v>4.3553175553857413</v>
      </c>
    </row>
    <row r="4373" spans="1:9" ht="16.5" x14ac:dyDescent="0.3">
      <c r="A4373" s="477">
        <v>4241865.2373713972</v>
      </c>
      <c r="B4373" s="458">
        <v>2.9147388313017331E-2</v>
      </c>
      <c r="C4373" s="477">
        <v>11663848.444077423</v>
      </c>
      <c r="D4373" s="458">
        <v>3.0937435281021219E-2</v>
      </c>
      <c r="E4373" s="477">
        <v>25690786.341419559</v>
      </c>
      <c r="F4373" s="458">
        <v>0.12058426014802381</v>
      </c>
      <c r="G4373" s="477">
        <v>100105020.69650623</v>
      </c>
      <c r="H4373" s="458">
        <v>0.27777799773757961</v>
      </c>
      <c r="I4373" s="468">
        <v>8.5692636657564094</v>
      </c>
    </row>
    <row r="4374" spans="1:9" ht="16.5" x14ac:dyDescent="0.3">
      <c r="A4374" s="477">
        <v>7793181.8502297765</v>
      </c>
      <c r="B4374" s="458">
        <v>4.6045141460670846E-2</v>
      </c>
      <c r="C4374" s="477">
        <v>8881173.2542496324</v>
      </c>
      <c r="D4374" s="458">
        <v>7.9558303291814791E-2</v>
      </c>
      <c r="E4374" s="477">
        <v>17317203.154677998</v>
      </c>
      <c r="F4374" s="458">
        <v>9.1554914741257098E-2</v>
      </c>
      <c r="G4374" s="477">
        <v>99793639.238768354</v>
      </c>
      <c r="H4374" s="458">
        <v>0.2638732063803173</v>
      </c>
      <c r="I4374" s="468">
        <v>7.434471678472188</v>
      </c>
    </row>
    <row r="4375" spans="1:9" ht="16.5" x14ac:dyDescent="0.3">
      <c r="A4375" s="477">
        <v>2547385.9993244167</v>
      </c>
      <c r="B4375" s="458">
        <v>2.7963529746535043E-2</v>
      </c>
      <c r="C4375" s="477">
        <v>8559667.1654558629</v>
      </c>
      <c r="D4375" s="458">
        <v>7.6892400130473826E-2</v>
      </c>
      <c r="E4375" s="477">
        <v>18355831.123891041</v>
      </c>
      <c r="F4375" s="458">
        <v>0.10814821709393785</v>
      </c>
      <c r="G4375" s="477">
        <v>86426624.034645945</v>
      </c>
      <c r="H4375" s="458">
        <v>0.27772822400720232</v>
      </c>
      <c r="I4375" s="468">
        <v>6.587702072800111</v>
      </c>
    </row>
    <row r="4376" spans="1:9" ht="16.5" x14ac:dyDescent="0.3">
      <c r="A4376" s="477">
        <v>5883360.4195402265</v>
      </c>
      <c r="B4376" s="458">
        <v>4.5447728714072655E-2</v>
      </c>
      <c r="C4376" s="477">
        <v>11363780.473029997</v>
      </c>
      <c r="D4376" s="458">
        <v>3.5678349744098004E-2</v>
      </c>
      <c r="E4376" s="477">
        <v>14037657.719230279</v>
      </c>
      <c r="F4376" s="458">
        <v>0.11057152130289194</v>
      </c>
      <c r="G4376" s="477">
        <v>95903107.552354842</v>
      </c>
      <c r="H4376" s="458">
        <v>0.2656224860858194</v>
      </c>
      <c r="I4376" s="468">
        <v>12.637926244492142</v>
      </c>
    </row>
    <row r="4377" spans="1:9" ht="16.5" x14ac:dyDescent="0.3">
      <c r="A4377" s="477">
        <v>8614816.4260349628</v>
      </c>
      <c r="B4377" s="458">
        <v>3.5778384772012117E-2</v>
      </c>
      <c r="C4377" s="477">
        <v>11978241.498274801</v>
      </c>
      <c r="D4377" s="458">
        <v>8.032162958276623E-2</v>
      </c>
      <c r="E4377" s="477">
        <v>15547133.637630519</v>
      </c>
      <c r="F4377" s="458">
        <v>0.12298938166370843</v>
      </c>
      <c r="G4377" s="477">
        <v>84511522.64644663</v>
      </c>
      <c r="H4377" s="458">
        <v>0.27895648486366875</v>
      </c>
      <c r="I4377" s="468">
        <v>11.226615809865653</v>
      </c>
    </row>
    <row r="4378" spans="1:9" ht="16.5" x14ac:dyDescent="0.3">
      <c r="A4378" s="477">
        <v>4112625.7751487331</v>
      </c>
      <c r="B4378" s="458">
        <v>2.8829853349619627E-2</v>
      </c>
      <c r="C4378" s="477">
        <v>6509667.1806103466</v>
      </c>
      <c r="D4378" s="458">
        <v>6.1858775600907689E-2</v>
      </c>
      <c r="E4378" s="477">
        <v>19423772.787891351</v>
      </c>
      <c r="F4378" s="458">
        <v>0.13635803284667913</v>
      </c>
      <c r="G4378" s="477">
        <v>101230326.21850739</v>
      </c>
      <c r="H4378" s="458">
        <v>0.26787070655318446</v>
      </c>
      <c r="I4378" s="468">
        <v>13.788504284426864</v>
      </c>
    </row>
    <row r="4379" spans="1:9" ht="16.5" x14ac:dyDescent="0.3">
      <c r="A4379" s="477">
        <v>8530084.9865305349</v>
      </c>
      <c r="B4379" s="458">
        <v>3.9699120424153689E-2</v>
      </c>
      <c r="C4379" s="477">
        <v>7410861.3591959411</v>
      </c>
      <c r="D4379" s="458">
        <v>8.55213228215983E-2</v>
      </c>
      <c r="E4379" s="477">
        <v>19031142.730599962</v>
      </c>
      <c r="F4379" s="458">
        <v>8.0115405753328428E-2</v>
      </c>
      <c r="G4379" s="477">
        <v>84298851.784355044</v>
      </c>
      <c r="H4379" s="458">
        <v>0.28070815094781643</v>
      </c>
      <c r="I4379" s="468">
        <v>2.1905733917064376</v>
      </c>
    </row>
    <row r="4380" spans="1:9" ht="16.5" x14ac:dyDescent="0.3">
      <c r="A4380" s="477">
        <v>6191409.918415078</v>
      </c>
      <c r="B4380" s="458">
        <v>6.0208058323782954E-2</v>
      </c>
      <c r="C4380" s="477">
        <v>12287647.680861438</v>
      </c>
      <c r="D4380" s="458">
        <v>6.5654984496033464E-2</v>
      </c>
      <c r="E4380" s="477">
        <v>14897604.70258945</v>
      </c>
      <c r="F4380" s="458">
        <v>0.10728478963429677</v>
      </c>
      <c r="G4380" s="477">
        <v>100245921.62595215</v>
      </c>
      <c r="H4380" s="458">
        <v>0.26660609740535746</v>
      </c>
      <c r="I4380" s="468">
        <v>2.0400364356903928</v>
      </c>
    </row>
    <row r="4381" spans="1:9" ht="16.5" x14ac:dyDescent="0.3">
      <c r="A4381" s="477">
        <v>7566339.1902357619</v>
      </c>
      <c r="B4381" s="458">
        <v>4.5013807878916179E-2</v>
      </c>
      <c r="C4381" s="477">
        <v>11021901.280385906</v>
      </c>
      <c r="D4381" s="458">
        <v>5.1387080246311001E-2</v>
      </c>
      <c r="E4381" s="477">
        <v>21546376.900019076</v>
      </c>
      <c r="F4381" s="458">
        <v>0.11935312413579946</v>
      </c>
      <c r="G4381" s="477">
        <v>85261258.769891664</v>
      </c>
      <c r="H4381" s="458">
        <v>0.26092786205902141</v>
      </c>
      <c r="I4381" s="468">
        <v>5.0054309286993455</v>
      </c>
    </row>
    <row r="4382" spans="1:9" ht="16.5" x14ac:dyDescent="0.3">
      <c r="A4382" s="477">
        <v>998808.70870462258</v>
      </c>
      <c r="B4382" s="458">
        <v>4.4172782545109701E-2</v>
      </c>
      <c r="C4382" s="477">
        <v>10795853.245347062</v>
      </c>
      <c r="D4382" s="458">
        <v>6.2302727556923454E-2</v>
      </c>
      <c r="E4382" s="477">
        <v>24526492.968315691</v>
      </c>
      <c r="F4382" s="458">
        <v>9.7655004964835923E-2</v>
      </c>
      <c r="G4382" s="477">
        <v>74879898.221222043</v>
      </c>
      <c r="H4382" s="458">
        <v>0.26600879771760444</v>
      </c>
      <c r="I4382" s="468">
        <v>9.5712616459382573</v>
      </c>
    </row>
    <row r="4383" spans="1:9" ht="16.5" x14ac:dyDescent="0.3">
      <c r="A4383" s="477">
        <v>4841305.1148166675</v>
      </c>
      <c r="B4383" s="458">
        <v>7.5165111139510188E-2</v>
      </c>
      <c r="C4383" s="477">
        <v>6485122.449051897</v>
      </c>
      <c r="D4383" s="458">
        <v>8.2126823924927539E-2</v>
      </c>
      <c r="E4383" s="477">
        <v>15880419.416762048</v>
      </c>
      <c r="F4383" s="458">
        <v>9.6539540679343006E-2</v>
      </c>
      <c r="G4383" s="477">
        <v>89813731.289935291</v>
      </c>
      <c r="H4383" s="458">
        <v>0.30404548011523902</v>
      </c>
      <c r="I4383" s="468">
        <v>4.0213227980104129</v>
      </c>
    </row>
    <row r="4384" spans="1:9" ht="16.5" x14ac:dyDescent="0.3">
      <c r="A4384" s="477">
        <v>7865484.1604508953</v>
      </c>
      <c r="B4384" s="458">
        <v>5.4055349360935034E-2</v>
      </c>
      <c r="C4384" s="477">
        <v>5059234.4250131771</v>
      </c>
      <c r="D4384" s="458">
        <v>6.3957866038739875E-2</v>
      </c>
      <c r="E4384" s="477">
        <v>13626146.945960088</v>
      </c>
      <c r="F4384" s="458">
        <v>8.1791089226565417E-2</v>
      </c>
      <c r="G4384" s="477">
        <v>96049503.924999297</v>
      </c>
      <c r="H4384" s="458">
        <v>0.30276044371742095</v>
      </c>
      <c r="I4384" s="468">
        <v>8.5539274420597433</v>
      </c>
    </row>
    <row r="4385" spans="1:9" ht="16.5" x14ac:dyDescent="0.3">
      <c r="A4385" s="477">
        <v>4397962.1177356355</v>
      </c>
      <c r="B4385" s="458">
        <v>7.7173049817002903E-2</v>
      </c>
      <c r="C4385" s="477">
        <v>11838138.297658799</v>
      </c>
      <c r="D4385" s="458">
        <v>7.738436224099976E-2</v>
      </c>
      <c r="E4385" s="477">
        <v>17077985.806142654</v>
      </c>
      <c r="F4385" s="458">
        <v>0.11036795599038318</v>
      </c>
      <c r="G4385" s="477">
        <v>92427556.163806155</v>
      </c>
      <c r="H4385" s="458">
        <v>0.26227898952906425</v>
      </c>
      <c r="I4385" s="468">
        <v>7.9903604302996998</v>
      </c>
    </row>
    <row r="4386" spans="1:9" ht="16.5" x14ac:dyDescent="0.3">
      <c r="A4386" s="477">
        <v>9252912.9430768769</v>
      </c>
      <c r="B4386" s="458">
        <v>6.1017457626262317E-2</v>
      </c>
      <c r="C4386" s="477">
        <v>2766189.8346094862</v>
      </c>
      <c r="D4386" s="458">
        <v>5.7557988950608374E-2</v>
      </c>
      <c r="E4386" s="477">
        <v>9456018.6572760902</v>
      </c>
      <c r="F4386" s="458">
        <v>0.10151711279038</v>
      </c>
      <c r="G4386" s="477">
        <v>87013428.430986345</v>
      </c>
      <c r="H4386" s="458">
        <v>0.25764242508549451</v>
      </c>
      <c r="I4386" s="468">
        <v>10.427101334773816</v>
      </c>
    </row>
    <row r="4387" spans="1:9" ht="16.5" x14ac:dyDescent="0.3">
      <c r="A4387" s="477">
        <v>6615415.9760517571</v>
      </c>
      <c r="B4387" s="458">
        <v>4.0783121654299537E-2</v>
      </c>
      <c r="C4387" s="477">
        <v>9644593.4435627889</v>
      </c>
      <c r="D4387" s="458">
        <v>8.3341485546052363E-2</v>
      </c>
      <c r="E4387" s="477">
        <v>7490285.9686326617</v>
      </c>
      <c r="F4387" s="458">
        <v>0.11002815851176884</v>
      </c>
      <c r="G4387" s="477">
        <v>90080612.290373579</v>
      </c>
      <c r="H4387" s="458">
        <v>0.30443359107079715</v>
      </c>
      <c r="I4387" s="468">
        <v>8.2588787199966323</v>
      </c>
    </row>
    <row r="4388" spans="1:9" ht="16.5" x14ac:dyDescent="0.3">
      <c r="A4388" s="477">
        <v>4775444.3792529162</v>
      </c>
      <c r="B4388" s="458">
        <v>4.6944944125947519E-2</v>
      </c>
      <c r="C4388" s="477">
        <v>4182329.7059937385</v>
      </c>
      <c r="D4388" s="458">
        <v>7.1010411007423446E-2</v>
      </c>
      <c r="E4388" s="477">
        <v>21189311.153914768</v>
      </c>
      <c r="F4388" s="458">
        <v>0.12199042194238796</v>
      </c>
      <c r="G4388" s="477">
        <v>93142829.943374142</v>
      </c>
      <c r="H4388" s="458">
        <v>0.27914170484761969</v>
      </c>
      <c r="I4388" s="468">
        <v>0.24517994009482713</v>
      </c>
    </row>
    <row r="4389" spans="1:9" ht="16.5" x14ac:dyDescent="0.3">
      <c r="A4389" s="477">
        <v>8910018.5664897989</v>
      </c>
      <c r="B4389" s="458">
        <v>4.8326961664729051E-2</v>
      </c>
      <c r="C4389" s="477">
        <v>9711505.8048451338</v>
      </c>
      <c r="D4389" s="458">
        <v>4.2667437033446776E-2</v>
      </c>
      <c r="E4389" s="477">
        <v>15364386.246329682</v>
      </c>
      <c r="F4389" s="458">
        <v>0.12263875989024053</v>
      </c>
      <c r="G4389" s="477">
        <v>90706784.941046953</v>
      </c>
      <c r="H4389" s="458">
        <v>0.24920147005717874</v>
      </c>
      <c r="I4389" s="468">
        <v>6.3583831433641986</v>
      </c>
    </row>
    <row r="4390" spans="1:9" ht="16.5" x14ac:dyDescent="0.3">
      <c r="A4390" s="477">
        <v>6988270.4035810512</v>
      </c>
      <c r="B4390" s="458">
        <v>2.7287556894540321E-2</v>
      </c>
      <c r="C4390" s="477">
        <v>4255888.1496372893</v>
      </c>
      <c r="D4390" s="458">
        <v>5.959571961616561E-2</v>
      </c>
      <c r="E4390" s="477">
        <v>14923009.186483327</v>
      </c>
      <c r="F4390" s="458">
        <v>0.12160602901764617</v>
      </c>
      <c r="G4390" s="477">
        <v>96314911.532649577</v>
      </c>
      <c r="H4390" s="458">
        <v>0.25719783359577009</v>
      </c>
      <c r="I4390" s="468">
        <v>12.619769071669896</v>
      </c>
    </row>
    <row r="4391" spans="1:9" ht="16.5" x14ac:dyDescent="0.3">
      <c r="A4391" s="477">
        <v>4979089.7576135369</v>
      </c>
      <c r="B4391" s="458">
        <v>2.4666709128950082E-2</v>
      </c>
      <c r="C4391" s="477">
        <v>8252646.6282232637</v>
      </c>
      <c r="D4391" s="458">
        <v>6.6093086859814409E-2</v>
      </c>
      <c r="E4391" s="477">
        <v>19427607.94954991</v>
      </c>
      <c r="F4391" s="458">
        <v>9.9350869326585212E-2</v>
      </c>
      <c r="G4391" s="477">
        <v>91775608.114429846</v>
      </c>
      <c r="H4391" s="458">
        <v>0.2618497932454571</v>
      </c>
      <c r="I4391" s="468">
        <v>11.96944421909512</v>
      </c>
    </row>
    <row r="4392" spans="1:9" ht="16.5" x14ac:dyDescent="0.3">
      <c r="A4392" s="477">
        <v>-1100377.7781009984</v>
      </c>
      <c r="B4392" s="458">
        <v>3.9430839655673511E-2</v>
      </c>
      <c r="C4392" s="477">
        <v>16275786.539746698</v>
      </c>
      <c r="D4392" s="458">
        <v>6.7234802671450211E-2</v>
      </c>
      <c r="E4392" s="477">
        <v>10657235.077200567</v>
      </c>
      <c r="F4392" s="458">
        <v>0.12224688373609882</v>
      </c>
      <c r="G4392" s="477">
        <v>78571292.893601924</v>
      </c>
      <c r="H4392" s="458">
        <v>0.26396615338198992</v>
      </c>
      <c r="I4392" s="468">
        <v>8.7871374319034992</v>
      </c>
    </row>
    <row r="4393" spans="1:9" ht="16.5" x14ac:dyDescent="0.3">
      <c r="A4393" s="477">
        <v>3415081.8065642961</v>
      </c>
      <c r="B4393" s="458">
        <v>4.1717012115039864E-2</v>
      </c>
      <c r="C4393" s="477">
        <v>8529247.0483586974</v>
      </c>
      <c r="D4393" s="458">
        <v>7.9474331042652668E-2</v>
      </c>
      <c r="E4393" s="477">
        <v>11150351.72747968</v>
      </c>
      <c r="F4393" s="458">
        <v>0.1255840879322716</v>
      </c>
      <c r="G4393" s="477">
        <v>75544221.013894856</v>
      </c>
      <c r="H4393" s="458">
        <v>0.26255348851784621</v>
      </c>
      <c r="I4393" s="468">
        <v>6.1767120506033839</v>
      </c>
    </row>
    <row r="4394" spans="1:9" ht="16.5" x14ac:dyDescent="0.3">
      <c r="A4394" s="477">
        <v>4972460.2388152257</v>
      </c>
      <c r="B4394" s="458">
        <v>3.9349323962567295E-2</v>
      </c>
      <c r="C4394" s="477">
        <v>5825203.2280754643</v>
      </c>
      <c r="D4394" s="458">
        <v>4.2867801410390483E-2</v>
      </c>
      <c r="E4394" s="477">
        <v>16148179.142814219</v>
      </c>
      <c r="F4394" s="458">
        <v>0.13492797867845696</v>
      </c>
      <c r="G4394" s="477">
        <v>81268088.719951928</v>
      </c>
      <c r="H4394" s="458">
        <v>0.29314660834822992</v>
      </c>
      <c r="I4394" s="468">
        <v>11.260748650019131</v>
      </c>
    </row>
    <row r="4395" spans="1:9" ht="16.5" x14ac:dyDescent="0.3">
      <c r="A4395" s="477">
        <v>5143868.6986815715</v>
      </c>
      <c r="B4395" s="458">
        <v>5.8082670429216998E-2</v>
      </c>
      <c r="C4395" s="477">
        <v>8890282.7141166106</v>
      </c>
      <c r="D4395" s="458">
        <v>1.6776091308444707E-2</v>
      </c>
      <c r="E4395" s="477">
        <v>14225059.121697629</v>
      </c>
      <c r="F4395" s="458">
        <v>0.14831187258831857</v>
      </c>
      <c r="G4395" s="477">
        <v>97094692.052166522</v>
      </c>
      <c r="H4395" s="458">
        <v>0.25114206984134291</v>
      </c>
      <c r="I4395" s="468">
        <v>5.2645450334883117</v>
      </c>
    </row>
    <row r="4396" spans="1:9" ht="16.5" x14ac:dyDescent="0.3">
      <c r="A4396" s="477">
        <v>8298187.7077907622</v>
      </c>
      <c r="B4396" s="458">
        <v>3.5764959248448802E-2</v>
      </c>
      <c r="C4396" s="477">
        <v>8096188.3687452022</v>
      </c>
      <c r="D4396" s="458">
        <v>6.4122777896464589E-2</v>
      </c>
      <c r="E4396" s="477">
        <v>11766770.295655319</v>
      </c>
      <c r="F4396" s="458">
        <v>0.10297326281599739</v>
      </c>
      <c r="G4396" s="477">
        <v>96233500.036558062</v>
      </c>
      <c r="H4396" s="458">
        <v>0.25835490982734988</v>
      </c>
      <c r="I4396" s="468">
        <v>8.1643603660899604</v>
      </c>
    </row>
    <row r="4397" spans="1:9" ht="16.5" x14ac:dyDescent="0.3">
      <c r="A4397" s="477">
        <v>9562458.4207435679</v>
      </c>
      <c r="B4397" s="458">
        <v>3.4016049336158982E-2</v>
      </c>
      <c r="C4397" s="477">
        <v>13421938.410076693</v>
      </c>
      <c r="D4397" s="458">
        <v>3.6977968079641155E-2</v>
      </c>
      <c r="E4397" s="477">
        <v>13575404.082888361</v>
      </c>
      <c r="F4397" s="458">
        <v>0.11885559630691289</v>
      </c>
      <c r="G4397" s="477">
        <v>92986928.289587274</v>
      </c>
      <c r="H4397" s="458">
        <v>0.29281785819700579</v>
      </c>
      <c r="I4397" s="468">
        <v>6.7666344039981157</v>
      </c>
    </row>
    <row r="4398" spans="1:9" ht="16.5" x14ac:dyDescent="0.3">
      <c r="A4398" s="477">
        <v>-2131567.6731552468</v>
      </c>
      <c r="B4398" s="458">
        <v>8.4376800503895844E-2</v>
      </c>
      <c r="C4398" s="477">
        <v>5566520.4347099485</v>
      </c>
      <c r="D4398" s="458">
        <v>5.2788260897124628E-2</v>
      </c>
      <c r="E4398" s="477">
        <v>10015855.969596736</v>
      </c>
      <c r="F4398" s="458">
        <v>0.11346961442822789</v>
      </c>
      <c r="G4398" s="477">
        <v>108854266.70274909</v>
      </c>
      <c r="H4398" s="458">
        <v>0.26974295630496514</v>
      </c>
      <c r="I4398" s="468">
        <v>11.268625844972906</v>
      </c>
    </row>
    <row r="4399" spans="1:9" ht="16.5" x14ac:dyDescent="0.3">
      <c r="A4399" s="477">
        <v>2278599.5950019457</v>
      </c>
      <c r="B4399" s="458">
        <v>5.6337963945922054E-2</v>
      </c>
      <c r="C4399" s="477">
        <v>6444411.5875583822</v>
      </c>
      <c r="D4399" s="458">
        <v>4.7413956621033648E-2</v>
      </c>
      <c r="E4399" s="477">
        <v>18955219.839883603</v>
      </c>
      <c r="F4399" s="458">
        <v>9.8418759022478541E-2</v>
      </c>
      <c r="G4399" s="477">
        <v>79544934.863815293</v>
      </c>
      <c r="H4399" s="458">
        <v>0.27247452821776985</v>
      </c>
      <c r="I4399" s="468">
        <v>4.8561106423279128</v>
      </c>
    </row>
    <row r="4400" spans="1:9" ht="16.5" x14ac:dyDescent="0.3">
      <c r="A4400" s="477">
        <v>4554895.9165332448</v>
      </c>
      <c r="B4400" s="458">
        <v>3.9307743823705721E-2</v>
      </c>
      <c r="C4400" s="477">
        <v>8994469.8443284929</v>
      </c>
      <c r="D4400" s="458">
        <v>8.2051274683674569E-2</v>
      </c>
      <c r="E4400" s="477">
        <v>15794936.812554846</v>
      </c>
      <c r="F4400" s="458">
        <v>0.12393791475430116</v>
      </c>
      <c r="G4400" s="477">
        <v>82611044.41789645</v>
      </c>
      <c r="H4400" s="458">
        <v>0.27230834428664807</v>
      </c>
      <c r="I4400" s="468">
        <v>8.8972511916494579</v>
      </c>
    </row>
    <row r="4401" spans="1:9" ht="16.5" x14ac:dyDescent="0.3">
      <c r="A4401" s="477">
        <v>5331292.3536271993</v>
      </c>
      <c r="B4401" s="458">
        <v>3.5427410622648203E-2</v>
      </c>
      <c r="C4401" s="477">
        <v>9464434.9576740693</v>
      </c>
      <c r="D4401" s="458">
        <v>4.9541198012356569E-2</v>
      </c>
      <c r="E4401" s="477">
        <v>22385749.941338547</v>
      </c>
      <c r="F4401" s="458">
        <v>9.3289982185885245E-2</v>
      </c>
      <c r="G4401" s="477">
        <v>78850941.352468804</v>
      </c>
      <c r="H4401" s="458">
        <v>0.28022676211735065</v>
      </c>
      <c r="I4401" s="468">
        <v>11.407860061773826</v>
      </c>
    </row>
    <row r="4402" spans="1:9" ht="16.5" x14ac:dyDescent="0.3">
      <c r="A4402" s="477">
        <v>3733582.1250590002</v>
      </c>
      <c r="B4402" s="458">
        <v>5.2895719804002317E-2</v>
      </c>
      <c r="C4402" s="477">
        <v>3781618.9465166633</v>
      </c>
      <c r="D4402" s="458">
        <v>6.7201089771312894E-2</v>
      </c>
      <c r="E4402" s="477">
        <v>23398434.770809028</v>
      </c>
      <c r="F4402" s="458">
        <v>0.11769273056923857</v>
      </c>
      <c r="G4402" s="477">
        <v>98516099.014448389</v>
      </c>
      <c r="H4402" s="458">
        <v>0.27604454659100708</v>
      </c>
      <c r="I4402" s="468">
        <v>5.1219136741358984</v>
      </c>
    </row>
    <row r="4403" spans="1:9" ht="16.5" x14ac:dyDescent="0.3">
      <c r="A4403" s="477">
        <v>3056328.5338183544</v>
      </c>
      <c r="B4403" s="458">
        <v>3.90470240025802E-2</v>
      </c>
      <c r="C4403" s="477">
        <v>14453647.28231529</v>
      </c>
      <c r="D4403" s="458">
        <v>7.1155974905383834E-2</v>
      </c>
      <c r="E4403" s="477">
        <v>7520026.2842400223</v>
      </c>
      <c r="F4403" s="458">
        <v>0.11867080771214344</v>
      </c>
      <c r="G4403" s="477">
        <v>101866954.69319981</v>
      </c>
      <c r="H4403" s="458">
        <v>0.26127831445172034</v>
      </c>
      <c r="I4403" s="468">
        <v>8.6206111913159624</v>
      </c>
    </row>
    <row r="4404" spans="1:9" ht="16.5" x14ac:dyDescent="0.3">
      <c r="A4404" s="477">
        <v>6945882.5645085592</v>
      </c>
      <c r="B4404" s="458">
        <v>2.0707257204128471E-2</v>
      </c>
      <c r="C4404" s="477">
        <v>10793894.241147371</v>
      </c>
      <c r="D4404" s="458">
        <v>4.9977846297464712E-2</v>
      </c>
      <c r="E4404" s="477">
        <v>11803222.344267171</v>
      </c>
      <c r="F4404" s="458">
        <v>0.11330309982866327</v>
      </c>
      <c r="G4404" s="477">
        <v>93620705.219745636</v>
      </c>
      <c r="H4404" s="458">
        <v>0.27529649658790123</v>
      </c>
      <c r="I4404" s="468">
        <v>5.790326526220837</v>
      </c>
    </row>
    <row r="4405" spans="1:9" ht="16.5" x14ac:dyDescent="0.3">
      <c r="A4405" s="477">
        <v>524364.37278087239</v>
      </c>
      <c r="B4405" s="458">
        <v>2.338606137886301E-2</v>
      </c>
      <c r="C4405" s="477">
        <v>3068947.935894615</v>
      </c>
      <c r="D4405" s="458">
        <v>6.7427464368797541E-2</v>
      </c>
      <c r="E4405" s="477">
        <v>21109417.485103656</v>
      </c>
      <c r="F4405" s="458">
        <v>0.11144760437467749</v>
      </c>
      <c r="G4405" s="477">
        <v>81159033.898038179</v>
      </c>
      <c r="H4405" s="458">
        <v>0.24740001317251714</v>
      </c>
      <c r="I4405" s="468">
        <v>7.501033264218135</v>
      </c>
    </row>
    <row r="4406" spans="1:9" ht="16.5" x14ac:dyDescent="0.3">
      <c r="A4406" s="477">
        <v>3000281.6223747418</v>
      </c>
      <c r="B4406" s="458">
        <v>4.7642067256466358E-2</v>
      </c>
      <c r="C4406" s="477">
        <v>9020895.9242303967</v>
      </c>
      <c r="D4406" s="458">
        <v>6.7866442021484064E-2</v>
      </c>
      <c r="E4406" s="477">
        <v>16561802.351911128</v>
      </c>
      <c r="F4406" s="458">
        <v>0.12048430464119586</v>
      </c>
      <c r="G4406" s="477">
        <v>80672353.914567962</v>
      </c>
      <c r="H4406" s="458">
        <v>0.26492366904984976</v>
      </c>
      <c r="I4406" s="468">
        <v>9.4403706374564518</v>
      </c>
    </row>
    <row r="4407" spans="1:9" ht="16.5" x14ac:dyDescent="0.3">
      <c r="A4407" s="477">
        <v>8702093.7980778087</v>
      </c>
      <c r="B4407" s="458">
        <v>4.641673703680449E-2</v>
      </c>
      <c r="C4407" s="477">
        <v>10679306.728323329</v>
      </c>
      <c r="D4407" s="458">
        <v>5.5876926803904325E-2</v>
      </c>
      <c r="E4407" s="477">
        <v>17495107.540104844</v>
      </c>
      <c r="F4407" s="458">
        <v>0.13160162139696907</v>
      </c>
      <c r="G4407" s="477">
        <v>89478967.206474513</v>
      </c>
      <c r="H4407" s="458">
        <v>0.28116681832669244</v>
      </c>
      <c r="I4407" s="468">
        <v>5.0084953826024918</v>
      </c>
    </row>
    <row r="4408" spans="1:9" ht="16.5" x14ac:dyDescent="0.3">
      <c r="A4408" s="477">
        <v>2143576.1117053777</v>
      </c>
      <c r="B4408" s="458">
        <v>4.0218648081995934E-2</v>
      </c>
      <c r="C4408" s="477">
        <v>8048926.5764241209</v>
      </c>
      <c r="D4408" s="458">
        <v>5.1653020770079605E-2</v>
      </c>
      <c r="E4408" s="477">
        <v>15901077.300478918</v>
      </c>
      <c r="F4408" s="458">
        <v>0.13733840881413473</v>
      </c>
      <c r="G4408" s="477">
        <v>91226868.865306735</v>
      </c>
      <c r="H4408" s="458">
        <v>0.26502097873494557</v>
      </c>
      <c r="I4408" s="468">
        <v>7.380846993583325</v>
      </c>
    </row>
    <row r="4409" spans="1:9" ht="16.5" x14ac:dyDescent="0.3">
      <c r="A4409" s="477">
        <v>9197296.9535386451</v>
      </c>
      <c r="B4409" s="458">
        <v>4.2002702090522037E-2</v>
      </c>
      <c r="C4409" s="477">
        <v>9753981.7501743827</v>
      </c>
      <c r="D4409" s="458">
        <v>5.2543537553789266E-2</v>
      </c>
      <c r="E4409" s="477">
        <v>15425101.576594915</v>
      </c>
      <c r="F4409" s="458">
        <v>9.3313077593779381E-2</v>
      </c>
      <c r="G4409" s="477">
        <v>86704205.366210341</v>
      </c>
      <c r="H4409" s="458">
        <v>0.26584208585900071</v>
      </c>
      <c r="I4409" s="468">
        <v>10.393277649365203</v>
      </c>
    </row>
    <row r="4410" spans="1:9" ht="16.5" x14ac:dyDescent="0.3">
      <c r="A4410" s="477">
        <v>7843315.6129746214</v>
      </c>
      <c r="B4410" s="458">
        <v>8.1743561792452679E-2</v>
      </c>
      <c r="C4410" s="477">
        <v>7876967.9774484877</v>
      </c>
      <c r="D4410" s="458">
        <v>7.5315764208182312E-2</v>
      </c>
      <c r="E4410" s="477">
        <v>15380305.525685512</v>
      </c>
      <c r="F4410" s="458">
        <v>9.8637192150237141E-2</v>
      </c>
      <c r="G4410" s="477">
        <v>103569802.52199683</v>
      </c>
      <c r="H4410" s="458">
        <v>0.27626100666796183</v>
      </c>
      <c r="I4410" s="468">
        <v>7.4284114943276611</v>
      </c>
    </row>
    <row r="4411" spans="1:9" ht="16.5" x14ac:dyDescent="0.3">
      <c r="A4411" s="477">
        <v>-2134002.00340233</v>
      </c>
      <c r="B4411" s="458">
        <v>4.7049018345972415E-2</v>
      </c>
      <c r="C4411" s="477">
        <v>10821083.443853332</v>
      </c>
      <c r="D4411" s="458">
        <v>6.7287663962996014E-2</v>
      </c>
      <c r="E4411" s="477">
        <v>16257457.267031681</v>
      </c>
      <c r="F4411" s="458">
        <v>0.10437510784146897</v>
      </c>
      <c r="G4411" s="477">
        <v>76371731.370628372</v>
      </c>
      <c r="H4411" s="458">
        <v>0.26052341395549194</v>
      </c>
      <c r="I4411" s="468">
        <v>9.7077587248040036</v>
      </c>
    </row>
    <row r="4412" spans="1:9" ht="16.5" x14ac:dyDescent="0.3">
      <c r="A4412" s="477">
        <v>4202678.9398591006</v>
      </c>
      <c r="B4412" s="458">
        <v>6.3456697006321727E-2</v>
      </c>
      <c r="C4412" s="477">
        <v>5034670.8632844677</v>
      </c>
      <c r="D4412" s="458">
        <v>9.5773246536286383E-2</v>
      </c>
      <c r="E4412" s="477">
        <v>17343805.240402263</v>
      </c>
      <c r="F4412" s="458">
        <v>0.12576854002065208</v>
      </c>
      <c r="G4412" s="477">
        <v>87092319.410077766</v>
      </c>
      <c r="H4412" s="458">
        <v>0.25621292530615647</v>
      </c>
      <c r="I4412" s="468">
        <v>9.7552008706968927</v>
      </c>
    </row>
    <row r="4413" spans="1:9" ht="16.5" x14ac:dyDescent="0.3">
      <c r="A4413" s="477">
        <v>-1686417.3494661953</v>
      </c>
      <c r="B4413" s="458">
        <v>3.8148320003647651E-2</v>
      </c>
      <c r="C4413" s="477">
        <v>6238475.127234281</v>
      </c>
      <c r="D4413" s="458">
        <v>7.6069584119635492E-2</v>
      </c>
      <c r="E4413" s="477">
        <v>19637036.879939381</v>
      </c>
      <c r="F4413" s="458">
        <v>9.7356610511067698E-2</v>
      </c>
      <c r="G4413" s="477">
        <v>86508155.741284519</v>
      </c>
      <c r="H4413" s="458">
        <v>0.26925179393275012</v>
      </c>
      <c r="I4413" s="468">
        <v>5.3922635827577885</v>
      </c>
    </row>
    <row r="4414" spans="1:9" ht="16.5" x14ac:dyDescent="0.3">
      <c r="A4414" s="477">
        <v>7777733.6882881243</v>
      </c>
      <c r="B4414" s="458">
        <v>4.9674056305099024E-2</v>
      </c>
      <c r="C4414" s="477">
        <v>12149273.731560756</v>
      </c>
      <c r="D4414" s="458">
        <v>9.7488204601990702E-2</v>
      </c>
      <c r="E4414" s="477">
        <v>19380074.887584429</v>
      </c>
      <c r="F4414" s="458">
        <v>0.10533911834001097</v>
      </c>
      <c r="G4414" s="477">
        <v>90437933.625819296</v>
      </c>
      <c r="H4414" s="458">
        <v>0.28151549865567493</v>
      </c>
      <c r="I4414" s="468">
        <v>14.891332824650235</v>
      </c>
    </row>
    <row r="4415" spans="1:9" ht="16.5" x14ac:dyDescent="0.3">
      <c r="A4415" s="477">
        <v>6387369.1836334383</v>
      </c>
      <c r="B4415" s="458">
        <v>5.669666103732407E-2</v>
      </c>
      <c r="C4415" s="477">
        <v>8499681.3967831694</v>
      </c>
      <c r="D4415" s="458">
        <v>4.2725505275896802E-2</v>
      </c>
      <c r="E4415" s="477">
        <v>19624451.729072779</v>
      </c>
      <c r="F4415" s="458">
        <v>0.1011261440906519</v>
      </c>
      <c r="G4415" s="477">
        <v>75624257.828222215</v>
      </c>
      <c r="H4415" s="458">
        <v>0.24711119876153753</v>
      </c>
      <c r="I4415" s="468">
        <v>9.2573748329301679</v>
      </c>
    </row>
    <row r="4416" spans="1:9" ht="16.5" x14ac:dyDescent="0.3">
      <c r="A4416" s="477">
        <v>7378489.4874823671</v>
      </c>
      <c r="B4416" s="458">
        <v>3.822817064519235E-2</v>
      </c>
      <c r="C4416" s="477">
        <v>9019144.1207446195</v>
      </c>
      <c r="D4416" s="458">
        <v>5.923640582173495E-2</v>
      </c>
      <c r="E4416" s="477">
        <v>15168769.572688015</v>
      </c>
      <c r="F4416" s="458">
        <v>0.11630088429287189</v>
      </c>
      <c r="G4416" s="477">
        <v>91373452.917908654</v>
      </c>
      <c r="H4416" s="458">
        <v>0.26812057696619185</v>
      </c>
      <c r="I4416" s="468">
        <v>9.0259769734352187</v>
      </c>
    </row>
    <row r="4417" spans="1:9" ht="16.5" x14ac:dyDescent="0.3">
      <c r="A4417" s="477">
        <v>4238478.5989644248</v>
      </c>
      <c r="B4417" s="458">
        <v>3.3500035891885327E-2</v>
      </c>
      <c r="C4417" s="477">
        <v>15089167.276704455</v>
      </c>
      <c r="D4417" s="458">
        <v>5.9803646778840092E-2</v>
      </c>
      <c r="E4417" s="477">
        <v>20446397.923068192</v>
      </c>
      <c r="F4417" s="458">
        <v>0.13434096385373606</v>
      </c>
      <c r="G4417" s="477">
        <v>91791308.579224557</v>
      </c>
      <c r="H4417" s="458">
        <v>0.27198412897903412</v>
      </c>
      <c r="I4417" s="468">
        <v>12.814881929397215</v>
      </c>
    </row>
    <row r="4418" spans="1:9" ht="16.5" x14ac:dyDescent="0.3">
      <c r="A4418" s="477">
        <v>1740214.9174070712</v>
      </c>
      <c r="B4418" s="458">
        <v>4.4010793727275788E-2</v>
      </c>
      <c r="C4418" s="477">
        <v>15858692.305415779</v>
      </c>
      <c r="D4418" s="458">
        <v>6.7890802113831139E-2</v>
      </c>
      <c r="E4418" s="477">
        <v>9763477.6794843301</v>
      </c>
      <c r="F4418" s="458">
        <v>0.12150838134389264</v>
      </c>
      <c r="G4418" s="477">
        <v>92269578.734178632</v>
      </c>
      <c r="H4418" s="458">
        <v>0.25588390392178728</v>
      </c>
      <c r="I4418" s="468">
        <v>14.327362265612937</v>
      </c>
    </row>
    <row r="4419" spans="1:9" ht="16.5" x14ac:dyDescent="0.3">
      <c r="A4419" s="477">
        <v>4919061.1871848125</v>
      </c>
      <c r="B4419" s="458">
        <v>3.7417255188566978E-2</v>
      </c>
      <c r="C4419" s="477">
        <v>8918184.2711085118</v>
      </c>
      <c r="D4419" s="458">
        <v>6.3989530790459881E-2</v>
      </c>
      <c r="E4419" s="477">
        <v>21677656.297931809</v>
      </c>
      <c r="F4419" s="458">
        <v>8.6289371924364699E-2</v>
      </c>
      <c r="G4419" s="477">
        <v>79254367.711506188</v>
      </c>
      <c r="H4419" s="458">
        <v>0.26849097310578829</v>
      </c>
      <c r="I4419" s="468">
        <v>7.697014418334577</v>
      </c>
    </row>
    <row r="4420" spans="1:9" ht="16.5" x14ac:dyDescent="0.3">
      <c r="A4420" s="477">
        <v>1906095.8700823816</v>
      </c>
      <c r="B4420" s="458">
        <v>2.8528140484793463E-2</v>
      </c>
      <c r="C4420" s="477">
        <v>12175799.542908758</v>
      </c>
      <c r="D4420" s="458">
        <v>8.3284109339726964E-2</v>
      </c>
      <c r="E4420" s="477">
        <v>15475604.655158551</v>
      </c>
      <c r="F4420" s="458">
        <v>9.4264849645456561E-2</v>
      </c>
      <c r="G4420" s="477">
        <v>88261789.581893533</v>
      </c>
      <c r="H4420" s="458">
        <v>0.28320356446504236</v>
      </c>
      <c r="I4420" s="468">
        <v>8.0246003139646813</v>
      </c>
    </row>
    <row r="4421" spans="1:9" ht="16.5" x14ac:dyDescent="0.3">
      <c r="A4421" s="477">
        <v>3610735.4593011788</v>
      </c>
      <c r="B4421" s="458">
        <v>3.3023990315161011E-2</v>
      </c>
      <c r="C4421" s="477">
        <v>7522317.5638286686</v>
      </c>
      <c r="D4421" s="458">
        <v>4.4476438986373656E-2</v>
      </c>
      <c r="E4421" s="477">
        <v>21084035.967630457</v>
      </c>
      <c r="F4421" s="458">
        <v>0.10348616336676963</v>
      </c>
      <c r="G4421" s="477">
        <v>98086613.786069542</v>
      </c>
      <c r="H4421" s="458">
        <v>0.25849532099669092</v>
      </c>
      <c r="I4421" s="468">
        <v>7.3986311807952543</v>
      </c>
    </row>
    <row r="4422" spans="1:9" ht="16.5" x14ac:dyDescent="0.3">
      <c r="A4422" s="477">
        <v>3289518.5973591623</v>
      </c>
      <c r="B4422" s="458">
        <v>6.8822638198159369E-2</v>
      </c>
      <c r="C4422" s="477">
        <v>1350464.8674146838</v>
      </c>
      <c r="D4422" s="458">
        <v>5.4900435240548662E-2</v>
      </c>
      <c r="E4422" s="477">
        <v>16442519.831028149</v>
      </c>
      <c r="F4422" s="458">
        <v>0.10274425895063333</v>
      </c>
      <c r="G4422" s="477">
        <v>96414761.344676882</v>
      </c>
      <c r="H4422" s="458">
        <v>0.26428163279848604</v>
      </c>
      <c r="I4422" s="468">
        <v>12.964659631384841</v>
      </c>
    </row>
    <row r="4423" spans="1:9" ht="16.5" x14ac:dyDescent="0.3">
      <c r="A4423" s="477">
        <v>5542238.6471541505</v>
      </c>
      <c r="B4423" s="458">
        <v>4.5681731308337969E-2</v>
      </c>
      <c r="C4423" s="477">
        <v>15181415.571843937</v>
      </c>
      <c r="D4423" s="458">
        <v>4.1570214479121459E-2</v>
      </c>
      <c r="E4423" s="477">
        <v>17828555.175497089</v>
      </c>
      <c r="F4423" s="458">
        <v>8.7208319285021707E-2</v>
      </c>
      <c r="G4423" s="477">
        <v>85851292.493365824</v>
      </c>
      <c r="H4423" s="458">
        <v>0.28252736741277307</v>
      </c>
      <c r="I4423" s="468">
        <v>9.6866212770414517</v>
      </c>
    </row>
    <row r="4424" spans="1:9" ht="16.5" x14ac:dyDescent="0.3">
      <c r="A4424" s="477">
        <v>-4959603.8088451577</v>
      </c>
      <c r="B4424" s="458">
        <v>2.8470470780699975E-2</v>
      </c>
      <c r="C4424" s="477">
        <v>7371961.0392547846</v>
      </c>
      <c r="D4424" s="458">
        <v>8.2593468415218751E-2</v>
      </c>
      <c r="E4424" s="477">
        <v>13265647.4827879</v>
      </c>
      <c r="F4424" s="458">
        <v>0.11004308509069771</v>
      </c>
      <c r="G4424" s="477">
        <v>94089862.675805688</v>
      </c>
      <c r="H4424" s="458">
        <v>0.27148047449337365</v>
      </c>
      <c r="I4424" s="468">
        <v>5.5901859113677563</v>
      </c>
    </row>
    <row r="4425" spans="1:9" ht="16.5" x14ac:dyDescent="0.3">
      <c r="A4425" s="477">
        <v>4016236.5801795502</v>
      </c>
      <c r="B4425" s="458">
        <v>3.2698046451023366E-2</v>
      </c>
      <c r="C4425" s="477">
        <v>6697718.6115704887</v>
      </c>
      <c r="D4425" s="458">
        <v>6.7545394061130803E-2</v>
      </c>
      <c r="E4425" s="477">
        <v>5122266.9263813132</v>
      </c>
      <c r="F4425" s="458">
        <v>8.8718129300112469E-2</v>
      </c>
      <c r="G4425" s="477">
        <v>85463932.005814314</v>
      </c>
      <c r="H4425" s="458">
        <v>0.28095772206398406</v>
      </c>
      <c r="I4425" s="468">
        <v>7.7132686207001466</v>
      </c>
    </row>
    <row r="4426" spans="1:9" ht="16.5" x14ac:dyDescent="0.3">
      <c r="A4426" s="477">
        <v>5326062.3596788291</v>
      </c>
      <c r="B4426" s="458">
        <v>7.7881202806122207E-2</v>
      </c>
      <c r="C4426" s="477">
        <v>3413948.0727614579</v>
      </c>
      <c r="D4426" s="458">
        <v>6.2842637796397538E-2</v>
      </c>
      <c r="E4426" s="477">
        <v>22828320.716754757</v>
      </c>
      <c r="F4426" s="458">
        <v>9.6558729120336473E-2</v>
      </c>
      <c r="G4426" s="477">
        <v>103339055.06392993</v>
      </c>
      <c r="H4426" s="458">
        <v>0.27033937052835166</v>
      </c>
      <c r="I4426" s="468">
        <v>8.0874733618090833</v>
      </c>
    </row>
    <row r="4427" spans="1:9" ht="16.5" x14ac:dyDescent="0.3">
      <c r="A4427" s="477">
        <v>3039513.3020726712</v>
      </c>
      <c r="B4427" s="458">
        <v>3.0676557179854402E-2</v>
      </c>
      <c r="C4427" s="477">
        <v>14138385.028542539</v>
      </c>
      <c r="D4427" s="458">
        <v>6.1541325340032982E-2</v>
      </c>
      <c r="E4427" s="477">
        <v>19327832.051184587</v>
      </c>
      <c r="F4427" s="458">
        <v>0.11968453481340546</v>
      </c>
      <c r="G4427" s="477">
        <v>94394747.89468959</v>
      </c>
      <c r="H4427" s="458">
        <v>0.27305637007241956</v>
      </c>
      <c r="I4427" s="468">
        <v>3.6094774145025044</v>
      </c>
    </row>
    <row r="4428" spans="1:9" ht="16.5" x14ac:dyDescent="0.3">
      <c r="A4428" s="477">
        <v>7648859.3905321788</v>
      </c>
      <c r="B4428" s="458">
        <v>4.5226582975739227E-2</v>
      </c>
      <c r="C4428" s="477">
        <v>10504714.503353743</v>
      </c>
      <c r="D4428" s="458">
        <v>8.3363701635174259E-2</v>
      </c>
      <c r="E4428" s="477">
        <v>13016654.288161451</v>
      </c>
      <c r="F4428" s="458">
        <v>0.102628644777502</v>
      </c>
      <c r="G4428" s="477">
        <v>80060413.33174631</v>
      </c>
      <c r="H4428" s="458">
        <v>0.26368406737712302</v>
      </c>
      <c r="I4428" s="468">
        <v>6.0555665028373102</v>
      </c>
    </row>
    <row r="4429" spans="1:9" ht="16.5" x14ac:dyDescent="0.3">
      <c r="A4429" s="477">
        <v>8421883.0848941915</v>
      </c>
      <c r="B4429" s="458">
        <v>3.8363668640879922E-2</v>
      </c>
      <c r="C4429" s="477">
        <v>14096651.501550559</v>
      </c>
      <c r="D4429" s="458">
        <v>6.9222633753788898E-2</v>
      </c>
      <c r="E4429" s="477">
        <v>21590074.124871317</v>
      </c>
      <c r="F4429" s="458">
        <v>0.13886511686757985</v>
      </c>
      <c r="G4429" s="477">
        <v>83970157.049558088</v>
      </c>
      <c r="H4429" s="458">
        <v>0.27920684786322303</v>
      </c>
      <c r="I4429" s="468">
        <v>1.369734541951904</v>
      </c>
    </row>
    <row r="4430" spans="1:9" ht="16.5" x14ac:dyDescent="0.3">
      <c r="A4430" s="477">
        <v>-584634.52207618451</v>
      </c>
      <c r="B4430" s="458">
        <v>5.5940509592483645E-2</v>
      </c>
      <c r="C4430" s="477">
        <v>11053151.606351728</v>
      </c>
      <c r="D4430" s="458">
        <v>4.637928063436858E-2</v>
      </c>
      <c r="E4430" s="477">
        <v>20200857.170582093</v>
      </c>
      <c r="F4430" s="458">
        <v>0.11323736166569076</v>
      </c>
      <c r="G4430" s="477">
        <v>87319363.87243399</v>
      </c>
      <c r="H4430" s="458">
        <v>0.2745997955280477</v>
      </c>
      <c r="I4430" s="468">
        <v>10.642345065768708</v>
      </c>
    </row>
    <row r="4431" spans="1:9" ht="16.5" x14ac:dyDescent="0.3">
      <c r="A4431" s="477">
        <v>5890662.6676212158</v>
      </c>
      <c r="B4431" s="458">
        <v>3.5521380971077487E-2</v>
      </c>
      <c r="C4431" s="477">
        <v>14114529.139096938</v>
      </c>
      <c r="D4431" s="458">
        <v>8.516528955410041E-2</v>
      </c>
      <c r="E4431" s="477">
        <v>19838090.447840717</v>
      </c>
      <c r="F4431" s="458">
        <v>0.10663466324077753</v>
      </c>
      <c r="G4431" s="477">
        <v>85875651.2063853</v>
      </c>
      <c r="H4431" s="458">
        <v>0.24516428301776338</v>
      </c>
      <c r="I4431" s="468">
        <v>0.67202732489136352</v>
      </c>
    </row>
    <row r="4432" spans="1:9" ht="16.5" x14ac:dyDescent="0.3">
      <c r="A4432" s="477">
        <v>3988205.9082333166</v>
      </c>
      <c r="B4432" s="458">
        <v>4.7386905939227342E-2</v>
      </c>
      <c r="C4432" s="477">
        <v>13370525.429111322</v>
      </c>
      <c r="D4432" s="458">
        <v>5.9326456803822758E-2</v>
      </c>
      <c r="E4432" s="477">
        <v>21496979.269925937</v>
      </c>
      <c r="F4432" s="458">
        <v>0.11125702183978703</v>
      </c>
      <c r="G4432" s="477">
        <v>78491049.297991708</v>
      </c>
      <c r="H4432" s="458">
        <v>0.25739301572848294</v>
      </c>
      <c r="I4432" s="468">
        <v>14.572035980297871</v>
      </c>
    </row>
    <row r="4433" spans="1:9" ht="16.5" x14ac:dyDescent="0.3">
      <c r="A4433" s="477">
        <v>756662.02697859821</v>
      </c>
      <c r="B4433" s="458">
        <v>3.2909937027376435E-2</v>
      </c>
      <c r="C4433" s="477">
        <v>8374703.2276908914</v>
      </c>
      <c r="D4433" s="458">
        <v>6.9588100748904091E-2</v>
      </c>
      <c r="E4433" s="477">
        <v>14659400.143012375</v>
      </c>
      <c r="F4433" s="458">
        <v>0.1240756668454297</v>
      </c>
      <c r="G4433" s="477">
        <v>102722491.66460088</v>
      </c>
      <c r="H4433" s="458">
        <v>0.2851550473728437</v>
      </c>
      <c r="I4433" s="468">
        <v>7.93701795445401</v>
      </c>
    </row>
    <row r="4434" spans="1:9" ht="16.5" x14ac:dyDescent="0.3">
      <c r="A4434" s="477">
        <v>3449228.4199407427</v>
      </c>
      <c r="B4434" s="458">
        <v>2.6366923052706159E-2</v>
      </c>
      <c r="C4434" s="477">
        <v>13039855.176419552</v>
      </c>
      <c r="D4434" s="458">
        <v>5.1327159654745325E-2</v>
      </c>
      <c r="E4434" s="477">
        <v>8935811.6457943432</v>
      </c>
      <c r="F4434" s="458">
        <v>8.4303458131669951E-2</v>
      </c>
      <c r="G4434" s="477">
        <v>92933262.953211859</v>
      </c>
      <c r="H4434" s="458">
        <v>0.25546100464527188</v>
      </c>
      <c r="I4434" s="468">
        <v>9.1157521364565675</v>
      </c>
    </row>
    <row r="4435" spans="1:9" ht="16.5" x14ac:dyDescent="0.3">
      <c r="A4435" s="477">
        <v>4842596.688573665</v>
      </c>
      <c r="B4435" s="458">
        <v>5.1602352381807215E-2</v>
      </c>
      <c r="C4435" s="477">
        <v>9100016.4323804844</v>
      </c>
      <c r="D4435" s="458">
        <v>6.0752066086690704E-2</v>
      </c>
      <c r="E4435" s="477">
        <v>14109383.875010133</v>
      </c>
      <c r="F4435" s="458">
        <v>0.1273674307069721</v>
      </c>
      <c r="G4435" s="477">
        <v>93232002.483615145</v>
      </c>
      <c r="H4435" s="458">
        <v>0.26574493932609267</v>
      </c>
      <c r="I4435" s="468">
        <v>6.8289866980042255</v>
      </c>
    </row>
    <row r="4436" spans="1:9" ht="16.5" x14ac:dyDescent="0.3">
      <c r="A4436" s="477">
        <v>6652728.1392204501</v>
      </c>
      <c r="B4436" s="458">
        <v>3.4117682686552797E-2</v>
      </c>
      <c r="C4436" s="477">
        <v>7527049.1668710923</v>
      </c>
      <c r="D4436" s="458">
        <v>9.0048826622082245E-2</v>
      </c>
      <c r="E4436" s="477">
        <v>16553650.521451918</v>
      </c>
      <c r="F4436" s="458">
        <v>0.10463919447949777</v>
      </c>
      <c r="G4436" s="477">
        <v>101879425.95230992</v>
      </c>
      <c r="H4436" s="458">
        <v>0.25586677769212085</v>
      </c>
      <c r="I4436" s="468">
        <v>10.318326217643548</v>
      </c>
    </row>
    <row r="4437" spans="1:9" ht="16.5" x14ac:dyDescent="0.3">
      <c r="A4437" s="477">
        <v>7223150.6971671022</v>
      </c>
      <c r="B4437" s="458">
        <v>5.898129864319146E-2</v>
      </c>
      <c r="C4437" s="477">
        <v>13865355.799224494</v>
      </c>
      <c r="D4437" s="458">
        <v>3.748645024511954E-2</v>
      </c>
      <c r="E4437" s="477">
        <v>16982820.577295948</v>
      </c>
      <c r="F4437" s="458">
        <v>0.10884338557478102</v>
      </c>
      <c r="G4437" s="477">
        <v>92942722.90097554</v>
      </c>
      <c r="H4437" s="458">
        <v>0.29658404144951267</v>
      </c>
      <c r="I4437" s="468">
        <v>6.197658259474462</v>
      </c>
    </row>
    <row r="4438" spans="1:9" ht="16.5" x14ac:dyDescent="0.3">
      <c r="A4438" s="477">
        <v>7813403.7643739553</v>
      </c>
      <c r="B4438" s="458">
        <v>5.3634257931155283E-2</v>
      </c>
      <c r="C4438" s="477">
        <v>7256899.4003920052</v>
      </c>
      <c r="D4438" s="458">
        <v>7.4643443346200211E-2</v>
      </c>
      <c r="E4438" s="477">
        <v>8528638.6408042703</v>
      </c>
      <c r="F4438" s="458">
        <v>0.10830734539996945</v>
      </c>
      <c r="G4438" s="477">
        <v>99370117.877670556</v>
      </c>
      <c r="H4438" s="458">
        <v>0.27060940738613892</v>
      </c>
      <c r="I4438" s="468">
        <v>12.527062054703455</v>
      </c>
    </row>
    <row r="4439" spans="1:9" ht="16.5" x14ac:dyDescent="0.3">
      <c r="A4439" s="477">
        <v>4417397.6315617459</v>
      </c>
      <c r="B4439" s="458">
        <v>4.5072666284278418E-2</v>
      </c>
      <c r="C4439" s="477">
        <v>5724345.4049080331</v>
      </c>
      <c r="D4439" s="458">
        <v>6.1633900771774996E-2</v>
      </c>
      <c r="E4439" s="477">
        <v>9259268.3827053905</v>
      </c>
      <c r="F4439" s="458">
        <v>0.10125505640561649</v>
      </c>
      <c r="G4439" s="477">
        <v>106685543.48746604</v>
      </c>
      <c r="H4439" s="458">
        <v>0.25558963158581016</v>
      </c>
      <c r="I4439" s="468">
        <v>11.998583940530404</v>
      </c>
    </row>
    <row r="4440" spans="1:9" ht="16.5" x14ac:dyDescent="0.3">
      <c r="A4440" s="477">
        <v>3855185.6007063822</v>
      </c>
      <c r="B4440" s="458">
        <v>6.0751878960144445E-2</v>
      </c>
      <c r="C4440" s="477">
        <v>11422846.128499458</v>
      </c>
      <c r="D4440" s="458">
        <v>0.10450488893946108</v>
      </c>
      <c r="E4440" s="477">
        <v>14386328.473278435</v>
      </c>
      <c r="F4440" s="458">
        <v>8.2388712319824364E-2</v>
      </c>
      <c r="G4440" s="477">
        <v>83256474.334524319</v>
      </c>
      <c r="H4440" s="458">
        <v>0.27635397945825169</v>
      </c>
      <c r="I4440" s="468">
        <v>6.9787078107113478</v>
      </c>
    </row>
    <row r="4441" spans="1:9" ht="16.5" x14ac:dyDescent="0.3">
      <c r="A4441" s="477">
        <v>4140782.9071037173</v>
      </c>
      <c r="B4441" s="458">
        <v>5.281515700138284E-2</v>
      </c>
      <c r="C4441" s="477">
        <v>4445058.8542333972</v>
      </c>
      <c r="D4441" s="458">
        <v>6.9161784921883962E-2</v>
      </c>
      <c r="E4441" s="477">
        <v>17741413.163999423</v>
      </c>
      <c r="F4441" s="458">
        <v>0.11143990590522734</v>
      </c>
      <c r="G4441" s="477">
        <v>93306869.17539154</v>
      </c>
      <c r="H4441" s="458">
        <v>0.25762182997645411</v>
      </c>
      <c r="I4441" s="468">
        <v>1.6553529414222705</v>
      </c>
    </row>
    <row r="4442" spans="1:9" ht="16.5" x14ac:dyDescent="0.3">
      <c r="A4442" s="477">
        <v>1442771.2227746623</v>
      </c>
      <c r="B4442" s="458">
        <v>3.5303183805615479E-2</v>
      </c>
      <c r="C4442" s="477">
        <v>18470927.973333653</v>
      </c>
      <c r="D4442" s="458">
        <v>7.4132289855012745E-2</v>
      </c>
      <c r="E4442" s="477">
        <v>12569715.054016225</v>
      </c>
      <c r="F4442" s="458">
        <v>0.1280955054114723</v>
      </c>
      <c r="G4442" s="477">
        <v>99031614.75319761</v>
      </c>
      <c r="H4442" s="458">
        <v>0.26168747473231724</v>
      </c>
      <c r="I4442" s="468">
        <v>6.2778364175532264</v>
      </c>
    </row>
    <row r="4443" spans="1:9" ht="16.5" x14ac:dyDescent="0.3">
      <c r="A4443" s="477">
        <v>1590892.5905194865</v>
      </c>
      <c r="B4443" s="458">
        <v>4.1314147806097212E-2</v>
      </c>
      <c r="C4443" s="477">
        <v>5328134.6731685065</v>
      </c>
      <c r="D4443" s="458">
        <v>5.5602179094426107E-2</v>
      </c>
      <c r="E4443" s="477">
        <v>11421342.506119724</v>
      </c>
      <c r="F4443" s="458">
        <v>9.8510113928007126E-2</v>
      </c>
      <c r="G4443" s="477">
        <v>78754771.195756644</v>
      </c>
      <c r="H4443" s="458">
        <v>0.28993050641879448</v>
      </c>
      <c r="I4443" s="468">
        <v>9.985850148470794</v>
      </c>
    </row>
    <row r="4444" spans="1:9" ht="16.5" x14ac:dyDescent="0.3">
      <c r="A4444" s="477">
        <v>5430288.3584356187</v>
      </c>
      <c r="B4444" s="458">
        <v>6.9247213851886258E-3</v>
      </c>
      <c r="C4444" s="477">
        <v>3074607.9155599927</v>
      </c>
      <c r="D4444" s="458">
        <v>8.526749856431115E-2</v>
      </c>
      <c r="E4444" s="477">
        <v>18507175.029966936</v>
      </c>
      <c r="F4444" s="458">
        <v>0.12800519169848945</v>
      </c>
      <c r="G4444" s="477">
        <v>77163166.453556865</v>
      </c>
      <c r="H4444" s="458">
        <v>0.27431555005498898</v>
      </c>
      <c r="I4444" s="468">
        <v>9.5261938722012225</v>
      </c>
    </row>
    <row r="4445" spans="1:9" ht="16.5" x14ac:dyDescent="0.3">
      <c r="A4445" s="477">
        <v>2378720.1962897754</v>
      </c>
      <c r="B4445" s="458">
        <v>3.3970926034391891E-2</v>
      </c>
      <c r="C4445" s="477">
        <v>11426499.061820723</v>
      </c>
      <c r="D4445" s="458">
        <v>6.5039563191581884E-2</v>
      </c>
      <c r="E4445" s="477">
        <v>13351032.075555565</v>
      </c>
      <c r="F4445" s="458">
        <v>0.1139656856922393</v>
      </c>
      <c r="G4445" s="477">
        <v>92275844.458902746</v>
      </c>
      <c r="H4445" s="458">
        <v>0.27454990923445388</v>
      </c>
      <c r="I4445" s="468">
        <v>3.8207781462171662</v>
      </c>
    </row>
    <row r="4446" spans="1:9" ht="16.5" x14ac:dyDescent="0.3">
      <c r="A4446" s="477">
        <v>5453963.2087359075</v>
      </c>
      <c r="B4446" s="458">
        <v>7.6542975278028669E-2</v>
      </c>
      <c r="C4446" s="477">
        <v>11215458.331506824</v>
      </c>
      <c r="D4446" s="458">
        <v>4.6386180755925599E-2</v>
      </c>
      <c r="E4446" s="477">
        <v>17679626.692200601</v>
      </c>
      <c r="F4446" s="458">
        <v>0.10097341527345494</v>
      </c>
      <c r="G4446" s="477">
        <v>78432962.412930548</v>
      </c>
      <c r="H4446" s="458">
        <v>0.28446410359883401</v>
      </c>
      <c r="I4446" s="468">
        <v>6.6391790133415629</v>
      </c>
    </row>
    <row r="4447" spans="1:9" ht="16.5" x14ac:dyDescent="0.3">
      <c r="A4447" s="477">
        <v>4490291.964286658</v>
      </c>
      <c r="B4447" s="458">
        <v>4.432102140709171E-2</v>
      </c>
      <c r="C4447" s="477">
        <v>4589586.1464297017</v>
      </c>
      <c r="D4447" s="458">
        <v>6.4945211662449376E-2</v>
      </c>
      <c r="E4447" s="477">
        <v>12073427.468351044</v>
      </c>
      <c r="F4447" s="458">
        <v>0.11037246458146743</v>
      </c>
      <c r="G4447" s="477">
        <v>91110835.668413758</v>
      </c>
      <c r="H4447" s="458">
        <v>0.27463459949716928</v>
      </c>
      <c r="I4447" s="468">
        <v>17.776416985621452</v>
      </c>
    </row>
    <row r="4448" spans="1:9" ht="16.5" x14ac:dyDescent="0.3">
      <c r="A4448" s="477">
        <v>6724221.991408702</v>
      </c>
      <c r="B4448" s="458">
        <v>3.065537038540378E-2</v>
      </c>
      <c r="C4448" s="477">
        <v>9205757.8337093182</v>
      </c>
      <c r="D4448" s="458">
        <v>6.2336215601330514E-2</v>
      </c>
      <c r="E4448" s="477">
        <v>14703293.951877903</v>
      </c>
      <c r="F4448" s="458">
        <v>0.12382130742416142</v>
      </c>
      <c r="G4448" s="477">
        <v>93697667.939559281</v>
      </c>
      <c r="H4448" s="458">
        <v>0.26600086001634038</v>
      </c>
      <c r="I4448" s="468">
        <v>9.2198104737816227</v>
      </c>
    </row>
    <row r="4449" spans="1:9" ht="16.5" x14ac:dyDescent="0.3">
      <c r="A4449" s="477">
        <v>9868102.4903374668</v>
      </c>
      <c r="B4449" s="458">
        <v>4.6969023782408748E-2</v>
      </c>
      <c r="C4449" s="477">
        <v>8483572.0651098788</v>
      </c>
      <c r="D4449" s="458">
        <v>7.2910354809311295E-2</v>
      </c>
      <c r="E4449" s="477">
        <v>20213510.61178951</v>
      </c>
      <c r="F4449" s="458">
        <v>0.1337805723344283</v>
      </c>
      <c r="G4449" s="477">
        <v>101142036.08795339</v>
      </c>
      <c r="H4449" s="458">
        <v>0.27606998200648425</v>
      </c>
      <c r="I4449" s="468">
        <v>10.596612035667741</v>
      </c>
    </row>
    <row r="4450" spans="1:9" ht="16.5" x14ac:dyDescent="0.3">
      <c r="A4450" s="477">
        <v>3671853.2924615373</v>
      </c>
      <c r="B4450" s="458">
        <v>3.4347316072044443E-2</v>
      </c>
      <c r="C4450" s="477">
        <v>12195797.542556737</v>
      </c>
      <c r="D4450" s="458">
        <v>4.9018998442041495E-2</v>
      </c>
      <c r="E4450" s="477">
        <v>19220617.961247191</v>
      </c>
      <c r="F4450" s="458">
        <v>0.10760505516710173</v>
      </c>
      <c r="G4450" s="477">
        <v>89103836.414164603</v>
      </c>
      <c r="H4450" s="458">
        <v>0.27151907702778222</v>
      </c>
      <c r="I4450" s="468">
        <v>4.3079646056857452</v>
      </c>
    </row>
    <row r="4451" spans="1:9" ht="16.5" x14ac:dyDescent="0.3">
      <c r="A4451" s="477">
        <v>5026439.5336543079</v>
      </c>
      <c r="B4451" s="458">
        <v>3.5175489992310016E-2</v>
      </c>
      <c r="C4451" s="477">
        <v>10725019.65071735</v>
      </c>
      <c r="D4451" s="458">
        <v>7.526309770924744E-2</v>
      </c>
      <c r="E4451" s="477">
        <v>17632817.248188961</v>
      </c>
      <c r="F4451" s="458">
        <v>0.1069892696741559</v>
      </c>
      <c r="G4451" s="477">
        <v>90739580.419635564</v>
      </c>
      <c r="H4451" s="458">
        <v>0.28024094002047684</v>
      </c>
      <c r="I4451" s="468">
        <v>1.1868936143220665</v>
      </c>
    </row>
    <row r="4452" spans="1:9" ht="16.5" x14ac:dyDescent="0.3">
      <c r="A4452" s="477">
        <v>7470107.9618746154</v>
      </c>
      <c r="B4452" s="458">
        <v>2.7005091808630199E-2</v>
      </c>
      <c r="C4452" s="477">
        <v>12970524.844874015</v>
      </c>
      <c r="D4452" s="458">
        <v>4.7030143037310568E-2</v>
      </c>
      <c r="E4452" s="477">
        <v>13218881.456711389</v>
      </c>
      <c r="F4452" s="458">
        <v>0.11057962876023009</v>
      </c>
      <c r="G4452" s="477">
        <v>91474611.285582289</v>
      </c>
      <c r="H4452" s="458">
        <v>0.26689167778244416</v>
      </c>
      <c r="I4452" s="468">
        <v>9.1316546636508562</v>
      </c>
    </row>
    <row r="4453" spans="1:9" ht="16.5" x14ac:dyDescent="0.3">
      <c r="A4453" s="477">
        <v>7121989.0937822396</v>
      </c>
      <c r="B4453" s="458">
        <v>3.1708498430545795E-2</v>
      </c>
      <c r="C4453" s="477">
        <v>8476897.2389029805</v>
      </c>
      <c r="D4453" s="458">
        <v>5.011822154825607E-2</v>
      </c>
      <c r="E4453" s="477">
        <v>14305083.04606971</v>
      </c>
      <c r="F4453" s="458">
        <v>0.11268544565563521</v>
      </c>
      <c r="G4453" s="477">
        <v>76636706.275253534</v>
      </c>
      <c r="H4453" s="458">
        <v>0.26312119706539305</v>
      </c>
      <c r="I4453" s="468">
        <v>4.776383403106415</v>
      </c>
    </row>
    <row r="4454" spans="1:9" ht="16.5" x14ac:dyDescent="0.3">
      <c r="A4454" s="477">
        <v>5548798.6037687985</v>
      </c>
      <c r="B4454" s="458">
        <v>3.960660503598068E-2</v>
      </c>
      <c r="C4454" s="477">
        <v>6717428.3318898156</v>
      </c>
      <c r="D4454" s="458">
        <v>7.0568272953037026E-2</v>
      </c>
      <c r="E4454" s="477">
        <v>18133834.350762848</v>
      </c>
      <c r="F4454" s="458">
        <v>8.9823111795242383E-2</v>
      </c>
      <c r="G4454" s="477">
        <v>103263813.39912403</v>
      </c>
      <c r="H4454" s="458">
        <v>0.26610198938849017</v>
      </c>
      <c r="I4454" s="468">
        <v>5.1547727321187278</v>
      </c>
    </row>
    <row r="4455" spans="1:9" ht="16.5" x14ac:dyDescent="0.3">
      <c r="A4455" s="477">
        <v>4578111.8370530885</v>
      </c>
      <c r="B4455" s="458">
        <v>7.2015780855533729E-2</v>
      </c>
      <c r="C4455" s="477">
        <v>9975426.2986041568</v>
      </c>
      <c r="D4455" s="458">
        <v>7.8610257260826932E-2</v>
      </c>
      <c r="E4455" s="477">
        <v>9973317.9671052862</v>
      </c>
      <c r="F4455" s="458">
        <v>0.11559264685869453</v>
      </c>
      <c r="G4455" s="477">
        <v>91398801.931079865</v>
      </c>
      <c r="H4455" s="458">
        <v>0.27130238500660453</v>
      </c>
      <c r="I4455" s="468">
        <v>11.057493928937633</v>
      </c>
    </row>
    <row r="4456" spans="1:9" ht="16.5" x14ac:dyDescent="0.3">
      <c r="A4456" s="477">
        <v>1951806.5781909211</v>
      </c>
      <c r="B4456" s="458">
        <v>4.2540999575389593E-2</v>
      </c>
      <c r="C4456" s="477">
        <v>14972893.792087978</v>
      </c>
      <c r="D4456" s="458">
        <v>5.8515660173246831E-2</v>
      </c>
      <c r="E4456" s="477">
        <v>11848213.418966008</v>
      </c>
      <c r="F4456" s="458">
        <v>0.13864282319413945</v>
      </c>
      <c r="G4456" s="477">
        <v>96464078.500667542</v>
      </c>
      <c r="H4456" s="458">
        <v>0.26800223793407496</v>
      </c>
      <c r="I4456" s="468">
        <v>10.647136527886699</v>
      </c>
    </row>
    <row r="4457" spans="1:9" ht="16.5" x14ac:dyDescent="0.3">
      <c r="A4457" s="477">
        <v>1964647.7003174771</v>
      </c>
      <c r="B4457" s="458">
        <v>4.382870191303212E-2</v>
      </c>
      <c r="C4457" s="477">
        <v>4281293.523775164</v>
      </c>
      <c r="D4457" s="458">
        <v>6.8269267064968941E-2</v>
      </c>
      <c r="E4457" s="477">
        <v>15814168.901726149</v>
      </c>
      <c r="F4457" s="458">
        <v>0.12887704708054271</v>
      </c>
      <c r="G4457" s="477">
        <v>93021427.154589504</v>
      </c>
      <c r="H4457" s="458">
        <v>0.27742330818921301</v>
      </c>
      <c r="I4457" s="468">
        <v>1.3201683925398759</v>
      </c>
    </row>
    <row r="4458" spans="1:9" ht="16.5" x14ac:dyDescent="0.3">
      <c r="A4458" s="477">
        <v>7478073.8918655142</v>
      </c>
      <c r="B4458" s="458">
        <v>3.2724766793177595E-2</v>
      </c>
      <c r="C4458" s="477">
        <v>12515891.963782836</v>
      </c>
      <c r="D4458" s="458">
        <v>6.5246709568546057E-2</v>
      </c>
      <c r="E4458" s="477">
        <v>13741898.55106171</v>
      </c>
      <c r="F4458" s="458">
        <v>0.12015898768857669</v>
      </c>
      <c r="G4458" s="477">
        <v>70652073.016771719</v>
      </c>
      <c r="H4458" s="458">
        <v>0.26629906437961504</v>
      </c>
      <c r="I4458" s="468">
        <v>1.7885484944866956</v>
      </c>
    </row>
    <row r="4459" spans="1:9" ht="16.5" x14ac:dyDescent="0.3">
      <c r="A4459" s="477">
        <v>3698852.0177417365</v>
      </c>
      <c r="B4459" s="458">
        <v>4.9816901460534302E-2</v>
      </c>
      <c r="C4459" s="477">
        <v>14263666.049961178</v>
      </c>
      <c r="D4459" s="458">
        <v>5.21081476235421E-2</v>
      </c>
      <c r="E4459" s="477">
        <v>15420916.347470513</v>
      </c>
      <c r="F4459" s="458">
        <v>0.11263482854433682</v>
      </c>
      <c r="G4459" s="477">
        <v>89490860.870014131</v>
      </c>
      <c r="H4459" s="458">
        <v>0.26392529065311354</v>
      </c>
      <c r="I4459" s="468">
        <v>9.5520934886751814</v>
      </c>
    </row>
    <row r="4460" spans="1:9" ht="16.5" x14ac:dyDescent="0.3">
      <c r="A4460" s="477">
        <v>8911955.7420527637</v>
      </c>
      <c r="B4460" s="458">
        <v>4.8740876693502244E-2</v>
      </c>
      <c r="C4460" s="477">
        <v>16615739.211606473</v>
      </c>
      <c r="D4460" s="458">
        <v>8.9396801010904525E-2</v>
      </c>
      <c r="E4460" s="477">
        <v>14051205.998221179</v>
      </c>
      <c r="F4460" s="458">
        <v>0.12427446387351115</v>
      </c>
      <c r="G4460" s="477">
        <v>88715176.408924669</v>
      </c>
      <c r="H4460" s="458">
        <v>0.27680002312536511</v>
      </c>
      <c r="I4460" s="468">
        <v>10.128227817735027</v>
      </c>
    </row>
    <row r="4461" spans="1:9" ht="16.5" x14ac:dyDescent="0.3">
      <c r="A4461" s="477">
        <v>2364637.4638290456</v>
      </c>
      <c r="B4461" s="458">
        <v>4.2198459649721132E-2</v>
      </c>
      <c r="C4461" s="477">
        <v>7583376.5025477987</v>
      </c>
      <c r="D4461" s="458">
        <v>5.6602784184804245E-2</v>
      </c>
      <c r="E4461" s="477">
        <v>16145772.896514058</v>
      </c>
      <c r="F4461" s="458">
        <v>0.10392378159691562</v>
      </c>
      <c r="G4461" s="477">
        <v>108499340.87010257</v>
      </c>
      <c r="H4461" s="458">
        <v>0.28466083848437118</v>
      </c>
      <c r="I4461" s="468">
        <v>7.6669003012668355</v>
      </c>
    </row>
    <row r="4462" spans="1:9" ht="16.5" x14ac:dyDescent="0.3">
      <c r="A4462" s="477">
        <v>8078679.4109744765</v>
      </c>
      <c r="B4462" s="458">
        <v>3.3302670202950413E-2</v>
      </c>
      <c r="C4462" s="477">
        <v>7856627.9862758536</v>
      </c>
      <c r="D4462" s="458">
        <v>7.1847989549954416E-2</v>
      </c>
      <c r="E4462" s="477">
        <v>20480171.219999623</v>
      </c>
      <c r="F4462" s="458">
        <v>0.12640367869648639</v>
      </c>
      <c r="G4462" s="477">
        <v>86282946.593868777</v>
      </c>
      <c r="H4462" s="458">
        <v>0.27730378941986511</v>
      </c>
      <c r="I4462" s="468">
        <v>12.317668769868524</v>
      </c>
    </row>
    <row r="4463" spans="1:9" ht="16.5" x14ac:dyDescent="0.3">
      <c r="A4463" s="477">
        <v>3657880.4847362554</v>
      </c>
      <c r="B4463" s="458">
        <v>4.4787974309723255E-2</v>
      </c>
      <c r="C4463" s="477">
        <v>2837811.7918957071</v>
      </c>
      <c r="D4463" s="458">
        <v>5.6139731497922618E-2</v>
      </c>
      <c r="E4463" s="477">
        <v>23347195.358132828</v>
      </c>
      <c r="F4463" s="458">
        <v>0.1107125783145495</v>
      </c>
      <c r="G4463" s="477">
        <v>95285065.617957845</v>
      </c>
      <c r="H4463" s="458">
        <v>0.26440042060176672</v>
      </c>
      <c r="I4463" s="468">
        <v>8.3843895686687304</v>
      </c>
    </row>
    <row r="4464" spans="1:9" ht="16.5" x14ac:dyDescent="0.3">
      <c r="A4464" s="477">
        <v>4959250.2376205167</v>
      </c>
      <c r="B4464" s="458">
        <v>3.9312546157163064E-2</v>
      </c>
      <c r="C4464" s="477">
        <v>13915483.596295239</v>
      </c>
      <c r="D4464" s="458">
        <v>4.5096867715003874E-2</v>
      </c>
      <c r="E4464" s="477">
        <v>14544126.962091777</v>
      </c>
      <c r="F4464" s="458">
        <v>7.0309461538168305E-2</v>
      </c>
      <c r="G4464" s="477">
        <v>90209638.824309215</v>
      </c>
      <c r="H4464" s="458">
        <v>0.26964117146033861</v>
      </c>
      <c r="I4464" s="468">
        <v>7.6566011600816513</v>
      </c>
    </row>
    <row r="4465" spans="1:9" ht="16.5" x14ac:dyDescent="0.3">
      <c r="A4465" s="477">
        <v>3454705.5966558028</v>
      </c>
      <c r="B4465" s="458">
        <v>4.4268083996646279E-2</v>
      </c>
      <c r="C4465" s="477">
        <v>6342439.1807256136</v>
      </c>
      <c r="D4465" s="458">
        <v>4.2387161135929663E-2</v>
      </c>
      <c r="E4465" s="477">
        <v>16443687.07384414</v>
      </c>
      <c r="F4465" s="458">
        <v>0.12171596232779303</v>
      </c>
      <c r="G4465" s="477">
        <v>90669494.483436495</v>
      </c>
      <c r="H4465" s="458">
        <v>0.25514545896807661</v>
      </c>
      <c r="I4465" s="468">
        <v>13.196067500581016</v>
      </c>
    </row>
    <row r="4466" spans="1:9" ht="16.5" x14ac:dyDescent="0.3">
      <c r="A4466" s="477">
        <v>2415994.2341768029</v>
      </c>
      <c r="B4466" s="458">
        <v>2.2209896870207135E-2</v>
      </c>
      <c r="C4466" s="477">
        <v>7594658.8178648157</v>
      </c>
      <c r="D4466" s="458">
        <v>8.2591117649875923E-2</v>
      </c>
      <c r="E4466" s="477">
        <v>18804406.309084222</v>
      </c>
      <c r="F4466" s="458">
        <v>0.11555222052208847</v>
      </c>
      <c r="G4466" s="477">
        <v>101315030.23527846</v>
      </c>
      <c r="H4466" s="458">
        <v>0.25440202056483208</v>
      </c>
      <c r="I4466" s="468">
        <v>3.2944278232245603</v>
      </c>
    </row>
    <row r="4467" spans="1:9" ht="16.5" x14ac:dyDescent="0.3">
      <c r="A4467" s="477">
        <v>7321600.404865657</v>
      </c>
      <c r="B4467" s="458">
        <v>4.1095813008071191E-2</v>
      </c>
      <c r="C4467" s="477">
        <v>7012784.7771615414</v>
      </c>
      <c r="D4467" s="458">
        <v>8.2774947942305221E-2</v>
      </c>
      <c r="E4467" s="477">
        <v>14878538.204023825</v>
      </c>
      <c r="F4467" s="458">
        <v>0.13415168613163075</v>
      </c>
      <c r="G4467" s="477">
        <v>92380304.967912093</v>
      </c>
      <c r="H4467" s="458">
        <v>0.25511718609328771</v>
      </c>
      <c r="I4467" s="468">
        <v>5.3626546717600636</v>
      </c>
    </row>
    <row r="4468" spans="1:9" ht="16.5" x14ac:dyDescent="0.3">
      <c r="A4468" s="477">
        <v>1137274.6979659719</v>
      </c>
      <c r="B4468" s="458">
        <v>9.3418499245103259E-2</v>
      </c>
      <c r="C4468" s="477">
        <v>4603502.1984718628</v>
      </c>
      <c r="D4468" s="458">
        <v>9.0983231179669E-2</v>
      </c>
      <c r="E4468" s="477">
        <v>25142754.94190488</v>
      </c>
      <c r="F4468" s="458">
        <v>0.11116768985639203</v>
      </c>
      <c r="G4468" s="477">
        <v>76587649.965598941</v>
      </c>
      <c r="H4468" s="458">
        <v>0.28721517582215683</v>
      </c>
      <c r="I4468" s="468">
        <v>11.109477257101803</v>
      </c>
    </row>
    <row r="4469" spans="1:9" ht="16.5" x14ac:dyDescent="0.3">
      <c r="A4469" s="477">
        <v>5240113.5159213431</v>
      </c>
      <c r="B4469" s="458">
        <v>3.3362669483038898E-2</v>
      </c>
      <c r="C4469" s="477">
        <v>8630753.7092322204</v>
      </c>
      <c r="D4469" s="458">
        <v>6.5756653285432121E-2</v>
      </c>
      <c r="E4469" s="477">
        <v>12237206.492356431</v>
      </c>
      <c r="F4469" s="458">
        <v>8.6696456342482797E-2</v>
      </c>
      <c r="G4469" s="477">
        <v>83355072.381612241</v>
      </c>
      <c r="H4469" s="458">
        <v>0.26400207321555058</v>
      </c>
      <c r="I4469" s="468">
        <v>9.680361491876786</v>
      </c>
    </row>
    <row r="4470" spans="1:9" ht="16.5" x14ac:dyDescent="0.3">
      <c r="A4470" s="477">
        <v>5024977.8392927693</v>
      </c>
      <c r="B4470" s="458">
        <v>3.073646288730858E-2</v>
      </c>
      <c r="C4470" s="477">
        <v>13058262.43239223</v>
      </c>
      <c r="D4470" s="458">
        <v>7.3162255055241099E-2</v>
      </c>
      <c r="E4470" s="477">
        <v>17502838.428531725</v>
      </c>
      <c r="F4470" s="458">
        <v>9.6184789504547341E-2</v>
      </c>
      <c r="G4470" s="477">
        <v>99100553.364560276</v>
      </c>
      <c r="H4470" s="458">
        <v>0.28191498542729998</v>
      </c>
      <c r="I4470" s="468">
        <v>12.076916399594236</v>
      </c>
    </row>
    <row r="4471" spans="1:9" ht="16.5" x14ac:dyDescent="0.3">
      <c r="A4471" s="477">
        <v>5744826.9482526211</v>
      </c>
      <c r="B4471" s="458">
        <v>3.6635057743837018E-2</v>
      </c>
      <c r="C4471" s="477">
        <v>5720338.7328867652</v>
      </c>
      <c r="D4471" s="458">
        <v>4.9790590555725212E-2</v>
      </c>
      <c r="E4471" s="477">
        <v>10956899.882882208</v>
      </c>
      <c r="F4471" s="458">
        <v>8.8954374528845692E-2</v>
      </c>
      <c r="G4471" s="477">
        <v>89961913.172736675</v>
      </c>
      <c r="H4471" s="458">
        <v>0.27005165361034522</v>
      </c>
      <c r="I4471" s="468">
        <v>8.7638786950022833</v>
      </c>
    </row>
    <row r="4472" spans="1:9" ht="16.5" x14ac:dyDescent="0.3">
      <c r="A4472" s="477">
        <v>5411925.1657331381</v>
      </c>
      <c r="B4472" s="458">
        <v>4.3625466483434128E-2</v>
      </c>
      <c r="C4472" s="477">
        <v>8812521.335064169</v>
      </c>
      <c r="D4472" s="458">
        <v>3.8731699324196178E-2</v>
      </c>
      <c r="E4472" s="477">
        <v>16875955.275778942</v>
      </c>
      <c r="F4472" s="458">
        <v>0.11496703900731742</v>
      </c>
      <c r="G4472" s="477">
        <v>85021600.690623552</v>
      </c>
      <c r="H4472" s="458">
        <v>0.27478800362554945</v>
      </c>
      <c r="I4472" s="468">
        <v>8.7385915104022978</v>
      </c>
    </row>
    <row r="4473" spans="1:9" ht="16.5" x14ac:dyDescent="0.3">
      <c r="A4473" s="477">
        <v>-429625.83366012038</v>
      </c>
      <c r="B4473" s="458">
        <v>5.0233220951356294E-2</v>
      </c>
      <c r="C4473" s="477">
        <v>12794361.4875501</v>
      </c>
      <c r="D4473" s="458">
        <v>5.6173831236830951E-2</v>
      </c>
      <c r="E4473" s="477">
        <v>17498063.064638585</v>
      </c>
      <c r="F4473" s="458">
        <v>9.5451364695762875E-2</v>
      </c>
      <c r="G4473" s="477">
        <v>100114597.52458763</v>
      </c>
      <c r="H4473" s="458">
        <v>0.25104864849087272</v>
      </c>
      <c r="I4473" s="468">
        <v>10.647084304214481</v>
      </c>
    </row>
    <row r="4474" spans="1:9" ht="16.5" x14ac:dyDescent="0.3">
      <c r="A4474" s="477">
        <v>5153830.7717517316</v>
      </c>
      <c r="B4474" s="458">
        <v>3.8461759914809601E-2</v>
      </c>
      <c r="C4474" s="477">
        <v>12887885.626168409</v>
      </c>
      <c r="D4474" s="458">
        <v>6.4398504363936127E-2</v>
      </c>
      <c r="E4474" s="477">
        <v>18419590.209060822</v>
      </c>
      <c r="F4474" s="458">
        <v>0.1074929727311722</v>
      </c>
      <c r="G4474" s="477">
        <v>81924868.202236071</v>
      </c>
      <c r="H4474" s="458">
        <v>0.26195398949229221</v>
      </c>
      <c r="I4474" s="468">
        <v>7.3244682587411347</v>
      </c>
    </row>
    <row r="4475" spans="1:9" ht="16.5" x14ac:dyDescent="0.3">
      <c r="A4475" s="477">
        <v>4224980.6257375889</v>
      </c>
      <c r="B4475" s="458">
        <v>5.3790413286454175E-2</v>
      </c>
      <c r="C4475" s="477">
        <v>4618704.4006333342</v>
      </c>
      <c r="D4475" s="458">
        <v>9.1060861120395131E-2</v>
      </c>
      <c r="E4475" s="477">
        <v>3667171.074841009</v>
      </c>
      <c r="F4475" s="458">
        <v>0.10661819764082692</v>
      </c>
      <c r="G4475" s="477">
        <v>91881854.195850492</v>
      </c>
      <c r="H4475" s="458">
        <v>0.28644184533127182</v>
      </c>
      <c r="I4475" s="468">
        <v>7.1095143583034215</v>
      </c>
    </row>
    <row r="4476" spans="1:9" ht="16.5" x14ac:dyDescent="0.3">
      <c r="A4476" s="477">
        <v>3369429.219961341</v>
      </c>
      <c r="B4476" s="458">
        <v>4.1655311272619677E-2</v>
      </c>
      <c r="C4476" s="477">
        <v>11570590.693993799</v>
      </c>
      <c r="D4476" s="458">
        <v>8.7541276536519996E-2</v>
      </c>
      <c r="E4476" s="477">
        <v>-5444970.4224701319</v>
      </c>
      <c r="F4476" s="458">
        <v>0.12711536161481019</v>
      </c>
      <c r="G4476" s="477">
        <v>80172715.4288432</v>
      </c>
      <c r="H4476" s="458">
        <v>0.26580428008756707</v>
      </c>
      <c r="I4476" s="468">
        <v>9.7003859732908388</v>
      </c>
    </row>
    <row r="4477" spans="1:9" ht="16.5" x14ac:dyDescent="0.3">
      <c r="A4477" s="477">
        <v>3117254.9131884887</v>
      </c>
      <c r="B4477" s="458">
        <v>3.0883802997129006E-2</v>
      </c>
      <c r="C4477" s="477">
        <v>5042852.3041086905</v>
      </c>
      <c r="D4477" s="458">
        <v>7.0337992323932008E-2</v>
      </c>
      <c r="E4477" s="477">
        <v>15057069.205107827</v>
      </c>
      <c r="F4477" s="458">
        <v>9.8913115265937046E-2</v>
      </c>
      <c r="G4477" s="477">
        <v>94357516.268660262</v>
      </c>
      <c r="H4477" s="458">
        <v>0.26987760031162589</v>
      </c>
      <c r="I4477" s="468">
        <v>13.916170079808172</v>
      </c>
    </row>
    <row r="4478" spans="1:9" ht="16.5" x14ac:dyDescent="0.3">
      <c r="A4478" s="477">
        <v>2095693.240649737</v>
      </c>
      <c r="B4478" s="458">
        <v>3.0584036425883143E-2</v>
      </c>
      <c r="C4478" s="477">
        <v>8154006.7157675456</v>
      </c>
      <c r="D4478" s="458">
        <v>5.7946790980788476E-2</v>
      </c>
      <c r="E4478" s="477">
        <v>20107765.450857997</v>
      </c>
      <c r="F4478" s="458">
        <v>0.12586917226929861</v>
      </c>
      <c r="G4478" s="477">
        <v>94028760.451715112</v>
      </c>
      <c r="H4478" s="458">
        <v>0.26489674889550896</v>
      </c>
      <c r="I4478" s="468">
        <v>4.119147217419604</v>
      </c>
    </row>
    <row r="4479" spans="1:9" ht="16.5" x14ac:dyDescent="0.3">
      <c r="A4479" s="477">
        <v>4746240.2719337437</v>
      </c>
      <c r="B4479" s="458">
        <v>7.3872591453882697E-2</v>
      </c>
      <c r="C4479" s="477">
        <v>9712374.51652232</v>
      </c>
      <c r="D4479" s="458">
        <v>7.0005081408225811E-2</v>
      </c>
      <c r="E4479" s="477">
        <v>21138907.595442057</v>
      </c>
      <c r="F4479" s="458">
        <v>0.10467268924587203</v>
      </c>
      <c r="G4479" s="477">
        <v>94930419.441746846</v>
      </c>
      <c r="H4479" s="458">
        <v>0.30619637255562293</v>
      </c>
      <c r="I4479" s="468">
        <v>3.2514319088544932</v>
      </c>
    </row>
    <row r="4480" spans="1:9" ht="16.5" x14ac:dyDescent="0.3">
      <c r="A4480" s="477">
        <v>3509665.737429515</v>
      </c>
      <c r="B4480" s="458">
        <v>4.7491298036730578E-2</v>
      </c>
      <c r="C4480" s="477">
        <v>4831803.3610452218</v>
      </c>
      <c r="D4480" s="458">
        <v>8.7988246704897355E-2</v>
      </c>
      <c r="E4480" s="477">
        <v>21370946.075001422</v>
      </c>
      <c r="F4480" s="458">
        <v>0.11561934864413526</v>
      </c>
      <c r="G4480" s="477">
        <v>68942662.776048064</v>
      </c>
      <c r="H4480" s="458">
        <v>0.26709743797384466</v>
      </c>
      <c r="I4480" s="468">
        <v>1.2572472568269699</v>
      </c>
    </row>
    <row r="4481" spans="1:9" ht="16.5" x14ac:dyDescent="0.3">
      <c r="A4481" s="477">
        <v>1954715.1710796957</v>
      </c>
      <c r="B4481" s="458">
        <v>4.4977133521037826E-2</v>
      </c>
      <c r="C4481" s="477">
        <v>10544834.48749271</v>
      </c>
      <c r="D4481" s="458">
        <v>7.3182958685839017E-2</v>
      </c>
      <c r="E4481" s="477">
        <v>22557300.484258778</v>
      </c>
      <c r="F4481" s="458">
        <v>8.6689937284078589E-2</v>
      </c>
      <c r="G4481" s="477">
        <v>96167377.44182536</v>
      </c>
      <c r="H4481" s="458">
        <v>0.25488064755748718</v>
      </c>
      <c r="I4481" s="468">
        <v>10.5336197025464</v>
      </c>
    </row>
    <row r="4482" spans="1:9" ht="16.5" x14ac:dyDescent="0.3">
      <c r="A4482" s="477">
        <v>3557361.8748526727</v>
      </c>
      <c r="B4482" s="458">
        <v>4.9105087726768026E-2</v>
      </c>
      <c r="C4482" s="477">
        <v>13556946.938083334</v>
      </c>
      <c r="D4482" s="458">
        <v>6.7787896626027688E-2</v>
      </c>
      <c r="E4482" s="477">
        <v>16831872.492569566</v>
      </c>
      <c r="F4482" s="458">
        <v>9.8493870580707021E-2</v>
      </c>
      <c r="G4482" s="477">
        <v>89472749.738754526</v>
      </c>
      <c r="H4482" s="458">
        <v>0.28186445255589754</v>
      </c>
      <c r="I4482" s="468">
        <v>3.6227372987458404</v>
      </c>
    </row>
    <row r="4483" spans="1:9" ht="16.5" x14ac:dyDescent="0.3">
      <c r="A4483" s="477">
        <v>3417335.4497904293</v>
      </c>
      <c r="B4483" s="458">
        <v>3.9166940578309939E-2</v>
      </c>
      <c r="C4483" s="477">
        <v>7003436.4296939652</v>
      </c>
      <c r="D4483" s="458">
        <v>5.7596563679605195E-2</v>
      </c>
      <c r="E4483" s="477">
        <v>20898523.471689671</v>
      </c>
      <c r="F4483" s="458">
        <v>9.4951155794767317E-2</v>
      </c>
      <c r="G4483" s="477">
        <v>90023713.836091504</v>
      </c>
      <c r="H4483" s="458">
        <v>0.26819256870885555</v>
      </c>
      <c r="I4483" s="468">
        <v>6.1448174239835875</v>
      </c>
    </row>
    <row r="4484" spans="1:9" ht="16.5" x14ac:dyDescent="0.3">
      <c r="A4484" s="477">
        <v>2635073.4159412291</v>
      </c>
      <c r="B4484" s="458">
        <v>1.1787796569435072E-2</v>
      </c>
      <c r="C4484" s="477">
        <v>13163823.087051369</v>
      </c>
      <c r="D4484" s="458">
        <v>6.6146926210891133E-2</v>
      </c>
      <c r="E4484" s="477">
        <v>13162731.371513052</v>
      </c>
      <c r="F4484" s="458">
        <v>0.11272006525991496</v>
      </c>
      <c r="G4484" s="477">
        <v>98137925.906130433</v>
      </c>
      <c r="H4484" s="458">
        <v>0.29416782087247539</v>
      </c>
      <c r="I4484" s="468">
        <v>6.7543683497729727</v>
      </c>
    </row>
    <row r="4485" spans="1:9" ht="16.5" x14ac:dyDescent="0.3">
      <c r="A4485" s="477">
        <v>10322895.508554773</v>
      </c>
      <c r="B4485" s="458">
        <v>3.2173206056384851E-2</v>
      </c>
      <c r="C4485" s="477">
        <v>5961206.4462233689</v>
      </c>
      <c r="D4485" s="458">
        <v>6.0371764483251766E-2</v>
      </c>
      <c r="E4485" s="477">
        <v>9411301.9360945337</v>
      </c>
      <c r="F4485" s="458">
        <v>0.11866205039459743</v>
      </c>
      <c r="G4485" s="477">
        <v>83797619.214965403</v>
      </c>
      <c r="H4485" s="458">
        <v>0.2901008161682781</v>
      </c>
      <c r="I4485" s="468">
        <v>0.64780941242657519</v>
      </c>
    </row>
    <row r="4486" spans="1:9" ht="16.5" x14ac:dyDescent="0.3">
      <c r="A4486" s="477">
        <v>7299499.845803692</v>
      </c>
      <c r="B4486" s="458">
        <v>5.6441472229787459E-2</v>
      </c>
      <c r="C4486" s="477">
        <v>6100752.3302517235</v>
      </c>
      <c r="D4486" s="458">
        <v>3.85232626029961E-2</v>
      </c>
      <c r="E4486" s="477">
        <v>17940083.927634973</v>
      </c>
      <c r="F4486" s="458">
        <v>9.6981451588458834E-2</v>
      </c>
      <c r="G4486" s="477">
        <v>96980163.073204026</v>
      </c>
      <c r="H4486" s="458">
        <v>0.27179743673301804</v>
      </c>
      <c r="I4486" s="468">
        <v>10.808055760412826</v>
      </c>
    </row>
    <row r="4487" spans="1:9" ht="16.5" x14ac:dyDescent="0.3">
      <c r="A4487" s="477">
        <v>4562442.4882003199</v>
      </c>
      <c r="B4487" s="458">
        <v>3.4435305274900907E-2</v>
      </c>
      <c r="C4487" s="477">
        <v>6984448.1610619398</v>
      </c>
      <c r="D4487" s="458">
        <v>0.10689633262351683</v>
      </c>
      <c r="E4487" s="477">
        <v>18288986.736671109</v>
      </c>
      <c r="F4487" s="458">
        <v>0.1127487672965628</v>
      </c>
      <c r="G4487" s="477">
        <v>75218220.224286005</v>
      </c>
      <c r="H4487" s="458">
        <v>0.27419303602510747</v>
      </c>
      <c r="I4487" s="468">
        <v>10.648123871623385</v>
      </c>
    </row>
    <row r="4488" spans="1:9" ht="16.5" x14ac:dyDescent="0.3">
      <c r="A4488" s="477">
        <v>7514376.1090443209</v>
      </c>
      <c r="B4488" s="458">
        <v>2.340471400483235E-2</v>
      </c>
      <c r="C4488" s="477">
        <v>12854081.869506123</v>
      </c>
      <c r="D4488" s="458">
        <v>6.6546918399209121E-2</v>
      </c>
      <c r="E4488" s="477">
        <v>15949349.426898055</v>
      </c>
      <c r="F4488" s="458">
        <v>9.880806740050585E-2</v>
      </c>
      <c r="G4488" s="477">
        <v>93524865.77011615</v>
      </c>
      <c r="H4488" s="458">
        <v>0.26232060870193363</v>
      </c>
      <c r="I4488" s="468">
        <v>17.786552619417868</v>
      </c>
    </row>
    <row r="4489" spans="1:9" ht="16.5" x14ac:dyDescent="0.3">
      <c r="A4489" s="477">
        <v>234420.34066187002</v>
      </c>
      <c r="B4489" s="458">
        <v>6.1928327587305265E-2</v>
      </c>
      <c r="C4489" s="477">
        <v>13492660.966024827</v>
      </c>
      <c r="D4489" s="458">
        <v>5.1459435754311889E-2</v>
      </c>
      <c r="E4489" s="477">
        <v>14453356.075523432</v>
      </c>
      <c r="F4489" s="458">
        <v>0.10374413558010387</v>
      </c>
      <c r="G4489" s="477">
        <v>86463962.606075853</v>
      </c>
      <c r="H4489" s="458">
        <v>0.25809444192506414</v>
      </c>
      <c r="I4489" s="468">
        <v>17.410488574683004</v>
      </c>
    </row>
    <row r="4490" spans="1:9" ht="16.5" x14ac:dyDescent="0.3">
      <c r="A4490" s="477">
        <v>6057846.8081260119</v>
      </c>
      <c r="B4490" s="458">
        <v>4.3508196204088856E-2</v>
      </c>
      <c r="C4490" s="477">
        <v>13545336.77664634</v>
      </c>
      <c r="D4490" s="458">
        <v>5.8054088056669118E-2</v>
      </c>
      <c r="E4490" s="477">
        <v>15517975.022109881</v>
      </c>
      <c r="F4490" s="458">
        <v>0.10639459986485078</v>
      </c>
      <c r="G4490" s="477">
        <v>76700271.570847139</v>
      </c>
      <c r="H4490" s="458">
        <v>0.27235931281390346</v>
      </c>
      <c r="I4490" s="468">
        <v>4.7240956700018639</v>
      </c>
    </row>
    <row r="4491" spans="1:9" ht="16.5" x14ac:dyDescent="0.3">
      <c r="A4491" s="477">
        <v>4817588.2951760637</v>
      </c>
      <c r="B4491" s="458">
        <v>6.3893130408520848E-2</v>
      </c>
      <c r="C4491" s="477">
        <v>12679738.421811203</v>
      </c>
      <c r="D4491" s="458">
        <v>8.0548994166488752E-2</v>
      </c>
      <c r="E4491" s="477">
        <v>15083435.845164293</v>
      </c>
      <c r="F4491" s="458">
        <v>0.17005109365566318</v>
      </c>
      <c r="G4491" s="477">
        <v>89316647.036949083</v>
      </c>
      <c r="H4491" s="458">
        <v>0.29893795717752947</v>
      </c>
      <c r="I4491" s="468">
        <v>5.9165790545444086</v>
      </c>
    </row>
    <row r="4492" spans="1:9" ht="16.5" x14ac:dyDescent="0.3">
      <c r="A4492" s="477">
        <v>7090344.0952420905</v>
      </c>
      <c r="B4492" s="458">
        <v>3.9171047687502014E-2</v>
      </c>
      <c r="C4492" s="477">
        <v>10900994.744976453</v>
      </c>
      <c r="D4492" s="458">
        <v>7.2101845087527039E-2</v>
      </c>
      <c r="E4492" s="477">
        <v>11727209.072053563</v>
      </c>
      <c r="F4492" s="458">
        <v>6.5458543985872142E-2</v>
      </c>
      <c r="G4492" s="477">
        <v>90593878.914915949</v>
      </c>
      <c r="H4492" s="458">
        <v>0.26900769721856355</v>
      </c>
      <c r="I4492" s="468">
        <v>10.066183221813358</v>
      </c>
    </row>
    <row r="4493" spans="1:9" ht="16.5" x14ac:dyDescent="0.3">
      <c r="A4493" s="477">
        <v>2646387.3385654269</v>
      </c>
      <c r="B4493" s="458">
        <v>3.5611377840799596E-2</v>
      </c>
      <c r="C4493" s="477">
        <v>5971636.4222023953</v>
      </c>
      <c r="D4493" s="458">
        <v>3.677440644848784E-2</v>
      </c>
      <c r="E4493" s="477">
        <v>10177871.816482436</v>
      </c>
      <c r="F4493" s="458">
        <v>0.13543971731960069</v>
      </c>
      <c r="G4493" s="477">
        <v>97677675.173016042</v>
      </c>
      <c r="H4493" s="458">
        <v>0.27788102401627568</v>
      </c>
      <c r="I4493" s="468">
        <v>8.6238653435661927</v>
      </c>
    </row>
    <row r="4494" spans="1:9" ht="16.5" x14ac:dyDescent="0.3">
      <c r="A4494" s="477">
        <v>5977565.836294611</v>
      </c>
      <c r="B4494" s="458">
        <v>6.2615147735145982E-2</v>
      </c>
      <c r="C4494" s="477">
        <v>8537478.8652890082</v>
      </c>
      <c r="D4494" s="458">
        <v>8.0843113898193986E-2</v>
      </c>
      <c r="E4494" s="477">
        <v>23113459.624977205</v>
      </c>
      <c r="F4494" s="458">
        <v>0.11270704008573507</v>
      </c>
      <c r="G4494" s="477">
        <v>93743974.417035401</v>
      </c>
      <c r="H4494" s="458">
        <v>0.27350245526147399</v>
      </c>
      <c r="I4494" s="468">
        <v>8.5914735028324305</v>
      </c>
    </row>
    <row r="4495" spans="1:9" ht="16.5" x14ac:dyDescent="0.3">
      <c r="A4495" s="477">
        <v>2964669.6545680459</v>
      </c>
      <c r="B4495" s="458">
        <v>6.0121797161083235E-2</v>
      </c>
      <c r="C4495" s="477">
        <v>3225346.6837700182</v>
      </c>
      <c r="D4495" s="458">
        <v>6.0401070196437479E-2</v>
      </c>
      <c r="E4495" s="477">
        <v>11790695.687601609</v>
      </c>
      <c r="F4495" s="458">
        <v>0.10629981407952682</v>
      </c>
      <c r="G4495" s="477">
        <v>75432595.62523672</v>
      </c>
      <c r="H4495" s="458">
        <v>0.25272983096505719</v>
      </c>
      <c r="I4495" s="468">
        <v>9.1531770272634496</v>
      </c>
    </row>
    <row r="4496" spans="1:9" ht="16.5" x14ac:dyDescent="0.3">
      <c r="A4496" s="477">
        <v>3926224.3809625986</v>
      </c>
      <c r="B4496" s="458">
        <v>3.3046707966245981E-2</v>
      </c>
      <c r="C4496" s="477">
        <v>11176327.610603742</v>
      </c>
      <c r="D4496" s="458">
        <v>5.6722420936926143E-2</v>
      </c>
      <c r="E4496" s="477">
        <v>23453069.619993825</v>
      </c>
      <c r="F4496" s="458">
        <v>0.11262436135048914</v>
      </c>
      <c r="G4496" s="477">
        <v>87837221.194428623</v>
      </c>
      <c r="H4496" s="458">
        <v>0.26360624272118005</v>
      </c>
      <c r="I4496" s="468">
        <v>4.8280082868765275</v>
      </c>
    </row>
    <row r="4497" spans="1:9" ht="16.5" x14ac:dyDescent="0.3">
      <c r="A4497" s="477">
        <v>842028.41323091672</v>
      </c>
      <c r="B4497" s="458">
        <v>3.2723750506795657E-2</v>
      </c>
      <c r="C4497" s="477">
        <v>8520243.0397146214</v>
      </c>
      <c r="D4497" s="458">
        <v>7.3046835738730609E-2</v>
      </c>
      <c r="E4497" s="477">
        <v>14125847.878859198</v>
      </c>
      <c r="F4497" s="458">
        <v>0.12152643377629135</v>
      </c>
      <c r="G4497" s="477">
        <v>87406010.030166432</v>
      </c>
      <c r="H4497" s="458">
        <v>0.30295855436493047</v>
      </c>
      <c r="I4497" s="468">
        <v>13.404486617093429</v>
      </c>
    </row>
    <row r="4498" spans="1:9" ht="16.5" x14ac:dyDescent="0.3">
      <c r="A4498" s="477">
        <v>183645.87930901011</v>
      </c>
      <c r="B4498" s="458">
        <v>1.0151197867264594E-2</v>
      </c>
      <c r="C4498" s="477">
        <v>10716554.31868572</v>
      </c>
      <c r="D4498" s="458">
        <v>7.6973201664995772E-2</v>
      </c>
      <c r="E4498" s="477">
        <v>19136174.51590592</v>
      </c>
      <c r="F4498" s="458">
        <v>0.10821107248051964</v>
      </c>
      <c r="G4498" s="477">
        <v>82387775.435004324</v>
      </c>
      <c r="H4498" s="458">
        <v>0.27766521253545529</v>
      </c>
      <c r="I4498" s="468">
        <v>8.0442744921624847</v>
      </c>
    </row>
    <row r="4499" spans="1:9" ht="16.5" x14ac:dyDescent="0.3">
      <c r="A4499" s="477">
        <v>3098588.9375829697</v>
      </c>
      <c r="B4499" s="458">
        <v>3.3584241857355535E-2</v>
      </c>
      <c r="C4499" s="477">
        <v>9733202.730003044</v>
      </c>
      <c r="D4499" s="458">
        <v>7.2198206829458211E-2</v>
      </c>
      <c r="E4499" s="477">
        <v>13454246.582598044</v>
      </c>
      <c r="F4499" s="458">
        <v>9.0880681885602721E-2</v>
      </c>
      <c r="G4499" s="477">
        <v>88591014.365022913</v>
      </c>
      <c r="H4499" s="458">
        <v>0.27228452736790976</v>
      </c>
      <c r="I4499" s="468">
        <v>4.6989959143199664</v>
      </c>
    </row>
    <row r="4500" spans="1:9" ht="16.5" x14ac:dyDescent="0.3">
      <c r="A4500" s="477">
        <v>5867098.4053263338</v>
      </c>
      <c r="B4500" s="458">
        <v>3.3612662445671404E-2</v>
      </c>
      <c r="C4500" s="477">
        <v>7631128.3130795499</v>
      </c>
      <c r="D4500" s="458">
        <v>8.4106409205378707E-2</v>
      </c>
      <c r="E4500" s="477">
        <v>17115372.535968311</v>
      </c>
      <c r="F4500" s="458">
        <v>0.12943514484020446</v>
      </c>
      <c r="G4500" s="477">
        <v>96539786.857826456</v>
      </c>
      <c r="H4500" s="458">
        <v>0.26002569769733075</v>
      </c>
      <c r="I4500" s="468">
        <v>3.0376744231416932</v>
      </c>
    </row>
    <row r="4501" spans="1:9" ht="16.5" x14ac:dyDescent="0.3">
      <c r="A4501" s="477">
        <v>7861690.8339096485</v>
      </c>
      <c r="B4501" s="458">
        <v>3.1500656423684603E-2</v>
      </c>
      <c r="C4501" s="477">
        <v>14670399.384068869</v>
      </c>
      <c r="D4501" s="458">
        <v>8.1570285592276193E-2</v>
      </c>
      <c r="E4501" s="477">
        <v>20705540.258009885</v>
      </c>
      <c r="F4501" s="458">
        <v>0.12540079860154352</v>
      </c>
      <c r="G4501" s="477">
        <v>85725399.018977776</v>
      </c>
      <c r="H4501" s="458">
        <v>0.26013622668863623</v>
      </c>
      <c r="I4501" s="468">
        <v>10.345778450643612</v>
      </c>
    </row>
    <row r="4502" spans="1:9" ht="16.5" x14ac:dyDescent="0.3">
      <c r="A4502" s="477">
        <v>3027363.8184061204</v>
      </c>
      <c r="B4502" s="458">
        <v>4.9989578849866989E-2</v>
      </c>
      <c r="C4502" s="477">
        <v>14872142.363390272</v>
      </c>
      <c r="D4502" s="458">
        <v>7.7032633133993222E-2</v>
      </c>
      <c r="E4502" s="477">
        <v>18283410.858776964</v>
      </c>
      <c r="F4502" s="458">
        <v>0.12114425388849992</v>
      </c>
      <c r="G4502" s="477">
        <v>91207237.887531668</v>
      </c>
      <c r="H4502" s="458">
        <v>0.27683559624272269</v>
      </c>
      <c r="I4502" s="468">
        <v>7.3440994329298785</v>
      </c>
    </row>
    <row r="4503" spans="1:9" ht="16.5" x14ac:dyDescent="0.3">
      <c r="A4503" s="477">
        <v>3283340.9031067183</v>
      </c>
      <c r="B4503" s="458">
        <v>3.4909211580963717E-2</v>
      </c>
      <c r="C4503" s="477">
        <v>9172032.1791175194</v>
      </c>
      <c r="D4503" s="458">
        <v>5.8356532267646477E-2</v>
      </c>
      <c r="E4503" s="477">
        <v>16800188.611987304</v>
      </c>
      <c r="F4503" s="458">
        <v>0.11930764269292538</v>
      </c>
      <c r="G4503" s="477">
        <v>85090207.666157499</v>
      </c>
      <c r="H4503" s="458">
        <v>0.26603442998623938</v>
      </c>
      <c r="I4503" s="468">
        <v>7.8806652312165104</v>
      </c>
    </row>
    <row r="4504" spans="1:9" ht="16.5" x14ac:dyDescent="0.3">
      <c r="A4504" s="477">
        <v>1733708.2948669915</v>
      </c>
      <c r="B4504" s="458">
        <v>1.6063227055853169E-2</v>
      </c>
      <c r="C4504" s="477">
        <v>10811903.575019494</v>
      </c>
      <c r="D4504" s="458">
        <v>5.4825600944020669E-2</v>
      </c>
      <c r="E4504" s="477">
        <v>15922399.19210154</v>
      </c>
      <c r="F4504" s="458">
        <v>0.11268190870646744</v>
      </c>
      <c r="G4504" s="477">
        <v>90453799.765475452</v>
      </c>
      <c r="H4504" s="458">
        <v>0.28922749137909309</v>
      </c>
      <c r="I4504" s="468">
        <v>13.22210775845392</v>
      </c>
    </row>
    <row r="4505" spans="1:9" ht="16.5" x14ac:dyDescent="0.3">
      <c r="A4505" s="477">
        <v>702486.82600980625</v>
      </c>
      <c r="B4505" s="458">
        <v>4.1355372880362617E-2</v>
      </c>
      <c r="C4505" s="477">
        <v>9597600.4209787957</v>
      </c>
      <c r="D4505" s="458">
        <v>7.3366115680493671E-2</v>
      </c>
      <c r="E4505" s="477">
        <v>16480045.136350093</v>
      </c>
      <c r="F4505" s="458">
        <v>0.11317792373615676</v>
      </c>
      <c r="G4505" s="477">
        <v>89577015.971019924</v>
      </c>
      <c r="H4505" s="458">
        <v>0.29900680025366566</v>
      </c>
      <c r="I4505" s="468">
        <v>3.2999204673415816</v>
      </c>
    </row>
    <row r="4506" spans="1:9" ht="16.5" x14ac:dyDescent="0.3">
      <c r="A4506" s="477">
        <v>7022905.9522174289</v>
      </c>
      <c r="B4506" s="458">
        <v>6.8834702234511491E-2</v>
      </c>
      <c r="C4506" s="477">
        <v>8426935.7347738296</v>
      </c>
      <c r="D4506" s="458">
        <v>6.4005238953942944E-2</v>
      </c>
      <c r="E4506" s="477">
        <v>19236484.58021586</v>
      </c>
      <c r="F4506" s="458">
        <v>9.216010079107706E-2</v>
      </c>
      <c r="G4506" s="477">
        <v>81655255.856131628</v>
      </c>
      <c r="H4506" s="458">
        <v>0.25283410444775156</v>
      </c>
      <c r="I4506" s="468">
        <v>6.0303864373599669</v>
      </c>
    </row>
    <row r="4507" spans="1:9" ht="16.5" x14ac:dyDescent="0.3">
      <c r="A4507" s="477">
        <v>4395189.5189081328</v>
      </c>
      <c r="B4507" s="458">
        <v>3.2402183817160424E-2</v>
      </c>
      <c r="C4507" s="477">
        <v>12324540.903110817</v>
      </c>
      <c r="D4507" s="458">
        <v>3.3737440063512425E-2</v>
      </c>
      <c r="E4507" s="477">
        <v>13948147.283315932</v>
      </c>
      <c r="F4507" s="458">
        <v>8.6274216312379304E-2</v>
      </c>
      <c r="G4507" s="477">
        <v>84524360.45430468</v>
      </c>
      <c r="H4507" s="458">
        <v>0.25875457045088246</v>
      </c>
      <c r="I4507" s="468">
        <v>13.855673945429579</v>
      </c>
    </row>
    <row r="4508" spans="1:9" ht="16.5" x14ac:dyDescent="0.3">
      <c r="A4508" s="477">
        <v>1495797.6685502653</v>
      </c>
      <c r="B4508" s="458">
        <v>6.8335841669982411E-2</v>
      </c>
      <c r="C4508" s="477">
        <v>8281289.3408062253</v>
      </c>
      <c r="D4508" s="458">
        <v>6.6119588952139319E-2</v>
      </c>
      <c r="E4508" s="477">
        <v>9637023.8965917379</v>
      </c>
      <c r="F4508" s="458">
        <v>0.10040650904824755</v>
      </c>
      <c r="G4508" s="477">
        <v>89774870.346786126</v>
      </c>
      <c r="H4508" s="458">
        <v>0.26353671631843367</v>
      </c>
      <c r="I4508" s="468">
        <v>-1.5373236186310368</v>
      </c>
    </row>
    <row r="4509" spans="1:9" ht="16.5" x14ac:dyDescent="0.3">
      <c r="A4509" s="477">
        <v>2492446.1926192394</v>
      </c>
      <c r="B4509" s="458">
        <v>3.7203888776969674E-2</v>
      </c>
      <c r="C4509" s="477">
        <v>14592132.442722334</v>
      </c>
      <c r="D4509" s="458">
        <v>6.6208738934777189E-2</v>
      </c>
      <c r="E4509" s="477">
        <v>17082352.323691543</v>
      </c>
      <c r="F4509" s="458">
        <v>0.11274699443683689</v>
      </c>
      <c r="G4509" s="477">
        <v>91828575.244792908</v>
      </c>
      <c r="H4509" s="458">
        <v>0.2551246354768899</v>
      </c>
      <c r="I4509" s="468">
        <v>6.163922745852763</v>
      </c>
    </row>
    <row r="4510" spans="1:9" ht="16.5" x14ac:dyDescent="0.3">
      <c r="A4510" s="477">
        <v>5460777.3214350017</v>
      </c>
      <c r="B4510" s="458">
        <v>4.5643042322812466E-2</v>
      </c>
      <c r="C4510" s="477">
        <v>16735966.299182359</v>
      </c>
      <c r="D4510" s="458">
        <v>5.4404555292541401E-2</v>
      </c>
      <c r="E4510" s="477">
        <v>18765725.337440398</v>
      </c>
      <c r="F4510" s="458">
        <v>0.1170203737476998</v>
      </c>
      <c r="G4510" s="477">
        <v>85113338.184755221</v>
      </c>
      <c r="H4510" s="458">
        <v>0.2751398996020189</v>
      </c>
      <c r="I4510" s="468">
        <v>15.08810401176919</v>
      </c>
    </row>
    <row r="4511" spans="1:9" ht="16.5" x14ac:dyDescent="0.3">
      <c r="A4511" s="477">
        <v>10678487.512949608</v>
      </c>
      <c r="B4511" s="458">
        <v>5.336618043753627E-2</v>
      </c>
      <c r="C4511" s="477">
        <v>10736401.682073046</v>
      </c>
      <c r="D4511" s="458">
        <v>6.6674650959942072E-2</v>
      </c>
      <c r="E4511" s="477">
        <v>22466636.458066642</v>
      </c>
      <c r="F4511" s="458">
        <v>0.11338538598344972</v>
      </c>
      <c r="G4511" s="477">
        <v>100746033.83682509</v>
      </c>
      <c r="H4511" s="458">
        <v>0.26389554666677451</v>
      </c>
      <c r="I4511" s="468">
        <v>7.8925542100385417</v>
      </c>
    </row>
    <row r="4512" spans="1:9" ht="16.5" x14ac:dyDescent="0.3">
      <c r="A4512" s="477">
        <v>6587698.0651213555</v>
      </c>
      <c r="B4512" s="458">
        <v>4.0100166607041077E-2</v>
      </c>
      <c r="C4512" s="477">
        <v>10344637.833271693</v>
      </c>
      <c r="D4512" s="458">
        <v>6.8171216817030311E-2</v>
      </c>
      <c r="E4512" s="477">
        <v>18335324.826646406</v>
      </c>
      <c r="F4512" s="458">
        <v>7.1071914385248292E-2</v>
      </c>
      <c r="G4512" s="477">
        <v>98245842.039369673</v>
      </c>
      <c r="H4512" s="458">
        <v>0.27350517692267928</v>
      </c>
      <c r="I4512" s="468">
        <v>6.5304438881509226</v>
      </c>
    </row>
    <row r="4513" spans="1:9" ht="16.5" x14ac:dyDescent="0.3">
      <c r="A4513" s="477">
        <v>3140527.9918625224</v>
      </c>
      <c r="B4513" s="458">
        <v>3.6891882081379945E-2</v>
      </c>
      <c r="C4513" s="477">
        <v>13374747.759303398</v>
      </c>
      <c r="D4513" s="458">
        <v>7.903459947355751E-2</v>
      </c>
      <c r="E4513" s="477">
        <v>14986578.711988073</v>
      </c>
      <c r="F4513" s="458">
        <v>0.12973084419647285</v>
      </c>
      <c r="G4513" s="477">
        <v>76368636.100335568</v>
      </c>
      <c r="H4513" s="458">
        <v>0.29713250995477325</v>
      </c>
      <c r="I4513" s="468">
        <v>7.5150294457001161</v>
      </c>
    </row>
    <row r="4514" spans="1:9" ht="16.5" x14ac:dyDescent="0.3">
      <c r="A4514" s="477">
        <v>4561651.2579902941</v>
      </c>
      <c r="B4514" s="458">
        <v>4.0792253105080167E-2</v>
      </c>
      <c r="C4514" s="477">
        <v>7940843.8976062993</v>
      </c>
      <c r="D4514" s="458">
        <v>4.7077426149768842E-2</v>
      </c>
      <c r="E4514" s="477">
        <v>20356889.069933664</v>
      </c>
      <c r="F4514" s="458">
        <v>0.13743828471870589</v>
      </c>
      <c r="G4514" s="477">
        <v>86902666.955015123</v>
      </c>
      <c r="H4514" s="458">
        <v>0.26836581053745401</v>
      </c>
      <c r="I4514" s="468">
        <v>9.0266241655090234</v>
      </c>
    </row>
    <row r="4515" spans="1:9" ht="16.5" x14ac:dyDescent="0.3">
      <c r="A4515" s="477">
        <v>3336328.3717115065</v>
      </c>
      <c r="B4515" s="458">
        <v>3.0635035989139192E-2</v>
      </c>
      <c r="C4515" s="477">
        <v>12717800.647792751</v>
      </c>
      <c r="D4515" s="458">
        <v>6.996691413719458E-2</v>
      </c>
      <c r="E4515" s="477">
        <v>13511242.751136823</v>
      </c>
      <c r="F4515" s="458">
        <v>0.11761529403539761</v>
      </c>
      <c r="G4515" s="477">
        <v>102523715.27827448</v>
      </c>
      <c r="H4515" s="458">
        <v>0.25615506433776103</v>
      </c>
      <c r="I4515" s="468">
        <v>6.2061528191803532</v>
      </c>
    </row>
    <row r="4516" spans="1:9" ht="16.5" x14ac:dyDescent="0.3">
      <c r="A4516" s="477">
        <v>3165574.2945852876</v>
      </c>
      <c r="B4516" s="458">
        <v>2.4300152364224115E-2</v>
      </c>
      <c r="C4516" s="477">
        <v>10672595.411814919</v>
      </c>
      <c r="D4516" s="458">
        <v>5.8508610164377695E-2</v>
      </c>
      <c r="E4516" s="477">
        <v>16078879.791269423</v>
      </c>
      <c r="F4516" s="458">
        <v>0.10091081343227093</v>
      </c>
      <c r="G4516" s="477">
        <v>74446864.364545673</v>
      </c>
      <c r="H4516" s="458">
        <v>0.24997355183236314</v>
      </c>
      <c r="I4516" s="468">
        <v>3.1429629178454856</v>
      </c>
    </row>
    <row r="4517" spans="1:9" ht="16.5" x14ac:dyDescent="0.3">
      <c r="A4517" s="477">
        <v>5227418.1338547729</v>
      </c>
      <c r="B4517" s="458">
        <v>6.1785042453349037E-2</v>
      </c>
      <c r="C4517" s="477">
        <v>8282169.8263571551</v>
      </c>
      <c r="D4517" s="458">
        <v>5.7264821355371254E-2</v>
      </c>
      <c r="E4517" s="477">
        <v>20634025.378781803</v>
      </c>
      <c r="F4517" s="458">
        <v>9.1960240406802507E-2</v>
      </c>
      <c r="G4517" s="477">
        <v>85140100.998629153</v>
      </c>
      <c r="H4517" s="458">
        <v>0.26945651300088702</v>
      </c>
      <c r="I4517" s="468">
        <v>2.9947162266880047</v>
      </c>
    </row>
    <row r="4518" spans="1:9" ht="16.5" x14ac:dyDescent="0.3">
      <c r="A4518" s="477">
        <v>4201495.408706353</v>
      </c>
      <c r="B4518" s="458">
        <v>5.6971368942229317E-2</v>
      </c>
      <c r="C4518" s="477">
        <v>8970273.4751540888</v>
      </c>
      <c r="D4518" s="458">
        <v>6.6486942938328575E-2</v>
      </c>
      <c r="E4518" s="477">
        <v>18518695.771391291</v>
      </c>
      <c r="F4518" s="458">
        <v>0.10037788357255994</v>
      </c>
      <c r="G4518" s="477">
        <v>82426236.704797119</v>
      </c>
      <c r="H4518" s="458">
        <v>0.29355367358323736</v>
      </c>
      <c r="I4518" s="468">
        <v>10.291141542200956</v>
      </c>
    </row>
    <row r="4519" spans="1:9" ht="16.5" x14ac:dyDescent="0.3">
      <c r="A4519" s="477">
        <v>2624599.574884553</v>
      </c>
      <c r="B4519" s="458">
        <v>5.8420155694197673E-2</v>
      </c>
      <c r="C4519" s="477">
        <v>1417445.053778592</v>
      </c>
      <c r="D4519" s="458">
        <v>4.0855063499189992E-2</v>
      </c>
      <c r="E4519" s="477">
        <v>10502056.533659413</v>
      </c>
      <c r="F4519" s="458">
        <v>0.10309542819311113</v>
      </c>
      <c r="G4519" s="477">
        <v>97627739.093548879</v>
      </c>
      <c r="H4519" s="458">
        <v>0.28245315986517427</v>
      </c>
      <c r="I4519" s="468">
        <v>10.614055152414702</v>
      </c>
    </row>
    <row r="4520" spans="1:9" ht="16.5" x14ac:dyDescent="0.3">
      <c r="A4520" s="477">
        <v>4995884.3359792121</v>
      </c>
      <c r="B4520" s="458">
        <v>3.9594683787778306E-2</v>
      </c>
      <c r="C4520" s="477">
        <v>6474747.370188443</v>
      </c>
      <c r="D4520" s="458">
        <v>7.0042751277573867E-2</v>
      </c>
      <c r="E4520" s="477">
        <v>16158412.41945678</v>
      </c>
      <c r="F4520" s="458">
        <v>8.4853852749825265E-2</v>
      </c>
      <c r="G4520" s="477">
        <v>71816297.464282691</v>
      </c>
      <c r="H4520" s="458">
        <v>0.29372133548052992</v>
      </c>
      <c r="I4520" s="468">
        <v>8.2727365623721028</v>
      </c>
    </row>
    <row r="4521" spans="1:9" ht="16.5" x14ac:dyDescent="0.3">
      <c r="A4521" s="477">
        <v>5360967.0626839828</v>
      </c>
      <c r="B4521" s="458">
        <v>6.2253613655609552E-2</v>
      </c>
      <c r="C4521" s="477">
        <v>5839619.8619091138</v>
      </c>
      <c r="D4521" s="458">
        <v>2.6312971990718026E-2</v>
      </c>
      <c r="E4521" s="477">
        <v>25977130.796645001</v>
      </c>
      <c r="F4521" s="458">
        <v>9.7146561682936117E-2</v>
      </c>
      <c r="G4521" s="477">
        <v>95337982.361943901</v>
      </c>
      <c r="H4521" s="458">
        <v>0.28047531641538836</v>
      </c>
      <c r="I4521" s="468">
        <v>8.7616311816536907</v>
      </c>
    </row>
    <row r="4522" spans="1:9" ht="16.5" x14ac:dyDescent="0.3">
      <c r="A4522" s="477">
        <v>8099022.9520663479</v>
      </c>
      <c r="B4522" s="458">
        <v>4.3119093200028491E-2</v>
      </c>
      <c r="C4522" s="477">
        <v>10326602.482640371</v>
      </c>
      <c r="D4522" s="458">
        <v>8.5206437886800268E-2</v>
      </c>
      <c r="E4522" s="477">
        <v>16489805.495313041</v>
      </c>
      <c r="F4522" s="458">
        <v>8.9705821081359716E-2</v>
      </c>
      <c r="G4522" s="477">
        <v>96979366.708377048</v>
      </c>
      <c r="H4522" s="458">
        <v>0.2613858369025448</v>
      </c>
      <c r="I4522" s="468">
        <v>14.629440678038655</v>
      </c>
    </row>
    <row r="4523" spans="1:9" ht="16.5" x14ac:dyDescent="0.3">
      <c r="A4523" s="477">
        <v>4187140.5500233164</v>
      </c>
      <c r="B4523" s="458">
        <v>4.11891882832911E-2</v>
      </c>
      <c r="C4523" s="477">
        <v>7195341.7893107571</v>
      </c>
      <c r="D4523" s="458">
        <v>7.1589332579679255E-2</v>
      </c>
      <c r="E4523" s="477">
        <v>18965867.52425833</v>
      </c>
      <c r="F4523" s="458">
        <v>0.11993376523674004</v>
      </c>
      <c r="G4523" s="477">
        <v>84102301.661750004</v>
      </c>
      <c r="H4523" s="458">
        <v>0.27605002638968457</v>
      </c>
      <c r="I4523" s="468">
        <v>9.8993045444019394</v>
      </c>
    </row>
    <row r="4524" spans="1:9" ht="16.5" x14ac:dyDescent="0.3">
      <c r="A4524" s="477">
        <v>311340.65729516337</v>
      </c>
      <c r="B4524" s="458">
        <v>5.4004467342546159E-2</v>
      </c>
      <c r="C4524" s="477">
        <v>7467507.0228963485</v>
      </c>
      <c r="D4524" s="458">
        <v>6.0315712349825468E-2</v>
      </c>
      <c r="E4524" s="477">
        <v>9402761.5642311629</v>
      </c>
      <c r="F4524" s="458">
        <v>8.3796691284458324E-2</v>
      </c>
      <c r="G4524" s="477">
        <v>91063019.262411594</v>
      </c>
      <c r="H4524" s="458">
        <v>0.27428561739582658</v>
      </c>
      <c r="I4524" s="468">
        <v>11.151126387993695</v>
      </c>
    </row>
    <row r="4525" spans="1:9" ht="16.5" x14ac:dyDescent="0.3">
      <c r="A4525" s="477">
        <v>5021417.9464711901</v>
      </c>
      <c r="B4525" s="458">
        <v>4.0890208916916748E-2</v>
      </c>
      <c r="C4525" s="477">
        <v>15455288.887850607</v>
      </c>
      <c r="D4525" s="458">
        <v>7.3811586479921587E-2</v>
      </c>
      <c r="E4525" s="477">
        <v>16531326.932679996</v>
      </c>
      <c r="F4525" s="458">
        <v>9.9602862760259869E-2</v>
      </c>
      <c r="G4525" s="477">
        <v>86855985.569936484</v>
      </c>
      <c r="H4525" s="458">
        <v>0.25253773685374337</v>
      </c>
      <c r="I4525" s="468">
        <v>4.5478676479171973</v>
      </c>
    </row>
    <row r="4526" spans="1:9" ht="16.5" x14ac:dyDescent="0.3">
      <c r="A4526" s="477">
        <v>7562428.9702939913</v>
      </c>
      <c r="B4526" s="458">
        <v>4.3415781713634471E-2</v>
      </c>
      <c r="C4526" s="477">
        <v>8211254.4038963309</v>
      </c>
      <c r="D4526" s="458">
        <v>7.8990390341489913E-2</v>
      </c>
      <c r="E4526" s="477">
        <v>17492062.893799637</v>
      </c>
      <c r="F4526" s="458">
        <v>9.847939010041773E-2</v>
      </c>
      <c r="G4526" s="477">
        <v>93202989.980190784</v>
      </c>
      <c r="H4526" s="458">
        <v>0.27684386273844952</v>
      </c>
      <c r="I4526" s="468">
        <v>7.1219436546142942</v>
      </c>
    </row>
    <row r="4527" spans="1:9" ht="16.5" x14ac:dyDescent="0.3">
      <c r="A4527" s="477">
        <v>6966872.754359711</v>
      </c>
      <c r="B4527" s="458">
        <v>3.0638199820734791E-2</v>
      </c>
      <c r="C4527" s="477">
        <v>11176056.167043557</v>
      </c>
      <c r="D4527" s="458">
        <v>5.4159715212578563E-2</v>
      </c>
      <c r="E4527" s="477">
        <v>16431130.447150385</v>
      </c>
      <c r="F4527" s="458">
        <v>0.12864266612427522</v>
      </c>
      <c r="G4527" s="477">
        <v>89221866.873922825</v>
      </c>
      <c r="H4527" s="458">
        <v>0.25906670796350673</v>
      </c>
      <c r="I4527" s="468">
        <v>4.6500028495648165</v>
      </c>
    </row>
    <row r="4528" spans="1:9" ht="16.5" x14ac:dyDescent="0.3">
      <c r="A4528" s="477">
        <v>6223476.5991015537</v>
      </c>
      <c r="B4528" s="458">
        <v>3.1350067231862955E-2</v>
      </c>
      <c r="C4528" s="477">
        <v>10557841.456648787</v>
      </c>
      <c r="D4528" s="458">
        <v>5.9800894737491728E-2</v>
      </c>
      <c r="E4528" s="477">
        <v>14672475.995919313</v>
      </c>
      <c r="F4528" s="458">
        <v>0.15387668273384514</v>
      </c>
      <c r="G4528" s="477">
        <v>91835158.170020476</v>
      </c>
      <c r="H4528" s="458">
        <v>0.26140110472136513</v>
      </c>
      <c r="I4528" s="468">
        <v>3.8385617207532894</v>
      </c>
    </row>
    <row r="4529" spans="1:9" ht="16.5" x14ac:dyDescent="0.3">
      <c r="A4529" s="477">
        <v>740219.13419139269</v>
      </c>
      <c r="B4529" s="458">
        <v>5.0114618003533895E-2</v>
      </c>
      <c r="C4529" s="477">
        <v>14220857.600940028</v>
      </c>
      <c r="D4529" s="458">
        <v>8.7205159057134551E-2</v>
      </c>
      <c r="E4529" s="477">
        <v>20928759.559927586</v>
      </c>
      <c r="F4529" s="458">
        <v>9.441944907154376E-2</v>
      </c>
      <c r="G4529" s="477">
        <v>98320428.80497922</v>
      </c>
      <c r="H4529" s="458">
        <v>0.27595820900900669</v>
      </c>
      <c r="I4529" s="468">
        <v>6.5849627523736736</v>
      </c>
    </row>
    <row r="4530" spans="1:9" ht="16.5" x14ac:dyDescent="0.3">
      <c r="A4530" s="477">
        <v>3907195.0470557595</v>
      </c>
      <c r="B4530" s="458">
        <v>4.3589717936923567E-2</v>
      </c>
      <c r="C4530" s="477">
        <v>14202694.890948059</v>
      </c>
      <c r="D4530" s="458">
        <v>3.5899017815052447E-2</v>
      </c>
      <c r="E4530" s="477">
        <v>13538429.818298589</v>
      </c>
      <c r="F4530" s="458">
        <v>0.10472484542316152</v>
      </c>
      <c r="G4530" s="477">
        <v>96001322.674798861</v>
      </c>
      <c r="H4530" s="458">
        <v>0.28959418171728357</v>
      </c>
      <c r="I4530" s="468">
        <v>7.8960447813553021</v>
      </c>
    </row>
    <row r="4531" spans="1:9" ht="16.5" x14ac:dyDescent="0.3">
      <c r="A4531" s="477">
        <v>9933928.3775347434</v>
      </c>
      <c r="B4531" s="458">
        <v>3.4909330664433247E-2</v>
      </c>
      <c r="C4531" s="477">
        <v>8465852.8222894669</v>
      </c>
      <c r="D4531" s="458">
        <v>7.0947773605969822E-2</v>
      </c>
      <c r="E4531" s="477">
        <v>15608288.718099967</v>
      </c>
      <c r="F4531" s="458">
        <v>0.11810175949598878</v>
      </c>
      <c r="G4531" s="477">
        <v>92736210.98239094</v>
      </c>
      <c r="H4531" s="458">
        <v>0.27183901038296443</v>
      </c>
      <c r="I4531" s="468">
        <v>5.7518126714773716</v>
      </c>
    </row>
    <row r="4532" spans="1:9" ht="16.5" x14ac:dyDescent="0.3">
      <c r="A4532" s="477">
        <v>9135188.5806691274</v>
      </c>
      <c r="B4532" s="458">
        <v>5.8371828064996301E-2</v>
      </c>
      <c r="C4532" s="477">
        <v>6474385.2169228317</v>
      </c>
      <c r="D4532" s="458">
        <v>4.8056891965640114E-2</v>
      </c>
      <c r="E4532" s="477">
        <v>28667801.735711738</v>
      </c>
      <c r="F4532" s="458">
        <v>0.10395480701024029</v>
      </c>
      <c r="G4532" s="477">
        <v>88256908.539175451</v>
      </c>
      <c r="H4532" s="458">
        <v>0.28906345184493043</v>
      </c>
      <c r="I4532" s="468">
        <v>7.8338276253538037</v>
      </c>
    </row>
    <row r="4533" spans="1:9" ht="16.5" x14ac:dyDescent="0.3">
      <c r="A4533" s="477">
        <v>7243732.3046573866</v>
      </c>
      <c r="B4533" s="458">
        <v>3.2988238980091733E-2</v>
      </c>
      <c r="C4533" s="477">
        <v>9974317.97400745</v>
      </c>
      <c r="D4533" s="458">
        <v>5.3170650081581172E-2</v>
      </c>
      <c r="E4533" s="477">
        <v>18984383.231249116</v>
      </c>
      <c r="F4533" s="458">
        <v>0.10557491935833618</v>
      </c>
      <c r="G4533" s="477">
        <v>101738168.22680251</v>
      </c>
      <c r="H4533" s="458">
        <v>0.27332128675092693</v>
      </c>
      <c r="I4533" s="468">
        <v>10.486670334471773</v>
      </c>
    </row>
    <row r="4534" spans="1:9" ht="16.5" x14ac:dyDescent="0.3">
      <c r="A4534" s="477">
        <v>-64832.50703436476</v>
      </c>
      <c r="B4534" s="458">
        <v>3.0347062660281088E-2</v>
      </c>
      <c r="C4534" s="477">
        <v>4946486.0374785764</v>
      </c>
      <c r="D4534" s="458">
        <v>6.0540542683326537E-2</v>
      </c>
      <c r="E4534" s="477">
        <v>14917787.139019482</v>
      </c>
      <c r="F4534" s="458">
        <v>8.6697077106974607E-2</v>
      </c>
      <c r="G4534" s="477">
        <v>98620137.907550856</v>
      </c>
      <c r="H4534" s="458">
        <v>0.28128366096552759</v>
      </c>
      <c r="I4534" s="468">
        <v>9.6589183526847897</v>
      </c>
    </row>
    <row r="4535" spans="1:9" ht="16.5" x14ac:dyDescent="0.3">
      <c r="A4535" s="477">
        <v>8599466.7650628015</v>
      </c>
      <c r="B4535" s="458">
        <v>4.799008632741053E-2</v>
      </c>
      <c r="C4535" s="477">
        <v>12296015.131964756</v>
      </c>
      <c r="D4535" s="458">
        <v>3.4797676015566825E-2</v>
      </c>
      <c r="E4535" s="477">
        <v>26450018.974266041</v>
      </c>
      <c r="F4535" s="458">
        <v>8.9185813784908197E-2</v>
      </c>
      <c r="G4535" s="477">
        <v>91039125.302782804</v>
      </c>
      <c r="H4535" s="458">
        <v>0.26474183882699198</v>
      </c>
      <c r="I4535" s="468">
        <v>7.8318389832160173</v>
      </c>
    </row>
    <row r="4536" spans="1:9" ht="16.5" x14ac:dyDescent="0.3">
      <c r="A4536" s="477">
        <v>1318721.2517769642</v>
      </c>
      <c r="B4536" s="458">
        <v>5.4185851682585051E-2</v>
      </c>
      <c r="C4536" s="477">
        <v>11103678.320064535</v>
      </c>
      <c r="D4536" s="458">
        <v>6.3678562036094677E-2</v>
      </c>
      <c r="E4536" s="477">
        <v>20286253.616976283</v>
      </c>
      <c r="F4536" s="458">
        <v>0.11172427228125525</v>
      </c>
      <c r="G4536" s="477">
        <v>87380960.853104413</v>
      </c>
      <c r="H4536" s="458">
        <v>0.269997942378712</v>
      </c>
      <c r="I4536" s="468">
        <v>6.0142106662276982</v>
      </c>
    </row>
    <row r="4537" spans="1:9" ht="16.5" x14ac:dyDescent="0.3">
      <c r="A4537" s="477">
        <v>4530457.510365638</v>
      </c>
      <c r="B4537" s="458">
        <v>3.9642767785595279E-2</v>
      </c>
      <c r="C4537" s="477">
        <v>14110972.254675345</v>
      </c>
      <c r="D4537" s="458">
        <v>5.9746106065420301E-2</v>
      </c>
      <c r="E4537" s="477">
        <v>13780645.763777975</v>
      </c>
      <c r="F4537" s="458">
        <v>0.11545424621713885</v>
      </c>
      <c r="G4537" s="477">
        <v>91238412.260041058</v>
      </c>
      <c r="H4537" s="458">
        <v>0.25432303283074531</v>
      </c>
      <c r="I4537" s="468">
        <v>12.017459022372121</v>
      </c>
    </row>
    <row r="4538" spans="1:9" ht="16.5" x14ac:dyDescent="0.3">
      <c r="A4538" s="477">
        <v>2238023.8090549144</v>
      </c>
      <c r="B4538" s="458">
        <v>2.7341069280831798E-2</v>
      </c>
      <c r="C4538" s="477">
        <v>4708623.6625232119</v>
      </c>
      <c r="D4538" s="458">
        <v>3.9168892069373795E-2</v>
      </c>
      <c r="E4538" s="477">
        <v>10562769.886159372</v>
      </c>
      <c r="F4538" s="458">
        <v>0.10901082740165657</v>
      </c>
      <c r="G4538" s="477">
        <v>77038231.02610904</v>
      </c>
      <c r="H4538" s="458">
        <v>0.27358417062078644</v>
      </c>
      <c r="I4538" s="468">
        <v>9.2325810843560792</v>
      </c>
    </row>
    <row r="4539" spans="1:9" ht="16.5" x14ac:dyDescent="0.3">
      <c r="A4539" s="477">
        <v>5276207.3376557548</v>
      </c>
      <c r="B4539" s="458">
        <v>2.7679642796267778E-2</v>
      </c>
      <c r="C4539" s="477">
        <v>3723738.2533694976</v>
      </c>
      <c r="D4539" s="458">
        <v>7.1376930054279919E-2</v>
      </c>
      <c r="E4539" s="477">
        <v>21143886.393372696</v>
      </c>
      <c r="F4539" s="458">
        <v>6.8439871982648226E-2</v>
      </c>
      <c r="G4539" s="477">
        <v>99273713.569998533</v>
      </c>
      <c r="H4539" s="458">
        <v>0.27144995195266186</v>
      </c>
      <c r="I4539" s="468">
        <v>5.0846841123379525</v>
      </c>
    </row>
    <row r="4540" spans="1:9" ht="16.5" x14ac:dyDescent="0.3">
      <c r="A4540" s="477">
        <v>8083532.7237819191</v>
      </c>
      <c r="B4540" s="458">
        <v>6.213969038520073E-2</v>
      </c>
      <c r="C4540" s="477">
        <v>10157951.181737212</v>
      </c>
      <c r="D4540" s="458">
        <v>4.5648419292217302E-2</v>
      </c>
      <c r="E4540" s="477">
        <v>20357754.599738136</v>
      </c>
      <c r="F4540" s="458">
        <v>0.10515662162251171</v>
      </c>
      <c r="G4540" s="477">
        <v>88124535.526438147</v>
      </c>
      <c r="H4540" s="458">
        <v>0.28474914966820331</v>
      </c>
      <c r="I4540" s="468">
        <v>0.97379452309081937</v>
      </c>
    </row>
    <row r="4541" spans="1:9" ht="16.5" x14ac:dyDescent="0.3">
      <c r="A4541" s="477">
        <v>3883208.2171897418</v>
      </c>
      <c r="B4541" s="458">
        <v>4.0904689135469186E-2</v>
      </c>
      <c r="C4541" s="477">
        <v>11607953.386364039</v>
      </c>
      <c r="D4541" s="458">
        <v>6.7940810962595188E-2</v>
      </c>
      <c r="E4541" s="477">
        <v>14461166.956196034</v>
      </c>
      <c r="F4541" s="458">
        <v>0.11111782885049637</v>
      </c>
      <c r="G4541" s="477">
        <v>79932595.278748199</v>
      </c>
      <c r="H4541" s="458">
        <v>0.2730914565277105</v>
      </c>
      <c r="I4541" s="468">
        <v>8.8391450831490044</v>
      </c>
    </row>
    <row r="4542" spans="1:9" ht="16.5" x14ac:dyDescent="0.3">
      <c r="A4542" s="477">
        <v>6043592.7079121405</v>
      </c>
      <c r="B4542" s="458">
        <v>4.2630376778143075E-2</v>
      </c>
      <c r="C4542" s="477">
        <v>7475265.6100241197</v>
      </c>
      <c r="D4542" s="458">
        <v>4.4499077688194388E-2</v>
      </c>
      <c r="E4542" s="477">
        <v>14781141.566942904</v>
      </c>
      <c r="F4542" s="458">
        <v>0.10711098353158977</v>
      </c>
      <c r="G4542" s="477">
        <v>91449459.466588289</v>
      </c>
      <c r="H4542" s="458">
        <v>0.26469562447283868</v>
      </c>
      <c r="I4542" s="468">
        <v>2.7264529201134327</v>
      </c>
    </row>
    <row r="4543" spans="1:9" ht="16.5" x14ac:dyDescent="0.3">
      <c r="A4543" s="477">
        <v>10399060.871121805</v>
      </c>
      <c r="B4543" s="458">
        <v>2.4094745803468598E-2</v>
      </c>
      <c r="C4543" s="477">
        <v>17294437.158371247</v>
      </c>
      <c r="D4543" s="458">
        <v>7.171279013592291E-2</v>
      </c>
      <c r="E4543" s="477">
        <v>14684634.360459182</v>
      </c>
      <c r="F4543" s="458">
        <v>0.10501185889264342</v>
      </c>
      <c r="G4543" s="477">
        <v>95827518.782171175</v>
      </c>
      <c r="H4543" s="458">
        <v>0.25849804320690528</v>
      </c>
      <c r="I4543" s="468">
        <v>13.422902297051465</v>
      </c>
    </row>
    <row r="4544" spans="1:9" ht="16.5" x14ac:dyDescent="0.3">
      <c r="A4544" s="477">
        <v>8043804.2713968307</v>
      </c>
      <c r="B4544" s="458">
        <v>3.4799706154340138E-2</v>
      </c>
      <c r="C4544" s="477">
        <v>15302416.724302795</v>
      </c>
      <c r="D4544" s="458">
        <v>9.9064244627356413E-2</v>
      </c>
      <c r="E4544" s="477">
        <v>14738603.617297979</v>
      </c>
      <c r="F4544" s="458">
        <v>0.11847635657063416</v>
      </c>
      <c r="G4544" s="477">
        <v>99064187.038641885</v>
      </c>
      <c r="H4544" s="458">
        <v>0.25538423224230589</v>
      </c>
      <c r="I4544" s="468">
        <v>7.5881611523441013</v>
      </c>
    </row>
    <row r="4545" spans="1:9" ht="16.5" x14ac:dyDescent="0.3">
      <c r="A4545" s="477">
        <v>3751406.9139336688</v>
      </c>
      <c r="B4545" s="458">
        <v>3.1236933842345271E-2</v>
      </c>
      <c r="C4545" s="477">
        <v>3890026.6753852391</v>
      </c>
      <c r="D4545" s="458">
        <v>4.6162401426053323E-2</v>
      </c>
      <c r="E4545" s="477">
        <v>13590727.705400903</v>
      </c>
      <c r="F4545" s="458">
        <v>0.11602158252042205</v>
      </c>
      <c r="G4545" s="477">
        <v>95103442.652525023</v>
      </c>
      <c r="H4545" s="458">
        <v>0.26009891156334342</v>
      </c>
      <c r="I4545" s="468">
        <v>12.744559096386071</v>
      </c>
    </row>
    <row r="4546" spans="1:9" ht="16.5" x14ac:dyDescent="0.3">
      <c r="A4546" s="477">
        <v>7292282.9711275846</v>
      </c>
      <c r="B4546" s="458">
        <v>2.1055912087452278E-2</v>
      </c>
      <c r="C4546" s="477">
        <v>12923768.425459737</v>
      </c>
      <c r="D4546" s="458">
        <v>7.7016375618134791E-2</v>
      </c>
      <c r="E4546" s="477">
        <v>21995068.556804553</v>
      </c>
      <c r="F4546" s="458">
        <v>0.12734318714635484</v>
      </c>
      <c r="G4546" s="477">
        <v>86623981.153574735</v>
      </c>
      <c r="H4546" s="458">
        <v>0.27820605239120599</v>
      </c>
      <c r="I4546" s="468">
        <v>12.476530332242111</v>
      </c>
    </row>
    <row r="4547" spans="1:9" ht="16.5" x14ac:dyDescent="0.3">
      <c r="A4547" s="477">
        <v>2117026.5009780382</v>
      </c>
      <c r="B4547" s="458">
        <v>2.7231255468912918E-2</v>
      </c>
      <c r="C4547" s="477">
        <v>11920353.785471689</v>
      </c>
      <c r="D4547" s="458">
        <v>6.5177914364844991E-2</v>
      </c>
      <c r="E4547" s="477">
        <v>15560833.905709315</v>
      </c>
      <c r="F4547" s="458">
        <v>0.10862195769323257</v>
      </c>
      <c r="G4547" s="477">
        <v>93444311.544355139</v>
      </c>
      <c r="H4547" s="458">
        <v>0.27799422188455503</v>
      </c>
      <c r="I4547" s="468">
        <v>7.3788220884210656</v>
      </c>
    </row>
    <row r="4548" spans="1:9" ht="16.5" x14ac:dyDescent="0.3">
      <c r="A4548" s="477">
        <v>5698650.0986725269</v>
      </c>
      <c r="B4548" s="458">
        <v>3.9857915409419409E-2</v>
      </c>
      <c r="C4548" s="477">
        <v>5352201.266771934</v>
      </c>
      <c r="D4548" s="458">
        <v>7.8741917064202749E-2</v>
      </c>
      <c r="E4548" s="477">
        <v>20480512.097116012</v>
      </c>
      <c r="F4548" s="458">
        <v>0.11142888403583395</v>
      </c>
      <c r="G4548" s="477">
        <v>83350729.233081087</v>
      </c>
      <c r="H4548" s="458">
        <v>0.2649929507065214</v>
      </c>
      <c r="I4548" s="468">
        <v>15.35657819976614</v>
      </c>
    </row>
    <row r="4549" spans="1:9" ht="16.5" x14ac:dyDescent="0.3">
      <c r="A4549" s="477">
        <v>6338670.5825517625</v>
      </c>
      <c r="B4549" s="458">
        <v>3.7084439769704769E-2</v>
      </c>
      <c r="C4549" s="477">
        <v>12164265.894932803</v>
      </c>
      <c r="D4549" s="458">
        <v>7.6975639857386424E-2</v>
      </c>
      <c r="E4549" s="477">
        <v>14032910.196877822</v>
      </c>
      <c r="F4549" s="458">
        <v>0.1251319259400876</v>
      </c>
      <c r="G4549" s="477">
        <v>89996446.738026977</v>
      </c>
      <c r="H4549" s="458">
        <v>0.28069096849902064</v>
      </c>
      <c r="I4549" s="468">
        <v>12.804722923991068</v>
      </c>
    </row>
    <row r="4550" spans="1:9" ht="16.5" x14ac:dyDescent="0.3">
      <c r="A4550" s="477">
        <v>314306.68684555689</v>
      </c>
      <c r="B4550" s="458">
        <v>4.3110650798241501E-2</v>
      </c>
      <c r="C4550" s="477">
        <v>11768167.822285315</v>
      </c>
      <c r="D4550" s="458">
        <v>8.0439083927278388E-2</v>
      </c>
      <c r="E4550" s="477">
        <v>15510200.92719101</v>
      </c>
      <c r="F4550" s="458">
        <v>9.4063790818882609E-2</v>
      </c>
      <c r="G4550" s="477">
        <v>86163178.040104702</v>
      </c>
      <c r="H4550" s="458">
        <v>0.27778212946711789</v>
      </c>
      <c r="I4550" s="468">
        <v>11.923782624605407</v>
      </c>
    </row>
    <row r="4551" spans="1:9" ht="16.5" x14ac:dyDescent="0.3">
      <c r="A4551" s="477">
        <v>9742694.8668769076</v>
      </c>
      <c r="B4551" s="458">
        <v>3.4857930105140156E-2</v>
      </c>
      <c r="C4551" s="477">
        <v>9288937.831771411</v>
      </c>
      <c r="D4551" s="458">
        <v>5.4138667842267063E-2</v>
      </c>
      <c r="E4551" s="477">
        <v>19797279.857068431</v>
      </c>
      <c r="F4551" s="458">
        <v>0.11785263929952494</v>
      </c>
      <c r="G4551" s="477">
        <v>95451710.801875383</v>
      </c>
      <c r="H4551" s="458">
        <v>0.28401437810770047</v>
      </c>
      <c r="I4551" s="468">
        <v>8.2879784691063598</v>
      </c>
    </row>
    <row r="4552" spans="1:9" ht="16.5" x14ac:dyDescent="0.3">
      <c r="A4552" s="477">
        <v>5322604.0397514524</v>
      </c>
      <c r="B4552" s="458">
        <v>3.8434939923101874E-2</v>
      </c>
      <c r="C4552" s="477">
        <v>6934250.749022658</v>
      </c>
      <c r="D4552" s="458">
        <v>5.596426918026598E-2</v>
      </c>
      <c r="E4552" s="477">
        <v>14011682.596619545</v>
      </c>
      <c r="F4552" s="458">
        <v>0.15266562575718212</v>
      </c>
      <c r="G4552" s="477">
        <v>81004428.387474656</v>
      </c>
      <c r="H4552" s="458">
        <v>0.25416394105058515</v>
      </c>
      <c r="I4552" s="468">
        <v>14.388304213078126</v>
      </c>
    </row>
    <row r="4553" spans="1:9" ht="16.5" x14ac:dyDescent="0.3">
      <c r="A4553" s="477">
        <v>2241098.227378842</v>
      </c>
      <c r="B4553" s="458">
        <v>3.4552041212608575E-2</v>
      </c>
      <c r="C4553" s="477">
        <v>11638091.502986537</v>
      </c>
      <c r="D4553" s="458">
        <v>5.4509577003456933E-2</v>
      </c>
      <c r="E4553" s="477">
        <v>16128378.295506127</v>
      </c>
      <c r="F4553" s="458">
        <v>0.11078003818530213</v>
      </c>
      <c r="G4553" s="477">
        <v>91473203.770442516</v>
      </c>
      <c r="H4553" s="458">
        <v>0.26104141893721833</v>
      </c>
      <c r="I4553" s="468">
        <v>6.0637642694854055</v>
      </c>
    </row>
    <row r="4554" spans="1:9" ht="16.5" x14ac:dyDescent="0.3">
      <c r="A4554" s="477">
        <v>4387401.310638844</v>
      </c>
      <c r="B4554" s="458">
        <v>6.4704330861519388E-2</v>
      </c>
      <c r="C4554" s="477">
        <v>5944101.8231337732</v>
      </c>
      <c r="D4554" s="458">
        <v>8.8207272282479154E-2</v>
      </c>
      <c r="E4554" s="477">
        <v>11433729.075547539</v>
      </c>
      <c r="F4554" s="458">
        <v>0.10678946277990464</v>
      </c>
      <c r="G4554" s="477">
        <v>111797350.44346845</v>
      </c>
      <c r="H4554" s="458">
        <v>0.25065448004567403</v>
      </c>
      <c r="I4554" s="468">
        <v>7.5841062555819265</v>
      </c>
    </row>
    <row r="4555" spans="1:9" ht="16.5" x14ac:dyDescent="0.3">
      <c r="A4555" s="477">
        <v>-731012.81808745814</v>
      </c>
      <c r="B4555" s="458">
        <v>4.0101264164988937E-2</v>
      </c>
      <c r="C4555" s="477">
        <v>6791711.6818308057</v>
      </c>
      <c r="D4555" s="458">
        <v>6.9998846700197292E-2</v>
      </c>
      <c r="E4555" s="477">
        <v>16092376.491563192</v>
      </c>
      <c r="F4555" s="458">
        <v>0.10295825447285534</v>
      </c>
      <c r="G4555" s="477">
        <v>89607911.684040084</v>
      </c>
      <c r="H4555" s="458">
        <v>0.25405257233355116</v>
      </c>
      <c r="I4555" s="468">
        <v>3.9943809746358614</v>
      </c>
    </row>
    <row r="4556" spans="1:9" ht="16.5" x14ac:dyDescent="0.3">
      <c r="A4556" s="477">
        <v>3102517.0633009109</v>
      </c>
      <c r="B4556" s="458">
        <v>4.5467024347833895E-2</v>
      </c>
      <c r="C4556" s="477">
        <v>7835965.7510469202</v>
      </c>
      <c r="D4556" s="458">
        <v>4.2632736486362566E-2</v>
      </c>
      <c r="E4556" s="477">
        <v>17986711.347557258</v>
      </c>
      <c r="F4556" s="458">
        <v>0.11462407272217146</v>
      </c>
      <c r="G4556" s="477">
        <v>76558541.970474437</v>
      </c>
      <c r="H4556" s="458">
        <v>0.25779412666230783</v>
      </c>
      <c r="I4556" s="468">
        <v>8.4532419707994393</v>
      </c>
    </row>
    <row r="4557" spans="1:9" ht="16.5" x14ac:dyDescent="0.3">
      <c r="A4557" s="477">
        <v>2951715.3924267618</v>
      </c>
      <c r="B4557" s="458">
        <v>5.0145614976889519E-2</v>
      </c>
      <c r="C4557" s="477">
        <v>14466534.637912026</v>
      </c>
      <c r="D4557" s="458">
        <v>5.4959587357557682E-2</v>
      </c>
      <c r="E4557" s="477">
        <v>26669400.292502437</v>
      </c>
      <c r="F4557" s="458">
        <v>0.12335514000454184</v>
      </c>
      <c r="G4557" s="477">
        <v>83324879.800600141</v>
      </c>
      <c r="H4557" s="458">
        <v>0.2761351739051614</v>
      </c>
      <c r="I4557" s="468">
        <v>8.253046597211446</v>
      </c>
    </row>
    <row r="4558" spans="1:9" ht="16.5" x14ac:dyDescent="0.3">
      <c r="A4558" s="477">
        <v>2919089.5402119672</v>
      </c>
      <c r="B4558" s="458">
        <v>3.9651769495665512E-2</v>
      </c>
      <c r="C4558" s="477">
        <v>9521094.2628070265</v>
      </c>
      <c r="D4558" s="458">
        <v>7.2640005405665731E-2</v>
      </c>
      <c r="E4558" s="477">
        <v>13921895.632383404</v>
      </c>
      <c r="F4558" s="458">
        <v>0.10479509698766054</v>
      </c>
      <c r="G4558" s="477">
        <v>95220570.328645214</v>
      </c>
      <c r="H4558" s="458">
        <v>0.27003560512276659</v>
      </c>
      <c r="I4558" s="468">
        <v>10.174741680435371</v>
      </c>
    </row>
    <row r="4559" spans="1:9" ht="16.5" x14ac:dyDescent="0.3">
      <c r="A4559" s="477">
        <v>7553108.6863071304</v>
      </c>
      <c r="B4559" s="458">
        <v>4.0545862032723923E-2</v>
      </c>
      <c r="C4559" s="477">
        <v>5567844.0261250278</v>
      </c>
      <c r="D4559" s="458">
        <v>7.2172515209446786E-2</v>
      </c>
      <c r="E4559" s="477">
        <v>17076011.86496364</v>
      </c>
      <c r="F4559" s="458">
        <v>0.11107655685196272</v>
      </c>
      <c r="G4559" s="477">
        <v>92266605.75597325</v>
      </c>
      <c r="H4559" s="458">
        <v>0.28706532902914184</v>
      </c>
      <c r="I4559" s="468">
        <v>8.5306034594603357</v>
      </c>
    </row>
    <row r="4560" spans="1:9" ht="16.5" x14ac:dyDescent="0.3">
      <c r="A4560" s="477">
        <v>6261216.3299263632</v>
      </c>
      <c r="B4560" s="458">
        <v>3.1622438681287779E-2</v>
      </c>
      <c r="C4560" s="477">
        <v>14046489.222616306</v>
      </c>
      <c r="D4560" s="458">
        <v>7.8704955687757927E-2</v>
      </c>
      <c r="E4560" s="477">
        <v>21249698.492396701</v>
      </c>
      <c r="F4560" s="458">
        <v>0.11021041209920446</v>
      </c>
      <c r="G4560" s="477">
        <v>96639429.875167653</v>
      </c>
      <c r="H4560" s="458">
        <v>0.31828211223916036</v>
      </c>
      <c r="I4560" s="468">
        <v>5.7230494611747709</v>
      </c>
    </row>
    <row r="4561" spans="1:9" ht="16.5" x14ac:dyDescent="0.3">
      <c r="A4561" s="477">
        <v>4708875.3191587534</v>
      </c>
      <c r="B4561" s="458">
        <v>2.6582394394749853E-2</v>
      </c>
      <c r="C4561" s="477">
        <v>11508642.54206655</v>
      </c>
      <c r="D4561" s="458">
        <v>5.9798943082759681E-2</v>
      </c>
      <c r="E4561" s="477">
        <v>15757112.998889331</v>
      </c>
      <c r="F4561" s="458">
        <v>0.15141424456821695</v>
      </c>
      <c r="G4561" s="477">
        <v>89561560.740314215</v>
      </c>
      <c r="H4561" s="458">
        <v>0.26239187102829931</v>
      </c>
      <c r="I4561" s="468">
        <v>8.5986101275906837</v>
      </c>
    </row>
    <row r="4562" spans="1:9" ht="16.5" x14ac:dyDescent="0.3">
      <c r="A4562" s="477">
        <v>8062854.6897968901</v>
      </c>
      <c r="B4562" s="458">
        <v>4.7598023916658905E-2</v>
      </c>
      <c r="C4562" s="477">
        <v>3754375.6665132409</v>
      </c>
      <c r="D4562" s="458">
        <v>6.0763948829817283E-2</v>
      </c>
      <c r="E4562" s="477">
        <v>13559268.310874313</v>
      </c>
      <c r="F4562" s="458">
        <v>0.10607596875146363</v>
      </c>
      <c r="G4562" s="477">
        <v>94628487.251670763</v>
      </c>
      <c r="H4562" s="458">
        <v>0.26546516548600851</v>
      </c>
      <c r="I4562" s="468">
        <v>4.4953702123449473</v>
      </c>
    </row>
    <row r="4563" spans="1:9" ht="16.5" x14ac:dyDescent="0.3">
      <c r="A4563" s="477">
        <v>1942183.9570739605</v>
      </c>
      <c r="B4563" s="458">
        <v>4.9922736841491622E-2</v>
      </c>
      <c r="C4563" s="477">
        <v>8630404.6735494044</v>
      </c>
      <c r="D4563" s="458">
        <v>7.0006395909783192E-2</v>
      </c>
      <c r="E4563" s="477">
        <v>25528542.146684323</v>
      </c>
      <c r="F4563" s="458">
        <v>0.11753644384124096</v>
      </c>
      <c r="G4563" s="477">
        <v>87618644.337751776</v>
      </c>
      <c r="H4563" s="458">
        <v>0.28901087585115692</v>
      </c>
      <c r="I4563" s="468">
        <v>11.092419188665762</v>
      </c>
    </row>
    <row r="4564" spans="1:9" ht="16.5" x14ac:dyDescent="0.3">
      <c r="A4564" s="477">
        <v>3568666.0448998138</v>
      </c>
      <c r="B4564" s="458">
        <v>2.5223529817474777E-2</v>
      </c>
      <c r="C4564" s="477">
        <v>6131172.0843321653</v>
      </c>
      <c r="D4564" s="458">
        <v>3.0407852448723238E-2</v>
      </c>
      <c r="E4564" s="477">
        <v>10024846.570744967</v>
      </c>
      <c r="F4564" s="458">
        <v>8.8106846573165587E-2</v>
      </c>
      <c r="G4564" s="477">
        <v>97386191.123458087</v>
      </c>
      <c r="H4564" s="458">
        <v>0.25925355840636866</v>
      </c>
      <c r="I4564" s="468">
        <v>2.4268897357458634</v>
      </c>
    </row>
    <row r="4565" spans="1:9" ht="16.5" x14ac:dyDescent="0.3">
      <c r="A4565" s="477">
        <v>6601822.0216464382</v>
      </c>
      <c r="B4565" s="458">
        <v>3.3574176725793325E-2</v>
      </c>
      <c r="C4565" s="477">
        <v>3411874.6832536259</v>
      </c>
      <c r="D4565" s="458">
        <v>5.7723045085741109E-2</v>
      </c>
      <c r="E4565" s="477">
        <v>20049412.637982011</v>
      </c>
      <c r="F4565" s="458">
        <v>0.11740968574911514</v>
      </c>
      <c r="G4565" s="477">
        <v>98067486.713595659</v>
      </c>
      <c r="H4565" s="458">
        <v>0.26212786643282215</v>
      </c>
      <c r="I4565" s="468">
        <v>4.5963341081860145</v>
      </c>
    </row>
    <row r="4566" spans="1:9" ht="16.5" x14ac:dyDescent="0.3">
      <c r="A4566" s="477">
        <v>4327865.1412035273</v>
      </c>
      <c r="B4566" s="458">
        <v>5.6164964466180134E-2</v>
      </c>
      <c r="C4566" s="477">
        <v>9974281.6189138424</v>
      </c>
      <c r="D4566" s="458">
        <v>5.6256164524643548E-2</v>
      </c>
      <c r="E4566" s="477">
        <v>14290340.357979387</v>
      </c>
      <c r="F4566" s="458">
        <v>0.12127626027109906</v>
      </c>
      <c r="G4566" s="477">
        <v>88094190.005872399</v>
      </c>
      <c r="H4566" s="458">
        <v>0.26876511346654497</v>
      </c>
      <c r="I4566" s="468">
        <v>4.8519569075805684</v>
      </c>
    </row>
    <row r="4567" spans="1:9" ht="16.5" x14ac:dyDescent="0.3">
      <c r="A4567" s="477">
        <v>8586838.7610770892</v>
      </c>
      <c r="B4567" s="458">
        <v>1.4633269574774177E-2</v>
      </c>
      <c r="C4567" s="477">
        <v>10595465.83576159</v>
      </c>
      <c r="D4567" s="458">
        <v>4.4102962680431457E-2</v>
      </c>
      <c r="E4567" s="477">
        <v>23837634.530382957</v>
      </c>
      <c r="F4567" s="458">
        <v>8.3165866094469187E-2</v>
      </c>
      <c r="G4567" s="477">
        <v>90977208.476141483</v>
      </c>
      <c r="H4567" s="458">
        <v>0.25608664373435208</v>
      </c>
      <c r="I4567" s="468">
        <v>5.5991178252288663</v>
      </c>
    </row>
    <row r="4568" spans="1:9" ht="16.5" x14ac:dyDescent="0.3">
      <c r="A4568" s="477">
        <v>4702973.5699784486</v>
      </c>
      <c r="B4568" s="458">
        <v>4.727520979622013E-2</v>
      </c>
      <c r="C4568" s="477">
        <v>7422499.5560187716</v>
      </c>
      <c r="D4568" s="458">
        <v>7.2166483781276547E-2</v>
      </c>
      <c r="E4568" s="477">
        <v>3820127.5431676819</v>
      </c>
      <c r="F4568" s="458">
        <v>7.5545157408574815E-2</v>
      </c>
      <c r="G4568" s="477">
        <v>82316875.644096628</v>
      </c>
      <c r="H4568" s="458">
        <v>0.27251246073504598</v>
      </c>
      <c r="I4568" s="468">
        <v>9.8425651059298076</v>
      </c>
    </row>
    <row r="4569" spans="1:9" ht="16.5" x14ac:dyDescent="0.3">
      <c r="A4569" s="477">
        <v>1556359.6730393921</v>
      </c>
      <c r="B4569" s="458">
        <v>2.2620874099242183E-2</v>
      </c>
      <c r="C4569" s="477">
        <v>9161229.1122547984</v>
      </c>
      <c r="D4569" s="458">
        <v>5.2709119434036555E-2</v>
      </c>
      <c r="E4569" s="477">
        <v>30707134.973420411</v>
      </c>
      <c r="F4569" s="458">
        <v>0.12077804502465472</v>
      </c>
      <c r="G4569" s="477">
        <v>90462055.444645181</v>
      </c>
      <c r="H4569" s="458">
        <v>0.25527803452315467</v>
      </c>
      <c r="I4569" s="468">
        <v>11.965085276323743</v>
      </c>
    </row>
    <row r="4570" spans="1:9" ht="16.5" x14ac:dyDescent="0.3">
      <c r="A4570" s="477">
        <v>8662572.6215183232</v>
      </c>
      <c r="B4570" s="458">
        <v>2.9706850809508412E-2</v>
      </c>
      <c r="C4570" s="477">
        <v>10703051.971970113</v>
      </c>
      <c r="D4570" s="458">
        <v>5.3405825905836313E-2</v>
      </c>
      <c r="E4570" s="477">
        <v>19612165.933096062</v>
      </c>
      <c r="F4570" s="458">
        <v>0.10806164902670279</v>
      </c>
      <c r="G4570" s="477">
        <v>99578911.809421763</v>
      </c>
      <c r="H4570" s="458">
        <v>0.2796945969526945</v>
      </c>
      <c r="I4570" s="468">
        <v>12.188590699297027</v>
      </c>
    </row>
    <row r="4571" spans="1:9" ht="16.5" x14ac:dyDescent="0.3">
      <c r="A4571" s="477">
        <v>5517421.5793793192</v>
      </c>
      <c r="B4571" s="458">
        <v>3.9640403461504103E-2</v>
      </c>
      <c r="C4571" s="477">
        <v>8140448.8573300214</v>
      </c>
      <c r="D4571" s="458">
        <v>7.8728862365550656E-2</v>
      </c>
      <c r="E4571" s="477">
        <v>20966281.808008138</v>
      </c>
      <c r="F4571" s="458">
        <v>8.7464625964655651E-2</v>
      </c>
      <c r="G4571" s="477">
        <v>83799672.987077728</v>
      </c>
      <c r="H4571" s="458">
        <v>0.26685356641277869</v>
      </c>
      <c r="I4571" s="468">
        <v>8.5279789850885876</v>
      </c>
    </row>
    <row r="4572" spans="1:9" ht="16.5" x14ac:dyDescent="0.3">
      <c r="A4572" s="477">
        <v>5738702.0825238926</v>
      </c>
      <c r="B4572" s="458">
        <v>3.4231138636464653E-2</v>
      </c>
      <c r="C4572" s="477">
        <v>486394.75025470054</v>
      </c>
      <c r="D4572" s="458">
        <v>7.5657524562547707E-2</v>
      </c>
      <c r="E4572" s="477">
        <v>17159382.290933855</v>
      </c>
      <c r="F4572" s="458">
        <v>0.11497182401137906</v>
      </c>
      <c r="G4572" s="477">
        <v>89630679.558609799</v>
      </c>
      <c r="H4572" s="458">
        <v>0.27618372341172082</v>
      </c>
      <c r="I4572" s="468">
        <v>11.861187776792505</v>
      </c>
    </row>
    <row r="4573" spans="1:9" ht="16.5" x14ac:dyDescent="0.3">
      <c r="A4573" s="477">
        <v>3349469.2901341571</v>
      </c>
      <c r="B4573" s="458">
        <v>4.2203008790038687E-2</v>
      </c>
      <c r="C4573" s="477">
        <v>9808639.5604525469</v>
      </c>
      <c r="D4573" s="458">
        <v>4.9656804266280608E-2</v>
      </c>
      <c r="E4573" s="477">
        <v>20668496.174186237</v>
      </c>
      <c r="F4573" s="458">
        <v>0.10930903579537921</v>
      </c>
      <c r="G4573" s="477">
        <v>86858677.071610332</v>
      </c>
      <c r="H4573" s="458">
        <v>0.26604098532773168</v>
      </c>
      <c r="I4573" s="468">
        <v>5.25627698649512</v>
      </c>
    </row>
    <row r="4574" spans="1:9" ht="16.5" x14ac:dyDescent="0.3">
      <c r="A4574" s="477">
        <v>5604515.5526769999</v>
      </c>
      <c r="B4574" s="458">
        <v>0.11435471161672006</v>
      </c>
      <c r="C4574" s="477">
        <v>8388075.2586022876</v>
      </c>
      <c r="D4574" s="458">
        <v>7.6349229442248756E-2</v>
      </c>
      <c r="E4574" s="477">
        <v>17289767.049464654</v>
      </c>
      <c r="F4574" s="458">
        <v>9.9598646191370266E-2</v>
      </c>
      <c r="G4574" s="477">
        <v>91176469.267368674</v>
      </c>
      <c r="H4574" s="458">
        <v>0.27331948982527021</v>
      </c>
      <c r="I4574" s="468">
        <v>7.1956708205194539</v>
      </c>
    </row>
    <row r="4575" spans="1:9" ht="16.5" x14ac:dyDescent="0.3">
      <c r="A4575" s="477">
        <v>8584461.5360550508</v>
      </c>
      <c r="B4575" s="458">
        <v>3.2719436570098015E-2</v>
      </c>
      <c r="C4575" s="477">
        <v>14726021.669000259</v>
      </c>
      <c r="D4575" s="458">
        <v>6.9606956354435923E-2</v>
      </c>
      <c r="E4575" s="477">
        <v>20299278.929266177</v>
      </c>
      <c r="F4575" s="458">
        <v>0.12467286841782421</v>
      </c>
      <c r="G4575" s="477">
        <v>82916525.206870794</v>
      </c>
      <c r="H4575" s="458">
        <v>0.26449541812087629</v>
      </c>
      <c r="I4575" s="468">
        <v>7.6030151800400763</v>
      </c>
    </row>
    <row r="4576" spans="1:9" ht="16.5" x14ac:dyDescent="0.3">
      <c r="A4576" s="477">
        <v>2087874.6662654865</v>
      </c>
      <c r="B4576" s="458">
        <v>6.0075647905891483E-2</v>
      </c>
      <c r="C4576" s="477">
        <v>2810773.6472177911</v>
      </c>
      <c r="D4576" s="458">
        <v>7.6319234134849534E-2</v>
      </c>
      <c r="E4576" s="477">
        <v>19807266.606496725</v>
      </c>
      <c r="F4576" s="458">
        <v>0.10947878749301676</v>
      </c>
      <c r="G4576" s="477">
        <v>95506660.797400594</v>
      </c>
      <c r="H4576" s="458">
        <v>0.27341023018638588</v>
      </c>
      <c r="I4576" s="468">
        <v>7.1756496898534055</v>
      </c>
    </row>
    <row r="4577" spans="1:9" ht="16.5" x14ac:dyDescent="0.3">
      <c r="A4577" s="477">
        <v>3598725.3147227159</v>
      </c>
      <c r="B4577" s="458">
        <v>4.9134820566628878E-2</v>
      </c>
      <c r="C4577" s="477">
        <v>6975957.3009171775</v>
      </c>
      <c r="D4577" s="458">
        <v>7.6758553840037269E-2</v>
      </c>
      <c r="E4577" s="477">
        <v>17413431.533476267</v>
      </c>
      <c r="F4577" s="458">
        <v>9.2650982749105326E-2</v>
      </c>
      <c r="G4577" s="477">
        <v>80795937.116027996</v>
      </c>
      <c r="H4577" s="458">
        <v>0.27319969900512309</v>
      </c>
      <c r="I4577" s="468">
        <v>7.8233213801446757</v>
      </c>
    </row>
    <row r="4578" spans="1:9" ht="16.5" x14ac:dyDescent="0.3">
      <c r="A4578" s="477">
        <v>7408495.8979139449</v>
      </c>
      <c r="B4578" s="458">
        <v>3.9169877689584132E-2</v>
      </c>
      <c r="C4578" s="477">
        <v>11725161.098409874</v>
      </c>
      <c r="D4578" s="458">
        <v>5.9309814592007015E-2</v>
      </c>
      <c r="E4578" s="477">
        <v>15386664.009533722</v>
      </c>
      <c r="F4578" s="458">
        <v>0.10413622102690567</v>
      </c>
      <c r="G4578" s="477">
        <v>84227620.58637321</v>
      </c>
      <c r="H4578" s="458">
        <v>0.27700533155818086</v>
      </c>
      <c r="I4578" s="468">
        <v>6.3082295890210025</v>
      </c>
    </row>
    <row r="4579" spans="1:9" ht="16.5" x14ac:dyDescent="0.3">
      <c r="A4579" s="477">
        <v>-1320757.7764363957</v>
      </c>
      <c r="B4579" s="458">
        <v>4.8075779946507025E-2</v>
      </c>
      <c r="C4579" s="477">
        <v>2253038.7484169565</v>
      </c>
      <c r="D4579" s="458">
        <v>7.0948818739044794E-2</v>
      </c>
      <c r="E4579" s="477">
        <v>14394316.11194877</v>
      </c>
      <c r="F4579" s="458">
        <v>0.14399832240113697</v>
      </c>
      <c r="G4579" s="477">
        <v>96511199.570804566</v>
      </c>
      <c r="H4579" s="458">
        <v>0.25466665306145475</v>
      </c>
      <c r="I4579" s="468">
        <v>5.1091590889811371</v>
      </c>
    </row>
    <row r="4580" spans="1:9" ht="16.5" x14ac:dyDescent="0.3">
      <c r="A4580" s="477">
        <v>7613244.1839929065</v>
      </c>
      <c r="B4580" s="458">
        <v>7.8804961343211355E-2</v>
      </c>
      <c r="C4580" s="477">
        <v>13900077.551002236</v>
      </c>
      <c r="D4580" s="458">
        <v>9.2469297612565171E-2</v>
      </c>
      <c r="E4580" s="477">
        <v>16033733.086711669</v>
      </c>
      <c r="F4580" s="458">
        <v>0.10958092331139269</v>
      </c>
      <c r="G4580" s="477">
        <v>72771386.497487411</v>
      </c>
      <c r="H4580" s="458">
        <v>0.26613798423146195</v>
      </c>
      <c r="I4580" s="468">
        <v>5.2500329022404415</v>
      </c>
    </row>
    <row r="4581" spans="1:9" ht="16.5" x14ac:dyDescent="0.3">
      <c r="A4581" s="477">
        <v>5156004.5569740664</v>
      </c>
      <c r="B4581" s="458">
        <v>4.7342547419083836E-2</v>
      </c>
      <c r="C4581" s="477">
        <v>4583799.3172608521</v>
      </c>
      <c r="D4581" s="458">
        <v>4.4008548699788319E-2</v>
      </c>
      <c r="E4581" s="477">
        <v>12790413.184163377</v>
      </c>
      <c r="F4581" s="458">
        <v>0.12316703238835625</v>
      </c>
      <c r="G4581" s="477">
        <v>86809608.500965163</v>
      </c>
      <c r="H4581" s="458">
        <v>0.27194517658234219</v>
      </c>
      <c r="I4581" s="468">
        <v>11.072038899004262</v>
      </c>
    </row>
    <row r="4582" spans="1:9" ht="16.5" x14ac:dyDescent="0.3">
      <c r="A4582" s="477">
        <v>2547360.8621841073</v>
      </c>
      <c r="B4582" s="458">
        <v>6.8607154083530242E-2</v>
      </c>
      <c r="C4582" s="477">
        <v>6920994.7743572528</v>
      </c>
      <c r="D4582" s="458">
        <v>8.7945232336031687E-2</v>
      </c>
      <c r="E4582" s="477">
        <v>18382756.153577842</v>
      </c>
      <c r="F4582" s="458">
        <v>0.12339552851804392</v>
      </c>
      <c r="G4582" s="477">
        <v>101478483.03145796</v>
      </c>
      <c r="H4582" s="458">
        <v>0.27328137216881143</v>
      </c>
      <c r="I4582" s="468">
        <v>0.65336576707977301</v>
      </c>
    </row>
    <row r="4583" spans="1:9" ht="16.5" x14ac:dyDescent="0.3">
      <c r="A4583" s="477">
        <v>4983727.6181086134</v>
      </c>
      <c r="B4583" s="458">
        <v>2.5090493313062012E-2</v>
      </c>
      <c r="C4583" s="477">
        <v>8221861.921359038</v>
      </c>
      <c r="D4583" s="458">
        <v>7.0956963157886355E-2</v>
      </c>
      <c r="E4583" s="477">
        <v>5939775.0046783183</v>
      </c>
      <c r="F4583" s="458">
        <v>0.10339397583806531</v>
      </c>
      <c r="G4583" s="477">
        <v>82976381.932080597</v>
      </c>
      <c r="H4583" s="458">
        <v>0.25314445672098063</v>
      </c>
      <c r="I4583" s="468">
        <v>20.45173343978685</v>
      </c>
    </row>
    <row r="4584" spans="1:9" ht="16.5" x14ac:dyDescent="0.3">
      <c r="A4584" s="477">
        <v>5271669.7432083013</v>
      </c>
      <c r="B4584" s="458">
        <v>4.1418231658818749E-2</v>
      </c>
      <c r="C4584" s="477">
        <v>6079055.357657549</v>
      </c>
      <c r="D4584" s="458">
        <v>8.2955720611388228E-2</v>
      </c>
      <c r="E4584" s="477">
        <v>12513741.83383566</v>
      </c>
      <c r="F4584" s="458">
        <v>0.10155935919801995</v>
      </c>
      <c r="G4584" s="477">
        <v>88225594.897145286</v>
      </c>
      <c r="H4584" s="458">
        <v>0.26910891492982048</v>
      </c>
      <c r="I4584" s="468">
        <v>7.0287702668332299</v>
      </c>
    </row>
    <row r="4585" spans="1:9" ht="16.5" x14ac:dyDescent="0.3">
      <c r="A4585" s="477">
        <v>7659277.6808797494</v>
      </c>
      <c r="B4585" s="458">
        <v>3.7100742469202252E-2</v>
      </c>
      <c r="C4585" s="477">
        <v>7433924.3123724032</v>
      </c>
      <c r="D4585" s="458">
        <v>5.1558273278367484E-2</v>
      </c>
      <c r="E4585" s="477">
        <v>17462305.310971357</v>
      </c>
      <c r="F4585" s="458">
        <v>0.10777605096442189</v>
      </c>
      <c r="G4585" s="477">
        <v>89332270.8350541</v>
      </c>
      <c r="H4585" s="458">
        <v>0.27326479970429163</v>
      </c>
      <c r="I4585" s="468">
        <v>7.5349569206625961</v>
      </c>
    </row>
    <row r="4586" spans="1:9" ht="16.5" x14ac:dyDescent="0.3">
      <c r="A4586" s="477">
        <v>5249625.3317227131</v>
      </c>
      <c r="B4586" s="458">
        <v>4.5218573754460589E-2</v>
      </c>
      <c r="C4586" s="477">
        <v>9655343.6963499114</v>
      </c>
      <c r="D4586" s="458">
        <v>0.10249044070684143</v>
      </c>
      <c r="E4586" s="477">
        <v>16039876.414599834</v>
      </c>
      <c r="F4586" s="458">
        <v>8.3002198538510985E-2</v>
      </c>
      <c r="G4586" s="477">
        <v>91767554.209544897</v>
      </c>
      <c r="H4586" s="458">
        <v>0.25725051381160724</v>
      </c>
      <c r="I4586" s="468">
        <v>5.7861893311366623</v>
      </c>
    </row>
    <row r="4587" spans="1:9" ht="16.5" x14ac:dyDescent="0.3">
      <c r="A4587" s="477">
        <v>8952833.268273171</v>
      </c>
      <c r="B4587" s="458">
        <v>4.2670304850472185E-2</v>
      </c>
      <c r="C4587" s="477">
        <v>4852910.3758401899</v>
      </c>
      <c r="D4587" s="458">
        <v>6.3984469559238644E-2</v>
      </c>
      <c r="E4587" s="477">
        <v>13742792.010723304</v>
      </c>
      <c r="F4587" s="458">
        <v>0.10372487305002775</v>
      </c>
      <c r="G4587" s="477">
        <v>110968814.1036258</v>
      </c>
      <c r="H4587" s="458">
        <v>0.2660476196968462</v>
      </c>
      <c r="I4587" s="468">
        <v>9.4573917736141109</v>
      </c>
    </row>
    <row r="4588" spans="1:9" ht="16.5" x14ac:dyDescent="0.3">
      <c r="A4588" s="477">
        <v>1991547.8781069969</v>
      </c>
      <c r="B4588" s="458">
        <v>2.9217883105470799E-2</v>
      </c>
      <c r="C4588" s="477">
        <v>14947932.03279998</v>
      </c>
      <c r="D4588" s="458">
        <v>5.2105927965261367E-2</v>
      </c>
      <c r="E4588" s="477">
        <v>27810209.179022789</v>
      </c>
      <c r="F4588" s="458">
        <v>8.044351728652166E-2</v>
      </c>
      <c r="G4588" s="477">
        <v>92814439.184786528</v>
      </c>
      <c r="H4588" s="458">
        <v>0.27936341894515748</v>
      </c>
      <c r="I4588" s="468">
        <v>8.2647269258272047</v>
      </c>
    </row>
    <row r="4589" spans="1:9" ht="16.5" x14ac:dyDescent="0.3">
      <c r="A4589" s="477">
        <v>4846304.6522726668</v>
      </c>
      <c r="B4589" s="458">
        <v>4.0089384818389862E-2</v>
      </c>
      <c r="C4589" s="477">
        <v>7937006.3819185924</v>
      </c>
      <c r="D4589" s="458">
        <v>6.4571793930667143E-2</v>
      </c>
      <c r="E4589" s="477">
        <v>22122600.779042002</v>
      </c>
      <c r="F4589" s="458">
        <v>0.12131531654121708</v>
      </c>
      <c r="G4589" s="477">
        <v>85468908.162618756</v>
      </c>
      <c r="H4589" s="458">
        <v>0.25808358990836355</v>
      </c>
      <c r="I4589" s="468">
        <v>5.599349658756072</v>
      </c>
    </row>
    <row r="4590" spans="1:9" ht="16.5" x14ac:dyDescent="0.3">
      <c r="A4590" s="477">
        <v>4749075.2249292405</v>
      </c>
      <c r="B4590" s="458">
        <v>3.4678776401573908E-2</v>
      </c>
      <c r="C4590" s="477">
        <v>9606695.5697928034</v>
      </c>
      <c r="D4590" s="458">
        <v>3.8503235896458321E-2</v>
      </c>
      <c r="E4590" s="477">
        <v>17055757.577011358</v>
      </c>
      <c r="F4590" s="458">
        <v>0.11601839563563598</v>
      </c>
      <c r="G4590" s="477">
        <v>86102825.60376586</v>
      </c>
      <c r="H4590" s="458">
        <v>0.25139471076861586</v>
      </c>
      <c r="I4590" s="468">
        <v>8.1908077992085531</v>
      </c>
    </row>
    <row r="4591" spans="1:9" ht="16.5" x14ac:dyDescent="0.3">
      <c r="A4591" s="477">
        <v>6713023.2496066196</v>
      </c>
      <c r="B4591" s="458">
        <v>2.7258410833523206E-2</v>
      </c>
      <c r="C4591" s="477">
        <v>11572970.592393853</v>
      </c>
      <c r="D4591" s="458">
        <v>4.7751905567303687E-2</v>
      </c>
      <c r="E4591" s="477">
        <v>12103730.616282022</v>
      </c>
      <c r="F4591" s="458">
        <v>0.12683247890630334</v>
      </c>
      <c r="G4591" s="477">
        <v>80730692.300404981</v>
      </c>
      <c r="H4591" s="458">
        <v>0.26685924614214462</v>
      </c>
      <c r="I4591" s="468">
        <v>6.2184430744660943</v>
      </c>
    </row>
    <row r="4592" spans="1:9" ht="16.5" x14ac:dyDescent="0.3">
      <c r="A4592" s="477">
        <v>4442008.3161405781</v>
      </c>
      <c r="B4592" s="458">
        <v>4.8514297789618688E-2</v>
      </c>
      <c r="C4592" s="477">
        <v>13607368.405407757</v>
      </c>
      <c r="D4592" s="458">
        <v>7.1114333609795688E-2</v>
      </c>
      <c r="E4592" s="477">
        <v>24015602.928380873</v>
      </c>
      <c r="F4592" s="458">
        <v>0.13837483352725188</v>
      </c>
      <c r="G4592" s="477">
        <v>88808151.101357192</v>
      </c>
      <c r="H4592" s="458">
        <v>0.25411789732488521</v>
      </c>
      <c r="I4592" s="468">
        <v>5.8382295295851776</v>
      </c>
    </row>
    <row r="4593" spans="1:9" ht="16.5" x14ac:dyDescent="0.3">
      <c r="A4593" s="477">
        <v>5593857.4191819727</v>
      </c>
      <c r="B4593" s="458">
        <v>3.4197944918353151E-2</v>
      </c>
      <c r="C4593" s="477">
        <v>14941118.760549041</v>
      </c>
      <c r="D4593" s="458">
        <v>3.9099787641369455E-2</v>
      </c>
      <c r="E4593" s="477">
        <v>16695812.556184072</v>
      </c>
      <c r="F4593" s="458">
        <v>0.13275412398607545</v>
      </c>
      <c r="G4593" s="477">
        <v>78979221.652830914</v>
      </c>
      <c r="H4593" s="458">
        <v>0.26465022152340389</v>
      </c>
      <c r="I4593" s="468">
        <v>9.0371318199449533</v>
      </c>
    </row>
    <row r="4594" spans="1:9" ht="16.5" x14ac:dyDescent="0.3">
      <c r="A4594" s="477">
        <v>-550135.05286455411</v>
      </c>
      <c r="B4594" s="458">
        <v>4.6080577449667537E-2</v>
      </c>
      <c r="C4594" s="477">
        <v>8055789.1170012821</v>
      </c>
      <c r="D4594" s="458">
        <v>5.6724100777339137E-2</v>
      </c>
      <c r="E4594" s="477">
        <v>17404564.353849933</v>
      </c>
      <c r="F4594" s="458">
        <v>0.11526496966655086</v>
      </c>
      <c r="G4594" s="477">
        <v>86144176.096179381</v>
      </c>
      <c r="H4594" s="458">
        <v>0.27614174628181254</v>
      </c>
      <c r="I4594" s="468">
        <v>8.0146165326203818</v>
      </c>
    </row>
    <row r="4595" spans="1:9" ht="16.5" x14ac:dyDescent="0.3">
      <c r="A4595" s="477">
        <v>5523584.084144582</v>
      </c>
      <c r="B4595" s="458">
        <v>4.9752776901339946E-2</v>
      </c>
      <c r="C4595" s="477">
        <v>14581624.435711734</v>
      </c>
      <c r="D4595" s="458">
        <v>4.3628057830206624E-2</v>
      </c>
      <c r="E4595" s="477">
        <v>7886814.9867460076</v>
      </c>
      <c r="F4595" s="458">
        <v>0.1457867684874099</v>
      </c>
      <c r="G4595" s="477">
        <v>81114614.145541742</v>
      </c>
      <c r="H4595" s="458">
        <v>0.25603999439444802</v>
      </c>
      <c r="I4595" s="468">
        <v>3.3602338862626819</v>
      </c>
    </row>
    <row r="4596" spans="1:9" ht="16.5" x14ac:dyDescent="0.3">
      <c r="A4596" s="477">
        <v>5523690.1839452507</v>
      </c>
      <c r="B4596" s="458">
        <v>2.9603496165342191E-2</v>
      </c>
      <c r="C4596" s="477">
        <v>10904956.470872268</v>
      </c>
      <c r="D4596" s="458">
        <v>0.10966047754458907</v>
      </c>
      <c r="E4596" s="477">
        <v>16324126.310102966</v>
      </c>
      <c r="F4596" s="458">
        <v>0.13130621341241677</v>
      </c>
      <c r="G4596" s="477">
        <v>84304766.195114836</v>
      </c>
      <c r="H4596" s="458">
        <v>0.27004289472841481</v>
      </c>
      <c r="I4596" s="468">
        <v>7.9345350763053863</v>
      </c>
    </row>
    <row r="4597" spans="1:9" ht="16.5" x14ac:dyDescent="0.3">
      <c r="A4597" s="477">
        <v>45085.494053999369</v>
      </c>
      <c r="B4597" s="458">
        <v>2.624474165350632E-2</v>
      </c>
      <c r="C4597" s="477">
        <v>12850056.913069481</v>
      </c>
      <c r="D4597" s="458">
        <v>7.2578706547482774E-2</v>
      </c>
      <c r="E4597" s="477">
        <v>15710588.472854022</v>
      </c>
      <c r="F4597" s="458">
        <v>0.17183150268854264</v>
      </c>
      <c r="G4597" s="477">
        <v>93215638.854075909</v>
      </c>
      <c r="H4597" s="458">
        <v>0.27956950023684435</v>
      </c>
      <c r="I4597" s="468">
        <v>10.300970139238331</v>
      </c>
    </row>
    <row r="4598" spans="1:9" ht="16.5" x14ac:dyDescent="0.3">
      <c r="A4598" s="477">
        <v>6510950.1962833367</v>
      </c>
      <c r="B4598" s="458">
        <v>2.9104839542233973E-2</v>
      </c>
      <c r="C4598" s="477">
        <v>16441497.399251316</v>
      </c>
      <c r="D4598" s="458">
        <v>5.6421090428241838E-2</v>
      </c>
      <c r="E4598" s="477">
        <v>26463067.787870154</v>
      </c>
      <c r="F4598" s="458">
        <v>8.9710157837271876E-2</v>
      </c>
      <c r="G4598" s="477">
        <v>75614618.405317098</v>
      </c>
      <c r="H4598" s="458">
        <v>0.27032785792310143</v>
      </c>
      <c r="I4598" s="468">
        <v>5.6718309983938227</v>
      </c>
    </row>
    <row r="4599" spans="1:9" ht="16.5" x14ac:dyDescent="0.3">
      <c r="A4599" s="477">
        <v>5445587.5645180074</v>
      </c>
      <c r="B4599" s="458">
        <v>2.362777658222881E-2</v>
      </c>
      <c r="C4599" s="477">
        <v>15959182.810438178</v>
      </c>
      <c r="D4599" s="458">
        <v>5.3573182003281206E-2</v>
      </c>
      <c r="E4599" s="477">
        <v>20448770.934348285</v>
      </c>
      <c r="F4599" s="458">
        <v>9.4696966770815516E-2</v>
      </c>
      <c r="G4599" s="477">
        <v>90993211.984975308</v>
      </c>
      <c r="H4599" s="458">
        <v>0.28088835822811209</v>
      </c>
      <c r="I4599" s="468">
        <v>7.4355681077509788</v>
      </c>
    </row>
    <row r="4600" spans="1:9" ht="16.5" x14ac:dyDescent="0.3">
      <c r="A4600" s="477">
        <v>4904099.1970689138</v>
      </c>
      <c r="B4600" s="458">
        <v>4.6132078140385113E-2</v>
      </c>
      <c r="C4600" s="477">
        <v>5151545.8002619818</v>
      </c>
      <c r="D4600" s="458">
        <v>7.3430482360565152E-2</v>
      </c>
      <c r="E4600" s="477">
        <v>11437420.171924958</v>
      </c>
      <c r="F4600" s="458">
        <v>0.10040727687482964</v>
      </c>
      <c r="G4600" s="477">
        <v>103313279.6527856</v>
      </c>
      <c r="H4600" s="458">
        <v>0.27164207606610291</v>
      </c>
      <c r="I4600" s="468">
        <v>8.281011498548315</v>
      </c>
    </row>
    <row r="4601" spans="1:9" ht="16.5" x14ac:dyDescent="0.3">
      <c r="A4601" s="477">
        <v>7723079.2301179441</v>
      </c>
      <c r="B4601" s="458">
        <v>2.9994960293008299E-2</v>
      </c>
      <c r="C4601" s="477">
        <v>13306174.876907758</v>
      </c>
      <c r="D4601" s="458">
        <v>5.9220476079013595E-2</v>
      </c>
      <c r="E4601" s="477">
        <v>23916121.490878854</v>
      </c>
      <c r="F4601" s="458">
        <v>0.10560479085890884</v>
      </c>
      <c r="G4601" s="477">
        <v>82239371.895092756</v>
      </c>
      <c r="H4601" s="458">
        <v>0.29129345071571877</v>
      </c>
      <c r="I4601" s="468">
        <v>4.1026504344684227</v>
      </c>
    </row>
    <row r="4602" spans="1:9" ht="16.5" x14ac:dyDescent="0.3">
      <c r="A4602" s="477">
        <v>5562004.4129743055</v>
      </c>
      <c r="B4602" s="458">
        <v>3.4970041946263075E-2</v>
      </c>
      <c r="C4602" s="477">
        <v>7023753.7029013801</v>
      </c>
      <c r="D4602" s="458">
        <v>9.8105555010256973E-2</v>
      </c>
      <c r="E4602" s="477">
        <v>13488481.22247207</v>
      </c>
      <c r="F4602" s="458">
        <v>0.11706129622993799</v>
      </c>
      <c r="G4602" s="477">
        <v>95793324.095060319</v>
      </c>
      <c r="H4602" s="458">
        <v>0.26760317936850875</v>
      </c>
      <c r="I4602" s="468">
        <v>7.9120887091600371</v>
      </c>
    </row>
    <row r="4603" spans="1:9" ht="16.5" x14ac:dyDescent="0.3">
      <c r="A4603" s="477">
        <v>8507478.1407939103</v>
      </c>
      <c r="B4603" s="458">
        <v>6.1336617458480402E-2</v>
      </c>
      <c r="C4603" s="477">
        <v>9982773.8608878776</v>
      </c>
      <c r="D4603" s="458">
        <v>4.9191827953921408E-2</v>
      </c>
      <c r="E4603" s="477">
        <v>12998051.910248376</v>
      </c>
      <c r="F4603" s="458">
        <v>0.11104780550746107</v>
      </c>
      <c r="G4603" s="477">
        <v>92403048.549632072</v>
      </c>
      <c r="H4603" s="458">
        <v>0.27379496383571889</v>
      </c>
      <c r="I4603" s="468">
        <v>7.8709725699241293</v>
      </c>
    </row>
    <row r="4604" spans="1:9" ht="16.5" x14ac:dyDescent="0.3">
      <c r="A4604" s="477">
        <v>5505923.4480189839</v>
      </c>
      <c r="B4604" s="458">
        <v>3.446992355498546E-2</v>
      </c>
      <c r="C4604" s="477">
        <v>6077016.5748659847</v>
      </c>
      <c r="D4604" s="458">
        <v>5.2619670402634933E-2</v>
      </c>
      <c r="E4604" s="477">
        <v>11362808.670994898</v>
      </c>
      <c r="F4604" s="458">
        <v>0.11440670656906815</v>
      </c>
      <c r="G4604" s="477">
        <v>86872035.223894566</v>
      </c>
      <c r="H4604" s="458">
        <v>0.2699338555997064</v>
      </c>
      <c r="I4604" s="468">
        <v>7.8833487859801235</v>
      </c>
    </row>
    <row r="4605" spans="1:9" ht="16.5" x14ac:dyDescent="0.3">
      <c r="A4605" s="477">
        <v>4132728.244073044</v>
      </c>
      <c r="B4605" s="458">
        <v>3.1590362994631471E-2</v>
      </c>
      <c r="C4605" s="477">
        <v>977999.3933084741</v>
      </c>
      <c r="D4605" s="458">
        <v>4.5813190824146144E-2</v>
      </c>
      <c r="E4605" s="477">
        <v>15406312.670012286</v>
      </c>
      <c r="F4605" s="458">
        <v>0.11378283294824332</v>
      </c>
      <c r="G4605" s="477">
        <v>72856397.101241618</v>
      </c>
      <c r="H4605" s="458">
        <v>0.28327732773404257</v>
      </c>
      <c r="I4605" s="468">
        <v>5.9994013756803071</v>
      </c>
    </row>
    <row r="4606" spans="1:9" ht="16.5" x14ac:dyDescent="0.3">
      <c r="A4606" s="477">
        <v>8301266.4181824448</v>
      </c>
      <c r="B4606" s="458">
        <v>5.0878429359506594E-2</v>
      </c>
      <c r="C4606" s="477">
        <v>6700342.2660145219</v>
      </c>
      <c r="D4606" s="458">
        <v>7.9584049496318698E-2</v>
      </c>
      <c r="E4606" s="477">
        <v>15367827.362619542</v>
      </c>
      <c r="F4606" s="458">
        <v>0.14116657066804983</v>
      </c>
      <c r="G4606" s="477">
        <v>92749876.004657567</v>
      </c>
      <c r="H4606" s="458">
        <v>0.27371266448700715</v>
      </c>
      <c r="I4606" s="468">
        <v>5.3010158320278116</v>
      </c>
    </row>
    <row r="4607" spans="1:9" ht="16.5" x14ac:dyDescent="0.3">
      <c r="A4607" s="477">
        <v>9480296.2381627969</v>
      </c>
      <c r="B4607" s="458">
        <v>2.7050190605940827E-2</v>
      </c>
      <c r="C4607" s="477">
        <v>6158085.0577548873</v>
      </c>
      <c r="D4607" s="458">
        <v>5.8325284266595556E-2</v>
      </c>
      <c r="E4607" s="477">
        <v>14068785.231152657</v>
      </c>
      <c r="F4607" s="458">
        <v>0.1135357993828856</v>
      </c>
      <c r="G4607" s="477">
        <v>92065722.91842249</v>
      </c>
      <c r="H4607" s="458">
        <v>0.26272755239255341</v>
      </c>
      <c r="I4607" s="468">
        <v>8.9898109180784029</v>
      </c>
    </row>
    <row r="4608" spans="1:9" ht="16.5" x14ac:dyDescent="0.3">
      <c r="A4608" s="477">
        <v>5691657.9959459715</v>
      </c>
      <c r="B4608" s="458">
        <v>6.6586616250849717E-2</v>
      </c>
      <c r="C4608" s="477">
        <v>7033988.0492030689</v>
      </c>
      <c r="D4608" s="458">
        <v>7.8356715831076729E-2</v>
      </c>
      <c r="E4608" s="477">
        <v>13438610.641188361</v>
      </c>
      <c r="F4608" s="458">
        <v>9.8637544265374411E-2</v>
      </c>
      <c r="G4608" s="477">
        <v>81492814.883830458</v>
      </c>
      <c r="H4608" s="458">
        <v>0.26918149538241254</v>
      </c>
      <c r="I4608" s="468">
        <v>2.0947034110474974</v>
      </c>
    </row>
    <row r="4609" spans="1:9" ht="16.5" x14ac:dyDescent="0.3">
      <c r="A4609" s="477">
        <v>8249479.3918469483</v>
      </c>
      <c r="B4609" s="458">
        <v>5.4195670125132045E-2</v>
      </c>
      <c r="C4609" s="477">
        <v>13142790.540777719</v>
      </c>
      <c r="D4609" s="458">
        <v>4.5527894130745095E-2</v>
      </c>
      <c r="E4609" s="477">
        <v>18294738.88741662</v>
      </c>
      <c r="F4609" s="458">
        <v>8.5126982273612928E-2</v>
      </c>
      <c r="G4609" s="477">
        <v>73402149.787629917</v>
      </c>
      <c r="H4609" s="458">
        <v>0.24874272002821152</v>
      </c>
      <c r="I4609" s="468">
        <v>17.596415657617577</v>
      </c>
    </row>
    <row r="4610" spans="1:9" ht="16.5" x14ac:dyDescent="0.3">
      <c r="A4610" s="477">
        <v>5566218.2588031627</v>
      </c>
      <c r="B4610" s="458">
        <v>4.9911547730475014E-2</v>
      </c>
      <c r="C4610" s="477">
        <v>14266765.095790092</v>
      </c>
      <c r="D4610" s="458">
        <v>5.4230457241590369E-2</v>
      </c>
      <c r="E4610" s="477">
        <v>17634940.414290641</v>
      </c>
      <c r="F4610" s="458">
        <v>0.11330999832973254</v>
      </c>
      <c r="G4610" s="477">
        <v>84476425.526562318</v>
      </c>
      <c r="H4610" s="458">
        <v>0.26856457927698374</v>
      </c>
      <c r="I4610" s="468">
        <v>3.4658738077628222</v>
      </c>
    </row>
    <row r="4611" spans="1:9" ht="16.5" x14ac:dyDescent="0.3">
      <c r="A4611" s="477">
        <v>6485721.9294774514</v>
      </c>
      <c r="B4611" s="458">
        <v>3.7104367372735148E-2</v>
      </c>
      <c r="C4611" s="477">
        <v>12668958.120392336</v>
      </c>
      <c r="D4611" s="458">
        <v>4.9530770402061775E-2</v>
      </c>
      <c r="E4611" s="477">
        <v>12249441.65838672</v>
      </c>
      <c r="F4611" s="458">
        <v>8.8544159784947007E-2</v>
      </c>
      <c r="G4611" s="477">
        <v>98172905.363224894</v>
      </c>
      <c r="H4611" s="458">
        <v>0.27822578969070677</v>
      </c>
      <c r="I4611" s="468">
        <v>6.4732881749221649</v>
      </c>
    </row>
    <row r="4612" spans="1:9" ht="16.5" x14ac:dyDescent="0.3">
      <c r="A4612" s="477">
        <v>3883037.1545291455</v>
      </c>
      <c r="B4612" s="458">
        <v>5.0617727420358083E-2</v>
      </c>
      <c r="C4612" s="477">
        <v>11135045.578685351</v>
      </c>
      <c r="D4612" s="458">
        <v>5.000882667613471E-2</v>
      </c>
      <c r="E4612" s="477">
        <v>8805319.3921379931</v>
      </c>
      <c r="F4612" s="458">
        <v>0.15095300097057618</v>
      </c>
      <c r="G4612" s="477">
        <v>97615530.160051674</v>
      </c>
      <c r="H4612" s="458">
        <v>0.28728860288952651</v>
      </c>
      <c r="I4612" s="468">
        <v>8.494513470044323</v>
      </c>
    </row>
    <row r="4613" spans="1:9" ht="16.5" x14ac:dyDescent="0.3">
      <c r="A4613" s="477">
        <v>4533886.8821545169</v>
      </c>
      <c r="B4613" s="458">
        <v>2.967776090896912E-2</v>
      </c>
      <c r="C4613" s="477">
        <v>1353851.2415827981</v>
      </c>
      <c r="D4613" s="458">
        <v>8.2732949621031837E-2</v>
      </c>
      <c r="E4613" s="477">
        <v>14626155.697147323</v>
      </c>
      <c r="F4613" s="458">
        <v>0.12238482769284476</v>
      </c>
      <c r="G4613" s="477">
        <v>75949717.536426559</v>
      </c>
      <c r="H4613" s="458">
        <v>0.27352744317643363</v>
      </c>
      <c r="I4613" s="468">
        <v>12.711474447437617</v>
      </c>
    </row>
    <row r="4614" spans="1:9" ht="16.5" x14ac:dyDescent="0.3">
      <c r="A4614" s="477">
        <v>4869409.6201606039</v>
      </c>
      <c r="B4614" s="458">
        <v>4.4291165753241657E-2</v>
      </c>
      <c r="C4614" s="477">
        <v>9897186.5454924647</v>
      </c>
      <c r="D4614" s="458">
        <v>7.5931832733189708E-2</v>
      </c>
      <c r="E4614" s="477">
        <v>16911548.059043676</v>
      </c>
      <c r="F4614" s="458">
        <v>0.11996534149412752</v>
      </c>
      <c r="G4614" s="477">
        <v>87133206.534561783</v>
      </c>
      <c r="H4614" s="458">
        <v>0.25402799592770475</v>
      </c>
      <c r="I4614" s="468">
        <v>8.4565988784593475</v>
      </c>
    </row>
    <row r="4615" spans="1:9" ht="16.5" x14ac:dyDescent="0.3">
      <c r="A4615" s="477">
        <v>5912643.4003214631</v>
      </c>
      <c r="B4615" s="458">
        <v>2.9733873671821787E-2</v>
      </c>
      <c r="C4615" s="477">
        <v>7758015.820733835</v>
      </c>
      <c r="D4615" s="458">
        <v>4.9515340386191875E-2</v>
      </c>
      <c r="E4615" s="477">
        <v>11056239.576313384</v>
      </c>
      <c r="F4615" s="458">
        <v>0.12591958543700854</v>
      </c>
      <c r="G4615" s="477">
        <v>95588108.366315812</v>
      </c>
      <c r="H4615" s="458">
        <v>0.2616296721406477</v>
      </c>
      <c r="I4615" s="468">
        <v>8.5897849312100121</v>
      </c>
    </row>
    <row r="4616" spans="1:9" ht="16.5" x14ac:dyDescent="0.3">
      <c r="A4616" s="477">
        <v>4148713.9314668612</v>
      </c>
      <c r="B4616" s="458">
        <v>3.0349913690849162E-2</v>
      </c>
      <c r="C4616" s="477">
        <v>10553689.48280322</v>
      </c>
      <c r="D4616" s="458">
        <v>6.4159924548749192E-2</v>
      </c>
      <c r="E4616" s="477">
        <v>10300621.216597755</v>
      </c>
      <c r="F4616" s="458">
        <v>0.1015911178836344</v>
      </c>
      <c r="G4616" s="477">
        <v>97743602.430379793</v>
      </c>
      <c r="H4616" s="458">
        <v>0.26366166606064523</v>
      </c>
      <c r="I4616" s="468">
        <v>9.3554078030287862</v>
      </c>
    </row>
    <row r="4617" spans="1:9" ht="16.5" x14ac:dyDescent="0.3">
      <c r="A4617" s="477">
        <v>8441855.0811854862</v>
      </c>
      <c r="B4617" s="458">
        <v>3.4142554710160367E-2</v>
      </c>
      <c r="C4617" s="477">
        <v>10444701.27075804</v>
      </c>
      <c r="D4617" s="458">
        <v>6.7537252875041531E-2</v>
      </c>
      <c r="E4617" s="477">
        <v>12004427.539353414</v>
      </c>
      <c r="F4617" s="458">
        <v>0.1123181091594363</v>
      </c>
      <c r="G4617" s="477">
        <v>98916326.303878993</v>
      </c>
      <c r="H4617" s="458">
        <v>0.25665222501557716</v>
      </c>
      <c r="I4617" s="468">
        <v>8.8906360706915777</v>
      </c>
    </row>
    <row r="4618" spans="1:9" ht="16.5" x14ac:dyDescent="0.3">
      <c r="A4618" s="477">
        <v>5650272.2847507093</v>
      </c>
      <c r="B4618" s="458">
        <v>3.7481942951526515E-2</v>
      </c>
      <c r="C4618" s="477">
        <v>2918064.4528410314</v>
      </c>
      <c r="D4618" s="458">
        <v>6.251807481123528E-2</v>
      </c>
      <c r="E4618" s="477">
        <v>14499140.629728638</v>
      </c>
      <c r="F4618" s="458">
        <v>9.237636992410736E-2</v>
      </c>
      <c r="G4618" s="477">
        <v>87303600.02577056</v>
      </c>
      <c r="H4618" s="458">
        <v>0.28251799546938039</v>
      </c>
      <c r="I4618" s="468">
        <v>8.3405193594282956</v>
      </c>
    </row>
    <row r="4619" spans="1:9" ht="16.5" x14ac:dyDescent="0.3">
      <c r="A4619" s="477">
        <v>3357913.3525002333</v>
      </c>
      <c r="B4619" s="458">
        <v>4.1200969917730257E-2</v>
      </c>
      <c r="C4619" s="477">
        <v>5847281.7473698463</v>
      </c>
      <c r="D4619" s="458">
        <v>6.8892655921611201E-2</v>
      </c>
      <c r="E4619" s="477">
        <v>17618463.731133077</v>
      </c>
      <c r="F4619" s="458">
        <v>0.12973099895065432</v>
      </c>
      <c r="G4619" s="477">
        <v>103600234.24555597</v>
      </c>
      <c r="H4619" s="458">
        <v>0.28872352693015757</v>
      </c>
      <c r="I4619" s="468">
        <v>9.0288776221332885</v>
      </c>
    </row>
    <row r="4620" spans="1:9" ht="16.5" x14ac:dyDescent="0.3">
      <c r="A4620" s="477">
        <v>1690387.3381302301</v>
      </c>
      <c r="B4620" s="458">
        <v>2.0196897341933973E-2</v>
      </c>
      <c r="C4620" s="477">
        <v>1141690.0639382652</v>
      </c>
      <c r="D4620" s="458">
        <v>7.6792765706706234E-2</v>
      </c>
      <c r="E4620" s="477">
        <v>23350249.668196287</v>
      </c>
      <c r="F4620" s="458">
        <v>0.11182340445610861</v>
      </c>
      <c r="G4620" s="477">
        <v>85349597.875445634</v>
      </c>
      <c r="H4620" s="458">
        <v>0.29511552984787315</v>
      </c>
      <c r="I4620" s="468">
        <v>8.9884522452254672</v>
      </c>
    </row>
    <row r="4621" spans="1:9" ht="16.5" x14ac:dyDescent="0.3">
      <c r="A4621" s="477">
        <v>3947154.680359371</v>
      </c>
      <c r="B4621" s="458">
        <v>2.6689832028065741E-2</v>
      </c>
      <c r="C4621" s="477">
        <v>-1523837.3887314375</v>
      </c>
      <c r="D4621" s="458">
        <v>0.1029920381526046</v>
      </c>
      <c r="E4621" s="477">
        <v>20277363.754688963</v>
      </c>
      <c r="F4621" s="458">
        <v>9.8444743543153246E-2</v>
      </c>
      <c r="G4621" s="477">
        <v>83336664.308160752</v>
      </c>
      <c r="H4621" s="458">
        <v>0.26191891386628852</v>
      </c>
      <c r="I4621" s="468">
        <v>3.3317489054614118</v>
      </c>
    </row>
    <row r="4622" spans="1:9" ht="16.5" x14ac:dyDescent="0.3">
      <c r="A4622" s="477">
        <v>2896506.8471269482</v>
      </c>
      <c r="B4622" s="458">
        <v>3.3287412196564059E-2</v>
      </c>
      <c r="C4622" s="477">
        <v>4376873.2751379786</v>
      </c>
      <c r="D4622" s="458">
        <v>3.886769724070982E-2</v>
      </c>
      <c r="E4622" s="477">
        <v>13900295.28497503</v>
      </c>
      <c r="F4622" s="458">
        <v>9.7605672116310993E-2</v>
      </c>
      <c r="G4622" s="477">
        <v>79763560.111062407</v>
      </c>
      <c r="H4622" s="458">
        <v>0.2748695371230987</v>
      </c>
      <c r="I4622" s="468">
        <v>9.5860366971307371</v>
      </c>
    </row>
    <row r="4623" spans="1:9" ht="16.5" x14ac:dyDescent="0.3">
      <c r="A4623" s="477">
        <v>10729533.431839796</v>
      </c>
      <c r="B4623" s="458">
        <v>5.7583820755804593E-2</v>
      </c>
      <c r="C4623" s="477">
        <v>8437470.5401138272</v>
      </c>
      <c r="D4623" s="458">
        <v>0.10912124213323393</v>
      </c>
      <c r="E4623" s="477">
        <v>20721860.16602464</v>
      </c>
      <c r="F4623" s="458">
        <v>9.7603931940494881E-2</v>
      </c>
      <c r="G4623" s="477">
        <v>84000760.37993969</v>
      </c>
      <c r="H4623" s="458">
        <v>0.28513796431017835</v>
      </c>
      <c r="I4623" s="468">
        <v>0.62270673275275357</v>
      </c>
    </row>
    <row r="4624" spans="1:9" ht="16.5" x14ac:dyDescent="0.3">
      <c r="A4624" s="477">
        <v>525649.86866262567</v>
      </c>
      <c r="B4624" s="458">
        <v>4.3347457787641597E-2</v>
      </c>
      <c r="C4624" s="477">
        <v>10904179.873246713</v>
      </c>
      <c r="D4624" s="458">
        <v>2.9351597969966114E-2</v>
      </c>
      <c r="E4624" s="477">
        <v>17707183.57066017</v>
      </c>
      <c r="F4624" s="458">
        <v>0.10929440423845871</v>
      </c>
      <c r="G4624" s="477">
        <v>77732959.177929699</v>
      </c>
      <c r="H4624" s="458">
        <v>0.26863562499195814</v>
      </c>
      <c r="I4624" s="468">
        <v>10.806970715138702</v>
      </c>
    </row>
    <row r="4625" spans="1:9" ht="16.5" x14ac:dyDescent="0.3">
      <c r="A4625" s="477">
        <v>2259134.7136082738</v>
      </c>
      <c r="B4625" s="458">
        <v>1.6555920027357951E-2</v>
      </c>
      <c r="C4625" s="477">
        <v>8479973.3485297225</v>
      </c>
      <c r="D4625" s="458">
        <v>5.6104924491416241E-2</v>
      </c>
      <c r="E4625" s="477">
        <v>14034142.56433445</v>
      </c>
      <c r="F4625" s="458">
        <v>8.9354521300524903E-2</v>
      </c>
      <c r="G4625" s="477">
        <v>85878536.033917889</v>
      </c>
      <c r="H4625" s="458">
        <v>0.28878455620978882</v>
      </c>
      <c r="I4625" s="468">
        <v>5.8722172311861591</v>
      </c>
    </row>
    <row r="4626" spans="1:9" ht="16.5" x14ac:dyDescent="0.3">
      <c r="A4626" s="477">
        <v>953611.08010835631</v>
      </c>
      <c r="B4626" s="458">
        <v>5.7186350799905528E-2</v>
      </c>
      <c r="C4626" s="477">
        <v>11717253.503684647</v>
      </c>
      <c r="D4626" s="458">
        <v>3.2483168195860834E-2</v>
      </c>
      <c r="E4626" s="477">
        <v>7768883.4551685974</v>
      </c>
      <c r="F4626" s="458">
        <v>9.4732125132303224E-2</v>
      </c>
      <c r="G4626" s="477">
        <v>90660696.753814697</v>
      </c>
      <c r="H4626" s="458">
        <v>0.27344965998033643</v>
      </c>
      <c r="I4626" s="468">
        <v>7.7664101559339906</v>
      </c>
    </row>
    <row r="4627" spans="1:9" ht="16.5" x14ac:dyDescent="0.3">
      <c r="A4627" s="477">
        <v>4315435.394186548</v>
      </c>
      <c r="B4627" s="458">
        <v>3.4434560801222203E-2</v>
      </c>
      <c r="C4627" s="477">
        <v>9914079.8982306421</v>
      </c>
      <c r="D4627" s="458">
        <v>6.0300390432109996E-2</v>
      </c>
      <c r="E4627" s="477">
        <v>18802673.516910531</v>
      </c>
      <c r="F4627" s="458">
        <v>0.1187141135803591</v>
      </c>
      <c r="G4627" s="477">
        <v>86508993.875025064</v>
      </c>
      <c r="H4627" s="458">
        <v>0.26905560310934318</v>
      </c>
      <c r="I4627" s="468">
        <v>8.0219362690965053</v>
      </c>
    </row>
    <row r="4628" spans="1:9" ht="16.5" x14ac:dyDescent="0.3">
      <c r="A4628" s="477">
        <v>1633646.1511325792</v>
      </c>
      <c r="B4628" s="458">
        <v>3.7821156139510093E-2</v>
      </c>
      <c r="C4628" s="477">
        <v>5275826.3453459479</v>
      </c>
      <c r="D4628" s="458">
        <v>6.1318118996051219E-2</v>
      </c>
      <c r="E4628" s="477">
        <v>13471994.422799006</v>
      </c>
      <c r="F4628" s="458">
        <v>0.12198849503045661</v>
      </c>
      <c r="G4628" s="477">
        <v>92808011.676271424</v>
      </c>
      <c r="H4628" s="458">
        <v>0.2591266644882817</v>
      </c>
      <c r="I4628" s="468">
        <v>10.443134398152015</v>
      </c>
    </row>
    <row r="4629" spans="1:9" ht="16.5" x14ac:dyDescent="0.3">
      <c r="A4629" s="477">
        <v>-3511916.4524235353</v>
      </c>
      <c r="B4629" s="458">
        <v>4.487909423253833E-2</v>
      </c>
      <c r="C4629" s="477">
        <v>8856873.5085727833</v>
      </c>
      <c r="D4629" s="458">
        <v>3.7423035815641992E-2</v>
      </c>
      <c r="E4629" s="477">
        <v>20237743.408241872</v>
      </c>
      <c r="F4629" s="458">
        <v>0.10243853734514885</v>
      </c>
      <c r="G4629" s="477">
        <v>99129709.451579913</v>
      </c>
      <c r="H4629" s="458">
        <v>0.26098600179880793</v>
      </c>
      <c r="I4629" s="468">
        <v>9.1879132594836399</v>
      </c>
    </row>
    <row r="4630" spans="1:9" ht="16.5" x14ac:dyDescent="0.3">
      <c r="A4630" s="477">
        <v>8740068.7038311306</v>
      </c>
      <c r="B4630" s="458">
        <v>3.5405611980462659E-2</v>
      </c>
      <c r="C4630" s="477">
        <v>292523.4471068955</v>
      </c>
      <c r="D4630" s="458">
        <v>5.2281899790281194E-2</v>
      </c>
      <c r="E4630" s="477">
        <v>9448234.8889169991</v>
      </c>
      <c r="F4630" s="458">
        <v>0.10265860053426157</v>
      </c>
      <c r="G4630" s="477">
        <v>88391432.583452076</v>
      </c>
      <c r="H4630" s="458">
        <v>0.27444875231448229</v>
      </c>
      <c r="I4630" s="468">
        <v>4.8883026224857602</v>
      </c>
    </row>
    <row r="4631" spans="1:9" ht="16.5" x14ac:dyDescent="0.3">
      <c r="A4631" s="477">
        <v>8327643.1588104218</v>
      </c>
      <c r="B4631" s="458">
        <v>2.7509076252418607E-2</v>
      </c>
      <c r="C4631" s="477">
        <v>12058125.74987657</v>
      </c>
      <c r="D4631" s="458">
        <v>0.10186442165493403</v>
      </c>
      <c r="E4631" s="477">
        <v>17614059.407725222</v>
      </c>
      <c r="F4631" s="458">
        <v>0.11652871007190702</v>
      </c>
      <c r="G4631" s="477">
        <v>95348292.978490874</v>
      </c>
      <c r="H4631" s="458">
        <v>0.27735098270281133</v>
      </c>
      <c r="I4631" s="468">
        <v>6.8646565307932166</v>
      </c>
    </row>
    <row r="4632" spans="1:9" ht="16.5" x14ac:dyDescent="0.3">
      <c r="A4632" s="477">
        <v>5231625.49844578</v>
      </c>
      <c r="B4632" s="458">
        <v>4.1362376451398619E-2</v>
      </c>
      <c r="C4632" s="477">
        <v>6386360.8377161315</v>
      </c>
      <c r="D4632" s="458">
        <v>8.6684717055897753E-2</v>
      </c>
      <c r="E4632" s="477">
        <v>18409794.953209195</v>
      </c>
      <c r="F4632" s="458">
        <v>9.3467121008388832E-2</v>
      </c>
      <c r="G4632" s="477">
        <v>88523575.499781281</v>
      </c>
      <c r="H4632" s="458">
        <v>0.255016267909004</v>
      </c>
      <c r="I4632" s="468">
        <v>6.5864303234234445</v>
      </c>
    </row>
    <row r="4633" spans="1:9" ht="16.5" x14ac:dyDescent="0.3">
      <c r="A4633" s="477">
        <v>1497192.3041361298</v>
      </c>
      <c r="B4633" s="458">
        <v>3.2116475926978527E-2</v>
      </c>
      <c r="C4633" s="477">
        <v>7903112.6193726491</v>
      </c>
      <c r="D4633" s="458">
        <v>6.8620362282850955E-2</v>
      </c>
      <c r="E4633" s="477">
        <v>18371122.990406521</v>
      </c>
      <c r="F4633" s="458">
        <v>0.113049550825288</v>
      </c>
      <c r="G4633" s="477">
        <v>87238392.141608104</v>
      </c>
      <c r="H4633" s="458">
        <v>0.25991004967217579</v>
      </c>
      <c r="I4633" s="468">
        <v>7.3420884677857217</v>
      </c>
    </row>
    <row r="4634" spans="1:9" ht="16.5" x14ac:dyDescent="0.3">
      <c r="A4634" s="477">
        <v>4138075.2562630633</v>
      </c>
      <c r="B4634" s="458">
        <v>4.0270080523213458E-2</v>
      </c>
      <c r="C4634" s="477">
        <v>5669332.534750645</v>
      </c>
      <c r="D4634" s="458">
        <v>5.1803035178412671E-2</v>
      </c>
      <c r="E4634" s="477">
        <v>18584899.300579134</v>
      </c>
      <c r="F4634" s="458">
        <v>8.4409193571155727E-2</v>
      </c>
      <c r="G4634" s="477">
        <v>94443986.202963158</v>
      </c>
      <c r="H4634" s="458">
        <v>0.25768220926064633</v>
      </c>
      <c r="I4634" s="468">
        <v>8.7350958993537766</v>
      </c>
    </row>
    <row r="4635" spans="1:9" ht="16.5" x14ac:dyDescent="0.3">
      <c r="A4635" s="477">
        <v>6239484.9229039429</v>
      </c>
      <c r="B4635" s="458">
        <v>3.6104758720514551E-2</v>
      </c>
      <c r="C4635" s="477">
        <v>8657578.7725064903</v>
      </c>
      <c r="D4635" s="458">
        <v>5.7180195965834679E-2</v>
      </c>
      <c r="E4635" s="477">
        <v>21981636.09682063</v>
      </c>
      <c r="F4635" s="458">
        <v>0.11017549472451549</v>
      </c>
      <c r="G4635" s="477">
        <v>73750734.569135219</v>
      </c>
      <c r="H4635" s="458">
        <v>0.2707061535871893</v>
      </c>
      <c r="I4635" s="468">
        <v>7.9379630874352927</v>
      </c>
    </row>
    <row r="4636" spans="1:9" ht="16.5" x14ac:dyDescent="0.3">
      <c r="A4636" s="477">
        <v>9230199.0238433369</v>
      </c>
      <c r="B4636" s="458">
        <v>4.5694611473379831E-2</v>
      </c>
      <c r="C4636" s="477">
        <v>5844885.6925214268</v>
      </c>
      <c r="D4636" s="458">
        <v>6.9800575456058889E-2</v>
      </c>
      <c r="E4636" s="477">
        <v>17086575.641597439</v>
      </c>
      <c r="F4636" s="458">
        <v>0.11894251604805928</v>
      </c>
      <c r="G4636" s="477">
        <v>78893155.191083416</v>
      </c>
      <c r="H4636" s="458">
        <v>0.25341691672850475</v>
      </c>
      <c r="I4636" s="468">
        <v>4.7844587340957805</v>
      </c>
    </row>
    <row r="4637" spans="1:9" ht="16.5" x14ac:dyDescent="0.3">
      <c r="A4637" s="477">
        <v>7278935.1147299195</v>
      </c>
      <c r="B4637" s="458">
        <v>5.6041252000063713E-2</v>
      </c>
      <c r="C4637" s="477">
        <v>9744626.4549235664</v>
      </c>
      <c r="D4637" s="458">
        <v>9.5264147466870508E-2</v>
      </c>
      <c r="E4637" s="477">
        <v>17253677.122604467</v>
      </c>
      <c r="F4637" s="458">
        <v>8.6650706940239353E-2</v>
      </c>
      <c r="G4637" s="477">
        <v>91596865.57427372</v>
      </c>
      <c r="H4637" s="458">
        <v>0.27548176188723383</v>
      </c>
      <c r="I4637" s="468">
        <v>4.7928740683067321</v>
      </c>
    </row>
    <row r="4638" spans="1:9" ht="16.5" x14ac:dyDescent="0.3">
      <c r="A4638" s="477">
        <v>5530423.8114135917</v>
      </c>
      <c r="B4638" s="458">
        <v>4.1384458558263892E-2</v>
      </c>
      <c r="C4638" s="477">
        <v>10856329.39252661</v>
      </c>
      <c r="D4638" s="458">
        <v>5.6091658899739105E-2</v>
      </c>
      <c r="E4638" s="477">
        <v>12271504.694936983</v>
      </c>
      <c r="F4638" s="458">
        <v>9.6522260257440706E-2</v>
      </c>
      <c r="G4638" s="477">
        <v>85091757.410783321</v>
      </c>
      <c r="H4638" s="458">
        <v>0.2738895199788125</v>
      </c>
      <c r="I4638" s="468">
        <v>11.843960064749703</v>
      </c>
    </row>
    <row r="4639" spans="1:9" ht="16.5" x14ac:dyDescent="0.3">
      <c r="A4639" s="477">
        <v>958176.8500868479</v>
      </c>
      <c r="B4639" s="458">
        <v>5.8512311187058241E-2</v>
      </c>
      <c r="C4639" s="477">
        <v>16015051.817378713</v>
      </c>
      <c r="D4639" s="458">
        <v>6.0919576611793591E-2</v>
      </c>
      <c r="E4639" s="477">
        <v>10469899.069641978</v>
      </c>
      <c r="F4639" s="458">
        <v>0.12383032604269006</v>
      </c>
      <c r="G4639" s="477">
        <v>91171358.939220905</v>
      </c>
      <c r="H4639" s="458">
        <v>0.25853447491166714</v>
      </c>
      <c r="I4639" s="468">
        <v>8.2608182065643376</v>
      </c>
    </row>
    <row r="4640" spans="1:9" ht="16.5" x14ac:dyDescent="0.3">
      <c r="A4640" s="477">
        <v>-30270.001147535182</v>
      </c>
      <c r="B4640" s="458">
        <v>3.1163046448739573E-2</v>
      </c>
      <c r="C4640" s="477">
        <v>8883535.3661248069</v>
      </c>
      <c r="D4640" s="458">
        <v>6.1529252645578625E-2</v>
      </c>
      <c r="E4640" s="477">
        <v>10990301.78630615</v>
      </c>
      <c r="F4640" s="458">
        <v>0.11306777604867091</v>
      </c>
      <c r="G4640" s="477">
        <v>96095059.103272945</v>
      </c>
      <c r="H4640" s="458">
        <v>0.25118148831818066</v>
      </c>
      <c r="I4640" s="468">
        <v>8.7777329872987337</v>
      </c>
    </row>
    <row r="4641" spans="1:9" ht="16.5" x14ac:dyDescent="0.3">
      <c r="A4641" s="477">
        <v>4009049.4508543937</v>
      </c>
      <c r="B4641" s="458">
        <v>4.2040896699480301E-2</v>
      </c>
      <c r="C4641" s="477">
        <v>3085742.3989533386</v>
      </c>
      <c r="D4641" s="458">
        <v>8.7750271785894229E-2</v>
      </c>
      <c r="E4641" s="477">
        <v>16078261.414180253</v>
      </c>
      <c r="F4641" s="458">
        <v>0.11149695425165307</v>
      </c>
      <c r="G4641" s="477">
        <v>91652916.921286926</v>
      </c>
      <c r="H4641" s="458">
        <v>0.27263559960861183</v>
      </c>
      <c r="I4641" s="468">
        <v>3.6217529376780764</v>
      </c>
    </row>
    <row r="4642" spans="1:9" ht="16.5" x14ac:dyDescent="0.3">
      <c r="A4642" s="477">
        <v>6985829.0558328684</v>
      </c>
      <c r="B4642" s="458">
        <v>3.3792446809616683E-2</v>
      </c>
      <c r="C4642" s="477">
        <v>7872895.7308728909</v>
      </c>
      <c r="D4642" s="458">
        <v>5.6786300844859028E-2</v>
      </c>
      <c r="E4642" s="477">
        <v>15698737.673331687</v>
      </c>
      <c r="F4642" s="458">
        <v>0.11664686732596175</v>
      </c>
      <c r="G4642" s="477">
        <v>87086110.844646156</v>
      </c>
      <c r="H4642" s="458">
        <v>0.2629041784219952</v>
      </c>
      <c r="I4642" s="468">
        <v>4.2030978764102036</v>
      </c>
    </row>
    <row r="4643" spans="1:9" ht="16.5" x14ac:dyDescent="0.3">
      <c r="A4643" s="477">
        <v>5199469.9796607643</v>
      </c>
      <c r="B4643" s="458">
        <v>5.4593739564423149E-2</v>
      </c>
      <c r="C4643" s="477">
        <v>5848357.6194287688</v>
      </c>
      <c r="D4643" s="458">
        <v>4.659572548234947E-2</v>
      </c>
      <c r="E4643" s="477">
        <v>12646407.107033296</v>
      </c>
      <c r="F4643" s="458">
        <v>0.12020865122156432</v>
      </c>
      <c r="G4643" s="477">
        <v>95807341.918462381</v>
      </c>
      <c r="H4643" s="458">
        <v>0.26312936751411486</v>
      </c>
      <c r="I4643" s="468">
        <v>10.136751104728962</v>
      </c>
    </row>
    <row r="4644" spans="1:9" ht="16.5" x14ac:dyDescent="0.3">
      <c r="A4644" s="477">
        <v>4095038.5362290237</v>
      </c>
      <c r="B4644" s="458">
        <v>5.0678148308893611E-2</v>
      </c>
      <c r="C4644" s="477">
        <v>15328347.088931004</v>
      </c>
      <c r="D4644" s="458">
        <v>6.6796455354694029E-2</v>
      </c>
      <c r="E4644" s="477">
        <v>16401331.758112555</v>
      </c>
      <c r="F4644" s="458">
        <v>0.10167461583526061</v>
      </c>
      <c r="G4644" s="477">
        <v>84334585.491535455</v>
      </c>
      <c r="H4644" s="458">
        <v>0.26469344108119519</v>
      </c>
      <c r="I4644" s="468">
        <v>11.284187536506995</v>
      </c>
    </row>
    <row r="4645" spans="1:9" ht="16.5" x14ac:dyDescent="0.3">
      <c r="A4645" s="477">
        <v>6903453.3737040218</v>
      </c>
      <c r="B4645" s="458">
        <v>5.5006945727482437E-2</v>
      </c>
      <c r="C4645" s="477">
        <v>13418144.966290591</v>
      </c>
      <c r="D4645" s="458">
        <v>8.0077651856544918E-2</v>
      </c>
      <c r="E4645" s="477">
        <v>17419391.739421044</v>
      </c>
      <c r="F4645" s="458">
        <v>9.7898507724878403E-2</v>
      </c>
      <c r="G4645" s="477">
        <v>87078095.825972348</v>
      </c>
      <c r="H4645" s="458">
        <v>0.28965262874588737</v>
      </c>
      <c r="I4645" s="468">
        <v>7.8597357396571086</v>
      </c>
    </row>
    <row r="4646" spans="1:9" ht="16.5" x14ac:dyDescent="0.3">
      <c r="A4646" s="477">
        <v>8366862.7931227433</v>
      </c>
      <c r="B4646" s="458">
        <v>4.9013289317422215E-2</v>
      </c>
      <c r="C4646" s="477">
        <v>5214695.0877215965</v>
      </c>
      <c r="D4646" s="458">
        <v>7.0755874570648469E-2</v>
      </c>
      <c r="E4646" s="477">
        <v>16539436.170728946</v>
      </c>
      <c r="F4646" s="458">
        <v>0.10038053453976103</v>
      </c>
      <c r="G4646" s="477">
        <v>89116477.555377856</v>
      </c>
      <c r="H4646" s="458">
        <v>0.26202737443563118</v>
      </c>
      <c r="I4646" s="468">
        <v>2.4539247792891592</v>
      </c>
    </row>
    <row r="4647" spans="1:9" ht="16.5" x14ac:dyDescent="0.3">
      <c r="A4647" s="477">
        <v>4412531.1836139718</v>
      </c>
      <c r="B4647" s="458">
        <v>4.0780324534491985E-2</v>
      </c>
      <c r="C4647" s="477">
        <v>3112871.6768643758</v>
      </c>
      <c r="D4647" s="458">
        <v>7.7277704910730716E-2</v>
      </c>
      <c r="E4647" s="477">
        <v>10613398.811865671</v>
      </c>
      <c r="F4647" s="458">
        <v>0.10237445967875347</v>
      </c>
      <c r="G4647" s="477">
        <v>81703740.14250429</v>
      </c>
      <c r="H4647" s="458">
        <v>0.25573862999994446</v>
      </c>
      <c r="I4647" s="468">
        <v>10.205828051888005</v>
      </c>
    </row>
    <row r="4648" spans="1:9" ht="16.5" x14ac:dyDescent="0.3">
      <c r="A4648" s="477">
        <v>5745866.4580030171</v>
      </c>
      <c r="B4648" s="458">
        <v>3.9243791668245764E-2</v>
      </c>
      <c r="C4648" s="477">
        <v>8689140.4301823657</v>
      </c>
      <c r="D4648" s="458">
        <v>6.8096405318666786E-2</v>
      </c>
      <c r="E4648" s="477">
        <v>13732590.095304467</v>
      </c>
      <c r="F4648" s="458">
        <v>9.9349067769155752E-2</v>
      </c>
      <c r="G4648" s="477">
        <v>79385330.356498465</v>
      </c>
      <c r="H4648" s="458">
        <v>0.26035562074124186</v>
      </c>
      <c r="I4648" s="468">
        <v>6.3613388661692483</v>
      </c>
    </row>
    <row r="4649" spans="1:9" ht="16.5" x14ac:dyDescent="0.3">
      <c r="A4649" s="477">
        <v>5091302.2289072815</v>
      </c>
      <c r="B4649" s="458">
        <v>4.5825148552694817E-2</v>
      </c>
      <c r="C4649" s="477">
        <v>10913522.709509457</v>
      </c>
      <c r="D4649" s="458">
        <v>7.6696866883347203E-2</v>
      </c>
      <c r="E4649" s="477">
        <v>19714056.998658564</v>
      </c>
      <c r="F4649" s="458">
        <v>0.12317670221560206</v>
      </c>
      <c r="G4649" s="477">
        <v>95142210.453277037</v>
      </c>
      <c r="H4649" s="458">
        <v>0.29319677137560674</v>
      </c>
      <c r="I4649" s="468">
        <v>12.828083361541886</v>
      </c>
    </row>
    <row r="4650" spans="1:9" ht="16.5" x14ac:dyDescent="0.3">
      <c r="A4650" s="477">
        <v>4986255.9165993491</v>
      </c>
      <c r="B4650" s="458">
        <v>4.1317068150408254E-2</v>
      </c>
      <c r="C4650" s="477">
        <v>11568940.185168589</v>
      </c>
      <c r="D4650" s="458">
        <v>8.8662386656639169E-2</v>
      </c>
      <c r="E4650" s="477">
        <v>11970096.656153142</v>
      </c>
      <c r="F4650" s="458">
        <v>0.13699928261786409</v>
      </c>
      <c r="G4650" s="477">
        <v>90574712.725214556</v>
      </c>
      <c r="H4650" s="458">
        <v>0.25569496318089668</v>
      </c>
      <c r="I4650" s="468">
        <v>4.7322851329095839</v>
      </c>
    </row>
    <row r="4651" spans="1:9" ht="16.5" x14ac:dyDescent="0.3">
      <c r="A4651" s="477">
        <v>5374623.9552641418</v>
      </c>
      <c r="B4651" s="458">
        <v>3.2088877578069441E-2</v>
      </c>
      <c r="C4651" s="477">
        <v>8881548.1760095675</v>
      </c>
      <c r="D4651" s="458">
        <v>7.5022268364616229E-2</v>
      </c>
      <c r="E4651" s="477">
        <v>10558467.462040657</v>
      </c>
      <c r="F4651" s="458">
        <v>0.10359641778430628</v>
      </c>
      <c r="G4651" s="477">
        <v>92653796.887386382</v>
      </c>
      <c r="H4651" s="458">
        <v>0.28306764161200193</v>
      </c>
      <c r="I4651" s="468">
        <v>1.4335816570204765</v>
      </c>
    </row>
    <row r="4652" spans="1:9" ht="16.5" x14ac:dyDescent="0.3">
      <c r="A4652" s="477">
        <v>9811437.0095964652</v>
      </c>
      <c r="B4652" s="458">
        <v>5.2798285221737018E-2</v>
      </c>
      <c r="C4652" s="477">
        <v>6154733.5181321679</v>
      </c>
      <c r="D4652" s="458">
        <v>6.3837702969965715E-2</v>
      </c>
      <c r="E4652" s="477">
        <v>18781949.09479399</v>
      </c>
      <c r="F4652" s="458">
        <v>0.1192854862892414</v>
      </c>
      <c r="G4652" s="477">
        <v>84637315.54323642</v>
      </c>
      <c r="H4652" s="458">
        <v>0.25640760471272905</v>
      </c>
      <c r="I4652" s="468">
        <v>10.73516552941128</v>
      </c>
    </row>
    <row r="4653" spans="1:9" ht="16.5" x14ac:dyDescent="0.3">
      <c r="A4653" s="477">
        <v>8383972.4547091946</v>
      </c>
      <c r="B4653" s="458">
        <v>3.2411136303232668E-2</v>
      </c>
      <c r="C4653" s="477">
        <v>12476350.688001163</v>
      </c>
      <c r="D4653" s="458">
        <v>2.9645100702757166E-2</v>
      </c>
      <c r="E4653" s="477">
        <v>21044184.861598674</v>
      </c>
      <c r="F4653" s="458">
        <v>0.11722898223002431</v>
      </c>
      <c r="G4653" s="477">
        <v>96698991.496161938</v>
      </c>
      <c r="H4653" s="458">
        <v>0.26706284550022663</v>
      </c>
      <c r="I4653" s="468">
        <v>11.745685652321816</v>
      </c>
    </row>
    <row r="4654" spans="1:9" ht="16.5" x14ac:dyDescent="0.3">
      <c r="A4654" s="477">
        <v>239182.68790620426</v>
      </c>
      <c r="B4654" s="458">
        <v>4.4751883234627865E-2</v>
      </c>
      <c r="C4654" s="477">
        <v>8603468.0197170097</v>
      </c>
      <c r="D4654" s="458">
        <v>4.3163572046033272E-2</v>
      </c>
      <c r="E4654" s="477">
        <v>17668034.558634151</v>
      </c>
      <c r="F4654" s="458">
        <v>0.10484951415599886</v>
      </c>
      <c r="G4654" s="477">
        <v>83256987.018643618</v>
      </c>
      <c r="H4654" s="458">
        <v>0.27570233722211213</v>
      </c>
      <c r="I4654" s="468">
        <v>1.9709258886897585</v>
      </c>
    </row>
    <row r="4655" spans="1:9" ht="16.5" x14ac:dyDescent="0.3">
      <c r="A4655" s="477">
        <v>4138304.5776203163</v>
      </c>
      <c r="B4655" s="458">
        <v>3.3560839931816799E-2</v>
      </c>
      <c r="C4655" s="477">
        <v>4947731.5778438039</v>
      </c>
      <c r="D4655" s="458">
        <v>7.0076988692976849E-2</v>
      </c>
      <c r="E4655" s="477">
        <v>14952961.698660877</v>
      </c>
      <c r="F4655" s="458">
        <v>0.12155660108940358</v>
      </c>
      <c r="G4655" s="477">
        <v>85113256.047598749</v>
      </c>
      <c r="H4655" s="458">
        <v>0.26569806155722153</v>
      </c>
      <c r="I4655" s="468">
        <v>3.8491335704788359</v>
      </c>
    </row>
    <row r="4656" spans="1:9" ht="16.5" x14ac:dyDescent="0.3">
      <c r="A4656" s="477">
        <v>7797506.288821605</v>
      </c>
      <c r="B4656" s="458">
        <v>2.9756763351694415E-2</v>
      </c>
      <c r="C4656" s="477">
        <v>5910104.3335318733</v>
      </c>
      <c r="D4656" s="458">
        <v>6.8132809590993215E-2</v>
      </c>
      <c r="E4656" s="477">
        <v>14562206.445766907</v>
      </c>
      <c r="F4656" s="458">
        <v>0.11672066942718651</v>
      </c>
      <c r="G4656" s="477">
        <v>94084465.395152867</v>
      </c>
      <c r="H4656" s="458">
        <v>0.26164435900194349</v>
      </c>
      <c r="I4656" s="468">
        <v>9.4197253360462945</v>
      </c>
    </row>
    <row r="4657" spans="1:9" ht="16.5" x14ac:dyDescent="0.3">
      <c r="A4657" s="477">
        <v>4683155.7861460606</v>
      </c>
      <c r="B4657" s="458">
        <v>5.8425476297595758E-2</v>
      </c>
      <c r="C4657" s="477">
        <v>10427941.272364257</v>
      </c>
      <c r="D4657" s="458">
        <v>8.8159954678088459E-2</v>
      </c>
      <c r="E4657" s="477">
        <v>15905667.434869345</v>
      </c>
      <c r="F4657" s="458">
        <v>0.11017191763557266</v>
      </c>
      <c r="G4657" s="477">
        <v>81658020.101596087</v>
      </c>
      <c r="H4657" s="458">
        <v>0.29288898009024811</v>
      </c>
      <c r="I4657" s="468">
        <v>11.212152952497391</v>
      </c>
    </row>
    <row r="4658" spans="1:9" ht="16.5" x14ac:dyDescent="0.3">
      <c r="A4658" s="477">
        <v>5789941.7426622724</v>
      </c>
      <c r="B4658" s="458">
        <v>5.5099761549680659E-2</v>
      </c>
      <c r="C4658" s="477">
        <v>8180255.9010080146</v>
      </c>
      <c r="D4658" s="458">
        <v>7.6970416649783324E-2</v>
      </c>
      <c r="E4658" s="477">
        <v>19164116.609913055</v>
      </c>
      <c r="F4658" s="458">
        <v>9.8726454235065653E-2</v>
      </c>
      <c r="G4658" s="477">
        <v>96113803.999436677</v>
      </c>
      <c r="H4658" s="458">
        <v>0.27012516458974289</v>
      </c>
      <c r="I4658" s="468">
        <v>9.628476570020414</v>
      </c>
    </row>
    <row r="4659" spans="1:9" ht="16.5" x14ac:dyDescent="0.3">
      <c r="A4659" s="477">
        <v>2737814.7674994268</v>
      </c>
      <c r="B4659" s="458">
        <v>3.6054988541454946E-2</v>
      </c>
      <c r="C4659" s="477">
        <v>7537867.5877545169</v>
      </c>
      <c r="D4659" s="458">
        <v>6.981937220288037E-2</v>
      </c>
      <c r="E4659" s="477">
        <v>11025835.784329185</v>
      </c>
      <c r="F4659" s="458">
        <v>0.10928177389411808</v>
      </c>
      <c r="G4659" s="477">
        <v>91073090.024673164</v>
      </c>
      <c r="H4659" s="458">
        <v>0.27377565216793309</v>
      </c>
      <c r="I4659" s="468">
        <v>4.3438511374863618</v>
      </c>
    </row>
    <row r="4660" spans="1:9" ht="16.5" x14ac:dyDescent="0.3">
      <c r="A4660" s="477">
        <v>7806324.3553351453</v>
      </c>
      <c r="B4660" s="458">
        <v>3.2380236890273695E-2</v>
      </c>
      <c r="C4660" s="477">
        <v>11805545.025838656</v>
      </c>
      <c r="D4660" s="458">
        <v>6.4943476904760988E-2</v>
      </c>
      <c r="E4660" s="477">
        <v>18235386.453592688</v>
      </c>
      <c r="F4660" s="458">
        <v>0.12029794415722628</v>
      </c>
      <c r="G4660" s="477">
        <v>87020555.038570002</v>
      </c>
      <c r="H4660" s="458">
        <v>0.26299288301014334</v>
      </c>
      <c r="I4660" s="468">
        <v>7.7014797684672285</v>
      </c>
    </row>
    <row r="4661" spans="1:9" ht="16.5" x14ac:dyDescent="0.3">
      <c r="A4661" s="477">
        <v>5809348.2743520867</v>
      </c>
      <c r="B4661" s="458">
        <v>3.8565856505878848E-3</v>
      </c>
      <c r="C4661" s="477">
        <v>5507142.434681925</v>
      </c>
      <c r="D4661" s="458">
        <v>5.7598998445041572E-2</v>
      </c>
      <c r="E4661" s="477">
        <v>16978092.034959234</v>
      </c>
      <c r="F4661" s="458">
        <v>0.13474123583317255</v>
      </c>
      <c r="G4661" s="477">
        <v>80580666.058537021</v>
      </c>
      <c r="H4661" s="458">
        <v>0.2913752872954618</v>
      </c>
      <c r="I4661" s="468">
        <v>5.8316005496180434</v>
      </c>
    </row>
    <row r="4662" spans="1:9" ht="16.5" x14ac:dyDescent="0.3">
      <c r="A4662" s="477">
        <v>3860550.4225289607</v>
      </c>
      <c r="B4662" s="458">
        <v>1.8045222037511355E-2</v>
      </c>
      <c r="C4662" s="477">
        <v>4160809.3078950257</v>
      </c>
      <c r="D4662" s="458">
        <v>6.4028644815646185E-2</v>
      </c>
      <c r="E4662" s="477">
        <v>22716825.398288943</v>
      </c>
      <c r="F4662" s="458">
        <v>0.14986890756758875</v>
      </c>
      <c r="G4662" s="477">
        <v>96175229.427591056</v>
      </c>
      <c r="H4662" s="458">
        <v>0.26217501804337662</v>
      </c>
      <c r="I4662" s="468">
        <v>5.9282550293152756</v>
      </c>
    </row>
    <row r="4663" spans="1:9" ht="16.5" x14ac:dyDescent="0.3">
      <c r="A4663" s="477">
        <v>1179184.1058306666</v>
      </c>
      <c r="B4663" s="458">
        <v>2.6241519619255804E-2</v>
      </c>
      <c r="C4663" s="477">
        <v>5489701.1600712007</v>
      </c>
      <c r="D4663" s="458">
        <v>0.1000894704318267</v>
      </c>
      <c r="E4663" s="477">
        <v>16377741.229307169</v>
      </c>
      <c r="F4663" s="458">
        <v>0.10708302379641443</v>
      </c>
      <c r="G4663" s="477">
        <v>100633432.62665801</v>
      </c>
      <c r="H4663" s="458">
        <v>0.24892824040095296</v>
      </c>
      <c r="I4663" s="468">
        <v>4.2850161421221085</v>
      </c>
    </row>
    <row r="4664" spans="1:9" ht="16.5" x14ac:dyDescent="0.3">
      <c r="A4664" s="477">
        <v>2268024.0320372102</v>
      </c>
      <c r="B4664" s="458">
        <v>3.161086417066894E-2</v>
      </c>
      <c r="C4664" s="477">
        <v>9605902.7453492638</v>
      </c>
      <c r="D4664" s="458">
        <v>8.2371054622328188E-2</v>
      </c>
      <c r="E4664" s="477">
        <v>16163987.861993978</v>
      </c>
      <c r="F4664" s="458">
        <v>0.12204523904394549</v>
      </c>
      <c r="G4664" s="477">
        <v>72558626.472410873</v>
      </c>
      <c r="H4664" s="458">
        <v>0.30004949197629971</v>
      </c>
      <c r="I4664" s="468">
        <v>5.3060778740769425</v>
      </c>
    </row>
    <row r="4665" spans="1:9" ht="16.5" x14ac:dyDescent="0.3">
      <c r="A4665" s="477">
        <v>1790058.6386153942</v>
      </c>
      <c r="B4665" s="458">
        <v>4.6335885939833288E-2</v>
      </c>
      <c r="C4665" s="477">
        <v>12389575.158540308</v>
      </c>
      <c r="D4665" s="458">
        <v>4.0288961612743979E-2</v>
      </c>
      <c r="E4665" s="477">
        <v>18673957.457263384</v>
      </c>
      <c r="F4665" s="458">
        <v>0.13693954493058835</v>
      </c>
      <c r="G4665" s="477">
        <v>86641756.817109048</v>
      </c>
      <c r="H4665" s="458">
        <v>0.28604089988454384</v>
      </c>
      <c r="I4665" s="468">
        <v>13.668198160605638</v>
      </c>
    </row>
    <row r="4666" spans="1:9" ht="16.5" x14ac:dyDescent="0.3">
      <c r="A4666" s="477">
        <v>3395973.5457563051</v>
      </c>
      <c r="B4666" s="458">
        <v>3.0682315992124565E-2</v>
      </c>
      <c r="C4666" s="477">
        <v>10706910.384669689</v>
      </c>
      <c r="D4666" s="458">
        <v>5.8608067553619581E-2</v>
      </c>
      <c r="E4666" s="477">
        <v>15524535.853496274</v>
      </c>
      <c r="F4666" s="458">
        <v>0.11863646799083782</v>
      </c>
      <c r="G4666" s="477">
        <v>94978961.674612075</v>
      </c>
      <c r="H4666" s="458">
        <v>0.27186889131426106</v>
      </c>
      <c r="I4666" s="468">
        <v>5.1732826814537898</v>
      </c>
    </row>
    <row r="4667" spans="1:9" ht="16.5" x14ac:dyDescent="0.3">
      <c r="A4667" s="477">
        <v>6495938.8240526523</v>
      </c>
      <c r="B4667" s="458">
        <v>7.0749710107418817E-2</v>
      </c>
      <c r="C4667" s="477">
        <v>17692311.890235335</v>
      </c>
      <c r="D4667" s="458">
        <v>7.2946124114601885E-2</v>
      </c>
      <c r="E4667" s="477">
        <v>16674551.102612915</v>
      </c>
      <c r="F4667" s="458">
        <v>9.3694997228279897E-2</v>
      </c>
      <c r="G4667" s="477">
        <v>88635869.475722536</v>
      </c>
      <c r="H4667" s="458">
        <v>0.25813475763718996</v>
      </c>
      <c r="I4667" s="468">
        <v>6.1277631930399838</v>
      </c>
    </row>
    <row r="4668" spans="1:9" ht="16.5" x14ac:dyDescent="0.3">
      <c r="A4668" s="477">
        <v>4416762.0728217755</v>
      </c>
      <c r="B4668" s="458">
        <v>5.278692180996214E-2</v>
      </c>
      <c r="C4668" s="477">
        <v>4769094.5187856238</v>
      </c>
      <c r="D4668" s="458">
        <v>6.6855991724088959E-2</v>
      </c>
      <c r="E4668" s="477">
        <v>13643253.669457372</v>
      </c>
      <c r="F4668" s="458">
        <v>9.5387487521354508E-2</v>
      </c>
      <c r="G4668" s="477">
        <v>83122851.750061527</v>
      </c>
      <c r="H4668" s="458">
        <v>0.27112816732154887</v>
      </c>
      <c r="I4668" s="468">
        <v>14.284292134182895</v>
      </c>
    </row>
    <row r="4669" spans="1:9" ht="16.5" x14ac:dyDescent="0.3">
      <c r="A4669" s="477">
        <v>4001936.1564288847</v>
      </c>
      <c r="B4669" s="458">
        <v>2.4339044900864693E-2</v>
      </c>
      <c r="C4669" s="477">
        <v>-1007768.1457672608</v>
      </c>
      <c r="D4669" s="458">
        <v>6.7860556462697286E-2</v>
      </c>
      <c r="E4669" s="477">
        <v>23642994.277097143</v>
      </c>
      <c r="F4669" s="458">
        <v>0.1044581125031212</v>
      </c>
      <c r="G4669" s="477">
        <v>97894387.482288599</v>
      </c>
      <c r="H4669" s="458">
        <v>0.26207150179399141</v>
      </c>
      <c r="I4669" s="468">
        <v>10.201756400100873</v>
      </c>
    </row>
    <row r="4670" spans="1:9" ht="16.5" x14ac:dyDescent="0.3">
      <c r="A4670" s="477">
        <v>14969.604026782483</v>
      </c>
      <c r="B4670" s="458">
        <v>4.4497325402387489E-2</v>
      </c>
      <c r="C4670" s="477">
        <v>7895795.6515015112</v>
      </c>
      <c r="D4670" s="458">
        <v>6.1125490192376786E-2</v>
      </c>
      <c r="E4670" s="477">
        <v>10311332.70891894</v>
      </c>
      <c r="F4670" s="458">
        <v>0.10293136815735915</v>
      </c>
      <c r="G4670" s="477">
        <v>91710333.5430886</v>
      </c>
      <c r="H4670" s="458">
        <v>0.27539695103940298</v>
      </c>
      <c r="I4670" s="468">
        <v>3.6720811790114354</v>
      </c>
    </row>
    <row r="4671" spans="1:9" ht="16.5" x14ac:dyDescent="0.3">
      <c r="A4671" s="477">
        <v>10943032.366955953</v>
      </c>
      <c r="B4671" s="458">
        <v>5.4177430688070682E-2</v>
      </c>
      <c r="C4671" s="477">
        <v>9238731.2135288399</v>
      </c>
      <c r="D4671" s="458">
        <v>5.5148985103417703E-2</v>
      </c>
      <c r="E4671" s="477">
        <v>18081042.657824468</v>
      </c>
      <c r="F4671" s="458">
        <v>0.12696883361921096</v>
      </c>
      <c r="G4671" s="477">
        <v>76275139.769460782</v>
      </c>
      <c r="H4671" s="458">
        <v>0.27143273874549423</v>
      </c>
      <c r="I4671" s="468">
        <v>12.305648871579997</v>
      </c>
    </row>
    <row r="4672" spans="1:9" ht="16.5" x14ac:dyDescent="0.3">
      <c r="A4672" s="477">
        <v>6156882.9760619905</v>
      </c>
      <c r="B4672" s="458">
        <v>6.2271643502141538E-2</v>
      </c>
      <c r="C4672" s="477">
        <v>9633718.2620777879</v>
      </c>
      <c r="D4672" s="458">
        <v>8.9537410322521271E-2</v>
      </c>
      <c r="E4672" s="477">
        <v>15648170.462582583</v>
      </c>
      <c r="F4672" s="458">
        <v>8.9918955452945148E-2</v>
      </c>
      <c r="G4672" s="477">
        <v>95081109.612516776</v>
      </c>
      <c r="H4672" s="458">
        <v>0.2608971438751273</v>
      </c>
      <c r="I4672" s="468">
        <v>13.853078052113391</v>
      </c>
    </row>
    <row r="4673" spans="1:9" ht="16.5" x14ac:dyDescent="0.3">
      <c r="A4673" s="477">
        <v>3142654.9234144571</v>
      </c>
      <c r="B4673" s="458">
        <v>3.907468191448582E-2</v>
      </c>
      <c r="C4673" s="477">
        <v>11829439.282255504</v>
      </c>
      <c r="D4673" s="458">
        <v>6.2931649229864384E-2</v>
      </c>
      <c r="E4673" s="477">
        <v>20585109.045794271</v>
      </c>
      <c r="F4673" s="458">
        <v>0.12439575159841398</v>
      </c>
      <c r="G4673" s="477">
        <v>83111611.553975344</v>
      </c>
      <c r="H4673" s="458">
        <v>0.27438403186863969</v>
      </c>
      <c r="I4673" s="468">
        <v>8.7291541644503319</v>
      </c>
    </row>
    <row r="4674" spans="1:9" ht="16.5" x14ac:dyDescent="0.3">
      <c r="A4674" s="477">
        <v>2783613.0593636492</v>
      </c>
      <c r="B4674" s="458">
        <v>6.4398716651209442E-2</v>
      </c>
      <c r="C4674" s="477">
        <v>9854226.0402300563</v>
      </c>
      <c r="D4674" s="458">
        <v>4.5709750083140266E-2</v>
      </c>
      <c r="E4674" s="477">
        <v>15179272.243130324</v>
      </c>
      <c r="F4674" s="458">
        <v>0.12427748288481433</v>
      </c>
      <c r="G4674" s="477">
        <v>88883803.831634998</v>
      </c>
      <c r="H4674" s="458">
        <v>0.26161025531113702</v>
      </c>
      <c r="I4674" s="468">
        <v>10.015383541500171</v>
      </c>
    </row>
    <row r="4675" spans="1:9" ht="16.5" x14ac:dyDescent="0.3">
      <c r="A4675" s="477">
        <v>2764816.3637546147</v>
      </c>
      <c r="B4675" s="458">
        <v>4.3992263888555705E-2</v>
      </c>
      <c r="C4675" s="477">
        <v>11925882.24261117</v>
      </c>
      <c r="D4675" s="458">
        <v>6.9624283743999538E-2</v>
      </c>
      <c r="E4675" s="477">
        <v>18192403.846236933</v>
      </c>
      <c r="F4675" s="458">
        <v>0.11313299127764243</v>
      </c>
      <c r="G4675" s="477">
        <v>87555787.172441363</v>
      </c>
      <c r="H4675" s="458">
        <v>0.28251446465863328</v>
      </c>
      <c r="I4675" s="468">
        <v>14.031201924799396</v>
      </c>
    </row>
    <row r="4676" spans="1:9" ht="16.5" x14ac:dyDescent="0.3">
      <c r="A4676" s="477">
        <v>6242994.0507987831</v>
      </c>
      <c r="B4676" s="458">
        <v>3.4916478410567553E-2</v>
      </c>
      <c r="C4676" s="477">
        <v>11012742.029104874</v>
      </c>
      <c r="D4676" s="458">
        <v>6.4515918041827325E-2</v>
      </c>
      <c r="E4676" s="477">
        <v>10992559.363904275</v>
      </c>
      <c r="F4676" s="458">
        <v>9.1729513662507367E-2</v>
      </c>
      <c r="G4676" s="477">
        <v>74309100.413436025</v>
      </c>
      <c r="H4676" s="458">
        <v>0.26065667685215366</v>
      </c>
      <c r="I4676" s="468">
        <v>4.019204180605767</v>
      </c>
    </row>
    <row r="4677" spans="1:9" ht="16.5" x14ac:dyDescent="0.3">
      <c r="A4677" s="477">
        <v>385994.84348243754</v>
      </c>
      <c r="B4677" s="458">
        <v>6.5544106972659666E-2</v>
      </c>
      <c r="C4677" s="477">
        <v>8471748.641238777</v>
      </c>
      <c r="D4677" s="458">
        <v>4.6271720188703735E-2</v>
      </c>
      <c r="E4677" s="477">
        <v>20700874.022621833</v>
      </c>
      <c r="F4677" s="458">
        <v>0.11124239988123463</v>
      </c>
      <c r="G4677" s="477">
        <v>100298780.97511283</v>
      </c>
      <c r="H4677" s="458">
        <v>0.25619633963281307</v>
      </c>
      <c r="I4677" s="468">
        <v>7.1597739282091615</v>
      </c>
    </row>
    <row r="4678" spans="1:9" ht="16.5" x14ac:dyDescent="0.3">
      <c r="A4678" s="477">
        <v>4235700.9786224933</v>
      </c>
      <c r="B4678" s="458">
        <v>3.6233193632153382E-2</v>
      </c>
      <c r="C4678" s="477">
        <v>6482879.5222956613</v>
      </c>
      <c r="D4678" s="458">
        <v>7.1356092391640535E-2</v>
      </c>
      <c r="E4678" s="477">
        <v>13204977.789172349</v>
      </c>
      <c r="F4678" s="458">
        <v>0.10205148267223296</v>
      </c>
      <c r="G4678" s="477">
        <v>88359898.540457964</v>
      </c>
      <c r="H4678" s="458">
        <v>0.24912236486403816</v>
      </c>
      <c r="I4678" s="468">
        <v>4.7851124498541919</v>
      </c>
    </row>
    <row r="4679" spans="1:9" ht="16.5" x14ac:dyDescent="0.3">
      <c r="A4679" s="477">
        <v>2800090.8774161837</v>
      </c>
      <c r="B4679" s="458">
        <v>3.6121719318962464E-2</v>
      </c>
      <c r="C4679" s="477">
        <v>7873227.7439023266</v>
      </c>
      <c r="D4679" s="458">
        <v>8.4332830310259288E-2</v>
      </c>
      <c r="E4679" s="477">
        <v>17713768.157379609</v>
      </c>
      <c r="F4679" s="458">
        <v>0.12015742772512494</v>
      </c>
      <c r="G4679" s="477">
        <v>96053117.910826415</v>
      </c>
      <c r="H4679" s="458">
        <v>0.27031860007567499</v>
      </c>
      <c r="I4679" s="468">
        <v>3.840496822500266</v>
      </c>
    </row>
    <row r="4680" spans="1:9" ht="16.5" x14ac:dyDescent="0.3">
      <c r="A4680" s="477">
        <v>7509207.813322234</v>
      </c>
      <c r="B4680" s="458">
        <v>4.250614665815533E-2</v>
      </c>
      <c r="C4680" s="477">
        <v>8247224.7228619149</v>
      </c>
      <c r="D4680" s="458">
        <v>5.93795953250984E-2</v>
      </c>
      <c r="E4680" s="477">
        <v>10383998.455767291</v>
      </c>
      <c r="F4680" s="458">
        <v>0.10751677170648999</v>
      </c>
      <c r="G4680" s="477">
        <v>90367559.47709243</v>
      </c>
      <c r="H4680" s="458">
        <v>0.2537267420263758</v>
      </c>
      <c r="I4680" s="468">
        <v>10.044421720282987</v>
      </c>
    </row>
    <row r="4681" spans="1:9" ht="16.5" x14ac:dyDescent="0.3">
      <c r="A4681" s="477">
        <v>5348684.7313878266</v>
      </c>
      <c r="B4681" s="458">
        <v>4.6944179273992415E-2</v>
      </c>
      <c r="C4681" s="477">
        <v>7350205.2869921317</v>
      </c>
      <c r="D4681" s="458">
        <v>5.8101573991965694E-2</v>
      </c>
      <c r="E4681" s="477">
        <v>15907570.017689044</v>
      </c>
      <c r="F4681" s="458">
        <v>0.10572078432956089</v>
      </c>
      <c r="G4681" s="477">
        <v>105661846.82782111</v>
      </c>
      <c r="H4681" s="458">
        <v>0.28811280415365803</v>
      </c>
      <c r="I4681" s="468">
        <v>4.276640067699506</v>
      </c>
    </row>
    <row r="4682" spans="1:9" ht="16.5" x14ac:dyDescent="0.3">
      <c r="A4682" s="477">
        <v>4569164.9749947917</v>
      </c>
      <c r="B4682" s="458">
        <v>3.6313715317318973E-2</v>
      </c>
      <c r="C4682" s="477">
        <v>15622511.648288518</v>
      </c>
      <c r="D4682" s="458">
        <v>6.2088834682129335E-2</v>
      </c>
      <c r="E4682" s="477">
        <v>9873881.8320168518</v>
      </c>
      <c r="F4682" s="458">
        <v>0.12405167794877747</v>
      </c>
      <c r="G4682" s="477">
        <v>92187004.098012805</v>
      </c>
      <c r="H4682" s="458">
        <v>0.25545716689779385</v>
      </c>
      <c r="I4682" s="468">
        <v>12.047589708129497</v>
      </c>
    </row>
    <row r="4683" spans="1:9" ht="16.5" x14ac:dyDescent="0.3">
      <c r="A4683" s="477">
        <v>9206726.3416063283</v>
      </c>
      <c r="B4683" s="458">
        <v>5.3249381388109196E-2</v>
      </c>
      <c r="C4683" s="477">
        <v>638353.57599569391</v>
      </c>
      <c r="D4683" s="458">
        <v>5.6599120849553319E-2</v>
      </c>
      <c r="E4683" s="477">
        <v>15011276.73625564</v>
      </c>
      <c r="F4683" s="458">
        <v>6.4612070192019422E-2</v>
      </c>
      <c r="G4683" s="477">
        <v>86256202.196777314</v>
      </c>
      <c r="H4683" s="458">
        <v>0.27858646179549384</v>
      </c>
      <c r="I4683" s="468">
        <v>7.2977133762812265</v>
      </c>
    </row>
    <row r="4684" spans="1:9" ht="16.5" x14ac:dyDescent="0.3">
      <c r="A4684" s="477">
        <v>4447586.7113734046</v>
      </c>
      <c r="B4684" s="458">
        <v>3.2028037434045142E-2</v>
      </c>
      <c r="C4684" s="477">
        <v>15291735.975526245</v>
      </c>
      <c r="D4684" s="458">
        <v>7.0818789306175578E-2</v>
      </c>
      <c r="E4684" s="477">
        <v>8721993.8034299184</v>
      </c>
      <c r="F4684" s="458">
        <v>0.10622475041019053</v>
      </c>
      <c r="G4684" s="477">
        <v>82113858.507645473</v>
      </c>
      <c r="H4684" s="458">
        <v>0.27255450325701958</v>
      </c>
      <c r="I4684" s="468">
        <v>11.201220647417786</v>
      </c>
    </row>
    <row r="4685" spans="1:9" ht="16.5" x14ac:dyDescent="0.3">
      <c r="A4685" s="477">
        <v>8302043.9727439461</v>
      </c>
      <c r="B4685" s="458">
        <v>1.5044203571439985E-2</v>
      </c>
      <c r="C4685" s="477">
        <v>11512543.19984189</v>
      </c>
      <c r="D4685" s="458">
        <v>8.1719159282421128E-2</v>
      </c>
      <c r="E4685" s="477">
        <v>14723213.97621855</v>
      </c>
      <c r="F4685" s="458">
        <v>0.10482726578014945</v>
      </c>
      <c r="G4685" s="477">
        <v>100595205.25868857</v>
      </c>
      <c r="H4685" s="458">
        <v>0.28443656908763049</v>
      </c>
      <c r="I4685" s="468">
        <v>7.6593176081441028</v>
      </c>
    </row>
    <row r="4686" spans="1:9" ht="16.5" x14ac:dyDescent="0.3">
      <c r="A4686" s="477">
        <v>8576493.3529531714</v>
      </c>
      <c r="B4686" s="458">
        <v>3.6443696571509365E-2</v>
      </c>
      <c r="C4686" s="477">
        <v>5420531.2070905287</v>
      </c>
      <c r="D4686" s="458">
        <v>6.5496097834032652E-2</v>
      </c>
      <c r="E4686" s="477">
        <v>18065461.194033347</v>
      </c>
      <c r="F4686" s="458">
        <v>9.2181412889673853E-2</v>
      </c>
      <c r="G4686" s="477">
        <v>96600729.150299311</v>
      </c>
      <c r="H4686" s="458">
        <v>0.26772079368715218</v>
      </c>
      <c r="I4686" s="468">
        <v>9.4215028586219418</v>
      </c>
    </row>
    <row r="4687" spans="1:9" ht="16.5" x14ac:dyDescent="0.3">
      <c r="A4687" s="477">
        <v>5790642.7891086545</v>
      </c>
      <c r="B4687" s="458">
        <v>6.1035177922261319E-2</v>
      </c>
      <c r="C4687" s="477">
        <v>9068452.2122660298</v>
      </c>
      <c r="D4687" s="458">
        <v>7.2938533721985888E-2</v>
      </c>
      <c r="E4687" s="477">
        <v>20408044.860275127</v>
      </c>
      <c r="F4687" s="458">
        <v>0.11509206194959432</v>
      </c>
      <c r="G4687" s="477">
        <v>82199812.956818923</v>
      </c>
      <c r="H4687" s="458">
        <v>0.28645054140474602</v>
      </c>
      <c r="I4687" s="468">
        <v>-0.2978542225846077</v>
      </c>
    </row>
    <row r="4688" spans="1:9" ht="16.5" x14ac:dyDescent="0.3">
      <c r="A4688" s="477">
        <v>9417205.5940980855</v>
      </c>
      <c r="B4688" s="458">
        <v>5.5452520172620812E-2</v>
      </c>
      <c r="C4688" s="477">
        <v>7965033.7395491246</v>
      </c>
      <c r="D4688" s="458">
        <v>6.2611296423246809E-2</v>
      </c>
      <c r="E4688" s="477">
        <v>17522429.977953598</v>
      </c>
      <c r="F4688" s="458">
        <v>0.10067354296702358</v>
      </c>
      <c r="G4688" s="477">
        <v>83419225.61135684</v>
      </c>
      <c r="H4688" s="458">
        <v>0.26954066484506556</v>
      </c>
      <c r="I4688" s="468">
        <v>5.7708878531493486</v>
      </c>
    </row>
    <row r="4689" spans="1:9" ht="16.5" x14ac:dyDescent="0.3">
      <c r="A4689" s="477">
        <v>8444194.6947203465</v>
      </c>
      <c r="B4689" s="458">
        <v>2.6932704927950857E-2</v>
      </c>
      <c r="C4689" s="477">
        <v>11369006.331619665</v>
      </c>
      <c r="D4689" s="458">
        <v>2.1908949404800149E-2</v>
      </c>
      <c r="E4689" s="477">
        <v>21762584.472895138</v>
      </c>
      <c r="F4689" s="458">
        <v>0.1214945228912605</v>
      </c>
      <c r="G4689" s="477">
        <v>90891164.010146871</v>
      </c>
      <c r="H4689" s="458">
        <v>0.28440295988933184</v>
      </c>
      <c r="I4689" s="468">
        <v>5.6915575044137858</v>
      </c>
    </row>
    <row r="4690" spans="1:9" ht="16.5" x14ac:dyDescent="0.3">
      <c r="A4690" s="477">
        <v>8217495.13111265</v>
      </c>
      <c r="B4690" s="458">
        <v>2.0996738802788739E-2</v>
      </c>
      <c r="C4690" s="477">
        <v>7501601.9657971235</v>
      </c>
      <c r="D4690" s="458">
        <v>7.540412852369216E-2</v>
      </c>
      <c r="E4690" s="477">
        <v>5793156.5487420382</v>
      </c>
      <c r="F4690" s="458">
        <v>9.9988467915252954E-2</v>
      </c>
      <c r="G4690" s="477">
        <v>87345480.033135936</v>
      </c>
      <c r="H4690" s="458">
        <v>0.27199511717293579</v>
      </c>
      <c r="I4690" s="468">
        <v>7.3877641640449321</v>
      </c>
    </row>
    <row r="4691" spans="1:9" ht="16.5" x14ac:dyDescent="0.3">
      <c r="A4691" s="477">
        <v>4498194.422354958</v>
      </c>
      <c r="B4691" s="458">
        <v>5.3991168474208262E-2</v>
      </c>
      <c r="C4691" s="477">
        <v>6368037.9994636457</v>
      </c>
      <c r="D4691" s="458">
        <v>7.7649139521798638E-2</v>
      </c>
      <c r="E4691" s="477">
        <v>13649029.107454546</v>
      </c>
      <c r="F4691" s="458">
        <v>9.5733590660371348E-2</v>
      </c>
      <c r="G4691" s="477">
        <v>85013511.367359072</v>
      </c>
      <c r="H4691" s="458">
        <v>0.26226892143460478</v>
      </c>
      <c r="I4691" s="468">
        <v>7.205363614393403</v>
      </c>
    </row>
    <row r="4692" spans="1:9" ht="16.5" x14ac:dyDescent="0.3">
      <c r="A4692" s="477">
        <v>6316825.2916826336</v>
      </c>
      <c r="B4692" s="458">
        <v>3.7473996712054536E-2</v>
      </c>
      <c r="C4692" s="477">
        <v>11062668.863820663</v>
      </c>
      <c r="D4692" s="458">
        <v>8.1498854231480511E-2</v>
      </c>
      <c r="E4692" s="477">
        <v>25056727.706169493</v>
      </c>
      <c r="F4692" s="458">
        <v>7.4954421886031408E-2</v>
      </c>
      <c r="G4692" s="477">
        <v>85576711.978779376</v>
      </c>
      <c r="H4692" s="458">
        <v>0.28302320871350917</v>
      </c>
      <c r="I4692" s="468">
        <v>8.0160438569793033</v>
      </c>
    </row>
    <row r="4693" spans="1:9" ht="16.5" x14ac:dyDescent="0.3">
      <c r="A4693" s="477">
        <v>5998208.617722678</v>
      </c>
      <c r="B4693" s="458">
        <v>2.8632577357152078E-2</v>
      </c>
      <c r="C4693" s="477">
        <v>6560502.2943136645</v>
      </c>
      <c r="D4693" s="458">
        <v>8.1189051705703896E-2</v>
      </c>
      <c r="E4693" s="477">
        <v>11506060.406139163</v>
      </c>
      <c r="F4693" s="458">
        <v>0.10892107485672553</v>
      </c>
      <c r="G4693" s="477">
        <v>94531183.563020691</v>
      </c>
      <c r="H4693" s="458">
        <v>0.29255879486398007</v>
      </c>
      <c r="I4693" s="468">
        <v>8.9042075530200453</v>
      </c>
    </row>
    <row r="4694" spans="1:9" ht="16.5" x14ac:dyDescent="0.3">
      <c r="A4694" s="477">
        <v>4492863.6385972956</v>
      </c>
      <c r="B4694" s="458">
        <v>4.2157760331314353E-2</v>
      </c>
      <c r="C4694" s="477">
        <v>4254084.2445199722</v>
      </c>
      <c r="D4694" s="458">
        <v>3.1165604345638087E-2</v>
      </c>
      <c r="E4694" s="477">
        <v>16998769.394389469</v>
      </c>
      <c r="F4694" s="458">
        <v>9.9872203750326349E-2</v>
      </c>
      <c r="G4694" s="477">
        <v>97284186.778843135</v>
      </c>
      <c r="H4694" s="458">
        <v>0.25843999537084383</v>
      </c>
      <c r="I4694" s="468">
        <v>6.4782815111937309</v>
      </c>
    </row>
    <row r="4695" spans="1:9" ht="16.5" x14ac:dyDescent="0.3">
      <c r="A4695" s="477">
        <v>6166016.4561214484</v>
      </c>
      <c r="B4695" s="458">
        <v>3.6380454114420147E-2</v>
      </c>
      <c r="C4695" s="477">
        <v>5229486.4834479671</v>
      </c>
      <c r="D4695" s="458">
        <v>6.7121170924573148E-2</v>
      </c>
      <c r="E4695" s="477">
        <v>17279630.615179323</v>
      </c>
      <c r="F4695" s="458">
        <v>0.11472912746926101</v>
      </c>
      <c r="G4695" s="477">
        <v>95008004.908315852</v>
      </c>
      <c r="H4695" s="458">
        <v>0.28189622569811812</v>
      </c>
      <c r="I4695" s="468">
        <v>11.663375669789744</v>
      </c>
    </row>
    <row r="4696" spans="1:9" ht="16.5" x14ac:dyDescent="0.3">
      <c r="A4696" s="477">
        <v>5281520.7952799248</v>
      </c>
      <c r="B4696" s="458">
        <v>4.3019836972189696E-2</v>
      </c>
      <c r="C4696" s="477">
        <v>9615411.9784964081</v>
      </c>
      <c r="D4696" s="458">
        <v>8.8592280930914757E-2</v>
      </c>
      <c r="E4696" s="477">
        <v>21637527.206244614</v>
      </c>
      <c r="F4696" s="458">
        <v>0.12444948473130535</v>
      </c>
      <c r="G4696" s="477">
        <v>87021031.063324854</v>
      </c>
      <c r="H4696" s="458">
        <v>0.24998138610433984</v>
      </c>
      <c r="I4696" s="468">
        <v>11.846039274663465</v>
      </c>
    </row>
    <row r="4697" spans="1:9" ht="16.5" x14ac:dyDescent="0.3">
      <c r="A4697" s="477">
        <v>6779857.0914378511</v>
      </c>
      <c r="B4697" s="458">
        <v>4.1965633860542306E-2</v>
      </c>
      <c r="C4697" s="477">
        <v>7518835.5023644613</v>
      </c>
      <c r="D4697" s="458">
        <v>7.2960827385281979E-2</v>
      </c>
      <c r="E4697" s="477">
        <v>19496928.353222579</v>
      </c>
      <c r="F4697" s="458">
        <v>0.10664684987171857</v>
      </c>
      <c r="G4697" s="477">
        <v>91242696.434630424</v>
      </c>
      <c r="H4697" s="458">
        <v>0.27187886022749264</v>
      </c>
      <c r="I4697" s="468">
        <v>12.247579538548498</v>
      </c>
    </row>
    <row r="4698" spans="1:9" ht="16.5" x14ac:dyDescent="0.3">
      <c r="A4698" s="477">
        <v>4350782.6903321017</v>
      </c>
      <c r="B4698" s="458">
        <v>3.9036278653940659E-2</v>
      </c>
      <c r="C4698" s="477">
        <v>7555368.8156474158</v>
      </c>
      <c r="D4698" s="458">
        <v>3.2363305814584464E-2</v>
      </c>
      <c r="E4698" s="477">
        <v>5755937.9911361821</v>
      </c>
      <c r="F4698" s="458">
        <v>0.12897808308306669</v>
      </c>
      <c r="G4698" s="477">
        <v>76605748.396205723</v>
      </c>
      <c r="H4698" s="458">
        <v>0.28426116847251492</v>
      </c>
      <c r="I4698" s="468">
        <v>8.5038820373671573</v>
      </c>
    </row>
    <row r="4699" spans="1:9" ht="16.5" x14ac:dyDescent="0.3">
      <c r="A4699" s="477">
        <v>4202945.2045106255</v>
      </c>
      <c r="B4699" s="458">
        <v>2.1603289361959543E-2</v>
      </c>
      <c r="C4699" s="477">
        <v>7500357.3689277628</v>
      </c>
      <c r="D4699" s="458">
        <v>0.10074336227287195</v>
      </c>
      <c r="E4699" s="477">
        <v>16936978.309582897</v>
      </c>
      <c r="F4699" s="458">
        <v>0.10459531246981246</v>
      </c>
      <c r="G4699" s="477">
        <v>79791252.3069859</v>
      </c>
      <c r="H4699" s="458">
        <v>0.25202749520192835</v>
      </c>
      <c r="I4699" s="468">
        <v>9.3432114561691115</v>
      </c>
    </row>
    <row r="4700" spans="1:9" ht="16.5" x14ac:dyDescent="0.3">
      <c r="A4700" s="477">
        <v>3296192.8590185889</v>
      </c>
      <c r="B4700" s="458">
        <v>4.5824567527882332E-2</v>
      </c>
      <c r="C4700" s="477">
        <v>6634791.8941867631</v>
      </c>
      <c r="D4700" s="458">
        <v>5.8081702262621437E-2</v>
      </c>
      <c r="E4700" s="477">
        <v>19861523.420537196</v>
      </c>
      <c r="F4700" s="458">
        <v>0.1231807594172234</v>
      </c>
      <c r="G4700" s="477">
        <v>101289760.37165537</v>
      </c>
      <c r="H4700" s="458">
        <v>0.27124220077476124</v>
      </c>
      <c r="I4700" s="468">
        <v>11.220149147522598</v>
      </c>
    </row>
    <row r="4701" spans="1:9" ht="16.5" x14ac:dyDescent="0.3">
      <c r="A4701" s="477">
        <v>3326663.6117736911</v>
      </c>
      <c r="B4701" s="458">
        <v>2.6086308320920626E-2</v>
      </c>
      <c r="C4701" s="477">
        <v>4711124.7442294657</v>
      </c>
      <c r="D4701" s="458">
        <v>0.11900786453624446</v>
      </c>
      <c r="E4701" s="477">
        <v>21326907.192859028</v>
      </c>
      <c r="F4701" s="458">
        <v>0.12310977026295911</v>
      </c>
      <c r="G4701" s="477">
        <v>88528218.860362828</v>
      </c>
      <c r="H4701" s="458">
        <v>0.25644450102168515</v>
      </c>
      <c r="I4701" s="468">
        <v>2.554681056283707</v>
      </c>
    </row>
    <row r="4702" spans="1:9" ht="16.5" x14ac:dyDescent="0.3">
      <c r="A4702" s="477">
        <v>4994547.2867353475</v>
      </c>
      <c r="B4702" s="458">
        <v>2.8564225788539233E-2</v>
      </c>
      <c r="C4702" s="477">
        <v>6703476.6676186631</v>
      </c>
      <c r="D4702" s="458">
        <v>6.6106618672231221E-2</v>
      </c>
      <c r="E4702" s="477">
        <v>12371490.89416329</v>
      </c>
      <c r="F4702" s="458">
        <v>0.10280884145375602</v>
      </c>
      <c r="G4702" s="477">
        <v>92334404.696271122</v>
      </c>
      <c r="H4702" s="458">
        <v>0.27683939978605432</v>
      </c>
      <c r="I4702" s="468">
        <v>7.6360786615182183</v>
      </c>
    </row>
    <row r="4703" spans="1:9" ht="16.5" x14ac:dyDescent="0.3">
      <c r="A4703" s="477">
        <v>2226688.6812580051</v>
      </c>
      <c r="B4703" s="458">
        <v>4.5298287236086532E-2</v>
      </c>
      <c r="C4703" s="477">
        <v>7112860.2898049569</v>
      </c>
      <c r="D4703" s="458">
        <v>7.5086181457025614E-2</v>
      </c>
      <c r="E4703" s="477">
        <v>11107833.9545958</v>
      </c>
      <c r="F4703" s="458">
        <v>9.9021040039205088E-2</v>
      </c>
      <c r="G4703" s="477">
        <v>82678394.153033748</v>
      </c>
      <c r="H4703" s="458">
        <v>0.25328077573177743</v>
      </c>
      <c r="I4703" s="468">
        <v>4.1671005458054982</v>
      </c>
    </row>
    <row r="4704" spans="1:9" ht="16.5" x14ac:dyDescent="0.3">
      <c r="A4704" s="477">
        <v>6449858.6575154075</v>
      </c>
      <c r="B4704" s="458">
        <v>4.9249618563026454E-2</v>
      </c>
      <c r="C4704" s="477">
        <v>2313901.164886822</v>
      </c>
      <c r="D4704" s="458">
        <v>5.0591386097946778E-2</v>
      </c>
      <c r="E4704" s="477">
        <v>7433912.0841904199</v>
      </c>
      <c r="F4704" s="458">
        <v>9.8850945333676776E-2</v>
      </c>
      <c r="G4704" s="477">
        <v>93540441.629081964</v>
      </c>
      <c r="H4704" s="458">
        <v>0.26111495414410069</v>
      </c>
      <c r="I4704" s="468">
        <v>12.930044213904443</v>
      </c>
    </row>
    <row r="4705" spans="1:9" ht="16.5" x14ac:dyDescent="0.3">
      <c r="A4705" s="477">
        <v>8735575.3753172345</v>
      </c>
      <c r="B4705" s="458">
        <v>7.3982620977601776E-2</v>
      </c>
      <c r="C4705" s="477">
        <v>9368305.5717315581</v>
      </c>
      <c r="D4705" s="458">
        <v>5.1425052102299862E-2</v>
      </c>
      <c r="E4705" s="477">
        <v>13023343.178421939</v>
      </c>
      <c r="F4705" s="458">
        <v>0.12508371289759679</v>
      </c>
      <c r="G4705" s="477">
        <v>111976379.28146139</v>
      </c>
      <c r="H4705" s="458">
        <v>0.2741253580734786</v>
      </c>
      <c r="I4705" s="468">
        <v>12.899326985392371</v>
      </c>
    </row>
    <row r="4706" spans="1:9" ht="16.5" x14ac:dyDescent="0.3">
      <c r="A4706" s="477">
        <v>9297020.4365582336</v>
      </c>
      <c r="B4706" s="458">
        <v>2.1918762084117471E-2</v>
      </c>
      <c r="C4706" s="477">
        <v>14437661.196435131</v>
      </c>
      <c r="D4706" s="458">
        <v>7.1549210862968726E-2</v>
      </c>
      <c r="E4706" s="477">
        <v>15193560.242352679</v>
      </c>
      <c r="F4706" s="458">
        <v>9.6946188774993836E-2</v>
      </c>
      <c r="G4706" s="477">
        <v>102202953.83425707</v>
      </c>
      <c r="H4706" s="458">
        <v>0.2761070301427091</v>
      </c>
      <c r="I4706" s="468">
        <v>10.033178320881785</v>
      </c>
    </row>
    <row r="4707" spans="1:9" ht="16.5" x14ac:dyDescent="0.3">
      <c r="A4707" s="477">
        <v>3981808.7309902636</v>
      </c>
      <c r="B4707" s="458">
        <v>3.6045937791524985E-2</v>
      </c>
      <c r="C4707" s="477">
        <v>3889134.1839179802</v>
      </c>
      <c r="D4707" s="458">
        <v>3.4995000249219643E-2</v>
      </c>
      <c r="E4707" s="477">
        <v>5842209.5272858106</v>
      </c>
      <c r="F4707" s="458">
        <v>0.1094933638570379</v>
      </c>
      <c r="G4707" s="477">
        <v>113094569.08995675</v>
      </c>
      <c r="H4707" s="458">
        <v>0.27735771554562327</v>
      </c>
      <c r="I4707" s="468">
        <v>9.0830918597887713</v>
      </c>
    </row>
    <row r="4708" spans="1:9" ht="16.5" x14ac:dyDescent="0.3">
      <c r="A4708" s="477">
        <v>9945386.1060898788</v>
      </c>
      <c r="B4708" s="458">
        <v>3.6280754251734493E-2</v>
      </c>
      <c r="C4708" s="477">
        <v>11575840.111991934</v>
      </c>
      <c r="D4708" s="458">
        <v>4.420958178232981E-2</v>
      </c>
      <c r="E4708" s="477">
        <v>10614010.188160988</v>
      </c>
      <c r="F4708" s="458">
        <v>0.12703460860943006</v>
      </c>
      <c r="G4708" s="477">
        <v>92626754.442061365</v>
      </c>
      <c r="H4708" s="458">
        <v>0.27283681606495058</v>
      </c>
      <c r="I4708" s="468">
        <v>10.612847792111513</v>
      </c>
    </row>
    <row r="4709" spans="1:9" ht="16.5" x14ac:dyDescent="0.3">
      <c r="A4709" s="477">
        <v>8939427.6832784656</v>
      </c>
      <c r="B4709" s="458">
        <v>3.8489199435031374E-2</v>
      </c>
      <c r="C4709" s="477">
        <v>12795278.022219542</v>
      </c>
      <c r="D4709" s="458">
        <v>2.8386399378057314E-2</v>
      </c>
      <c r="E4709" s="477">
        <v>17157121.254205145</v>
      </c>
      <c r="F4709" s="458">
        <v>0.10297674852945082</v>
      </c>
      <c r="G4709" s="477">
        <v>82391718.698500454</v>
      </c>
      <c r="H4709" s="458">
        <v>0.29048429474442261</v>
      </c>
      <c r="I4709" s="468">
        <v>6.0378331648478412</v>
      </c>
    </row>
    <row r="4710" spans="1:9" ht="16.5" x14ac:dyDescent="0.3">
      <c r="A4710" s="477">
        <v>3608901.7686943021</v>
      </c>
      <c r="B4710" s="458">
        <v>3.3637612345635448E-2</v>
      </c>
      <c r="C4710" s="477">
        <v>8576197.798388226</v>
      </c>
      <c r="D4710" s="458">
        <v>8.3733432220177706E-2</v>
      </c>
      <c r="E4710" s="477">
        <v>17547117.147816505</v>
      </c>
      <c r="F4710" s="458">
        <v>0.10488272250996533</v>
      </c>
      <c r="G4710" s="477">
        <v>86641742.463562027</v>
      </c>
      <c r="H4710" s="458">
        <v>0.26798401237403402</v>
      </c>
      <c r="I4710" s="468">
        <v>11.59846777510238</v>
      </c>
    </row>
    <row r="4711" spans="1:9" ht="16.5" x14ac:dyDescent="0.3">
      <c r="A4711" s="477">
        <v>3807029.3582969713</v>
      </c>
      <c r="B4711" s="458">
        <v>2.2860914006417765E-2</v>
      </c>
      <c r="C4711" s="477">
        <v>5180436.4255241957</v>
      </c>
      <c r="D4711" s="458">
        <v>7.014635092849697E-2</v>
      </c>
      <c r="E4711" s="477">
        <v>21107880.607138712</v>
      </c>
      <c r="F4711" s="458">
        <v>0.10394922427480835</v>
      </c>
      <c r="G4711" s="477">
        <v>105725689.51067232</v>
      </c>
      <c r="H4711" s="458">
        <v>0.26880027527999162</v>
      </c>
      <c r="I4711" s="468">
        <v>6.1453603125613387</v>
      </c>
    </row>
    <row r="4712" spans="1:9" ht="16.5" x14ac:dyDescent="0.3">
      <c r="A4712" s="477">
        <v>7206229.8767530583</v>
      </c>
      <c r="B4712" s="458">
        <v>4.0598342287142541E-2</v>
      </c>
      <c r="C4712" s="477">
        <v>13004067.613298887</v>
      </c>
      <c r="D4712" s="458">
        <v>7.7935655937924064E-2</v>
      </c>
      <c r="E4712" s="477">
        <v>12747958.06611765</v>
      </c>
      <c r="F4712" s="458">
        <v>0.11620940316518502</v>
      </c>
      <c r="G4712" s="477">
        <v>90136204.774699584</v>
      </c>
      <c r="H4712" s="458">
        <v>0.27355690720827419</v>
      </c>
      <c r="I4712" s="468">
        <v>4.8360188719528701</v>
      </c>
    </row>
    <row r="4713" spans="1:9" ht="16.5" x14ac:dyDescent="0.3">
      <c r="A4713" s="477">
        <v>7777723.8383120475</v>
      </c>
      <c r="B4713" s="458">
        <v>3.8665855351017075E-2</v>
      </c>
      <c r="C4713" s="477">
        <v>8108070.019998895</v>
      </c>
      <c r="D4713" s="458">
        <v>7.5515006399639484E-2</v>
      </c>
      <c r="E4713" s="477">
        <v>16271308.935596475</v>
      </c>
      <c r="F4713" s="458">
        <v>0.10464525497904953</v>
      </c>
      <c r="G4713" s="477">
        <v>115647819.22791997</v>
      </c>
      <c r="H4713" s="458">
        <v>0.28224517493666301</v>
      </c>
      <c r="I4713" s="468">
        <v>6.8260312950133599</v>
      </c>
    </row>
    <row r="4714" spans="1:9" ht="16.5" x14ac:dyDescent="0.3">
      <c r="A4714" s="477">
        <v>4180253.2123857974</v>
      </c>
      <c r="B4714" s="458">
        <v>0.11311295282583611</v>
      </c>
      <c r="C4714" s="477">
        <v>6006742.7764221961</v>
      </c>
      <c r="D4714" s="458">
        <v>6.4813811535356258E-2</v>
      </c>
      <c r="E4714" s="477">
        <v>16897855.797590971</v>
      </c>
      <c r="F4714" s="458">
        <v>0.10834736720590832</v>
      </c>
      <c r="G4714" s="477">
        <v>93078362.297294587</v>
      </c>
      <c r="H4714" s="458">
        <v>0.27289636175763832</v>
      </c>
      <c r="I4714" s="468">
        <v>6.4487796150388617</v>
      </c>
    </row>
    <row r="4715" spans="1:9" ht="16.5" x14ac:dyDescent="0.3">
      <c r="A4715" s="477">
        <v>1273916.9158257386</v>
      </c>
      <c r="B4715" s="458">
        <v>5.0054385657887002E-2</v>
      </c>
      <c r="C4715" s="477">
        <v>11414718.478125511</v>
      </c>
      <c r="D4715" s="458">
        <v>4.5935859813590385E-2</v>
      </c>
      <c r="E4715" s="477">
        <v>18680317.348431341</v>
      </c>
      <c r="F4715" s="458">
        <v>9.2191113371788758E-2</v>
      </c>
      <c r="G4715" s="477">
        <v>72201987.907038435</v>
      </c>
      <c r="H4715" s="458">
        <v>0.26690572178021355</v>
      </c>
      <c r="I4715" s="468">
        <v>8.0277750092742597</v>
      </c>
    </row>
    <row r="4716" spans="1:9" ht="16.5" x14ac:dyDescent="0.3">
      <c r="A4716" s="477">
        <v>8026509.9643329931</v>
      </c>
      <c r="B4716" s="458">
        <v>4.9977381869607429E-2</v>
      </c>
      <c r="C4716" s="477">
        <v>12675848.086890543</v>
      </c>
      <c r="D4716" s="458">
        <v>8.2611196880709725E-2</v>
      </c>
      <c r="E4716" s="477">
        <v>14184103.945292059</v>
      </c>
      <c r="F4716" s="458">
        <v>0.10748404378447241</v>
      </c>
      <c r="G4716" s="477">
        <v>96146632.511567399</v>
      </c>
      <c r="H4716" s="458">
        <v>0.3260012985816978</v>
      </c>
      <c r="I4716" s="468">
        <v>5.5029141863563762</v>
      </c>
    </row>
    <row r="4717" spans="1:9" ht="16.5" x14ac:dyDescent="0.3">
      <c r="A4717" s="477">
        <v>1458567.1617575099</v>
      </c>
      <c r="B4717" s="458">
        <v>2.237776115169865E-2</v>
      </c>
      <c r="C4717" s="477">
        <v>9766702.6043945849</v>
      </c>
      <c r="D4717" s="458">
        <v>4.7688769894911776E-2</v>
      </c>
      <c r="E4717" s="477">
        <v>16233071.550922412</v>
      </c>
      <c r="F4717" s="458">
        <v>0.1239722079319967</v>
      </c>
      <c r="G4717" s="477">
        <v>101883338.34827404</v>
      </c>
      <c r="H4717" s="458">
        <v>0.27628073382285989</v>
      </c>
      <c r="I4717" s="468">
        <v>12.366291529016589</v>
      </c>
    </row>
    <row r="4718" spans="1:9" ht="16.5" x14ac:dyDescent="0.3">
      <c r="A4718" s="477">
        <v>5290101.8576085232</v>
      </c>
      <c r="B4718" s="458">
        <v>3.7806314183194578E-2</v>
      </c>
      <c r="C4718" s="477">
        <v>7981192.2713795304</v>
      </c>
      <c r="D4718" s="458">
        <v>5.5502575173750568E-2</v>
      </c>
      <c r="E4718" s="477">
        <v>12149258.755840989</v>
      </c>
      <c r="F4718" s="458">
        <v>0.11718751342336087</v>
      </c>
      <c r="G4718" s="477">
        <v>87370632.803940147</v>
      </c>
      <c r="H4718" s="458">
        <v>0.26372836470040539</v>
      </c>
      <c r="I4718" s="468">
        <v>8.8456918408303</v>
      </c>
    </row>
    <row r="4719" spans="1:9" ht="16.5" x14ac:dyDescent="0.3">
      <c r="A4719" s="477">
        <v>6828999.5978023987</v>
      </c>
      <c r="B4719" s="458">
        <v>4.0904928279877462E-2</v>
      </c>
      <c r="C4719" s="477">
        <v>2300470.9948965837</v>
      </c>
      <c r="D4719" s="458">
        <v>6.2822121167107836E-2</v>
      </c>
      <c r="E4719" s="477">
        <v>14434927.736337749</v>
      </c>
      <c r="F4719" s="458">
        <v>0.10677576080273599</v>
      </c>
      <c r="G4719" s="477">
        <v>99783162.099373698</v>
      </c>
      <c r="H4719" s="458">
        <v>0.27704694706606303</v>
      </c>
      <c r="I4719" s="468">
        <v>5.5077868370361101</v>
      </c>
    </row>
    <row r="4720" spans="1:9" ht="16.5" x14ac:dyDescent="0.3">
      <c r="A4720" s="477">
        <v>2018363.2550018323</v>
      </c>
      <c r="B4720" s="458">
        <v>4.8180444141525225E-2</v>
      </c>
      <c r="C4720" s="477">
        <v>12379611.595418105</v>
      </c>
      <c r="D4720" s="458">
        <v>8.264048813633007E-2</v>
      </c>
      <c r="E4720" s="477">
        <v>21734681.772042826</v>
      </c>
      <c r="F4720" s="458">
        <v>0.1245110992568812</v>
      </c>
      <c r="G4720" s="477">
        <v>80489587.729084283</v>
      </c>
      <c r="H4720" s="458">
        <v>0.28362132046257527</v>
      </c>
      <c r="I4720" s="468">
        <v>4.583009664782705</v>
      </c>
    </row>
    <row r="4721" spans="1:9" ht="16.5" x14ac:dyDescent="0.3">
      <c r="A4721" s="477">
        <v>6208103.8075675126</v>
      </c>
      <c r="B4721" s="458">
        <v>3.6467609846970506E-2</v>
      </c>
      <c r="C4721" s="477">
        <v>8533780.4279276263</v>
      </c>
      <c r="D4721" s="458">
        <v>5.668875503369164E-2</v>
      </c>
      <c r="E4721" s="477">
        <v>12739399.793382579</v>
      </c>
      <c r="F4721" s="458">
        <v>0.10874480449551283</v>
      </c>
      <c r="G4721" s="477">
        <v>78859342.162071496</v>
      </c>
      <c r="H4721" s="458">
        <v>0.25373240732436786</v>
      </c>
      <c r="I4721" s="468">
        <v>15.177478694159175</v>
      </c>
    </row>
    <row r="4722" spans="1:9" ht="16.5" x14ac:dyDescent="0.3">
      <c r="A4722" s="477">
        <v>6250293.4618437663</v>
      </c>
      <c r="B4722" s="458">
        <v>2.8351403358801264E-2</v>
      </c>
      <c r="C4722" s="477">
        <v>8780956.1000064146</v>
      </c>
      <c r="D4722" s="458">
        <v>7.3800569389998127E-2</v>
      </c>
      <c r="E4722" s="477">
        <v>17688078.565622132</v>
      </c>
      <c r="F4722" s="458">
        <v>0.11246010392662908</v>
      </c>
      <c r="G4722" s="477">
        <v>97946753.169638917</v>
      </c>
      <c r="H4722" s="458">
        <v>0.29179949581319375</v>
      </c>
      <c r="I4722" s="468">
        <v>9.6562118185134675</v>
      </c>
    </row>
    <row r="4723" spans="1:9" ht="16.5" x14ac:dyDescent="0.3">
      <c r="A4723" s="477">
        <v>7697664.1993406871</v>
      </c>
      <c r="B4723" s="458">
        <v>3.7972333107294531E-2</v>
      </c>
      <c r="C4723" s="477">
        <v>7892920.7615119237</v>
      </c>
      <c r="D4723" s="458">
        <v>5.8331799954375541E-2</v>
      </c>
      <c r="E4723" s="477">
        <v>15372071.902217034</v>
      </c>
      <c r="F4723" s="458">
        <v>0.11528449545009001</v>
      </c>
      <c r="G4723" s="477">
        <v>87762183.054605752</v>
      </c>
      <c r="H4723" s="458">
        <v>0.2642224695084574</v>
      </c>
      <c r="I4723" s="468">
        <v>5.366628011299734</v>
      </c>
    </row>
    <row r="4724" spans="1:9" ht="16.5" x14ac:dyDescent="0.3">
      <c r="A4724" s="477">
        <v>7732241.4028417654</v>
      </c>
      <c r="B4724" s="458">
        <v>3.9100458151916095E-2</v>
      </c>
      <c r="C4724" s="477">
        <v>12220373.929214891</v>
      </c>
      <c r="D4724" s="458">
        <v>5.7682959649103749E-2</v>
      </c>
      <c r="E4724" s="477">
        <v>16487106.856538577</v>
      </c>
      <c r="F4724" s="458">
        <v>0.11968698993982918</v>
      </c>
      <c r="G4724" s="477">
        <v>93551113.275197119</v>
      </c>
      <c r="H4724" s="458">
        <v>0.28774080865783835</v>
      </c>
      <c r="I4724" s="468">
        <v>9.1539387309285445</v>
      </c>
    </row>
    <row r="4725" spans="1:9" ht="16.5" x14ac:dyDescent="0.3">
      <c r="A4725" s="477">
        <v>994734.84956266382</v>
      </c>
      <c r="B4725" s="458">
        <v>4.7057208798627181E-2</v>
      </c>
      <c r="C4725" s="477">
        <v>9015674.8997678384</v>
      </c>
      <c r="D4725" s="458">
        <v>6.6567543958446773E-2</v>
      </c>
      <c r="E4725" s="477">
        <v>14757193.994237069</v>
      </c>
      <c r="F4725" s="458">
        <v>0.11096479717775387</v>
      </c>
      <c r="G4725" s="477">
        <v>98795555.209089682</v>
      </c>
      <c r="H4725" s="458">
        <v>0.24981216222412539</v>
      </c>
      <c r="I4725" s="468">
        <v>9.8258055764859691</v>
      </c>
    </row>
    <row r="4726" spans="1:9" ht="16.5" x14ac:dyDescent="0.3">
      <c r="A4726" s="477">
        <v>2565428.5985931349</v>
      </c>
      <c r="B4726" s="458">
        <v>3.7122494258471805E-2</v>
      </c>
      <c r="C4726" s="477">
        <v>-546913.31223349075</v>
      </c>
      <c r="D4726" s="458">
        <v>6.6559279329129639E-2</v>
      </c>
      <c r="E4726" s="477">
        <v>15176829.525536342</v>
      </c>
      <c r="F4726" s="458">
        <v>0.1071323759585836</v>
      </c>
      <c r="G4726" s="477">
        <v>86208214.017071038</v>
      </c>
      <c r="H4726" s="458">
        <v>0.28999254100652605</v>
      </c>
      <c r="I4726" s="468">
        <v>14.364798317741032</v>
      </c>
    </row>
    <row r="4727" spans="1:9" ht="16.5" x14ac:dyDescent="0.3">
      <c r="A4727" s="477">
        <v>1783811.272090879</v>
      </c>
      <c r="B4727" s="458">
        <v>4.444702723491667E-2</v>
      </c>
      <c r="C4727" s="477">
        <v>14460410.590065401</v>
      </c>
      <c r="D4727" s="458">
        <v>9.3467395510872686E-2</v>
      </c>
      <c r="E4727" s="477">
        <v>20892646.959855229</v>
      </c>
      <c r="F4727" s="458">
        <v>0.11006956957716652</v>
      </c>
      <c r="G4727" s="477">
        <v>94704540.322274387</v>
      </c>
      <c r="H4727" s="458">
        <v>0.25728170007896534</v>
      </c>
      <c r="I4727" s="468">
        <v>13.557085024136736</v>
      </c>
    </row>
    <row r="4728" spans="1:9" ht="16.5" x14ac:dyDescent="0.3">
      <c r="A4728" s="477">
        <v>1211855.6550156847</v>
      </c>
      <c r="B4728" s="458">
        <v>9.5929151308655758E-3</v>
      </c>
      <c r="C4728" s="477">
        <v>12120329.228923684</v>
      </c>
      <c r="D4728" s="458">
        <v>7.7316183847112141E-2</v>
      </c>
      <c r="E4728" s="477">
        <v>23891910.987969682</v>
      </c>
      <c r="F4728" s="458">
        <v>0.12253125514226171</v>
      </c>
      <c r="G4728" s="477">
        <v>80705600.292228118</v>
      </c>
      <c r="H4728" s="458">
        <v>0.27297074754651973</v>
      </c>
      <c r="I4728" s="468">
        <v>2.8732787538455931</v>
      </c>
    </row>
    <row r="4729" spans="1:9" ht="16.5" x14ac:dyDescent="0.3">
      <c r="A4729" s="477">
        <v>2736239.1176609807</v>
      </c>
      <c r="B4729" s="458">
        <v>4.1599310821879509E-2</v>
      </c>
      <c r="C4729" s="477">
        <v>9639355.2683946211</v>
      </c>
      <c r="D4729" s="458">
        <v>6.6946004203187304E-2</v>
      </c>
      <c r="E4729" s="477">
        <v>25315382.357202984</v>
      </c>
      <c r="F4729" s="458">
        <v>9.859794405833866E-2</v>
      </c>
      <c r="G4729" s="477">
        <v>78398575.465332195</v>
      </c>
      <c r="H4729" s="458">
        <v>0.26531970073441258</v>
      </c>
      <c r="I4729" s="468">
        <v>8.9562969214923243</v>
      </c>
    </row>
    <row r="4730" spans="1:9" ht="16.5" x14ac:dyDescent="0.3">
      <c r="A4730" s="477">
        <v>1819604.9821779013</v>
      </c>
      <c r="B4730" s="458">
        <v>3.1160410133304284E-2</v>
      </c>
      <c r="C4730" s="477">
        <v>11160451.127860758</v>
      </c>
      <c r="D4730" s="458">
        <v>6.4559745823128845E-2</v>
      </c>
      <c r="E4730" s="477">
        <v>15763806.010217115</v>
      </c>
      <c r="F4730" s="458">
        <v>0.1051087651928746</v>
      </c>
      <c r="G4730" s="477">
        <v>88895003.48207593</v>
      </c>
      <c r="H4730" s="458">
        <v>0.32469693432097957</v>
      </c>
      <c r="I4730" s="468">
        <v>11.258723702159283</v>
      </c>
    </row>
    <row r="4731" spans="1:9" ht="16.5" x14ac:dyDescent="0.3">
      <c r="A4731" s="477">
        <v>8609831.4994558264</v>
      </c>
      <c r="B4731" s="458">
        <v>2.8740042070967586E-2</v>
      </c>
      <c r="C4731" s="477">
        <v>7543221.5917874891</v>
      </c>
      <c r="D4731" s="458">
        <v>7.4143484637060997E-2</v>
      </c>
      <c r="E4731" s="477">
        <v>13443220.668937022</v>
      </c>
      <c r="F4731" s="458">
        <v>0.10551184441015438</v>
      </c>
      <c r="G4731" s="477">
        <v>89839012.144806013</v>
      </c>
      <c r="H4731" s="458">
        <v>0.26344981295168002</v>
      </c>
      <c r="I4731" s="468">
        <v>6.9878024966301622</v>
      </c>
    </row>
    <row r="4732" spans="1:9" ht="16.5" x14ac:dyDescent="0.3">
      <c r="A4732" s="477">
        <v>2783768.5469996571</v>
      </c>
      <c r="B4732" s="458">
        <v>2.7178254756189846E-2</v>
      </c>
      <c r="C4732" s="477">
        <v>12634870.666595228</v>
      </c>
      <c r="D4732" s="458">
        <v>6.6283465473982783E-2</v>
      </c>
      <c r="E4732" s="477">
        <v>15497114.473388374</v>
      </c>
      <c r="F4732" s="458">
        <v>0.11822770118993398</v>
      </c>
      <c r="G4732" s="477">
        <v>95412336.655963197</v>
      </c>
      <c r="H4732" s="458">
        <v>0.29279775452977708</v>
      </c>
      <c r="I4732" s="468">
        <v>3.5620223741510877</v>
      </c>
    </row>
    <row r="4733" spans="1:9" ht="16.5" x14ac:dyDescent="0.3">
      <c r="A4733" s="477">
        <v>2006139.1514672528</v>
      </c>
      <c r="B4733" s="458">
        <v>4.1606913429132364E-2</v>
      </c>
      <c r="C4733" s="477">
        <v>6136930.3599202624</v>
      </c>
      <c r="D4733" s="458">
        <v>5.2594965883058009E-2</v>
      </c>
      <c r="E4733" s="477">
        <v>9825947.0656124782</v>
      </c>
      <c r="F4733" s="458">
        <v>0.12366967667372153</v>
      </c>
      <c r="G4733" s="477">
        <v>81820935.02438958</v>
      </c>
      <c r="H4733" s="458">
        <v>0.27811490209907208</v>
      </c>
      <c r="I4733" s="468">
        <v>4.7997046162431065</v>
      </c>
    </row>
    <row r="4734" spans="1:9" ht="16.5" x14ac:dyDescent="0.3">
      <c r="A4734" s="477">
        <v>4262935.2634918746</v>
      </c>
      <c r="B4734" s="458">
        <v>3.3846992182164248E-2</v>
      </c>
      <c r="C4734" s="477">
        <v>2077790.6068633548</v>
      </c>
      <c r="D4734" s="458">
        <v>4.6336556488412395E-2</v>
      </c>
      <c r="E4734" s="477">
        <v>16714756.173821442</v>
      </c>
      <c r="F4734" s="458">
        <v>0.10045630065791422</v>
      </c>
      <c r="G4734" s="477">
        <v>89334758.636235029</v>
      </c>
      <c r="H4734" s="458">
        <v>0.2559236927641162</v>
      </c>
      <c r="I4734" s="468">
        <v>9.5813712588471649</v>
      </c>
    </row>
    <row r="4735" spans="1:9" ht="16.5" x14ac:dyDescent="0.3">
      <c r="A4735" s="477">
        <v>1245028.1759733595</v>
      </c>
      <c r="B4735" s="458">
        <v>1.5123459338696632E-2</v>
      </c>
      <c r="C4735" s="477">
        <v>9621951.9065542128</v>
      </c>
      <c r="D4735" s="458">
        <v>3.9650735927570846E-2</v>
      </c>
      <c r="E4735" s="477">
        <v>14016698.307893479</v>
      </c>
      <c r="F4735" s="458">
        <v>9.8520777218276345E-2</v>
      </c>
      <c r="G4735" s="477">
        <v>88739651.679997355</v>
      </c>
      <c r="H4735" s="458">
        <v>0.25886172246148309</v>
      </c>
      <c r="I4735" s="468">
        <v>12.864031159780074</v>
      </c>
    </row>
    <row r="4736" spans="1:9" ht="16.5" x14ac:dyDescent="0.3">
      <c r="A4736" s="477">
        <v>5331346.9509713817</v>
      </c>
      <c r="B4736" s="458">
        <v>3.6878432499868996E-2</v>
      </c>
      <c r="C4736" s="477">
        <v>4847048.403829176</v>
      </c>
      <c r="D4736" s="458">
        <v>5.80898359883677E-2</v>
      </c>
      <c r="E4736" s="477">
        <v>17992361.321844243</v>
      </c>
      <c r="F4736" s="458">
        <v>0.10728716882744815</v>
      </c>
      <c r="G4736" s="477">
        <v>86647563.168879956</v>
      </c>
      <c r="H4736" s="458">
        <v>0.27257446821179632</v>
      </c>
      <c r="I4736" s="468">
        <v>10.296459519190094</v>
      </c>
    </row>
    <row r="4737" spans="1:9" ht="16.5" x14ac:dyDescent="0.3">
      <c r="A4737" s="477">
        <v>4663222.4163985662</v>
      </c>
      <c r="B4737" s="458">
        <v>4.2720665408312763E-2</v>
      </c>
      <c r="C4737" s="477">
        <v>7330397.7061142307</v>
      </c>
      <c r="D4737" s="458">
        <v>5.8219601895980855E-2</v>
      </c>
      <c r="E4737" s="477">
        <v>18075196.587558832</v>
      </c>
      <c r="F4737" s="458">
        <v>0.11062596475877751</v>
      </c>
      <c r="G4737" s="477">
        <v>76126429.220761478</v>
      </c>
      <c r="H4737" s="458">
        <v>0.29431533619686445</v>
      </c>
      <c r="I4737" s="468">
        <v>6.3381532681896173</v>
      </c>
    </row>
    <row r="4738" spans="1:9" ht="16.5" x14ac:dyDescent="0.3">
      <c r="A4738" s="477">
        <v>9546818.508347759</v>
      </c>
      <c r="B4738" s="458">
        <v>9.7670595205386457E-2</v>
      </c>
      <c r="C4738" s="477">
        <v>7938709.2155117588</v>
      </c>
      <c r="D4738" s="458">
        <v>6.6611508844978573E-2</v>
      </c>
      <c r="E4738" s="477">
        <v>22306423.971287999</v>
      </c>
      <c r="F4738" s="458">
        <v>0.10471185257218529</v>
      </c>
      <c r="G4738" s="477">
        <v>93369501.480245784</v>
      </c>
      <c r="H4738" s="458">
        <v>0.27229231143910693</v>
      </c>
      <c r="I4738" s="468">
        <v>5.6493558314787631</v>
      </c>
    </row>
    <row r="4739" spans="1:9" ht="16.5" x14ac:dyDescent="0.3">
      <c r="A4739" s="477">
        <v>8441478.6636612043</v>
      </c>
      <c r="B4739" s="458">
        <v>2.9306713895209668E-2</v>
      </c>
      <c r="C4739" s="477">
        <v>11872422.558487127</v>
      </c>
      <c r="D4739" s="458">
        <v>5.6920665026224837E-2</v>
      </c>
      <c r="E4739" s="477">
        <v>22686624.170043357</v>
      </c>
      <c r="F4739" s="458">
        <v>0.10060839149287903</v>
      </c>
      <c r="G4739" s="477">
        <v>96950200.41736874</v>
      </c>
      <c r="H4739" s="458">
        <v>0.26178743025408258</v>
      </c>
      <c r="I4739" s="468">
        <v>10.031597126860508</v>
      </c>
    </row>
    <row r="4740" spans="1:9" ht="16.5" x14ac:dyDescent="0.3">
      <c r="A4740" s="477">
        <v>8047907.0016168579</v>
      </c>
      <c r="B4740" s="458">
        <v>5.9964603165697072E-2</v>
      </c>
      <c r="C4740" s="477">
        <v>7849063.9749017404</v>
      </c>
      <c r="D4740" s="458">
        <v>8.5593951997201323E-2</v>
      </c>
      <c r="E4740" s="477">
        <v>13071063.719013063</v>
      </c>
      <c r="F4740" s="458">
        <v>9.62616369320759E-2</v>
      </c>
      <c r="G4740" s="477">
        <v>91374186.357923567</v>
      </c>
      <c r="H4740" s="458">
        <v>0.25138535553421293</v>
      </c>
      <c r="I4740" s="468">
        <v>3.8655909642541522</v>
      </c>
    </row>
    <row r="4741" spans="1:9" ht="16.5" x14ac:dyDescent="0.3">
      <c r="A4741" s="477">
        <v>10318750.005115999</v>
      </c>
      <c r="B4741" s="458">
        <v>3.147127444517861E-2</v>
      </c>
      <c r="C4741" s="477">
        <v>8650598.4784514736</v>
      </c>
      <c r="D4741" s="458">
        <v>6.4364476703039575E-2</v>
      </c>
      <c r="E4741" s="477">
        <v>11518481.412081461</v>
      </c>
      <c r="F4741" s="458">
        <v>0.11689773697192996</v>
      </c>
      <c r="G4741" s="477">
        <v>89445335.688487798</v>
      </c>
      <c r="H4741" s="458">
        <v>0.29493773672918833</v>
      </c>
      <c r="I4741" s="468">
        <v>7.3867389064963067</v>
      </c>
    </row>
    <row r="4742" spans="1:9" ht="16.5" x14ac:dyDescent="0.3">
      <c r="A4742" s="477">
        <v>5079621.1411386905</v>
      </c>
      <c r="B4742" s="458">
        <v>2.6777741321346138E-2</v>
      </c>
      <c r="C4742" s="477">
        <v>9413199.6021537371</v>
      </c>
      <c r="D4742" s="458">
        <v>7.6281275213066824E-2</v>
      </c>
      <c r="E4742" s="477">
        <v>19596374.740453128</v>
      </c>
      <c r="F4742" s="458">
        <v>0.1220322698743237</v>
      </c>
      <c r="G4742" s="477">
        <v>91314368.873718202</v>
      </c>
      <c r="H4742" s="458">
        <v>0.26980119466749297</v>
      </c>
      <c r="I4742" s="468">
        <v>8.6290594819590005</v>
      </c>
    </row>
    <row r="4743" spans="1:9" ht="16.5" x14ac:dyDescent="0.3">
      <c r="A4743" s="477">
        <v>2968626.0213590162</v>
      </c>
      <c r="B4743" s="458">
        <v>4.0415271238362527E-2</v>
      </c>
      <c r="C4743" s="477">
        <v>8413136.1245395169</v>
      </c>
      <c r="D4743" s="458">
        <v>8.1579881662050768E-2</v>
      </c>
      <c r="E4743" s="477">
        <v>11876441.269076155</v>
      </c>
      <c r="F4743" s="458">
        <v>0.11453915998714281</v>
      </c>
      <c r="G4743" s="477">
        <v>76724326.496685386</v>
      </c>
      <c r="H4743" s="458">
        <v>0.29791591710780096</v>
      </c>
      <c r="I4743" s="468">
        <v>13.013254514749457</v>
      </c>
    </row>
    <row r="4744" spans="1:9" ht="16.5" x14ac:dyDescent="0.3">
      <c r="A4744" s="477">
        <v>7016132.8800349152</v>
      </c>
      <c r="B4744" s="458">
        <v>5.6662131554650053E-2</v>
      </c>
      <c r="C4744" s="477">
        <v>6447571.5033617364</v>
      </c>
      <c r="D4744" s="458">
        <v>7.4802168039010741E-2</v>
      </c>
      <c r="E4744" s="477">
        <v>19127943.840303369</v>
      </c>
      <c r="F4744" s="458">
        <v>0.11608263359897042</v>
      </c>
      <c r="G4744" s="477">
        <v>88872983.324828029</v>
      </c>
      <c r="H4744" s="458">
        <v>0.28638483485186339</v>
      </c>
      <c r="I4744" s="468">
        <v>13.101808176061455</v>
      </c>
    </row>
    <row r="4745" spans="1:9" ht="16.5" x14ac:dyDescent="0.3">
      <c r="A4745" s="477">
        <v>4910752.763553068</v>
      </c>
      <c r="B4745" s="458">
        <v>4.428525449766374E-2</v>
      </c>
      <c r="C4745" s="477">
        <v>6527383.6714384099</v>
      </c>
      <c r="D4745" s="458">
        <v>3.3592271462214329E-2</v>
      </c>
      <c r="E4745" s="477">
        <v>24602094.48100134</v>
      </c>
      <c r="F4745" s="458">
        <v>8.9624605153278081E-2</v>
      </c>
      <c r="G4745" s="477">
        <v>84887432.92631951</v>
      </c>
      <c r="H4745" s="458">
        <v>0.26145753297777885</v>
      </c>
      <c r="I4745" s="468">
        <v>16.777853409305873</v>
      </c>
    </row>
    <row r="4746" spans="1:9" ht="16.5" x14ac:dyDescent="0.3">
      <c r="A4746" s="477">
        <v>8550817.2096883059</v>
      </c>
      <c r="B4746" s="458">
        <v>4.6980201893880968E-2</v>
      </c>
      <c r="C4746" s="477">
        <v>10362534.924692117</v>
      </c>
      <c r="D4746" s="458">
        <v>4.662015349842008E-2</v>
      </c>
      <c r="E4746" s="477">
        <v>10427790.466142425</v>
      </c>
      <c r="F4746" s="458">
        <v>0.11088165148458451</v>
      </c>
      <c r="G4746" s="477">
        <v>93429509.544989392</v>
      </c>
      <c r="H4746" s="458">
        <v>0.27452265324201841</v>
      </c>
      <c r="I4746" s="468">
        <v>14.642367304907383</v>
      </c>
    </row>
    <row r="4747" spans="1:9" ht="16.5" x14ac:dyDescent="0.3">
      <c r="A4747" s="477">
        <v>9206604.7421716917</v>
      </c>
      <c r="B4747" s="458">
        <v>3.7400597772776267E-2</v>
      </c>
      <c r="C4747" s="477">
        <v>9612986.3288081493</v>
      </c>
      <c r="D4747" s="458">
        <v>7.3575795509064346E-2</v>
      </c>
      <c r="E4747" s="477">
        <v>15357138.29912388</v>
      </c>
      <c r="F4747" s="458">
        <v>0.1306281764677677</v>
      </c>
      <c r="G4747" s="477">
        <v>91769410.504340768</v>
      </c>
      <c r="H4747" s="458">
        <v>0.29096334751354291</v>
      </c>
      <c r="I4747" s="468">
        <v>10.060928818148382</v>
      </c>
    </row>
    <row r="4748" spans="1:9" ht="16.5" x14ac:dyDescent="0.3">
      <c r="A4748" s="477">
        <v>3308506.8877757881</v>
      </c>
      <c r="B4748" s="458">
        <v>2.9715904222510137E-2</v>
      </c>
      <c r="C4748" s="477">
        <v>11489089.910706853</v>
      </c>
      <c r="D4748" s="458">
        <v>5.8640645413360781E-2</v>
      </c>
      <c r="E4748" s="477">
        <v>12669624.03300662</v>
      </c>
      <c r="F4748" s="458">
        <v>0.12529451170863681</v>
      </c>
      <c r="G4748" s="477">
        <v>90114690.818684444</v>
      </c>
      <c r="H4748" s="458">
        <v>0.27658428451416417</v>
      </c>
      <c r="I4748" s="468">
        <v>14.237596062294662</v>
      </c>
    </row>
    <row r="4749" spans="1:9" ht="16.5" x14ac:dyDescent="0.3">
      <c r="A4749" s="477">
        <v>7347614.9451700896</v>
      </c>
      <c r="B4749" s="458">
        <v>3.8941080706096365E-2</v>
      </c>
      <c r="C4749" s="477">
        <v>7949595.9508663733</v>
      </c>
      <c r="D4749" s="458">
        <v>5.4139046931771739E-2</v>
      </c>
      <c r="E4749" s="477">
        <v>23555539.296382714</v>
      </c>
      <c r="F4749" s="458">
        <v>0.12568321090486378</v>
      </c>
      <c r="G4749" s="477">
        <v>88597434.61091952</v>
      </c>
      <c r="H4749" s="458">
        <v>0.26267375667741244</v>
      </c>
      <c r="I4749" s="468">
        <v>7.3251828173504636</v>
      </c>
    </row>
    <row r="4750" spans="1:9" ht="16.5" x14ac:dyDescent="0.3">
      <c r="A4750" s="477">
        <v>1517217.9881833084</v>
      </c>
      <c r="B4750" s="458">
        <v>1.1832031676007437E-2</v>
      </c>
      <c r="C4750" s="477">
        <v>8990846.1298036855</v>
      </c>
      <c r="D4750" s="458">
        <v>5.9129084063667348E-2</v>
      </c>
      <c r="E4750" s="477">
        <v>15664808.172154116</v>
      </c>
      <c r="F4750" s="458">
        <v>0.11264111597033222</v>
      </c>
      <c r="G4750" s="477">
        <v>90882894.602962583</v>
      </c>
      <c r="H4750" s="458">
        <v>0.30665115083745498</v>
      </c>
      <c r="I4750" s="468">
        <v>3.6291635680702337</v>
      </c>
    </row>
    <row r="4751" spans="1:9" ht="16.5" x14ac:dyDescent="0.3">
      <c r="A4751" s="477">
        <v>6131258.9526832504</v>
      </c>
      <c r="B4751" s="458">
        <v>4.5561317441813909E-2</v>
      </c>
      <c r="C4751" s="477">
        <v>13454710.397356905</v>
      </c>
      <c r="D4751" s="458">
        <v>7.1102905221626322E-2</v>
      </c>
      <c r="E4751" s="477">
        <v>7907876.6666218089</v>
      </c>
      <c r="F4751" s="458">
        <v>8.7193810970491725E-2</v>
      </c>
      <c r="G4751" s="477">
        <v>89869542.291866422</v>
      </c>
      <c r="H4751" s="458">
        <v>0.26541900204350233</v>
      </c>
      <c r="I4751" s="468">
        <v>12.534330391787574</v>
      </c>
    </row>
    <row r="4752" spans="1:9" ht="16.5" x14ac:dyDescent="0.3">
      <c r="A4752" s="477">
        <v>5116582.150532458</v>
      </c>
      <c r="B4752" s="458">
        <v>5.3931420918948314E-2</v>
      </c>
      <c r="C4752" s="477">
        <v>9586498.5545050241</v>
      </c>
      <c r="D4752" s="458">
        <v>6.5412984913759464E-2</v>
      </c>
      <c r="E4752" s="477">
        <v>17874053.80861897</v>
      </c>
      <c r="F4752" s="458">
        <v>0.10746593421317852</v>
      </c>
      <c r="G4752" s="477">
        <v>77108299.33628346</v>
      </c>
      <c r="H4752" s="458">
        <v>0.25744560601466882</v>
      </c>
      <c r="I4752" s="468">
        <v>7.5329928270823237</v>
      </c>
    </row>
    <row r="4753" spans="1:9" ht="16.5" x14ac:dyDescent="0.3">
      <c r="A4753" s="477">
        <v>2205747.3154139342</v>
      </c>
      <c r="B4753" s="458">
        <v>3.2054705369024106E-2</v>
      </c>
      <c r="C4753" s="477">
        <v>10928834.229356589</v>
      </c>
      <c r="D4753" s="458">
        <v>0.10374223700686791</v>
      </c>
      <c r="E4753" s="477">
        <v>18433044.577399474</v>
      </c>
      <c r="F4753" s="458">
        <v>0.11674992977123999</v>
      </c>
      <c r="G4753" s="477">
        <v>75307189.545134962</v>
      </c>
      <c r="H4753" s="458">
        <v>0.24731549948103737</v>
      </c>
      <c r="I4753" s="468">
        <v>12.300097850547781</v>
      </c>
    </row>
    <row r="4754" spans="1:9" ht="16.5" x14ac:dyDescent="0.3">
      <c r="A4754" s="477">
        <v>10221238.453817133</v>
      </c>
      <c r="B4754" s="458">
        <v>2.1747653553986002E-2</v>
      </c>
      <c r="C4754" s="477">
        <v>7616481.8106925422</v>
      </c>
      <c r="D4754" s="458">
        <v>4.4319175203484606E-2</v>
      </c>
      <c r="E4754" s="477">
        <v>5020687.1994882254</v>
      </c>
      <c r="F4754" s="458">
        <v>9.0560013314371579E-2</v>
      </c>
      <c r="G4754" s="477">
        <v>89650043.357454494</v>
      </c>
      <c r="H4754" s="458">
        <v>0.28782548660617358</v>
      </c>
      <c r="I4754" s="468">
        <v>10.537372041926991</v>
      </c>
    </row>
    <row r="4755" spans="1:9" ht="16.5" x14ac:dyDescent="0.3">
      <c r="A4755" s="477">
        <v>1524132.6401757959</v>
      </c>
      <c r="B4755" s="458">
        <v>2.1747653553986002E-2</v>
      </c>
      <c r="C4755" s="477">
        <v>10961237.586356277</v>
      </c>
      <c r="D4755" s="458">
        <v>6.1502238882296778E-2</v>
      </c>
      <c r="E4755" s="477">
        <v>24542021.035543621</v>
      </c>
      <c r="F4755" s="458">
        <v>0.12468842132706737</v>
      </c>
      <c r="G4755" s="477">
        <v>96612410.411915392</v>
      </c>
      <c r="H4755" s="458">
        <v>0.26244082615536346</v>
      </c>
      <c r="I4755" s="468">
        <v>6.706780642370636</v>
      </c>
    </row>
    <row r="4756" spans="1:9" ht="16.5" x14ac:dyDescent="0.3">
      <c r="A4756" s="477">
        <v>5626153.6877783509</v>
      </c>
      <c r="B4756" s="458">
        <v>2.7830706825890283E-2</v>
      </c>
      <c r="C4756" s="477">
        <v>11537017.759199878</v>
      </c>
      <c r="D4756" s="458">
        <v>8.5992774370780012E-2</v>
      </c>
      <c r="E4756" s="477">
        <v>23613195.653323099</v>
      </c>
      <c r="F4756" s="458">
        <v>9.8881284825073745E-2</v>
      </c>
      <c r="G4756" s="477">
        <v>79826029.483460233</v>
      </c>
      <c r="H4756" s="458">
        <v>0.25696744616153078</v>
      </c>
      <c r="I4756" s="468">
        <v>3.7883388309909813</v>
      </c>
    </row>
    <row r="4757" spans="1:9" ht="16.5" x14ac:dyDescent="0.3">
      <c r="A4757" s="477">
        <v>3869937.4729596837</v>
      </c>
      <c r="B4757" s="458">
        <v>5.549972073731313E-2</v>
      </c>
      <c r="C4757" s="477">
        <v>10765245.164455751</v>
      </c>
      <c r="D4757" s="458">
        <v>7.2861954956572772E-2</v>
      </c>
      <c r="E4757" s="477">
        <v>7716617.1568288077</v>
      </c>
      <c r="F4757" s="458">
        <v>0.12373689379440567</v>
      </c>
      <c r="G4757" s="477">
        <v>97108126.24626343</v>
      </c>
      <c r="H4757" s="458">
        <v>0.27686730743195143</v>
      </c>
      <c r="I4757" s="468">
        <v>14.507394227146623</v>
      </c>
    </row>
    <row r="4758" spans="1:9" ht="16.5" x14ac:dyDescent="0.3">
      <c r="A4758" s="477">
        <v>5652716.4118715087</v>
      </c>
      <c r="B4758" s="458">
        <v>7.2553111832114325E-2</v>
      </c>
      <c r="C4758" s="477">
        <v>8030817.5889973696</v>
      </c>
      <c r="D4758" s="458">
        <v>5.0061141820766153E-2</v>
      </c>
      <c r="E4758" s="477">
        <v>16920339.735738132</v>
      </c>
      <c r="F4758" s="458">
        <v>0.10477041338749915</v>
      </c>
      <c r="G4758" s="477">
        <v>89884588.007938087</v>
      </c>
      <c r="H4758" s="458">
        <v>0.2807038105057722</v>
      </c>
      <c r="I4758" s="468">
        <v>7.2284152409623692</v>
      </c>
    </row>
    <row r="4759" spans="1:9" ht="16.5" x14ac:dyDescent="0.3">
      <c r="A4759" s="477">
        <v>3146621.4565443634</v>
      </c>
      <c r="B4759" s="458">
        <v>4.8203441943706293E-2</v>
      </c>
      <c r="C4759" s="477">
        <v>4726263.722803684</v>
      </c>
      <c r="D4759" s="458">
        <v>6.8360620273093975E-2</v>
      </c>
      <c r="E4759" s="477">
        <v>15707014.600980764</v>
      </c>
      <c r="F4759" s="458">
        <v>0.10009464978699367</v>
      </c>
      <c r="G4759" s="477">
        <v>88730624.40723215</v>
      </c>
      <c r="H4759" s="458">
        <v>0.26774478310578642</v>
      </c>
      <c r="I4759" s="468">
        <v>7.7286657714428699</v>
      </c>
    </row>
    <row r="4760" spans="1:9" ht="16.5" x14ac:dyDescent="0.3">
      <c r="A4760" s="477">
        <v>2797572.7761370423</v>
      </c>
      <c r="B4760" s="458">
        <v>5.2019149601261638E-2</v>
      </c>
      <c r="C4760" s="477">
        <v>10580071.089387696</v>
      </c>
      <c r="D4760" s="458">
        <v>4.3327537150535278E-2</v>
      </c>
      <c r="E4760" s="477">
        <v>24927418.950484119</v>
      </c>
      <c r="F4760" s="458">
        <v>7.860982063385813E-2</v>
      </c>
      <c r="G4760" s="477">
        <v>93016212.155770928</v>
      </c>
      <c r="H4760" s="458">
        <v>0.30073197273200014</v>
      </c>
      <c r="I4760" s="468">
        <v>9.2444356730151913</v>
      </c>
    </row>
    <row r="4761" spans="1:9" ht="16.5" x14ac:dyDescent="0.3">
      <c r="A4761" s="477">
        <v>5307857.0470368173</v>
      </c>
      <c r="B4761" s="458">
        <v>4.8807165333613955E-2</v>
      </c>
      <c r="C4761" s="477">
        <v>10426775.431766648</v>
      </c>
      <c r="D4761" s="458">
        <v>7.6013337792473434E-2</v>
      </c>
      <c r="E4761" s="477">
        <v>20771368.391833816</v>
      </c>
      <c r="F4761" s="458">
        <v>0.12794810997302553</v>
      </c>
      <c r="G4761" s="477">
        <v>90451566.219572812</v>
      </c>
      <c r="H4761" s="458">
        <v>0.27659200963941077</v>
      </c>
      <c r="I4761" s="468">
        <v>9.6946461497811285</v>
      </c>
    </row>
    <row r="4762" spans="1:9" ht="16.5" x14ac:dyDescent="0.3">
      <c r="A4762" s="477">
        <v>5709171.1398757547</v>
      </c>
      <c r="B4762" s="458">
        <v>3.3347791222669843E-2</v>
      </c>
      <c r="C4762" s="477">
        <v>10782718.612411268</v>
      </c>
      <c r="D4762" s="458">
        <v>7.465274550980161E-2</v>
      </c>
      <c r="E4762" s="477">
        <v>13619737.412373293</v>
      </c>
      <c r="F4762" s="458">
        <v>0.10992073025404059</v>
      </c>
      <c r="G4762" s="477">
        <v>80498407.812752083</v>
      </c>
      <c r="H4762" s="458">
        <v>0.30939614911574131</v>
      </c>
      <c r="I4762" s="468">
        <v>8.18485665608031</v>
      </c>
    </row>
    <row r="4763" spans="1:9" ht="16.5" x14ac:dyDescent="0.3">
      <c r="A4763" s="477">
        <v>5877163.1254259041</v>
      </c>
      <c r="B4763" s="458">
        <v>4.0820228868008401E-2</v>
      </c>
      <c r="C4763" s="477">
        <v>6145650.1833463488</v>
      </c>
      <c r="D4763" s="458">
        <v>0.11117266910597579</v>
      </c>
      <c r="E4763" s="477">
        <v>18300772.27558079</v>
      </c>
      <c r="F4763" s="458">
        <v>0.10709901704259783</v>
      </c>
      <c r="G4763" s="477">
        <v>77144320.376356483</v>
      </c>
      <c r="H4763" s="458">
        <v>0.27776683593199958</v>
      </c>
      <c r="I4763" s="468">
        <v>8.7145501276421538</v>
      </c>
    </row>
    <row r="4764" spans="1:9" ht="16.5" x14ac:dyDescent="0.3">
      <c r="A4764" s="477">
        <v>3908690.3062632913</v>
      </c>
      <c r="B4764" s="458">
        <v>-1.6898882826354988E-4</v>
      </c>
      <c r="C4764" s="477">
        <v>13123229.209099555</v>
      </c>
      <c r="D4764" s="458">
        <v>4.8267080597438783E-2</v>
      </c>
      <c r="E4764" s="477">
        <v>12324510.07650733</v>
      </c>
      <c r="F4764" s="458">
        <v>9.8592601130155444E-2</v>
      </c>
      <c r="G4764" s="477">
        <v>91502792.277462408</v>
      </c>
      <c r="H4764" s="458">
        <v>0.25391167414678795</v>
      </c>
      <c r="I4764" s="468">
        <v>7.1551182612046391</v>
      </c>
    </row>
    <row r="4765" spans="1:9" ht="16.5" x14ac:dyDescent="0.3">
      <c r="A4765" s="477">
        <v>302702.43064215768</v>
      </c>
      <c r="B4765" s="458">
        <v>3.4092583473322779E-2</v>
      </c>
      <c r="C4765" s="477">
        <v>19547829.056590877</v>
      </c>
      <c r="D4765" s="458">
        <v>5.496060487505483E-2</v>
      </c>
      <c r="E4765" s="477">
        <v>8509775.8458483424</v>
      </c>
      <c r="F4765" s="458">
        <v>9.8411067423390675E-2</v>
      </c>
      <c r="G4765" s="477">
        <v>109669668.00539896</v>
      </c>
      <c r="H4765" s="458">
        <v>0.25928714187344792</v>
      </c>
      <c r="I4765" s="468">
        <v>17.339586906916949</v>
      </c>
    </row>
    <row r="4766" spans="1:9" ht="16.5" x14ac:dyDescent="0.3">
      <c r="A4766" s="477">
        <v>3288318.4965415061</v>
      </c>
      <c r="B4766" s="458">
        <v>1.1671352218154407E-2</v>
      </c>
      <c r="C4766" s="477">
        <v>8481700.1675098389</v>
      </c>
      <c r="D4766" s="458">
        <v>5.3474711026917143E-2</v>
      </c>
      <c r="E4766" s="477">
        <v>18331107.759712417</v>
      </c>
      <c r="F4766" s="458">
        <v>0.13550350571731151</v>
      </c>
      <c r="G4766" s="477">
        <v>85378590.665023416</v>
      </c>
      <c r="H4766" s="458">
        <v>0.27096921695973863</v>
      </c>
      <c r="I4766" s="468">
        <v>9.4232418740695536</v>
      </c>
    </row>
    <row r="4767" spans="1:9" ht="16.5" x14ac:dyDescent="0.3">
      <c r="A4767" s="477">
        <v>5112818.0384335853</v>
      </c>
      <c r="B4767" s="458">
        <v>3.5961189313391095E-2</v>
      </c>
      <c r="C4767" s="477">
        <v>11355790.923846209</v>
      </c>
      <c r="D4767" s="458">
        <v>0.14462334302633884</v>
      </c>
      <c r="E4767" s="477">
        <v>21616005.935566481</v>
      </c>
      <c r="F4767" s="458">
        <v>9.1439293963517132E-2</v>
      </c>
      <c r="G4767" s="477">
        <v>117951483.6590029</v>
      </c>
      <c r="H4767" s="458">
        <v>0.26544168317964645</v>
      </c>
      <c r="I4767" s="468">
        <v>4.2110737934400477</v>
      </c>
    </row>
    <row r="4768" spans="1:9" ht="16.5" x14ac:dyDescent="0.3">
      <c r="A4768" s="477">
        <v>3339274.7361066584</v>
      </c>
      <c r="B4768" s="458">
        <v>4.3598861706628078E-2</v>
      </c>
      <c r="C4768" s="477">
        <v>9675374.9082347117</v>
      </c>
      <c r="D4768" s="458">
        <v>4.5245413477157825E-2</v>
      </c>
      <c r="E4768" s="477">
        <v>16971401.374761198</v>
      </c>
      <c r="F4768" s="458">
        <v>8.6136175563416684E-2</v>
      </c>
      <c r="G4768" s="477">
        <v>84595630.543037698</v>
      </c>
      <c r="H4768" s="458">
        <v>0.27505458673082694</v>
      </c>
      <c r="I4768" s="468">
        <v>7.1193511543396752</v>
      </c>
    </row>
    <row r="4769" spans="1:9" ht="16.5" x14ac:dyDescent="0.3">
      <c r="A4769" s="477">
        <v>8097920.9983209316</v>
      </c>
      <c r="B4769" s="458">
        <v>3.8511139523036864E-2</v>
      </c>
      <c r="C4769" s="477">
        <v>8254996.3201148184</v>
      </c>
      <c r="D4769" s="458">
        <v>6.3622628339166987E-2</v>
      </c>
      <c r="E4769" s="477">
        <v>18714721.153851792</v>
      </c>
      <c r="F4769" s="458">
        <v>0.10944712655532918</v>
      </c>
      <c r="G4769" s="477">
        <v>92598793.331006482</v>
      </c>
      <c r="H4769" s="458">
        <v>0.27449161052197391</v>
      </c>
      <c r="I4769" s="468">
        <v>8.8821126782281077</v>
      </c>
    </row>
    <row r="4770" spans="1:9" ht="16.5" x14ac:dyDescent="0.3">
      <c r="A4770" s="477">
        <v>4842885.4009345667</v>
      </c>
      <c r="B4770" s="458">
        <v>4.2897396955060341E-2</v>
      </c>
      <c r="C4770" s="477">
        <v>10174379.752129495</v>
      </c>
      <c r="D4770" s="458">
        <v>7.741417075267365E-2</v>
      </c>
      <c r="E4770" s="477">
        <v>3880416.5712216911</v>
      </c>
      <c r="F4770" s="458">
        <v>0.10687405120165816</v>
      </c>
      <c r="G4770" s="477">
        <v>97641945.647155315</v>
      </c>
      <c r="H4770" s="458">
        <v>0.27473503041758507</v>
      </c>
      <c r="I4770" s="468">
        <v>8.1235605870442864</v>
      </c>
    </row>
    <row r="4771" spans="1:9" ht="16.5" x14ac:dyDescent="0.3">
      <c r="A4771" s="477">
        <v>3081449.7651208164</v>
      </c>
      <c r="B4771" s="458">
        <v>3.9080067983607858E-2</v>
      </c>
      <c r="C4771" s="477">
        <v>4113872.2620816357</v>
      </c>
      <c r="D4771" s="458">
        <v>4.5393871415701392E-2</v>
      </c>
      <c r="E4771" s="477">
        <v>21104974.191424288</v>
      </c>
      <c r="F4771" s="458">
        <v>0.12596097714386301</v>
      </c>
      <c r="G4771" s="477">
        <v>87135168.183617696</v>
      </c>
      <c r="H4771" s="458">
        <v>0.26657681623577623</v>
      </c>
      <c r="I4771" s="468">
        <v>10.57817882241836</v>
      </c>
    </row>
    <row r="4772" spans="1:9" ht="16.5" x14ac:dyDescent="0.3">
      <c r="A4772" s="477">
        <v>2878498.433314723</v>
      </c>
      <c r="B4772" s="458">
        <v>3.0416515430529811E-2</v>
      </c>
      <c r="C4772" s="477">
        <v>11848809.848186474</v>
      </c>
      <c r="D4772" s="458">
        <v>8.0677356814998546E-2</v>
      </c>
      <c r="E4772" s="477">
        <v>7954342.9192404989</v>
      </c>
      <c r="F4772" s="458">
        <v>0.12362330068121286</v>
      </c>
      <c r="G4772" s="477">
        <v>96025945.432842702</v>
      </c>
      <c r="H4772" s="458">
        <v>0.2693177621377898</v>
      </c>
      <c r="I4772" s="468">
        <v>6.861901247887034</v>
      </c>
    </row>
    <row r="4773" spans="1:9" ht="16.5" x14ac:dyDescent="0.3">
      <c r="A4773" s="477">
        <v>4293772.5440733423</v>
      </c>
      <c r="B4773" s="458">
        <v>4.7372958948146193E-2</v>
      </c>
      <c r="C4773" s="477">
        <v>8811411.784227265</v>
      </c>
      <c r="D4773" s="458">
        <v>5.7289755155250921E-2</v>
      </c>
      <c r="E4773" s="477">
        <v>13343969.370504301</v>
      </c>
      <c r="F4773" s="458">
        <v>6.4446063566015788E-2</v>
      </c>
      <c r="G4773" s="477">
        <v>89133582.72500056</v>
      </c>
      <c r="H4773" s="458">
        <v>0.27621746481650589</v>
      </c>
      <c r="I4773" s="468">
        <v>9.5855558242817196</v>
      </c>
    </row>
    <row r="4774" spans="1:9" ht="16.5" x14ac:dyDescent="0.3">
      <c r="A4774" s="477">
        <v>1877673.3014636333</v>
      </c>
      <c r="B4774" s="458">
        <v>3.7873064070268692E-2</v>
      </c>
      <c r="C4774" s="477">
        <v>10682514.575515108</v>
      </c>
      <c r="D4774" s="458">
        <v>7.7325561072006721E-2</v>
      </c>
      <c r="E4774" s="477">
        <v>20630966.66918071</v>
      </c>
      <c r="F4774" s="458">
        <v>0.1213765982923567</v>
      </c>
      <c r="G4774" s="477">
        <v>108430476.61061889</v>
      </c>
      <c r="H4774" s="458">
        <v>0.27934502136895767</v>
      </c>
      <c r="I4774" s="468">
        <v>1.1310500805001871</v>
      </c>
    </row>
    <row r="4775" spans="1:9" ht="16.5" x14ac:dyDescent="0.3">
      <c r="A4775" s="477">
        <v>5678831.1349104177</v>
      </c>
      <c r="B4775" s="458">
        <v>1.0833968916233117E-2</v>
      </c>
      <c r="C4775" s="477">
        <v>10755280.068762733</v>
      </c>
      <c r="D4775" s="458">
        <v>6.7989916878081313E-2</v>
      </c>
      <c r="E4775" s="477">
        <v>20546389.924247716</v>
      </c>
      <c r="F4775" s="458">
        <v>0.10503270122514841</v>
      </c>
      <c r="G4775" s="477">
        <v>73335368.194541186</v>
      </c>
      <c r="H4775" s="458">
        <v>0.27483091036504459</v>
      </c>
      <c r="I4775" s="468">
        <v>10.999815328514419</v>
      </c>
    </row>
    <row r="4776" spans="1:9" ht="16.5" x14ac:dyDescent="0.3">
      <c r="A4776" s="477">
        <v>5548599.4767661532</v>
      </c>
      <c r="B4776" s="458">
        <v>5.941792555965475E-2</v>
      </c>
      <c r="C4776" s="477">
        <v>10553152.334397554</v>
      </c>
      <c r="D4776" s="458">
        <v>5.3428292387246223E-2</v>
      </c>
      <c r="E4776" s="477">
        <v>16808998.579833444</v>
      </c>
      <c r="F4776" s="458">
        <v>0.10681374683654643</v>
      </c>
      <c r="G4776" s="477">
        <v>103492516.18327625</v>
      </c>
      <c r="H4776" s="458">
        <v>0.25376229022074059</v>
      </c>
      <c r="I4776" s="468">
        <v>9.2163135921362169</v>
      </c>
    </row>
    <row r="4777" spans="1:9" ht="16.5" x14ac:dyDescent="0.3">
      <c r="A4777" s="477">
        <v>5838754.2477228586</v>
      </c>
      <c r="B4777" s="458">
        <v>2.7042667650073682E-2</v>
      </c>
      <c r="C4777" s="477">
        <v>8946115.1503993589</v>
      </c>
      <c r="D4777" s="458">
        <v>6.0538301459079236E-2</v>
      </c>
      <c r="E4777" s="477">
        <v>22643938.629940402</v>
      </c>
      <c r="F4777" s="458">
        <v>0.11570454936823737</v>
      </c>
      <c r="G4777" s="477">
        <v>91305112.68259719</v>
      </c>
      <c r="H4777" s="458">
        <v>0.25219993458348289</v>
      </c>
      <c r="I4777" s="468">
        <v>13.059477925973045</v>
      </c>
    </row>
    <row r="4778" spans="1:9" ht="16.5" x14ac:dyDescent="0.3">
      <c r="A4778" s="477">
        <v>9097394.2802297641</v>
      </c>
      <c r="B4778" s="458">
        <v>5.4895922985979784E-2</v>
      </c>
      <c r="C4778" s="477">
        <v>5398725.5935400492</v>
      </c>
      <c r="D4778" s="458">
        <v>6.0373335772891723E-2</v>
      </c>
      <c r="E4778" s="477">
        <v>10251018.120255997</v>
      </c>
      <c r="F4778" s="458">
        <v>0.11926497007357617</v>
      </c>
      <c r="G4778" s="477">
        <v>92403992.672881931</v>
      </c>
      <c r="H4778" s="458">
        <v>0.2672417027150622</v>
      </c>
      <c r="I4778" s="468">
        <v>10.129370071793993</v>
      </c>
    </row>
    <row r="4779" spans="1:9" ht="16.5" x14ac:dyDescent="0.3">
      <c r="A4779" s="477">
        <v>12583546.663106738</v>
      </c>
      <c r="B4779" s="458">
        <v>4.4761809266114838E-2</v>
      </c>
      <c r="C4779" s="477">
        <v>8131167.8135291766</v>
      </c>
      <c r="D4779" s="458">
        <v>5.1683649285787947E-2</v>
      </c>
      <c r="E4779" s="477">
        <v>21784785.251230992</v>
      </c>
      <c r="F4779" s="458">
        <v>0.10579194009869974</v>
      </c>
      <c r="G4779" s="477">
        <v>92945011.564322665</v>
      </c>
      <c r="H4779" s="458">
        <v>0.25204430572781233</v>
      </c>
      <c r="I4779" s="468">
        <v>9.6867061263726519</v>
      </c>
    </row>
    <row r="4780" spans="1:9" ht="16.5" x14ac:dyDescent="0.3">
      <c r="A4780" s="477">
        <v>1945415.797173962</v>
      </c>
      <c r="B4780" s="458">
        <v>3.8661147211851654E-2</v>
      </c>
      <c r="C4780" s="477">
        <v>8327251.2201681174</v>
      </c>
      <c r="D4780" s="458">
        <v>5.3344359324538404E-2</v>
      </c>
      <c r="E4780" s="477">
        <v>13397816.955509394</v>
      </c>
      <c r="F4780" s="458">
        <v>0.10292288462001209</v>
      </c>
      <c r="G4780" s="477">
        <v>90104956.278490663</v>
      </c>
      <c r="H4780" s="458">
        <v>0.28033633526847446</v>
      </c>
      <c r="I4780" s="468">
        <v>9.5193232224462943</v>
      </c>
    </row>
    <row r="4781" spans="1:9" ht="16.5" x14ac:dyDescent="0.3">
      <c r="A4781" s="477">
        <v>235518.6454521821</v>
      </c>
      <c r="B4781" s="458">
        <v>3.5715681275463096E-2</v>
      </c>
      <c r="C4781" s="477">
        <v>8024668.7914942186</v>
      </c>
      <c r="D4781" s="458">
        <v>8.4681890934363624E-2</v>
      </c>
      <c r="E4781" s="477">
        <v>17274767.685732137</v>
      </c>
      <c r="F4781" s="458">
        <v>0.10720405122333809</v>
      </c>
      <c r="G4781" s="477">
        <v>88267582.855680883</v>
      </c>
      <c r="H4781" s="458">
        <v>0.2976828244192411</v>
      </c>
      <c r="I4781" s="468">
        <v>9.1470788721075067</v>
      </c>
    </row>
    <row r="4782" spans="1:9" ht="16.5" x14ac:dyDescent="0.3">
      <c r="A4782" s="477">
        <v>6700354.3684524838</v>
      </c>
      <c r="B4782" s="458">
        <v>1.7845210902937447E-2</v>
      </c>
      <c r="C4782" s="477">
        <v>14142442.841731539</v>
      </c>
      <c r="D4782" s="458">
        <v>7.5757834187772932E-2</v>
      </c>
      <c r="E4782" s="477">
        <v>20091514.047826007</v>
      </c>
      <c r="F4782" s="458">
        <v>9.9861114337058243E-2</v>
      </c>
      <c r="G4782" s="477">
        <v>90833743.620977014</v>
      </c>
      <c r="H4782" s="458">
        <v>0.28177624115954503</v>
      </c>
      <c r="I4782" s="468">
        <v>8.3895710342895473</v>
      </c>
    </row>
    <row r="4783" spans="1:9" ht="16.5" x14ac:dyDescent="0.3">
      <c r="A4783" s="477">
        <v>4731138.503486366</v>
      </c>
      <c r="B4783" s="458">
        <v>4.4942411892970657E-2</v>
      </c>
      <c r="C4783" s="477">
        <v>11992138.513225356</v>
      </c>
      <c r="D4783" s="458">
        <v>6.7650274280072864E-2</v>
      </c>
      <c r="E4783" s="477">
        <v>23967605.412248701</v>
      </c>
      <c r="F4783" s="458">
        <v>7.1839259429571145E-2</v>
      </c>
      <c r="G4783" s="477">
        <v>91567834.642519578</v>
      </c>
      <c r="H4783" s="458">
        <v>0.28389395408644669</v>
      </c>
      <c r="I4783" s="468">
        <v>11.483677310285163</v>
      </c>
    </row>
    <row r="4784" spans="1:9" ht="16.5" x14ac:dyDescent="0.3">
      <c r="A4784" s="477">
        <v>2774756.0809018281</v>
      </c>
      <c r="B4784" s="458">
        <v>8.6150409865988875E-2</v>
      </c>
      <c r="C4784" s="477">
        <v>6415239.4120557532</v>
      </c>
      <c r="D4784" s="458">
        <v>6.442225430340609E-2</v>
      </c>
      <c r="E4784" s="477">
        <v>12609337.767305102</v>
      </c>
      <c r="F4784" s="458">
        <v>0.11960502113243643</v>
      </c>
      <c r="G4784" s="477">
        <v>87198054.840989143</v>
      </c>
      <c r="H4784" s="458">
        <v>0.26160487020219692</v>
      </c>
      <c r="I4784" s="468">
        <v>2.8197150152381081</v>
      </c>
    </row>
    <row r="4785" spans="1:9" ht="16.5" x14ac:dyDescent="0.3">
      <c r="A4785" s="477">
        <v>6880218.0163090341</v>
      </c>
      <c r="B4785" s="458">
        <v>4.2171346600327286E-2</v>
      </c>
      <c r="C4785" s="477">
        <v>12147876.704521418</v>
      </c>
      <c r="D4785" s="458">
        <v>5.4448657576148696E-2</v>
      </c>
      <c r="E4785" s="477">
        <v>7684301.9331096979</v>
      </c>
      <c r="F4785" s="458">
        <v>0.10387590502617616</v>
      </c>
      <c r="G4785" s="477">
        <v>78246169.210655257</v>
      </c>
      <c r="H4785" s="458">
        <v>0.25495449426477945</v>
      </c>
      <c r="I4785" s="468">
        <v>12.565400672750044</v>
      </c>
    </row>
    <row r="4786" spans="1:9" ht="16.5" x14ac:dyDescent="0.3">
      <c r="A4786" s="477">
        <v>2155479.8133286014</v>
      </c>
      <c r="B4786" s="458">
        <v>3.1316881583760559E-2</v>
      </c>
      <c r="C4786" s="477">
        <v>9121754.4313966185</v>
      </c>
      <c r="D4786" s="458">
        <v>4.1302103738452667E-2</v>
      </c>
      <c r="E4786" s="477">
        <v>8417585.1367421634</v>
      </c>
      <c r="F4786" s="458">
        <v>0.12549950880105265</v>
      </c>
      <c r="G4786" s="477">
        <v>93621967.716652319</v>
      </c>
      <c r="H4786" s="458">
        <v>0.27207404875675212</v>
      </c>
      <c r="I4786" s="468">
        <v>2.8675298490783296</v>
      </c>
    </row>
    <row r="4787" spans="1:9" ht="16.5" x14ac:dyDescent="0.3">
      <c r="A4787" s="477">
        <v>5387289.5050990498</v>
      </c>
      <c r="B4787" s="458">
        <v>5.6255419586232147E-2</v>
      </c>
      <c r="C4787" s="477">
        <v>10091556.52920959</v>
      </c>
      <c r="D4787" s="458">
        <v>6.9405202369810848E-2</v>
      </c>
      <c r="E4787" s="477">
        <v>14176897.599425223</v>
      </c>
      <c r="F4787" s="458">
        <v>8.8410391439612379E-2</v>
      </c>
      <c r="G4787" s="477">
        <v>90333582.727761239</v>
      </c>
      <c r="H4787" s="458">
        <v>0.2706675032791499</v>
      </c>
      <c r="I4787" s="468">
        <v>11.908259623728643</v>
      </c>
    </row>
    <row r="4788" spans="1:9" ht="16.5" x14ac:dyDescent="0.3">
      <c r="A4788" s="477">
        <v>5068190.7338684034</v>
      </c>
      <c r="B4788" s="458">
        <v>3.0863317239801402E-2</v>
      </c>
      <c r="C4788" s="477">
        <v>9075623.5418225769</v>
      </c>
      <c r="D4788" s="458">
        <v>7.6548062032084863E-2</v>
      </c>
      <c r="E4788" s="477">
        <v>21868425.229043283</v>
      </c>
      <c r="F4788" s="458">
        <v>9.7205426167263242E-2</v>
      </c>
      <c r="G4788" s="477">
        <v>86762409.600790113</v>
      </c>
      <c r="H4788" s="458">
        <v>0.27769050986870858</v>
      </c>
      <c r="I4788" s="468">
        <v>7.1223543982504465</v>
      </c>
    </row>
    <row r="4789" spans="1:9" ht="16.5" x14ac:dyDescent="0.3">
      <c r="A4789" s="477">
        <v>4409096.9102975316</v>
      </c>
      <c r="B4789" s="458">
        <v>2.9570646670176615E-2</v>
      </c>
      <c r="C4789" s="477">
        <v>14625161.190554935</v>
      </c>
      <c r="D4789" s="458">
        <v>3.3923855257784075E-2</v>
      </c>
      <c r="E4789" s="477">
        <v>15305650.571877405</v>
      </c>
      <c r="F4789" s="458">
        <v>0.10796110613854482</v>
      </c>
      <c r="G4789" s="477">
        <v>88904079.198218763</v>
      </c>
      <c r="H4789" s="458">
        <v>0.2854187358875957</v>
      </c>
      <c r="I4789" s="468">
        <v>6.3454569188813981</v>
      </c>
    </row>
    <row r="4790" spans="1:9" ht="16.5" x14ac:dyDescent="0.3">
      <c r="A4790" s="477">
        <v>2650640.477762111</v>
      </c>
      <c r="B4790" s="458">
        <v>3.8818363607177497E-2</v>
      </c>
      <c r="C4790" s="477">
        <v>7309072.8746423377</v>
      </c>
      <c r="D4790" s="458">
        <v>7.7366497653489796E-2</v>
      </c>
      <c r="E4790" s="477">
        <v>12651261.18740499</v>
      </c>
      <c r="F4790" s="458">
        <v>0.10510713720993037</v>
      </c>
      <c r="G4790" s="477">
        <v>82041811.686514691</v>
      </c>
      <c r="H4790" s="458">
        <v>0.29146618724899498</v>
      </c>
      <c r="I4790" s="468">
        <v>11.996024034920062</v>
      </c>
    </row>
    <row r="4791" spans="1:9" ht="16.5" x14ac:dyDescent="0.3">
      <c r="A4791" s="477">
        <v>3180526.6761033894</v>
      </c>
      <c r="B4791" s="458">
        <v>4.1152297352652356E-2</v>
      </c>
      <c r="C4791" s="477">
        <v>4698726.6774691399</v>
      </c>
      <c r="D4791" s="458">
        <v>4.1940954397656327E-2</v>
      </c>
      <c r="E4791" s="477">
        <v>10806938.264950015</v>
      </c>
      <c r="F4791" s="458">
        <v>0.10562468748045606</v>
      </c>
      <c r="G4791" s="477">
        <v>96158564.74748449</v>
      </c>
      <c r="H4791" s="458">
        <v>0.26080009857425468</v>
      </c>
      <c r="I4791" s="468">
        <v>5.6296495462092695</v>
      </c>
    </row>
    <row r="4792" spans="1:9" ht="16.5" x14ac:dyDescent="0.3">
      <c r="A4792" s="477">
        <v>8485986.381097991</v>
      </c>
      <c r="B4792" s="458">
        <v>4.1292270134377196E-2</v>
      </c>
      <c r="C4792" s="477">
        <v>12942643.717432536</v>
      </c>
      <c r="D4792" s="458">
        <v>0.10125410279968428</v>
      </c>
      <c r="E4792" s="477">
        <v>13360918.197553016</v>
      </c>
      <c r="F4792" s="458">
        <v>8.3473527549339455E-2</v>
      </c>
      <c r="G4792" s="477">
        <v>80131422.348023772</v>
      </c>
      <c r="H4792" s="458">
        <v>0.26320849391637058</v>
      </c>
      <c r="I4792" s="468">
        <v>7.8182023245935959</v>
      </c>
    </row>
    <row r="4793" spans="1:9" ht="16.5" x14ac:dyDescent="0.3">
      <c r="A4793" s="477">
        <v>3936255.7015841957</v>
      </c>
      <c r="B4793" s="458">
        <v>6.3355217462110591E-2</v>
      </c>
      <c r="C4793" s="477">
        <v>-5257658.2670836141</v>
      </c>
      <c r="D4793" s="458">
        <v>6.24503812756807E-2</v>
      </c>
      <c r="E4793" s="477">
        <v>15049175.994668217</v>
      </c>
      <c r="F4793" s="458">
        <v>0.12398141357108838</v>
      </c>
      <c r="G4793" s="477">
        <v>89727122.631033048</v>
      </c>
      <c r="H4793" s="458">
        <v>0.30616455944267318</v>
      </c>
      <c r="I4793" s="468">
        <v>10.572919179465515</v>
      </c>
    </row>
    <row r="4794" spans="1:9" ht="16.5" x14ac:dyDescent="0.3">
      <c r="A4794" s="477">
        <v>6483041.3658857662</v>
      </c>
      <c r="B4794" s="458">
        <v>2.6366643374121201E-2</v>
      </c>
      <c r="C4794" s="477">
        <v>7821318.923177449</v>
      </c>
      <c r="D4794" s="458">
        <v>5.209914598356824E-2</v>
      </c>
      <c r="E4794" s="477">
        <v>12857052.211877204</v>
      </c>
      <c r="F4794" s="458">
        <v>0.10561722966312037</v>
      </c>
      <c r="G4794" s="477">
        <v>90973262.650116816</v>
      </c>
      <c r="H4794" s="458">
        <v>0.25771020002509282</v>
      </c>
      <c r="I4794" s="468">
        <v>8.5159300777916602</v>
      </c>
    </row>
    <row r="4795" spans="1:9" ht="16.5" x14ac:dyDescent="0.3">
      <c r="A4795" s="477">
        <v>5798152.7765921839</v>
      </c>
      <c r="B4795" s="458">
        <v>4.4551524870359849E-2</v>
      </c>
      <c r="C4795" s="477">
        <v>1818708.5409235922</v>
      </c>
      <c r="D4795" s="458">
        <v>5.7260913526961499E-2</v>
      </c>
      <c r="E4795" s="477">
        <v>14157805.434114663</v>
      </c>
      <c r="F4795" s="458">
        <v>9.3802300513393444E-2</v>
      </c>
      <c r="G4795" s="477">
        <v>87904322.601487622</v>
      </c>
      <c r="H4795" s="458">
        <v>0.27918667092610505</v>
      </c>
      <c r="I4795" s="468">
        <v>9.9833350833765451</v>
      </c>
    </row>
    <row r="4796" spans="1:9" ht="16.5" x14ac:dyDescent="0.3">
      <c r="A4796" s="477">
        <v>3444605.7905099411</v>
      </c>
      <c r="B4796" s="458">
        <v>4.9094295010451372E-2</v>
      </c>
      <c r="C4796" s="477">
        <v>15947000.557955993</v>
      </c>
      <c r="D4796" s="458">
        <v>5.1995685001919645E-2</v>
      </c>
      <c r="E4796" s="477">
        <v>16711685.91509496</v>
      </c>
      <c r="F4796" s="458">
        <v>0.12568469421273654</v>
      </c>
      <c r="G4796" s="477">
        <v>92113010.616355851</v>
      </c>
      <c r="H4796" s="458">
        <v>0.27031370304298563</v>
      </c>
      <c r="I4796" s="468">
        <v>1.625361721613884</v>
      </c>
    </row>
    <row r="4797" spans="1:9" ht="16.5" x14ac:dyDescent="0.3">
      <c r="A4797" s="477">
        <v>6573984.1624733228</v>
      </c>
      <c r="B4797" s="458">
        <v>3.9637171759275835E-2</v>
      </c>
      <c r="C4797" s="477">
        <v>12901215.183436142</v>
      </c>
      <c r="D4797" s="458">
        <v>6.6489754623272335E-2</v>
      </c>
      <c r="E4797" s="477">
        <v>13857600.849347884</v>
      </c>
      <c r="F4797" s="458">
        <v>0.1220003981665323</v>
      </c>
      <c r="G4797" s="477">
        <v>98240435.7307612</v>
      </c>
      <c r="H4797" s="458">
        <v>0.28042388589623957</v>
      </c>
      <c r="I4797" s="468">
        <v>11.633180212917585</v>
      </c>
    </row>
    <row r="4798" spans="1:9" ht="16.5" x14ac:dyDescent="0.3">
      <c r="A4798" s="477">
        <v>2930943.7721370389</v>
      </c>
      <c r="B4798" s="458">
        <v>3.6051219560849779E-2</v>
      </c>
      <c r="C4798" s="477">
        <v>9928080.0061185006</v>
      </c>
      <c r="D4798" s="458">
        <v>6.0219035855949121E-2</v>
      </c>
      <c r="E4798" s="477">
        <v>9928943.5170369316</v>
      </c>
      <c r="F4798" s="458">
        <v>0.11851074609821555</v>
      </c>
      <c r="G4798" s="477">
        <v>78429151.089566693</v>
      </c>
      <c r="H4798" s="458">
        <v>0.25471792405123383</v>
      </c>
      <c r="I4798" s="468">
        <v>9.7709728131433398</v>
      </c>
    </row>
    <row r="4799" spans="1:9" ht="16.5" x14ac:dyDescent="0.3">
      <c r="A4799" s="477">
        <v>4601275.611860428</v>
      </c>
      <c r="B4799" s="458">
        <v>2.3685848894185568E-2</v>
      </c>
      <c r="C4799" s="477">
        <v>9487552.9234134965</v>
      </c>
      <c r="D4799" s="458">
        <v>5.8576140919643249E-2</v>
      </c>
      <c r="E4799" s="477">
        <v>20827409.225221224</v>
      </c>
      <c r="F4799" s="458">
        <v>0.11522705366374164</v>
      </c>
      <c r="G4799" s="477">
        <v>88003052.597446516</v>
      </c>
      <c r="H4799" s="458">
        <v>0.26164551640385891</v>
      </c>
      <c r="I4799" s="468">
        <v>4.6167783079385787</v>
      </c>
    </row>
    <row r="4800" spans="1:9" ht="16.5" x14ac:dyDescent="0.3">
      <c r="A4800" s="477">
        <v>6678101.6850166107</v>
      </c>
      <c r="B4800" s="458">
        <v>5.8675567858140543E-2</v>
      </c>
      <c r="C4800" s="477">
        <v>2503067.7815546282</v>
      </c>
      <c r="D4800" s="458">
        <v>6.3514849442252164E-2</v>
      </c>
      <c r="E4800" s="477">
        <v>10953198.003852269</v>
      </c>
      <c r="F4800" s="458">
        <v>0.13186945981223275</v>
      </c>
      <c r="G4800" s="477">
        <v>82810282.058575124</v>
      </c>
      <c r="H4800" s="458">
        <v>0.27251124028560914</v>
      </c>
      <c r="I4800" s="468">
        <v>12.718371856930675</v>
      </c>
    </row>
    <row r="4801" spans="1:9" ht="16.5" x14ac:dyDescent="0.3">
      <c r="A4801" s="477">
        <v>8641106.3751349989</v>
      </c>
      <c r="B4801" s="458">
        <v>4.0062481254973026E-2</v>
      </c>
      <c r="C4801" s="477">
        <v>10285341.453855013</v>
      </c>
      <c r="D4801" s="458">
        <v>8.2562538081285775E-2</v>
      </c>
      <c r="E4801" s="477">
        <v>22661020.664631214</v>
      </c>
      <c r="F4801" s="458">
        <v>0.11361492698843567</v>
      </c>
      <c r="G4801" s="477">
        <v>96520758.402149394</v>
      </c>
      <c r="H4801" s="458">
        <v>0.28453270747111015</v>
      </c>
      <c r="I4801" s="468">
        <v>5.0638515226475551</v>
      </c>
    </row>
    <row r="4802" spans="1:9" ht="16.5" x14ac:dyDescent="0.3">
      <c r="A4802" s="477">
        <v>2483856.5631593987</v>
      </c>
      <c r="B4802" s="458">
        <v>4.388504854176678E-2</v>
      </c>
      <c r="C4802" s="477">
        <v>8517390.2960920874</v>
      </c>
      <c r="D4802" s="458">
        <v>4.906434771167878E-2</v>
      </c>
      <c r="E4802" s="477">
        <v>14105104.138086781</v>
      </c>
      <c r="F4802" s="458">
        <v>9.7064625158536533E-2</v>
      </c>
      <c r="G4802" s="477">
        <v>97207191.008436874</v>
      </c>
      <c r="H4802" s="458">
        <v>0.27106863358690281</v>
      </c>
      <c r="I4802" s="468">
        <v>-3.3575867467806582</v>
      </c>
    </row>
    <row r="4803" spans="1:9" ht="16.5" x14ac:dyDescent="0.3">
      <c r="A4803" s="477">
        <v>5702705.2915376304</v>
      </c>
      <c r="B4803" s="458">
        <v>3.7993250958567648E-2</v>
      </c>
      <c r="C4803" s="477">
        <v>7233793.2726805611</v>
      </c>
      <c r="D4803" s="458">
        <v>6.189357791366068E-2</v>
      </c>
      <c r="E4803" s="477">
        <v>17863902.241650604</v>
      </c>
      <c r="F4803" s="458">
        <v>0.10546461363656601</v>
      </c>
      <c r="G4803" s="477">
        <v>94411615.910743624</v>
      </c>
      <c r="H4803" s="458">
        <v>0.26508791283573907</v>
      </c>
      <c r="I4803" s="468">
        <v>8.6112031138288394</v>
      </c>
    </row>
    <row r="4804" spans="1:9" ht="16.5" x14ac:dyDescent="0.3">
      <c r="A4804" s="477">
        <v>6616071.8014831701</v>
      </c>
      <c r="B4804" s="458">
        <v>3.5386810947886316E-2</v>
      </c>
      <c r="C4804" s="477">
        <v>11996980.465566527</v>
      </c>
      <c r="D4804" s="458">
        <v>1.6290612665710302E-2</v>
      </c>
      <c r="E4804" s="477">
        <v>23680199.468643524</v>
      </c>
      <c r="F4804" s="458">
        <v>0.10497804785912135</v>
      </c>
      <c r="G4804" s="477">
        <v>101763565.58019045</v>
      </c>
      <c r="H4804" s="458">
        <v>0.29083453249903846</v>
      </c>
      <c r="I4804" s="468">
        <v>5.4777846545744824</v>
      </c>
    </row>
    <row r="4805" spans="1:9" ht="16.5" x14ac:dyDescent="0.3">
      <c r="A4805" s="477">
        <v>6870070.4960855367</v>
      </c>
      <c r="B4805" s="458">
        <v>5.3048385759501437E-2</v>
      </c>
      <c r="C4805" s="477">
        <v>10607710.926283319</v>
      </c>
      <c r="D4805" s="458">
        <v>7.4505567674667539E-2</v>
      </c>
      <c r="E4805" s="477">
        <v>18786055.752001967</v>
      </c>
      <c r="F4805" s="458">
        <v>0.1048920933449502</v>
      </c>
      <c r="G4805" s="477">
        <v>100162505.91346867</v>
      </c>
      <c r="H4805" s="458">
        <v>0.26751477516587885</v>
      </c>
      <c r="I4805" s="468">
        <v>8.046970975569014</v>
      </c>
    </row>
    <row r="4806" spans="1:9" ht="16.5" x14ac:dyDescent="0.3">
      <c r="A4806" s="477">
        <v>6268357.9460665854</v>
      </c>
      <c r="B4806" s="458">
        <v>3.9004430795770428E-2</v>
      </c>
      <c r="C4806" s="477">
        <v>14747993.729273057</v>
      </c>
      <c r="D4806" s="458">
        <v>0.13093680507181338</v>
      </c>
      <c r="E4806" s="477">
        <v>16134704.259076511</v>
      </c>
      <c r="F4806" s="458">
        <v>0.12648688139646613</v>
      </c>
      <c r="G4806" s="477">
        <v>89371204.441336513</v>
      </c>
      <c r="H4806" s="458">
        <v>0.27950773672717766</v>
      </c>
      <c r="I4806" s="468">
        <v>3.5369616043326442</v>
      </c>
    </row>
    <row r="4807" spans="1:9" ht="16.5" x14ac:dyDescent="0.3">
      <c r="A4807" s="477">
        <v>8910673.0684346035</v>
      </c>
      <c r="B4807" s="458">
        <v>3.9782344030439898E-2</v>
      </c>
      <c r="C4807" s="477">
        <v>6822756.0651882282</v>
      </c>
      <c r="D4807" s="458">
        <v>6.5397525756004216E-2</v>
      </c>
      <c r="E4807" s="477">
        <v>10772806.899258327</v>
      </c>
      <c r="F4807" s="458">
        <v>0.10848597874665145</v>
      </c>
      <c r="G4807" s="477">
        <v>101207238.07570377</v>
      </c>
      <c r="H4807" s="458">
        <v>0.27060368956996594</v>
      </c>
      <c r="I4807" s="468">
        <v>13.972580063926031</v>
      </c>
    </row>
    <row r="4808" spans="1:9" ht="16.5" x14ac:dyDescent="0.3">
      <c r="A4808" s="477">
        <v>4755448.8883209024</v>
      </c>
      <c r="B4808" s="458">
        <v>6.3800998328793046E-2</v>
      </c>
      <c r="C4808" s="477">
        <v>7890473.0660335608</v>
      </c>
      <c r="D4808" s="458">
        <v>4.5659033720224507E-2</v>
      </c>
      <c r="E4808" s="477">
        <v>19405699.583579153</v>
      </c>
      <c r="F4808" s="458">
        <v>0.12207758048591177</v>
      </c>
      <c r="G4808" s="477">
        <v>66074524.409343652</v>
      </c>
      <c r="H4808" s="458">
        <v>0.26400726782384365</v>
      </c>
      <c r="I4808" s="468">
        <v>10.196320303237743</v>
      </c>
    </row>
    <row r="4809" spans="1:9" ht="16.5" x14ac:dyDescent="0.3">
      <c r="A4809" s="477">
        <v>4805284.3629866913</v>
      </c>
      <c r="B4809" s="458">
        <v>3.4081871317419798E-2</v>
      </c>
      <c r="C4809" s="477">
        <v>10139604.596572245</v>
      </c>
      <c r="D4809" s="458">
        <v>5.9716674974171324E-2</v>
      </c>
      <c r="E4809" s="477">
        <v>14480717.387420597</v>
      </c>
      <c r="F4809" s="458">
        <v>0.101280587874226</v>
      </c>
      <c r="G4809" s="477">
        <v>91104237.412823543</v>
      </c>
      <c r="H4809" s="458">
        <v>0.25716826494694245</v>
      </c>
      <c r="I4809" s="468">
        <v>13.608365469278866</v>
      </c>
    </row>
    <row r="4810" spans="1:9" ht="16.5" x14ac:dyDescent="0.3">
      <c r="A4810" s="477">
        <v>3350701.9713714658</v>
      </c>
      <c r="B4810" s="458">
        <v>4.3503462776738333E-2</v>
      </c>
      <c r="C4810" s="477">
        <v>7224802.9707700508</v>
      </c>
      <c r="D4810" s="458">
        <v>6.4794447283226475E-2</v>
      </c>
      <c r="E4810" s="477">
        <v>17589239.392795399</v>
      </c>
      <c r="F4810" s="458">
        <v>0.12252752698736424</v>
      </c>
      <c r="G4810" s="477">
        <v>80727578.205809057</v>
      </c>
      <c r="H4810" s="458">
        <v>0.2793610974425913</v>
      </c>
      <c r="I4810" s="468">
        <v>7.0594343122532619</v>
      </c>
    </row>
    <row r="4811" spans="1:9" ht="16.5" x14ac:dyDescent="0.3">
      <c r="A4811" s="477">
        <v>2814252.5698038731</v>
      </c>
      <c r="B4811" s="458">
        <v>3.2950466437920989E-2</v>
      </c>
      <c r="C4811" s="477">
        <v>15841834.900371626</v>
      </c>
      <c r="D4811" s="458">
        <v>6.6937262931484387E-2</v>
      </c>
      <c r="E4811" s="477">
        <v>19165931.150966559</v>
      </c>
      <c r="F4811" s="458">
        <v>9.8633235362014293E-2</v>
      </c>
      <c r="G4811" s="477">
        <v>104692740.64670788</v>
      </c>
      <c r="H4811" s="458">
        <v>0.27062998627285118</v>
      </c>
      <c r="I4811" s="468">
        <v>10.809500927418826</v>
      </c>
    </row>
    <row r="4812" spans="1:9" ht="16.5" x14ac:dyDescent="0.3">
      <c r="A4812" s="477">
        <v>7707473.6160621708</v>
      </c>
      <c r="B4812" s="458">
        <v>3.3459540576239233E-2</v>
      </c>
      <c r="C4812" s="477">
        <v>10901580.644258911</v>
      </c>
      <c r="D4812" s="458">
        <v>8.1745768003674169E-2</v>
      </c>
      <c r="E4812" s="477">
        <v>22405684.682544533</v>
      </c>
      <c r="F4812" s="458">
        <v>0.11315004752518032</v>
      </c>
      <c r="G4812" s="477">
        <v>86735510.52911596</v>
      </c>
      <c r="H4812" s="458">
        <v>0.27931816296080747</v>
      </c>
      <c r="I4812" s="468">
        <v>6.2567347406765457</v>
      </c>
    </row>
    <row r="4813" spans="1:9" ht="16.5" x14ac:dyDescent="0.3">
      <c r="A4813" s="477">
        <v>6316318.8671784811</v>
      </c>
      <c r="B4813" s="458">
        <v>5.18699209634923E-2</v>
      </c>
      <c r="C4813" s="477">
        <v>13260922.306927543</v>
      </c>
      <c r="D4813" s="458">
        <v>0.10502231934335171</v>
      </c>
      <c r="E4813" s="477">
        <v>20130697.456452701</v>
      </c>
      <c r="F4813" s="458">
        <v>8.2259619027531983E-2</v>
      </c>
      <c r="G4813" s="477">
        <v>98209428.321759179</v>
      </c>
      <c r="H4813" s="458">
        <v>0.25887906570512298</v>
      </c>
      <c r="I4813" s="468">
        <v>10.215347240294939</v>
      </c>
    </row>
    <row r="4814" spans="1:9" ht="16.5" x14ac:dyDescent="0.3">
      <c r="A4814" s="477">
        <v>5190196.6831996851</v>
      </c>
      <c r="B4814" s="458">
        <v>3.6983107556112005E-2</v>
      </c>
      <c r="C4814" s="477">
        <v>11211348.141145322</v>
      </c>
      <c r="D4814" s="458">
        <v>4.1712465359769579E-2</v>
      </c>
      <c r="E4814" s="477">
        <v>21459537.904235773</v>
      </c>
      <c r="F4814" s="458">
        <v>8.7555392198964688E-2</v>
      </c>
      <c r="G4814" s="477">
        <v>89778624.123382896</v>
      </c>
      <c r="H4814" s="458">
        <v>0.28075482701375742</v>
      </c>
      <c r="I4814" s="468">
        <v>6.1070720544150241</v>
      </c>
    </row>
    <row r="4815" spans="1:9" ht="16.5" x14ac:dyDescent="0.3">
      <c r="A4815" s="477">
        <v>4709054.2837365139</v>
      </c>
      <c r="B4815" s="458">
        <v>4.840347495706121E-2</v>
      </c>
      <c r="C4815" s="477">
        <v>10541777.315698396</v>
      </c>
      <c r="D4815" s="458">
        <v>7.1327998931031589E-2</v>
      </c>
      <c r="E4815" s="477">
        <v>19842891.562940657</v>
      </c>
      <c r="F4815" s="458">
        <v>0.10227404978720278</v>
      </c>
      <c r="G4815" s="477">
        <v>104101277.15754046</v>
      </c>
      <c r="H4815" s="458">
        <v>0.27140415012055019</v>
      </c>
      <c r="I4815" s="468">
        <v>7.5558908525583801</v>
      </c>
    </row>
    <row r="4816" spans="1:9" ht="16.5" x14ac:dyDescent="0.3">
      <c r="A4816" s="477">
        <v>4159365.441696974</v>
      </c>
      <c r="B4816" s="458">
        <v>4.9154763464316353E-2</v>
      </c>
      <c r="C4816" s="477">
        <v>2814568.0152411978</v>
      </c>
      <c r="D4816" s="458">
        <v>3.8130775230937219E-2</v>
      </c>
      <c r="E4816" s="477">
        <v>14519515.471318224</v>
      </c>
      <c r="F4816" s="458">
        <v>0.10920444396348983</v>
      </c>
      <c r="G4816" s="477">
        <v>91750357.254907429</v>
      </c>
      <c r="H4816" s="458">
        <v>0.26600311069787019</v>
      </c>
      <c r="I4816" s="468">
        <v>5.9769686410618483</v>
      </c>
    </row>
    <row r="4817" spans="1:9" ht="16.5" x14ac:dyDescent="0.3">
      <c r="A4817" s="477">
        <v>2446150.1293913741</v>
      </c>
      <c r="B4817" s="458">
        <v>4.0765975675785215E-2</v>
      </c>
      <c r="C4817" s="477">
        <v>10919829.373982662</v>
      </c>
      <c r="D4817" s="458">
        <v>6.0282009094763334E-2</v>
      </c>
      <c r="E4817" s="477">
        <v>18711840.317295805</v>
      </c>
      <c r="F4817" s="458">
        <v>0.10432268810754919</v>
      </c>
      <c r="G4817" s="477">
        <v>85691512.752099752</v>
      </c>
      <c r="H4817" s="458">
        <v>0.27938311888680678</v>
      </c>
      <c r="I4817" s="468">
        <v>5.59774786988317</v>
      </c>
    </row>
    <row r="4818" spans="1:9" ht="16.5" x14ac:dyDescent="0.3">
      <c r="A4818" s="477">
        <v>3957846.4549982054</v>
      </c>
      <c r="B4818" s="458">
        <v>4.9813283165016653E-2</v>
      </c>
      <c r="C4818" s="477">
        <v>15496997.101473438</v>
      </c>
      <c r="D4818" s="458">
        <v>8.2231226660907986E-2</v>
      </c>
      <c r="E4818" s="477">
        <v>22089650.542019632</v>
      </c>
      <c r="F4818" s="458">
        <v>9.7573220504725722E-2</v>
      </c>
      <c r="G4818" s="477">
        <v>89871954.864705548</v>
      </c>
      <c r="H4818" s="458">
        <v>0.26266274243383392</v>
      </c>
      <c r="I4818" s="468">
        <v>9.9049665562849132</v>
      </c>
    </row>
    <row r="4819" spans="1:9" ht="16.5" x14ac:dyDescent="0.3">
      <c r="A4819" s="477">
        <v>4727038.4702730449</v>
      </c>
      <c r="B4819" s="458">
        <v>3.4463345794443212E-2</v>
      </c>
      <c r="C4819" s="477">
        <v>7648301.6474095127</v>
      </c>
      <c r="D4819" s="458">
        <v>6.3669078810084434E-2</v>
      </c>
      <c r="E4819" s="477">
        <v>16075747.452810789</v>
      </c>
      <c r="F4819" s="458">
        <v>9.0350145685802241E-2</v>
      </c>
      <c r="G4819" s="477">
        <v>79375030.059060708</v>
      </c>
      <c r="H4819" s="458">
        <v>0.26221690196129877</v>
      </c>
      <c r="I4819" s="468">
        <v>5.9035635999137188</v>
      </c>
    </row>
    <row r="4820" spans="1:9" ht="16.5" x14ac:dyDescent="0.3">
      <c r="A4820" s="477">
        <v>4373460.4874579888</v>
      </c>
      <c r="B4820" s="458">
        <v>3.3338000572799675E-2</v>
      </c>
      <c r="C4820" s="477">
        <v>9342471.8063829448</v>
      </c>
      <c r="D4820" s="458">
        <v>7.8939500915885086E-2</v>
      </c>
      <c r="E4820" s="477">
        <v>14274778.67239717</v>
      </c>
      <c r="F4820" s="458">
        <v>9.5920407209229674E-2</v>
      </c>
      <c r="G4820" s="477">
        <v>91969815.892831862</v>
      </c>
      <c r="H4820" s="458">
        <v>0.27675308166528478</v>
      </c>
      <c r="I4820" s="468">
        <v>12.029985318321225</v>
      </c>
    </row>
    <row r="4821" spans="1:9" ht="16.5" x14ac:dyDescent="0.3">
      <c r="A4821" s="477">
        <v>3642456.4562550876</v>
      </c>
      <c r="B4821" s="458">
        <v>5.0466176134005503E-2</v>
      </c>
      <c r="C4821" s="477">
        <v>14305187.758868525</v>
      </c>
      <c r="D4821" s="458">
        <v>6.8585907387068712E-2</v>
      </c>
      <c r="E4821" s="477">
        <v>12266285.03506954</v>
      </c>
      <c r="F4821" s="458">
        <v>0.11566814734816222</v>
      </c>
      <c r="G4821" s="477">
        <v>103081175.76648727</v>
      </c>
      <c r="H4821" s="458">
        <v>0.26593544411746106</v>
      </c>
      <c r="I4821" s="468">
        <v>6.7285333326243846</v>
      </c>
    </row>
    <row r="4822" spans="1:9" ht="16.5" x14ac:dyDescent="0.3">
      <c r="A4822" s="477">
        <v>7053932.4543012129</v>
      </c>
      <c r="B4822" s="458">
        <v>4.4575339671232728E-2</v>
      </c>
      <c r="C4822" s="477">
        <v>3287976.6735114236</v>
      </c>
      <c r="D4822" s="458">
        <v>6.6026698968662423E-2</v>
      </c>
      <c r="E4822" s="477">
        <v>10580633.263251878</v>
      </c>
      <c r="F4822" s="458">
        <v>0.14366930096353925</v>
      </c>
      <c r="G4822" s="477">
        <v>93678538.443170279</v>
      </c>
      <c r="H4822" s="458">
        <v>0.25639955258479308</v>
      </c>
      <c r="I4822" s="468">
        <v>5.0888452714375934</v>
      </c>
    </row>
    <row r="4823" spans="1:9" ht="16.5" x14ac:dyDescent="0.3">
      <c r="A4823" s="477">
        <v>6362667.1352142617</v>
      </c>
      <c r="B4823" s="458">
        <v>3.6385606720862995E-2</v>
      </c>
      <c r="C4823" s="477">
        <v>-2277788.1394553673</v>
      </c>
      <c r="D4823" s="458">
        <v>4.0388852266829423E-2</v>
      </c>
      <c r="E4823" s="477">
        <v>11158933.5390359</v>
      </c>
      <c r="F4823" s="458">
        <v>0.10747873015638287</v>
      </c>
      <c r="G4823" s="477">
        <v>100823677.26844473</v>
      </c>
      <c r="H4823" s="458">
        <v>0.26036272567099572</v>
      </c>
      <c r="I4823" s="468">
        <v>8.8898246949891071</v>
      </c>
    </row>
    <row r="4824" spans="1:9" ht="16.5" x14ac:dyDescent="0.3">
      <c r="A4824" s="477">
        <v>6512429.5256072171</v>
      </c>
      <c r="B4824" s="458">
        <v>4.8857591342778894E-2</v>
      </c>
      <c r="C4824" s="477">
        <v>6283542.8691481762</v>
      </c>
      <c r="D4824" s="458">
        <v>9.4139211037387316E-2</v>
      </c>
      <c r="E4824" s="477">
        <v>12896124.016448332</v>
      </c>
      <c r="F4824" s="458">
        <v>0.11289823238769814</v>
      </c>
      <c r="G4824" s="477">
        <v>82659264.175207242</v>
      </c>
      <c r="H4824" s="458">
        <v>0.28295531464227319</v>
      </c>
      <c r="I4824" s="468">
        <v>9.8148837234209925</v>
      </c>
    </row>
    <row r="4825" spans="1:9" ht="16.5" x14ac:dyDescent="0.3">
      <c r="A4825" s="477">
        <v>7447045.95936934</v>
      </c>
      <c r="B4825" s="458">
        <v>4.5304636699024625E-2</v>
      </c>
      <c r="C4825" s="477">
        <v>8221128.9089204622</v>
      </c>
      <c r="D4825" s="458">
        <v>7.4964409314418834E-2</v>
      </c>
      <c r="E4825" s="477">
        <v>22170169.243268345</v>
      </c>
      <c r="F4825" s="458">
        <v>0.10302785551984694</v>
      </c>
      <c r="G4825" s="477">
        <v>92755516.564550444</v>
      </c>
      <c r="H4825" s="458">
        <v>0.28338496875431241</v>
      </c>
      <c r="I4825" s="468">
        <v>6.8932550787849554</v>
      </c>
    </row>
    <row r="4826" spans="1:9" ht="16.5" x14ac:dyDescent="0.3">
      <c r="A4826" s="477">
        <v>7573143.2865969026</v>
      </c>
      <c r="B4826" s="458">
        <v>4.877785424787584E-2</v>
      </c>
      <c r="C4826" s="477">
        <v>6955324.3265733831</v>
      </c>
      <c r="D4826" s="458">
        <v>2.7462217435433089E-2</v>
      </c>
      <c r="E4826" s="477">
        <v>19871006.598034061</v>
      </c>
      <c r="F4826" s="458">
        <v>0.11111721200002034</v>
      </c>
      <c r="G4826" s="477">
        <v>85798877.597546712</v>
      </c>
      <c r="H4826" s="458">
        <v>0.26489305967383747</v>
      </c>
      <c r="I4826" s="468">
        <v>9.9855469116910882</v>
      </c>
    </row>
    <row r="4827" spans="1:9" ht="16.5" x14ac:dyDescent="0.3">
      <c r="A4827" s="477">
        <v>4235828.3031044686</v>
      </c>
      <c r="B4827" s="458">
        <v>6.9621771759879048E-2</v>
      </c>
      <c r="C4827" s="477">
        <v>7942802.3697416475</v>
      </c>
      <c r="D4827" s="458">
        <v>5.9988639659160015E-2</v>
      </c>
      <c r="E4827" s="477">
        <v>20782323.358385887</v>
      </c>
      <c r="F4827" s="458">
        <v>8.6942433219227011E-2</v>
      </c>
      <c r="G4827" s="477">
        <v>108688373.30074993</v>
      </c>
      <c r="H4827" s="458">
        <v>0.26362999854207603</v>
      </c>
      <c r="I4827" s="468">
        <v>10.671427843763441</v>
      </c>
    </row>
    <row r="4828" spans="1:9" ht="16.5" x14ac:dyDescent="0.3">
      <c r="A4828" s="477">
        <v>7590647.6818924025</v>
      </c>
      <c r="B4828" s="458">
        <v>4.7916208758732814E-2</v>
      </c>
      <c r="C4828" s="477">
        <v>8901662.92457252</v>
      </c>
      <c r="D4828" s="458">
        <v>5.2132727308306093E-2</v>
      </c>
      <c r="E4828" s="477">
        <v>8057306.9011439467</v>
      </c>
      <c r="F4828" s="458">
        <v>9.1395536643118724E-2</v>
      </c>
      <c r="G4828" s="477">
        <v>79911400.307156354</v>
      </c>
      <c r="H4828" s="458">
        <v>0.2540104304382782</v>
      </c>
      <c r="I4828" s="468">
        <v>8.5504573097379861</v>
      </c>
    </row>
    <row r="4829" spans="1:9" ht="16.5" x14ac:dyDescent="0.3">
      <c r="A4829" s="477">
        <v>6029603.0213799225</v>
      </c>
      <c r="B4829" s="458">
        <v>5.4056949765368234E-2</v>
      </c>
      <c r="C4829" s="477">
        <v>6240030.2443326535</v>
      </c>
      <c r="D4829" s="458">
        <v>6.9791611748037274E-2</v>
      </c>
      <c r="E4829" s="477">
        <v>18063638.337088052</v>
      </c>
      <c r="F4829" s="458">
        <v>0.11511102505935966</v>
      </c>
      <c r="G4829" s="477">
        <v>89648318.798204839</v>
      </c>
      <c r="H4829" s="458">
        <v>0.29152242459747058</v>
      </c>
      <c r="I4829" s="468">
        <v>5.2580103717300126</v>
      </c>
    </row>
    <row r="4830" spans="1:9" ht="16.5" x14ac:dyDescent="0.3">
      <c r="A4830" s="477">
        <v>7430045.271320452</v>
      </c>
      <c r="B4830" s="458">
        <v>4.594824137407838E-2</v>
      </c>
      <c r="C4830" s="477">
        <v>-1118796.8820292288</v>
      </c>
      <c r="D4830" s="458">
        <v>6.6380725032194832E-2</v>
      </c>
      <c r="E4830" s="477">
        <v>18201239.37556839</v>
      </c>
      <c r="F4830" s="458">
        <v>0.12507166723759044</v>
      </c>
      <c r="G4830" s="477">
        <v>81610284.521964401</v>
      </c>
      <c r="H4830" s="458">
        <v>0.27358222481494088</v>
      </c>
      <c r="I4830" s="468">
        <v>15.505999318230952</v>
      </c>
    </row>
    <row r="4831" spans="1:9" ht="16.5" x14ac:dyDescent="0.3">
      <c r="A4831" s="477">
        <v>5237794.7585606501</v>
      </c>
      <c r="B4831" s="458">
        <v>2.9541886662969752E-2</v>
      </c>
      <c r="C4831" s="477">
        <v>6220581.6772233406</v>
      </c>
      <c r="D4831" s="458">
        <v>8.5994254334662346E-2</v>
      </c>
      <c r="E4831" s="477">
        <v>17002538.862432081</v>
      </c>
      <c r="F4831" s="458">
        <v>7.818283867844622E-2</v>
      </c>
      <c r="G4831" s="477">
        <v>92621013.254607409</v>
      </c>
      <c r="H4831" s="458">
        <v>0.26474535733618509</v>
      </c>
      <c r="I4831" s="468">
        <v>4.4876337325959241</v>
      </c>
    </row>
    <row r="4832" spans="1:9" ht="16.5" x14ac:dyDescent="0.3">
      <c r="A4832" s="477">
        <v>4063561.9399609836</v>
      </c>
      <c r="B4832" s="458">
        <v>2.5047001284634662E-2</v>
      </c>
      <c r="C4832" s="477">
        <v>6564889.5704887165</v>
      </c>
      <c r="D4832" s="458">
        <v>7.3158405481779099E-2</v>
      </c>
      <c r="E4832" s="477">
        <v>18368048.764667764</v>
      </c>
      <c r="F4832" s="458">
        <v>8.7619208497059065E-2</v>
      </c>
      <c r="G4832" s="477">
        <v>83991415.223483413</v>
      </c>
      <c r="H4832" s="458">
        <v>0.26855585640031099</v>
      </c>
      <c r="I4832" s="468">
        <v>6.7841358394946667</v>
      </c>
    </row>
    <row r="4833" spans="1:9" ht="16.5" x14ac:dyDescent="0.3">
      <c r="A4833" s="477">
        <v>9803067.6093399413</v>
      </c>
      <c r="B4833" s="458">
        <v>4.2712663872334078E-2</v>
      </c>
      <c r="C4833" s="477">
        <v>2910133.760399289</v>
      </c>
      <c r="D4833" s="458">
        <v>7.5446086321937722E-2</v>
      </c>
      <c r="E4833" s="477">
        <v>17800195.420115512</v>
      </c>
      <c r="F4833" s="458">
        <v>9.5255405783685632E-2</v>
      </c>
      <c r="G4833" s="477">
        <v>88158329.814395398</v>
      </c>
      <c r="H4833" s="458">
        <v>0.2698318841391858</v>
      </c>
      <c r="I4833" s="468">
        <v>11.460252954857761</v>
      </c>
    </row>
    <row r="4834" spans="1:9" ht="16.5" x14ac:dyDescent="0.3">
      <c r="A4834" s="477">
        <v>3142785.1535502612</v>
      </c>
      <c r="B4834" s="458">
        <v>3.0079617285735161E-2</v>
      </c>
      <c r="C4834" s="477">
        <v>3638283.4163118741</v>
      </c>
      <c r="D4834" s="458">
        <v>4.1907109122136132E-2</v>
      </c>
      <c r="E4834" s="477">
        <v>16672058.964237172</v>
      </c>
      <c r="F4834" s="458">
        <v>0.1252313567872787</v>
      </c>
      <c r="G4834" s="477">
        <v>105124811.18794623</v>
      </c>
      <c r="H4834" s="458">
        <v>0.24614822202724285</v>
      </c>
      <c r="I4834" s="468">
        <v>5.3430141600489076</v>
      </c>
    </row>
    <row r="4835" spans="1:9" ht="16.5" x14ac:dyDescent="0.3">
      <c r="A4835" s="477">
        <v>2688015.9244758934</v>
      </c>
      <c r="B4835" s="458">
        <v>4.1691944601894404E-2</v>
      </c>
      <c r="C4835" s="477">
        <v>9156549.8256573901</v>
      </c>
      <c r="D4835" s="458">
        <v>8.6098810213915522E-2</v>
      </c>
      <c r="E4835" s="477">
        <v>10550256.681939367</v>
      </c>
      <c r="F4835" s="458">
        <v>0.11045379445591785</v>
      </c>
      <c r="G4835" s="477">
        <v>92200461.120086506</v>
      </c>
      <c r="H4835" s="458">
        <v>0.26843623829646512</v>
      </c>
      <c r="I4835" s="468">
        <v>13.392470510543477</v>
      </c>
    </row>
    <row r="4836" spans="1:9" ht="16.5" x14ac:dyDescent="0.3">
      <c r="A4836" s="477">
        <v>5642075.362052395</v>
      </c>
      <c r="B4836" s="458">
        <v>1.1019642047154443E-2</v>
      </c>
      <c r="C4836" s="477">
        <v>13409322.862334436</v>
      </c>
      <c r="D4836" s="458">
        <v>7.5139398219519205E-2</v>
      </c>
      <c r="E4836" s="477">
        <v>14313693.968051279</v>
      </c>
      <c r="F4836" s="458">
        <v>0.13283072791518391</v>
      </c>
      <c r="G4836" s="477">
        <v>93436494.115396127</v>
      </c>
      <c r="H4836" s="458">
        <v>0.2772315501085505</v>
      </c>
      <c r="I4836" s="468">
        <v>9.3807307214937588</v>
      </c>
    </row>
    <row r="4837" spans="1:9" ht="16.5" x14ac:dyDescent="0.3">
      <c r="A4837" s="477">
        <v>4728603.3692976004</v>
      </c>
      <c r="B4837" s="458">
        <v>2.9339085922711838E-2</v>
      </c>
      <c r="C4837" s="477">
        <v>10052888.615223348</v>
      </c>
      <c r="D4837" s="458">
        <v>7.3796791025855679E-2</v>
      </c>
      <c r="E4837" s="477">
        <v>11994729.931384545</v>
      </c>
      <c r="F4837" s="458">
        <v>0.10402988053832352</v>
      </c>
      <c r="G4837" s="477">
        <v>112141500.90123798</v>
      </c>
      <c r="H4837" s="458">
        <v>0.2691325318947444</v>
      </c>
      <c r="I4837" s="468">
        <v>13.881298019217059</v>
      </c>
    </row>
    <row r="4838" spans="1:9" ht="16.5" x14ac:dyDescent="0.3">
      <c r="A4838" s="477">
        <v>-1367129.4840856355</v>
      </c>
      <c r="B4838" s="458">
        <v>2.6409593888055749E-2</v>
      </c>
      <c r="C4838" s="477">
        <v>11067388.909333335</v>
      </c>
      <c r="D4838" s="458">
        <v>7.4040195927325358E-2</v>
      </c>
      <c r="E4838" s="477">
        <v>12302078.417696577</v>
      </c>
      <c r="F4838" s="458">
        <v>0.11605912262927909</v>
      </c>
      <c r="G4838" s="477">
        <v>95881126.985539123</v>
      </c>
      <c r="H4838" s="458">
        <v>0.27793786556302758</v>
      </c>
      <c r="I4838" s="468">
        <v>10.714836187687915</v>
      </c>
    </row>
    <row r="4839" spans="1:9" ht="16.5" x14ac:dyDescent="0.3">
      <c r="A4839" s="477">
        <v>6484560.130959983</v>
      </c>
      <c r="B4839" s="458">
        <v>6.0142400447930733E-2</v>
      </c>
      <c r="C4839" s="477">
        <v>17895685.380097415</v>
      </c>
      <c r="D4839" s="458">
        <v>5.2509242967451408E-2</v>
      </c>
      <c r="E4839" s="477">
        <v>17530145.550612155</v>
      </c>
      <c r="F4839" s="458">
        <v>0.11965038381395532</v>
      </c>
      <c r="G4839" s="477">
        <v>96279288.651465297</v>
      </c>
      <c r="H4839" s="458">
        <v>0.26272560749314189</v>
      </c>
      <c r="I4839" s="468">
        <v>7.5855778823469437</v>
      </c>
    </row>
    <row r="4840" spans="1:9" ht="16.5" x14ac:dyDescent="0.3">
      <c r="A4840" s="477">
        <v>6194634.8460524296</v>
      </c>
      <c r="B4840" s="458">
        <v>4.4758884292500634E-2</v>
      </c>
      <c r="C4840" s="477">
        <v>9037200.68609358</v>
      </c>
      <c r="D4840" s="458">
        <v>5.6586534768652053E-2</v>
      </c>
      <c r="E4840" s="477">
        <v>17855629.226200707</v>
      </c>
      <c r="F4840" s="458">
        <v>0.11874041338584362</v>
      </c>
      <c r="G4840" s="477">
        <v>87963033.749560341</v>
      </c>
      <c r="H4840" s="458">
        <v>0.25690935171408324</v>
      </c>
      <c r="I4840" s="468">
        <v>14.491650826079805</v>
      </c>
    </row>
    <row r="4841" spans="1:9" ht="16.5" x14ac:dyDescent="0.3">
      <c r="A4841" s="477">
        <v>4499813.0669603078</v>
      </c>
      <c r="B4841" s="458">
        <v>5.0765794059221436E-2</v>
      </c>
      <c r="C4841" s="477">
        <v>12476423.382623205</v>
      </c>
      <c r="D4841" s="458">
        <v>5.8358604360896127E-2</v>
      </c>
      <c r="E4841" s="477">
        <v>15369530.592914982</v>
      </c>
      <c r="F4841" s="458">
        <v>0.11483692915373478</v>
      </c>
      <c r="G4841" s="477">
        <v>97087659.382891566</v>
      </c>
      <c r="H4841" s="458">
        <v>0.2590947762990099</v>
      </c>
      <c r="I4841" s="468">
        <v>7.0431794289170826</v>
      </c>
    </row>
    <row r="4842" spans="1:9" ht="16.5" x14ac:dyDescent="0.3">
      <c r="A4842" s="477">
        <v>6270094.4095876692</v>
      </c>
      <c r="B4842" s="458">
        <v>4.283861712984427E-2</v>
      </c>
      <c r="C4842" s="477">
        <v>9666236.7405459434</v>
      </c>
      <c r="D4842" s="458">
        <v>5.3215439877942305E-2</v>
      </c>
      <c r="E4842" s="477">
        <v>699732.34184758435</v>
      </c>
      <c r="F4842" s="458">
        <v>0.11588187727875199</v>
      </c>
      <c r="G4842" s="477">
        <v>88942570.761579275</v>
      </c>
      <c r="H4842" s="458">
        <v>0.27109539731012977</v>
      </c>
      <c r="I4842" s="468">
        <v>9.5694628054051538</v>
      </c>
    </row>
    <row r="4843" spans="1:9" ht="16.5" x14ac:dyDescent="0.3">
      <c r="A4843" s="477">
        <v>3484264.7123171571</v>
      </c>
      <c r="B4843" s="458">
        <v>4.2648862379933483E-2</v>
      </c>
      <c r="C4843" s="477">
        <v>8246019.2454368556</v>
      </c>
      <c r="D4843" s="458">
        <v>6.7041945566475469E-2</v>
      </c>
      <c r="E4843" s="477">
        <v>19757272.880595438</v>
      </c>
      <c r="F4843" s="458">
        <v>9.7467341751986902E-2</v>
      </c>
      <c r="G4843" s="477">
        <v>77394078.212484524</v>
      </c>
      <c r="H4843" s="458">
        <v>0.25578022827967528</v>
      </c>
      <c r="I4843" s="468">
        <v>7.3329395956394237</v>
      </c>
    </row>
    <row r="4844" spans="1:9" ht="16.5" x14ac:dyDescent="0.3">
      <c r="A4844" s="477">
        <v>5010434.7330616508</v>
      </c>
      <c r="B4844" s="458">
        <v>6.5449541220123475E-2</v>
      </c>
      <c r="C4844" s="477">
        <v>5120899.7577917799</v>
      </c>
      <c r="D4844" s="458">
        <v>3.8762747925031649E-2</v>
      </c>
      <c r="E4844" s="477">
        <v>19192311.910795331</v>
      </c>
      <c r="F4844" s="458">
        <v>0.10480154227859173</v>
      </c>
      <c r="G4844" s="477">
        <v>87071029.838956982</v>
      </c>
      <c r="H4844" s="458">
        <v>0.25361720889449568</v>
      </c>
      <c r="I4844" s="468">
        <v>20.539990411169832</v>
      </c>
    </row>
    <row r="4845" spans="1:9" ht="16.5" x14ac:dyDescent="0.3">
      <c r="A4845" s="477">
        <v>5791945.9536239719</v>
      </c>
      <c r="B4845" s="458">
        <v>5.0389008227197163E-2</v>
      </c>
      <c r="C4845" s="477">
        <v>4544749.8236734532</v>
      </c>
      <c r="D4845" s="458">
        <v>6.3738964601737669E-2</v>
      </c>
      <c r="E4845" s="477">
        <v>15900547.659661165</v>
      </c>
      <c r="F4845" s="458">
        <v>0.10857713659209245</v>
      </c>
      <c r="G4845" s="477">
        <v>91832921.65657419</v>
      </c>
      <c r="H4845" s="458">
        <v>0.25256703163248573</v>
      </c>
      <c r="I4845" s="468">
        <v>9.4916633635861984</v>
      </c>
    </row>
    <row r="4846" spans="1:9" ht="16.5" x14ac:dyDescent="0.3">
      <c r="A4846" s="477">
        <v>7509341.1037003389</v>
      </c>
      <c r="B4846" s="458">
        <v>1.2304062268226001E-2</v>
      </c>
      <c r="C4846" s="477">
        <v>9642432.6328578498</v>
      </c>
      <c r="D4846" s="458">
        <v>5.2048149983161762E-2</v>
      </c>
      <c r="E4846" s="477">
        <v>13140467.692299373</v>
      </c>
      <c r="F4846" s="458">
        <v>0.11525689871114286</v>
      </c>
      <c r="G4846" s="477">
        <v>84719574.227242798</v>
      </c>
      <c r="H4846" s="458">
        <v>0.28727900286763242</v>
      </c>
      <c r="I4846" s="468">
        <v>3.3456742519978437</v>
      </c>
    </row>
    <row r="4847" spans="1:9" ht="16.5" x14ac:dyDescent="0.3">
      <c r="A4847" s="477">
        <v>6651328.3175471118</v>
      </c>
      <c r="B4847" s="458">
        <v>5.3883756470419542E-2</v>
      </c>
      <c r="C4847" s="477">
        <v>13016545.452457171</v>
      </c>
      <c r="D4847" s="458">
        <v>7.926871085206999E-2</v>
      </c>
      <c r="E4847" s="477">
        <v>12547682.296646457</v>
      </c>
      <c r="F4847" s="458">
        <v>0.10254696233832195</v>
      </c>
      <c r="G4847" s="477">
        <v>86247838.536656067</v>
      </c>
      <c r="H4847" s="458">
        <v>0.25746540153224129</v>
      </c>
      <c r="I4847" s="468">
        <v>4.4655303387337622</v>
      </c>
    </row>
    <row r="4848" spans="1:9" ht="16.5" x14ac:dyDescent="0.3">
      <c r="A4848" s="477">
        <v>3731629.3173953076</v>
      </c>
      <c r="B4848" s="458">
        <v>4.5310020526837747E-2</v>
      </c>
      <c r="C4848" s="477">
        <v>8332607.3643523529</v>
      </c>
      <c r="D4848" s="458">
        <v>7.1871950425384412E-2</v>
      </c>
      <c r="E4848" s="477">
        <v>21513039.385122683</v>
      </c>
      <c r="F4848" s="458">
        <v>0.11542269057883625</v>
      </c>
      <c r="G4848" s="477">
        <v>95451921.629424363</v>
      </c>
      <c r="H4848" s="458">
        <v>0.25693158149016004</v>
      </c>
      <c r="I4848" s="468">
        <v>6.7726970926404082</v>
      </c>
    </row>
    <row r="4849" spans="1:9" ht="16.5" x14ac:dyDescent="0.3">
      <c r="A4849" s="477">
        <v>9687393.5522050355</v>
      </c>
      <c r="B4849" s="458">
        <v>3.727415187232852E-2</v>
      </c>
      <c r="C4849" s="477">
        <v>16113541.452628033</v>
      </c>
      <c r="D4849" s="458">
        <v>8.8581918112885294E-2</v>
      </c>
      <c r="E4849" s="477">
        <v>11174455.452604895</v>
      </c>
      <c r="F4849" s="458">
        <v>0.13164981397265185</v>
      </c>
      <c r="G4849" s="477">
        <v>85895952.244891077</v>
      </c>
      <c r="H4849" s="458">
        <v>0.27630470320136125</v>
      </c>
      <c r="I4849" s="468">
        <v>4.7354412726320776</v>
      </c>
    </row>
    <row r="4850" spans="1:9" ht="16.5" x14ac:dyDescent="0.3">
      <c r="A4850" s="477">
        <v>4845320.3430168498</v>
      </c>
      <c r="B4850" s="458">
        <v>2.6709817740305342E-2</v>
      </c>
      <c r="C4850" s="477">
        <v>5912267.5337162716</v>
      </c>
      <c r="D4850" s="458">
        <v>7.5667276191215382E-2</v>
      </c>
      <c r="E4850" s="477">
        <v>18982966.496877376</v>
      </c>
      <c r="F4850" s="458">
        <v>0.10757932447204688</v>
      </c>
      <c r="G4850" s="477">
        <v>92852509.979766205</v>
      </c>
      <c r="H4850" s="458">
        <v>0.28111684399075565</v>
      </c>
      <c r="I4850" s="468">
        <v>5.2902772628137047</v>
      </c>
    </row>
    <row r="4851" spans="1:9" ht="16.5" x14ac:dyDescent="0.3">
      <c r="A4851" s="477">
        <v>4512508.9775990238</v>
      </c>
      <c r="B4851" s="458">
        <v>4.0440558690627348E-2</v>
      </c>
      <c r="C4851" s="477">
        <v>10481373.096103793</v>
      </c>
      <c r="D4851" s="458">
        <v>6.1581147896886623E-2</v>
      </c>
      <c r="E4851" s="477">
        <v>18316687.102074407</v>
      </c>
      <c r="F4851" s="458">
        <v>0.10418601103914882</v>
      </c>
      <c r="G4851" s="477">
        <v>83420836.971917659</v>
      </c>
      <c r="H4851" s="458">
        <v>0.29071973665137807</v>
      </c>
      <c r="I4851" s="468">
        <v>4.1186609803049947</v>
      </c>
    </row>
    <row r="4852" spans="1:9" ht="16.5" x14ac:dyDescent="0.3">
      <c r="A4852" s="477">
        <v>7298054.9649742963</v>
      </c>
      <c r="B4852" s="458">
        <v>4.4439112470315845E-2</v>
      </c>
      <c r="C4852" s="477">
        <v>5074264.5586616797</v>
      </c>
      <c r="D4852" s="458">
        <v>6.3874405168416137E-2</v>
      </c>
      <c r="E4852" s="477">
        <v>25363866.419850573</v>
      </c>
      <c r="F4852" s="458">
        <v>0.13556123624862249</v>
      </c>
      <c r="G4852" s="477">
        <v>90029642.216463119</v>
      </c>
      <c r="H4852" s="458">
        <v>0.2625805211962231</v>
      </c>
      <c r="I4852" s="468">
        <v>13.265711818547931</v>
      </c>
    </row>
    <row r="4853" spans="1:9" ht="16.5" x14ac:dyDescent="0.3">
      <c r="A4853" s="477">
        <v>-791623.44275026338</v>
      </c>
      <c r="B4853" s="458">
        <v>4.2217341591009427E-2</v>
      </c>
      <c r="C4853" s="477">
        <v>11321866.306953598</v>
      </c>
      <c r="D4853" s="458">
        <v>8.0741230493258653E-2</v>
      </c>
      <c r="E4853" s="477">
        <v>21377440.300079174</v>
      </c>
      <c r="F4853" s="458">
        <v>0.11810305300191604</v>
      </c>
      <c r="G4853" s="477">
        <v>92241699.429133534</v>
      </c>
      <c r="H4853" s="458">
        <v>0.25864722367659954</v>
      </c>
      <c r="I4853" s="468">
        <v>11.328893497270544</v>
      </c>
    </row>
    <row r="4854" spans="1:9" ht="16.5" x14ac:dyDescent="0.3">
      <c r="A4854" s="477">
        <v>4949601.8534078253</v>
      </c>
      <c r="B4854" s="458">
        <v>3.4200016829651458E-2</v>
      </c>
      <c r="C4854" s="477">
        <v>11382648.210018778</v>
      </c>
      <c r="D4854" s="458">
        <v>5.8563577030981362E-2</v>
      </c>
      <c r="E4854" s="477">
        <v>20907560.768892303</v>
      </c>
      <c r="F4854" s="458">
        <v>0.12470197092710356</v>
      </c>
      <c r="G4854" s="477">
        <v>92135208.202502191</v>
      </c>
      <c r="H4854" s="458">
        <v>0.27245995804283241</v>
      </c>
      <c r="I4854" s="468">
        <v>5.7327885831711258</v>
      </c>
    </row>
    <row r="4855" spans="1:9" ht="16.5" x14ac:dyDescent="0.3">
      <c r="A4855" s="477">
        <v>3834698.9313781071</v>
      </c>
      <c r="B4855" s="458">
        <v>4.1943584059589423E-2</v>
      </c>
      <c r="C4855" s="477">
        <v>7627994.6866936767</v>
      </c>
      <c r="D4855" s="458">
        <v>6.5339964443721366E-2</v>
      </c>
      <c r="E4855" s="477">
        <v>23500563.181002751</v>
      </c>
      <c r="F4855" s="458">
        <v>0.12570108090790955</v>
      </c>
      <c r="G4855" s="477">
        <v>94466836.38707979</v>
      </c>
      <c r="H4855" s="458">
        <v>0.25059509734153007</v>
      </c>
      <c r="I4855" s="468">
        <v>5.6818150515156649</v>
      </c>
    </row>
    <row r="4856" spans="1:9" ht="16.5" x14ac:dyDescent="0.3">
      <c r="A4856" s="477">
        <v>7266081.8728968706</v>
      </c>
      <c r="B4856" s="458">
        <v>4.3355071622629859E-2</v>
      </c>
      <c r="C4856" s="477">
        <v>9066563.757121874</v>
      </c>
      <c r="D4856" s="458">
        <v>4.1218479868657676E-2</v>
      </c>
      <c r="E4856" s="477">
        <v>18362459.223229874</v>
      </c>
      <c r="F4856" s="458">
        <v>0.1069176750118761</v>
      </c>
      <c r="G4856" s="477">
        <v>93008892.154817075</v>
      </c>
      <c r="H4856" s="458">
        <v>0.2773330551979285</v>
      </c>
      <c r="I4856" s="468">
        <v>7.8197597899129683</v>
      </c>
    </row>
    <row r="4857" spans="1:9" ht="16.5" x14ac:dyDescent="0.3">
      <c r="A4857" s="477">
        <v>13106126.037105406</v>
      </c>
      <c r="B4857" s="458">
        <v>4.4840199686446036E-2</v>
      </c>
      <c r="C4857" s="477">
        <v>5964521.0426430637</v>
      </c>
      <c r="D4857" s="458">
        <v>6.7441717459439499E-2</v>
      </c>
      <c r="E4857" s="477">
        <v>20723589.768223044</v>
      </c>
      <c r="F4857" s="458">
        <v>0.13594549794124466</v>
      </c>
      <c r="G4857" s="477">
        <v>102366267.85766469</v>
      </c>
      <c r="H4857" s="458">
        <v>0.26405991023009401</v>
      </c>
      <c r="I4857" s="468">
        <v>5.2867523968260954</v>
      </c>
    </row>
    <row r="4858" spans="1:9" ht="16.5" x14ac:dyDescent="0.3">
      <c r="A4858" s="477">
        <v>6357681.4613589086</v>
      </c>
      <c r="B4858" s="458">
        <v>5.673851862940027E-2</v>
      </c>
      <c r="C4858" s="477">
        <v>5509149.2420907039</v>
      </c>
      <c r="D4858" s="458">
        <v>7.2181772966433355E-2</v>
      </c>
      <c r="E4858" s="477">
        <v>22877365.51624316</v>
      </c>
      <c r="F4858" s="458">
        <v>9.3384099364573148E-2</v>
      </c>
      <c r="G4858" s="477">
        <v>85007234.662420183</v>
      </c>
      <c r="H4858" s="458">
        <v>0.26952854886089384</v>
      </c>
      <c r="I4858" s="468">
        <v>7.3348894206684054</v>
      </c>
    </row>
    <row r="4859" spans="1:9" ht="16.5" x14ac:dyDescent="0.3">
      <c r="A4859" s="477">
        <v>4270239.302964218</v>
      </c>
      <c r="B4859" s="458">
        <v>2.2521717034184485E-2</v>
      </c>
      <c r="C4859" s="477">
        <v>9392345.8598016016</v>
      </c>
      <c r="D4859" s="458">
        <v>7.0048610612348794E-2</v>
      </c>
      <c r="E4859" s="477">
        <v>28640060.5573502</v>
      </c>
      <c r="F4859" s="458">
        <v>9.7589062513401492E-2</v>
      </c>
      <c r="G4859" s="477">
        <v>76788718.552778453</v>
      </c>
      <c r="H4859" s="458">
        <v>0.2760454806541468</v>
      </c>
      <c r="I4859" s="468">
        <v>6.842458759009963</v>
      </c>
    </row>
    <row r="4860" spans="1:9" ht="16.5" x14ac:dyDescent="0.3">
      <c r="A4860" s="477">
        <v>9172435.7940188348</v>
      </c>
      <c r="B4860" s="458">
        <v>6.3681074850506558E-2</v>
      </c>
      <c r="C4860" s="477">
        <v>6483091.6405857084</v>
      </c>
      <c r="D4860" s="458">
        <v>7.2806459734528595E-2</v>
      </c>
      <c r="E4860" s="477">
        <v>13478820.050126074</v>
      </c>
      <c r="F4860" s="458">
        <v>9.376557118789286E-2</v>
      </c>
      <c r="G4860" s="477">
        <v>75738056.126267746</v>
      </c>
      <c r="H4860" s="458">
        <v>0.25431049064201972</v>
      </c>
      <c r="I4860" s="468">
        <v>15.286035058047183</v>
      </c>
    </row>
    <row r="4861" spans="1:9" ht="16.5" x14ac:dyDescent="0.3">
      <c r="A4861" s="477">
        <v>890193.79075117316</v>
      </c>
      <c r="B4861" s="458">
        <v>9.8603776220822503E-2</v>
      </c>
      <c r="C4861" s="477">
        <v>8755244.9299700763</v>
      </c>
      <c r="D4861" s="458">
        <v>7.2883673762538459E-2</v>
      </c>
      <c r="E4861" s="477">
        <v>7431809.329290322</v>
      </c>
      <c r="F4861" s="458">
        <v>0.120738584603024</v>
      </c>
      <c r="G4861" s="477">
        <v>87217531.6069296</v>
      </c>
      <c r="H4861" s="458">
        <v>0.25938315000889789</v>
      </c>
      <c r="I4861" s="468">
        <v>8.4516086868745166</v>
      </c>
    </row>
    <row r="4862" spans="1:9" ht="16.5" x14ac:dyDescent="0.3">
      <c r="A4862" s="477">
        <v>4576280.2751145791</v>
      </c>
      <c r="B4862" s="458">
        <v>2.6654386240396732E-2</v>
      </c>
      <c r="C4862" s="477">
        <v>9896782.8227551691</v>
      </c>
      <c r="D4862" s="458">
        <v>2.5283817781664331E-2</v>
      </c>
      <c r="E4862" s="477">
        <v>15721819.87442816</v>
      </c>
      <c r="F4862" s="458">
        <v>7.6931150674074189E-2</v>
      </c>
      <c r="G4862" s="477">
        <v>84136630.075585544</v>
      </c>
      <c r="H4862" s="458">
        <v>0.28423270510448195</v>
      </c>
      <c r="I4862" s="468">
        <v>3.2356779253822259</v>
      </c>
    </row>
    <row r="4863" spans="1:9" ht="16.5" x14ac:dyDescent="0.3">
      <c r="A4863" s="477">
        <v>8512076.2232382838</v>
      </c>
      <c r="B4863" s="458">
        <v>3.6196778566651489E-2</v>
      </c>
      <c r="C4863" s="477">
        <v>5893038.298069383</v>
      </c>
      <c r="D4863" s="458">
        <v>7.5202721490194024E-2</v>
      </c>
      <c r="E4863" s="477">
        <v>28113256.919236194</v>
      </c>
      <c r="F4863" s="458">
        <v>0.11542964231662411</v>
      </c>
      <c r="G4863" s="477">
        <v>93908314.482629418</v>
      </c>
      <c r="H4863" s="458">
        <v>0.2718345265950266</v>
      </c>
      <c r="I4863" s="468">
        <v>11.741974284089061</v>
      </c>
    </row>
    <row r="4864" spans="1:9" ht="16.5" x14ac:dyDescent="0.3">
      <c r="A4864" s="477">
        <v>3805523.7533232151</v>
      </c>
      <c r="B4864" s="458">
        <v>2.7829712693434816E-2</v>
      </c>
      <c r="C4864" s="477">
        <v>7682486.1804279909</v>
      </c>
      <c r="D4864" s="458">
        <v>7.9917145239502441E-2</v>
      </c>
      <c r="E4864" s="477">
        <v>16467249.15601352</v>
      </c>
      <c r="F4864" s="458">
        <v>9.8519403460699539E-2</v>
      </c>
      <c r="G4864" s="477">
        <v>83117956.342069536</v>
      </c>
      <c r="H4864" s="458">
        <v>0.27057202412204018</v>
      </c>
      <c r="I4864" s="468">
        <v>8.4197566886759443</v>
      </c>
    </row>
    <row r="4865" spans="1:9" ht="16.5" x14ac:dyDescent="0.3">
      <c r="A4865" s="477">
        <v>5326881.5818462912</v>
      </c>
      <c r="B4865" s="458">
        <v>5.2928849268256251E-2</v>
      </c>
      <c r="C4865" s="477">
        <v>10323715.031446256</v>
      </c>
      <c r="D4865" s="458">
        <v>5.6648614759774008E-2</v>
      </c>
      <c r="E4865" s="477">
        <v>17275839.027926318</v>
      </c>
      <c r="F4865" s="458">
        <v>0.11446272883385333</v>
      </c>
      <c r="G4865" s="477">
        <v>92975171.983482093</v>
      </c>
      <c r="H4865" s="458">
        <v>0.27466981434586857</v>
      </c>
      <c r="I4865" s="468">
        <v>11.303475387269225</v>
      </c>
    </row>
    <row r="4866" spans="1:9" ht="16.5" x14ac:dyDescent="0.3">
      <c r="A4866" s="477">
        <v>577667.56379770895</v>
      </c>
      <c r="B4866" s="458">
        <v>4.1364141275039845E-2</v>
      </c>
      <c r="C4866" s="477">
        <v>9266180.1866870001</v>
      </c>
      <c r="D4866" s="458">
        <v>5.0387662550486212E-2</v>
      </c>
      <c r="E4866" s="477">
        <v>18595760.988090079</v>
      </c>
      <c r="F4866" s="458">
        <v>0.1217273382122912</v>
      </c>
      <c r="G4866" s="477">
        <v>99458785.818924099</v>
      </c>
      <c r="H4866" s="458">
        <v>0.2759644538829702</v>
      </c>
      <c r="I4866" s="468">
        <v>11.981833615762032</v>
      </c>
    </row>
    <row r="4867" spans="1:9" ht="16.5" x14ac:dyDescent="0.3">
      <c r="A4867" s="477">
        <v>4248566.4032882079</v>
      </c>
      <c r="B4867" s="458">
        <v>2.9628914357322733E-2</v>
      </c>
      <c r="C4867" s="477">
        <v>10589913.028984224</v>
      </c>
      <c r="D4867" s="458">
        <v>3.5885723240052458E-2</v>
      </c>
      <c r="E4867" s="477">
        <v>19905702.275617789</v>
      </c>
      <c r="F4867" s="458">
        <v>9.8768051418439917E-2</v>
      </c>
      <c r="G4867" s="477">
        <v>91522074.707688674</v>
      </c>
      <c r="H4867" s="458">
        <v>0.27322851471944309</v>
      </c>
      <c r="I4867" s="468">
        <v>14.113332957632476</v>
      </c>
    </row>
    <row r="4868" spans="1:9" ht="16.5" x14ac:dyDescent="0.3">
      <c r="A4868" s="477">
        <v>5338795.4014151553</v>
      </c>
      <c r="B4868" s="458">
        <v>3.1814324892522672E-2</v>
      </c>
      <c r="C4868" s="477">
        <v>-588154.12755302747</v>
      </c>
      <c r="D4868" s="458">
        <v>7.9164650057550912E-2</v>
      </c>
      <c r="E4868" s="477">
        <v>18971306.976020642</v>
      </c>
      <c r="F4868" s="458">
        <v>0.10256125671672622</v>
      </c>
      <c r="G4868" s="477">
        <v>90201142.953354701</v>
      </c>
      <c r="H4868" s="458">
        <v>0.2591078181437374</v>
      </c>
      <c r="I4868" s="468">
        <v>6.7537274168262798</v>
      </c>
    </row>
    <row r="4869" spans="1:9" ht="16.5" x14ac:dyDescent="0.3">
      <c r="A4869" s="477">
        <v>6850055.7073395737</v>
      </c>
      <c r="B4869" s="458">
        <v>4.8365093877692056E-2</v>
      </c>
      <c r="C4869" s="477">
        <v>11054029.441731645</v>
      </c>
      <c r="D4869" s="458">
        <v>4.2785448662671532E-2</v>
      </c>
      <c r="E4869" s="477">
        <v>21999505.811432246</v>
      </c>
      <c r="F4869" s="458">
        <v>0.10687929871037238</v>
      </c>
      <c r="G4869" s="477">
        <v>78964842.746281296</v>
      </c>
      <c r="H4869" s="458">
        <v>0.28086488357153372</v>
      </c>
      <c r="I4869" s="468">
        <v>11.056523673526195</v>
      </c>
    </row>
    <row r="4870" spans="1:9" ht="16.5" x14ac:dyDescent="0.3">
      <c r="A4870" s="477">
        <v>4981774.8592639994</v>
      </c>
      <c r="B4870" s="458">
        <v>4.5722666071687845E-2</v>
      </c>
      <c r="C4870" s="477">
        <v>3572152.6720460905</v>
      </c>
      <c r="D4870" s="458">
        <v>5.5244611374374086E-2</v>
      </c>
      <c r="E4870" s="477">
        <v>22892431.229431793</v>
      </c>
      <c r="F4870" s="458">
        <v>0.11696366561048865</v>
      </c>
      <c r="G4870" s="477">
        <v>95493487.91318427</v>
      </c>
      <c r="H4870" s="458">
        <v>0.27928196150458628</v>
      </c>
      <c r="I4870" s="468">
        <v>13.126444255523452</v>
      </c>
    </row>
    <row r="4871" spans="1:9" ht="16.5" x14ac:dyDescent="0.3">
      <c r="A4871" s="477">
        <v>5013222.9813868701</v>
      </c>
      <c r="B4871" s="458">
        <v>2.2517967425606855E-2</v>
      </c>
      <c r="C4871" s="477">
        <v>5435348.0688519292</v>
      </c>
      <c r="D4871" s="458">
        <v>6.1603218904352719E-2</v>
      </c>
      <c r="E4871" s="477">
        <v>8526460.6985124443</v>
      </c>
      <c r="F4871" s="458">
        <v>0.12281235615285335</v>
      </c>
      <c r="G4871" s="477">
        <v>96314785.084037229</v>
      </c>
      <c r="H4871" s="458">
        <v>0.27021012101866759</v>
      </c>
      <c r="I4871" s="468">
        <v>2.1119877679603345</v>
      </c>
    </row>
    <row r="4872" spans="1:9" ht="16.5" x14ac:dyDescent="0.3">
      <c r="A4872" s="477">
        <v>2450534.7376016141</v>
      </c>
      <c r="B4872" s="458">
        <v>3.6958273228110849E-2</v>
      </c>
      <c r="C4872" s="477">
        <v>5256137.7399359886</v>
      </c>
      <c r="D4872" s="458">
        <v>4.6983466271699914E-2</v>
      </c>
      <c r="E4872" s="477">
        <v>13342024.451253556</v>
      </c>
      <c r="F4872" s="458">
        <v>0.10947628332684411</v>
      </c>
      <c r="G4872" s="477">
        <v>82494704.578655362</v>
      </c>
      <c r="H4872" s="458">
        <v>0.25459746178751796</v>
      </c>
      <c r="I4872" s="468">
        <v>7.2870008922755192</v>
      </c>
    </row>
    <row r="4873" spans="1:9" ht="16.5" x14ac:dyDescent="0.3">
      <c r="A4873" s="477">
        <v>2313015.2514196755</v>
      </c>
      <c r="B4873" s="458">
        <v>5.068604133137633E-2</v>
      </c>
      <c r="C4873" s="477">
        <v>14197528.530120676</v>
      </c>
      <c r="D4873" s="458">
        <v>3.4583721349230379E-2</v>
      </c>
      <c r="E4873" s="477">
        <v>19359566.340323146</v>
      </c>
      <c r="F4873" s="458">
        <v>0.14008985008761932</v>
      </c>
      <c r="G4873" s="477">
        <v>71762010.401449695</v>
      </c>
      <c r="H4873" s="458">
        <v>0.26361701365542101</v>
      </c>
      <c r="I4873" s="468">
        <v>12.517228386102619</v>
      </c>
    </row>
    <row r="4874" spans="1:9" ht="16.5" x14ac:dyDescent="0.3">
      <c r="A4874" s="477">
        <v>3717095.9379878412</v>
      </c>
      <c r="B4874" s="458">
        <v>4.4152566153368156E-2</v>
      </c>
      <c r="C4874" s="477">
        <v>7154749.6877141111</v>
      </c>
      <c r="D4874" s="458">
        <v>5.2504908187686938E-2</v>
      </c>
      <c r="E4874" s="477">
        <v>10419637.873253981</v>
      </c>
      <c r="F4874" s="458">
        <v>0.11810726679361139</v>
      </c>
      <c r="G4874" s="477">
        <v>92887020.498112962</v>
      </c>
      <c r="H4874" s="458">
        <v>0.2567837976141969</v>
      </c>
      <c r="I4874" s="468">
        <v>7.1741919365279108</v>
      </c>
    </row>
    <row r="4875" spans="1:9" ht="16.5" x14ac:dyDescent="0.3">
      <c r="A4875" s="477">
        <v>4668891.8004244845</v>
      </c>
      <c r="B4875" s="458">
        <v>1.8062320625074513E-2</v>
      </c>
      <c r="C4875" s="477">
        <v>11676194.057097247</v>
      </c>
      <c r="D4875" s="458">
        <v>5.5729160475437078E-2</v>
      </c>
      <c r="E4875" s="477">
        <v>18395037.490494478</v>
      </c>
      <c r="F4875" s="458">
        <v>0.10486515273890928</v>
      </c>
      <c r="G4875" s="477">
        <v>82684651.899359331</v>
      </c>
      <c r="H4875" s="458">
        <v>0.31327524731089063</v>
      </c>
      <c r="I4875" s="468">
        <v>4.0530955164382556</v>
      </c>
    </row>
    <row r="4876" spans="1:9" ht="16.5" x14ac:dyDescent="0.3">
      <c r="A4876" s="477">
        <v>2687573.6759877042</v>
      </c>
      <c r="B4876" s="458">
        <v>5.2482829220997784E-2</v>
      </c>
      <c r="C4876" s="477">
        <v>10926004.934123501</v>
      </c>
      <c r="D4876" s="458">
        <v>8.4345162190712086E-2</v>
      </c>
      <c r="E4876" s="477">
        <v>15678745.13516034</v>
      </c>
      <c r="F4876" s="458">
        <v>0.10028397890731644</v>
      </c>
      <c r="G4876" s="477">
        <v>83227373.042783558</v>
      </c>
      <c r="H4876" s="458">
        <v>0.26571430407678109</v>
      </c>
      <c r="I4876" s="468">
        <v>9.8658348571833585</v>
      </c>
    </row>
    <row r="4877" spans="1:9" ht="16.5" x14ac:dyDescent="0.3">
      <c r="A4877" s="477">
        <v>5928906.8933554776</v>
      </c>
      <c r="B4877" s="458">
        <v>3.3108875069743693E-2</v>
      </c>
      <c r="C4877" s="477">
        <v>14095060.796418237</v>
      </c>
      <c r="D4877" s="458">
        <v>7.9833910530067387E-2</v>
      </c>
      <c r="E4877" s="477">
        <v>14493841.697824134</v>
      </c>
      <c r="F4877" s="458">
        <v>0.1164623650418013</v>
      </c>
      <c r="G4877" s="477">
        <v>98481354.142154336</v>
      </c>
      <c r="H4877" s="458">
        <v>0.25890255249272265</v>
      </c>
      <c r="I4877" s="468">
        <v>7.5490027463978002</v>
      </c>
    </row>
    <row r="4878" spans="1:9" ht="16.5" x14ac:dyDescent="0.3">
      <c r="A4878" s="477">
        <v>3042296.212003849</v>
      </c>
      <c r="B4878" s="458">
        <v>2.5931137151302464E-2</v>
      </c>
      <c r="C4878" s="477">
        <v>10585065.077130837</v>
      </c>
      <c r="D4878" s="458">
        <v>5.0858353892682118E-2</v>
      </c>
      <c r="E4878" s="477">
        <v>19386691.625627704</v>
      </c>
      <c r="F4878" s="458">
        <v>0.13590356635393674</v>
      </c>
      <c r="G4878" s="477">
        <v>98489941.112489447</v>
      </c>
      <c r="H4878" s="458">
        <v>0.26420394291277205</v>
      </c>
      <c r="I4878" s="468">
        <v>1.6900932328607698</v>
      </c>
    </row>
    <row r="4879" spans="1:9" ht="16.5" x14ac:dyDescent="0.3">
      <c r="A4879" s="477">
        <v>4603189.2129543172</v>
      </c>
      <c r="B4879" s="458">
        <v>5.8540508438009065E-2</v>
      </c>
      <c r="C4879" s="477">
        <v>6436301.251884304</v>
      </c>
      <c r="D4879" s="458">
        <v>9.4648507016403371E-2</v>
      </c>
      <c r="E4879" s="477">
        <v>16035724.23338169</v>
      </c>
      <c r="F4879" s="458">
        <v>8.6937602124639302E-2</v>
      </c>
      <c r="G4879" s="477">
        <v>96600706.057671577</v>
      </c>
      <c r="H4879" s="458">
        <v>0.28068649418601965</v>
      </c>
      <c r="I4879" s="468">
        <v>5.9577972251271278</v>
      </c>
    </row>
    <row r="4880" spans="1:9" ht="16.5" x14ac:dyDescent="0.3">
      <c r="A4880" s="477">
        <v>7190680.1954047885</v>
      </c>
      <c r="B4880" s="458">
        <v>3.3214960586691822E-2</v>
      </c>
      <c r="C4880" s="477">
        <v>5817089.4866508283</v>
      </c>
      <c r="D4880" s="458">
        <v>5.1925931156288518E-2</v>
      </c>
      <c r="E4880" s="477">
        <v>18423652.065750457</v>
      </c>
      <c r="F4880" s="458">
        <v>0.1053352000863963</v>
      </c>
      <c r="G4880" s="477">
        <v>97141911.68103984</v>
      </c>
      <c r="H4880" s="458">
        <v>0.24845016652948404</v>
      </c>
      <c r="I4880" s="468">
        <v>6.7683507789779558</v>
      </c>
    </row>
    <row r="4881" spans="1:9" ht="16.5" x14ac:dyDescent="0.3">
      <c r="A4881" s="477">
        <v>8612010.399218617</v>
      </c>
      <c r="B4881" s="458">
        <v>3.2652179312374408E-2</v>
      </c>
      <c r="C4881" s="477">
        <v>10707272.894595919</v>
      </c>
      <c r="D4881" s="458">
        <v>7.8410864807656466E-2</v>
      </c>
      <c r="E4881" s="477">
        <v>7838561.0323725715</v>
      </c>
      <c r="F4881" s="458">
        <v>0.10846145501847526</v>
      </c>
      <c r="G4881" s="477">
        <v>87423040.660967007</v>
      </c>
      <c r="H4881" s="458">
        <v>0.26725011258091369</v>
      </c>
      <c r="I4881" s="468">
        <v>3.4998209085596823</v>
      </c>
    </row>
    <row r="4882" spans="1:9" ht="16.5" x14ac:dyDescent="0.3">
      <c r="A4882" s="477">
        <v>4275633.8406932428</v>
      </c>
      <c r="B4882" s="458">
        <v>3.8307554035367453E-2</v>
      </c>
      <c r="C4882" s="477">
        <v>12425481.952089291</v>
      </c>
      <c r="D4882" s="458">
        <v>4.7030272020228692E-2</v>
      </c>
      <c r="E4882" s="477">
        <v>17962275.716004569</v>
      </c>
      <c r="F4882" s="458">
        <v>0.12967264391288125</v>
      </c>
      <c r="G4882" s="477">
        <v>98475302.518847257</v>
      </c>
      <c r="H4882" s="458">
        <v>0.2590936801681385</v>
      </c>
      <c r="I4882" s="468">
        <v>9.69682941483706</v>
      </c>
    </row>
    <row r="4883" spans="1:9" ht="16.5" x14ac:dyDescent="0.3">
      <c r="A4883" s="477">
        <v>11114203.600403121</v>
      </c>
      <c r="B4883" s="458">
        <v>2.5010466210656723E-2</v>
      </c>
      <c r="C4883" s="477">
        <v>-3110690.9166711075</v>
      </c>
      <c r="D4883" s="458">
        <v>4.7763155348517383E-2</v>
      </c>
      <c r="E4883" s="477">
        <v>20599989.770050887</v>
      </c>
      <c r="F4883" s="458">
        <v>0.11227951325070173</v>
      </c>
      <c r="G4883" s="477">
        <v>87762932.009280458</v>
      </c>
      <c r="H4883" s="458">
        <v>0.26404026014690252</v>
      </c>
      <c r="I4883" s="468">
        <v>6.5084795588415831</v>
      </c>
    </row>
    <row r="4884" spans="1:9" ht="16.5" x14ac:dyDescent="0.3">
      <c r="A4884" s="477">
        <v>2289223.4236013968</v>
      </c>
      <c r="B4884" s="458">
        <v>3.7355341136507514E-2</v>
      </c>
      <c r="C4884" s="477">
        <v>9235708.4490998015</v>
      </c>
      <c r="D4884" s="458">
        <v>6.3148445660969443E-2</v>
      </c>
      <c r="E4884" s="477">
        <v>14472181.94192089</v>
      </c>
      <c r="F4884" s="458">
        <v>0.10342003253428289</v>
      </c>
      <c r="G4884" s="477">
        <v>97192780.540192351</v>
      </c>
      <c r="H4884" s="458">
        <v>0.28455953764752318</v>
      </c>
      <c r="I4884" s="468">
        <v>8.2452624698210979</v>
      </c>
    </row>
    <row r="4885" spans="1:9" ht="16.5" x14ac:dyDescent="0.3">
      <c r="A4885" s="477">
        <v>7601578.3741411697</v>
      </c>
      <c r="B4885" s="458">
        <v>2.9617895889728629E-2</v>
      </c>
      <c r="C4885" s="477">
        <v>5876973.1401627837</v>
      </c>
      <c r="D4885" s="458">
        <v>5.9992581182810811E-2</v>
      </c>
      <c r="E4885" s="477">
        <v>16431466.450036561</v>
      </c>
      <c r="F4885" s="458">
        <v>0.11043360667570212</v>
      </c>
      <c r="G4885" s="477">
        <v>78724844.092860714</v>
      </c>
      <c r="H4885" s="458">
        <v>0.26216904559212906</v>
      </c>
      <c r="I4885" s="468">
        <v>3.4209654127761038</v>
      </c>
    </row>
    <row r="4886" spans="1:9" ht="16.5" x14ac:dyDescent="0.3">
      <c r="A4886" s="477">
        <v>2917853.9367154832</v>
      </c>
      <c r="B4886" s="458">
        <v>4.5528698841094561E-2</v>
      </c>
      <c r="C4886" s="477">
        <v>2261585.6986117228</v>
      </c>
      <c r="D4886" s="458">
        <v>6.9180495138152942E-2</v>
      </c>
      <c r="E4886" s="477">
        <v>21405885.026490141</v>
      </c>
      <c r="F4886" s="458">
        <v>0.14726609255458301</v>
      </c>
      <c r="G4886" s="477">
        <v>78362912.392040864</v>
      </c>
      <c r="H4886" s="458">
        <v>0.26153374441203692</v>
      </c>
      <c r="I4886" s="468">
        <v>11.327268040023736</v>
      </c>
    </row>
    <row r="4887" spans="1:9" ht="16.5" x14ac:dyDescent="0.3">
      <c r="A4887" s="477">
        <v>-2413752.9822539045</v>
      </c>
      <c r="B4887" s="458">
        <v>4.2281704553899013E-2</v>
      </c>
      <c r="C4887" s="477">
        <v>4344989.5792819522</v>
      </c>
      <c r="D4887" s="458">
        <v>7.4258147115159767E-2</v>
      </c>
      <c r="E4887" s="477">
        <v>8132897.6262606978</v>
      </c>
      <c r="F4887" s="458">
        <v>0.12084524084867909</v>
      </c>
      <c r="G4887" s="477">
        <v>103328606.64176226</v>
      </c>
      <c r="H4887" s="458">
        <v>0.26123054298872628</v>
      </c>
      <c r="I4887" s="468">
        <v>2.9929211707247774</v>
      </c>
    </row>
    <row r="4888" spans="1:9" ht="16.5" x14ac:dyDescent="0.3">
      <c r="A4888" s="477">
        <v>6634329.2522421805</v>
      </c>
      <c r="B4888" s="458">
        <v>4.0141005207503966E-2</v>
      </c>
      <c r="C4888" s="477">
        <v>4248437.9829004407</v>
      </c>
      <c r="D4888" s="458">
        <v>8.3758062458163529E-2</v>
      </c>
      <c r="E4888" s="477">
        <v>15210637.737431224</v>
      </c>
      <c r="F4888" s="458">
        <v>0.12855549114997733</v>
      </c>
      <c r="G4888" s="477">
        <v>86066488.427223518</v>
      </c>
      <c r="H4888" s="458">
        <v>0.26667521481243228</v>
      </c>
      <c r="I4888" s="468">
        <v>11.163487310229492</v>
      </c>
    </row>
    <row r="4889" spans="1:9" ht="16.5" x14ac:dyDescent="0.3">
      <c r="A4889" s="477">
        <v>9530626.62467172</v>
      </c>
      <c r="B4889" s="458">
        <v>2.900990697633965E-2</v>
      </c>
      <c r="C4889" s="477">
        <v>13227637.233872168</v>
      </c>
      <c r="D4889" s="458">
        <v>3.590926181781473E-2</v>
      </c>
      <c r="E4889" s="477">
        <v>18971010.094593331</v>
      </c>
      <c r="F4889" s="458">
        <v>0.12251894740916613</v>
      </c>
      <c r="G4889" s="477">
        <v>76381762.982272625</v>
      </c>
      <c r="H4889" s="458">
        <v>0.25329686341437063</v>
      </c>
      <c r="I4889" s="468">
        <v>8.6523919387825998</v>
      </c>
    </row>
    <row r="4890" spans="1:9" ht="16.5" x14ac:dyDescent="0.3">
      <c r="A4890" s="477">
        <v>5970005.3549509076</v>
      </c>
      <c r="B4890" s="458">
        <v>1.9993363121384E-2</v>
      </c>
      <c r="C4890" s="477">
        <v>6159821.0086918101</v>
      </c>
      <c r="D4890" s="458">
        <v>5.4121003333866824E-2</v>
      </c>
      <c r="E4890" s="477">
        <v>11197102.234497918</v>
      </c>
      <c r="F4890" s="458">
        <v>9.6926627073008476E-2</v>
      </c>
      <c r="G4890" s="477">
        <v>93803386.143095076</v>
      </c>
      <c r="H4890" s="458">
        <v>0.26881800219177587</v>
      </c>
      <c r="I4890" s="468">
        <v>13.602343323728197</v>
      </c>
    </row>
    <row r="4891" spans="1:9" ht="16.5" x14ac:dyDescent="0.3">
      <c r="A4891" s="477">
        <v>3396248.2874754616</v>
      </c>
      <c r="B4891" s="458">
        <v>3.3735768513660558E-2</v>
      </c>
      <c r="C4891" s="477">
        <v>3834815.1746860463</v>
      </c>
      <c r="D4891" s="458">
        <v>4.9617843891690105E-2</v>
      </c>
      <c r="E4891" s="477">
        <v>13337305.022232024</v>
      </c>
      <c r="F4891" s="458">
        <v>0.12552065414531999</v>
      </c>
      <c r="G4891" s="477">
        <v>87090713.876168013</v>
      </c>
      <c r="H4891" s="458">
        <v>0.27055956208920162</v>
      </c>
      <c r="I4891" s="468">
        <v>14.042118005494814</v>
      </c>
    </row>
    <row r="4892" spans="1:9" ht="16.5" x14ac:dyDescent="0.3">
      <c r="A4892" s="477">
        <v>7034532.1954860948</v>
      </c>
      <c r="B4892" s="458">
        <v>4.2212291002787117E-2</v>
      </c>
      <c r="C4892" s="477">
        <v>4016645.6959180874</v>
      </c>
      <c r="D4892" s="458">
        <v>8.4115894605703234E-2</v>
      </c>
      <c r="E4892" s="477">
        <v>23264131.015971486</v>
      </c>
      <c r="F4892" s="458">
        <v>0.10497512170206913</v>
      </c>
      <c r="G4892" s="477">
        <v>89006885.531891957</v>
      </c>
      <c r="H4892" s="458">
        <v>0.25478277211375855</v>
      </c>
      <c r="I4892" s="468">
        <v>5.3960752626029205</v>
      </c>
    </row>
    <row r="4893" spans="1:9" ht="16.5" x14ac:dyDescent="0.3">
      <c r="A4893" s="477">
        <v>2199950.5285684415</v>
      </c>
      <c r="B4893" s="458">
        <v>5.244262863699789E-2</v>
      </c>
      <c r="C4893" s="477">
        <v>12559308.327349041</v>
      </c>
      <c r="D4893" s="458">
        <v>4.8403057752598011E-2</v>
      </c>
      <c r="E4893" s="477">
        <v>20109354.476373978</v>
      </c>
      <c r="F4893" s="458">
        <v>0.11745225607155185</v>
      </c>
      <c r="G4893" s="477">
        <v>88494098.320176363</v>
      </c>
      <c r="H4893" s="458">
        <v>0.30241502917031249</v>
      </c>
      <c r="I4893" s="468">
        <v>12.579337394231473</v>
      </c>
    </row>
    <row r="4894" spans="1:9" ht="16.5" x14ac:dyDescent="0.3">
      <c r="A4894" s="477">
        <v>3612533.6443236088</v>
      </c>
      <c r="B4894" s="458">
        <v>2.85869114146311E-2</v>
      </c>
      <c r="C4894" s="477">
        <v>12245386.618440095</v>
      </c>
      <c r="D4894" s="458">
        <v>6.5177650509455898E-2</v>
      </c>
      <c r="E4894" s="477">
        <v>22701965.777329605</v>
      </c>
      <c r="F4894" s="458">
        <v>0.10348257021732143</v>
      </c>
      <c r="G4894" s="477">
        <v>83338705.125204802</v>
      </c>
      <c r="H4894" s="458">
        <v>0.26426348436091884</v>
      </c>
      <c r="I4894" s="468">
        <v>7.8237222274800056</v>
      </c>
    </row>
    <row r="4895" spans="1:9" ht="16.5" x14ac:dyDescent="0.3">
      <c r="A4895" s="477">
        <v>3152805.9337578001</v>
      </c>
      <c r="B4895" s="458">
        <v>3.5727778504529795E-2</v>
      </c>
      <c r="C4895" s="477">
        <v>7973817.0666744607</v>
      </c>
      <c r="D4895" s="458">
        <v>6.4526752397401133E-2</v>
      </c>
      <c r="E4895" s="477">
        <v>16413416.855372859</v>
      </c>
      <c r="F4895" s="458">
        <v>0.10880975070273546</v>
      </c>
      <c r="G4895" s="477">
        <v>90159983.454850256</v>
      </c>
      <c r="H4895" s="458">
        <v>0.25937441760923674</v>
      </c>
      <c r="I4895" s="468">
        <v>9.7036140044643737</v>
      </c>
    </row>
    <row r="4896" spans="1:9" ht="16.5" x14ac:dyDescent="0.3">
      <c r="A4896" s="477">
        <v>10386511.721115306</v>
      </c>
      <c r="B4896" s="458">
        <v>2.0586411419203587E-2</v>
      </c>
      <c r="C4896" s="477">
        <v>18229426.411334552</v>
      </c>
      <c r="D4896" s="458">
        <v>5.1119557271425364E-2</v>
      </c>
      <c r="E4896" s="477">
        <v>8288257.1617675265</v>
      </c>
      <c r="F4896" s="458">
        <v>9.7650478190902446E-2</v>
      </c>
      <c r="G4896" s="477">
        <v>77845882.782234907</v>
      </c>
      <c r="H4896" s="458">
        <v>0.26477875585928778</v>
      </c>
      <c r="I4896" s="468">
        <v>3.6922441819345666</v>
      </c>
    </row>
    <row r="4897" spans="1:9" ht="16.5" x14ac:dyDescent="0.3">
      <c r="A4897" s="477">
        <v>5648718.0685634194</v>
      </c>
      <c r="B4897" s="458">
        <v>4.1412068823249548E-2</v>
      </c>
      <c r="C4897" s="477">
        <v>10494749.92067956</v>
      </c>
      <c r="D4897" s="458">
        <v>9.4743172546852383E-2</v>
      </c>
      <c r="E4897" s="477">
        <v>14758746.072852749</v>
      </c>
      <c r="F4897" s="458">
        <v>0.1388209599154997</v>
      </c>
      <c r="G4897" s="477">
        <v>79357675.881060913</v>
      </c>
      <c r="H4897" s="458">
        <v>0.27134108777320143</v>
      </c>
      <c r="I4897" s="468">
        <v>2.9672278675284929</v>
      </c>
    </row>
    <row r="4898" spans="1:9" ht="16.5" x14ac:dyDescent="0.3">
      <c r="A4898" s="477">
        <v>2433528.4966529277</v>
      </c>
      <c r="B4898" s="458">
        <v>4.0037921253792241E-2</v>
      </c>
      <c r="C4898" s="477">
        <v>10057165.910251249</v>
      </c>
      <c r="D4898" s="458">
        <v>6.7905256786843005E-2</v>
      </c>
      <c r="E4898" s="477">
        <v>11782563.606841374</v>
      </c>
      <c r="F4898" s="458">
        <v>9.0296215449812589E-2</v>
      </c>
      <c r="G4898" s="477">
        <v>96150152.434884831</v>
      </c>
      <c r="H4898" s="458">
        <v>0.26011995066339777</v>
      </c>
      <c r="I4898" s="468">
        <v>5.4075775647163642</v>
      </c>
    </row>
    <row r="4899" spans="1:9" ht="16.5" x14ac:dyDescent="0.3">
      <c r="A4899" s="477">
        <v>3079564.5703401705</v>
      </c>
      <c r="B4899" s="458">
        <v>4.1871788922225539E-2</v>
      </c>
      <c r="C4899" s="477">
        <v>8365617.9787299288</v>
      </c>
      <c r="D4899" s="458">
        <v>7.9099573786322264E-2</v>
      </c>
      <c r="E4899" s="477">
        <v>19030920.025660612</v>
      </c>
      <c r="F4899" s="458">
        <v>0.11247341552056689</v>
      </c>
      <c r="G4899" s="477">
        <v>96967882.635384709</v>
      </c>
      <c r="H4899" s="458">
        <v>0.26833356993944535</v>
      </c>
      <c r="I4899" s="468">
        <v>8.8678812150083708</v>
      </c>
    </row>
    <row r="4900" spans="1:9" ht="16.5" x14ac:dyDescent="0.3">
      <c r="A4900" s="477">
        <v>7394232.2753582243</v>
      </c>
      <c r="B4900" s="458">
        <v>5.1413750234839739E-2</v>
      </c>
      <c r="C4900" s="477">
        <v>11390814.726279901</v>
      </c>
      <c r="D4900" s="458">
        <v>4.9083773535877562E-2</v>
      </c>
      <c r="E4900" s="477">
        <v>21332901.417877581</v>
      </c>
      <c r="F4900" s="458">
        <v>0.11127245581980261</v>
      </c>
      <c r="G4900" s="477">
        <v>98671987.802103966</v>
      </c>
      <c r="H4900" s="458">
        <v>0.25112557228416699</v>
      </c>
      <c r="I4900" s="468">
        <v>4.5452732628738453</v>
      </c>
    </row>
    <row r="4901" spans="1:9" ht="16.5" x14ac:dyDescent="0.3">
      <c r="A4901" s="477">
        <v>7876625.0089818519</v>
      </c>
      <c r="B4901" s="458">
        <v>3.2322452164574855E-2</v>
      </c>
      <c r="C4901" s="477">
        <v>16389802.404574048</v>
      </c>
      <c r="D4901" s="458">
        <v>4.0762054657544899E-2</v>
      </c>
      <c r="E4901" s="477">
        <v>20405932.640748497</v>
      </c>
      <c r="F4901" s="458">
        <v>0.11213688082960771</v>
      </c>
      <c r="G4901" s="477">
        <v>62368254.416875541</v>
      </c>
      <c r="H4901" s="458">
        <v>0.25106237105281592</v>
      </c>
      <c r="I4901" s="468">
        <v>4.2101850846588187</v>
      </c>
    </row>
    <row r="4902" spans="1:9" ht="16.5" x14ac:dyDescent="0.3">
      <c r="A4902" s="477">
        <v>10009110.180732829</v>
      </c>
      <c r="B4902" s="458">
        <v>3.7825730439332572E-2</v>
      </c>
      <c r="C4902" s="477">
        <v>13423913.074565969</v>
      </c>
      <c r="D4902" s="458">
        <v>3.6608997263612331E-2</v>
      </c>
      <c r="E4902" s="477">
        <v>21216681.157622632</v>
      </c>
      <c r="F4902" s="458">
        <v>8.9024053766130651E-2</v>
      </c>
      <c r="G4902" s="477">
        <v>94967796.939357549</v>
      </c>
      <c r="H4902" s="458">
        <v>0.24747183021800678</v>
      </c>
      <c r="I4902" s="468">
        <v>14.190293209678323</v>
      </c>
    </row>
    <row r="4903" spans="1:9" ht="16.5" x14ac:dyDescent="0.3">
      <c r="A4903" s="477">
        <v>6172832.2497837273</v>
      </c>
      <c r="B4903" s="458">
        <v>6.2611712576289502E-2</v>
      </c>
      <c r="C4903" s="477">
        <v>10171131.571789399</v>
      </c>
      <c r="D4903" s="458">
        <v>6.0872180316732694E-2</v>
      </c>
      <c r="E4903" s="477">
        <v>17937317.693246447</v>
      </c>
      <c r="F4903" s="458">
        <v>0.11040700641033463</v>
      </c>
      <c r="G4903" s="477">
        <v>102007437.62352315</v>
      </c>
      <c r="H4903" s="458">
        <v>0.25063061077665072</v>
      </c>
      <c r="I4903" s="468">
        <v>18.226836005104865</v>
      </c>
    </row>
    <row r="4904" spans="1:9" ht="16.5" x14ac:dyDescent="0.3">
      <c r="A4904" s="477">
        <v>5123196.7923078723</v>
      </c>
      <c r="B4904" s="458">
        <v>3.9454441750026659E-2</v>
      </c>
      <c r="C4904" s="477">
        <v>4331760.652220875</v>
      </c>
      <c r="D4904" s="458">
        <v>7.0836620255924299E-2</v>
      </c>
      <c r="E4904" s="477">
        <v>7417994.5689204047</v>
      </c>
      <c r="F4904" s="458">
        <v>0.10281463371848987</v>
      </c>
      <c r="G4904" s="477">
        <v>109733973.83069333</v>
      </c>
      <c r="H4904" s="458">
        <v>0.26519534724218108</v>
      </c>
      <c r="I4904" s="468">
        <v>5.7358237508462135</v>
      </c>
    </row>
    <row r="4905" spans="1:9" ht="16.5" x14ac:dyDescent="0.3">
      <c r="A4905" s="477">
        <v>6382912.0275800945</v>
      </c>
      <c r="B4905" s="458">
        <v>5.7375051279241696E-2</v>
      </c>
      <c r="C4905" s="477">
        <v>13240794.521319162</v>
      </c>
      <c r="D4905" s="458">
        <v>8.1297167188136399E-2</v>
      </c>
      <c r="E4905" s="477">
        <v>21377521.120013222</v>
      </c>
      <c r="F4905" s="458">
        <v>0.10669710017243572</v>
      </c>
      <c r="G4905" s="477">
        <v>92601527.254581213</v>
      </c>
      <c r="H4905" s="458">
        <v>0.2633064658568145</v>
      </c>
      <c r="I4905" s="468">
        <v>8.6247409436125739</v>
      </c>
    </row>
    <row r="4906" spans="1:9" ht="16.5" x14ac:dyDescent="0.3">
      <c r="A4906" s="477">
        <v>7172148.9288055729</v>
      </c>
      <c r="B4906" s="458">
        <v>2.9769789668104174E-2</v>
      </c>
      <c r="C4906" s="477">
        <v>4551903.0596904689</v>
      </c>
      <c r="D4906" s="458">
        <v>4.7257935338568924E-2</v>
      </c>
      <c r="E4906" s="477">
        <v>16333991.898693535</v>
      </c>
      <c r="F4906" s="458">
        <v>0.10901012983454716</v>
      </c>
      <c r="G4906" s="477">
        <v>94125524.665577859</v>
      </c>
      <c r="H4906" s="458">
        <v>0.29002868403629245</v>
      </c>
      <c r="I4906" s="468">
        <v>10.952604227232197</v>
      </c>
    </row>
    <row r="4907" spans="1:9" ht="16.5" x14ac:dyDescent="0.3">
      <c r="A4907" s="477">
        <v>5283938.2348452099</v>
      </c>
      <c r="B4907" s="458">
        <v>4.2712450086052067E-2</v>
      </c>
      <c r="C4907" s="477">
        <v>9625525.1790040359</v>
      </c>
      <c r="D4907" s="458">
        <v>6.3189077331110344E-2</v>
      </c>
      <c r="E4907" s="477">
        <v>13638576.19275834</v>
      </c>
      <c r="F4907" s="458">
        <v>0.14031392204395821</v>
      </c>
      <c r="G4907" s="477">
        <v>81171072.616632029</v>
      </c>
      <c r="H4907" s="458">
        <v>0.28397571483204875</v>
      </c>
      <c r="I4907" s="468">
        <v>11.681170672020961</v>
      </c>
    </row>
    <row r="4908" spans="1:9" ht="16.5" x14ac:dyDescent="0.3">
      <c r="A4908" s="477">
        <v>4958807.7128383396</v>
      </c>
      <c r="B4908" s="458">
        <v>2.6740789958042077E-2</v>
      </c>
      <c r="C4908" s="477">
        <v>12976495.694669118</v>
      </c>
      <c r="D4908" s="458">
        <v>8.0057623451192494E-2</v>
      </c>
      <c r="E4908" s="477">
        <v>21955593.879796751</v>
      </c>
      <c r="F4908" s="458">
        <v>0.10680827940694337</v>
      </c>
      <c r="G4908" s="477">
        <v>72331810.407005891</v>
      </c>
      <c r="H4908" s="458">
        <v>0.25530578716253305</v>
      </c>
      <c r="I4908" s="468">
        <v>15.615340487737186</v>
      </c>
    </row>
    <row r="4909" spans="1:9" ht="16.5" x14ac:dyDescent="0.3">
      <c r="A4909" s="477">
        <v>8773180.7328327056</v>
      </c>
      <c r="B4909" s="458">
        <v>4.967245197892356E-2</v>
      </c>
      <c r="C4909" s="477">
        <v>11523986.411047678</v>
      </c>
      <c r="D4909" s="458">
        <v>6.4477625706504282E-2</v>
      </c>
      <c r="E4909" s="477">
        <v>12522302.736164343</v>
      </c>
      <c r="F4909" s="458">
        <v>0.10885526757808095</v>
      </c>
      <c r="G4909" s="477">
        <v>92242462.598912522</v>
      </c>
      <c r="H4909" s="458">
        <v>0.2826235624710085</v>
      </c>
      <c r="I4909" s="468">
        <v>11.491072500012589</v>
      </c>
    </row>
    <row r="4910" spans="1:9" ht="16.5" x14ac:dyDescent="0.3">
      <c r="A4910" s="477">
        <v>7920601.3634302961</v>
      </c>
      <c r="B4910" s="458">
        <v>2.7426890754058686E-2</v>
      </c>
      <c r="C4910" s="477">
        <v>11572521.09695806</v>
      </c>
      <c r="D4910" s="458">
        <v>7.3056980012008221E-2</v>
      </c>
      <c r="E4910" s="477">
        <v>17550624.695482213</v>
      </c>
      <c r="F4910" s="458">
        <v>0.10464527165979387</v>
      </c>
      <c r="G4910" s="477">
        <v>85454223.14075923</v>
      </c>
      <c r="H4910" s="458">
        <v>0.2617628476371805</v>
      </c>
      <c r="I4910" s="468">
        <v>10.525028491070977</v>
      </c>
    </row>
    <row r="4911" spans="1:9" ht="16.5" x14ac:dyDescent="0.3">
      <c r="A4911" s="477">
        <v>3749558.3708634754</v>
      </c>
      <c r="B4911" s="458">
        <v>5.7074091781475156E-2</v>
      </c>
      <c r="C4911" s="477">
        <v>8566935.3011758532</v>
      </c>
      <c r="D4911" s="458">
        <v>7.2022201758093818E-2</v>
      </c>
      <c r="E4911" s="477">
        <v>8891736.0702625606</v>
      </c>
      <c r="F4911" s="458">
        <v>9.862205558710424E-2</v>
      </c>
      <c r="G4911" s="477">
        <v>93920834.896295026</v>
      </c>
      <c r="H4911" s="458">
        <v>0.26078144113619595</v>
      </c>
      <c r="I4911" s="468">
        <v>7.1963858377321159</v>
      </c>
    </row>
    <row r="4912" spans="1:9" ht="16.5" x14ac:dyDescent="0.3">
      <c r="A4912" s="477">
        <v>4667467.093747776</v>
      </c>
      <c r="B4912" s="458">
        <v>4.5705923361998524E-2</v>
      </c>
      <c r="C4912" s="477">
        <v>5232508.3776674932</v>
      </c>
      <c r="D4912" s="458">
        <v>8.2081500765775361E-2</v>
      </c>
      <c r="E4912" s="477">
        <v>16391833.488361919</v>
      </c>
      <c r="F4912" s="458">
        <v>9.2566078835381038E-2</v>
      </c>
      <c r="G4912" s="477">
        <v>86580521.188319281</v>
      </c>
      <c r="H4912" s="458">
        <v>0.24958085897994731</v>
      </c>
      <c r="I4912" s="468">
        <v>8.436044368620756</v>
      </c>
    </row>
    <row r="4913" spans="1:9" ht="16.5" x14ac:dyDescent="0.3">
      <c r="A4913" s="477">
        <v>2679457.4411263289</v>
      </c>
      <c r="B4913" s="458">
        <v>4.992114240358303E-2</v>
      </c>
      <c r="C4913" s="477">
        <v>10175661.287370481</v>
      </c>
      <c r="D4913" s="458">
        <v>6.3551759138504194E-2</v>
      </c>
      <c r="E4913" s="477">
        <v>15841124.967746329</v>
      </c>
      <c r="F4913" s="458">
        <v>0.11502318182645244</v>
      </c>
      <c r="G4913" s="477">
        <v>92926421.891222924</v>
      </c>
      <c r="H4913" s="458">
        <v>0.27537281677256775</v>
      </c>
      <c r="I4913" s="468">
        <v>15.169743429965667</v>
      </c>
    </row>
    <row r="4914" spans="1:9" ht="16.5" x14ac:dyDescent="0.3">
      <c r="A4914" s="477">
        <v>4268215.4567197766</v>
      </c>
      <c r="B4914" s="458">
        <v>3.5780283641294153E-2</v>
      </c>
      <c r="C4914" s="477">
        <v>10760518.869636649</v>
      </c>
      <c r="D4914" s="458">
        <v>6.1030048066169851E-2</v>
      </c>
      <c r="E4914" s="477">
        <v>20784736.565094486</v>
      </c>
      <c r="F4914" s="458">
        <v>0.1008865877639209</v>
      </c>
      <c r="G4914" s="477">
        <v>93657896.259526014</v>
      </c>
      <c r="H4914" s="458">
        <v>0.27130769735963289</v>
      </c>
      <c r="I4914" s="468">
        <v>15.261612580064995</v>
      </c>
    </row>
    <row r="4915" spans="1:9" ht="16.5" x14ac:dyDescent="0.3">
      <c r="A4915" s="477">
        <v>5536609.0675673103</v>
      </c>
      <c r="B4915" s="458">
        <v>4.5647019432274449E-2</v>
      </c>
      <c r="C4915" s="477">
        <v>5291100.015782184</v>
      </c>
      <c r="D4915" s="458">
        <v>4.9966712342336184E-2</v>
      </c>
      <c r="E4915" s="477">
        <v>18298110.275868185</v>
      </c>
      <c r="F4915" s="458">
        <v>0.12254891753031827</v>
      </c>
      <c r="G4915" s="477">
        <v>86639131.613103777</v>
      </c>
      <c r="H4915" s="458">
        <v>0.28176830321516144</v>
      </c>
      <c r="I4915" s="468">
        <v>15.027203794886582</v>
      </c>
    </row>
    <row r="4916" spans="1:9" ht="16.5" x14ac:dyDescent="0.3">
      <c r="A4916" s="477">
        <v>468171.1283276559</v>
      </c>
      <c r="B4916" s="458">
        <v>5.5698772199456403E-2</v>
      </c>
      <c r="C4916" s="477">
        <v>6609242.8962620134</v>
      </c>
      <c r="D4916" s="458">
        <v>7.4921903901155718E-2</v>
      </c>
      <c r="E4916" s="477">
        <v>8950277.0748908259</v>
      </c>
      <c r="F4916" s="458">
        <v>9.7883352489674058E-2</v>
      </c>
      <c r="G4916" s="477">
        <v>75330824.588966742</v>
      </c>
      <c r="H4916" s="458">
        <v>0.26978630934894121</v>
      </c>
      <c r="I4916" s="468">
        <v>4.9007383950032875</v>
      </c>
    </row>
    <row r="4917" spans="1:9" ht="16.5" x14ac:dyDescent="0.3">
      <c r="A4917" s="477">
        <v>6623068.1932549858</v>
      </c>
      <c r="B4917" s="458">
        <v>5.3038548076877134E-2</v>
      </c>
      <c r="C4917" s="477">
        <v>16669583.378779007</v>
      </c>
      <c r="D4917" s="458">
        <v>7.6877671049599305E-2</v>
      </c>
      <c r="E4917" s="477">
        <v>18141888.810292516</v>
      </c>
      <c r="F4917" s="458">
        <v>0.13995088382457732</v>
      </c>
      <c r="G4917" s="477">
        <v>106685950.44342355</v>
      </c>
      <c r="H4917" s="458">
        <v>0.25234531160249318</v>
      </c>
      <c r="I4917" s="468">
        <v>5.1445888362872765</v>
      </c>
    </row>
    <row r="4918" spans="1:9" ht="16.5" x14ac:dyDescent="0.3">
      <c r="A4918" s="477">
        <v>7085406.3878859831</v>
      </c>
      <c r="B4918" s="458">
        <v>7.5561637785726665E-2</v>
      </c>
      <c r="C4918" s="477">
        <v>7632692.433339024</v>
      </c>
      <c r="D4918" s="458">
        <v>8.7196555933111597E-2</v>
      </c>
      <c r="E4918" s="477">
        <v>21095453.100200586</v>
      </c>
      <c r="F4918" s="458">
        <v>0.12363627112918696</v>
      </c>
      <c r="G4918" s="477">
        <v>91658854.133742541</v>
      </c>
      <c r="H4918" s="458">
        <v>0.25680495285469296</v>
      </c>
      <c r="I4918" s="468">
        <v>9.7829549180661495</v>
      </c>
    </row>
    <row r="4919" spans="1:9" ht="16.5" x14ac:dyDescent="0.3">
      <c r="A4919" s="477">
        <v>2351234.6540030697</v>
      </c>
      <c r="B4919" s="458">
        <v>4.8343273707406986E-2</v>
      </c>
      <c r="C4919" s="477">
        <v>5575340.1495484551</v>
      </c>
      <c r="D4919" s="458">
        <v>5.5569618950151778E-2</v>
      </c>
      <c r="E4919" s="477">
        <v>10966163.374014324</v>
      </c>
      <c r="F4919" s="458">
        <v>9.7467314296419527E-2</v>
      </c>
      <c r="G4919" s="477">
        <v>87092776.976977468</v>
      </c>
      <c r="H4919" s="458">
        <v>0.25595260962328958</v>
      </c>
      <c r="I4919" s="468">
        <v>7.3156095487606621</v>
      </c>
    </row>
    <row r="4920" spans="1:9" ht="16.5" x14ac:dyDescent="0.3">
      <c r="A4920" s="477">
        <v>273715.65436555649</v>
      </c>
      <c r="B4920" s="458">
        <v>5.8940447109064209E-2</v>
      </c>
      <c r="C4920" s="477">
        <v>6369561.885551543</v>
      </c>
      <c r="D4920" s="458">
        <v>7.1480249883001612E-2</v>
      </c>
      <c r="E4920" s="477">
        <v>13889452.120991228</v>
      </c>
      <c r="F4920" s="458">
        <v>7.0038330121073633E-2</v>
      </c>
      <c r="G4920" s="477">
        <v>87523276.722702831</v>
      </c>
      <c r="H4920" s="458">
        <v>0.27367480557931056</v>
      </c>
      <c r="I4920" s="468">
        <v>9.3223957965930566</v>
      </c>
    </row>
    <row r="4921" spans="1:9" ht="16.5" x14ac:dyDescent="0.3">
      <c r="A4921" s="477">
        <v>6554766.9546444407</v>
      </c>
      <c r="B4921" s="458">
        <v>5.2356608196726828E-2</v>
      </c>
      <c r="C4921" s="477">
        <v>6375549.1517285947</v>
      </c>
      <c r="D4921" s="458">
        <v>6.2534371099509878E-2</v>
      </c>
      <c r="E4921" s="477">
        <v>9462941.4621610027</v>
      </c>
      <c r="F4921" s="458">
        <v>0.11467041897553187</v>
      </c>
      <c r="G4921" s="477">
        <v>71200237.460355863</v>
      </c>
      <c r="H4921" s="458">
        <v>0.25953080596129641</v>
      </c>
      <c r="I4921" s="468">
        <v>10.532251328798248</v>
      </c>
    </row>
    <row r="4922" spans="1:9" ht="16.5" x14ac:dyDescent="0.3">
      <c r="A4922" s="477">
        <v>4015096.3213868174</v>
      </c>
      <c r="B4922" s="458">
        <v>4.7286473888872527E-2</v>
      </c>
      <c r="C4922" s="477">
        <v>2409326.7896043696</v>
      </c>
      <c r="D4922" s="458">
        <v>7.2259075100760572E-2</v>
      </c>
      <c r="E4922" s="477">
        <v>20721005.597253401</v>
      </c>
      <c r="F4922" s="458">
        <v>9.1057138553106265E-2</v>
      </c>
      <c r="G4922" s="477">
        <v>85493551.750159591</v>
      </c>
      <c r="H4922" s="458">
        <v>0.24868714084635335</v>
      </c>
      <c r="I4922" s="468">
        <v>6.0936351800165074</v>
      </c>
    </row>
    <row r="4923" spans="1:9" ht="16.5" x14ac:dyDescent="0.3">
      <c r="A4923" s="477">
        <v>4320540.2184105478</v>
      </c>
      <c r="B4923" s="458">
        <v>6.5249527732217816E-2</v>
      </c>
      <c r="C4923" s="477">
        <v>11745170.353358749</v>
      </c>
      <c r="D4923" s="458">
        <v>7.3171639451079296E-2</v>
      </c>
      <c r="E4923" s="477">
        <v>18667456.860920742</v>
      </c>
      <c r="F4923" s="458">
        <v>0.10652632447866028</v>
      </c>
      <c r="G4923" s="477">
        <v>77943304.622871011</v>
      </c>
      <c r="H4923" s="458">
        <v>0.25814996914416088</v>
      </c>
      <c r="I4923" s="468">
        <v>9.7461234985791894</v>
      </c>
    </row>
    <row r="4924" spans="1:9" ht="16.5" x14ac:dyDescent="0.3">
      <c r="A4924" s="477">
        <v>6265284.0376730934</v>
      </c>
      <c r="B4924" s="458">
        <v>7.8971438202551703E-2</v>
      </c>
      <c r="C4924" s="477">
        <v>5537209.7749396795</v>
      </c>
      <c r="D4924" s="458">
        <v>5.9650774096562387E-2</v>
      </c>
      <c r="E4924" s="477">
        <v>20548915.642827377</v>
      </c>
      <c r="F4924" s="458">
        <v>9.7935296006288253E-2</v>
      </c>
      <c r="G4924" s="477">
        <v>92484394.036010981</v>
      </c>
      <c r="H4924" s="458">
        <v>0.28812849268882634</v>
      </c>
      <c r="I4924" s="468">
        <v>10.198225919701709</v>
      </c>
    </row>
    <row r="4925" spans="1:9" ht="16.5" x14ac:dyDescent="0.3">
      <c r="A4925" s="477">
        <v>2960834.5090321233</v>
      </c>
      <c r="B4925" s="458">
        <v>7.732072859412864E-2</v>
      </c>
      <c r="C4925" s="477">
        <v>6850693.1137088537</v>
      </c>
      <c r="D4925" s="458">
        <v>3.5076347070286396E-2</v>
      </c>
      <c r="E4925" s="477">
        <v>19397617.066078674</v>
      </c>
      <c r="F4925" s="458">
        <v>8.7936325282632621E-2</v>
      </c>
      <c r="G4925" s="477">
        <v>85007475.539644659</v>
      </c>
      <c r="H4925" s="458">
        <v>0.27756018421702633</v>
      </c>
      <c r="I4925" s="468">
        <v>13.462661790209474</v>
      </c>
    </row>
    <row r="4926" spans="1:9" ht="16.5" x14ac:dyDescent="0.3">
      <c r="A4926" s="477">
        <v>3102018.1854209336</v>
      </c>
      <c r="B4926" s="458">
        <v>5.4168067799383879E-2</v>
      </c>
      <c r="C4926" s="477">
        <v>7663432.3138904916</v>
      </c>
      <c r="D4926" s="458">
        <v>7.0508652157932561E-2</v>
      </c>
      <c r="E4926" s="477">
        <v>15337200.806635598</v>
      </c>
      <c r="F4926" s="458">
        <v>0.13189522444770674</v>
      </c>
      <c r="G4926" s="477">
        <v>88017042.723434851</v>
      </c>
      <c r="H4926" s="458">
        <v>0.27277188846704092</v>
      </c>
      <c r="I4926" s="468">
        <v>13.348137719532954</v>
      </c>
    </row>
    <row r="4927" spans="1:9" ht="16.5" x14ac:dyDescent="0.3">
      <c r="A4927" s="477">
        <v>6261940.3767071199</v>
      </c>
      <c r="B4927" s="458">
        <v>4.8887630074219812E-2</v>
      </c>
      <c r="C4927" s="477">
        <v>7741855.8595803715</v>
      </c>
      <c r="D4927" s="458">
        <v>8.0415676280733095E-2</v>
      </c>
      <c r="E4927" s="477">
        <v>21843847.800686043</v>
      </c>
      <c r="F4927" s="458">
        <v>0.13007615929115901</v>
      </c>
      <c r="G4927" s="477">
        <v>85208827.338923946</v>
      </c>
      <c r="H4927" s="458">
        <v>0.27022047128816751</v>
      </c>
      <c r="I4927" s="468">
        <v>6.086046685590027</v>
      </c>
    </row>
    <row r="4928" spans="1:9" ht="16.5" x14ac:dyDescent="0.3">
      <c r="A4928" s="477">
        <v>7766449.6902357135</v>
      </c>
      <c r="B4928" s="458">
        <v>3.0908791422690207E-2</v>
      </c>
      <c r="C4928" s="477">
        <v>10564356.46378232</v>
      </c>
      <c r="D4928" s="458">
        <v>4.2423843157856522E-2</v>
      </c>
      <c r="E4928" s="477">
        <v>18215248.377128098</v>
      </c>
      <c r="F4928" s="458">
        <v>0.11411650194100975</v>
      </c>
      <c r="G4928" s="477">
        <v>100177287.28884552</v>
      </c>
      <c r="H4928" s="458">
        <v>0.28218155269023248</v>
      </c>
      <c r="I4928" s="468">
        <v>10.457066210106131</v>
      </c>
    </row>
    <row r="4929" spans="1:9" ht="16.5" x14ac:dyDescent="0.3">
      <c r="A4929" s="477">
        <v>7167608.4770946624</v>
      </c>
      <c r="B4929" s="458">
        <v>6.2453036488087976E-2</v>
      </c>
      <c r="C4929" s="477">
        <v>11467468.642130878</v>
      </c>
      <c r="D4929" s="458">
        <v>4.4801126775936062E-2</v>
      </c>
      <c r="E4929" s="477">
        <v>10275405.135500558</v>
      </c>
      <c r="F4929" s="458">
        <v>9.5602858353135201E-2</v>
      </c>
      <c r="G4929" s="477">
        <v>105356030.09313893</v>
      </c>
      <c r="H4929" s="458">
        <v>0.25625999943501432</v>
      </c>
      <c r="I4929" s="468">
        <v>11.288976372133776</v>
      </c>
    </row>
    <row r="4930" spans="1:9" ht="16.5" x14ac:dyDescent="0.3">
      <c r="A4930" s="477">
        <v>3631964.3955279328</v>
      </c>
      <c r="B4930" s="458">
        <v>3.3402158008948968E-2</v>
      </c>
      <c r="C4930" s="477">
        <v>2728856.8163759466</v>
      </c>
      <c r="D4930" s="458">
        <v>6.152402070196783E-2</v>
      </c>
      <c r="E4930" s="477">
        <v>26723351.216195405</v>
      </c>
      <c r="F4930" s="458">
        <v>0.10050699161894827</v>
      </c>
      <c r="G4930" s="477">
        <v>96218854.927117348</v>
      </c>
      <c r="H4930" s="458">
        <v>0.26328290137177612</v>
      </c>
      <c r="I4930" s="468">
        <v>11.867178197049515</v>
      </c>
    </row>
    <row r="4931" spans="1:9" ht="16.5" x14ac:dyDescent="0.3">
      <c r="A4931" s="477">
        <v>4006701.8414437855</v>
      </c>
      <c r="B4931" s="458">
        <v>5.1454442104881482E-2</v>
      </c>
      <c r="C4931" s="477">
        <v>8640710.9566395227</v>
      </c>
      <c r="D4931" s="458">
        <v>7.9109297285601343E-2</v>
      </c>
      <c r="E4931" s="477">
        <v>26072207.171079885</v>
      </c>
      <c r="F4931" s="458">
        <v>0.12419666617864045</v>
      </c>
      <c r="G4931" s="477">
        <v>79624469.458594143</v>
      </c>
      <c r="H4931" s="458">
        <v>0.27452792662004888</v>
      </c>
      <c r="I4931" s="468">
        <v>8.7327110152404046</v>
      </c>
    </row>
    <row r="4932" spans="1:9" ht="16.5" x14ac:dyDescent="0.3">
      <c r="A4932" s="477">
        <v>8262321.463569547</v>
      </c>
      <c r="B4932" s="458">
        <v>5.8158263224372453E-2</v>
      </c>
      <c r="C4932" s="477">
        <v>2991636.918912611</v>
      </c>
      <c r="D4932" s="458">
        <v>0.11858698823618297</v>
      </c>
      <c r="E4932" s="477">
        <v>18404877.088542048</v>
      </c>
      <c r="F4932" s="458">
        <v>8.5818076383589181E-2</v>
      </c>
      <c r="G4932" s="477">
        <v>92481216.161385387</v>
      </c>
      <c r="H4932" s="458">
        <v>0.27449232999689488</v>
      </c>
      <c r="I4932" s="468">
        <v>10.471678966774045</v>
      </c>
    </row>
    <row r="4933" spans="1:9" ht="16.5" x14ac:dyDescent="0.3">
      <c r="A4933" s="477">
        <v>9031345.4715692326</v>
      </c>
      <c r="B4933" s="458">
        <v>4.0520610321315376E-2</v>
      </c>
      <c r="C4933" s="477">
        <v>6552100.5905297436</v>
      </c>
      <c r="D4933" s="458">
        <v>6.4096989648172675E-2</v>
      </c>
      <c r="E4933" s="477">
        <v>23480379.782523219</v>
      </c>
      <c r="F4933" s="458">
        <v>7.9929011298410346E-2</v>
      </c>
      <c r="G4933" s="477">
        <v>90407443.768918633</v>
      </c>
      <c r="H4933" s="458">
        <v>0.25853217805801965</v>
      </c>
      <c r="I4933" s="468">
        <v>0.68157316972795901</v>
      </c>
    </row>
    <row r="4934" spans="1:9" ht="16.5" x14ac:dyDescent="0.3">
      <c r="A4934" s="477">
        <v>6186442.0466082674</v>
      </c>
      <c r="B4934" s="458">
        <v>2.1145030963615197E-2</v>
      </c>
      <c r="C4934" s="477">
        <v>4649996.2235784773</v>
      </c>
      <c r="D4934" s="458">
        <v>6.9480209900243839E-2</v>
      </c>
      <c r="E4934" s="477">
        <v>19209684.011237048</v>
      </c>
      <c r="F4934" s="458">
        <v>0.10613784861705899</v>
      </c>
      <c r="G4934" s="477">
        <v>94644527.541543424</v>
      </c>
      <c r="H4934" s="458">
        <v>0.27673126647782209</v>
      </c>
      <c r="I4934" s="468">
        <v>13.803958630357128</v>
      </c>
    </row>
    <row r="4935" spans="1:9" ht="16.5" x14ac:dyDescent="0.3">
      <c r="A4935" s="477">
        <v>4266466.7366344128</v>
      </c>
      <c r="B4935" s="458">
        <v>3.561817093700026E-2</v>
      </c>
      <c r="C4935" s="477">
        <v>11339778.453609874</v>
      </c>
      <c r="D4935" s="458">
        <v>5.0394942324666347E-2</v>
      </c>
      <c r="E4935" s="477">
        <v>20362333.723245095</v>
      </c>
      <c r="F4935" s="458">
        <v>8.7338553420518883E-2</v>
      </c>
      <c r="G4935" s="477">
        <v>92047671.123581439</v>
      </c>
      <c r="H4935" s="458">
        <v>0.28326435174336972</v>
      </c>
      <c r="I4935" s="468">
        <v>9.5581419328164472</v>
      </c>
    </row>
    <row r="4936" spans="1:9" ht="16.5" x14ac:dyDescent="0.3">
      <c r="A4936" s="477">
        <v>5325762.9704268128</v>
      </c>
      <c r="B4936" s="458">
        <v>2.4512616454712033E-2</v>
      </c>
      <c r="C4936" s="477">
        <v>7535235.3588000853</v>
      </c>
      <c r="D4936" s="458">
        <v>6.7632025946897656E-2</v>
      </c>
      <c r="E4936" s="477">
        <v>4268706.5627870942</v>
      </c>
      <c r="F4936" s="458">
        <v>0.11415370182286666</v>
      </c>
      <c r="G4936" s="477">
        <v>95029592.215192586</v>
      </c>
      <c r="H4936" s="458">
        <v>0.27651518870346647</v>
      </c>
      <c r="I4936" s="468">
        <v>9.6582663229863162</v>
      </c>
    </row>
    <row r="4937" spans="1:9" ht="16.5" x14ac:dyDescent="0.3">
      <c r="A4937" s="477">
        <v>4242414.6168674845</v>
      </c>
      <c r="B4937" s="458">
        <v>1.8977713881698222E-2</v>
      </c>
      <c r="C4937" s="477">
        <v>14124675.115972679</v>
      </c>
      <c r="D4937" s="458">
        <v>7.96230761333796E-2</v>
      </c>
      <c r="E4937" s="477">
        <v>13726694.177977081</v>
      </c>
      <c r="F4937" s="458">
        <v>9.6039021026186333E-2</v>
      </c>
      <c r="G4937" s="477">
        <v>85684471.633347213</v>
      </c>
      <c r="H4937" s="458">
        <v>0.28724012375184627</v>
      </c>
      <c r="I4937" s="468">
        <v>9.2588596485361325</v>
      </c>
    </row>
    <row r="4938" spans="1:9" ht="16.5" x14ac:dyDescent="0.3">
      <c r="A4938" s="477">
        <v>5799244.635859333</v>
      </c>
      <c r="B4938" s="458">
        <v>2.8567487154360416E-2</v>
      </c>
      <c r="C4938" s="477">
        <v>13317572.059273215</v>
      </c>
      <c r="D4938" s="458">
        <v>7.272603219313023E-2</v>
      </c>
      <c r="E4938" s="477">
        <v>13600793.290390942</v>
      </c>
      <c r="F4938" s="458">
        <v>0.1321724058792666</v>
      </c>
      <c r="G4938" s="477">
        <v>96160986.785232753</v>
      </c>
      <c r="H4938" s="458">
        <v>0.274984176316726</v>
      </c>
      <c r="I4938" s="468">
        <v>-3.6314511848782818</v>
      </c>
    </row>
    <row r="4939" spans="1:9" ht="16.5" x14ac:dyDescent="0.3">
      <c r="A4939" s="477">
        <v>9998452.8074816987</v>
      </c>
      <c r="B4939" s="458">
        <v>3.2242280438186777E-2</v>
      </c>
      <c r="C4939" s="477">
        <v>5563253.1252370132</v>
      </c>
      <c r="D4939" s="458">
        <v>6.329364163566753E-2</v>
      </c>
      <c r="E4939" s="477">
        <v>7487893.263845345</v>
      </c>
      <c r="F4939" s="458">
        <v>0.1077949586065583</v>
      </c>
      <c r="G4939" s="477">
        <v>75628246.189908594</v>
      </c>
      <c r="H4939" s="458">
        <v>0.26272736774508121</v>
      </c>
      <c r="I4939" s="468">
        <v>5.209545305526941</v>
      </c>
    </row>
    <row r="4940" spans="1:9" ht="16.5" x14ac:dyDescent="0.3">
      <c r="A4940" s="477">
        <v>7340183.9977112291</v>
      </c>
      <c r="B4940" s="458">
        <v>2.7798087964679752E-2</v>
      </c>
      <c r="C4940" s="477">
        <v>5364025.7477027532</v>
      </c>
      <c r="D4940" s="458">
        <v>5.0692413330803543E-2</v>
      </c>
      <c r="E4940" s="477">
        <v>21746156.85484194</v>
      </c>
      <c r="F4940" s="458">
        <v>0.10701038132286422</v>
      </c>
      <c r="G4940" s="477">
        <v>86153834.297207817</v>
      </c>
      <c r="H4940" s="458">
        <v>0.2695239100731468</v>
      </c>
      <c r="I4940" s="468">
        <v>6.7029996401300203</v>
      </c>
    </row>
    <row r="4941" spans="1:9" ht="16.5" x14ac:dyDescent="0.3">
      <c r="A4941" s="477">
        <v>11492522.087640716</v>
      </c>
      <c r="B4941" s="458">
        <v>4.918188758033426E-2</v>
      </c>
      <c r="C4941" s="477">
        <v>9765389.4285490904</v>
      </c>
      <c r="D4941" s="458">
        <v>1.8201863356740233E-2</v>
      </c>
      <c r="E4941" s="477">
        <v>7394722.3755911374</v>
      </c>
      <c r="F4941" s="458">
        <v>0.11192356414556692</v>
      </c>
      <c r="G4941" s="477">
        <v>76827204.949789524</v>
      </c>
      <c r="H4941" s="458">
        <v>0.26797391788442915</v>
      </c>
      <c r="I4941" s="468">
        <v>8.5131102900236151</v>
      </c>
    </row>
    <row r="4942" spans="1:9" ht="16.5" x14ac:dyDescent="0.3">
      <c r="A4942" s="477">
        <v>1486951.0366390385</v>
      </c>
      <c r="B4942" s="458">
        <v>1.9665026139299213E-2</v>
      </c>
      <c r="C4942" s="477">
        <v>8961709.5704411995</v>
      </c>
      <c r="D4942" s="458">
        <v>5.7665638734761382E-2</v>
      </c>
      <c r="E4942" s="477">
        <v>12793565.813393965</v>
      </c>
      <c r="F4942" s="458">
        <v>0.11713598580512796</v>
      </c>
      <c r="G4942" s="477">
        <v>97412541.567232892</v>
      </c>
      <c r="H4942" s="458">
        <v>0.260556287542413</v>
      </c>
      <c r="I4942" s="468">
        <v>5.3482345581843571</v>
      </c>
    </row>
    <row r="4943" spans="1:9" ht="16.5" x14ac:dyDescent="0.3">
      <c r="A4943" s="477">
        <v>3942891.2516936995</v>
      </c>
      <c r="B4943" s="458">
        <v>4.5767400286550242E-2</v>
      </c>
      <c r="C4943" s="477">
        <v>8737071.7822685577</v>
      </c>
      <c r="D4943" s="458">
        <v>7.2722507993791874E-2</v>
      </c>
      <c r="E4943" s="477">
        <v>10492453.436950598</v>
      </c>
      <c r="F4943" s="458">
        <v>0.12566681035924598</v>
      </c>
      <c r="G4943" s="477">
        <v>97764880.295969412</v>
      </c>
      <c r="H4943" s="458">
        <v>0.25794167772673715</v>
      </c>
      <c r="I4943" s="468">
        <v>7.5363132732133513</v>
      </c>
    </row>
    <row r="4944" spans="1:9" ht="16.5" x14ac:dyDescent="0.3">
      <c r="A4944" s="477">
        <v>2637735.5006802701</v>
      </c>
      <c r="B4944" s="458">
        <v>5.7561523386417512E-2</v>
      </c>
      <c r="C4944" s="477">
        <v>1299573.2033403823</v>
      </c>
      <c r="D4944" s="458">
        <v>5.6562288877546996E-2</v>
      </c>
      <c r="E4944" s="477">
        <v>19121616.818471566</v>
      </c>
      <c r="F4944" s="458">
        <v>0.12529096280123708</v>
      </c>
      <c r="G4944" s="477">
        <v>93322130.058412969</v>
      </c>
      <c r="H4944" s="458">
        <v>0.27698609050378553</v>
      </c>
      <c r="I4944" s="468">
        <v>8.2044363116983625</v>
      </c>
    </row>
    <row r="4945" spans="1:9" ht="16.5" x14ac:dyDescent="0.3">
      <c r="A4945" s="477">
        <v>7507381.599001986</v>
      </c>
      <c r="B4945" s="458">
        <v>3.2992309134316056E-2</v>
      </c>
      <c r="C4945" s="477">
        <v>12817045.491452042</v>
      </c>
      <c r="D4945" s="458">
        <v>6.5433423468465035E-2</v>
      </c>
      <c r="E4945" s="477">
        <v>14760853.53929458</v>
      </c>
      <c r="F4945" s="458">
        <v>0.11680609549569088</v>
      </c>
      <c r="G4945" s="477">
        <v>76061565.544606104</v>
      </c>
      <c r="H4945" s="458">
        <v>0.2655974637897407</v>
      </c>
      <c r="I4945" s="468">
        <v>8.5226443880634406</v>
      </c>
    </row>
    <row r="4946" spans="1:9" ht="16.5" x14ac:dyDescent="0.3">
      <c r="A4946" s="477">
        <v>1290088.477686459</v>
      </c>
      <c r="B4946" s="458">
        <v>4.7778548591053571E-2</v>
      </c>
      <c r="C4946" s="477">
        <v>10861822.522350786</v>
      </c>
      <c r="D4946" s="458">
        <v>6.5763075829698758E-2</v>
      </c>
      <c r="E4946" s="477">
        <v>7084855.7929256009</v>
      </c>
      <c r="F4946" s="458">
        <v>0.10516361428271592</v>
      </c>
      <c r="G4946" s="477">
        <v>92115628.48796244</v>
      </c>
      <c r="H4946" s="458">
        <v>0.25638044062677756</v>
      </c>
      <c r="I4946" s="468">
        <v>6.5089878918278785</v>
      </c>
    </row>
    <row r="4947" spans="1:9" ht="16.5" x14ac:dyDescent="0.3">
      <c r="A4947" s="477">
        <v>3568726.4717811872</v>
      </c>
      <c r="B4947" s="458">
        <v>3.6127602282225668E-2</v>
      </c>
      <c r="C4947" s="477">
        <v>3158909.9279652205</v>
      </c>
      <c r="D4947" s="458">
        <v>5.6990552548703777E-2</v>
      </c>
      <c r="E4947" s="477">
        <v>16761745.225559587</v>
      </c>
      <c r="F4947" s="458">
        <v>8.3371617740553683E-2</v>
      </c>
      <c r="G4947" s="477">
        <v>81720477.922798678</v>
      </c>
      <c r="H4947" s="458">
        <v>0.27511720773543735</v>
      </c>
      <c r="I4947" s="468">
        <v>13.736487827913557</v>
      </c>
    </row>
    <row r="4948" spans="1:9" ht="16.5" x14ac:dyDescent="0.3">
      <c r="A4948" s="477">
        <v>5203966.3812789274</v>
      </c>
      <c r="B4948" s="458">
        <v>2.5770853937790772E-2</v>
      </c>
      <c r="C4948" s="477">
        <v>7116365.429513704</v>
      </c>
      <c r="D4948" s="458">
        <v>4.3630742293385261E-2</v>
      </c>
      <c r="E4948" s="477">
        <v>9728045.2115579881</v>
      </c>
      <c r="F4948" s="458">
        <v>0.1270129446281687</v>
      </c>
      <c r="G4948" s="477">
        <v>93374598.457037553</v>
      </c>
      <c r="H4948" s="458">
        <v>0.26688774905536983</v>
      </c>
      <c r="I4948" s="468">
        <v>6.1466762756863371</v>
      </c>
    </row>
    <row r="4949" spans="1:9" ht="16.5" x14ac:dyDescent="0.3">
      <c r="A4949" s="477">
        <v>8776322.5594335794</v>
      </c>
      <c r="B4949" s="458">
        <v>5.233269411340391E-2</v>
      </c>
      <c r="C4949" s="477">
        <v>1144761.0811055216</v>
      </c>
      <c r="D4949" s="458">
        <v>8.333250772693046E-2</v>
      </c>
      <c r="E4949" s="477">
        <v>17037455.079297703</v>
      </c>
      <c r="F4949" s="458">
        <v>0.11418411482742252</v>
      </c>
      <c r="G4949" s="477">
        <v>89433459.457365423</v>
      </c>
      <c r="H4949" s="458">
        <v>0.27983186121989378</v>
      </c>
      <c r="I4949" s="468">
        <v>10.860638435450205</v>
      </c>
    </row>
    <row r="4950" spans="1:9" ht="16.5" x14ac:dyDescent="0.3">
      <c r="A4950" s="477">
        <v>5116882.2627926962</v>
      </c>
      <c r="B4950" s="458">
        <v>4.0105733941794508E-2</v>
      </c>
      <c r="C4950" s="477">
        <v>6518047.0129080219</v>
      </c>
      <c r="D4950" s="458">
        <v>5.9488564371644514E-2</v>
      </c>
      <c r="E4950" s="477">
        <v>19758758.009815134</v>
      </c>
      <c r="F4950" s="458">
        <v>0.1195276321003369</v>
      </c>
      <c r="G4950" s="477">
        <v>101371379.49025823</v>
      </c>
      <c r="H4950" s="458">
        <v>0.26172426413838856</v>
      </c>
      <c r="I4950" s="468">
        <v>7.0506161722234708</v>
      </c>
    </row>
    <row r="4951" spans="1:9" ht="16.5" x14ac:dyDescent="0.3">
      <c r="A4951" s="477">
        <v>10066196.254019251</v>
      </c>
      <c r="B4951" s="458">
        <v>3.2405906748905311E-2</v>
      </c>
      <c r="C4951" s="477">
        <v>10174635.188989004</v>
      </c>
      <c r="D4951" s="458">
        <v>7.7817754661417382E-2</v>
      </c>
      <c r="E4951" s="477">
        <v>22074700.17962515</v>
      </c>
      <c r="F4951" s="458">
        <v>0.11935323998928737</v>
      </c>
      <c r="G4951" s="477">
        <v>98493318.406397909</v>
      </c>
      <c r="H4951" s="458">
        <v>0.26753984840867462</v>
      </c>
      <c r="I4951" s="468">
        <v>13.061601952200171</v>
      </c>
    </row>
    <row r="4952" spans="1:9" ht="16.5" x14ac:dyDescent="0.3">
      <c r="A4952" s="477">
        <v>5664409.8994603883</v>
      </c>
      <c r="B4952" s="458">
        <v>4.1608527701379794E-2</v>
      </c>
      <c r="C4952" s="477">
        <v>7969968.5107995858</v>
      </c>
      <c r="D4952" s="458">
        <v>7.2054192904609238E-2</v>
      </c>
      <c r="E4952" s="477">
        <v>13075840.792775698</v>
      </c>
      <c r="F4952" s="458">
        <v>0.10115186657159758</v>
      </c>
      <c r="G4952" s="477">
        <v>87229275.59579581</v>
      </c>
      <c r="H4952" s="458">
        <v>0.27553618916836853</v>
      </c>
      <c r="I4952" s="468">
        <v>15.328590937054109</v>
      </c>
    </row>
    <row r="4953" spans="1:9" ht="16.5" x14ac:dyDescent="0.3">
      <c r="A4953" s="477">
        <v>3444788.78012917</v>
      </c>
      <c r="B4953" s="458">
        <v>1.7679416803852765E-2</v>
      </c>
      <c r="C4953" s="477">
        <v>8563862.2426289748</v>
      </c>
      <c r="D4953" s="458">
        <v>8.5958860045209473E-2</v>
      </c>
      <c r="E4953" s="477">
        <v>11365303.230088213</v>
      </c>
      <c r="F4953" s="458">
        <v>9.3353025008497292E-2</v>
      </c>
      <c r="G4953" s="477">
        <v>97857659.971376583</v>
      </c>
      <c r="H4953" s="458">
        <v>0.28118464825668998</v>
      </c>
      <c r="I4953" s="468">
        <v>6.0010242214119884</v>
      </c>
    </row>
    <row r="4954" spans="1:9" ht="16.5" x14ac:dyDescent="0.3">
      <c r="A4954" s="477">
        <v>3187647.8433221122</v>
      </c>
      <c r="B4954" s="458">
        <v>7.2048372741199129E-2</v>
      </c>
      <c r="C4954" s="477">
        <v>14404906.830706825</v>
      </c>
      <c r="D4954" s="458">
        <v>7.48616331166303E-2</v>
      </c>
      <c r="E4954" s="477">
        <v>9541354.847474074</v>
      </c>
      <c r="F4954" s="458">
        <v>0.10112925013592222</v>
      </c>
      <c r="G4954" s="477">
        <v>77460692.927124113</v>
      </c>
      <c r="H4954" s="458">
        <v>0.27016325921969297</v>
      </c>
      <c r="I4954" s="468">
        <v>7.30785226408518</v>
      </c>
    </row>
    <row r="4955" spans="1:9" ht="16.5" x14ac:dyDescent="0.3">
      <c r="A4955" s="477">
        <v>6092162.6563353436</v>
      </c>
      <c r="B4955" s="458">
        <v>6.9257282057916036E-2</v>
      </c>
      <c r="C4955" s="477">
        <v>11765938.126541905</v>
      </c>
      <c r="D4955" s="458">
        <v>5.4020087215222334E-2</v>
      </c>
      <c r="E4955" s="477">
        <v>14077669.189458948</v>
      </c>
      <c r="F4955" s="458">
        <v>7.6164051015242817E-2</v>
      </c>
      <c r="G4955" s="477">
        <v>89394180.547371939</v>
      </c>
      <c r="H4955" s="458">
        <v>0.27313964790461287</v>
      </c>
      <c r="I4955" s="468">
        <v>4.5703464083664009</v>
      </c>
    </row>
    <row r="4956" spans="1:9" ht="16.5" x14ac:dyDescent="0.3">
      <c r="A4956" s="477">
        <v>3570737.5905432091</v>
      </c>
      <c r="B4956" s="458">
        <v>3.5343649514345543E-2</v>
      </c>
      <c r="C4956" s="477">
        <v>10747980.466512674</v>
      </c>
      <c r="D4956" s="458">
        <v>5.7841045589274609E-2</v>
      </c>
      <c r="E4956" s="477">
        <v>11292174.793386107</v>
      </c>
      <c r="F4956" s="458">
        <v>0.10768272300587833</v>
      </c>
      <c r="G4956" s="477">
        <v>101147641.10518023</v>
      </c>
      <c r="H4956" s="458">
        <v>0.25472104828410735</v>
      </c>
      <c r="I4956" s="468">
        <v>12.42097435273441</v>
      </c>
    </row>
    <row r="4957" spans="1:9" ht="16.5" x14ac:dyDescent="0.3">
      <c r="A4957" s="477">
        <v>2105018.7624113988</v>
      </c>
      <c r="B4957" s="458">
        <v>2.689670760269891E-2</v>
      </c>
      <c r="C4957" s="477">
        <v>6288287.4609937798</v>
      </c>
      <c r="D4957" s="458">
        <v>5.4752816811352467E-2</v>
      </c>
      <c r="E4957" s="477">
        <v>15811353.281690788</v>
      </c>
      <c r="F4957" s="458">
        <v>9.0638983931047967E-2</v>
      </c>
      <c r="G4957" s="477">
        <v>82156867.187849477</v>
      </c>
      <c r="H4957" s="458">
        <v>0.29633726475194599</v>
      </c>
      <c r="I4957" s="468">
        <v>7.9924017806063414</v>
      </c>
    </row>
    <row r="4958" spans="1:9" ht="16.5" x14ac:dyDescent="0.3">
      <c r="A4958" s="477">
        <v>4720107.6051898655</v>
      </c>
      <c r="B4958" s="458">
        <v>2.9295655688836186E-2</v>
      </c>
      <c r="C4958" s="477">
        <v>8117818.7290398441</v>
      </c>
      <c r="D4958" s="458">
        <v>6.8626957187289728E-2</v>
      </c>
      <c r="E4958" s="477">
        <v>16700231.312277855</v>
      </c>
      <c r="F4958" s="458">
        <v>0.13049086366677964</v>
      </c>
      <c r="G4958" s="477">
        <v>101158150.07172608</v>
      </c>
      <c r="H4958" s="458">
        <v>0.26785997913818371</v>
      </c>
      <c r="I4958" s="468">
        <v>-2.8588236529475655</v>
      </c>
    </row>
    <row r="4959" spans="1:9" ht="16.5" x14ac:dyDescent="0.3">
      <c r="A4959" s="477">
        <v>4762490.5498373536</v>
      </c>
      <c r="B4959" s="458">
        <v>3.8212874523528617E-2</v>
      </c>
      <c r="C4959" s="477">
        <v>9962189.3027687259</v>
      </c>
      <c r="D4959" s="458">
        <v>8.1673442461438928E-2</v>
      </c>
      <c r="E4959" s="477">
        <v>15872268.712012654</v>
      </c>
      <c r="F4959" s="458">
        <v>0.13393560174069208</v>
      </c>
      <c r="G4959" s="477">
        <v>87460320.000337198</v>
      </c>
      <c r="H4959" s="458">
        <v>0.269463962948848</v>
      </c>
      <c r="I4959" s="468">
        <v>4.1958314231904401</v>
      </c>
    </row>
    <row r="4960" spans="1:9" ht="16.5" x14ac:dyDescent="0.3">
      <c r="A4960" s="477">
        <v>6695747.0245890981</v>
      </c>
      <c r="B4960" s="458">
        <v>5.011873035590253E-2</v>
      </c>
      <c r="C4960" s="477">
        <v>3430572.8833797798</v>
      </c>
      <c r="D4960" s="458">
        <v>5.1105852079019964E-2</v>
      </c>
      <c r="E4960" s="477">
        <v>13509767.733040266</v>
      </c>
      <c r="F4960" s="458">
        <v>0.10366423439725758</v>
      </c>
      <c r="G4960" s="477">
        <v>93876880.418737829</v>
      </c>
      <c r="H4960" s="458">
        <v>0.26951141397736711</v>
      </c>
      <c r="I4960" s="468">
        <v>2.112312734094286</v>
      </c>
    </row>
    <row r="4961" spans="1:9" ht="16.5" x14ac:dyDescent="0.3">
      <c r="A4961" s="477">
        <v>9710260.9378783833</v>
      </c>
      <c r="B4961" s="458">
        <v>4.2961754652914186E-2</v>
      </c>
      <c r="C4961" s="477">
        <v>7221804.0224465327</v>
      </c>
      <c r="D4961" s="458">
        <v>5.8445391497988775E-2</v>
      </c>
      <c r="E4961" s="477">
        <v>16663373.291167475</v>
      </c>
      <c r="F4961" s="458">
        <v>9.3094386476288982E-2</v>
      </c>
      <c r="G4961" s="477">
        <v>86248217.466966659</v>
      </c>
      <c r="H4961" s="458">
        <v>0.26623830435486284</v>
      </c>
      <c r="I4961" s="468">
        <v>1.1670897623036858</v>
      </c>
    </row>
    <row r="4962" spans="1:9" ht="16.5" x14ac:dyDescent="0.3">
      <c r="A4962" s="477">
        <v>10857347.797120897</v>
      </c>
      <c r="B4962" s="458">
        <v>4.0931133359329186E-2</v>
      </c>
      <c r="C4962" s="477">
        <v>4984000.6908750441</v>
      </c>
      <c r="D4962" s="458">
        <v>4.753797871909482E-2</v>
      </c>
      <c r="E4962" s="477">
        <v>18815764.721060865</v>
      </c>
      <c r="F4962" s="458">
        <v>0.10607831026895043</v>
      </c>
      <c r="G4962" s="477">
        <v>103585049.55249567</v>
      </c>
      <c r="H4962" s="458">
        <v>0.26228533653615815</v>
      </c>
      <c r="I4962" s="468">
        <v>11.496325632242842</v>
      </c>
    </row>
    <row r="4963" spans="1:9" ht="16.5" x14ac:dyDescent="0.3">
      <c r="A4963" s="477">
        <v>8988553.7702211235</v>
      </c>
      <c r="B4963" s="458">
        <v>2.3497313803376496E-2</v>
      </c>
      <c r="C4963" s="477">
        <v>10315477.835242307</v>
      </c>
      <c r="D4963" s="458">
        <v>6.3276269543328656E-2</v>
      </c>
      <c r="E4963" s="477">
        <v>21843862.853035696</v>
      </c>
      <c r="F4963" s="458">
        <v>0.13044783363404822</v>
      </c>
      <c r="G4963" s="477">
        <v>80961161.551609084</v>
      </c>
      <c r="H4963" s="458">
        <v>0.26801152255045158</v>
      </c>
      <c r="I4963" s="468">
        <v>9.6347196751448454</v>
      </c>
    </row>
    <row r="4964" spans="1:9" ht="16.5" x14ac:dyDescent="0.3">
      <c r="A4964" s="477">
        <v>9495106.8710984774</v>
      </c>
      <c r="B4964" s="458">
        <v>4.5588981207041579E-2</v>
      </c>
      <c r="C4964" s="477">
        <v>8850446.228356991</v>
      </c>
      <c r="D4964" s="458">
        <v>7.2510092118110991E-2</v>
      </c>
      <c r="E4964" s="477">
        <v>30718007.625066184</v>
      </c>
      <c r="F4964" s="458">
        <v>9.3780047818628365E-2</v>
      </c>
      <c r="G4964" s="477">
        <v>83532144.104344442</v>
      </c>
      <c r="H4964" s="458">
        <v>0.25404270759871306</v>
      </c>
      <c r="I4964" s="468">
        <v>7.7355782827600459</v>
      </c>
    </row>
    <row r="4965" spans="1:9" ht="16.5" x14ac:dyDescent="0.3">
      <c r="A4965" s="477">
        <v>4623988.5342933666</v>
      </c>
      <c r="B4965" s="458">
        <v>5.0965538470613803E-2</v>
      </c>
      <c r="C4965" s="477">
        <v>11443584.359427856</v>
      </c>
      <c r="D4965" s="458">
        <v>5.4437826381220189E-2</v>
      </c>
      <c r="E4965" s="477">
        <v>6372566.9146932019</v>
      </c>
      <c r="F4965" s="458">
        <v>0.11101172130707337</v>
      </c>
      <c r="G4965" s="477">
        <v>95409185.478539377</v>
      </c>
      <c r="H4965" s="458">
        <v>0.26334210842525163</v>
      </c>
      <c r="I4965" s="468">
        <v>8.9699448648244573</v>
      </c>
    </row>
    <row r="4966" spans="1:9" ht="16.5" x14ac:dyDescent="0.3">
      <c r="A4966" s="477">
        <v>4816120.3273465782</v>
      </c>
      <c r="B4966" s="458">
        <v>8.037635991294656E-2</v>
      </c>
      <c r="C4966" s="477">
        <v>8151535.6010666834</v>
      </c>
      <c r="D4966" s="458">
        <v>8.0402193585689341E-2</v>
      </c>
      <c r="E4966" s="477">
        <v>24540161.606962603</v>
      </c>
      <c r="F4966" s="458">
        <v>0.11578815215010452</v>
      </c>
      <c r="G4966" s="477">
        <v>72749409.755560651</v>
      </c>
      <c r="H4966" s="458">
        <v>0.27137598737291868</v>
      </c>
      <c r="I4966" s="468">
        <v>8.1660282716882513</v>
      </c>
    </row>
    <row r="4967" spans="1:9" ht="16.5" x14ac:dyDescent="0.3">
      <c r="A4967" s="477">
        <v>2036051.4355684447</v>
      </c>
      <c r="B4967" s="458">
        <v>2.3204111625781065E-2</v>
      </c>
      <c r="C4967" s="477">
        <v>13027956.650549838</v>
      </c>
      <c r="D4967" s="458">
        <v>7.7090791725069607E-2</v>
      </c>
      <c r="E4967" s="477">
        <v>18796252.193297438</v>
      </c>
      <c r="F4967" s="458">
        <v>0.13542893429365765</v>
      </c>
      <c r="G4967" s="477">
        <v>102141056.60455689</v>
      </c>
      <c r="H4967" s="458">
        <v>0.26421278971071183</v>
      </c>
      <c r="I4967" s="468">
        <v>4.0203128775476538</v>
      </c>
    </row>
    <row r="4968" spans="1:9" ht="16.5" x14ac:dyDescent="0.3">
      <c r="A4968" s="477">
        <v>6694125.119728365</v>
      </c>
      <c r="B4968" s="458">
        <v>1.4023550975385879E-2</v>
      </c>
      <c r="C4968" s="477">
        <v>8205371.3232130203</v>
      </c>
      <c r="D4968" s="458">
        <v>5.2842319563559892E-2</v>
      </c>
      <c r="E4968" s="477">
        <v>16185482.716606002</v>
      </c>
      <c r="F4968" s="458">
        <v>9.9546861473372994E-2</v>
      </c>
      <c r="G4968" s="477">
        <v>92575729.94008857</v>
      </c>
      <c r="H4968" s="458">
        <v>0.24097219526426383</v>
      </c>
      <c r="I4968" s="468">
        <v>11.395501251692083</v>
      </c>
    </row>
    <row r="4969" spans="1:9" ht="16.5" x14ac:dyDescent="0.3">
      <c r="A4969" s="477">
        <v>3911379.3483854746</v>
      </c>
      <c r="B4969" s="458">
        <v>4.8148276577890226E-2</v>
      </c>
      <c r="C4969" s="477">
        <v>5071302.8588741953</v>
      </c>
      <c r="D4969" s="458">
        <v>5.7986154431646231E-2</v>
      </c>
      <c r="E4969" s="477">
        <v>20332319.953163199</v>
      </c>
      <c r="F4969" s="458">
        <v>9.9809269686558233E-2</v>
      </c>
      <c r="G4969" s="477">
        <v>86557399.220787689</v>
      </c>
      <c r="H4969" s="458">
        <v>0.25151572930069732</v>
      </c>
      <c r="I4969" s="468">
        <v>10.853567320034852</v>
      </c>
    </row>
    <row r="4970" spans="1:9" ht="16.5" x14ac:dyDescent="0.3">
      <c r="A4970" s="477">
        <v>5182169.4229079671</v>
      </c>
      <c r="B4970" s="458">
        <v>4.0869280509996164E-2</v>
      </c>
      <c r="C4970" s="477">
        <v>10596502.235228375</v>
      </c>
      <c r="D4970" s="458">
        <v>5.4661941094757305E-2</v>
      </c>
      <c r="E4970" s="477">
        <v>14726180.755167225</v>
      </c>
      <c r="F4970" s="458">
        <v>0.11335730855346204</v>
      </c>
      <c r="G4970" s="477">
        <v>95022926.350734144</v>
      </c>
      <c r="H4970" s="458">
        <v>0.29701429057207118</v>
      </c>
      <c r="I4970" s="468">
        <v>12.440410928276275</v>
      </c>
    </row>
    <row r="4971" spans="1:9" ht="16.5" x14ac:dyDescent="0.3">
      <c r="A4971" s="477">
        <v>9641168.021635456</v>
      </c>
      <c r="B4971" s="458">
        <v>4.6034060128011367E-2</v>
      </c>
      <c r="C4971" s="477">
        <v>8175779.1638352312</v>
      </c>
      <c r="D4971" s="458">
        <v>5.1281075309380864E-2</v>
      </c>
      <c r="E4971" s="477">
        <v>22168338.095227018</v>
      </c>
      <c r="F4971" s="458">
        <v>0.11631191911805971</v>
      </c>
      <c r="G4971" s="477">
        <v>87754125.27817902</v>
      </c>
      <c r="H4971" s="458">
        <v>0.27932789538568081</v>
      </c>
      <c r="I4971" s="468">
        <v>14.246816358199961</v>
      </c>
    </row>
    <row r="4972" spans="1:9" ht="16.5" x14ac:dyDescent="0.3">
      <c r="A4972" s="477">
        <v>5545611.0525582349</v>
      </c>
      <c r="B4972" s="458">
        <v>4.7726489065521571E-2</v>
      </c>
      <c r="C4972" s="477">
        <v>14366454.564037682</v>
      </c>
      <c r="D4972" s="458">
        <v>5.8073014137163037E-2</v>
      </c>
      <c r="E4972" s="477">
        <v>12778879.582501583</v>
      </c>
      <c r="F4972" s="458">
        <v>0.10637041953230142</v>
      </c>
      <c r="G4972" s="477">
        <v>88233605.043384224</v>
      </c>
      <c r="H4972" s="458">
        <v>0.25692932397416146</v>
      </c>
      <c r="I4972" s="468">
        <v>5.2607939645051065</v>
      </c>
    </row>
    <row r="4973" spans="1:9" ht="16.5" x14ac:dyDescent="0.3">
      <c r="A4973" s="477">
        <v>6295007.4183067698</v>
      </c>
      <c r="B4973" s="458">
        <v>4.2681445813855579E-2</v>
      </c>
      <c r="C4973" s="477">
        <v>7355137.0722324466</v>
      </c>
      <c r="D4973" s="458">
        <v>6.4988365126106507E-2</v>
      </c>
      <c r="E4973" s="477">
        <v>15847029.910252905</v>
      </c>
      <c r="F4973" s="458">
        <v>0.10808661866733571</v>
      </c>
      <c r="G4973" s="477">
        <v>73060205.894595072</v>
      </c>
      <c r="H4973" s="458">
        <v>0.26226914149317682</v>
      </c>
      <c r="I4973" s="468">
        <v>-0.33700041315447393</v>
      </c>
    </row>
    <row r="4974" spans="1:9" ht="16.5" x14ac:dyDescent="0.3">
      <c r="A4974" s="477">
        <v>6932086.4347109515</v>
      </c>
      <c r="B4974" s="458">
        <v>5.410544336803369E-2</v>
      </c>
      <c r="C4974" s="477">
        <v>14026344.826140231</v>
      </c>
      <c r="D4974" s="458">
        <v>5.9716205137165579E-2</v>
      </c>
      <c r="E4974" s="477">
        <v>17524608.817981046</v>
      </c>
      <c r="F4974" s="458">
        <v>7.1501589827798862E-2</v>
      </c>
      <c r="G4974" s="477">
        <v>99536526.870940357</v>
      </c>
      <c r="H4974" s="458">
        <v>0.27474317834200646</v>
      </c>
      <c r="I4974" s="468">
        <v>9.52430524194288</v>
      </c>
    </row>
    <row r="4975" spans="1:9" ht="16.5" x14ac:dyDescent="0.3">
      <c r="A4975" s="477">
        <v>9404030.1504738275</v>
      </c>
      <c r="B4975" s="458">
        <v>2.7471462990031448E-2</v>
      </c>
      <c r="C4975" s="477">
        <v>8309554.9743052581</v>
      </c>
      <c r="D4975" s="458">
        <v>6.7118325656819522E-2</v>
      </c>
      <c r="E4975" s="477">
        <v>20887909.399600267</v>
      </c>
      <c r="F4975" s="458">
        <v>9.5780976365379633E-2</v>
      </c>
      <c r="G4975" s="477">
        <v>89210836.789136812</v>
      </c>
      <c r="H4975" s="458">
        <v>0.26899594054082798</v>
      </c>
      <c r="I4975" s="468">
        <v>9.4788513705627349</v>
      </c>
    </row>
    <row r="4976" spans="1:9" ht="16.5" x14ac:dyDescent="0.3">
      <c r="A4976" s="477">
        <v>6155398.3336112741</v>
      </c>
      <c r="B4976" s="458">
        <v>5.214119777921189E-2</v>
      </c>
      <c r="C4976" s="477">
        <v>15065983.042728957</v>
      </c>
      <c r="D4976" s="458">
        <v>5.9871869347476681E-2</v>
      </c>
      <c r="E4976" s="477">
        <v>23706011.110004947</v>
      </c>
      <c r="F4976" s="458">
        <v>0.10569367984774769</v>
      </c>
      <c r="G4976" s="477">
        <v>97801350.369151428</v>
      </c>
      <c r="H4976" s="458">
        <v>0.24859644245124146</v>
      </c>
      <c r="I4976" s="468">
        <v>10.12550302331946</v>
      </c>
    </row>
    <row r="4977" spans="1:9" ht="16.5" x14ac:dyDescent="0.3">
      <c r="A4977" s="477">
        <v>12652360.457409687</v>
      </c>
      <c r="B4977" s="458">
        <v>4.4361009187779965E-2</v>
      </c>
      <c r="C4977" s="477">
        <v>9944476.5229378194</v>
      </c>
      <c r="D4977" s="458">
        <v>4.0936441674779944E-2</v>
      </c>
      <c r="E4977" s="477">
        <v>11693439.365341417</v>
      </c>
      <c r="F4977" s="458">
        <v>0.10069982146983225</v>
      </c>
      <c r="G4977" s="477">
        <v>96173962.939962551</v>
      </c>
      <c r="H4977" s="458">
        <v>0.26226469804973629</v>
      </c>
      <c r="I4977" s="468">
        <v>5.6588561089697338</v>
      </c>
    </row>
    <row r="4978" spans="1:9" ht="16.5" x14ac:dyDescent="0.3">
      <c r="A4978" s="477">
        <v>2367725.2865224304</v>
      </c>
      <c r="B4978" s="458">
        <v>3.7472247522348789E-2</v>
      </c>
      <c r="C4978" s="477">
        <v>1775372.9862177512</v>
      </c>
      <c r="D4978" s="458">
        <v>3.4089255404806229E-2</v>
      </c>
      <c r="E4978" s="477">
        <v>16647287.089371398</v>
      </c>
      <c r="F4978" s="458">
        <v>0.11077280517422827</v>
      </c>
      <c r="G4978" s="477">
        <v>98287442.709157854</v>
      </c>
      <c r="H4978" s="458">
        <v>0.26403559734192261</v>
      </c>
      <c r="I4978" s="468">
        <v>3.9205483889367834</v>
      </c>
    </row>
    <row r="4979" spans="1:9" ht="16.5" x14ac:dyDescent="0.3">
      <c r="A4979" s="477">
        <v>2574798.3468689322</v>
      </c>
      <c r="B4979" s="458">
        <v>5.5512208188059464E-2</v>
      </c>
      <c r="C4979" s="477">
        <v>15219847.501490615</v>
      </c>
      <c r="D4979" s="458">
        <v>3.388097905303411E-2</v>
      </c>
      <c r="E4979" s="477">
        <v>19085823.414077897</v>
      </c>
      <c r="F4979" s="458">
        <v>0.10309407656420499</v>
      </c>
      <c r="G4979" s="477">
        <v>84659988.037728071</v>
      </c>
      <c r="H4979" s="458">
        <v>0.25412981111380373</v>
      </c>
      <c r="I4979" s="468">
        <v>7.2168816762813295</v>
      </c>
    </row>
    <row r="4980" spans="1:9" ht="16.5" x14ac:dyDescent="0.3">
      <c r="A4980" s="477">
        <v>3898895.1009785854</v>
      </c>
      <c r="B4980" s="458">
        <v>2.536811735995026E-2</v>
      </c>
      <c r="C4980" s="477">
        <v>14958242.30790358</v>
      </c>
      <c r="D4980" s="458">
        <v>6.1629833010278023E-2</v>
      </c>
      <c r="E4980" s="477">
        <v>16329608.366123825</v>
      </c>
      <c r="F4980" s="458">
        <v>0.11764316484819748</v>
      </c>
      <c r="G4980" s="477">
        <v>86235020.322768062</v>
      </c>
      <c r="H4980" s="458">
        <v>0.2752085890064393</v>
      </c>
      <c r="I4980" s="468">
        <v>9.1895402748737602</v>
      </c>
    </row>
    <row r="4981" spans="1:9" ht="16.5" x14ac:dyDescent="0.3">
      <c r="A4981" s="477">
        <v>4664027.4106347552</v>
      </c>
      <c r="B4981" s="458">
        <v>5.8838292343037724E-2</v>
      </c>
      <c r="C4981" s="477">
        <v>12321823.349240307</v>
      </c>
      <c r="D4981" s="458">
        <v>7.3283831592641402E-2</v>
      </c>
      <c r="E4981" s="477">
        <v>20928691.85188514</v>
      </c>
      <c r="F4981" s="458">
        <v>0.12393062231445184</v>
      </c>
      <c r="G4981" s="477">
        <v>82173987.448998481</v>
      </c>
      <c r="H4981" s="458">
        <v>0.27539277514197957</v>
      </c>
      <c r="I4981" s="468">
        <v>4.3138966772789331</v>
      </c>
    </row>
    <row r="4982" spans="1:9" ht="16.5" x14ac:dyDescent="0.3">
      <c r="A4982" s="477">
        <v>4980604.1620765002</v>
      </c>
      <c r="B4982" s="458">
        <v>3.4563589433166175E-2</v>
      </c>
      <c r="C4982" s="477">
        <v>6927050.5622463254</v>
      </c>
      <c r="D4982" s="458">
        <v>7.4052815183596188E-2</v>
      </c>
      <c r="E4982" s="477">
        <v>13259521.176303651</v>
      </c>
      <c r="F4982" s="458">
        <v>0.13030539692396959</v>
      </c>
      <c r="G4982" s="477">
        <v>78662170.985474795</v>
      </c>
      <c r="H4982" s="458">
        <v>0.27350168211507797</v>
      </c>
      <c r="I4982" s="468">
        <v>16.415016897968336</v>
      </c>
    </row>
    <row r="4983" spans="1:9" ht="16.5" x14ac:dyDescent="0.3">
      <c r="A4983" s="477">
        <v>8823875.4001361895</v>
      </c>
      <c r="B4983" s="458">
        <v>3.9381471810420177E-2</v>
      </c>
      <c r="C4983" s="477">
        <v>15622490.522745229</v>
      </c>
      <c r="D4983" s="458">
        <v>5.2008174299644105E-2</v>
      </c>
      <c r="E4983" s="477">
        <v>12628727.328935644</v>
      </c>
      <c r="F4983" s="458">
        <v>0.10846031606022466</v>
      </c>
      <c r="G4983" s="477">
        <v>98582701.284509212</v>
      </c>
      <c r="H4983" s="458">
        <v>0.25865070939123669</v>
      </c>
      <c r="I4983" s="468">
        <v>7.3846783355929109</v>
      </c>
    </row>
    <row r="4984" spans="1:9" ht="16.5" x14ac:dyDescent="0.3">
      <c r="A4984" s="477">
        <v>6028513.6250500772</v>
      </c>
      <c r="B4984" s="458">
        <v>3.9076869044934348E-2</v>
      </c>
      <c r="C4984" s="477">
        <v>6275684.6234325562</v>
      </c>
      <c r="D4984" s="458">
        <v>8.1497620857414743E-2</v>
      </c>
      <c r="E4984" s="477">
        <v>20874329.865590889</v>
      </c>
      <c r="F4984" s="458">
        <v>0.12302466142819846</v>
      </c>
      <c r="G4984" s="477">
        <v>90507866.076904148</v>
      </c>
      <c r="H4984" s="458">
        <v>0.26568734957478402</v>
      </c>
      <c r="I4984" s="468">
        <v>5.3491142239939702</v>
      </c>
    </row>
    <row r="4985" spans="1:9" ht="16.5" x14ac:dyDescent="0.3">
      <c r="A4985" s="477">
        <v>598067.68678537908</v>
      </c>
      <c r="B4985" s="458">
        <v>8.1647608810695216E-2</v>
      </c>
      <c r="C4985" s="477">
        <v>11574575.529441928</v>
      </c>
      <c r="D4985" s="458">
        <v>6.3279687949461039E-2</v>
      </c>
      <c r="E4985" s="477">
        <v>11865883.189855099</v>
      </c>
      <c r="F4985" s="458">
        <v>7.8404364578170016E-2</v>
      </c>
      <c r="G4985" s="477">
        <v>88790741.24246417</v>
      </c>
      <c r="H4985" s="458">
        <v>0.28191249573899579</v>
      </c>
      <c r="I4985" s="468">
        <v>16.647717977280841</v>
      </c>
    </row>
    <row r="4986" spans="1:9" ht="16.5" x14ac:dyDescent="0.3">
      <c r="A4986" s="477">
        <v>1576332.5252845651</v>
      </c>
      <c r="B4986" s="458">
        <v>5.2308263403191058E-2</v>
      </c>
      <c r="C4986" s="477">
        <v>11718135.81777996</v>
      </c>
      <c r="D4986" s="458">
        <v>6.0461036689707592E-2</v>
      </c>
      <c r="E4986" s="477">
        <v>18400436.406941805</v>
      </c>
      <c r="F4986" s="458">
        <v>9.010971776590293E-2</v>
      </c>
      <c r="G4986" s="477">
        <v>103169193.84726486</v>
      </c>
      <c r="H4986" s="458">
        <v>0.26520346123923333</v>
      </c>
      <c r="I4986" s="468">
        <v>8.4542980133155989</v>
      </c>
    </row>
    <row r="4987" spans="1:9" ht="16.5" x14ac:dyDescent="0.3">
      <c r="A4987" s="477">
        <v>4441232.7989910357</v>
      </c>
      <c r="B4987" s="458">
        <v>4.0518210790301934E-2</v>
      </c>
      <c r="C4987" s="477">
        <v>5627858.2065817462</v>
      </c>
      <c r="D4987" s="458">
        <v>2.2051685563694079E-2</v>
      </c>
      <c r="E4987" s="477">
        <v>20940190.374787573</v>
      </c>
      <c r="F4987" s="458">
        <v>0.11797489169365516</v>
      </c>
      <c r="G4987" s="477">
        <v>102713573.50857344</v>
      </c>
      <c r="H4987" s="458">
        <v>0.28623986154904535</v>
      </c>
      <c r="I4987" s="468">
        <v>14.966195297179747</v>
      </c>
    </row>
    <row r="4988" spans="1:9" ht="16.5" x14ac:dyDescent="0.3">
      <c r="A4988" s="477">
        <v>6837268.2501218319</v>
      </c>
      <c r="B4988" s="458">
        <v>7.4250343887716008E-2</v>
      </c>
      <c r="C4988" s="477">
        <v>9046518.223453166</v>
      </c>
      <c r="D4988" s="458">
        <v>4.9367949147366641E-2</v>
      </c>
      <c r="E4988" s="477">
        <v>14056481.849913443</v>
      </c>
      <c r="F4988" s="458">
        <v>0.11727630635971154</v>
      </c>
      <c r="G4988" s="477">
        <v>94449380.150284052</v>
      </c>
      <c r="H4988" s="458">
        <v>0.30660397169586462</v>
      </c>
      <c r="I4988" s="468">
        <v>5.0802501830614322</v>
      </c>
    </row>
    <row r="4989" spans="1:9" ht="16.5" x14ac:dyDescent="0.3">
      <c r="A4989" s="477">
        <v>8525612.2695281804</v>
      </c>
      <c r="B4989" s="458">
        <v>3.7298581500526007E-2</v>
      </c>
      <c r="C4989" s="477">
        <v>8184093.2528394302</v>
      </c>
      <c r="D4989" s="458">
        <v>7.5938655015900469E-2</v>
      </c>
      <c r="E4989" s="477">
        <v>14825963.808838258</v>
      </c>
      <c r="F4989" s="458">
        <v>0.12793756442613402</v>
      </c>
      <c r="G4989" s="477">
        <v>83755021.823141932</v>
      </c>
      <c r="H4989" s="458">
        <v>0.2639554862108493</v>
      </c>
      <c r="I4989" s="468">
        <v>8.5290278766900105</v>
      </c>
    </row>
    <row r="4990" spans="1:9" ht="16.5" x14ac:dyDescent="0.3">
      <c r="A4990" s="477">
        <v>5710482.9856296703</v>
      </c>
      <c r="B4990" s="458">
        <v>6.4984585174822307E-2</v>
      </c>
      <c r="C4990" s="477">
        <v>13708398.497934384</v>
      </c>
      <c r="D4990" s="458">
        <v>4.9365206176892551E-2</v>
      </c>
      <c r="E4990" s="477">
        <v>20456072.647874136</v>
      </c>
      <c r="F4990" s="458">
        <v>0.10670042402263391</v>
      </c>
      <c r="G4990" s="477">
        <v>93778007.193315476</v>
      </c>
      <c r="H4990" s="458">
        <v>0.25972738008824225</v>
      </c>
      <c r="I4990" s="468">
        <v>5.8416106907357594</v>
      </c>
    </row>
    <row r="4991" spans="1:9" ht="16.5" x14ac:dyDescent="0.3">
      <c r="A4991" s="477">
        <v>5181459.7286386192</v>
      </c>
      <c r="B4991" s="458">
        <v>4.8776317808240544E-2</v>
      </c>
      <c r="C4991" s="477">
        <v>12491471.688567571</v>
      </c>
      <c r="D4991" s="458">
        <v>4.1709427078093331E-2</v>
      </c>
      <c r="E4991" s="477">
        <v>12957720.662459247</v>
      </c>
      <c r="F4991" s="458">
        <v>0.10245998894232455</v>
      </c>
      <c r="G4991" s="477">
        <v>85868536.85062246</v>
      </c>
      <c r="H4991" s="458">
        <v>0.25127190107841724</v>
      </c>
      <c r="I4991" s="468">
        <v>10.138232276935669</v>
      </c>
    </row>
    <row r="4992" spans="1:9" ht="16.5" x14ac:dyDescent="0.3">
      <c r="A4992" s="477">
        <v>6499510.6400606697</v>
      </c>
      <c r="B4992" s="458">
        <v>5.1649784995341896E-2</v>
      </c>
      <c r="C4992" s="477">
        <v>11071402.087196508</v>
      </c>
      <c r="D4992" s="458">
        <v>6.0447224887956175E-2</v>
      </c>
      <c r="E4992" s="477">
        <v>20005015.587042361</v>
      </c>
      <c r="F4992" s="458">
        <v>0.108509074766997</v>
      </c>
      <c r="G4992" s="477">
        <v>89749194.185553238</v>
      </c>
      <c r="H4992" s="458">
        <v>0.26573178253304408</v>
      </c>
      <c r="I4992" s="468">
        <v>10.132637509182842</v>
      </c>
    </row>
    <row r="4993" spans="1:9" ht="16.5" x14ac:dyDescent="0.3">
      <c r="A4993" s="477">
        <v>2770867.0098134563</v>
      </c>
      <c r="B4993" s="458">
        <v>3.3960946554744575E-2</v>
      </c>
      <c r="C4993" s="477">
        <v>12594947.438826865</v>
      </c>
      <c r="D4993" s="458">
        <v>6.0210619651652975E-2</v>
      </c>
      <c r="E4993" s="477">
        <v>14190827.52694582</v>
      </c>
      <c r="F4993" s="458">
        <v>0.11433642174970449</v>
      </c>
      <c r="G4993" s="477">
        <v>81881878.710503563</v>
      </c>
      <c r="H4993" s="458">
        <v>0.2911917882474877</v>
      </c>
      <c r="I4993" s="468">
        <v>10.130178626128263</v>
      </c>
    </row>
    <row r="4994" spans="1:9" ht="16.5" x14ac:dyDescent="0.3">
      <c r="A4994" s="477">
        <v>2026419.0120925943</v>
      </c>
      <c r="B4994" s="458">
        <v>4.014507053204297E-2</v>
      </c>
      <c r="C4994" s="477">
        <v>11317716.439098218</v>
      </c>
      <c r="D4994" s="458">
        <v>5.2901403052351137E-2</v>
      </c>
      <c r="E4994" s="477">
        <v>17933307.937390484</v>
      </c>
      <c r="F4994" s="458">
        <v>8.5461444230398476E-2</v>
      </c>
      <c r="G4994" s="477">
        <v>98707275.446276963</v>
      </c>
      <c r="H4994" s="458">
        <v>0.26509604567165335</v>
      </c>
      <c r="I4994" s="468">
        <v>7.2013731560052818</v>
      </c>
    </row>
    <row r="4995" spans="1:9" ht="16.5" x14ac:dyDescent="0.3">
      <c r="A4995" s="477">
        <v>7637680.5400622208</v>
      </c>
      <c r="B4995" s="458">
        <v>6.6274124028587567E-2</v>
      </c>
      <c r="C4995" s="477">
        <v>7239553.3565641139</v>
      </c>
      <c r="D4995" s="458">
        <v>7.092417403310991E-2</v>
      </c>
      <c r="E4995" s="477">
        <v>10991633.889922874</v>
      </c>
      <c r="F4995" s="458">
        <v>9.2919569561564552E-2</v>
      </c>
      <c r="G4995" s="477">
        <v>95773326.334125116</v>
      </c>
      <c r="H4995" s="458">
        <v>0.26869964589842343</v>
      </c>
      <c r="I4995" s="468">
        <v>6.0218817794994806</v>
      </c>
    </row>
    <row r="4996" spans="1:9" ht="16.5" x14ac:dyDescent="0.3">
      <c r="A4996" s="477">
        <v>9895891.7407848947</v>
      </c>
      <c r="B4996" s="458">
        <v>2.6016958165846482E-2</v>
      </c>
      <c r="C4996" s="477">
        <v>9629563.0925315693</v>
      </c>
      <c r="D4996" s="458">
        <v>7.3956045023083616E-2</v>
      </c>
      <c r="E4996" s="477">
        <v>13707115.074670557</v>
      </c>
      <c r="F4996" s="458">
        <v>0.13610446496973827</v>
      </c>
      <c r="G4996" s="477">
        <v>95246642.549812093</v>
      </c>
      <c r="H4996" s="458">
        <v>0.24792942208729674</v>
      </c>
      <c r="I4996" s="468">
        <v>12.772320840595007</v>
      </c>
    </row>
    <row r="4997" spans="1:9" ht="16.5" x14ac:dyDescent="0.3">
      <c r="A4997" s="477">
        <v>2883400.3354362804</v>
      </c>
      <c r="B4997" s="458">
        <v>1.9124506768634975E-2</v>
      </c>
      <c r="C4997" s="477">
        <v>11739212.899760248</v>
      </c>
      <c r="D4997" s="458">
        <v>7.0090811217423443E-2</v>
      </c>
      <c r="E4997" s="477">
        <v>13816669.859361257</v>
      </c>
      <c r="F4997" s="458">
        <v>9.9827438019745474E-2</v>
      </c>
      <c r="G4997" s="477">
        <v>83456446.443234876</v>
      </c>
      <c r="H4997" s="458">
        <v>0.29601248272739356</v>
      </c>
      <c r="I4997" s="468">
        <v>8.1289608064083119</v>
      </c>
    </row>
    <row r="4998" spans="1:9" ht="16.5" x14ac:dyDescent="0.3">
      <c r="A4998" s="477">
        <v>5134025.8107941467</v>
      </c>
      <c r="B4998" s="458">
        <v>5.7948313832298037E-2</v>
      </c>
      <c r="C4998" s="477">
        <v>7316398.9402203374</v>
      </c>
      <c r="D4998" s="458">
        <v>6.1256807228827093E-2</v>
      </c>
      <c r="E4998" s="477">
        <v>15965291.253157869</v>
      </c>
      <c r="F4998" s="458">
        <v>0.11290790480978274</v>
      </c>
      <c r="G4998" s="477">
        <v>90473657.840401843</v>
      </c>
      <c r="H4998" s="458">
        <v>0.27433667129998685</v>
      </c>
      <c r="I4998" s="468">
        <v>12.711994925766579</v>
      </c>
    </row>
    <row r="4999" spans="1:9" ht="16.5" x14ac:dyDescent="0.3">
      <c r="A4999" s="477">
        <v>9831235.3692111708</v>
      </c>
      <c r="B4999" s="458">
        <v>1.9835913457445953E-2</v>
      </c>
      <c r="C4999" s="477">
        <v>2596250.3899726034</v>
      </c>
      <c r="D4999" s="458">
        <v>5.8788337510660593E-2</v>
      </c>
      <c r="E4999" s="477">
        <v>20900752.225512352</v>
      </c>
      <c r="F4999" s="458">
        <v>9.6899415210139228E-2</v>
      </c>
      <c r="G4999" s="477">
        <v>102207716.40275595</v>
      </c>
      <c r="H4999" s="458">
        <v>0.27350547258750102</v>
      </c>
      <c r="I4999" s="468">
        <v>5.5011378596318075</v>
      </c>
    </row>
    <row r="5000" spans="1:9" ht="16.5" x14ac:dyDescent="0.3">
      <c r="A5000" s="477">
        <v>5932974.4630997786</v>
      </c>
      <c r="B5000" s="458">
        <v>3.4276050684209469E-2</v>
      </c>
      <c r="C5000" s="477">
        <v>8731357.7770987675</v>
      </c>
      <c r="D5000" s="458">
        <v>7.0910307230253267E-2</v>
      </c>
      <c r="E5000" s="477">
        <v>14528840.884802185</v>
      </c>
      <c r="F5000" s="458">
        <v>0.10758117511487608</v>
      </c>
      <c r="G5000" s="477">
        <v>97673769.8864384</v>
      </c>
      <c r="H5000" s="458">
        <v>0.27195215273425388</v>
      </c>
      <c r="I5000" s="468">
        <v>4.6195781615096738</v>
      </c>
    </row>
    <row r="5001" spans="1:9" ht="16.5" x14ac:dyDescent="0.3">
      <c r="A5001" s="477">
        <v>1968530.7052038151</v>
      </c>
      <c r="B5001" s="458">
        <v>6.3905806180380997E-2</v>
      </c>
      <c r="C5001" s="477">
        <v>8625748.4308863021</v>
      </c>
      <c r="D5001" s="458">
        <v>5.7973844274924691E-2</v>
      </c>
      <c r="E5001" s="477">
        <v>15672725.355406247</v>
      </c>
      <c r="F5001" s="458">
        <v>0.13827204540604754</v>
      </c>
      <c r="G5001" s="477">
        <v>109421910.58674113</v>
      </c>
      <c r="H5001" s="458">
        <v>0.2835913757818822</v>
      </c>
      <c r="I5001" s="468">
        <v>4.7796779276295247</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27</vt:i4>
      </vt:variant>
    </vt:vector>
  </HeadingPairs>
  <TitlesOfParts>
    <vt:vector size="27" baseType="lpstr">
      <vt:lpstr>Invest</vt:lpstr>
      <vt:lpstr>Cron.FF &amp; Deprec</vt:lpstr>
      <vt:lpstr>SH4</vt:lpstr>
      <vt:lpstr>país_siscomex</vt:lpstr>
      <vt:lpstr>frios_cong</vt:lpstr>
      <vt:lpstr>expor_petrolina</vt:lpstr>
      <vt:lpstr>expor_petrolina1</vt:lpstr>
      <vt:lpstr>pib_países</vt:lpstr>
      <vt:lpstr>dados_painel</vt:lpstr>
      <vt:lpstr>import_frios_cong_RNA</vt:lpstr>
      <vt:lpstr>base_RNA</vt:lpstr>
      <vt:lpstr>Import_CG</vt:lpstr>
      <vt:lpstr>Import_Frios</vt:lpstr>
      <vt:lpstr>Export_Frutas</vt:lpstr>
      <vt:lpstr>MOB</vt:lpstr>
      <vt:lpstr>Tarifas</vt:lpstr>
      <vt:lpstr>VarCG</vt:lpstr>
      <vt:lpstr>Faturam_Sim</vt:lpstr>
      <vt:lpstr>Custos_Desp</vt:lpstr>
      <vt:lpstr>Custos Ambientais</vt:lpstr>
      <vt:lpstr>Receitas</vt:lpstr>
      <vt:lpstr>TMA</vt:lpstr>
      <vt:lpstr>Receitas_Cen</vt:lpstr>
      <vt:lpstr>SAC</vt:lpstr>
      <vt:lpstr>DRE_FC</vt:lpstr>
      <vt:lpstr>DRE_FC_VPL</vt:lpstr>
      <vt:lpstr>RESULT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dc:creator>
  <cp:lastModifiedBy>Alexandro Cavalcanti</cp:lastModifiedBy>
  <dcterms:created xsi:type="dcterms:W3CDTF">2024-06-19T20:02:42Z</dcterms:created>
  <dcterms:modified xsi:type="dcterms:W3CDTF">2025-04-09T03:19:07Z</dcterms:modified>
</cp:coreProperties>
</file>